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 sheetId="1" r:id="rId4"/>
    <sheet state="visible" name="Projections" sheetId="2" r:id="rId5"/>
    <sheet state="hidden" name="Final Update" sheetId="3" r:id="rId6"/>
    <sheet state="hidden" name="PasteHashtag" sheetId="4" r:id="rId7"/>
    <sheet state="hidden" name="UpdateHashtag" sheetId="5" r:id="rId8"/>
    <sheet state="hidden" name="UpdateBBM" sheetId="6" r:id="rId9"/>
    <sheet state="hidden" name="PasteBBM" sheetId="7" r:id="rId10"/>
    <sheet state="hidden" name="All Teams" sheetId="8" r:id="rId11"/>
    <sheet state="hidden" name="Team" sheetId="9" r:id="rId12"/>
    <sheet state="hidden" name="AuxCalc" sheetId="10" r:id="rId13"/>
    <sheet state="hidden" name="Trades" sheetId="11" r:id="rId14"/>
    <sheet state="hidden" name="Sheet9" sheetId="12" r:id="rId15"/>
    <sheet state="hidden" name="NO USAR3" sheetId="13" r:id="rId16"/>
  </sheets>
  <definedNames>
    <definedName hidden="1" localSheetId="1" name="_xlnm._FilterDatabase">Projections!$A$19:$D$416</definedName>
    <definedName hidden="1" localSheetId="2" name="_xlnm._FilterDatabase">'Final Update'!$O$20:$AQ$420</definedName>
    <definedName hidden="1" localSheetId="3" name="_xlnm._FilterDatabase">PasteHashtag!$A$1:$Q$401</definedName>
    <definedName hidden="1" localSheetId="1" name="Z_E21C4D45_E0F3_4CD3_A3BD_46B155FDCE3B_.wvu.FilterData">Projections!$AA$18:$AA$19</definedName>
  </definedNames>
  <calcPr/>
  <customWorkbookViews>
    <customWorkbookView activeSheetId="0" maximized="1" windowHeight="0" windowWidth="0" guid="{E21C4D45-E0F3-4CD3-A3BD-46B155FDCE3B}" name="Filter 1"/>
  </customWorkbookViews>
</workbook>
</file>

<file path=xl/sharedStrings.xml><?xml version="1.0" encoding="utf-8"?>
<sst xmlns="http://schemas.openxmlformats.org/spreadsheetml/2006/main" count="11902" uniqueCount="2939">
  <si>
    <t>avg</t>
  </si>
  <si>
    <t>R#</t>
  </si>
  <si>
    <t>ADP</t>
  </si>
  <si>
    <t>PLAYER</t>
  </si>
  <si>
    <t>POS</t>
  </si>
  <si>
    <t>TEAM</t>
  </si>
  <si>
    <t>GP</t>
  </si>
  <si>
    <t>MPG</t>
  </si>
  <si>
    <t>FG%</t>
  </si>
  <si>
    <t>FT%</t>
  </si>
  <si>
    <t>Pick</t>
  </si>
  <si>
    <t>PTS</t>
  </si>
  <si>
    <t>TREB</t>
  </si>
  <si>
    <t>Your Pick</t>
  </si>
  <si>
    <t>AST</t>
  </si>
  <si>
    <t>STL</t>
  </si>
  <si>
    <t>BLK</t>
  </si>
  <si>
    <t>TO</t>
  </si>
  <si>
    <t>TOTAL</t>
  </si>
  <si>
    <t>Round 1</t>
  </si>
  <si>
    <t>Round 2</t>
  </si>
  <si>
    <r>
      <rPr>
        <rFont val="Montserrat, Helvetica, Arial, serif"/>
        <color rgb="FF22292F"/>
        <sz val="11.0"/>
      </rPr>
      <t>Victor Wembanyama</t>
    </r>
  </si>
  <si>
    <t>Round 3</t>
  </si>
  <si>
    <t>Round 4</t>
  </si>
  <si>
    <t>Round 5</t>
  </si>
  <si>
    <t>Round 6</t>
  </si>
  <si>
    <t>Round 7</t>
  </si>
  <si>
    <t>Round 8</t>
  </si>
  <si>
    <t>Round 9</t>
  </si>
  <si>
    <t>Round 10</t>
  </si>
  <si>
    <t>Round 11</t>
  </si>
  <si>
    <t>Round 12</t>
  </si>
  <si>
    <t>Round 13</t>
  </si>
  <si>
    <t>Round 14</t>
  </si>
  <si>
    <t>C</t>
  </si>
  <si>
    <t>SA</t>
  </si>
  <si>
    <t>0.473(8.8/18.6)</t>
  </si>
  <si>
    <t>0.802(4.5/5.6)</t>
  </si>
  <si>
    <r>
      <rPr>
        <rFont val="Montserrat, Helvetica, Arial, serif"/>
        <color rgb="FF22292F"/>
        <sz val="11.0"/>
      </rPr>
      <t>Nikola Jokic</t>
    </r>
  </si>
  <si>
    <t>Victor Wembanyama</t>
  </si>
  <si>
    <t>DEN</t>
  </si>
  <si>
    <t>0.585(10.4/17.8)</t>
  </si>
  <si>
    <t>0.819(4.8/5.8)</t>
  </si>
  <si>
    <r>
      <rPr>
        <rFont val="Montserrat, Helvetica, Arial, serif"/>
        <color rgb="FF22292F"/>
        <sz val="11.0"/>
      </rPr>
      <t>Shai Gilgeous-Alexander</t>
    </r>
  </si>
  <si>
    <t>PG</t>
  </si>
  <si>
    <t>OKC</t>
  </si>
  <si>
    <t>0.524(10.2/19.5)</t>
  </si>
  <si>
    <t>0.880(8.1/9.2)</t>
  </si>
  <si>
    <r>
      <rPr>
        <rFont val="Montserrat, Helvetica, Arial, serif"/>
        <color rgb="FF22292F"/>
        <sz val="11.0"/>
      </rPr>
      <t>Luka Doncic</t>
    </r>
  </si>
  <si>
    <t>Pick #</t>
  </si>
  <si>
    <t>Team</t>
  </si>
  <si>
    <t>3P</t>
  </si>
  <si>
    <t>std</t>
  </si>
  <si>
    <t>REB</t>
  </si>
  <si>
    <t>Cats Won</t>
  </si>
  <si>
    <t>Winrate</t>
  </si>
  <si>
    <t>PG,SG</t>
  </si>
  <si>
    <t>DAL</t>
  </si>
  <si>
    <t>0.491(11.3/23.0)</t>
  </si>
  <si>
    <t>0.792(7.6/9.7)</t>
  </si>
  <si>
    <t>Punt Sum</t>
  </si>
  <si>
    <r>
      <rPr>
        <rFont val="Montserrat, Helvetica, Arial, serif"/>
        <color rgb="FF22292F"/>
        <sz val="11.0"/>
      </rPr>
      <t>Anthony Davis</t>
    </r>
  </si>
  <si>
    <t>PF,C</t>
  </si>
  <si>
    <t>LAL</t>
  </si>
  <si>
    <t>0.559(9.5/17.0)</t>
  </si>
  <si>
    <t>0.802(5.8/7.3)</t>
  </si>
  <si>
    <r>
      <rPr>
        <rFont val="Montserrat, Helvetica, Arial, serif"/>
        <color rgb="FF22292F"/>
        <sz val="11.0"/>
      </rPr>
      <t>Joel Embiid</t>
    </r>
  </si>
  <si>
    <t>PHI</t>
  </si>
  <si>
    <t>0.518(9.1/17.6)</t>
  </si>
  <si>
    <t>0.871(8.7/9.9)</t>
  </si>
  <si>
    <r>
      <rPr>
        <rFont val="Montserrat, Helvetica, Arial, serif"/>
        <color rgb="FF22292F"/>
        <sz val="11.0"/>
      </rPr>
      <t>Giannis Antetokounmpo</t>
    </r>
  </si>
  <si>
    <t>SG</t>
  </si>
  <si>
    <t>SF</t>
  </si>
  <si>
    <t>PF</t>
  </si>
  <si>
    <t>MIL</t>
  </si>
  <si>
    <t>0.614(11.8/19.2)</t>
  </si>
  <si>
    <t>0.671(7.0/10.5)</t>
  </si>
  <si>
    <r>
      <rPr>
        <rFont val="Montserrat, Helvetica, Arial, serif"/>
        <color rgb="FF22292F"/>
        <sz val="11.0"/>
      </rPr>
      <t>Tyrese Haliburton</t>
    </r>
  </si>
  <si>
    <t>z p/g</t>
  </si>
  <si>
    <t>z 3/g</t>
  </si>
  <si>
    <t>z r/g</t>
  </si>
  <si>
    <t>z a/g</t>
  </si>
  <si>
    <t>z s/g</t>
  </si>
  <si>
    <t>z b/g</t>
  </si>
  <si>
    <t>z fg%</t>
  </si>
  <si>
    <t>fga/g</t>
  </si>
  <si>
    <t>z ft%</t>
  </si>
  <si>
    <t>fta/g</t>
  </si>
  <si>
    <t>z to/g</t>
  </si>
  <si>
    <t>IND</t>
  </si>
  <si>
    <t>0.483(7.5/15.6)</t>
  </si>
  <si>
    <t>0.862(3.1/3.5)</t>
  </si>
  <si>
    <r>
      <rPr>
        <rFont val="Montserrat, Helvetica, Arial, serif"/>
        <color rgb="FF22292F"/>
        <sz val="11.0"/>
      </rPr>
      <t>Trae Young</t>
    </r>
  </si>
  <si>
    <t>ATL</t>
  </si>
  <si>
    <t>0.432(8.4/19.5)</t>
  </si>
  <si>
    <t>0.877(7.8/8.9)</t>
  </si>
  <si>
    <r>
      <rPr>
        <rFont val="Montserrat, Helvetica, Arial, serif"/>
        <color rgb="FF22292F"/>
        <sz val="11.0"/>
      </rPr>
      <t>Jayson Tatum</t>
    </r>
  </si>
  <si>
    <t>SF,PF</t>
  </si>
  <si>
    <t>BOS</t>
  </si>
  <si>
    <t>0.469(9.4/20.1)</t>
  </si>
  <si>
    <t>0.836(6.1/7.3)</t>
  </si>
  <si>
    <r>
      <rPr>
        <rFont val="Montserrat, Helvetica, Arial, serif"/>
        <color rgb="FF22292F"/>
        <sz val="11.0"/>
      </rPr>
      <t>James Harden</t>
    </r>
  </si>
  <si>
    <t>LAC</t>
  </si>
  <si>
    <t>0.438(6.5/14.8)</t>
  </si>
  <si>
    <t>0.871(4.7/5.3)</t>
  </si>
  <si>
    <r>
      <rPr>
        <rFont val="Montserrat, Helvetica, Arial, serif"/>
        <color rgb="FF22292F"/>
        <sz val="11.0"/>
      </rPr>
      <t>Stephen Curry</t>
    </r>
  </si>
  <si>
    <t>GS</t>
  </si>
  <si>
    <t>0.469(8.8/18.7)</t>
  </si>
  <si>
    <t>0.918(4.0/4.4)</t>
  </si>
  <si>
    <r>
      <rPr>
        <rFont val="Montserrat, Helvetica, Arial, serif"/>
        <color rgb="FF22292F"/>
        <sz val="11.0"/>
      </rPr>
      <t>Donovan Mitchell</t>
    </r>
  </si>
  <si>
    <t>CLE</t>
  </si>
  <si>
    <t>0.468(9.1/19.5)</t>
  </si>
  <si>
    <t>0.866(4.6/5.4)</t>
  </si>
  <si>
    <r>
      <rPr>
        <rFont val="Montserrat, Helvetica, Arial, serif"/>
        <color rgb="FF22292F"/>
        <sz val="11.0"/>
      </rPr>
      <t>Kyrie Irving</t>
    </r>
  </si>
  <si>
    <t>Your Pick #</t>
  </si>
  <si>
    <t>0.495(9.2/18.6)</t>
  </si>
  <si>
    <t>0.907(3.2/3.6)</t>
  </si>
  <si>
    <r>
      <rPr>
        <rFont val="Montserrat, Helvetica, Arial, serif"/>
        <color rgb="FF22292F"/>
        <sz val="11.0"/>
      </rPr>
      <t>Kevin Durant</t>
    </r>
  </si>
  <si>
    <t>PHO</t>
  </si>
  <si>
    <t>0.520(9.5/18.3)</t>
  </si>
  <si>
    <t>0.846(4.6/5.5)</t>
  </si>
  <si>
    <r>
      <rPr>
        <rFont val="Montserrat, Helvetica, Arial, serif"/>
        <color rgb="FF22292F"/>
        <sz val="11.0"/>
      </rPr>
      <t>LeBron James</t>
    </r>
  </si>
  <si>
    <t>0.535(9.4/17.6)</t>
  </si>
  <si>
    <t>0.758(4.3/5.6)</t>
  </si>
  <si>
    <r>
      <rPr>
        <rFont val="Montserrat, Helvetica, Arial, serif"/>
        <color rgb="FF22292F"/>
        <sz val="11.0"/>
      </rPr>
      <t>Scottie Barnes</t>
    </r>
  </si>
  <si>
    <t>SG,SF,PF</t>
  </si>
  <si>
    <t>TOR</t>
  </si>
  <si>
    <t>0.479(7.0/14.5)</t>
  </si>
  <si>
    <t>0.791(3.5/4.4)</t>
  </si>
  <si>
    <r>
      <rPr>
        <rFont val="Montserrat, Helvetica, Arial, serif"/>
        <color rgb="FF22292F"/>
        <sz val="11.0"/>
      </rPr>
      <t>Damian Lillard</t>
    </r>
  </si>
  <si>
    <t>0.432(7.7/17.8)</t>
  </si>
  <si>
    <t>0.918(6.5/7.0)</t>
  </si>
  <si>
    <r>
      <rPr>
        <rFont val="Montserrat, Helvetica, Arial, serif"/>
        <color rgb="FF22292F"/>
        <sz val="11.0"/>
      </rPr>
      <t>Devin Booker</t>
    </r>
  </si>
  <si>
    <t>0.490(9.9/20.1)</t>
  </si>
  <si>
    <t>0.873(5.9/6.8)</t>
  </si>
  <si>
    <r>
      <rPr>
        <rFont val="Montserrat, Helvetica, Arial, serif"/>
        <color rgb="FF22292F"/>
        <sz val="11.0"/>
      </rPr>
      <t>LaMelo Ball</t>
    </r>
  </si>
  <si>
    <t>CHA</t>
  </si>
  <si>
    <t>0.427(8.2/19.2)</t>
  </si>
  <si>
    <t>0.857(3.2/3.7)</t>
  </si>
  <si>
    <r>
      <rPr>
        <rFont val="Montserrat, Helvetica, Arial, serif"/>
        <color rgb="FF22292F"/>
        <sz val="11.0"/>
      </rPr>
      <t>Karl-Anthony Towns</t>
    </r>
  </si>
  <si>
    <t>NY</t>
  </si>
  <si>
    <t>0.501(7.4/14.8)</t>
  </si>
  <si>
    <t>0.873(4.4/5.1)</t>
  </si>
  <si>
    <r>
      <rPr>
        <rFont val="Montserrat, Helvetica, Arial, serif"/>
        <color rgb="FF22292F"/>
        <sz val="11.0"/>
      </rPr>
      <t>Domantas Sabonis</t>
    </r>
  </si>
  <si>
    <t>SAC</t>
  </si>
  <si>
    <t>0.600(7.2/12.1)</t>
  </si>
  <si>
    <t>0.725(3.9/5.4)</t>
  </si>
  <si>
    <r>
      <rPr>
        <rFont val="Montserrat, Helvetica, Arial, serif"/>
        <color rgb="FF22292F"/>
        <sz val="11.0"/>
      </rPr>
      <t>Lauri Markkanen</t>
    </r>
  </si>
  <si>
    <t>UTA</t>
  </si>
  <si>
    <t>0.483(8.3/17.1)</t>
  </si>
  <si>
    <t>0.884(4.9/5.6)</t>
  </si>
  <si>
    <r>
      <rPr>
        <rFont val="Montserrat, Helvetica, Arial, serif"/>
        <color rgb="FF22292F"/>
        <sz val="11.0"/>
      </rPr>
      <t>Chet Holmgren</t>
    </r>
  </si>
  <si>
    <t>0.530(6.5/12.2)</t>
  </si>
  <si>
    <t>0.793(2.8/3.5)</t>
  </si>
  <si>
    <r>
      <rPr>
        <rFont val="Montserrat, Helvetica, Arial, serif"/>
        <color rgb="FF22292F"/>
        <sz val="11.0"/>
      </rPr>
      <t>Jalen Brunson</t>
    </r>
  </si>
  <si>
    <t>0.484(9.8/20.3)</t>
  </si>
  <si>
    <t>0.839(5.3/6.4)</t>
  </si>
  <si>
    <r>
      <rPr>
        <rFont val="Montserrat, Helvetica, Arial, serif"/>
        <color rgb="FF22292F"/>
        <sz val="11.0"/>
      </rPr>
      <t>Anthony Edwards</t>
    </r>
  </si>
  <si>
    <t>SG,SF</t>
  </si>
  <si>
    <t>MIN</t>
  </si>
  <si>
    <t>0.460(9.3/20.3)</t>
  </si>
  <si>
    <t>0.823(5.0/6.1)</t>
  </si>
  <si>
    <r>
      <rPr>
        <rFont val="Montserrat, Helvetica, Arial, serif"/>
        <color rgb="FF22292F"/>
        <sz val="11.0"/>
      </rPr>
      <t>Paul George</t>
    </r>
  </si>
  <si>
    <t>0.465(7.7/16.5)</t>
  </si>
  <si>
    <t>0.889(3.8/4.3)</t>
  </si>
  <si>
    <r>
      <rPr>
        <rFont val="Montserrat, Helvetica, Arial, serif"/>
        <color rgb="FF22292F"/>
        <sz val="11.0"/>
      </rPr>
      <t>Jalen Williams</t>
    </r>
  </si>
  <si>
    <t>0.536(7.8/14.5)</t>
  </si>
  <si>
    <t>0.822(2.8/3.4)</t>
  </si>
  <si>
    <r>
      <rPr>
        <rFont val="Montserrat, Helvetica, Arial, serif"/>
        <color rgb="FF22292F"/>
        <sz val="11.0"/>
      </rPr>
      <t>Jimmy Butler</t>
    </r>
  </si>
  <si>
    <t>MIA</t>
  </si>
  <si>
    <t>0.492(6.5/13.2)</t>
  </si>
  <si>
    <t>0.855(6.9/8.1)</t>
  </si>
  <si>
    <r>
      <rPr>
        <rFont val="Montserrat, Helvetica, Arial, serif"/>
        <color rgb="FF22292F"/>
        <sz val="11.0"/>
      </rPr>
      <t>Jaren Jackson Jr.</t>
    </r>
  </si>
  <si>
    <t>MEM</t>
  </si>
  <si>
    <t>0.470(7.5/15.9)</t>
  </si>
  <si>
    <t>0.800(4.6/5.8)</t>
  </si>
  <si>
    <r>
      <rPr>
        <rFont val="Montserrat, Helvetica, Arial, serif"/>
        <color rgb="FF22292F"/>
        <sz val="11.0"/>
      </rPr>
      <t>Tyrese Maxey</t>
    </r>
  </si>
  <si>
    <t>0.462(8.7/18.8)</t>
  </si>
  <si>
    <t>0.859(4.1/4.8)</t>
  </si>
  <si>
    <r>
      <rPr>
        <rFont val="Montserrat, Helvetica, Arial, serif"/>
        <color rgb="FF22292F"/>
        <sz val="11.0"/>
      </rPr>
      <t>Fred VanVleet</t>
    </r>
  </si>
  <si>
    <t>HOU</t>
  </si>
  <si>
    <t>0.406(5.7/14.1)</t>
  </si>
  <si>
    <t>0.874(3.0/3.4)</t>
  </si>
  <si>
    <r>
      <rPr>
        <rFont val="Montserrat, Helvetica, Arial, serif"/>
        <color rgb="FF22292F"/>
        <sz val="11.0"/>
      </rPr>
      <t>Jalen Johnson</t>
    </r>
  </si>
  <si>
    <t>0.503(7.3/14.5)</t>
  </si>
  <si>
    <t>0.747(2.1/2.9)</t>
  </si>
  <si>
    <r>
      <rPr>
        <rFont val="Montserrat, Helvetica, Arial, serif"/>
        <color rgb="FF22292F"/>
        <sz val="11.0"/>
      </rPr>
      <t>De'Aaron Fox</t>
    </r>
  </si>
  <si>
    <t>0.472(9.2/19.4)</t>
  </si>
  <si>
    <t>0.759(4.3/5.6)</t>
  </si>
  <si>
    <r>
      <rPr>
        <rFont val="Montserrat, Helvetica, Arial, serif"/>
        <color rgb="FF22292F"/>
        <sz val="11.0"/>
      </rPr>
      <t>Derrick White</t>
    </r>
  </si>
  <si>
    <t>0.461(5.2/11.3)</t>
  </si>
  <si>
    <t>0.888(2.2/2.4)</t>
  </si>
  <si>
    <r>
      <rPr>
        <rFont val="Montserrat, Helvetica, Arial, serif"/>
        <color rgb="FF22292F"/>
        <sz val="11.0"/>
      </rPr>
      <t>Ja Morant</t>
    </r>
  </si>
  <si>
    <t>0.470(9.2/19.6)</t>
  </si>
  <si>
    <t>0.788(5.8/7.4)</t>
  </si>
  <si>
    <r>
      <rPr>
        <rFont val="Montserrat, Helvetica, Arial, serif"/>
        <color rgb="FF22292F"/>
        <sz val="11.0"/>
      </rPr>
      <t>DeMar DeRozan</t>
    </r>
  </si>
  <si>
    <t>0.486(7.5/15.4)</t>
  </si>
  <si>
    <t>0.863(6.0/7.0)</t>
  </si>
  <si>
    <r>
      <rPr>
        <rFont val="Montserrat, Helvetica, Arial, serif"/>
        <color rgb="FF22292F"/>
        <sz val="11.0"/>
      </rPr>
      <t>Evan Mobley</t>
    </r>
  </si>
  <si>
    <t>3RR</t>
  </si>
  <si>
    <t>0.573(6.5/11.4)</t>
  </si>
  <si>
    <t>0.726(2.6/3.6)</t>
  </si>
  <si>
    <r>
      <rPr>
        <rFont val="Montserrat, Helvetica, Arial, serif"/>
        <color rgb="FF22292F"/>
        <sz val="11.0"/>
      </rPr>
      <t>Kawhi Leonard</t>
    </r>
  </si>
  <si>
    <t>0.507(7.5/14.7)</t>
  </si>
  <si>
    <t>0.859(3.5/4.1)</t>
  </si>
  <si>
    <r>
      <rPr>
        <rFont val="Montserrat, Helvetica, Arial, serif"/>
        <color rgb="FF22292F"/>
        <sz val="11.0"/>
      </rPr>
      <t>Desmond Bane</t>
    </r>
  </si>
  <si>
    <t>0.472(7.7/16.4)</t>
  </si>
  <si>
    <t>0.877(3.1/3.5)</t>
  </si>
  <si>
    <r>
      <rPr>
        <rFont val="Montserrat, Helvetica, Arial, serif"/>
        <color rgb="FF22292F"/>
        <sz val="11.0"/>
      </rPr>
      <t>Dejounte Murray</t>
    </r>
  </si>
  <si>
    <t>NO</t>
  </si>
  <si>
    <t>0.462(7.6/16.4)</t>
  </si>
  <si>
    <t>0.809(2.2/2.7)</t>
  </si>
  <si>
    <r>
      <rPr>
        <rFont val="Montserrat, Helvetica, Arial, serif"/>
        <color rgb="FF22292F"/>
        <sz val="11.0"/>
      </rPr>
      <t>Alperen Sengün</t>
    </r>
  </si>
  <si>
    <t>0.544(7.6/13.9)</t>
  </si>
  <si>
    <t>0.713(3.9/5.4)</t>
  </si>
  <si>
    <r>
      <rPr>
        <rFont val="Montserrat, Helvetica, Arial, serif"/>
        <color rgb="FF22292F"/>
        <sz val="11.0"/>
      </rPr>
      <t>Bam Adebayo</t>
    </r>
  </si>
  <si>
    <t>0.531(7.8/14.8)</t>
  </si>
  <si>
    <t>0.743(4.1/5.5)</t>
  </si>
  <si>
    <r>
      <rPr>
        <rFont val="Montserrat, Helvetica, Arial, serif"/>
        <color rgb="FF22292F"/>
        <sz val="11.0"/>
      </rPr>
      <t>Kristaps Porzingis</t>
    </r>
  </si>
  <si>
    <t>0.484(6.1/12.6)</t>
  </si>
  <si>
    <t>0.848(3.8/4.5)</t>
  </si>
  <si>
    <r>
      <rPr>
        <rFont val="Montserrat, Helvetica, Arial, serif"/>
        <color rgb="FF22292F"/>
        <sz val="11.0"/>
      </rPr>
      <t>Cade Cunningham</t>
    </r>
  </si>
  <si>
    <t>DET</t>
  </si>
  <si>
    <t>0.450(8.8/19.5)</t>
  </si>
  <si>
    <t>0.865(3.8/4.4)</t>
  </si>
  <si>
    <r>
      <rPr>
        <rFont val="Montserrat, Helvetica, Arial, serif"/>
        <color rgb="FF22292F"/>
        <sz val="11.0"/>
      </rPr>
      <t>Myles Turner</t>
    </r>
  </si>
  <si>
    <r>
      <rPr>
        <rFont val="Arial"/>
        <b/>
        <color rgb="FFFFFFFF"/>
        <sz val="14.0"/>
      </rPr>
      <t>Next Pick Simulation</t>
    </r>
  </si>
  <si>
    <t>0.535(6.1/11.5)</t>
  </si>
  <si>
    <t>0.778(3.2/4.1)</t>
  </si>
  <si>
    <r>
      <rPr>
        <rFont val="Montserrat, Helvetica, Arial, serif"/>
        <color rgb="FF22292F"/>
        <sz val="11.0"/>
      </rPr>
      <t>Immanuel Quickley</t>
    </r>
  </si>
  <si>
    <t>0.440(6.4/14.7)</t>
  </si>
  <si>
    <t>0.849(3.2/3.8)</t>
  </si>
  <si>
    <r>
      <rPr>
        <rFont val="Montserrat, Helvetica, Arial, serif"/>
        <color rgb="FF22292F"/>
        <sz val="11.0"/>
      </rPr>
      <t>Jamal Murray</t>
    </r>
  </si>
  <si>
    <t>0.471(7.4/15.8)</t>
  </si>
  <si>
    <t>0.841(2.6/3.1)</t>
  </si>
  <si>
    <r>
      <rPr>
        <rFont val="Montserrat, Helvetica, Arial, serif"/>
        <color rgb="FF22292F"/>
        <sz val="11.0"/>
      </rPr>
      <t>Franz Wagner</t>
    </r>
  </si>
  <si>
    <t>ORL</t>
  </si>
  <si>
    <t>0.483(7.2/15.0)</t>
  </si>
  <si>
    <t>0.845(3.7/4.3)</t>
  </si>
  <si>
    <r>
      <rPr>
        <rFont val="Montserrat, Helvetica, Arial, serif"/>
        <color rgb="FF22292F"/>
        <sz val="11.0"/>
      </rPr>
      <t>Tobias Harris</t>
    </r>
  </si>
  <si>
    <t>0.482(6.8/14.1)</t>
  </si>
  <si>
    <t>0.878(2.5/2.9)</t>
  </si>
  <si>
    <r>
      <rPr>
        <rFont val="Montserrat, Helvetica, Arial, serif"/>
        <color rgb="FF22292F"/>
        <sz val="11.0"/>
      </rPr>
      <t>Nikola Vucevic</t>
    </r>
  </si>
  <si>
    <t>CHI</t>
  </si>
  <si>
    <t>0.482(7.1/14.8)</t>
  </si>
  <si>
    <t>0.817(1.5/1.8)</t>
  </si>
  <si>
    <r>
      <rPr>
        <rFont val="Montserrat, Helvetica, Arial, serif"/>
        <color rgb="FF22292F"/>
        <sz val="11.0"/>
      </rPr>
      <t>Jarrett Allen</t>
    </r>
  </si>
  <si>
    <t>0.637(6.2/9.7)</t>
  </si>
  <si>
    <t>0.735(2.6/3.6)</t>
  </si>
  <si>
    <r>
      <rPr>
        <rFont val="Montserrat, Helvetica, Arial, serif"/>
        <color rgb="FF22292F"/>
        <sz val="11.0"/>
      </rPr>
      <t>Rudy Gobert</t>
    </r>
  </si>
  <si>
    <t>0.660(5.5/8.3)</t>
  </si>
  <si>
    <t>0.642(3.4/5.2)</t>
  </si>
  <si>
    <r>
      <rPr>
        <rFont val="Montserrat, Helvetica, Arial, serif"/>
        <color rgb="FF22292F"/>
        <sz val="11.0"/>
      </rPr>
      <t>Darius Garland</t>
    </r>
  </si>
  <si>
    <t>0.455(6.9/15.1)</t>
  </si>
  <si>
    <t>0.850(3.2/3.8)</t>
  </si>
  <si>
    <r>
      <rPr>
        <rFont val="Montserrat, Helvetica, Arial, serif"/>
        <color rgb="FF22292F"/>
        <sz val="11.0"/>
      </rPr>
      <t>Jaylen Brown</t>
    </r>
  </si>
  <si>
    <t>0.495(9.4/19.0)</t>
  </si>
  <si>
    <t>0.737(3.4/4.6)</t>
  </si>
  <si>
    <r>
      <rPr>
        <rFont val="Montserrat, Helvetica, Arial, serif"/>
        <color rgb="FF22292F"/>
        <sz val="11.0"/>
      </rPr>
      <t>Deandre Ayton</t>
    </r>
  </si>
  <si>
    <t>POR</t>
  </si>
  <si>
    <t>0.571(7.6/13.3)</t>
  </si>
  <si>
    <t>0.778(1.8/2.3)</t>
  </si>
  <si>
    <r>
      <rPr>
        <rFont val="Montserrat, Helvetica, Arial, serif"/>
        <color rgb="FF22292F"/>
        <sz val="11.0"/>
      </rPr>
      <t>Bradley Beal</t>
    </r>
  </si>
  <si>
    <t>MAKE A COPY</t>
  </si>
  <si>
    <t>File -&gt; Make a copy</t>
  </si>
  <si>
    <t>0.509(7.2/14.2)</t>
  </si>
  <si>
    <t>0.821(2.6/3.1)</t>
  </si>
  <si>
    <r>
      <rPr>
        <rFont val="Montserrat, Helvetica, Arial, serif"/>
        <color rgb="FF22292F"/>
        <sz val="11.0"/>
      </rPr>
      <t>D'Angelo Russell</t>
    </r>
  </si>
  <si>
    <t>0.457(6.2/13.5)</t>
  </si>
  <si>
    <t>0.829(2.3/2.8)</t>
  </si>
  <si>
    <r>
      <rPr>
        <rFont val="Montserrat, Helvetica, Arial, serif"/>
        <color rgb="FF22292F"/>
        <sz val="11.0"/>
      </rPr>
      <t>Jalen Duren</t>
    </r>
  </si>
  <si>
    <t>0.628(5.3/8.5)</t>
  </si>
  <si>
    <t>0.781(2.1/2.7)</t>
  </si>
  <si>
    <r>
      <rPr>
        <rFont val="Montserrat, Helvetica, Arial, serif"/>
        <color rgb="FF22292F"/>
        <sz val="11.0"/>
      </rPr>
      <t>Jrue Holiday</t>
    </r>
  </si>
  <si>
    <t>0.477(5.1/10.6)</t>
  </si>
  <si>
    <t>0.847(1.2/1.4)</t>
  </si>
  <si>
    <r>
      <rPr>
        <rFont val="Montserrat, Helvetica, Arial, serif"/>
        <color rgb="FF22292F"/>
        <sz val="11.0"/>
      </rPr>
      <t>Zion Williamson</t>
    </r>
  </si>
  <si>
    <t>0.573(8.8/15.4)</t>
  </si>
  <si>
    <t>0.714(5.0/7.1)</t>
  </si>
  <si>
    <t>Round #</t>
  </si>
  <si>
    <r>
      <rPr>
        <rFont val="Montserrat, Helvetica, Arial, serif"/>
        <color rgb="FF22292F"/>
        <sz val="11.0"/>
      </rPr>
      <t>Pascal Siakam</t>
    </r>
  </si>
  <si>
    <t>0.539(8.1/15.0)</t>
  </si>
  <si>
    <t>0.742(3.8/5.1)</t>
  </si>
  <si>
    <r>
      <rPr>
        <rFont val="Montserrat, Helvetica, Arial, serif"/>
        <color rgb="FF22292F"/>
        <sz val="11.0"/>
      </rPr>
      <t>Zach LaVine</t>
    </r>
  </si>
  <si>
    <t>0.459(7.5/16.3)</t>
  </si>
  <si>
    <t>0.845(4.2/5.0)</t>
  </si>
  <si>
    <r>
      <rPr>
        <rFont val="Montserrat, Helvetica, Arial, serif"/>
        <color rgb="FF22292F"/>
        <sz val="11.0"/>
      </rPr>
      <t>Jordan Poole</t>
    </r>
  </si>
  <si>
    <t>WAS</t>
  </si>
  <si>
    <t>0.422(6.9/16.3)</t>
  </si>
  <si>
    <t>0.871(3.7/4.2)</t>
  </si>
  <si>
    <r>
      <rPr>
        <rFont val="Montserrat, Helvetica, Arial, serif"/>
        <color rgb="FF22292F"/>
        <sz val="11.0"/>
      </rPr>
      <t>Nicolas Claxton</t>
    </r>
  </si>
  <si>
    <t>BKN</t>
  </si>
  <si>
    <t>0.621(5.4/8.7)</t>
  </si>
  <si>
    <t>0.555(1.7/3.0)</t>
  </si>
  <si>
    <r>
      <rPr>
        <rFont val="Montserrat, Helvetica, Arial, serif"/>
        <color rgb="FF22292F"/>
        <sz val="11.0"/>
      </rPr>
      <t>Miles Bridges</t>
    </r>
  </si>
  <si>
    <t>0.462(7.7/16.6)</t>
  </si>
  <si>
    <t>0.824(2.4/2.9)</t>
  </si>
  <si>
    <r>
      <rPr>
        <rFont val="Montserrat, Helvetica, Arial, serif"/>
        <color rgb="FF22292F"/>
        <sz val="11.0"/>
      </rPr>
      <t>Tyler Herro</t>
    </r>
  </si>
  <si>
    <t>0.440(7.4/16.8)</t>
  </si>
  <si>
    <t>0.903(2.4/2.7)</t>
  </si>
  <si>
    <r>
      <rPr>
        <rFont val="Montserrat, Helvetica, Arial, serif"/>
        <color rgb="FF22292F"/>
        <sz val="11.0"/>
      </rPr>
      <t>Trey Murphy III</t>
    </r>
  </si>
  <si>
    <t>0.455(5.0/11.0)</t>
  </si>
  <si>
    <t>0.864(2.3/2.6)</t>
  </si>
  <si>
    <r>
      <rPr>
        <rFont val="Montserrat, Helvetica, Arial, serif"/>
        <color rgb="FF22292F"/>
        <sz val="11.0"/>
      </rPr>
      <t>Isaiah Hartenstein</t>
    </r>
  </si>
  <si>
    <t>0.621(3.6/5.9)</t>
  </si>
  <si>
    <t>0.700(1.3/1.9)</t>
  </si>
  <si>
    <r>
      <rPr>
        <rFont val="Montserrat, Helvetica, Arial, serif"/>
        <color rgb="FF22292F"/>
        <sz val="11.0"/>
      </rPr>
      <t>Walker Kessler</t>
    </r>
  </si>
  <si>
    <t>0.662(4.2/6.3)</t>
  </si>
  <si>
    <t>0.577(1.1/1.9)</t>
  </si>
  <si>
    <r>
      <rPr>
        <rFont val="Montserrat, Helvetica, Arial, serif"/>
        <color rgb="FF22292F"/>
        <sz val="11.0"/>
      </rPr>
      <t>Mikal Bridges</t>
    </r>
  </si>
  <si>
    <t>0.454(5.5/12.0)</t>
  </si>
  <si>
    <t>0.827(2.7/3.2)</t>
  </si>
  <si>
    <r>
      <rPr>
        <rFont val="Montserrat, Helvetica, Arial, serif"/>
        <color rgb="FF22292F"/>
        <sz val="11.0"/>
      </rPr>
      <t>Brandon Ingram</t>
    </r>
  </si>
  <si>
    <t>0.492(7.5/15.3)</t>
  </si>
  <si>
    <t>0.812(3.8/4.7)</t>
  </si>
  <si>
    <r>
      <rPr>
        <rFont val="Montserrat, Helvetica, Arial, serif"/>
        <color rgb="FF22292F"/>
        <sz val="11.0"/>
      </rPr>
      <t>Devin Vassell</t>
    </r>
  </si>
  <si>
    <t>0.460(7.3/15.8)</t>
  </si>
  <si>
    <t>0.801(2.3/2.9)</t>
  </si>
  <si>
    <r>
      <rPr>
        <rFont val="Montserrat, Helvetica, Arial, serif"/>
        <color rgb="FF22292F"/>
        <sz val="11.0"/>
      </rPr>
      <t>Anfernee Simons</t>
    </r>
  </si>
  <si>
    <t>0.440(7.6/17.2)</t>
  </si>
  <si>
    <t>0.905(3.0/3.3)</t>
  </si>
  <si>
    <r>
      <rPr>
        <rFont val="Montserrat, Helvetica, Arial, serif"/>
        <color rgb="FF22292F"/>
        <sz val="11.0"/>
      </rPr>
      <t>Dereck Lively II</t>
    </r>
  </si>
  <si>
    <t>0.738(4.7/6.3)</t>
  </si>
  <si>
    <t>0.535(0.8/1.6)</t>
  </si>
  <si>
    <r>
      <rPr>
        <rFont val="Montserrat, Helvetica, Arial, serif"/>
        <color rgb="FF22292F"/>
        <sz val="11.0"/>
      </rPr>
      <t>Collin Sexton</t>
    </r>
  </si>
  <si>
    <t>0.487(6.9/14.2)</t>
  </si>
  <si>
    <t>0.843(4.5/5.4)</t>
  </si>
  <si>
    <t>PuntV</t>
  </si>
  <si>
    <r>
      <rPr>
        <rFont val="Montserrat, Helvetica, Arial, serif"/>
        <color rgb="FF22292F"/>
        <sz val="11.0"/>
      </rPr>
      <t>Josh Giddey</t>
    </r>
  </si>
  <si>
    <t>0.479(6.7/14.1)</t>
  </si>
  <si>
    <t>0.795(1.5/1.9)</t>
  </si>
  <si>
    <r>
      <rPr>
        <rFont val="Montserrat, Helvetica, Arial, serif"/>
        <color rgb="FF22292F"/>
        <sz val="11.0"/>
      </rPr>
      <t>Mark Williams</t>
    </r>
  </si>
  <si>
    <t>0.641(5.1/8.0)</t>
  </si>
  <si>
    <t>0.704(2.3/3.2)</t>
  </si>
  <si>
    <r>
      <rPr>
        <rFont val="Montserrat, Helvetica, Arial, serif"/>
        <color rgb="FF22292F"/>
        <sz val="11.0"/>
      </rPr>
      <t>Jalen Suggs</t>
    </r>
  </si>
  <si>
    <t>0.465(5.0/10.7)</t>
  </si>
  <si>
    <t>0.758(1.8/2.4)</t>
  </si>
  <si>
    <r>
      <rPr>
        <rFont val="Montserrat, Helvetica, Arial, serif"/>
        <color rgb="FF22292F"/>
        <sz val="11.0"/>
      </rPr>
      <t>Jabari Smith Jr.</t>
    </r>
  </si>
  <si>
    <t>0.463(5.0/10.8)</t>
  </si>
  <si>
    <t>0.824(2.1/2.6)</t>
  </si>
  <si>
    <r>
      <rPr>
        <rFont val="Montserrat, Helvetica, Arial, serif"/>
        <color rgb="FF22292F"/>
        <sz val="11.0"/>
      </rPr>
      <t>Taylor Hendricks</t>
    </r>
  </si>
  <si>
    <t>0.471(4.3/9.0)</t>
  </si>
  <si>
    <t>0.798(0.9/1.1)</t>
  </si>
  <si>
    <r>
      <rPr>
        <rFont val="Montserrat, Helvetica, Arial, serif"/>
        <color rgb="FF22292F"/>
        <sz val="11.0"/>
      </rPr>
      <t>Bogdan Bogdanovic</t>
    </r>
  </si>
  <si>
    <t>Punt+</t>
  </si>
  <si>
    <t>0.434(6.0/13.7)</t>
  </si>
  <si>
    <t>0.889(2.0/2.3)</t>
  </si>
  <si>
    <r>
      <rPr>
        <rFont val="Montserrat, Helvetica, Arial, serif"/>
        <color rgb="FF22292F"/>
        <sz val="11.0"/>
      </rPr>
      <t>Paolo Banchero</t>
    </r>
  </si>
  <si>
    <t>0.462(8.0/17.4)</t>
  </si>
  <si>
    <t>0.731(5.4/7.4)</t>
  </si>
  <si>
    <r>
      <rPr>
        <rFont val="Montserrat, Helvetica, Arial, serif"/>
        <color rgb="FF22292F"/>
        <sz val="11.0"/>
      </rPr>
      <t>Austin Reaves</t>
    </r>
  </si>
  <si>
    <t>0.482(5.2/10.8)</t>
  </si>
  <si>
    <t>0.859(3.4/3.9)</t>
  </si>
  <si>
    <r>
      <rPr>
        <rFont val="Montserrat, Helvetica, Arial, serif"/>
        <color rgb="FF22292F"/>
        <sz val="11.0"/>
      </rPr>
      <t>Keegan Murray</t>
    </r>
  </si>
  <si>
    <t>0.454(5.4/12.0)</t>
  </si>
  <si>
    <t>0.836(1.1/1.3)</t>
  </si>
  <si>
    <r>
      <rPr>
        <rFont val="Montserrat, Helvetica, Arial, serif"/>
        <color rgb="FF22292F"/>
        <sz val="11.0"/>
      </rPr>
      <t>Onyeka Okongwu</t>
    </r>
  </si>
  <si>
    <t>0.617(4.0/6.6)</t>
  </si>
  <si>
    <t>0.785(2.0/2.6)</t>
  </si>
  <si>
    <r>
      <rPr>
        <rFont val="Montserrat, Helvetica, Arial, serif"/>
        <color rgb="FF22292F"/>
        <sz val="11.0"/>
      </rPr>
      <t>OG Anunoby</t>
    </r>
  </si>
  <si>
    <t>0.480(5.8/12.0)</t>
  </si>
  <si>
    <t>0.770(1.3/1.7)</t>
  </si>
  <si>
    <r>
      <rPr>
        <rFont val="Montserrat, Helvetica, Arial, serif"/>
        <color rgb="FF22292F"/>
        <sz val="11.0"/>
      </rPr>
      <t>Coby White</t>
    </r>
  </si>
  <si>
    <t>0.446(6.5/14.6)</t>
  </si>
  <si>
    <t>0.843(2.3/2.7)</t>
  </si>
  <si>
    <r>
      <rPr>
        <rFont val="Montserrat, Helvetica, Arial, serif"/>
        <color rgb="FF22292F"/>
        <sz val="11.0"/>
      </rPr>
      <t>Michael Porter Jr.</t>
    </r>
  </si>
  <si>
    <t>0.485(6.6/13.6)</t>
  </si>
  <si>
    <t>0.818(1.4/1.7)</t>
  </si>
  <si>
    <r>
      <rPr>
        <rFont val="Montserrat, Helvetica, Arial, serif"/>
        <color rgb="FF22292F"/>
        <sz val="11.0"/>
      </rPr>
      <t>Alex Caruso</t>
    </r>
  </si>
  <si>
    <t>0.463(3.1/6.6)</t>
  </si>
  <si>
    <t>0.785(1.1/1.4)</t>
  </si>
  <si>
    <r>
      <rPr>
        <rFont val="Montserrat, Helvetica, Arial, serif"/>
        <color rgb="FF22292F"/>
        <sz val="11.0"/>
      </rPr>
      <t>Herbert Jones</t>
    </r>
  </si>
  <si>
    <t>0.484(3.7/7.7)</t>
  </si>
  <si>
    <t>0.852(1.8/2.2)</t>
  </si>
  <si>
    <r>
      <rPr>
        <rFont val="Montserrat, Helvetica, Arial, serif"/>
        <color rgb="FF22292F"/>
        <sz val="11.0"/>
      </rPr>
      <t>Daniel Gafford</t>
    </r>
  </si>
  <si>
    <t>0.729(4.3/5.9)</t>
  </si>
  <si>
    <t>0.675(1.7/2.5)</t>
  </si>
  <si>
    <r>
      <rPr>
        <rFont val="Montserrat, Helvetica, Arial, serif"/>
        <color rgb="FF22292F"/>
        <sz val="11.0"/>
      </rPr>
      <t>Draymond Green</t>
    </r>
  </si>
  <si>
    <t>0.514(3.3/6.3)</t>
  </si>
  <si>
    <t>0.713(1.0/1.4)</t>
  </si>
  <si>
    <r>
      <rPr>
        <rFont val="Montserrat, Helvetica, Arial, serif"/>
        <color rgb="FF22292F"/>
        <sz val="11.0"/>
      </rPr>
      <t>Jakob Poeltl</t>
    </r>
  </si>
  <si>
    <t>0.640(5.4/8.4)</t>
  </si>
  <si>
    <t>0.575(1.5/2.6)</t>
  </si>
  <si>
    <r>
      <rPr>
        <rFont val="Montserrat, Helvetica, Arial, serif"/>
        <color rgb="FF22292F"/>
        <sz val="11.0"/>
      </rPr>
      <t>Amen Thompson</t>
    </r>
  </si>
  <si>
    <t>0.529(4.8/9.0)</t>
  </si>
  <si>
    <t>0.720(2.2/3.1)</t>
  </si>
  <si>
    <r>
      <rPr>
        <rFont val="Montserrat, Helvetica, Arial, serif"/>
        <color rgb="FF22292F"/>
        <sz val="11.0"/>
      </rPr>
      <t>CJ McCollum</t>
    </r>
  </si>
  <si>
    <t>0.451(6.8/15.0)</t>
  </si>
  <si>
    <t>0.814(1.9/2.3)</t>
  </si>
  <si>
    <r>
      <rPr>
        <rFont val="Montserrat, Helvetica, Arial, serif"/>
        <color rgb="FF22292F"/>
        <sz val="11.0"/>
      </rPr>
      <t>Cam Thomas</t>
    </r>
  </si>
  <si>
    <t>0.440(9.1/20.7)</t>
  </si>
  <si>
    <t>0.861(4.7/5.5)</t>
  </si>
  <si>
    <r>
      <rPr>
        <rFont val="Montserrat, Helvetica, Arial, serif"/>
        <color rgb="FF22292F"/>
        <sz val="11.0"/>
      </rPr>
      <t>Al Horford</t>
    </r>
  </si>
  <si>
    <t>0.493(3.7/7.4)</t>
  </si>
  <si>
    <t>0.791(0.3/0.4)</t>
  </si>
  <si>
    <r>
      <rPr>
        <rFont val="Montserrat, Helvetica, Arial, serif"/>
        <color rgb="FF22292F"/>
        <sz val="11.0"/>
      </rPr>
      <t>Ivica Zubac</t>
    </r>
  </si>
  <si>
    <t>0.642(5.1/7.9)</t>
  </si>
  <si>
    <t>0.709(2.2/3.1)</t>
  </si>
  <si>
    <r>
      <rPr>
        <rFont val="Montserrat, Helvetica, Arial, serif"/>
        <color rgb="FF22292F"/>
        <sz val="11.0"/>
      </rPr>
      <t>Khris Middleton</t>
    </r>
  </si>
  <si>
    <t>0.482(6.2/12.9)</t>
  </si>
  <si>
    <t>0.867(2.3/2.6)</t>
  </si>
  <si>
    <r>
      <rPr>
        <rFont val="Montserrat, Helvetica, Arial, serif"/>
        <color rgb="FF22292F"/>
        <sz val="11.0"/>
      </rPr>
      <t>Mike Conley</t>
    </r>
  </si>
  <si>
    <t>0.442(3.9/8.7)</t>
  </si>
  <si>
    <t>0.885(1.7/1.9)</t>
  </si>
  <si>
    <r>
      <rPr>
        <rFont val="Montserrat, Helvetica, Arial, serif"/>
        <color rgb="FF22292F"/>
        <sz val="11.0"/>
      </rPr>
      <t>Jonas Valanciunas</t>
    </r>
  </si>
  <si>
    <t>0.548(5.7/10.4)</t>
  </si>
  <si>
    <t>0.796(2.3/2.9)</t>
  </si>
  <si>
    <r>
      <rPr>
        <rFont val="Montserrat, Helvetica, Arial, serif"/>
        <color rgb="FF22292F"/>
        <sz val="11.0"/>
      </rPr>
      <t>Brandon Miller</t>
    </r>
  </si>
  <si>
    <t>0.445(6.7/15.1)</t>
  </si>
  <si>
    <t>0.837(2.1/2.5)</t>
  </si>
  <si>
    <r>
      <rPr>
        <rFont val="Montserrat, Helvetica, Arial, serif"/>
        <color rgb="FF22292F"/>
        <sz val="11.0"/>
      </rPr>
      <t>Tyus Jones</t>
    </r>
  </si>
  <si>
    <t>0.476(4.8/10.1)</t>
  </si>
  <si>
    <t>0.802(0.9/1.1)</t>
  </si>
  <si>
    <t xml:space="preserve">BLK </t>
  </si>
  <si>
    <r>
      <rPr>
        <rFont val="Montserrat, Helvetica, Arial, serif"/>
        <color rgb="FF22292F"/>
        <sz val="11.0"/>
      </rPr>
      <t>Brook Lopez</t>
    </r>
  </si>
  <si>
    <t>0.471(4.2/9.0)</t>
  </si>
  <si>
    <t>0.803(1.4/1.8)</t>
  </si>
  <si>
    <r>
      <rPr>
        <rFont val="Montserrat, Helvetica, Arial, serif"/>
        <color rgb="FF22292F"/>
        <sz val="11.0"/>
      </rPr>
      <t>Jerami Grant</t>
    </r>
  </si>
  <si>
    <t>0.463(6.6/14.3)</t>
  </si>
  <si>
    <t>0.814(4.3/5.3)</t>
  </si>
  <si>
    <r>
      <rPr>
        <rFont val="Montserrat, Helvetica, Arial, serif"/>
        <color rgb="FF22292F"/>
        <sz val="11.0"/>
      </rPr>
      <t>Kyle Kuzma</t>
    </r>
  </si>
  <si>
    <t>0.456(8.3/18.1)</t>
  </si>
  <si>
    <t>0.773(2.8/3.6)</t>
  </si>
  <si>
    <r>
      <rPr>
        <rFont val="Montserrat, Helvetica, Arial, serif"/>
        <color rgb="FF22292F"/>
        <sz val="11.0"/>
      </rPr>
      <t>Norman Powell</t>
    </r>
  </si>
  <si>
    <t>0.482(6.5/13.4)</t>
  </si>
  <si>
    <t>0.821(3.3/4.1)</t>
  </si>
  <si>
    <r>
      <rPr>
        <rFont val="Montserrat, Helvetica, Arial, serif"/>
        <color rgb="FF22292F"/>
        <sz val="11.0"/>
      </rPr>
      <t>Clint Capela</t>
    </r>
  </si>
  <si>
    <t>0.597(5.0/8.4)</t>
  </si>
  <si>
    <t>0.631(1.5/2.4)</t>
  </si>
  <si>
    <r>
      <rPr>
        <rFont val="Montserrat, Helvetica, Arial, serif"/>
        <color rgb="FF22292F"/>
        <sz val="11.0"/>
      </rPr>
      <t>Trayce Jackson-Davis</t>
    </r>
  </si>
  <si>
    <t>0.703(5.2/7.4)</t>
  </si>
  <si>
    <t>0.563(1.7/3.0)</t>
  </si>
  <si>
    <r>
      <rPr>
        <rFont val="Montserrat, Helvetica, Arial, serif"/>
        <color rgb="FF22292F"/>
        <sz val="11.0"/>
      </rPr>
      <t>Jalen Green</t>
    </r>
  </si>
  <si>
    <t>0.429(7.0/16.4)</t>
  </si>
  <si>
    <t>0.807(4.0/5.0)</t>
  </si>
  <si>
    <r>
      <rPr>
        <rFont val="Montserrat, Helvetica, Arial, serif"/>
        <color rgb="FF22292F"/>
        <sz val="11.0"/>
      </rPr>
      <t>Naz Reid</t>
    </r>
  </si>
  <si>
    <t>0.472(5.5/11.7)</t>
  </si>
  <si>
    <t>0.735(1.6/2.2)</t>
  </si>
  <si>
    <r>
      <rPr>
        <rFont val="Montserrat, Helvetica, Arial, serif"/>
        <color rgb="FF22292F"/>
        <sz val="11.0"/>
      </rPr>
      <t>Julius Randle</t>
    </r>
  </si>
  <si>
    <t>0.477(7.3/15.3)</t>
  </si>
  <si>
    <t>0.780(4.2/5.4)</t>
  </si>
  <si>
    <r>
      <rPr>
        <rFont val="Montserrat, Helvetica, Arial, serif"/>
        <color rgb="FF22292F"/>
        <sz val="11.0"/>
      </rPr>
      <t>Donte DiVincenzo</t>
    </r>
  </si>
  <si>
    <t>0.444(4.5/10.1)</t>
  </si>
  <si>
    <t>0.786(0.9/1.2)</t>
  </si>
  <si>
    <r>
      <rPr>
        <rFont val="Montserrat, Helvetica, Arial, serif"/>
        <color rgb="FF22292F"/>
        <sz val="11.0"/>
      </rPr>
      <t>John Collins</t>
    </r>
  </si>
  <si>
    <t>0.520(5.3/10.2)</t>
  </si>
  <si>
    <t>0.796(2.0/2.6)</t>
  </si>
  <si>
    <r>
      <rPr>
        <rFont val="Montserrat, Helvetica, Arial, serif"/>
        <color rgb="FF22292F"/>
        <sz val="11.0"/>
      </rPr>
      <t>Chris Paul</t>
    </r>
  </si>
  <si>
    <t>0.441(3.8/8.6)</t>
  </si>
  <si>
    <t>0.831(1.3/1.6)</t>
  </si>
  <si>
    <r>
      <rPr>
        <rFont val="Montserrat, Helvetica, Arial, serif"/>
        <color rgb="FF22292F"/>
        <sz val="11.0"/>
      </rPr>
      <t>Jusuf Nurkic</t>
    </r>
  </si>
  <si>
    <t>0.514(4.7/9.1)</t>
  </si>
  <si>
    <t>0.647(2.4/3.6)</t>
  </si>
  <si>
    <r>
      <rPr>
        <rFont val="Montserrat, Helvetica, Arial, serif"/>
        <color rgb="FF22292F"/>
        <sz val="11.0"/>
      </rPr>
      <t>Cameron Johnson</t>
    </r>
  </si>
  <si>
    <t>Rank</t>
  </si>
  <si>
    <t>Player</t>
  </si>
  <si>
    <t>Pos</t>
  </si>
  <si>
    <t>LeagV</t>
  </si>
  <si>
    <t>0.457(5.2/11.3)</t>
  </si>
  <si>
    <t>0.818(1.9/2.4)</t>
  </si>
  <si>
    <r>
      <rPr>
        <rFont val="Montserrat, Helvetica, Arial, serif"/>
        <color rgb="FF22292F"/>
        <sz val="11.0"/>
      </rPr>
      <t>Terry Rozier</t>
    </r>
  </si>
  <si>
    <t>min 1</t>
  </si>
  <si>
    <t>min 2</t>
  </si>
  <si>
    <t>FGA</t>
  </si>
  <si>
    <t>FTA</t>
  </si>
  <si>
    <t>0.435(6.5/15.0)</t>
  </si>
  <si>
    <t>0.842(2.4/2.9)</t>
  </si>
  <si>
    <r>
      <rPr>
        <rFont val="Montserrat, Helvetica, Arial, serif"/>
        <color rgb="FF22292F"/>
        <sz val="11.0"/>
      </rPr>
      <t>De'Anthony Melton</t>
    </r>
  </si>
  <si>
    <t>0.420(3.5/8.3)</t>
  </si>
  <si>
    <t>0.819(1.1/1.4)</t>
  </si>
  <si>
    <r>
      <rPr>
        <rFont val="Montserrat, Helvetica, Arial, serif"/>
        <color rgb="FF22292F"/>
        <sz val="11.0"/>
      </rPr>
      <t>Keon Ellis</t>
    </r>
  </si>
  <si>
    <t>0.461(2.9/6.2)</t>
  </si>
  <si>
    <t>0.735(0.8/1.0)</t>
  </si>
  <si>
    <r>
      <rPr>
        <rFont val="Montserrat, Helvetica, Arial, serif"/>
        <color rgb="FF22292F"/>
        <sz val="11.0"/>
      </rPr>
      <t>Brandin Podziemski</t>
    </r>
  </si>
  <si>
    <t>0.459(4.4/9.7)</t>
  </si>
  <si>
    <t>0.664(0.9/1.3)</t>
  </si>
  <si>
    <r>
      <rPr>
        <rFont val="Montserrat, Helvetica, Arial, serif"/>
        <color rgb="FF22292F"/>
        <sz val="11.0"/>
      </rPr>
      <t>Dennis Schröder</t>
    </r>
  </si>
  <si>
    <t>0.435(5.2/12.0)</t>
  </si>
  <si>
    <t>0.847(2.9/3.5)</t>
  </si>
  <si>
    <r>
      <rPr>
        <rFont val="Montserrat, Helvetica, Arial, serif"/>
        <color rgb="FF22292F"/>
        <sz val="11.0"/>
      </rPr>
      <t>Jonathan Kuminga</t>
    </r>
  </si>
  <si>
    <t>0.527(6.2/11.7)</t>
  </si>
  <si>
    <t>0.759(2.9/3.8)</t>
  </si>
  <si>
    <r>
      <rPr>
        <rFont val="Montserrat, Helvetica, Arial, serif"/>
        <color rgb="FF22292F"/>
        <sz val="11.0"/>
      </rPr>
      <t>Marcus Smart</t>
    </r>
  </si>
  <si>
    <t>0.420(4.3/10.3)</t>
  </si>
  <si>
    <t>0.751(1.6/2.1)</t>
  </si>
  <si>
    <r>
      <rPr>
        <rFont val="Montserrat, Helvetica, Arial, serif"/>
        <color rgb="FF22292F"/>
        <sz val="11.0"/>
      </rPr>
      <t>Jalen Smith</t>
    </r>
  </si>
  <si>
    <t>0.537(5.0/9.2)</t>
  </si>
  <si>
    <t>0.711(1.7/2.4)</t>
  </si>
  <si>
    <r>
      <rPr>
        <rFont val="Montserrat, Helvetica, Arial, serif"/>
        <color rgb="FF22292F"/>
        <sz val="11.0"/>
      </rPr>
      <t>Corey Kispert</t>
    </r>
  </si>
  <si>
    <t>0.484(5.4/11.1)</t>
  </si>
  <si>
    <t>0.821(1.7/2.0)</t>
  </si>
  <si>
    <r>
      <rPr>
        <rFont val="Montserrat, Helvetica, Arial, serif"/>
        <color rgb="FF22292F"/>
        <sz val="11.0"/>
      </rPr>
      <t>Buddy Hield</t>
    </r>
  </si>
  <si>
    <t>0.445(4.8/10.7)</t>
  </si>
  <si>
    <t>0.835(0.9/1.1)</t>
  </si>
  <si>
    <r>
      <rPr>
        <rFont val="Montserrat, Helvetica, Arial, serif"/>
        <color rgb="FF22292F"/>
        <sz val="11.0"/>
      </rPr>
      <t>Klay Thompson</t>
    </r>
  </si>
  <si>
    <t>0.434(6.2/14.3)</t>
  </si>
  <si>
    <t>0.901(1.5/1.6)</t>
  </si>
  <si>
    <r>
      <rPr>
        <rFont val="Montserrat, Helvetica, Arial, serif"/>
        <color rgb="FF22292F"/>
        <sz val="11.0"/>
      </rPr>
      <t>Grayson Allen</t>
    </r>
  </si>
  <si>
    <t>0.485(3.9/8.0)</t>
  </si>
  <si>
    <t>0.893(1.5/1.7)</t>
  </si>
  <si>
    <r>
      <rPr>
        <rFont val="Montserrat, Helvetica, Arial, serif"/>
        <color rgb="FF22292F"/>
        <sz val="11.0"/>
      </rPr>
      <t>Terance Mann</t>
    </r>
  </si>
  <si>
    <t>0.513(5.0/9.8)</t>
  </si>
  <si>
    <t>0.806(1.5/1.9)</t>
  </si>
  <si>
    <r>
      <rPr>
        <rFont val="Montserrat, Helvetica, Arial, serif"/>
        <color rgb="FF22292F"/>
        <sz val="11.0"/>
      </rPr>
      <t>Bobby Portis</t>
    </r>
  </si>
  <si>
    <t>0.502(5.8/11.5)</t>
  </si>
  <si>
    <t>0.777(1.3/1.7)</t>
  </si>
  <si>
    <r>
      <rPr>
        <rFont val="Montserrat, Helvetica, Arial, serif"/>
        <color rgb="FF22292F"/>
        <sz val="11.0"/>
      </rPr>
      <t>Keyonte George</t>
    </r>
  </si>
  <si>
    <t>0.422(5.4/12.9)</t>
  </si>
  <si>
    <t>0.851(3.0/3.5)</t>
  </si>
  <si>
    <r>
      <rPr>
        <rFont val="Montserrat, Helvetica, Arial, serif"/>
        <color rgb="FF22292F"/>
        <sz val="11.0"/>
      </rPr>
      <t>Kentavious Caldwell-Pope</t>
    </r>
  </si>
  <si>
    <t>0.461(3.6/7.8)</t>
  </si>
  <si>
    <t>0.861(1.3/1.5)</t>
  </si>
  <si>
    <r>
      <rPr>
        <rFont val="Montserrat, Helvetica, Arial, serif"/>
        <color rgb="FF22292F"/>
        <sz val="11.0"/>
      </rPr>
      <t>Alexandre Sarr</t>
    </r>
  </si>
  <si>
    <t>0.448(4.5/10.0)</t>
  </si>
  <si>
    <t>0.711(2.4/3.4)</t>
  </si>
  <si>
    <r>
      <rPr>
        <rFont val="Montserrat, Helvetica, Arial, serif"/>
        <color rgb="FF22292F"/>
        <sz val="11.0"/>
      </rPr>
      <t>Jaden Ivey</t>
    </r>
  </si>
  <si>
    <t>0.435(6.4/14.8)</t>
  </si>
  <si>
    <t>0.759(3.3/4.4)</t>
  </si>
  <si>
    <r>
      <rPr>
        <rFont val="Montserrat, Helvetica, Arial, serif"/>
        <color rgb="FF22292F"/>
        <sz val="11.0"/>
      </rPr>
      <t>RJ Barrett</t>
    </r>
  </si>
  <si>
    <t>Input Draft Picks</t>
  </si>
  <si>
    <t>0.482(7.9/16.3)</t>
  </si>
  <si>
    <t>0.726(3.9/5.4)</t>
  </si>
  <si>
    <r>
      <rPr>
        <rFont val="Montserrat, Helvetica, Arial, serif"/>
        <color rgb="FF22292F"/>
        <sz val="11.0"/>
      </rPr>
      <t>P.J. Washington</t>
    </r>
  </si>
  <si>
    <t>0.431(4.5/10.5)</t>
  </si>
  <si>
    <t>0.706(1.5/2.1)</t>
  </si>
  <si>
    <r>
      <rPr>
        <rFont val="Montserrat, Helvetica, Arial, serif"/>
        <color rgb="FF22292F"/>
        <sz val="11.0"/>
      </rPr>
      <t>Malik Monk</t>
    </r>
  </si>
  <si>
    <t>0.446(5.1/11.4)</t>
  </si>
  <si>
    <t>0.860(2.4/2.8)</t>
  </si>
  <si>
    <r>
      <rPr>
        <rFont val="Montserrat, Helvetica, Arial, serif"/>
        <color rgb="FF22292F"/>
        <sz val="11.0"/>
      </rPr>
      <t>Luguentz Dort</t>
    </r>
  </si>
  <si>
    <t>0.433(4.2/9.7)</t>
  </si>
  <si>
    <t>0.824(1.7/2.1)</t>
  </si>
  <si>
    <r>
      <rPr>
        <rFont val="Montserrat, Helvetica, Arial, serif"/>
        <color rgb="FF22292F"/>
        <sz val="11.0"/>
      </rPr>
      <t>Ausar Thompson</t>
    </r>
  </si>
  <si>
    <t>0.493(4.4/9.0)</t>
  </si>
  <si>
    <t>0.624(1.3/2.1)</t>
  </si>
  <si>
    <r>
      <rPr>
        <rFont val="Montserrat, Helvetica, Arial, serif"/>
        <color rgb="FF22292F"/>
        <sz val="11.0"/>
      </rPr>
      <t>Rui Hachimura</t>
    </r>
  </si>
  <si>
    <t>0.514(5.8/11.3)</t>
  </si>
  <si>
    <t>0.740(1.7/2.3)</t>
  </si>
  <si>
    <r>
      <rPr>
        <rFont val="Montserrat, Helvetica, Arial, serif"/>
        <color rgb="FF22292F"/>
        <sz val="11.0"/>
      </rPr>
      <t>Josh Hart</t>
    </r>
  </si>
  <si>
    <t>0.457(3.4/7.5)</t>
  </si>
  <si>
    <t>0.765(1.4/1.8)</t>
  </si>
  <si>
    <r>
      <rPr>
        <rFont val="Montserrat, Helvetica, Arial, serif"/>
        <color rgb="FF22292F"/>
        <sz val="11.0"/>
      </rPr>
      <t>Wendell Carter Jr.</t>
    </r>
  </si>
  <si>
    <t>0.525(4.8/9.2)</t>
  </si>
  <si>
    <t>0.722(2.1/2.9)</t>
  </si>
  <si>
    <r>
      <rPr>
        <rFont val="Montserrat, Helvetica, Arial, serif"/>
        <color rgb="FF22292F"/>
        <sz val="11.0"/>
      </rPr>
      <t>Jeremy Sochan</t>
    </r>
  </si>
  <si>
    <t>0.444(4.9/11.0)</t>
  </si>
  <si>
    <t>0.770(1.7/2.2)</t>
  </si>
  <si>
    <r>
      <rPr>
        <rFont val="Montserrat, Helvetica, Arial, serif"/>
        <color rgb="FF22292F"/>
        <sz val="11.0"/>
      </rPr>
      <t>Aaron Nesmith</t>
    </r>
  </si>
  <si>
    <t>0.477(4.2/8.8)</t>
  </si>
  <si>
    <t>0.796(1.6/2.0)</t>
  </si>
  <si>
    <r>
      <rPr>
        <rFont val="Montserrat, Helvetica, Arial, serif"/>
        <color rgb="FF22292F"/>
        <sz val="11.0"/>
      </rPr>
      <t>Brandon Clarke</t>
    </r>
  </si>
  <si>
    <t>0.642(4.8/7.4)</t>
  </si>
  <si>
    <t>0.695(1.8/2.6)</t>
  </si>
  <si>
    <r>
      <rPr>
        <rFont val="Montserrat, Helvetica, Arial, serif"/>
        <color rgb="FF22292F"/>
        <sz val="11.0"/>
      </rPr>
      <t>Marvin Bagley III</t>
    </r>
  </si>
  <si>
    <t>0.558(5.5/9.8)</t>
  </si>
  <si>
    <t>0.755(2.2/2.9)</t>
  </si>
  <si>
    <r>
      <rPr>
        <rFont val="Montserrat, Helvetica, Arial, serif"/>
        <color rgb="FF22292F"/>
        <sz val="11.0"/>
      </rPr>
      <t>Kelly Olynyk</t>
    </r>
  </si>
  <si>
    <t>0.526(3.3/6.3)</t>
  </si>
  <si>
    <t>0.834(2.0/2.4)</t>
  </si>
  <si>
    <r>
      <rPr>
        <rFont val="Montserrat, Helvetica, Arial, serif"/>
        <color rgb="FF22292F"/>
        <sz val="11.0"/>
      </rPr>
      <t>Bilal Coulibaly</t>
    </r>
  </si>
  <si>
    <t>0.441(4.0/9.0)</t>
  </si>
  <si>
    <t>0.706(1.9/2.7)</t>
  </si>
  <si>
    <r>
      <rPr>
        <rFont val="Montserrat, Helvetica, Arial, serif"/>
        <color rgb="FF22292F"/>
        <sz val="11.0"/>
      </rPr>
      <t>Kevin Porter Jr.</t>
    </r>
  </si>
  <si>
    <t>0.442(4.9/11.1)</t>
  </si>
  <si>
    <t>0.785(2.6/3.3)</t>
  </si>
  <si>
    <r>
      <rPr>
        <rFont val="Montserrat, Helvetica, Arial, serif"/>
        <color rgb="FF22292F"/>
        <sz val="11.0"/>
      </rPr>
      <t>Bruce Brown</t>
    </r>
  </si>
  <si>
    <t>0.481(4.4/9.2)</t>
  </si>
  <si>
    <t>0.790(1.6/2.1)</t>
  </si>
  <si>
    <r>
      <rPr>
        <rFont val="Montserrat, Helvetica, Arial, serif"/>
        <color rgb="FF22292F"/>
        <sz val="11.0"/>
      </rPr>
      <t>Kelly Oubre Jr.</t>
    </r>
  </si>
  <si>
    <t>0.435(6.1/14.1)</t>
  </si>
  <si>
    <t>0.760(2.6/3.4)</t>
  </si>
  <si>
    <r>
      <rPr>
        <rFont val="Montserrat, Helvetica, Arial, serif"/>
        <color rgb="FF22292F"/>
        <sz val="11.0"/>
      </rPr>
      <t>Nick Richards</t>
    </r>
  </si>
  <si>
    <t>0.656(3.8/5.8)</t>
  </si>
  <si>
    <t>0.743(2.3/3.0)</t>
  </si>
  <si>
    <r>
      <rPr>
        <rFont val="Montserrat, Helvetica, Arial, serif"/>
        <color rgb="FF22292F"/>
        <sz val="11.0"/>
      </rPr>
      <t>Noah Clowney</t>
    </r>
  </si>
  <si>
    <t>SF,PF,C</t>
  </si>
  <si>
    <t>0.552(3.7/6.6)</t>
  </si>
  <si>
    <t>0.728(1.6/2.1)</t>
  </si>
  <si>
    <r>
      <rPr>
        <rFont val="Montserrat, Helvetica, Arial, serif"/>
        <color rgb="FF22292F"/>
        <sz val="11.0"/>
      </rPr>
      <t>Mitchell Robinson</t>
    </r>
  </si>
  <si>
    <t>0.640(2.9/4.5)</t>
  </si>
  <si>
    <t>0.459(1.0/2.1)</t>
  </si>
  <si>
    <r>
      <rPr>
        <rFont val="Montserrat, Helvetica, Arial, serif"/>
        <color rgb="FF22292F"/>
        <sz val="11.0"/>
      </rPr>
      <t>Donovan Clingan</t>
    </r>
  </si>
  <si>
    <t>0.639(4.1/6.4)</t>
  </si>
  <si>
    <t>0.608(1.8/2.9)</t>
  </si>
  <si>
    <r>
      <rPr>
        <rFont val="Montserrat, Helvetica, Arial, serif"/>
        <color rgb="FF22292F"/>
        <sz val="11.0"/>
      </rPr>
      <t>Tari Eason</t>
    </r>
  </si>
  <si>
    <t>0.457(3.9/8.5)</t>
  </si>
  <si>
    <t>0.732(1.3/1.8)</t>
  </si>
  <si>
    <r>
      <rPr>
        <rFont val="Montserrat, Helvetica, Arial, serif"/>
        <color rgb="FF22292F"/>
        <sz val="11.0"/>
      </rPr>
      <t>Aaron Gordon</t>
    </r>
  </si>
  <si>
    <t>0.560(6.0/10.6)</t>
  </si>
  <si>
    <t>0.632(2.7/4.2)</t>
  </si>
  <si>
    <r>
      <rPr>
        <rFont val="Montserrat, Helvetica, Arial, serif"/>
        <color rgb="FF22292F"/>
        <sz val="11.0"/>
      </rPr>
      <t>Tre Jones</t>
    </r>
  </si>
  <si>
    <t>0.479(3.9/8.0)</t>
  </si>
  <si>
    <t>0.861(1.5/1.7)</t>
  </si>
  <si>
    <r>
      <rPr>
        <rFont val="Montserrat, Helvetica, Arial, serif"/>
        <color rgb="FF22292F"/>
        <sz val="11.0"/>
      </rPr>
      <t>Zach Edey</t>
    </r>
  </si>
  <si>
    <t>0.575(4.2/7.3)</t>
  </si>
  <si>
    <t>0.729(1.8/2.5)</t>
  </si>
  <si>
    <r>
      <rPr>
        <rFont val="Montserrat, Helvetica, Arial, serif"/>
        <color rgb="FF22292F"/>
        <sz val="11.0"/>
      </rPr>
      <t>Scoot Henderson</t>
    </r>
  </si>
  <si>
    <t>0.409(5.6/13.8)</t>
  </si>
  <si>
    <t>0.821(2.9/3.5)</t>
  </si>
  <si>
    <r>
      <rPr>
        <rFont val="Montserrat, Helvetica, Arial, serif"/>
        <color rgb="FF22292F"/>
        <sz val="11.0"/>
      </rPr>
      <t>Kyle Lowry</t>
    </r>
  </si>
  <si>
    <t>0.417(3.0/7.1)</t>
  </si>
  <si>
    <t>0.855(1.5/1.7)</t>
  </si>
  <si>
    <r>
      <rPr>
        <rFont val="Montserrat, Helvetica, Arial, serif"/>
        <color rgb="FF22292F"/>
        <sz val="11.0"/>
      </rPr>
      <t>Dyson Daniels</t>
    </r>
  </si>
  <si>
    <t>0.453(2.8/6.1)</t>
  </si>
  <si>
    <t>0.651(0.7/1.1)</t>
  </si>
  <si>
    <r>
      <rPr>
        <rFont val="Montserrat, Helvetica, Arial, serif"/>
        <color rgb="FF22292F"/>
        <sz val="11.0"/>
      </rPr>
      <t>Andrew Nembhard</t>
    </r>
  </si>
  <si>
    <t>0.477(4.4/9.2)</t>
  </si>
  <si>
    <t>0.800(0.8/1.0)</t>
  </si>
  <si>
    <r>
      <rPr>
        <rFont val="Montserrat, Helvetica, Arial, serif"/>
        <color rgb="FF22292F"/>
        <sz val="11.0"/>
      </rPr>
      <t>Jaden McDaniels</t>
    </r>
  </si>
  <si>
    <t>0.504(4.5/9.0)</t>
  </si>
  <si>
    <t>0.732(1.1/1.5)</t>
  </si>
  <si>
    <r>
      <rPr>
        <rFont val="Montserrat, Helvetica, Arial, serif"/>
        <color rgb="FF22292F"/>
        <sz val="11.0"/>
      </rPr>
      <t>Patrick Williams</t>
    </r>
  </si>
  <si>
    <t>0.829(1.2/1.4)</t>
  </si>
  <si>
    <t>Current Pick #1</t>
  </si>
  <si>
    <r>
      <rPr>
        <rFont val="Montserrat, Helvetica, Arial, serif"/>
        <color rgb="FF22292F"/>
        <sz val="11.0"/>
      </rPr>
      <t>Karlo Matkovic</t>
    </r>
  </si>
  <si>
    <t>0.488(3.6/7.4)</t>
  </si>
  <si>
    <t>0.751(1.4/1.9)</t>
  </si>
  <si>
    <r>
      <rPr>
        <rFont val="Montserrat, Helvetica, Arial, serif"/>
        <color rgb="FF22292F"/>
        <sz val="11.0"/>
      </rPr>
      <t>Max Strus</t>
    </r>
  </si>
  <si>
    <t>0.414(4.2/10.0)</t>
  </si>
  <si>
    <t>0.829(1.0/1.2)</t>
  </si>
  <si>
    <r>
      <rPr>
        <rFont val="Montserrat, Helvetica, Arial, serif"/>
        <color rgb="FF22292F"/>
        <sz val="11.0"/>
      </rPr>
      <t>T.J. McConnell</t>
    </r>
  </si>
  <si>
    <t>0.550(4.1/7.4)</t>
  </si>
  <si>
    <t>0.816(0.7/0.9)</t>
  </si>
  <si>
    <r>
      <rPr>
        <rFont val="Montserrat, Helvetica, Arial, serif"/>
        <color rgb="FF22292F"/>
        <sz val="11.0"/>
      </rPr>
      <t>Miles McBride</t>
    </r>
  </si>
  <si>
    <t>0.446(3.9/8.7)</t>
  </si>
  <si>
    <t>0.845(1.0/1.2)</t>
  </si>
  <si>
    <r>
      <rPr>
        <rFont val="Montserrat, Helvetica, Arial, serif"/>
        <color rgb="FF22292F"/>
        <sz val="11.0"/>
      </rPr>
      <t>Deni Avdija</t>
    </r>
  </si>
  <si>
    <t>0.477(4.4/9.1)</t>
  </si>
  <si>
    <t>0.738(2.1/2.9)</t>
  </si>
  <si>
    <r>
      <rPr>
        <rFont val="Montserrat, Helvetica, Arial, serif"/>
        <color rgb="FF22292F"/>
        <sz val="11.0"/>
      </rPr>
      <t>Shaedon Sharpe</t>
    </r>
  </si>
  <si>
    <t>0.434(5.6/12.9)</t>
  </si>
  <si>
    <t>0.812(2.8/3.5)</t>
  </si>
  <si>
    <r>
      <rPr>
        <rFont val="Montserrat, Helvetica, Arial, serif"/>
        <color rgb="FF22292F"/>
        <sz val="11.0"/>
      </rPr>
      <t>Ben Simmons</t>
    </r>
  </si>
  <si>
    <t>0.569(3.0/5.3)</t>
  </si>
  <si>
    <t>0.427(0.5/1.2)</t>
  </si>
  <si>
    <r>
      <rPr>
        <rFont val="Montserrat, Helvetica, Arial, serif"/>
        <color rgb="FF22292F"/>
        <sz val="11.0"/>
      </rPr>
      <t>Jonathan Isaac</t>
    </r>
  </si>
  <si>
    <t>0.496(2.8/5.7)</t>
  </si>
  <si>
    <t>0.704(1.1/1.5)</t>
  </si>
  <si>
    <r>
      <rPr>
        <rFont val="Montserrat, Helvetica, Arial, serif"/>
        <color rgb="FF22292F"/>
        <sz val="11.0"/>
      </rPr>
      <t>Jaime Jaquez Jr.</t>
    </r>
  </si>
  <si>
    <t>0.489(4.6/9.3)</t>
  </si>
  <si>
    <t>0.812(1.9/2.3)</t>
  </si>
  <si>
    <r>
      <rPr>
        <rFont val="Montserrat, Helvetica, Arial, serif"/>
        <color rgb="FF22292F"/>
        <sz val="11.0"/>
      </rPr>
      <t>Kevin Huerter</t>
    </r>
  </si>
  <si>
    <t>0.468(4.5/9.5)</t>
  </si>
  <si>
    <t>0.750(0.9/1.2)</t>
  </si>
  <si>
    <r>
      <rPr>
        <rFont val="Montserrat, Helvetica, Arial, serif"/>
        <color rgb="FF22292F"/>
        <sz val="11.0"/>
      </rPr>
      <t>Lonzo Ball</t>
    </r>
  </si>
  <si>
    <t>0.423(2.7/6.4)</t>
  </si>
  <si>
    <t>0.761(0.4/0.5)</t>
  </si>
  <si>
    <r>
      <rPr>
        <rFont val="Montserrat, Helvetica, Arial, serif"/>
        <color rgb="FF22292F"/>
        <sz val="11.0"/>
      </rPr>
      <t>Vince Williams Jr.</t>
    </r>
  </si>
  <si>
    <t>PG,SG,SF</t>
  </si>
  <si>
    <t>0.454(3.0/6.6)</t>
  </si>
  <si>
    <t>0.803(1.7/2.1)</t>
  </si>
  <si>
    <r>
      <rPr>
        <rFont val="Montserrat, Helvetica, Arial, serif"/>
        <color rgb="FF22292F"/>
        <sz val="11.0"/>
      </rPr>
      <t>Gary Trent Jr.</t>
    </r>
  </si>
  <si>
    <t>0.429(5.3/12.3)</t>
  </si>
  <si>
    <t>0.792(1.6/2.1)</t>
  </si>
  <si>
    <r>
      <rPr>
        <rFont val="Montserrat, Helvetica, Arial, serif"/>
        <color rgb="FF22292F"/>
        <sz val="11.0"/>
      </rPr>
      <t>Keldon Johnson</t>
    </r>
  </si>
  <si>
    <t>0.453(6.1/13.4)</t>
  </si>
  <si>
    <t>0.798(2.8/3.6)</t>
  </si>
  <si>
    <r>
      <rPr>
        <rFont val="Montserrat, Helvetica, Arial, serif"/>
        <color rgb="FF22292F"/>
        <sz val="11.0"/>
      </rPr>
      <t>Christian Braun</t>
    </r>
  </si>
  <si>
    <t>Your Next Pick #</t>
  </si>
  <si>
    <t>0.468(4.1/8.8)</t>
  </si>
  <si>
    <t>0.731(1.6/2.2)</t>
  </si>
  <si>
    <r>
      <rPr>
        <rFont val="Montserrat, Helvetica, Arial, serif"/>
        <color rgb="FF22292F"/>
        <sz val="11.0"/>
      </rPr>
      <t>Zaccharie Risacher</t>
    </r>
  </si>
  <si>
    <t>0.452(5.1/11.2)</t>
  </si>
  <si>
    <t>0.740(2.1/2.8)</t>
  </si>
  <si>
    <r>
      <rPr>
        <rFont val="Montserrat, Helvetica, Arial, serif"/>
        <color rgb="FF22292F"/>
        <sz val="11.0"/>
      </rPr>
      <t>Jordan Clarkson</t>
    </r>
  </si>
  <si>
    <t>0.431(6.3/14.5)</t>
  </si>
  <si>
    <t>0.846(3.0/3.5)</t>
  </si>
  <si>
    <r>
      <rPr>
        <rFont val="Montserrat, Helvetica, Arial, serif"/>
        <color rgb="FF22292F"/>
        <sz val="11.0"/>
      </rPr>
      <t>Luke Kennard</t>
    </r>
  </si>
  <si>
    <t>0.472(3.7/7.7)</t>
  </si>
  <si>
    <t>0.914(0.9/0.9)</t>
  </si>
  <si>
    <r>
      <rPr>
        <rFont val="Montserrat, Helvetica, Arial, serif"/>
        <color rgb="FF22292F"/>
        <sz val="11.0"/>
      </rPr>
      <t>Andre Drummond</t>
    </r>
  </si>
  <si>
    <t>0.574(4.0/6.9)</t>
  </si>
  <si>
    <t>0.604(1.8/3.0)</t>
  </si>
  <si>
    <r>
      <rPr>
        <rFont val="Montserrat, Helvetica, Arial, serif"/>
        <color rgb="FF22292F"/>
        <sz val="11.0"/>
      </rPr>
      <t>Cole Anthony</t>
    </r>
  </si>
  <si>
    <t>0.444(4.0/9.0)</t>
  </si>
  <si>
    <t>0.855(2.2/2.6)</t>
  </si>
  <si>
    <r>
      <rPr>
        <rFont val="Montserrat, Helvetica, Arial, serif"/>
        <color rgb="FF22292F"/>
        <sz val="11.0"/>
      </rPr>
      <t>Reed Sheppard</t>
    </r>
  </si>
  <si>
    <t>0.472(2.2/4.8)</t>
  </si>
  <si>
    <t>0.835(0.9/1.0)</t>
  </si>
  <si>
    <r>
      <rPr>
        <rFont val="Montserrat, Helvetica, Arial, serif"/>
        <color rgb="FF22292F"/>
        <sz val="11.0"/>
      </rPr>
      <t>Andrew Wiggins</t>
    </r>
  </si>
  <si>
    <t>0.461(5.6/12.1)</t>
  </si>
  <si>
    <r>
      <rPr>
        <rFont val="Montserrat, Helvetica, Arial, serif"/>
        <color rgb="FF22292F"/>
        <sz val="11.0"/>
      </rPr>
      <t>Jarred Vanderbilt</t>
    </r>
  </si>
  <si>
    <t>0.542(3.0/5.6)</t>
  </si>
  <si>
    <t>0.688(1.2/1.7)</t>
  </si>
  <si>
    <r>
      <rPr>
        <rFont val="Montserrat, Helvetica, Arial, serif"/>
        <color rgb="FF22292F"/>
        <sz val="11.0"/>
      </rPr>
      <t>Caleb Martin</t>
    </r>
  </si>
  <si>
    <t>0.447(3.9/8.8)</t>
  </si>
  <si>
    <t>0.796(1.3/1.7)</t>
  </si>
  <si>
    <r>
      <rPr>
        <rFont val="Montserrat, Helvetica, Arial, serif"/>
        <color rgb="FF22292F"/>
        <sz val="11.0"/>
      </rPr>
      <t>Russell Westbrook</t>
    </r>
  </si>
  <si>
    <t>0.444(5.7/12.8)</t>
  </si>
  <si>
    <t>0.668(2.5/3.7)</t>
  </si>
  <si>
    <r>
      <rPr>
        <rFont val="Montserrat, Helvetica, Arial, serif"/>
        <color rgb="FF22292F"/>
        <sz val="11.0"/>
      </rPr>
      <t>Malcolm Brogdon</t>
    </r>
  </si>
  <si>
    <t>0.466(4.3/9.2)</t>
  </si>
  <si>
    <t>0.849(1.9/2.3)</t>
  </si>
  <si>
    <r>
      <rPr>
        <rFont val="Montserrat, Helvetica, Arial, serif"/>
        <color rgb="FF22292F"/>
        <sz val="11.0"/>
      </rPr>
      <t>Caris LeVert</t>
    </r>
  </si>
  <si>
    <t>0.426(4.4/10.3)</t>
  </si>
  <si>
    <t>0.746(1.9/2.5)</t>
  </si>
  <si>
    <r>
      <rPr>
        <rFont val="Montserrat, Helvetica, Arial, serif"/>
        <color rgb="FF22292F"/>
        <sz val="11.0"/>
      </rPr>
      <t>Duncan Robinson</t>
    </r>
  </si>
  <si>
    <t>0.447(4.4/9.8)</t>
  </si>
  <si>
    <t>0.889(1.1/1.3)</t>
  </si>
  <si>
    <r>
      <rPr>
        <rFont val="Montserrat, Helvetica, Arial, serif"/>
        <color rgb="FF22292F"/>
        <sz val="11.0"/>
      </rPr>
      <t>Nikola Jovic</t>
    </r>
  </si>
  <si>
    <t>0.443(3.7/8.4)</t>
  </si>
  <si>
    <t>0.766(1.2/1.6)</t>
  </si>
  <si>
    <r>
      <rPr>
        <rFont val="Montserrat, Helvetica, Arial, serif"/>
        <color rgb="FF22292F"/>
        <sz val="11.0"/>
      </rPr>
      <t>Josh Richardson</t>
    </r>
  </si>
  <si>
    <t>Player Name</t>
  </si>
  <si>
    <t>0.436(3.8/8.7)</t>
  </si>
  <si>
    <t>0.885(1.2/1.3)</t>
  </si>
  <si>
    <r>
      <rPr>
        <rFont val="Montserrat, Helvetica, Arial, serif"/>
        <color rgb="FF22292F"/>
        <sz val="11.0"/>
      </rPr>
      <t>Kris Dunn</t>
    </r>
  </si>
  <si>
    <t>0.498(2.9/5.9)</t>
  </si>
  <si>
    <t>0.734(0.7/0.9)</t>
  </si>
  <si>
    <r>
      <rPr>
        <rFont val="Montserrat, Helvetica, Arial, serif"/>
        <color rgb="FF22292F"/>
        <sz val="11.0"/>
      </rPr>
      <t>Ayo Dosunmu</t>
    </r>
  </si>
  <si>
    <t>0.498(4.1/8.2)</t>
  </si>
  <si>
    <t>0.814(1.0/1.2)</t>
  </si>
  <si>
    <r>
      <rPr>
        <rFont val="Montserrat, Helvetica, Arial, serif"/>
        <color rgb="FF22292F"/>
        <sz val="11.0"/>
      </rPr>
      <t>Bennedict Mathurin</t>
    </r>
  </si>
  <si>
    <t>0.443(5.5/12.5)</t>
  </si>
  <si>
    <t>0.826(4.4/5.3)</t>
  </si>
  <si>
    <r>
      <rPr>
        <rFont val="Montserrat, Helvetica, Arial, serif"/>
        <color rgb="FF22292F"/>
        <sz val="11.0"/>
      </rPr>
      <t>Josh Green</t>
    </r>
  </si>
  <si>
    <t>0.472(4.2/8.9)</t>
  </si>
  <si>
    <t>0.709(1.1/1.5)</t>
  </si>
  <si>
    <r>
      <rPr>
        <rFont val="Montserrat, Helvetica, Arial, serif"/>
        <color rgb="FF22292F"/>
        <sz val="11.0"/>
      </rPr>
      <t>Peyton Watson</t>
    </r>
  </si>
  <si>
    <t>0.467(3.7/7.9)</t>
  </si>
  <si>
    <t>0.650(1.3/2.0)</t>
  </si>
  <si>
    <r>
      <rPr>
        <rFont val="Montserrat, Helvetica, Arial, serif"/>
        <color rgb="FF22292F"/>
        <sz val="11.0"/>
      </rPr>
      <t>Daniel Theis</t>
    </r>
  </si>
  <si>
    <t>0.524(3.5/6.7)</t>
  </si>
  <si>
    <t>0.762(0.9/1.2)</t>
  </si>
  <si>
    <r>
      <rPr>
        <rFont val="Montserrat, Helvetica, Arial, serif"/>
        <color rgb="FF22292F"/>
        <sz val="11.0"/>
      </rPr>
      <t>Nickeil Alexander-Walker</t>
    </r>
  </si>
  <si>
    <t>0.441(3.4/7.7)</t>
  </si>
  <si>
    <t>0.733(0.9/1.2)</t>
  </si>
  <si>
    <r>
      <rPr>
        <rFont val="Montserrat, Helvetica, Arial, serif"/>
        <color rgb="FF22292F"/>
        <sz val="11.0"/>
      </rPr>
      <t>Isaiah Jackson</t>
    </r>
  </si>
  <si>
    <t>0.607(3.1/5.1)</t>
  </si>
  <si>
    <t>0.675(1.5/2.3)</t>
  </si>
  <si>
    <r>
      <rPr>
        <rFont val="Montserrat, Helvetica, Arial, serif"/>
        <color rgb="FF22292F"/>
        <sz val="11.0"/>
      </rPr>
      <t>Sam Hauser</t>
    </r>
  </si>
  <si>
    <t>0.450(3.4/7.5)</t>
  </si>
  <si>
    <t>0.821(0.2/0.3)</t>
  </si>
  <si>
    <r>
      <rPr>
        <rFont val="Montserrat, Helvetica, Arial, serif"/>
        <color rgb="FF22292F"/>
        <sz val="11.0"/>
      </rPr>
      <t>Eric Gordon</t>
    </r>
  </si>
  <si>
    <t>-1 Cat</t>
  </si>
  <si>
    <t>0.444(4.1/9.2)</t>
  </si>
  <si>
    <t>-2 Cat</t>
  </si>
  <si>
    <t>0.813(1.4/1.7)</t>
  </si>
  <si>
    <r>
      <rPr>
        <rFont val="Montserrat, Helvetica, Arial, serif"/>
        <color rgb="FF22292F"/>
        <sz val="11.0"/>
      </rPr>
      <t>De'Andre Hunter</t>
    </r>
  </si>
  <si>
    <t>Sort by</t>
  </si>
  <si>
    <t>0.460(5.1/11.0)</t>
  </si>
  <si>
    <t>0.836(2.5/3.0)</t>
  </si>
  <si>
    <t>Remove Drafted</t>
  </si>
  <si>
    <r>
      <rPr>
        <rFont val="Montserrat, Helvetica, Arial, serif"/>
        <color rgb="FF22292F"/>
        <sz val="11.0"/>
      </rPr>
      <t>Cason Wallace</t>
    </r>
  </si>
  <si>
    <t>Top</t>
  </si>
  <si>
    <t>Projections</t>
  </si>
  <si>
    <t>0.491(2.9/5.8)</t>
  </si>
  <si>
    <t>0.776(0.4/0.5)</t>
  </si>
  <si>
    <r>
      <rPr>
        <rFont val="Montserrat, Helvetica, Arial, serif"/>
        <color rgb="FF22292F"/>
        <sz val="11.0"/>
      </rPr>
      <t>Nicolas Batum</t>
    </r>
  </si>
  <si>
    <t>0.432(2.1/4.9)</t>
  </si>
  <si>
    <t>0.717(0.4/0.5)</t>
  </si>
  <si>
    <r>
      <rPr>
        <rFont val="Montserrat, Helvetica, Arial, serif"/>
        <color rgb="FF22292F"/>
        <sz val="11.0"/>
      </rPr>
      <t>Harrison Barnes</t>
    </r>
  </si>
  <si>
    <t>0.473(4.0/8.4)</t>
  </si>
  <si>
    <t>0.832(2.8/3.3)</t>
  </si>
  <si>
    <r>
      <rPr>
        <rFont val="Montserrat, Helvetica, Arial, serif"/>
        <color rgb="FF22292F"/>
        <sz val="11.0"/>
      </rPr>
      <t>Larry Nance Jr.</t>
    </r>
  </si>
  <si>
    <t>0.593(2.4/4.1)</t>
  </si>
  <si>
    <t>0.745(0.8/1.0)</t>
  </si>
  <si>
    <r>
      <rPr>
        <rFont val="Montserrat, Helvetica, Arial, serif"/>
        <color rgb="FF22292F"/>
        <sz val="11.0"/>
      </rPr>
      <t>Payton Pritchard</t>
    </r>
  </si>
  <si>
    <t>BBM</t>
  </si>
  <si>
    <t>0.453(4.0/8.8)</t>
  </si>
  <si>
    <t>0.806(0.6/0.7)</t>
  </si>
  <si>
    <r>
      <rPr>
        <rFont val="Montserrat, Helvetica, Arial, serif"/>
        <color rgb="FF22292F"/>
        <sz val="11.0"/>
      </rPr>
      <t>Obi Toppin</t>
    </r>
  </si>
  <si>
    <t>0.520(3.8/7.3)</t>
  </si>
  <si>
    <t>0.792(0.8/1.1)</t>
  </si>
  <si>
    <t>W18</t>
  </si>
  <si>
    <t>W19</t>
  </si>
  <si>
    <t>W20</t>
  </si>
  <si>
    <t>Total</t>
  </si>
  <si>
    <r>
      <rPr>
        <rFont val="Montserrat, Helvetica, Arial, serif"/>
        <color rgb="FF22292F"/>
        <sz val="11.0"/>
      </rPr>
      <t>Moritz Wagner</t>
    </r>
  </si>
  <si>
    <t>PuntRank</t>
  </si>
  <si>
    <t>LgRank</t>
  </si>
  <si>
    <t>0.560(3.7/6.6)</t>
  </si>
  <si>
    <t>0.826(2.2/2.7)</t>
  </si>
  <si>
    <r>
      <rPr>
        <rFont val="Montserrat, Helvetica, Arial, serif"/>
        <color rgb="FF22292F"/>
        <sz val="11.0"/>
      </rPr>
      <t>Santi Aldama</t>
    </r>
  </si>
  <si>
    <t>0.452(3.5/7.6)</t>
  </si>
  <si>
    <t>0.702(1.1/1.6)</t>
  </si>
  <si>
    <r>
      <rPr>
        <rFont val="Montserrat, Helvetica, Arial, serif"/>
        <color rgb="FF22292F"/>
        <sz val="11.0"/>
      </rPr>
      <t>Matisse Thybulle</t>
    </r>
  </si>
  <si>
    <t>0.414(1.8/4.3)</t>
  </si>
  <si>
    <t>0.721(0.3/0.4)</t>
  </si>
  <si>
    <r>
      <rPr>
        <rFont val="Montserrat, Helvetica, Arial, serif"/>
        <color rgb="FF22292F"/>
        <sz val="11.0"/>
      </rPr>
      <t>Robert Williams III</t>
    </r>
  </si>
  <si>
    <t>0.737(2.4/3.2)</t>
  </si>
  <si>
    <t>0.639(0.5/0.8)</t>
  </si>
  <si>
    <r>
      <rPr>
        <rFont val="Montserrat, Helvetica, Arial, serif"/>
        <color rgb="FF22292F"/>
        <sz val="11.0"/>
      </rPr>
      <t>Taurean Prince</t>
    </r>
  </si>
  <si>
    <t>0.453(3.6/7.9)</t>
  </si>
  <si>
    <t>0.792(1.0/1.2)</t>
  </si>
  <si>
    <r>
      <rPr>
        <rFont val="Montserrat, Helvetica, Arial, serif"/>
        <color rgb="FF22292F"/>
        <sz val="11.0"/>
      </rPr>
      <t>Spencer Dinwiddie</t>
    </r>
  </si>
  <si>
    <t>0.421(3.6/8.5)</t>
  </si>
  <si>
    <r>
      <rPr>
        <rFont val="Montserrat, Helvetica, Arial, serif"/>
        <color rgb="FF22292F"/>
        <sz val="11.0"/>
      </rPr>
      <t>Dillon Brooks</t>
    </r>
  </si>
  <si>
    <t>0.425(4.8/11.2)</t>
  </si>
  <si>
    <t>0.809(1.6/2.0)</t>
  </si>
  <si>
    <r>
      <rPr>
        <rFont val="Montserrat, Helvetica, Arial, serif"/>
        <color rgb="FF22292F"/>
        <sz val="11.0"/>
      </rPr>
      <t>John Konchar</t>
    </r>
  </si>
  <si>
    <t>0.428(1.8/4.1)</t>
  </si>
  <si>
    <t>0.792(0.4/0.5)</t>
  </si>
  <si>
    <r>
      <rPr>
        <rFont val="Montserrat, Helvetica, Arial, serif"/>
        <color rgb="FF22292F"/>
        <sz val="11.0"/>
      </rPr>
      <t>Royce O'Neale</t>
    </r>
  </si>
  <si>
    <t>0.391(2.5/6.3)</t>
  </si>
  <si>
    <t>0.707(0.4/0.6)</t>
  </si>
  <si>
    <r>
      <rPr>
        <rFont val="Montserrat, Helvetica, Arial, serif"/>
        <color rgb="FF22292F"/>
        <sz val="11.0"/>
      </rPr>
      <t>Kyle Anderson</t>
    </r>
  </si>
  <si>
    <t>0.486(2.5/5.2)</t>
  </si>
  <si>
    <t>0.724(1.1/1.5)</t>
  </si>
  <si>
    <r>
      <rPr>
        <rFont val="Montserrat, Helvetica, Arial, serif"/>
        <color rgb="FF22292F"/>
        <sz val="11.0"/>
      </rPr>
      <t>Luke Kornet</t>
    </r>
  </si>
  <si>
    <t>0.684(2.3/3.3)</t>
  </si>
  <si>
    <t>0.866(0.7/0.8)</t>
  </si>
  <si>
    <r>
      <rPr>
        <rFont val="Montserrat, Helvetica, Arial, serif"/>
        <color rgb="FF22292F"/>
        <sz val="11.0"/>
      </rPr>
      <t>Bojan Bogdanovic</t>
    </r>
  </si>
  <si>
    <t>0.449(5.8/12.8)</t>
  </si>
  <si>
    <r>
      <rPr>
        <rFont val="Montserrat, Helvetica, Arial, serif"/>
        <color rgb="FF22292F"/>
        <sz val="11.0"/>
      </rPr>
      <t>Day'Ron Sharpe</t>
    </r>
  </si>
  <si>
    <t>0.561(3.2/5.7)</t>
  </si>
  <si>
    <t>0.635(1.4/2.2)</t>
  </si>
  <si>
    <r>
      <rPr>
        <rFont val="Montserrat, Helvetica, Arial, serif"/>
        <color rgb="FF22292F"/>
        <sz val="11.0"/>
      </rPr>
      <t>Isaac Okoro</t>
    </r>
  </si>
  <si>
    <t>0.491(3.2/6.4)</t>
  </si>
  <si>
    <t>0.714(1.3/1.9)</t>
  </si>
  <si>
    <r>
      <rPr>
        <rFont val="Montserrat, Helvetica, Arial, serif"/>
        <color rgb="FF22292F"/>
        <sz val="11.0"/>
      </rPr>
      <t>Delon Wright</t>
    </r>
  </si>
  <si>
    <t>% Games/Week</t>
  </si>
  <si>
    <t>Categories won</t>
  </si>
  <si>
    <t>Round</t>
  </si>
  <si>
    <t>0.442(1.8/4.1)</t>
  </si>
  <si>
    <t>0.846(0.8/0.9)</t>
  </si>
  <si>
    <r>
      <rPr>
        <rFont val="Montserrat, Helvetica, Arial, serif"/>
        <color rgb="FF22292F"/>
        <sz val="11.0"/>
      </rPr>
      <t>Malik Beasley</t>
    </r>
  </si>
  <si>
    <t>Count</t>
  </si>
  <si>
    <t>0.425(4.0/9.5)</t>
  </si>
  <si>
    <t>0.754(0.4/0.6)</t>
  </si>
  <si>
    <r>
      <rPr>
        <rFont val="Montserrat, Helvetica, Arial, serif"/>
        <color rgb="FF22292F"/>
        <sz val="11.0"/>
      </rPr>
      <t>Julian Strawther</t>
    </r>
  </si>
  <si>
    <t>0.435(3.8/8.7)</t>
  </si>
  <si>
    <t>0.729(1.0/1.4)</t>
  </si>
  <si>
    <r>
      <rPr>
        <rFont val="Montserrat, Helvetica, Arial, serif"/>
        <color rgb="FF22292F"/>
        <sz val="11.0"/>
      </rPr>
      <t>Zach Collins</t>
    </r>
  </si>
  <si>
    <t>0.501(3.5/7.0)</t>
  </si>
  <si>
    <t>0.760(1.4/1.8)</t>
  </si>
  <si>
    <r>
      <rPr>
        <rFont val="Montserrat, Helvetica, Arial, serif"/>
        <color rgb="FF22292F"/>
        <sz val="11.0"/>
      </rPr>
      <t>Grant Williams</t>
    </r>
  </si>
  <si>
    <t>0.455(3.1/6.8)</t>
  </si>
  <si>
    <t>0.762(1.3/1.6)</t>
  </si>
  <si>
    <r>
      <rPr>
        <rFont val="Montserrat, Helvetica, Arial, serif"/>
        <color rgb="FF22292F"/>
        <sz val="11.0"/>
      </rPr>
      <t>Dorian Finney-Smith</t>
    </r>
  </si>
  <si>
    <t>0.406(2.8/7.0)</t>
  </si>
  <si>
    <t>0.750(0.5/0.7)</t>
  </si>
  <si>
    <r>
      <rPr>
        <rFont val="Montserrat, Helvetica, Arial, serif"/>
        <color rgb="FF22292F"/>
        <sz val="11.0"/>
      </rPr>
      <t>Paul Reed</t>
    </r>
  </si>
  <si>
    <t>0.555(2.3/4.2)</t>
  </si>
  <si>
    <t>0.735(0.6/0.8)</t>
  </si>
  <si>
    <r>
      <rPr>
        <rFont val="Montserrat, Helvetica, Arial, serif"/>
        <color rgb="FF22292F"/>
        <sz val="11.0"/>
      </rPr>
      <t>Dario Saric</t>
    </r>
  </si>
  <si>
    <t>0.464(3.0/6.5)</t>
  </si>
  <si>
    <t>0.842(1.4/1.7)</t>
  </si>
  <si>
    <r>
      <rPr>
        <rFont val="Montserrat, Helvetica, Arial, serif"/>
        <color rgb="FF22292F"/>
        <sz val="11.0"/>
      </rPr>
      <t>Christian Wood</t>
    </r>
  </si>
  <si>
    <t>0.502(3.5/6.9)</t>
  </si>
  <si>
    <t>0.752(1.9/2.5)</t>
  </si>
  <si>
    <r>
      <rPr>
        <rFont val="Montserrat, Helvetica, Arial, serif"/>
        <color rgb="FF22292F"/>
        <sz val="11.0"/>
      </rPr>
      <t>Rob Dillingham</t>
    </r>
  </si>
  <si>
    <t>0.454(3.8/8.4)</t>
  </si>
  <si>
    <t>0.802(1.7/2.2)</t>
  </si>
  <si>
    <r>
      <rPr>
        <rFont val="Montserrat, Helvetica, Arial, serif"/>
        <color rgb="FF22292F"/>
        <sz val="11.0"/>
      </rPr>
      <t>Xavier Tillman Sr.</t>
    </r>
  </si>
  <si>
    <t>0.473(2.9/6.1)</t>
  </si>
  <si>
    <t>0.515(0.7/1.3)</t>
  </si>
  <si>
    <r>
      <rPr>
        <rFont val="Montserrat, Helvetica, Arial, serif"/>
        <color rgb="FF22292F"/>
        <sz val="11.0"/>
      </rPr>
      <t>Gradey Dick</t>
    </r>
  </si>
  <si>
    <t>0.424(4.2/9.9)</t>
  </si>
  <si>
    <t>0.860(1.0/1.1)</t>
  </si>
  <si>
    <r>
      <rPr>
        <rFont val="Montserrat, Helvetica, Arial, serif"/>
        <color rgb="FF22292F"/>
        <sz val="11.0"/>
      </rPr>
      <t>Ron Holland II</t>
    </r>
  </si>
  <si>
    <t>0.440(3.9/8.8)</t>
  </si>
  <si>
    <t>0.740(2.1/2.9)</t>
  </si>
  <si>
    <r>
      <rPr>
        <rFont val="Montserrat, Helvetica, Arial, serif"/>
        <color rgb="FF22292F"/>
        <sz val="11.0"/>
      </rPr>
      <t>Mo Bamba</t>
    </r>
  </si>
  <si>
    <t>0.487(2.3/4.6)</t>
  </si>
  <si>
    <t>0.669(0.8/1.2)</t>
  </si>
  <si>
    <r>
      <rPr>
        <rFont val="Montserrat, Helvetica, Arial, serif"/>
        <color rgb="FF22292F"/>
        <sz val="11.0"/>
      </rPr>
      <t>Derrick Jones Jr.</t>
    </r>
  </si>
  <si>
    <t>0.488(2.9/6.0)</t>
  </si>
  <si>
    <t>0.724(1.3/1.8)</t>
  </si>
  <si>
    <r>
      <rPr>
        <rFont val="Montserrat, Helvetica, Arial, serif"/>
        <color rgb="FF22292F"/>
        <sz val="11.0"/>
      </rPr>
      <t>Isaiah Joe</t>
    </r>
  </si>
  <si>
    <t>0.449(2.9/6.4)</t>
  </si>
  <si>
    <t>0.827(0.8/1.0)</t>
  </si>
  <si>
    <r>
      <rPr>
        <rFont val="Montserrat, Helvetica, Arial, serif"/>
        <color rgb="FF22292F"/>
        <sz val="11.0"/>
      </rPr>
      <t>Naji Marshall</t>
    </r>
  </si>
  <si>
    <t>0.446(3.1/6.8)</t>
  </si>
  <si>
    <t>0.789(1.5/1.9)</t>
  </si>
  <si>
    <r>
      <rPr>
        <rFont val="Montserrat, Helvetica, Arial, serif"/>
        <color rgb="FF22292F"/>
        <sz val="11.0"/>
      </rPr>
      <t>Carlton Carrington</t>
    </r>
  </si>
  <si>
    <t>0.412(3.8/9.3)</t>
  </si>
  <si>
    <t>0.785(1.8/2.2)</t>
  </si>
  <si>
    <r>
      <rPr>
        <rFont val="Montserrat, Helvetica, Arial, serif"/>
        <color rgb="FF22292F"/>
        <sz val="11.0"/>
      </rPr>
      <t>Bones Hyland</t>
    </r>
  </si>
  <si>
    <t>0.395(3.6/9.2)</t>
  </si>
  <si>
    <r>
      <rPr>
        <rFont val="Montserrat, Helvetica, Arial, serif"/>
        <color rgb="FF22292F"/>
        <sz val="11.0"/>
      </rPr>
      <t>GG Jackson II</t>
    </r>
  </si>
  <si>
    <t>0.428(4.5/10.4)</t>
  </si>
  <si>
    <t>0.753(2.1/2.8)</t>
  </si>
  <si>
    <r>
      <rPr>
        <rFont val="Montserrat, Helvetica, Arial, serif"/>
        <color rgb="FF22292F"/>
        <sz val="11.0"/>
      </rPr>
      <t>Neemias Queta</t>
    </r>
  </si>
  <si>
    <t>0.647(2.5/3.8)</t>
  </si>
  <si>
    <t>0.673(0.7/1.0)</t>
  </si>
  <si>
    <r>
      <rPr>
        <rFont val="Montserrat, Helvetica, Arial, serif"/>
        <color rgb="FF22292F"/>
        <sz val="11.0"/>
      </rPr>
      <t>Scotty Pippen Jr.</t>
    </r>
  </si>
  <si>
    <t>0.484(2.7/5.6)</t>
  </si>
  <si>
    <t>0.720(1.2/1.7)</t>
  </si>
  <si>
    <r>
      <rPr>
        <rFont val="Montserrat, Helvetica, Arial, serif"/>
        <color rgb="FF22292F"/>
        <sz val="11.0"/>
      </rPr>
      <t>Brice Sensabaugh</t>
    </r>
  </si>
  <si>
    <t>0.390(3.4/8.8)</t>
  </si>
  <si>
    <t>0.904(1.5/1.7)</t>
  </si>
  <si>
    <r>
      <rPr>
        <rFont val="Montserrat, Helvetica, Arial, serif"/>
        <color rgb="FF22292F"/>
        <sz val="11.0"/>
      </rPr>
      <t>Precious Achiuwa</t>
    </r>
  </si>
  <si>
    <t>0.494(3.1/6.2)</t>
  </si>
  <si>
    <t>0.661(1.1/1.7)</t>
  </si>
  <si>
    <r>
      <rPr>
        <rFont val="Montserrat, Helvetica, Arial, serif"/>
        <color rgb="FF22292F"/>
        <sz val="11.0"/>
      </rPr>
      <t>Marcus Sasser</t>
    </r>
  </si>
  <si>
    <t>0.428(3.1/7.3)</t>
  </si>
  <si>
    <t>0.872(0.8/0.9)</t>
  </si>
  <si>
    <r>
      <rPr>
        <rFont val="Montserrat, Helvetica, Arial, serif"/>
        <color rgb="FF22292F"/>
        <sz val="11.0"/>
      </rPr>
      <t>Trey Lyles</t>
    </r>
  </si>
  <si>
    <t>0.453(2.7/5.9)</t>
  </si>
  <si>
    <t>0.772(1.2/1.6)</t>
  </si>
  <si>
    <r>
      <rPr>
        <rFont val="Montserrat, Helvetica, Arial, serif"/>
        <color rgb="FF22292F"/>
        <sz val="11.0"/>
      </rPr>
      <t>Isaiah Stewart</t>
    </r>
  </si>
  <si>
    <t>0.462(3.0/6.5)</t>
  </si>
  <si>
    <t>0.743(1.4/1.8)</t>
  </si>
  <si>
    <r>
      <rPr>
        <rFont val="Montserrat, Helvetica, Arial, serif"/>
        <color rgb="FF22292F"/>
        <sz val="11.0"/>
      </rPr>
      <t>Georges Niang</t>
    </r>
  </si>
  <si>
    <t>0.446(3.3/7.3)</t>
  </si>
  <si>
    <t>0.853(0.6/0.7)</t>
  </si>
  <si>
    <r>
      <rPr>
        <rFont val="Montserrat, Helvetica, Arial, serif"/>
        <color rgb="FF22292F"/>
        <sz val="11.0"/>
      </rPr>
      <t>Jose Alvarado</t>
    </r>
  </si>
  <si>
    <t>0.411(2.7/6.5)</t>
  </si>
  <si>
    <t>0.757(0.8/1.0)</t>
  </si>
  <si>
    <r>
      <rPr>
        <rFont val="Montserrat, Helvetica, Arial, serif"/>
        <color rgb="FF22292F"/>
        <sz val="11.0"/>
      </rPr>
      <t>Saddiq Bey</t>
    </r>
  </si>
  <si>
    <t>0.419(3.1/7.4)</t>
  </si>
  <si>
    <t>0.854(1.8/2.1)</t>
  </si>
  <si>
    <r>
      <rPr>
        <rFont val="Montserrat, Helvetica, Arial, serif"/>
        <color rgb="FF22292F"/>
        <sz val="11.0"/>
      </rPr>
      <t>Reggie Jackson</t>
    </r>
  </si>
  <si>
    <t>0.422(3.8/9.1)</t>
  </si>
  <si>
    <t>0.852(1.0/1.2)</t>
  </si>
  <si>
    <r>
      <rPr>
        <rFont val="Montserrat, Helvetica, Arial, serif"/>
        <color rgb="FF22292F"/>
        <sz val="11.0"/>
      </rPr>
      <t>Goga Bitadze</t>
    </r>
  </si>
  <si>
    <t>0.583(2.0/3.4)</t>
  </si>
  <si>
    <t>0.617(0.8/1.3)</t>
  </si>
  <si>
    <r>
      <rPr>
        <rFont val="Montserrat, Helvetica, Arial, serif"/>
        <color rgb="FF22292F"/>
        <sz val="11.0"/>
      </rPr>
      <t>Stephon Castle</t>
    </r>
  </si>
  <si>
    <t>0.465(2.7/5.8)</t>
  </si>
  <si>
    <t>0.755(1.6/2.2)</t>
  </si>
  <si>
    <r>
      <rPr>
        <rFont val="Montserrat, Helvetica, Arial, serif"/>
        <color rgb="FF22292F"/>
        <sz val="11.0"/>
      </rPr>
      <t>Gary Payton II</t>
    </r>
  </si>
  <si>
    <t>0.572(2.1/3.6)</t>
  </si>
  <si>
    <t>0.674(0.3/0.4)</t>
  </si>
  <si>
    <r>
      <rPr>
        <rFont val="Montserrat, Helvetica, Arial, serif"/>
        <color rgb="FF22292F"/>
        <sz val="11.0"/>
      </rPr>
      <t>Matas Buzelis</t>
    </r>
  </si>
  <si>
    <t>0.447(3.1/6.8)</t>
  </si>
  <si>
    <t>0.678(0.8/1.2)</t>
  </si>
  <si>
    <r>
      <rPr>
        <rFont val="Montserrat, Helvetica, Arial, serif"/>
        <color rgb="FF22292F"/>
        <sz val="11.0"/>
      </rPr>
      <t>Jonathan Mogbo</t>
    </r>
  </si>
  <si>
    <t>0.635(2.4/3.8)</t>
  </si>
  <si>
    <t>0.697(0.9/1.2)</t>
  </si>
  <si>
    <r>
      <rPr>
        <rFont val="Montserrat, Helvetica, Arial, serif"/>
        <color rgb="FF22292F"/>
        <sz val="11.0"/>
      </rPr>
      <t>Moses Moody</t>
    </r>
  </si>
  <si>
    <t>0.466(3.1/6.6)</t>
  </si>
  <si>
    <t>0.757(1.1/1.5)</t>
  </si>
  <si>
    <r>
      <rPr>
        <rFont val="Montserrat, Helvetica, Arial, serif"/>
        <color rgb="FF22292F"/>
        <sz val="11.0"/>
      </rPr>
      <t>Killian Hayes</t>
    </r>
  </si>
  <si>
    <t>0.385(2.8/7.2)</t>
  </si>
  <si>
    <t>0.764(0.8/1.1)</t>
  </si>
  <si>
    <r>
      <rPr>
        <rFont val="Montserrat, Helvetica, Arial, serif"/>
        <color rgb="FF22292F"/>
        <sz val="11.0"/>
      </rPr>
      <t>Quentin Grimes</t>
    </r>
  </si>
  <si>
    <t>0.435(2.9/6.6)</t>
  </si>
  <si>
    <t>0.792(0.8/1.0)</t>
  </si>
  <si>
    <r>
      <rPr>
        <rFont val="Montserrat, Helvetica, Arial, serif"/>
        <color rgb="FF22292F"/>
        <sz val="11.0"/>
      </rPr>
      <t>Torrey Craig</t>
    </r>
  </si>
  <si>
    <t>0.447(2.1/4.8)</t>
  </si>
  <si>
    <t>0.731(0.4/0.5)</t>
  </si>
  <si>
    <r>
      <rPr>
        <rFont val="Montserrat, Helvetica, Arial, serif"/>
        <color rgb="FF22292F"/>
        <sz val="11.0"/>
      </rPr>
      <t>Gabe Vincent</t>
    </r>
  </si>
  <si>
    <t>0.395(3.0/7.7)</t>
  </si>
  <si>
    <t>0.860(0.9/1.0)</t>
  </si>
  <si>
    <r>
      <rPr>
        <rFont val="Montserrat, Helvetica, Arial, serif"/>
        <color rgb="FF22292F"/>
        <sz val="11.0"/>
      </rPr>
      <t>Julian Champagnie</t>
    </r>
  </si>
  <si>
    <t>0.420(2.3/5.4)</t>
  </si>
  <si>
    <t>0.811(0.9/1.1)</t>
  </si>
  <si>
    <r>
      <rPr>
        <rFont val="Montserrat, Helvetica, Arial, serif"/>
        <color rgb="FF22292F"/>
        <sz val="11.0"/>
      </rPr>
      <t>Drew Eubanks</t>
    </r>
  </si>
  <si>
    <t>0.622(2.0/3.2)</t>
  </si>
  <si>
    <t>0.709(0.8/1.2)</t>
  </si>
  <si>
    <r>
      <rPr>
        <rFont val="Montserrat, Helvetica, Arial, serif"/>
        <color rgb="FF22292F"/>
        <sz val="11.0"/>
      </rPr>
      <t>Pat Connaughton</t>
    </r>
  </si>
  <si>
    <t>0.417(2.4/5.8)</t>
  </si>
  <si>
    <t>0.740(0.5/0.7)</t>
  </si>
  <si>
    <r>
      <rPr>
        <rFont val="Montserrat, Helvetica, Arial, serif"/>
        <color rgb="FF22292F"/>
        <sz val="11.0"/>
      </rPr>
      <t>Toumani Camara</t>
    </r>
  </si>
  <si>
    <t>0.449(2.3/5.1)</t>
  </si>
  <si>
    <t>0.759(0.9/1.2)</t>
  </si>
  <si>
    <r>
      <rPr>
        <rFont val="Montserrat, Helvetica, Arial, serif"/>
        <color rgb="FF22292F"/>
        <sz val="11.0"/>
      </rPr>
      <t>Cody Martin</t>
    </r>
  </si>
  <si>
    <t>0.383(2.6/6.7)</t>
  </si>
  <si>
    <t>0.598(0.6/1.1)</t>
  </si>
  <si>
    <r>
      <rPr>
        <rFont val="Montserrat, Helvetica, Arial, serif"/>
        <color rgb="FF22292F"/>
        <sz val="11.0"/>
      </rPr>
      <t>Alec Burks</t>
    </r>
  </si>
  <si>
    <t>0.399(3.1/7.7)</t>
  </si>
  <si>
    <t>0.841(2.2/2.6)</t>
  </si>
  <si>
    <r>
      <rPr>
        <rFont val="Montserrat, Helvetica, Arial, serif"/>
        <color rgb="FF22292F"/>
        <sz val="11.0"/>
      </rPr>
      <t>Dean Wade</t>
    </r>
  </si>
  <si>
    <t>0.414(1.7/4.0)</t>
  </si>
  <si>
    <t>0.708(0.3/0.5)</t>
  </si>
  <si>
    <r>
      <rPr>
        <rFont val="Montserrat, Helvetica, Arial, serif"/>
        <color rgb="FF22292F"/>
        <sz val="11.0"/>
      </rPr>
      <t>Aaron Wiggins</t>
    </r>
  </si>
  <si>
    <t>0.538(2.5/4.7)</t>
  </si>
  <si>
    <t>0.811(0.7/0.9)</t>
  </si>
  <si>
    <r>
      <rPr>
        <rFont val="Montserrat, Helvetica, Arial, serif"/>
        <color rgb="FF22292F"/>
        <sz val="11.0"/>
      </rPr>
      <t>Shake Milton</t>
    </r>
  </si>
  <si>
    <t>0.457(3.0/6.7)</t>
  </si>
  <si>
    <t>0.847(1.3/1.6)</t>
  </si>
  <si>
    <r>
      <rPr>
        <rFont val="Montserrat, Helvetica, Arial, serif"/>
        <color rgb="FF22292F"/>
        <sz val="11.0"/>
      </rPr>
      <t>Kevin Love</t>
    </r>
  </si>
  <si>
    <t>0.412(2.3/5.7)</t>
  </si>
  <si>
    <t>0.826(1.2/1.4)</t>
  </si>
  <si>
    <r>
      <rPr>
        <rFont val="Montserrat, Helvetica, Arial, serif"/>
        <color rgb="FF22292F"/>
        <sz val="11.0"/>
      </rPr>
      <t>Jarace Walker</t>
    </r>
  </si>
  <si>
    <t>0.409(1.9/4.6)</t>
  </si>
  <si>
    <t>0.895(0.3/0.4)</t>
  </si>
  <si>
    <r>
      <rPr>
        <rFont val="Montserrat, Helvetica, Arial, serif"/>
        <color rgb="FF22292F"/>
        <sz val="11.0"/>
      </rPr>
      <t>Kyshawn George</t>
    </r>
  </si>
  <si>
    <t>0.425(2.1/4.8)</t>
  </si>
  <si>
    <t>0.768(0.5/0.7)</t>
  </si>
  <si>
    <r>
      <rPr>
        <rFont val="Montserrat, Helvetica, Arial, serif"/>
        <color rgb="FF22292F"/>
        <sz val="11.0"/>
      </rPr>
      <t>Josh Minott</t>
    </r>
  </si>
  <si>
    <t>0.487(1.9/3.9)</t>
  </si>
  <si>
    <t>0.915(1.1/1.2)</t>
  </si>
  <si>
    <r>
      <rPr>
        <rFont val="Montserrat, Helvetica, Arial, serif"/>
        <color rgb="FF22292F"/>
        <sz val="11.0"/>
      </rPr>
      <t>Cam Whitmore</t>
    </r>
  </si>
  <si>
    <t>0.454(4.2/9.2)</t>
  </si>
  <si>
    <t>0.677(1.5/2.2)</t>
  </si>
  <si>
    <r>
      <rPr>
        <rFont val="Montserrat, Helvetica, Arial, serif"/>
        <color rgb="FF22292F"/>
        <sz val="11.0"/>
      </rPr>
      <t>Mason Plumlee</t>
    </r>
  </si>
  <si>
    <t>0.654(2.5/3.9)</t>
  </si>
  <si>
    <t>0.652(1.6/2.5)</t>
  </si>
  <si>
    <r>
      <rPr>
        <rFont val="Montserrat, Helvetica, Arial, serif"/>
        <color rgb="FF22292F"/>
        <sz val="11.0"/>
      </rPr>
      <t>Ziaire Williams</t>
    </r>
  </si>
  <si>
    <t>0.408(3.2/7.8)</t>
  </si>
  <si>
    <t>0.811(1.1/1.3)</t>
  </si>
  <si>
    <r>
      <rPr>
        <rFont val="Montserrat, Helvetica, Arial, serif"/>
        <color rgb="FF22292F"/>
        <sz val="11.0"/>
      </rPr>
      <t>Jay Huff</t>
    </r>
  </si>
  <si>
    <t>0.599(1.5/2.5)</t>
  </si>
  <si>
    <t>0.946(1.1/1.1)</t>
  </si>
  <si>
    <r>
      <rPr>
        <rFont val="Montserrat, Helvetica, Arial, serif"/>
        <color rgb="FF22292F"/>
        <sz val="11.0"/>
      </rPr>
      <t>Max Christie</t>
    </r>
  </si>
  <si>
    <t>0.439(2.3/5.3)</t>
  </si>
  <si>
    <t>0.809(0.8/0.9)</t>
  </si>
  <si>
    <r>
      <rPr>
        <rFont val="Montserrat, Helvetica, Arial, serif"/>
        <color rgb="FF22292F"/>
        <sz val="11.0"/>
      </rPr>
      <t>Ryan Dunn</t>
    </r>
  </si>
  <si>
    <t>0.498(1.7/3.3)</t>
  </si>
  <si>
    <t>0.589(0.7/1.1)</t>
  </si>
  <si>
    <r>
      <rPr>
        <rFont val="Montserrat, Helvetica, Arial, serif"/>
        <color rgb="FF22292F"/>
        <sz val="11.0"/>
      </rPr>
      <t>Jericho Sims</t>
    </r>
  </si>
  <si>
    <t>0.744(1.5/2.0)</t>
  </si>
  <si>
    <t>0.694(0.3/0.5)</t>
  </si>
  <si>
    <r>
      <rPr>
        <rFont val="Montserrat, Helvetica, Arial, serif"/>
        <color rgb="FF22292F"/>
        <sz val="11.0"/>
      </rPr>
      <t>Dalton Knecht</t>
    </r>
  </si>
  <si>
    <t>0.444(3.0/6.8)</t>
  </si>
  <si>
    <t>0.770(1.9/2.4)</t>
  </si>
  <si>
    <r>
      <rPr>
        <rFont val="Montserrat, Helvetica, Arial, serif"/>
        <color rgb="FF22292F"/>
        <sz val="11.0"/>
      </rPr>
      <t>Damion Lee</t>
    </r>
  </si>
  <si>
    <t>0.443(2.4/5.4)</t>
  </si>
  <si>
    <t>0.903(1.1/1.2)</t>
  </si>
  <si>
    <r>
      <rPr>
        <rFont val="Montserrat, Helvetica, Arial, serif"/>
        <color rgb="FF22292F"/>
        <sz val="11.0"/>
      </rPr>
      <t>Chris Boucher</t>
    </r>
  </si>
  <si>
    <t>0.497(2.3/4.5)</t>
  </si>
  <si>
    <r>
      <rPr>
        <rFont val="Montserrat, Helvetica, Arial, serif"/>
        <color rgb="FF22292F"/>
        <sz val="11.0"/>
      </rPr>
      <t>Duop Reath</t>
    </r>
  </si>
  <si>
    <t>0.461(2.7/5.9)</t>
  </si>
  <si>
    <t>0.739(0.8/1.1)</t>
  </si>
  <si>
    <r>
      <rPr>
        <rFont val="Montserrat, Helvetica, Arial, serif"/>
        <color rgb="FF22292F"/>
        <sz val="11.0"/>
      </rPr>
      <t>Gary Harris</t>
    </r>
  </si>
  <si>
    <t>0.445(2.0/4.4)</t>
  </si>
  <si>
    <t>0.818(0.5/0.6)</t>
  </si>
  <si>
    <r>
      <rPr>
        <rFont val="Montserrat, Helvetica, Arial, serif"/>
        <color rgb="FF22292F"/>
        <sz val="11.0"/>
      </rPr>
      <t>Dante Exum</t>
    </r>
  </si>
  <si>
    <t>0.535(2.4/4.5)</t>
  </si>
  <si>
    <t>0.782(0.8/1.0)</t>
  </si>
  <si>
    <r>
      <rPr>
        <rFont val="Montserrat, Helvetica, Arial, serif"/>
        <color rgb="FF22292F"/>
        <sz val="11.0"/>
      </rPr>
      <t>Leonard Miller</t>
    </r>
  </si>
  <si>
    <t>0.652(2.2/3.4)</t>
  </si>
  <si>
    <t>0.500(0.2/0.3)</t>
  </si>
  <si>
    <r>
      <rPr>
        <rFont val="Montserrat, Helvetica, Arial, serif"/>
        <color rgb="FF22292F"/>
        <sz val="11.0"/>
      </rPr>
      <t>Steven Adams</t>
    </r>
  </si>
  <si>
    <t>0.597(2.5/4.2)</t>
  </si>
  <si>
    <t>0.366(0.8/2.1)</t>
  </si>
  <si>
    <r>
      <rPr>
        <rFont val="Montserrat, Helvetica, Arial, serif"/>
        <color rgb="FF22292F"/>
        <sz val="11.0"/>
      </rPr>
      <t>James Wiseman</t>
    </r>
  </si>
  <si>
    <t>0.584(3.0/5.1)</t>
  </si>
  <si>
    <t>0.703(1.1/1.6)</t>
  </si>
  <si>
    <r>
      <rPr>
        <rFont val="Montserrat, Helvetica, Arial, serif"/>
        <color rgb="FF22292F"/>
        <sz val="11.0"/>
      </rPr>
      <t>Seth Curry</t>
    </r>
  </si>
  <si>
    <t>0.441(2.6/5.8)</t>
  </si>
  <si>
    <t>0.921(0.7/0.8)</t>
  </si>
  <si>
    <r>
      <rPr>
        <rFont val="Montserrat, Helvetica, Arial, serif"/>
        <color rgb="FF22292F"/>
        <sz val="11.0"/>
      </rPr>
      <t>Jaylin Williams</t>
    </r>
  </si>
  <si>
    <t>0.426(1.6/3.7)</t>
  </si>
  <si>
    <t>0.740(0.6/0.8)</t>
  </si>
  <si>
    <r>
      <rPr>
        <rFont val="Montserrat, Helvetica, Arial, serif"/>
        <color rgb="FF22292F"/>
        <sz val="11.0"/>
      </rPr>
      <t>Trey Jemison</t>
    </r>
  </si>
  <si>
    <t>0.552(1.9/3.4)</t>
  </si>
  <si>
    <t>0.839(0.5/0.6)</t>
  </si>
  <si>
    <r>
      <rPr>
        <rFont val="Montserrat, Helvetica, Arial, serif"/>
        <color rgb="FF22292F"/>
        <sz val="11.0"/>
      </rPr>
      <t>Thomas Bryant</t>
    </r>
  </si>
  <si>
    <t>0.610(2.4/3.9)</t>
  </si>
  <si>
    <t>0.771(1.0/1.3)</t>
  </si>
  <si>
    <r>
      <rPr>
        <rFont val="Montserrat, Helvetica, Arial, serif"/>
        <color rgb="FF22292F"/>
        <sz val="11.0"/>
      </rPr>
      <t>Devin Carter</t>
    </r>
  </si>
  <si>
    <t>0.472(2.0/4.3)</t>
  </si>
  <si>
    <t>0.748(1.2/1.6)</t>
  </si>
  <si>
    <r>
      <rPr>
        <rFont val="Montserrat, Helvetica, Arial, serif"/>
        <color rgb="FF22292F"/>
        <sz val="11.0"/>
      </rPr>
      <t>Joe Ingles</t>
    </r>
  </si>
  <si>
    <t>0.437(1.4/3.3)</t>
  </si>
  <si>
    <t>0.842(0.3/0.4)</t>
  </si>
  <si>
    <r>
      <rPr>
        <rFont val="Montserrat, Helvetica, Arial, serif"/>
        <color rgb="FF22292F"/>
        <sz val="11.0"/>
      </rPr>
      <t>Tim Hardaway Jr.</t>
    </r>
  </si>
  <si>
    <t>0.402(3.2/7.9)</t>
  </si>
  <si>
    <t>0.813(1.2/1.4)</t>
  </si>
  <si>
    <r>
      <rPr>
        <rFont val="Montserrat, Helvetica, Arial, serif"/>
        <color rgb="FF22292F"/>
        <sz val="11.0"/>
      </rPr>
      <t>Tre Mann</t>
    </r>
  </si>
  <si>
    <t>0.419(2.5/6.0)</t>
  </si>
  <si>
    <t>0.771(0.6/0.8)</t>
  </si>
  <si>
    <r>
      <rPr>
        <rFont val="Montserrat, Helvetica, Arial, serif"/>
        <color rgb="FF22292F"/>
        <sz val="11.0"/>
      </rPr>
      <t>Davion Mitchell</t>
    </r>
  </si>
  <si>
    <t>0.453(2.6/5.7)</t>
  </si>
  <si>
    <t>0.741(0.4/0.6)</t>
  </si>
  <si>
    <r>
      <rPr>
        <rFont val="Montserrat, Helvetica, Arial, serif"/>
        <color rgb="FF22292F"/>
        <sz val="11.0"/>
      </rPr>
      <t>Josh Okogie</t>
    </r>
  </si>
  <si>
    <t>0.400(1.8/4.5)</t>
  </si>
  <si>
    <t>0.730(1.5/2.1)</t>
  </si>
  <si>
    <r>
      <rPr>
        <rFont val="Montserrat, Helvetica, Arial, serif"/>
        <color rgb="FF22292F"/>
        <sz val="11.0"/>
      </rPr>
      <t>Jaden Springer</t>
    </r>
  </si>
  <si>
    <t>0.416(1.6/3.8)</t>
  </si>
  <si>
    <t>0.824(0.8/1.0)</t>
  </si>
  <si>
    <r>
      <rPr>
        <rFont val="Montserrat, Helvetica, Arial, serif"/>
        <color rgb="FF22292F"/>
        <sz val="11.0"/>
      </rPr>
      <t>Bol Bol</t>
    </r>
  </si>
  <si>
    <t>0.563(2.0/3.6)</t>
  </si>
  <si>
    <t>0.764(0.6/0.7)</t>
  </si>
  <si>
    <r>
      <rPr>
        <rFont val="Montserrat, Helvetica, Arial, serif"/>
        <color rgb="FF22292F"/>
        <sz val="11.0"/>
      </rPr>
      <t>Cameron Payne</t>
    </r>
  </si>
  <si>
    <t>0.424(2.5/5.9)</t>
  </si>
  <si>
    <t>0.817(0.7/0.8)</t>
  </si>
  <si>
    <r>
      <rPr>
        <rFont val="Montserrat, Helvetica, Arial, serif"/>
        <color rgb="FF22292F"/>
        <sz val="11.0"/>
      </rPr>
      <t>Monte Morris</t>
    </r>
  </si>
  <si>
    <t>0.463(2.0/4.4)</t>
  </si>
  <si>
    <t>0.810(0.5/0.6)</t>
  </si>
  <si>
    <r>
      <rPr>
        <rFont val="Montserrat, Helvetica, Arial, serif"/>
        <color rgb="FF22292F"/>
        <sz val="11.0"/>
      </rPr>
      <t>Amir Coffey</t>
    </r>
  </si>
  <si>
    <t>0.447(2.2/5.0)</t>
  </si>
  <si>
    <t>0.822(1.1/1.4)</t>
  </si>
  <si>
    <r>
      <rPr>
        <rFont val="Montserrat, Helvetica, Arial, serif"/>
        <color rgb="FF22292F"/>
        <sz val="11.0"/>
      </rPr>
      <t>Anthony Black</t>
    </r>
  </si>
  <si>
    <t>0.466(2.2/4.7)</t>
  </si>
  <si>
    <t>0.634(1.0/1.5)</t>
  </si>
  <si>
    <r>
      <rPr>
        <rFont val="Montserrat, Helvetica, Arial, serif"/>
        <color rgb="FF22292F"/>
        <sz val="11.0"/>
      </rPr>
      <t>Cam Reddish</t>
    </r>
  </si>
  <si>
    <t>0.421(2.1/4.9)</t>
  </si>
  <si>
    <t>0.810(0.9/1.2)</t>
  </si>
  <si>
    <r>
      <rPr>
        <rFont val="Montserrat, Helvetica, Arial, serif"/>
        <color rgb="FF22292F"/>
        <sz val="11.0"/>
      </rPr>
      <t>Sam Merrill</t>
    </r>
  </si>
  <si>
    <t>0.402(2.2/5.4)</t>
  </si>
  <si>
    <t>0.923(0.4/0.4)</t>
  </si>
  <si>
    <r>
      <rPr>
        <rFont val="Montserrat, Helvetica, Arial, serif"/>
        <color rgb="FF22292F"/>
        <sz val="11.0"/>
      </rPr>
      <t>Ochai Agbaji</t>
    </r>
  </si>
  <si>
    <t>NAME</t>
  </si>
  <si>
    <t>FGM</t>
  </si>
  <si>
    <t>FTM</t>
  </si>
  <si>
    <t>3PM</t>
  </si>
  <si>
    <t>0.418(2.5/6.0)</t>
  </si>
  <si>
    <t>0.747(0.7/0.9)</t>
  </si>
  <si>
    <r>
      <rPr>
        <rFont val="Montserrat, Helvetica, Arial, serif"/>
        <color rgb="FF22292F"/>
        <sz val="11.0"/>
      </rPr>
      <t>Haywood Highsmith</t>
    </r>
  </si>
  <si>
    <t>0.453(1.8/3.9)</t>
  </si>
  <si>
    <t>0.565(0.3/0.5)</t>
  </si>
  <si>
    <r>
      <rPr>
        <rFont val="Montserrat, Helvetica, Arial, serif"/>
        <color rgb="FF22292F"/>
        <sz val="11.0"/>
      </rPr>
      <t>Malaki Branham</t>
    </r>
  </si>
  <si>
    <t>0.436(3.4/7.8)</t>
  </si>
  <si>
    <t>0.857(0.7/0.8)</t>
  </si>
  <si>
    <r>
      <rPr>
        <rFont val="Montserrat, Helvetica, Arial, serif"/>
        <color rgb="FF22292F"/>
        <sz val="11.0"/>
      </rPr>
      <t>Charles Bassey</t>
    </r>
  </si>
  <si>
    <t>0.665(1.5/2.2)</t>
  </si>
  <si>
    <t>0.630(0.3/0.5)</t>
  </si>
  <si>
    <r>
      <rPr>
        <rFont val="Montserrat, Helvetica, Arial, serif"/>
        <color rgb="FF22292F"/>
        <sz val="11.0"/>
      </rPr>
      <t>Maxi Kleber</t>
    </r>
  </si>
  <si>
    <t>0.443(1.5/3.3)</t>
  </si>
  <si>
    <t>0.705(0.6/0.9)</t>
  </si>
  <si>
    <r>
      <rPr>
        <rFont val="Montserrat, Helvetica, Arial, serif"/>
        <color rgb="FF22292F"/>
        <sz val="11.0"/>
      </rPr>
      <t>Guerschon Yabusele</t>
    </r>
  </si>
  <si>
    <t>0.466(2.0/4.3)</t>
  </si>
  <si>
    <t>0.770(0.9/1.1)</t>
  </si>
  <si>
    <r>
      <rPr>
        <rFont val="Montserrat, Helvetica, Arial, serif"/>
        <color rgb="FF22292F"/>
        <sz val="11.0"/>
      </rPr>
      <t>Kyle Filipowski</t>
    </r>
  </si>
  <si>
    <t>0.506(2.3/4.5)</t>
  </si>
  <si>
    <t>0.672(1.2/1.7)</t>
  </si>
  <si>
    <r>
      <rPr>
        <rFont val="Montserrat, Helvetica, Arial, serif"/>
        <color rgb="FF22292F"/>
        <sz val="11.0"/>
      </rPr>
      <t>Jaxson Hayes</t>
    </r>
  </si>
  <si>
    <t>0.641(2.0/3.1)</t>
  </si>
  <si>
    <t>0.664(1.0/1.5)</t>
  </si>
  <si>
    <r>
      <rPr>
        <rFont val="Montserrat, Helvetica, Arial, serif"/>
        <color rgb="FF22292F"/>
        <sz val="11.0"/>
      </rPr>
      <t>Richaun Holmes</t>
    </r>
  </si>
  <si>
    <t>0.582(2.1/3.5)</t>
  </si>
  <si>
    <t>0.747(0.7/1.0)</t>
  </si>
  <si>
    <r>
      <rPr>
        <rFont val="Montserrat, Helvetica, Arial, serif"/>
        <color rgb="FF22292F"/>
        <sz val="11.0"/>
      </rPr>
      <t>Jock Landale</t>
    </r>
  </si>
  <si>
    <t>0.523(2.0/3.9)</t>
  </si>
  <si>
    <t>0.770(0.9/1.2)</t>
  </si>
  <si>
    <r>
      <rPr>
        <rFont val="Montserrat, Helvetica, Arial, serif"/>
        <color rgb="FF22292F"/>
        <sz val="11.0"/>
      </rPr>
      <t>Craig Porter Jr.</t>
    </r>
  </si>
  <si>
    <t>0.509(2.2/4.4)</t>
  </si>
  <si>
    <t>0.731(0.8/1.1)</t>
  </si>
  <si>
    <r>
      <rPr>
        <rFont val="Montserrat, Helvetica, Arial, serif"/>
        <color rgb="FF22292F"/>
        <sz val="11.0"/>
      </rPr>
      <t>Jordan Hawkins</t>
    </r>
  </si>
  <si>
    <t>0.382(2.9/7.5)</t>
  </si>
  <si>
    <t>0.840(1.1/1.3)</t>
  </si>
  <si>
    <r>
      <rPr>
        <rFont val="Montserrat, Helvetica, Arial, serif"/>
        <color rgb="FF22292F"/>
        <sz val="11.0"/>
      </rPr>
      <t>Jabari Walker</t>
    </r>
  </si>
  <si>
    <t>0.449(2.4/5.3)</t>
  </si>
  <si>
    <t>0.752(1.2/1.6)</t>
  </si>
  <si>
    <r>
      <rPr>
        <rFont val="Montserrat, Helvetica, Arial, serif"/>
        <color rgb="FF22292F"/>
        <sz val="11.0"/>
      </rPr>
      <t>Vasilije Micic</t>
    </r>
  </si>
  <si>
    <t>0.429(2.3/5.2)</t>
  </si>
  <si>
    <r>
      <rPr>
        <rFont val="Montserrat, Helvetica, Arial, serif"/>
        <color rgb="FF22292F"/>
        <sz val="11.0"/>
      </rPr>
      <t>Kenrich Williams</t>
    </r>
  </si>
  <si>
    <t>0.495(2.0/4.0)</t>
  </si>
  <si>
    <t>0.441(0.2/0.3)</t>
  </si>
  <si>
    <r>
      <rPr>
        <rFont val="Montserrat, Helvetica, Arial, serif"/>
        <color rgb="FF22292F"/>
        <sz val="11.0"/>
      </rPr>
      <t>Jordan McLaughlin</t>
    </r>
  </si>
  <si>
    <t>0.453(1.2/2.7)</t>
  </si>
  <si>
    <t>0.765(0.3/0.3)</t>
  </si>
  <si>
    <r>
      <rPr>
        <rFont val="Montserrat, Helvetica, Arial, serif"/>
        <color rgb="FF22292F"/>
        <sz val="11.0"/>
      </rPr>
      <t>Johnny Furphy</t>
    </r>
  </si>
  <si>
    <t>0.457(1.7/3.6)</t>
  </si>
  <si>
    <t>0.761(1.1/1.4)</t>
  </si>
  <si>
    <r>
      <rPr>
        <rFont val="Montserrat, Helvetica, Arial, serif"/>
        <color rgb="FF22292F"/>
        <sz val="11.0"/>
      </rPr>
      <t>Ben Sheppard</t>
    </r>
  </si>
  <si>
    <t>0.393(1.8/4.7)</t>
  </si>
  <si>
    <t>0.887(0.5/0.5)</t>
  </si>
  <si>
    <r>
      <rPr>
        <rFont val="Montserrat, Helvetica, Arial, serif"/>
        <color rgb="FF22292F"/>
        <sz val="11.0"/>
      </rPr>
      <t>Kenyon Martin Jr.</t>
    </r>
  </si>
  <si>
    <t>0.562(2.7/4.8)</t>
  </si>
  <si>
    <t>0.657(0.9/1.4)</t>
  </si>
  <si>
    <r>
      <rPr>
        <rFont val="Montserrat, Helvetica, Arial, serif"/>
        <color rgb="FF22292F"/>
        <sz val="11.0"/>
      </rPr>
      <t>Dwight Powell</t>
    </r>
  </si>
  <si>
    <t>0.719(1.6/2.2)</t>
  </si>
  <si>
    <t>0.678(1.0/1.5)</t>
  </si>
  <si>
    <r>
      <rPr>
        <rFont val="Montserrat, Helvetica, Arial, serif"/>
        <color rgb="FF22292F"/>
        <sz val="11.0"/>
      </rPr>
      <t>Yves Missi</t>
    </r>
  </si>
  <si>
    <t>0.614(2.4/3.9)</t>
  </si>
  <si>
    <t>0.615(1.5/2.4)</t>
  </si>
  <si>
    <r>
      <rPr>
        <rFont val="Montserrat, Helvetica, Arial, serif"/>
        <color rgb="FF22292F"/>
        <sz val="11.0"/>
      </rPr>
      <t>Jake LaRavia</t>
    </r>
  </si>
  <si>
    <t>0.389(1.9/4.9)</t>
  </si>
  <si>
    <t>0.821(1.2/1.5)</t>
  </si>
  <si>
    <r>
      <rPr>
        <rFont val="Montserrat, Helvetica, Arial, serif"/>
        <color rgb="FF22292F"/>
        <sz val="11.0"/>
      </rPr>
      <t>Kel'el Ware</t>
    </r>
  </si>
  <si>
    <t>0.512(2.5/4.8)</t>
  </si>
  <si>
    <t>0.633(1.1/1.8)</t>
  </si>
  <si>
    <r>
      <rPr>
        <rFont val="Montserrat, Helvetica, Arial, serif"/>
        <color rgb="FF22292F"/>
        <sz val="11.0"/>
      </rPr>
      <t>Tristan Da Silva</t>
    </r>
  </si>
  <si>
    <t>0.492(1.9/3.9)</t>
  </si>
  <si>
    <t>0.833(0.9/1.0)</t>
  </si>
  <si>
    <r>
      <rPr>
        <rFont val="Montserrat, Helvetica, Arial, serif"/>
        <color rgb="FF22292F"/>
        <sz val="11.0"/>
      </rPr>
      <t>Simone Fontecchio</t>
    </r>
  </si>
  <si>
    <t>0.426(2.2/5.2)</t>
  </si>
  <si>
    <t>0.818(0.5/0.7)</t>
  </si>
  <si>
    <r>
      <rPr>
        <rFont val="Montserrat, Helvetica, Arial, serif"/>
        <color rgb="FF22292F"/>
        <sz val="11.0"/>
      </rPr>
      <t>Jaden Hardy</t>
    </r>
  </si>
  <si>
    <t>0.420(2.9/6.9)</t>
  </si>
  <si>
    <t>0.802(1.1/1.3)</t>
  </si>
  <si>
    <r>
      <rPr>
        <rFont val="Montserrat, Helvetica, Arial, serif"/>
        <color rgb="FF22292F"/>
        <sz val="11.0"/>
      </rPr>
      <t>Bobi Klintman</t>
    </r>
  </si>
  <si>
    <t>0.439(1.8/4.0)</t>
  </si>
  <si>
    <t>0.786(1.1/1.4)</t>
  </si>
  <si>
    <r>
      <rPr>
        <rFont val="Montserrat, Helvetica, Arial, serif"/>
        <color rgb="FF22292F"/>
        <sz val="11.0"/>
      </rPr>
      <t>Jevon Carter</t>
    </r>
  </si>
  <si>
    <t>0.406(1.8/4.4)</t>
  </si>
  <si>
    <t>0.810(0.2/0.2)</t>
  </si>
  <si>
    <r>
      <rPr>
        <rFont val="Montserrat, Helvetica, Arial, serif"/>
        <color rgb="FF22292F"/>
        <sz val="11.0"/>
      </rPr>
      <t>Tidjane Salaun</t>
    </r>
  </si>
  <si>
    <t>0.404(2.0/5.0)</t>
  </si>
  <si>
    <t>0.776(1.0/1.3)</t>
  </si>
  <si>
    <r>
      <rPr>
        <rFont val="Montserrat, Helvetica, Arial, serif"/>
        <color rgb="FF22292F"/>
        <sz val="11.0"/>
      </rPr>
      <t>Tyler Smith</t>
    </r>
  </si>
  <si>
    <t>0.483(2.0/4.1)</t>
  </si>
  <si>
    <t>0.731(0.6/0.8)</t>
  </si>
  <si>
    <r>
      <rPr>
        <rFont val="Montserrat, Helvetica, Arial, serif"/>
        <color rgb="FF22292F"/>
        <sz val="11.0"/>
      </rPr>
      <t>Andre Jackson Jr.</t>
    </r>
  </si>
  <si>
    <t>0.498(1.3/2.5)</t>
  </si>
  <si>
    <t>0.714(0.2/0.3)</t>
  </si>
  <si>
    <r>
      <rPr>
        <rFont val="Montserrat, Helvetica, Arial, serif"/>
        <color rgb="FF22292F"/>
        <sz val="11.0"/>
      </rPr>
      <t>Jaylon Tyson</t>
    </r>
  </si>
  <si>
    <t>0.452(2.3/5.2)</t>
  </si>
  <si>
    <t>0.779(1.2/1.5)</t>
  </si>
  <si>
    <r>
      <rPr>
        <rFont val="Montserrat, Helvetica, Arial, serif"/>
        <color rgb="FF22292F"/>
        <sz val="11.0"/>
      </rPr>
      <t>Keon Johnson</t>
    </r>
  </si>
  <si>
    <t>0.376(2.4/6.3)</t>
  </si>
  <si>
    <t>0.719(1.2/1.7)</t>
  </si>
  <si>
    <r>
      <rPr>
        <rFont val="Montserrat, Helvetica, Arial, serif"/>
        <color rgb="FF22292F"/>
        <sz val="11.0"/>
      </rPr>
      <t>Chris Duarte</t>
    </r>
  </si>
  <si>
    <t>0.373(1.9/5.1)</t>
  </si>
  <si>
    <t>0.837(0.8/1.0)</t>
  </si>
  <si>
    <r>
      <rPr>
        <rFont val="Montserrat, Helvetica, Arial, serif"/>
        <color rgb="FF22292F"/>
        <sz val="11.0"/>
      </rPr>
      <t>Alex Len</t>
    </r>
  </si>
  <si>
    <t>0.592(1.0/1.7)</t>
  </si>
  <si>
    <t>0.628(0.5/0.8)</t>
  </si>
  <si>
    <r>
      <rPr>
        <rFont val="Montserrat, Helvetica, Arial, serif"/>
        <color rgb="FF22292F"/>
        <sz val="11.0"/>
      </rPr>
      <t>Kevon Looney</t>
    </r>
  </si>
  <si>
    <t>0.617(1.3/2.1)</t>
  </si>
  <si>
    <t>0.633(0.5/0.8)</t>
  </si>
  <si>
    <r>
      <rPr>
        <rFont val="Montserrat, Helvetica, Arial, serif"/>
        <color rgb="FF22292F"/>
        <sz val="11.0"/>
      </rPr>
      <t>Jeremiah Robinson-Earl</t>
    </r>
  </si>
  <si>
    <t>0.452(1.7/3.7)</t>
  </si>
  <si>
    <t>0.806(0.5/0.6)</t>
  </si>
  <si>
    <r>
      <rPr>
        <rFont val="Montserrat, Helvetica, Arial, serif"/>
        <color rgb="FF22292F"/>
        <sz val="11.0"/>
      </rPr>
      <t>Jamal Cain</t>
    </r>
  </si>
  <si>
    <t>0.488(1.6/3.3)</t>
  </si>
  <si>
    <r>
      <rPr>
        <rFont val="Montserrat, Helvetica, Arial, serif"/>
        <color rgb="FF22292F"/>
        <sz val="11.0"/>
      </rPr>
      <t>Dru Smith</t>
    </r>
  </si>
  <si>
    <t>0.421(1.0/2.4)</t>
  </si>
  <si>
    <t>1.000(0.2/0.2)</t>
  </si>
  <si>
    <r>
      <rPr>
        <rFont val="Montserrat, Helvetica, Arial, serif"/>
        <color rgb="FF22292F"/>
        <sz val="11.0"/>
      </rPr>
      <t>Zeke Nnaji</t>
    </r>
  </si>
  <si>
    <t>0.519(1.7/3.2)</t>
  </si>
  <si>
    <t>0.664(0.8/1.2)</t>
  </si>
  <si>
    <r>
      <rPr>
        <rFont val="Montserrat, Helvetica, Arial, serif"/>
        <color rgb="FF22292F"/>
        <sz val="11.0"/>
      </rPr>
      <t>Kobe Bufkin</t>
    </r>
  </si>
  <si>
    <t>0.370(2.7/7.3)</t>
  </si>
  <si>
    <t>0.508(0.3/0.6)</t>
  </si>
  <si>
    <r>
      <rPr>
        <rFont val="Montserrat, Helvetica, Arial, serif"/>
        <color rgb="FF22292F"/>
        <sz val="11.0"/>
      </rPr>
      <t>Trendon Watford</t>
    </r>
  </si>
  <si>
    <t>0.546(1.7/3.2)</t>
  </si>
  <si>
    <t>0.758(0.8/1.0)</t>
  </si>
  <si>
    <r>
      <rPr>
        <rFont val="Montserrat, Helvetica, Arial, serif"/>
        <color rgb="FF22292F"/>
        <sz val="11.0"/>
      </rPr>
      <t>Garrison Mathews</t>
    </r>
  </si>
  <si>
    <t>0.414(1.4/3.3)</t>
  </si>
  <si>
    <t>0.863(0.6/0.7)</t>
  </si>
  <si>
    <r>
      <rPr>
        <rFont val="Montserrat, Helvetica, Arial, serif"/>
        <color rgb="FF22292F"/>
        <sz val="11.0"/>
      </rPr>
      <t>Nikola Djurisic</t>
    </r>
  </si>
  <si>
    <t>0.449(2.2/4.8)</t>
  </si>
  <si>
    <t>0.759(1.7/2.2)</t>
  </si>
  <si>
    <r>
      <rPr>
        <rFont val="Montserrat, Helvetica, Arial, serif"/>
        <color rgb="FF22292F"/>
        <sz val="11.0"/>
      </rPr>
      <t>Adem Bona</t>
    </r>
  </si>
  <si>
    <t>0.590(1.5/2.5)</t>
  </si>
  <si>
    <t>0.702(1.0/1.4)</t>
  </si>
  <si>
    <r>
      <rPr>
        <rFont val="Montserrat, Helvetica, Arial, serif"/>
        <color rgb="FF22292F"/>
        <sz val="11.0"/>
      </rPr>
      <t>Cody Williams</t>
    </r>
  </si>
  <si>
    <t>0.552(2.1/3.7)</t>
  </si>
  <si>
    <t>0.716(1.1/1.5)</t>
  </si>
  <si>
    <r>
      <rPr>
        <rFont val="Montserrat, Helvetica, Arial, serif"/>
        <color rgb="FF22292F"/>
        <sz val="11.0"/>
      </rPr>
      <t>MarJon Beauchamp</t>
    </r>
  </si>
  <si>
    <t>0.432(1.9/4.4)</t>
  </si>
  <si>
    <t>0.710(0.5/0.7)</t>
  </si>
  <si>
    <r>
      <rPr>
        <rFont val="Montserrat, Helvetica, Arial, serif"/>
        <color rgb="FF22292F"/>
        <sz val="11.0"/>
      </rPr>
      <t>Tristan Vukcevic</t>
    </r>
  </si>
  <si>
    <t>0.434(1.5/3.5)</t>
  </si>
  <si>
    <t>0.772(0.9/1.1)</t>
  </si>
  <si>
    <r>
      <rPr>
        <rFont val="Montserrat, Helvetica, Arial, serif"/>
        <color rgb="FF22292F"/>
        <sz val="11.0"/>
      </rPr>
      <t>Aaron Holiday</t>
    </r>
  </si>
  <si>
    <t>0.437(1.4/3.2)</t>
  </si>
  <si>
    <t>0.894(0.4/0.5)</t>
  </si>
  <si>
    <r>
      <rPr>
        <rFont val="Montserrat, Helvetica, Arial, serif"/>
        <color rgb="FF22292F"/>
        <sz val="11.0"/>
      </rPr>
      <t>Derrick Rose</t>
    </r>
  </si>
  <si>
    <t>0.423(2.1/5.1)</t>
  </si>
  <si>
    <t>0.902(0.6/0.6)</t>
  </si>
  <si>
    <r>
      <rPr>
        <rFont val="Montserrat, Helvetica, Arial, serif"/>
        <color rgb="FF22292F"/>
        <sz val="11.0"/>
      </rPr>
      <t>Jordan Walsh</t>
    </r>
  </si>
  <si>
    <t>0.401(0.8/2.0)</t>
  </si>
  <si>
    <t>0.481(0.1/0.3)</t>
  </si>
  <si>
    <r>
      <rPr>
        <rFont val="Montserrat, Helvetica, Arial, serif"/>
        <color rgb="FF22292F"/>
        <sz val="11.0"/>
      </rPr>
      <t>Dalano Banton</t>
    </r>
  </si>
  <si>
    <t>0.408(2.0/4.8)</t>
  </si>
  <si>
    <t>0.773(0.9/1.1)</t>
  </si>
  <si>
    <r>
      <rPr>
        <rFont val="Montserrat, Helvetica, Arial, serif"/>
        <color rgb="FF22292F"/>
        <sz val="11.0"/>
      </rPr>
      <t>Jalen McDaniels</t>
    </r>
  </si>
  <si>
    <t>0.429(1.5/3.5)</t>
  </si>
  <si>
    <t>0.813(0.6/0.8)</t>
  </si>
  <si>
    <r>
      <rPr>
        <rFont val="Montserrat, Helvetica, Arial, serif"/>
        <color rgb="FF22292F"/>
        <sz val="11.0"/>
      </rPr>
      <t>Jalen Wilson</t>
    </r>
  </si>
  <si>
    <t>0.425(1.6/3.7)</t>
  </si>
  <si>
    <t>0.830(0.8/0.9)</t>
  </si>
  <si>
    <r>
      <rPr>
        <rFont val="Montserrat, Helvetica, Arial, serif"/>
        <color rgb="FF22292F"/>
        <sz val="11.0"/>
      </rPr>
      <t>Devonte' Graham</t>
    </r>
  </si>
  <si>
    <t>0.369(1.4/3.7)</t>
  </si>
  <si>
    <t>0.750(0.8/1.0)</t>
  </si>
  <si>
    <r>
      <rPr>
        <rFont val="Montserrat, Helvetica, Arial, serif"/>
        <color rgb="FF22292F"/>
        <sz val="11.0"/>
      </rPr>
      <t>David Jones</t>
    </r>
  </si>
  <si>
    <t>0.461(1.4/3.0)</t>
  </si>
  <si>
    <t>0.795(1.1/1.3)</t>
  </si>
  <si>
    <r>
      <rPr>
        <rFont val="Montserrat, Helvetica, Arial, serif"/>
        <color rgb="FF22292F"/>
        <sz val="11.0"/>
      </rPr>
      <t>Orlando Robinson</t>
    </r>
  </si>
  <si>
    <t>0.514(1.1/2.1)</t>
  </si>
  <si>
    <t>0.726(0.5/0.7)</t>
  </si>
  <si>
    <r>
      <rPr>
        <rFont val="Montserrat, Helvetica, Arial, serif"/>
        <color rgb="FF22292F"/>
        <sz val="11.0"/>
      </rPr>
      <t>Baylor Scheierman</t>
    </r>
  </si>
  <si>
    <t>0.442(1.4/3.2)</t>
  </si>
  <si>
    <t>0.822(0.6/0.7)</t>
  </si>
  <si>
    <r>
      <rPr>
        <rFont val="Montserrat, Helvetica, Arial, serif"/>
        <color rgb="FF22292F"/>
        <sz val="11.0"/>
      </rPr>
      <t>AJ Green</t>
    </r>
  </si>
  <si>
    <t>0.425(1.5/3.5)</t>
  </si>
  <si>
    <t>0.920(0.2/0.3)</t>
  </si>
  <si>
    <r>
      <rPr>
        <rFont val="Montserrat, Helvetica, Arial, serif"/>
        <color rgb="FF22292F"/>
        <sz val="11.0"/>
      </rPr>
      <t>Isaiah Collier</t>
    </r>
  </si>
  <si>
    <t>0.491(2.2/4.5)</t>
  </si>
  <si>
    <t>0.671(1.5/2.3)</t>
  </si>
  <si>
    <r>
      <rPr>
        <rFont val="Montserrat, Helvetica, Arial, serif"/>
        <color rgb="FF22292F"/>
        <sz val="11.0"/>
      </rPr>
      <t>Cory Joseph</t>
    </r>
  </si>
  <si>
    <t>0.416(1.3/3.1)</t>
  </si>
  <si>
    <t>0.776(0.5/0.6)</t>
  </si>
  <si>
    <r>
      <rPr>
        <rFont val="Montserrat, Helvetica, Arial, serif"/>
        <color rgb="FF22292F"/>
        <sz val="11.0"/>
      </rPr>
      <t>DeAndre Jordan</t>
    </r>
  </si>
  <si>
    <t>0.701(1.5/2.1)</t>
  </si>
  <si>
    <t>0.471(0.5/1.0)</t>
  </si>
  <si>
    <r>
      <rPr>
        <rFont val="Montserrat, Helvetica, Arial, serif"/>
        <color rgb="FF22292F"/>
        <sz val="11.0"/>
      </rPr>
      <t>Pelle Larsson</t>
    </r>
  </si>
  <si>
    <t>0.519(1.4/2.7)</t>
  </si>
  <si>
    <r>
      <rPr>
        <rFont val="Montserrat, Helvetica, Arial, serif"/>
        <color rgb="FF22292F"/>
        <sz val="11.0"/>
      </rPr>
      <t>Keita Bates-Diop</t>
    </r>
  </si>
  <si>
    <t>0.487(1.3/2.7)</t>
  </si>
  <si>
    <t>0.778(0.6/0.8)</t>
  </si>
  <si>
    <r>
      <rPr>
        <rFont val="Montserrat, Helvetica, Arial, serif"/>
        <color rgb="FF22292F"/>
        <sz val="11.0"/>
      </rPr>
      <t>Johnny Juzang</t>
    </r>
  </si>
  <si>
    <t>0.402(2.1/5.3)</t>
  </si>
  <si>
    <t>0.667(0.3/0.5)</t>
  </si>
  <si>
    <r>
      <rPr>
        <rFont val="Montserrat, Helvetica, Arial, serif"/>
        <color rgb="FF22292F"/>
        <sz val="11.0"/>
      </rPr>
      <t>Nick Smith Jr.</t>
    </r>
  </si>
  <si>
    <t>0.390(2.1/5.3)</t>
  </si>
  <si>
    <t>0.889(0.2/0.3)</t>
  </si>
  <si>
    <r>
      <rPr>
        <rFont val="Montserrat, Helvetica, Arial, serif"/>
        <color rgb="FF22292F"/>
        <sz val="11.0"/>
      </rPr>
      <t>Vlatko Cancar</t>
    </r>
  </si>
  <si>
    <t>0.476(1.1/2.3)</t>
  </si>
  <si>
    <t>0.927(0.4/0.4)</t>
  </si>
  <si>
    <r>
      <rPr>
        <rFont val="Montserrat, Helvetica, Arial, serif"/>
        <color rgb="FF22292F"/>
        <sz val="11.0"/>
      </rPr>
      <t>KJ Simpson</t>
    </r>
  </si>
  <si>
    <t>0.476(1.2/2.5)</t>
  </si>
  <si>
    <t>0.878(0.8/0.9)</t>
  </si>
  <si>
    <r>
      <rPr>
        <rFont val="Montserrat, Helvetica, Arial, serif"/>
        <color rgb="FF22292F"/>
        <sz val="11.0"/>
      </rPr>
      <t>DaRon Holmes II</t>
    </r>
  </si>
  <si>
    <t>0.545(1.3/2.5)</t>
  </si>
  <si>
    <t>0.713(1.3/1.8)</t>
  </si>
  <si>
    <r>
      <rPr>
        <rFont val="Montserrat, Helvetica, Arial, serif"/>
        <color rgb="FF22292F"/>
        <sz val="11.0"/>
      </rPr>
      <t>Jeff Green</t>
    </r>
  </si>
  <si>
    <t>0.471(1.6/3.3)</t>
  </si>
  <si>
    <t>0.781(1.0/1.3)</t>
  </si>
  <si>
    <r>
      <rPr>
        <rFont val="Montserrat, Helvetica, Arial, serif"/>
        <color rgb="FF22292F"/>
        <sz val="11.0"/>
      </rPr>
      <t>Caleb Houstan</t>
    </r>
  </si>
  <si>
    <t>0.375(1.3/3.5)</t>
  </si>
  <si>
    <t>0.821(0.3/0.4)</t>
  </si>
  <si>
    <r>
      <rPr>
        <rFont val="Montserrat, Helvetica, Arial, serif"/>
        <color rgb="FF22292F"/>
        <sz val="11.0"/>
      </rPr>
      <t>Nassir Little</t>
    </r>
  </si>
  <si>
    <t>0.446(1.4/3.1)</t>
  </si>
  <si>
    <t>0.766(0.4/0.5)</t>
  </si>
  <si>
    <r>
      <rPr>
        <rFont val="Montserrat, Helvetica, Arial, serif"/>
        <color rgb="FF22292F"/>
        <sz val="11.0"/>
      </rPr>
      <t>Ariel Hukporti</t>
    </r>
  </si>
  <si>
    <t>0.563(1.2/2.1)</t>
  </si>
  <si>
    <t>0.615(0.6/1.0)</t>
  </si>
  <si>
    <r>
      <rPr>
        <rFont val="Montserrat, Helvetica, Arial, serif"/>
        <color rgb="FF22292F"/>
        <sz val="11.0"/>
      </rPr>
      <t>Matt Ryan</t>
    </r>
  </si>
  <si>
    <t>0.401(1.4/3.5)</t>
  </si>
  <si>
    <t>0.881(0.4/0.4)</t>
  </si>
  <si>
    <r>
      <rPr>
        <rFont val="Montserrat, Helvetica, Arial, serif"/>
        <color rgb="FF22292F"/>
        <sz val="11.0"/>
      </rPr>
      <t>Ousmane Dieng</t>
    </r>
  </si>
  <si>
    <t>0.422(1.4/3.3)</t>
  </si>
  <si>
    <t>0.750(0.3/0.4)</t>
  </si>
  <si>
    <r>
      <rPr>
        <rFont val="Montserrat, Helvetica, Arial, serif"/>
        <color rgb="FF22292F"/>
        <sz val="11.0"/>
      </rPr>
      <t>Kris Murray</t>
    </r>
  </si>
  <si>
    <t>0.397(1.2/3.1)</t>
  </si>
  <si>
    <t>0.660(0.3/0.5)</t>
  </si>
  <si>
    <r>
      <rPr>
        <rFont val="Montserrat, Helvetica, Arial, serif"/>
        <color rgb="FF22292F"/>
        <sz val="11.0"/>
      </rPr>
      <t>Garrett Temple</t>
    </r>
  </si>
  <si>
    <t>0.384(0.9/2.3)</t>
  </si>
  <si>
    <t>0.816(0.4/0.5)</t>
  </si>
  <si>
    <r>
      <rPr>
        <rFont val="Montserrat, Helvetica, Arial, serif"/>
        <color rgb="FF22292F"/>
        <sz val="11.0"/>
      </rPr>
      <t>Terrence Shannon Jr.</t>
    </r>
  </si>
  <si>
    <t>0.475(1.2/2.6)</t>
  </si>
  <si>
    <t>0.801(1.3/1.6)</t>
  </si>
  <si>
    <r>
      <rPr>
        <rFont val="Montserrat, Helvetica, Arial, serif"/>
        <color rgb="FF22292F"/>
        <sz val="11.0"/>
      </rPr>
      <t>Jamal Shead</t>
    </r>
  </si>
  <si>
    <t>0.407(0.9/2.3)</t>
  </si>
  <si>
    <t>0.778(0.4/0.5)</t>
  </si>
  <si>
    <r>
      <rPr>
        <rFont val="Montserrat, Helvetica, Arial, serif"/>
        <color rgb="FF22292F"/>
        <sz val="11.0"/>
      </rPr>
      <t>Blake Wesley</t>
    </r>
  </si>
  <si>
    <t>0.398(1.4/3.5)</t>
  </si>
  <si>
    <t>0.636(0.6/1.0)</t>
  </si>
  <si>
    <r>
      <rPr>
        <rFont val="Montserrat, Helvetica, Arial, serif"/>
        <color rgb="FF22292F"/>
        <sz val="11.0"/>
      </rPr>
      <t>Dalen Terry</t>
    </r>
  </si>
  <si>
    <t>0.442(1.0/2.2)</t>
  </si>
  <si>
    <t>0.607(0.4/0.6)</t>
  </si>
  <si>
    <r>
      <rPr>
        <rFont val="Montserrat, Helvetica, Arial, serif"/>
        <color rgb="FF22292F"/>
        <sz val="11.0"/>
      </rPr>
      <t>Vít Krejcí</t>
    </r>
  </si>
  <si>
    <t>0.469(0.8/1.8)</t>
  </si>
  <si>
    <t>0.800(0.1/0.1)</t>
  </si>
  <si>
    <r>
      <rPr>
        <rFont val="Montserrat, Helvetica, Arial, serif"/>
        <color rgb="FF22292F"/>
        <sz val="11.0"/>
      </rPr>
      <t>Anthony Gill</t>
    </r>
  </si>
  <si>
    <t>0.500(1.2/2.4)</t>
  </si>
  <si>
    <t>0.762(0.6/0.8)</t>
  </si>
  <si>
    <r>
      <rPr>
        <rFont val="Montserrat, Helvetica, Arial, serif"/>
        <color rgb="FF22292F"/>
        <sz val="11.0"/>
      </rPr>
      <t>Jared McCain</t>
    </r>
  </si>
  <si>
    <t>0.462(1.0/2.1)</t>
  </si>
  <si>
    <t>0.896(0.4/0.5)</t>
  </si>
  <si>
    <t>Average</t>
  </si>
  <si>
    <t>ZScore</t>
  </si>
  <si>
    <t>Adv%</t>
  </si>
  <si>
    <t>Adv+-</t>
  </si>
  <si>
    <t>1W+-</t>
  </si>
  <si>
    <t>FrV</t>
  </si>
  <si>
    <t>MonsterBar</t>
  </si>
  <si>
    <t>Name</t>
  </si>
  <si>
    <t>Note</t>
  </si>
  <si>
    <t>Inj</t>
  </si>
  <si>
    <t>Inj Risk</t>
  </si>
  <si>
    <t>Status</t>
  </si>
  <si>
    <t>Conf</t>
  </si>
  <si>
    <t>Tier</t>
  </si>
  <si>
    <t>Role</t>
  </si>
  <si>
    <t>g</t>
  </si>
  <si>
    <t>b2b</t>
  </si>
  <si>
    <t>m/g</t>
  </si>
  <si>
    <t>p/g</t>
  </si>
  <si>
    <t>3/g</t>
  </si>
  <si>
    <t>r/g</t>
  </si>
  <si>
    <t>a/g</t>
  </si>
  <si>
    <t>s/g</t>
  </si>
  <si>
    <t>b/g</t>
  </si>
  <si>
    <t>fg%</t>
  </si>
  <si>
    <t>ft%</t>
  </si>
  <si>
    <t>to/g</t>
  </si>
  <si>
    <t>USG</t>
  </si>
  <si>
    <t>pV</t>
  </si>
  <si>
    <t>3V</t>
  </si>
  <si>
    <t>rV</t>
  </si>
  <si>
    <t>aV</t>
  </si>
  <si>
    <t>sV</t>
  </si>
  <si>
    <t>bV</t>
  </si>
  <si>
    <t>fg%V</t>
  </si>
  <si>
    <t>ft%V</t>
  </si>
  <si>
    <t>toV</t>
  </si>
  <si>
    <t>SAS</t>
  </si>
  <si>
    <t>F/C</t>
  </si>
  <si>
    <t>[Josh: Victor Wembanyama put up incredible numbers last season, especially in just 30 minutes per game. With increased playing time, all of it likely at center, more experience, and improved shooting, Wembanyama has a clear path to becoming the top fantasy player. His ability to contribute across categories—scoring, rebounds, assists, steals, and elite blocks—combined with his shooting efficiency makes him a game-changer. Wembanyama has the potential to be the No. 1 fantasy player for the next decade, and this season could see him fully explode into superstardom.]</t>
  </si>
  <si>
    <t>M</t>
  </si>
  <si>
    <t>C 1</t>
  </si>
  <si>
    <t>ST</t>
  </si>
  <si>
    <t>Joel Embiid</t>
  </si>
  <si>
    <t>[Josh: Joel Embiid remains an elite per-game fantasy option, with his dominant scoring, rebounding, and defensive stats making him one of the best in the league. His projected decline in usage and slightly reduced counting stats still place him among the top-tier players. However, the significant concern lies in his health, particularly after two surgeries on the same meniscus. While he could easily finish as the top player on a per-game basis, the durability concerns make him a risky first-round pick. If you’re willing to take on the risk, he’s a game-changer, but for me, his injury history will push him outside of the first round in drafts.]</t>
  </si>
  <si>
    <t>Questionable - left knee</t>
  </si>
  <si>
    <t>H</t>
  </si>
  <si>
    <t>C 4</t>
  </si>
  <si>
    <t>Nikola Jokic</t>
  </si>
  <si>
    <t>[Josh: Nikola Jokic is still awesome and remains a viable number 1 pick. However, after the heavy workload in the playoffs, there's a chance Denver could rest him more during the regular season. Even with that potential risk, his production is elite, and he's still a top-tier option.]</t>
  </si>
  <si>
    <t>L</t>
  </si>
  <si>
    <t>Luka Doncic</t>
  </si>
  <si>
    <t>G</t>
  </si>
  <si>
    <t>[Josh: Luka Doncic is a dominant force, but with the Mavericks having a two-game week during the fantasy playoffs again, picking him in the top 3 becomes a tougher call. His production is elite, but that limited playoff schedule is something to consider when drafting him.]</t>
  </si>
  <si>
    <t>Probable - left calf contusion</t>
  </si>
  <si>
    <t>PG 1</t>
  </si>
  <si>
    <t>Anthony Davis</t>
  </si>
  <si>
    <t>[Josh: Anthony Davis staying healthy last season was a big positive, and the improvements in his free throw percentage and rebounding add to his appeal. His elite production in multiple categories makes him a strong early-round pick, especially now that there’s more confidence in his durability. Davis remains one of the best fantasy options for blocks and boards, and his consistency across the board makes him a top-tier selection.]</t>
  </si>
  <si>
    <t>C 2</t>
  </si>
  <si>
    <t>Shai Gilgeous-Alexander</t>
  </si>
  <si>
    <t>[Josh: Shai Gilgeous-Alexander remains an elite player, but his declining free-throw percentage is a slight concern. His defensive stats were key to his value last season, and with Josh Giddey gone, there's room for his assists to increase. He’s still a top-tier option, but keep an eye on his free-throw numbers.]</t>
  </si>
  <si>
    <t>LaMelo Ball</t>
  </si>
  <si>
    <t>[Josh: Ankle injuries derailed LaMelo Ball last season, but his production was unquestionable when healthy. With new coach Charles Lee likely to increase the pace compared to Steve Clifford, there's a lot of upside. The question is, how big a risk are you willing to take on his health?]</t>
  </si>
  <si>
    <t>PG 3</t>
  </si>
  <si>
    <t>Tyrese Haliburton</t>
  </si>
  <si>
    <t>[Josh: Tyrese Haliburton was on a tear before a hamstring injury derailed his season, showcasing his potential as an easy top-5 player. His efficiency and playmaking were elite, but the big unknown this season is how he'll mesh with Pascal Siakam when he is fully healthy. If he can stay on the court and adapt to playing alongside Siakam, he could return to that top-tier fantasy production. The key question is whether his usage and performance will shift with Siakam in the mix.]</t>
  </si>
  <si>
    <t>PG 2</t>
  </si>
  <si>
    <t>Stephen Curry</t>
  </si>
  <si>
    <t>GSW</t>
  </si>
  <si>
    <t>[Josh: Stephen Curry remains one of the most elite fantasy options, delivering consistent scoring, assists, and incredible shooting percentages. Last season saw a slight drop-off in his production, but with Klay Thompson leaving, his usage may need to spike again. Curry's still a solid first-round pick, with the potential for even more volume this season, though some rest days could be expected.]</t>
  </si>
  <si>
    <t>Playing - index finger</t>
  </si>
  <si>
    <t>New Contract</t>
  </si>
  <si>
    <t>James Harden</t>
  </si>
  <si>
    <t>[Josh: James Harden took a back seat last season, but with Paul George and Russell Westbrook gone, and likely fewer games from Kawhi Leonard, his role should expand. Expect his usage and assist numbers to rise again as he becomes more of a primary option for the Los Angeles Clippers. Harden may see a significant uptick in production if his minutes and playmaking responsibilities increase.]</t>
  </si>
  <si>
    <t>New Contract|Player Option</t>
  </si>
  <si>
    <t>LeBron James</t>
  </si>
  <si>
    <t>F</t>
  </si>
  <si>
    <t>[Josh: LeBron James continues to defy age, maintaining elite production across scoring, assists, and rebounds. While he remains a high-usage focal point for the Lakers, some regression in his three-point shooting percentage is likely. Turning 40 this season, there's always the risk of wear and tear, but his ability to deliver across multiple categories still makes him a strong early-round pick in fantasy.]</t>
  </si>
  <si>
    <t>Player Option|New Contract</t>
  </si>
  <si>
    <t>PF 2</t>
  </si>
  <si>
    <t>Kyrie Irving</t>
  </si>
  <si>
    <t>[Josh: Kyrie Irving’s production should be solid, but the Mavericks’ two-game week during the fantasy playoffs is a concern, along with his history of missed games. While he’s reliable when on the court, these factors make him a riskier pick, especially in the later stages of the season.]</t>
  </si>
  <si>
    <t>Player Option</t>
  </si>
  <si>
    <t>SG 1</t>
  </si>
  <si>
    <t>Paul George</t>
  </si>
  <si>
    <t>G/F</t>
  </si>
  <si>
    <t>[Josh: Paul George's fit on the Philadelphia 76ers is a key question this season, especially with Tyrese Maxey's emergence. George’s ability to contribute across the board—scoring, assists, steals, and efficient shooting—remains elite, but how much he takes on offensively will depend on the team dynamics. He could scale back slightly to allow Maxey to retain high usage, or he might continue to assert himself as a primary option alongside Joel Embiid. Either way, George’s efficiency and well-rounded game make him a solid mid-round pick, but his fantasy ceiling will depend on how much offensive load he shares with Maxey and Embiid.]</t>
  </si>
  <si>
    <t>Doubtful - left knee bone bruise (3g) - 10/30/2024</t>
  </si>
  <si>
    <t>New Team|New Contract</t>
  </si>
  <si>
    <t>SF 1</t>
  </si>
  <si>
    <t>Donovan Mitchell</t>
  </si>
  <si>
    <t>[Josh: Donovan Mitchell dealt with knee problems at the end of last year, which soured some managers, but he was excellent as a first-rounder. With Kenny Atkinson potentially reducing minutes across the board, it’s uncertain if he can replicate last season’s performance. Still, Mitchell remains an awesome option, but there’s a bit more risk involved this year.]</t>
  </si>
  <si>
    <t>Karl-Anthony Towns</t>
  </si>
  <si>
    <t>NYK</t>
  </si>
  <si>
    <t>[Josh: Karl-Anthony Towns moving to New York as the full-time center should lead to increases in his rebounds, field goal percentage, and blocks, given his natural fit at that position. As a center, Towns will be positioned closer to the rim, improving his ability to clean up the boards and block shots. His efficiency in the paint should also lead to an uptick in his field goal percentage, particularly if he’s receiving more touches in higher-percentage areas. These factors could push Towns into the second round of fantasy drafts, with his stats likely to rise across the key categories for big men.]</t>
  </si>
  <si>
    <t>New Team</t>
  </si>
  <si>
    <t>C 3</t>
  </si>
  <si>
    <t>Anthony Edwards</t>
  </si>
  <si>
    <t>[Josh: Anthony Edwards can sometimes be overrated due to his star presence, but there are areas for improvement, such as getting to the free-throw line more often. While his usage and production remain strong, small tweaks in efficiency or drawing fouls could elevate his fantasy value. Edwards is a solid early-round pick, but expectations should be tempered for significant leaps.]</t>
  </si>
  <si>
    <t>Jayson Tatum</t>
  </si>
  <si>
    <t>[Josh: Jayson Tatum had a disappointing Olympics with some controversy over his limited playing time, but that likely won't impact his fantasy value. He dropped out of the first round last season, but he could see an early-season boost with Kristaps Porzingis sidelined. However, I expect his games and minutes to be managed later in the season, similar to last year, as Boston prioritizes his health.]</t>
  </si>
  <si>
    <t>PF 1</t>
  </si>
  <si>
    <t>Kawhi Leonard</t>
  </si>
  <si>
    <t>[Josh: Kawhi Leonard had another solid statistical season when on the court, but the meniscus injury that cost him the playoffs raises big concerns. It's hard to trust his availability, especially with back-to-backs likely being off the table. His usage should rise with Paul George out, but there’s always a risk regarding his knee. While still an elite producer when healthy, the long-term durability and managing minutes will be a significant factor in drafting him.]</t>
  </si>
  <si>
    <t>Injured - right knee (15g) - 11/20/2024</t>
  </si>
  <si>
    <t>SF 3</t>
  </si>
  <si>
    <t>BN</t>
  </si>
  <si>
    <t>Trae Young</t>
  </si>
  <si>
    <t>[Josh: With Dejounte Murray out, Trae Young’s role should expand. Expect first-round value with elite assists and high usage. His key swing factor remains his shooting—if he hits 40% from deep, he’s a clear top 10 player. Turnovers are a downside, but his overall production is worth it.]</t>
  </si>
  <si>
    <t>Breakout Candidate</t>
  </si>
  <si>
    <t>Jalen Brunson</t>
  </si>
  <si>
    <t>[Josh: With Julius Randle and Donte DiVincenzo gone, Jalen Brunson should see increased usage, much like he did late last season when Randle was out. Without Randle handling the ball as much, Brunson could see a rise in his assist numbers as well, as Karl-Anthony Towns, who is more of a scoring center than a playmaking forward, won’t need the same touches on the perimeter. Brunson’s role as the primary offensive initiator should expand, making him a potential top fantasy option, with increases in both scoring and assists likely.]</t>
  </si>
  <si>
    <t>Devin Booker</t>
  </si>
  <si>
    <t>[Josh: Devin Booker remains a top-tier fantasy option, but with Tyus Jones now running point, there’s a chance his assist numbers could dip. While Booker’s usage and scoring should stay high, Mike Budenholzer’s tendency to limit minutes for star players may also slightly reduce Booker’s overall counting stats. Despite these concerns, Booker’s efficiency, scoring, and strong free-throw percentage keep him as a reliable early-round pick. The potential reduction in assists and minutes could slightly lower his ceiling, but Booker should still provide excellent all-around fantasy value.]</t>
  </si>
  <si>
    <t>Domantas Sabonis</t>
  </si>
  <si>
    <t>[Josh: Domantas Sabonis remains a reliable fantasy option, but with the addition of DeMar DeRozan, his usage and assist numbers could see a dip. There are also concerns about Sacramento's already weak defense, which could worsen with DeRozan, potentially leading to less floor time for Sabonis in certain matchups. While it's unlikely that his minutes take a big hit, his role is central to the team’s future, and how the Kings balance his playmaking with DeRozan’s presence will be key to his overall fantasy value.]</t>
  </si>
  <si>
    <t>Scottie Barnes</t>
  </si>
  <si>
    <t>[Josh: Scottie Barnes had a massive breakout last season, improving in rebounds, assists, and blocks, though his three-point shooting tailed off in the second half. His block rate doubled, and he became more involved in the offense with increased usage. The key test this season will be how his usage and assist rate hold up with Immanuel Quickley and RJ Barrett now in the mix. Barnes will need to continue developing his shot and managing turnovers to maintain his value as the Raptors' cornerstone.]</t>
  </si>
  <si>
    <t>Fred VanVleet</t>
  </si>
  <si>
    <t>[Josh: Fred VanVleet, in what might be his last season in Houston, still holds value despite the young talent behind him. While a trade seems unlikely, it's something to monitor. His role as the team's primary playmaker and his consistent production make him a solid fantasy option, potentially undervalued due to concerns about his long-term situation with the team.]</t>
  </si>
  <si>
    <t>PG 4</t>
  </si>
  <si>
    <t>Kevin Durant</t>
  </si>
  <si>
    <t>[Josh: Kevin Durant showed some concerning trends in the final months of last season, including a drop in free-throw attempts and a decline in usage and assists when Bradley Beal and Devin Booker were healthy. With Mike Budenholzer now in charge, there's a real possibility Durant's minutes could be cut by 3-4 per game to preserve his health, making it unreasonable to expect 37 minutes or 75 games this season. While Durant's efficiency remains elite, these reductions in key areas—especially minutes, usage, and free-throw attempts—are concerning for his fantasy value. He's still a strong option, but caution should be taken when projecting his overall output, especially in category leagues.]</t>
  </si>
  <si>
    <t>Chet Holmgren</t>
  </si>
  <si>
    <t>[Josh: Chet Holmgren's durability was a pleasant surprise after missing his rookie year, but expecting another 82-game season is uncertain. If he shifts to power forward, we could see a drop in his rebounds, blocks, and field goal percentage. However, with more minutes likely compared to his rookie season, Holmgren still has room to maintain solid value.]</t>
  </si>
  <si>
    <t>PF 3</t>
  </si>
  <si>
    <t>Giannis Antetokounmpo</t>
  </si>
  <si>
    <t>[Josh: Giannis Antetokounmpo remains an elite option but comes with concerns about his knee, which could linger this season. His poor free-throw shooting almost mandates a punt-FT strategy in category leagues, making him better suited for points leagues where his all-around production shines. Despite the injury worries, Giannis is still a dominant force in multiple categories, though his durability will need to be monitored.]</t>
  </si>
  <si>
    <t>Damian Lillard</t>
  </si>
  <si>
    <t>[Josh: Damian Lillard’s first year in Milwaukee saw a noticeable decline in production, raising questions about whether it was due to his fit with the new team or signs of decline at age 34. His shooting percentages dropped, but there's potential for a bounce-back in efficiency. While some regression could be age-related, Lillard still has room to improve, especially if he adjusts to his new role alongside Giannis.]</t>
  </si>
  <si>
    <t>Jalen Williams</t>
  </si>
  <si>
    <t>[Josh: Jalen Williams' shooting efficiency has been excellent, but he hasn’t taken enough shots or threes. With Josh Giddey gone, Williams should see a boost in usage and playmaking, but there's a risk that his shooting percentages could dip with the increased workload. Keep an eye on his steals as they were down last year, but overall, there's potential for growth.]</t>
  </si>
  <si>
    <t>Questionable - left ankle sprain</t>
  </si>
  <si>
    <t>SF 2</t>
  </si>
  <si>
    <t>De'Aaron Fox</t>
  </si>
  <si>
    <t>[Josh: De'Aaron Fox had a season filled with fluctuations, including a drop in rim efficiency after an insane 2022-23, but he countered it with a hot start from three before that too tailed off. His free-throw percentage also dipped, though a boost in steals offset those concerns. With DeMar DeRozan now in Sacramento, Fox may see a reduction in shot attempts and assist opportunities, adding another layer of unpredictability. Fox has top-10 upside if everything clicks, but the variables, especially with DeRozan’s arrival, could limit his fantasy ceiling.]</t>
  </si>
  <si>
    <t>Lauri Markkanen</t>
  </si>
  <si>
    <t>[Josh: Lauri Markkanen remains a highly productive player for Utah, posting excellent shooting numbers and solid rebounding. However, his defensive stats remain low, and it's unclear what the next level of improvement could be for him beyond maintaining his current efficiency. The biggest concern for fantasy managers is Utah's recent trend of shutting down key players post-All-Star break, which makes Markkanen a risky option during fantasy playoffs. While he provides strong early-season value, the shutdown risk looms, particularly for managers in competitive leagues.]</t>
  </si>
  <si>
    <t>Evan Mobley</t>
  </si>
  <si>
    <t>[Josh: People think Evan Mobley has been disappointing, but I disagree. He improved his shooting last season and now just needs to increase his three-point volume. However, his path to being a top-tier player is still blocked by Jarrett Allen’s presence on the team. Mobley is still on an upward trajectory, and I expect continued growth, even if a full breakout is held back by Allen's role.]</t>
  </si>
  <si>
    <t>Breakout Candidate|New Contract</t>
  </si>
  <si>
    <t>PF 4</t>
  </si>
  <si>
    <t>Dejounte Murray</t>
  </si>
  <si>
    <t>NOR</t>
  </si>
  <si>
    <t>[Josh: Dejounte Murray's role in New Orleans should shift back to a full-time point guard position, likely pushing CJ McCollum off the ball. While his usage might dip slightly, his ability to rebound could improve due to the team's lack of a true center. Expect a well-rounded stat line, with an emphasis on assists and rebounds, making him a solid early-round fantasy option.]</t>
  </si>
  <si>
    <t>PG 5</t>
  </si>
  <si>
    <t>Cade Cunningham</t>
  </si>
  <si>
    <t>[Josh: Cade Cunningham showed big improvements late in the season, and the addition of legitimate shooters around him should only help. For him to truly elevate his game, he needs to get to the free-throw line more often and contribute more on defense. There's a lot of upside here, but those areas are key to reaching his full potential.]</t>
  </si>
  <si>
    <t>Jaren Jackson Jr.</t>
  </si>
  <si>
    <t>[Josh: With a reduced offensive role due to Ja Morant's return, Jaren Jackson Jr. could see improvements in his field goal percentage and possibly an uptick in blocks. However, there's no certainty that his elite block numbers from the past will fully return. Jackson remains a top-tier option for defensive stats, but managers should be cautious about expecting his previous block rates to resurface.]</t>
  </si>
  <si>
    <t>Questionable - hamstring tightness</t>
  </si>
  <si>
    <t>C 5</t>
  </si>
  <si>
    <t>Tyrese Maxey</t>
  </si>
  <si>
    <t>[Josh: Tyrese Maxey broke out last season after James Harden's departure, showcasing his scoring and playmaking abilities. The arrival of Paul George raises questions about Maxey's role moving forward. While Maxey’s usage might take a slight hit, it’s also possible George steps back, allowing Maxey to maintain his role as a primary offensive option alongside Joel Embiid. His efficiency, especially from the free-throw line and beyond the arc, remains strong, and he still projects as a key mid-round pick in fantasy. Keep an eye on how the dynamic with George unfolds, but Maxey's skillset and youth suggest he’ll continue to be a valuable fantasy contributor.]</t>
  </si>
  <si>
    <t>Questionable - right thumb contusion</t>
  </si>
  <si>
    <t>Kristaps Porzingis</t>
  </si>
  <si>
    <t>[Josh: Kristaps Porzingis is coming off ankle surgery and is likely out until January. Even when he returns, he’ll need time to ramp up, and it’s hard to see him playing in any back-to-backs this season. Given the uncertainty and limited availability, I’m not looking to draft him.]</t>
  </si>
  <si>
    <t>Injured - left ankle surgery (29g) - 12/25/2024</t>
  </si>
  <si>
    <t>Jimmy Butler</t>
  </si>
  <si>
    <t>[Josh: Jimmy Butler's three-point shooting spike last season raises questions about its sustainability, especially given his history. His steal numbers dipped slightly, but the real concern is his durability and potential contract-related distractions. Butler's advancing age, random injuries, and off-court tension make him a high-risk fantasy option, with too many uncertainties to confidently draft him as a top-tier player.]</t>
  </si>
  <si>
    <t>Bust Candidate|Player Option</t>
  </si>
  <si>
    <t>Zion Williamson</t>
  </si>
  <si>
    <t>[Josh: Zion Williamson had an up-and-down season, with lower usage and field goal percentage early on, but he improved significantly as the year progressed, especially in defensive stats. By the end of the season, his usage spiked, and it's likely the Pelicans will lean heavily on him as their primary option this season. If he stays healthy, Zion can be a dominant force, especially with an increased role as the team's clear No. 1 option.]</t>
  </si>
  <si>
    <t>Desmond Bane</t>
  </si>
  <si>
    <t>[Josh: Desmond Bane's usage and assist numbers are likely to decrease with Ja Morant returning, but he should still provide solid scoring and elite shooting efficiency. Health has been a concern, but if he stays on the court, Bane remains a reliable mid-round fantasy option, especially in category leagues where his percentages are highly valuable. His role will adjust, but his overall fantasy impact remains strong.]</t>
  </si>
  <si>
    <t>Immanuel Quickley</t>
  </si>
  <si>
    <t>[Josh: Immanuel Quickley saw a significant boost in production after joining Toronto, averaging 18.6 points, 4.8 rebounds, and 6.8 assists in 38 games, compared to his 15 points and 2.5 assists in New York. His role expanded as a full-time starter, playing 33.3 minutes per game, which led to more opportunities in scoring, assists, and rebounds. Although his field goal percentage dipped slightly, he maintained a solid 39.5% from three on higher volume. With a bigger role, Quickley became a valuable mid-round fantasy option, but it will be interesting to see how his usage adjusts alongside a healthy Scottie Barnes and RJ Barrett this season.]</t>
  </si>
  <si>
    <t>PG 6</t>
  </si>
  <si>
    <t>Derrick White</t>
  </si>
  <si>
    <t>[Josh: Derrick White excelled even with Jrue Holiday in town, proving his value on both ends of the floor. However, any drop in his defense or three-point percentage would significantly impact his overall fantasy value, so those are key areas to watch this season.]</t>
  </si>
  <si>
    <t>SG 2</t>
  </si>
  <si>
    <t>Alperen Sengün</t>
  </si>
  <si>
    <t>[Josh: Alperen Sengün had a breakout season, but there are still some concerns. While he was great last year, I'm not entirely convinced that Ime Udoka won't occasionally bench him for defensive reasons. The next step for Sengün is improving his free throw percentage and outside shooting, which could further solidify his role and elevate his fantasy value.]</t>
  </si>
  <si>
    <t>Restricted Free Agent</t>
  </si>
  <si>
    <t>Bam Adebayo</t>
  </si>
  <si>
    <t>[Josh: Bam Adebayo's game seems to have plateaued, with his assists and blocks remaining stagnant, but he has increased his usage. Toward the end of last season, he began taking more threes, which could signal a shift to playing more power forward this year. If his three-point shooting becomes a regular part of his game, it could open up new fantasy value, though it remains uncertain how consistent that will be.]</t>
  </si>
  <si>
    <t>DeMar DeRozan</t>
  </si>
  <si>
    <t>[Josh: DeMar DeRozan’s arrival in Sacramento raises significant questions about fit, particularly alongside Domantas Sabonis. Both players operate heavily in the midrange and neither provides much spacing or defense, creating potential issues on both ends of the floor. DeRozan's usage and assists could take a hit, as Sacramento already has playmakers like De'Aaron Fox. Additionally, his minutes may decrease as the Kings try to balance the lineup. While DeRozan remains productive, the fit in Sacramento could lower his fantasy ceiling this season.]</t>
  </si>
  <si>
    <t>Probable</t>
  </si>
  <si>
    <t>Bust Candidate|New Team|New Contract</t>
  </si>
  <si>
    <t>SF 4</t>
  </si>
  <si>
    <t>Franz Wagner</t>
  </si>
  <si>
    <t>[Josh: Franz Wagner continues to develop into a versatile scorer, with his projected stats showing a slight uptick in usage and efficiency. While his three-point shooting dipped last season, he shot 36% from deep in his first two years, so there's no major concern about his long-term shooting ability. Wagner’s ability to contribute across multiple categories—especially with strong percentages—makes him an underrated mid-round pick, particularly in category leagues. His steady improvement, along with his well-rounded game, gives him a solid fantasy floor, and any bounce-back in his shooting from three could elevate his value even further.]</t>
  </si>
  <si>
    <t>Jalen Johnson</t>
  </si>
  <si>
    <t>[Josh: Jalen Johnson is a popular breakout pick, stepping into an unquestioned starting role in his fourth season. His usage is up, but his shooting dipped as last season progressed, partly due to multiple ankle injuries. If he stays healthy, he’s a solid top 50 option with potential across the board.]</t>
  </si>
  <si>
    <t>Breakout Candidate|Restricted Free Agent</t>
  </si>
  <si>
    <t>Ja Morant</t>
  </si>
  <si>
    <t>[Josh: Ja Morant’s suspension and injury limited him last season, but his improved free-throw percentage is a promising development. His value in category leagues is often underrated due to his turnovers and lower three-point shooting, but he's still a strong option. Morant remains a higher-value pick in points leagues, where his scoring and assists provide elite production.]</t>
  </si>
  <si>
    <t>Probable - ankle</t>
  </si>
  <si>
    <t>Darius Garland</t>
  </si>
  <si>
    <t>[Josh: Darius Garland was slowed down by a broken jaw last season, but I expect improvements this year. The big question will be how much Kenny Atkinson might cut minutes compared to J.B. Bickerstaff's approach. Garland should still be a solid contributor, but the potential for reduced minutes is something to watch.]</t>
  </si>
  <si>
    <t>Deandre Ayton</t>
  </si>
  <si>
    <t>[Josh: Deandre Ayton had a rough start last season but dominated in the second half with strong rebounding and efficient scoring. However, despite his size and good free-throw shooting, he remains hesitant to draw fouls, which limits his upside. Portland drafting Donovan Clingan raises questions about how committed they are to The Snowman long-term. While Ayton still provides value with his rebounding and field-goal percentage, the team’s focus on younger players adds uncertainty to his role going forward.]</t>
  </si>
  <si>
    <t>C 6</t>
  </si>
  <si>
    <t>OG Anunoby</t>
  </si>
  <si>
    <t>[Josh: OG Anunoby's usage is unlikely to increase with the Knicks, as his primary value remains on the defensive end. His shooting will be the key swing skill for fantasy value, but his minutes are guaranteed. Anunoby is a solid mid-round pick, especially for defensive stats, but don’t expect a big offensive leap.]</t>
  </si>
  <si>
    <t>Bradley Beal</t>
  </si>
  <si>
    <t>[Josh: Bradley Beal had a frustrating start last season but finished strong, shooting efficiently, particularly from deep. However, his three-point volume remains lower than ideal, and he saw a significant dip in usage, which could continue this season alongside Devin Booker and Kevin Durant. Beal’s playmaking and scoring are solid, but with Tyus Jones now running point, Beal's assist numbers may not spike as much as hoped. Additionally, with Budenholzer potentially cutting minutes, Beal's upside could be capped. He’s still a reliable mid-round pick, but his fantasy ceiling may be lower than in previous seasons due to the crowded offense.]</t>
  </si>
  <si>
    <t>Jaylen Brown</t>
  </si>
  <si>
    <t>[Josh: Jaylen Brown, the reigning Finals MVP, was notably 'snubbed' from the Olympics. His drop in free throw percentage last season was a hit, and I expect similar production this year with FT% being the key variable to watch. His usage and overall numbers should remain steady.]</t>
  </si>
  <si>
    <t>Jamal Murray</t>
  </si>
  <si>
    <t>[Josh: Jamal Murray dealt with multiple injuries last season and looked terrible at the Olympics, which could lead to him being undervalued in drafts. However, the recurrent leg issues are a concern, and it's something to keep in mind when considering him. While there's upside, there's also a bit of risk involved due to his injury history.]</t>
  </si>
  <si>
    <t>Probable - knee</t>
  </si>
  <si>
    <t>Brandon Miller</t>
  </si>
  <si>
    <t>[Josh: Brandon Miller had an almost universally praised rookie season, but he only really took off when LaMelo Ball was out and Terry Rozier was traded. His fantasy game is still a bit empty, so how his usage looks with a full roster will be key. There's potential, but he needs to fill out his stat line to reach the next level.]</t>
  </si>
  <si>
    <t>Jordan Poole</t>
  </si>
  <si>
    <t>[Josh: Jordan Poole struggled with consistency last season, seeing both his usage rate and minutes decline compared to his time with the Golden State Warriors. His shooting percentages were down (41.3% FG, 32.6% 3PT), and his turnovers remained an issue. However, post-All-Star break, Poole showed significant improvement and performed at a near top-50 fantasy level. If Poole takes over as the Washington Wizards' starting point guard, there's strong potential for a bounce-back season with increased playmaking opportunities, but the risks around efficiency and consistency still loom large.]</t>
  </si>
  <si>
    <t>PG 7</t>
  </si>
  <si>
    <t>Tobias Harris</t>
  </si>
  <si>
    <t>[Josh: Tobias Harris is often underrated, but he should see more usage as the Pistons' second option, which is an upgrade from his role in Philadelphia. He’s solid across the board and could be a reliable contributor in all categories. While not flashy, his increased role in Detroit makes him a valuable fantasy asset.]</t>
  </si>
  <si>
    <t>PF 5</t>
  </si>
  <si>
    <t>Zach LaVine</t>
  </si>
  <si>
    <t>[Josh: Zach LaVine might be getting underrated after a down year and an injury that ended his season. He can still be a solid contributor, but the big question is whether he’ll even be playing for Chicago. His value will depend heavily on the situation he finds himself in if he’s traded. There’s potential here, but also a lot of uncertainty.]</t>
  </si>
  <si>
    <t>Collin Sexton</t>
  </si>
  <si>
    <t>[Josh: Collin Sexton played very well as a starter last season, showing improved efficiency in scoring and playmaking, with Utah performing better when he was on the floor. However, there are questions about whether he will be prioritized over Jordan Clarkson in the starting lineup, as well as rumors that Sexton may not be part of Utah's long-term core. This presents some risk of a potential trade or a diminished role. Despite this uncertainty, Sexton’s fantasy value remains appealing, especially as he often goes late in drafts. If he remains a key piece for Utah, his high usage and scoring efficiency make him a solid mid-round pick.]</t>
  </si>
  <si>
    <t>SG 3</t>
  </si>
  <si>
    <t>Jarrett Allen</t>
  </si>
  <si>
    <t>[Josh: Jarrett Allen always seems to be at risk of being traded, which would open up the center spot for Evan Mobley, but with his extension, that doesn't seem likely. I don’t see any breakout coming, and he might see a bit less playing time, but he’s otherwise a steady option. His numbers jumped a lot last year when Mobley was hurt, but with both healthy, expect a more consistent, if unspectacular, performance.]</t>
  </si>
  <si>
    <t>C 7</t>
  </si>
  <si>
    <t>Mikal Bridges</t>
  </si>
  <si>
    <t>[Josh: Mikal Bridges won’t maintain the high usage he had in Brooklyn, as his role on the Knicks will likely be more balanced. While his defense and shooting percentages could improve, it’s unlikely he’ll match the numbers from his Phoenix days. Expect solid contributions across the board, but temper expectations for major offensive production.]</t>
  </si>
  <si>
    <t>Myles Turner</t>
  </si>
  <si>
    <t>[Josh: Myles Turner continued to be a strong contributor last season, with his blocks and efficient shooting making him a valuable fantasy asset. His usage rate is solid, and he remains a key piece for Indiana, though his fantasy value can fluctuate slightly based on the team's dynamics. The main concerns are always health and consistency, but as long as he stays on the court, he’s a reliable option. Turner's free-throw shooting improved a bit last season, which helps in categories leagues, but his ceiling is somewhat capped by his role within the team's offense.]</t>
  </si>
  <si>
    <t>Unrestricted Free Agent</t>
  </si>
  <si>
    <t>D'Angelo Russell</t>
  </si>
  <si>
    <t>[Josh: D'Angelo Russell had an inconsistent season, with flashes of brilliance but also stretches of underperformance. While his production in points, assists, and shooting efficiency makes him a solid mid-round fantasy option, the potential for a trade looms over his value. Under new coach JJ Redick, he's less likely to face the benching issues he had with Darvin Ham, giving him a more stable role this season.]</t>
  </si>
  <si>
    <t>Cam Thomas</t>
  </si>
  <si>
    <t>[Josh: Cam Thomas is set to take a lot of shots on a bad team, so expect plenty of volume scoring. He improved his passing last season and could take another step forward in that area, but there will definitely be significant holes in his FG%. Despite the flaws, his usage keeps him in the mix as a mid-round pick.]</t>
  </si>
  <si>
    <t>Trey Murphy III</t>
  </si>
  <si>
    <t>[Josh: Trey Murphy continues to be a strong fantasy option, but the crowded wing rotation in New Orleans limits his immediate upside. Still, he's worth targeting due to his efficiency and versatile production, with the potential for a breakout if things fall his way, such as a trade or injury opening up more minutes. Murphy has great long-term upside and could surprise if given the opportunity.]</t>
  </si>
  <si>
    <t>Injured - right hamstring strain (5g) - 11/1/2024</t>
  </si>
  <si>
    <t>SF 5</t>
  </si>
  <si>
    <t>mST</t>
  </si>
  <si>
    <t>Jalen Duren</t>
  </si>
  <si>
    <t>[Josh: Jalen Duren has been a strong presence, providing solid rebounding and efficient scoring, but his lack of defensive stats is a concern. On the positive side, his free throw percentage has recently improved, which is encouraging. While his role is likely secure, his value will largely depend on maintaining that free throw improvement, as his defensive contributions remain limited.]</t>
  </si>
  <si>
    <t>Jalen Suggs</t>
  </si>
  <si>
    <t>[Josh: Jalen Suggs is set to take over full-time point guard duties this season, which should lead to an increase in minutes and playmaking opportunities. While his projected stats show moderate growth, his value still lies primarily in his ability to generate steals. Suggs has shown improved shooting efficiency, but he remains inconsistent, and turnovers could be a mild concern. With his role shifting from shooting guard to point guard, his assist numbers should rise, but his fantasy appeal will still be limited to specific categories like steals and possibly assists. He’s a solid mid-round option in category leagues for managers needing defensive stats and modest contributions elsewhere.]</t>
  </si>
  <si>
    <t>Alex Caruso</t>
  </si>
  <si>
    <t>[Josh: Alex Caruso remains a standard-league option in Oklahoma City, especially with his strong defensive stats and playmaking ability. While his three-point shooting can fluctuate, he should still contribute across multiple categories. There’s a possibility they manage his minutes to preserve his health, but he’s likely to have a solid role regardless.]</t>
  </si>
  <si>
    <t>Position Battle|New Team|Unrestricted Free Agent</t>
  </si>
  <si>
    <t>Miles Bridges</t>
  </si>
  <si>
    <t>[Josh: Miles Bridges had nice volume last season, but it's hard to see that holding. With LaMelo Ball back, his efficiency could improve, but questions remain about whether his defense will ever be strong. Despite those concerns, his role is secure, making him a solid option, though there are some uncertainties.]</t>
  </si>
  <si>
    <t>PF 6</t>
  </si>
  <si>
    <t>Walker Kessler</t>
  </si>
  <si>
    <t>[Josh: Walker Kessler continued to excel as a rim protector last season, maintaining elite block numbers and solid efficiency around the rim. However, his minutes didn’t increase significantly, with head coach Will Hardy showing concerns about Kessler’s perimeter defense. His elbow issue may have also limited his effectiveness at times. Heading into this season, there’s an expectation that Utah will give Kessler another shot as the starting center to see if he can take a bigger step forward. If his minutes rise and he remains healthy, Kessler has the potential to deliver even more value as a defensive anchor, making him a solid mid-round fantasy pick for blocks and rebounds.]</t>
  </si>
  <si>
    <t>C 9</t>
  </si>
  <si>
    <t>Draymond Green</t>
  </si>
  <si>
    <t>[Josh: Draymond Green continues to be a versatile contributor across multiple categories, but his offensive production remains limited. He’s worse in points leagues due to his lower scoring output, and the risk of suspension always looms given his history. While he had a solid season last year with slight improvements in shooting percentages, his value still lies in assists, rebounds, and defensive stats. Expect consistent mid-round value, but with limited scoring upside and some potential for missed games.]</t>
  </si>
  <si>
    <t>Pascal Siakam</t>
  </si>
  <si>
    <t>[Josh: Pascal Siakam is a very reliable player, offering solid contributions across the board, but his lack of elite defensive stats and inconsistent free throw percentage can limit his value in category leagues. While he puts up strong numbers, he's more steady than spectacular, which keeps his ceiling a bit lower in fantasy. With his role likely remaining substantial in Indiana, expect consistent production, though his overall fantasy impact might be somewhat capped by these limitations.]</t>
  </si>
  <si>
    <t>Jrue Holiday</t>
  </si>
  <si>
    <t>[Josh: Jrue Holiday took a huge step back in usage last season, and with the potential for fatigue after playing in the Olympics, there are some concerns. He might see an early usage bump with Kristaps Porzingis out, but Boston will likely need to manage his minutes carefully in the second half of the season.]</t>
  </si>
  <si>
    <t>Rudy Gobert</t>
  </si>
  <si>
    <t>[Josh: Rudy Gobert remains a solid contributor despite online narratives suggesting otherwise. He won’t be benched for Naz Reid, and his role should remain consistent, continuing to provide elite rebounds, blocks, and field goal percentage. While not flashy, Gobert is still a valuable mid-round option, especially in leagues that reward defensive stats and efficiency.]</t>
  </si>
  <si>
    <t>Anfernee Simons</t>
  </si>
  <si>
    <t>[Josh: Anfernee Simons had a solid offensive season, but injuries, including a thumb issue, kept him from playing a full slate of games. His scoring and efficiency remain strong, especially from three and the free-throw line, but his defensive numbers are almost nonexistent, which hurts his overall fantasy value. While he's not known for his defense, last season's production in that area was even more concerning. With Scoot Henderson still on the bench, Simons' future role remains unclear, especially with the team's focus on development. Simons is still a valuable fantasy option for points, threes, and free throws, but the uncertainty around his role and the team's direction creates some risk.]</t>
  </si>
  <si>
    <t>Isaiah Hartenstein</t>
  </si>
  <si>
    <t>[Josh: Isaiah Hartenstein's usage in Oklahoma City is likely to increase compared to his time in New York, especially with potential playmaking duties and a higher salary signaling a bigger role. He could see more minutes, though starting isn't a requirement for him to make an impact. His versatility keeps him valuable in standard leagues.]</t>
  </si>
  <si>
    <t>Injured - left hand (27g) - 12/23/2024</t>
  </si>
  <si>
    <t>Position Battle|New Team|New Contract</t>
  </si>
  <si>
    <t>Julius Randle</t>
  </si>
  <si>
    <t>[Josh: Julius Randle, now in Minnesota, should continue to start, but expect fewer minutes than he had in New York. His fit with Rudy Gobert may be awkward, as both are interior players, which could lead to some offensive crowding. Randle's overall production might take a hit, especially if his minutes are scaled back in a deeper frontcourt rotation.]</t>
  </si>
  <si>
    <t>New Team|Player Option</t>
  </si>
  <si>
    <t>Khris Middleton</t>
  </si>
  <si>
    <t>[Josh: Khris Middleton’s season was derailed by injury, with his minutes capped throughout the year. After undergoing offseason ankle surgery, he’s expected to be healthy at the start of this season, and his minutes should increase from last year's restricted workload. Middleton remains a solid mid-round option with upside in points, assists, and shooting percentages, assuming he stays healthy.]</t>
  </si>
  <si>
    <t>Injured - ankle surgery (5g) - 11/1/2024</t>
  </si>
  <si>
    <t>Nicolas Claxton</t>
  </si>
  <si>
    <t>[Josh: Nicolas Claxton saw a big drop in blocks and FG% last season, but after re-signing in the offseason, I expect him to bounce back a bit this year. However, with Brooklyn in flux and players like Noah Clowney and Day'Ron Sharpe potentially finding minutes later in the season, Claxton’s role could be challenged as the year progresses. Still, he remains a solid option for blocks and rebounds early on.]</t>
  </si>
  <si>
    <t>Probable - hamstring soreness</t>
  </si>
  <si>
    <t>C 8</t>
  </si>
  <si>
    <t>Mark Williams</t>
  </si>
  <si>
    <t>[Josh: I can't say I'm doubtful that Mark Williams will be productive. What I am doubtful of is the state of his back after last year's injury. It's doubtful he falls outside the top 100, and I'm also doubtful the Hornets go any other direction than starting Williams.]</t>
  </si>
  <si>
    <t>Questionable - left foot</t>
  </si>
  <si>
    <t>Austin Reaves</t>
  </si>
  <si>
    <t>[Josh: Austin Reaves dealt with early-season issues under Darvin Ham, but his role solidified as the season progressed. A slight dip in two-point shooting and free throw rate tempered his breakout, yet his all-around game still provides value. With his versatility and solid efficiency, Reaves could be slightly underrated heading into this season, making him a potential mid-round steal.]</t>
  </si>
  <si>
    <t>SG 4</t>
  </si>
  <si>
    <t>Bogdan Bogdanovic</t>
  </si>
  <si>
    <t>[Josh: Bogdan Bogdanovic's value could rise if he starts, though that's uncertain. With potential for more usage, especially after staying healthy last season, he has solid upside. I project him as a top 100 player, but there’s a lot more potential here than what initial projections might indicate.]</t>
  </si>
  <si>
    <t>Brandon Ingram</t>
  </si>
  <si>
    <t>[Josh: Brandon Ingram's playoff struggles and desire for a max extension, which no team is willing to offer, raise significant concerns about his future. With Zion Williamson and Dejounte Murray likely dominating the ball, Ingram's off-ball limitations are exposed, and there’s even a chance Trey Murphy could start over him. These uncertainties make Ingram a risky fantasy option with too many concerns to consider him a reliable pick.]</t>
  </si>
  <si>
    <t>Bust Candidate|Unrestricted Free Agent</t>
  </si>
  <si>
    <t>Josh Giddey</t>
  </si>
  <si>
    <t>[Josh: Josh Giddey, about to turn 22, was traded to Chicago in the offseason. His minutes should rise steadily, and it's worth noting that he quietly shot over 80% from the free-throw line last season. Despite some real-life issues, the Bulls seem to value him highly. There's solid upside here, especially as he grows into a more prominent role.]</t>
  </si>
  <si>
    <t>Breakout Candidate|New Team|Restricted Free Agent</t>
  </si>
  <si>
    <t>Paolo Banchero</t>
  </si>
  <si>
    <t>[Josh: Paolo Banchero enters year three with steady growth in his offensive game, particularly with his free-throw percentage improving as last season closed. His projected numbers show small increases in scoring, rebounding, and playmaking, making him a solid all-around option. However, his shooting percentages—especially from three—remain a concern, and his turnovers can hurt his value in category leagues. Defensively, he’s not expected to contribute much, which limits his upside in certain formats. Banchero can be underrated in category leagues due to his efficiency issues, but his usage and volume make him a strong early-round option for points leagues.]</t>
  </si>
  <si>
    <t>Nikola Vucevic</t>
  </si>
  <si>
    <t>[Josh: With DeMar DeRozan already gone, there’s some talk that Nikola Vucevic might see an increase in usage. However, I’d be cautious about expecting a big jump, as Zach LaVine could easily take over those touches. Vucevic has been underwhelming in real life, and there’s a risk he could lose his job or be traded. While his fantasy value remains decent, the situation is far from stable.]</t>
  </si>
  <si>
    <t>Bust Candidate</t>
  </si>
  <si>
    <t>Devin Vassell</t>
  </si>
  <si>
    <t>[Josh: Devin Vassell looks set to be the clear No. 2 option behind Victor Wembanyama. His scoring and efficiency are solid, making him a reliable mid-round fantasy pick. While the addition of Chris Paul may lower Vassell's assists slightly, his role as a primary scorer and perimeter threat remains secure. Vassell's consistency across multiple categories, particularly in points, steals, and three-point shooting, makes him a valuable asset in fantasy leagues, with minimal downside as long as he stays healthy.]</t>
  </si>
  <si>
    <t>Injured - foot (8g) - 11/7/2024</t>
  </si>
  <si>
    <t>CJ McCollum</t>
  </si>
  <si>
    <t>[Josh: C.J. McCollum had a strong year, but with Dejounte Murray likely taking over point guard duties, McCollum may see a reduced role, possibly even coming off the bench. His usage and playmaking will likely drop as he plays less point guard, limiting his fantasy upside. Still, he remains a solid scoring and three-point option, though his overall value could take a hit with the role adjustment.]</t>
  </si>
  <si>
    <t>Keegan Murray</t>
  </si>
  <si>
    <t>[Josh: Keegan Murray saw increased usage and minutes in his second year, but his three-point percentage dropped. With DeMar DeRozan joining the Kings, Murray's usage is likely to decrease, as there will be more competition for shots and offensive opportunities. Despite improvements in other areas of his game, such as rebounding and defensive stats, the arrival of DeRozan makes it hard to see a significant leap in Murray’s offensive production. This could limit his upside in fantasy leagues, especially in scoring categories.]</t>
  </si>
  <si>
    <t>PF 7</t>
  </si>
  <si>
    <t>Jakob Poeltl</t>
  </si>
  <si>
    <t>[Josh: Jakob Poeltl showed improvement after being traded to Toronto, particularly in his scoring and shot-blocking, but his upside could be somewhat limited this season with Kelly Olynyk now in the mix. While Olynyk isn't likely to take away Poeltl's starting spot, he could eat into Poeltl's minutes slightly. Poeltl remains valuable for his rebounds, blocks, and efficient field goal percentage, but his poor free-throw shooting will always be a drag in category leagues. Overall, he’s a mid-round option, though expectations should be tempered given the potential for reduced minutes and his limitations in certain categories.]</t>
  </si>
  <si>
    <t>Ivica Zubac</t>
  </si>
  <si>
    <t>[Josh: Ivica Zubac has consistently had his minutes limited by Tyronn Lue, but with the loss of both backup centers and Paul George, which limits their small-ball options, there is potential for more playing time. Zubac's recent extension further indicates that the team values him, and he could see an uptick in minutes and production this season as a result. Keep an eye on how the Clippers handle their rotations, but Zubac may be in line for a larger role than in the past.]</t>
  </si>
  <si>
    <t>Daniel Gafford</t>
  </si>
  <si>
    <t>[Josh: Daniel Gafford had a roller coaster season, dropping off when he first arrived in Dallas but then surging in March. However, he was outplayed by Dereck Lively II in the playoffs. While Gafford still has value, I don't expect him to reach the numbers he put up last season. His role may be more limited, making him a riskier pick with reduced upside.]</t>
  </si>
  <si>
    <t>Herbert Jones</t>
  </si>
  <si>
    <t>[Josh: Herb Jones remains relevant in standard leagues, primarily due to his elite defensive stats, especially steals. While his low usage limits his offensive contributions, his ability to impact the game defensively keeps him valuable even in standard formats.]</t>
  </si>
  <si>
    <t>SF 6</t>
  </si>
  <si>
    <t>Kyle Kuzma</t>
  </si>
  <si>
    <t>[Josh: Kyle Kuzma had an increased usage last season, reaching 28.8%, and became a primary offensive option for the Washington Wizards. His 22.2 points per game came with an improvement in his assists, but his shooting percentages remained inconsistent, as he struggled with both field goal and free throw percentages. Kuzma's defensive stats remained low, and his turnovers stayed relatively high for his role. With Jordan Poole now in Washington, the dynamic between Kuzma and Poole will be crucial to monitor, especially as Kuzma’s future with the team remains uncertain—he could be a strong trade candidate mid-season.]</t>
  </si>
  <si>
    <t>Amen Thompson</t>
  </si>
  <si>
    <t>[Josh: Amen Thompson possesses immense upside both in fantasy and real life. While he's not a starter yet, if he can secure 24-25 minutes per game, he becomes a draftable option. His shooting is notoriously poor, but his smart shot selection still allows him to maintain a well above average field goal percentage. With his potential, he could be a future top-20 player in the league.]</t>
  </si>
  <si>
    <t>Josh Hart</t>
  </si>
  <si>
    <t>[Josh: Josh Hart’s numbers were inflated last season due to playing over 40 minutes a night as a result of injuries to other key players. While his all-around contributions are valuable, it's unlikely he'll maintain that level of minutes with the team healthier this season. Expect a drop in his production, but he remains a solid contributor in rebounds, assists, and hustle stats.]</t>
  </si>
  <si>
    <t>Chris Paul</t>
  </si>
  <si>
    <t>[Josh: Chris Paul had his worst season in Golden State last year, with his minutes down as he came off the bench, but he’s unlikely to be a bench player in San Antonio. Injuries remain a big concern, but Paul’s playmaking skills will be key in getting the most out of Victor Wembanyama. While his scoring has dropped, Paul’s ability to generate assists and control the pace remains valuable. He could still provide solid mid-round value, but durability is a major risk at this stage of his career.]</t>
  </si>
  <si>
    <t>New Team|Unrestricted Free Agent|New Contract</t>
  </si>
  <si>
    <t>PG 8</t>
  </si>
  <si>
    <t>Tyler Herro</t>
  </si>
  <si>
    <t>[Josh: Tyler Herro's game, like much of the Heat roster, seems to have plateaued, with his scoring and efficiency remaining steady but not improving. Injuries continue to disrupt his rhythm, and with Terry Rozier now in the mix, Herro's assist numbers could take a hit. While still valuable for scoring and threes, his ceiling feels capped, making him a mid-round option with injury risks.]</t>
  </si>
  <si>
    <t>Michael Porter Jr.</t>
  </si>
  <si>
    <t>[Josh: I don't see much changing for Michael Porter Jr. this season. He shoots well and rebounds effectively, but there's not much room for improvement in his game. He's a solid contributor in those areas, but his ceiling seems fairly set at this point. Expect more of the same from him this year.]</t>
  </si>
  <si>
    <t>Keyonte George</t>
  </si>
  <si>
    <t>[Josh: Keyonte George is poised to be a day-one starter for Utah after showing flashes last season despite being in and out of the starting lineup. He played only 27 minutes per game, with inconsistency in field goal percentage and relatively low assist numbers for a point guard. Heading into his second year, a big jump is expected, particularly in playmaking and scoring, but concerns around his shooting efficiency remain. If George can improve his shot selection and cut down on turnovers, he could emerge as a solid mid-round fantasy option, but his fantasy upside will be tied to how much he can boost his percentages and assist totals.]</t>
  </si>
  <si>
    <t>Jonathan Kuminga</t>
  </si>
  <si>
    <t>[Josh: Jonathan Kuminga is likely to start this season and could emerge as the number two offensive option for the Warriors. While he still lacks in defensive stats and three-point volume, this is his chance to step up and solidify his role. With increased usage, he’s an intriguing mid-round draft target who could deliver significant scoring and rebounding value, though you'll need to account for his limited contributions in other categories.]</t>
  </si>
  <si>
    <t>Terry Rozier</t>
  </si>
  <si>
    <t>[Josh: Terry Rozier experienced a significant drop in usage and assists after his move to Miami, a major shift from his role in Charlotte. While still contributing in points, threes, and some playmaking, his overall fantasy value has taken a hit with fewer opportunities. Rozier's role in Miami appears more limited, reducing his upside to a mid-round pick at best.]</t>
  </si>
  <si>
    <t>Jusuf Nurkic</t>
  </si>
  <si>
    <t>[Josh: Jusuf Nurkic had a solid defensive season but continues to struggle as a finisher around the rim, which is a concern for a big man. His rebounding and playmaking remain strong, but his inefficiency in scoring limits his upside. There’s a small hope that Mike Budenholzer can help Nurkic find some of the form that revitalized Brook Lopez’s career, particularly on defense and efficiency, but expecting a major transformation is risky. Nurkic remains a mid-round option, with potential in rebounds and defensive stats, but his inefficiency and potential for limited minutes under Budenholzer temper expectations.]</t>
  </si>
  <si>
    <t>Al Horford</t>
  </si>
  <si>
    <t>[Josh: The good news for Al Horford is that the Celtics have the league’s lowest number of back-to-backs, with only 5 of 13 before December 31, when Kristaps Porzingis is likely out. This boosts Horford’s value early in the season as he’ll play more minutes with Porzingis sidelined. However, he could end up being a drop candidate from late January onward as his role diminishes.]</t>
  </si>
  <si>
    <t>Brook Lopez</t>
  </si>
  <si>
    <t>[Josh: Brook Lopez saw a significant drop in production after Doc Rivers took over, which raises skepticism about his outlook this season. While still a valuable contributor in blocks and shooting efficiency, Lopez’s role may be less stable under Rivers, making him more of a late-round pick with some risk. His ceiling appears lower compared to previous seasons, so approach with caution.]</t>
  </si>
  <si>
    <t>Dyson Daniels</t>
  </si>
  <si>
    <t>[Josh: Dyson Daniels, who arrived in the Dejounte Murray trade, will compete with Bogdan Bogdanovic for a starting spot. He showed strong form in the Olympics and excels at getting steals, but his shooting and securing enough minutes are the key challenges. I project him as a top 125 player with potential upside if those issues improve.]</t>
  </si>
  <si>
    <t>Breakout Candidate|Position Battle|New Team</t>
  </si>
  <si>
    <t>Coby White</t>
  </si>
  <si>
    <t>[Josh: Coby White’s ball-handling touches could take a hit with Josh Giddey now in the mix. His shooting was inconsistent last season, which is a concern. However, if Zach LaVine is traded, it would open up more opportunities and significantly boost White's value. For now, there's some uncertainty in his role.]</t>
  </si>
  <si>
    <t>Probable - sore groin</t>
  </si>
  <si>
    <t>Jabari Smith Jr.</t>
  </si>
  <si>
    <t>[Josh: Jabari Smith Jr. is entering his third year, but there's no clear path for increased usage given the current roster dynamics. He needs to work on improving his block rate, which is challenging when not playing at the center position. This is a pivotal year for Smith, and how he develops in these areas will be crucial for his future fantasy value.]</t>
  </si>
  <si>
    <t>Naz Reid</t>
  </si>
  <si>
    <t>[Josh: Naz Reid continues to generate buzz and could see a slight increase in minutes with Kyle Anderson gone, but he remains a backup. While he offers solid production in points, rebounds, and efficiency off the bench, his upside is limited by his role. Reid is a good late-round pick in deeper leagues, especially if he gets more opportunities due to injuries or lineup changes.]</t>
  </si>
  <si>
    <t>Alexandre Sarr</t>
  </si>
  <si>
    <t>[Josh: Alex Sarr, drafted second overall, has a strong chance of starting right away for the Washington Wizards, especially given the team's roster needs. His Summer League performance showed issues with shooting consistency, but his shot-blocking potential is a key area of upside. While the shooting struggles are concerning, there's still optimism about his development due to his physical tools and defensive instincts. Expect blocks to be his most valuable contribution early on, though how well he adjusts to the NBA pace and improves his offense will be critical for his overall impact.]</t>
  </si>
  <si>
    <t>Questionable - calf soreness</t>
  </si>
  <si>
    <t>Jalen Green</t>
  </si>
  <si>
    <t>[Josh: Had a huge top-5 run in March but dropped off afterward, showing inconsistency. He's better suited for points leagues, where his scoring is more valuable. I'm not convinced he can consistently replicate the elite play he showed for 11 games in March. With Amen Thompson and Reed Sheppard waiting in the wings, the Rockets could decide to move on from him if he doesn’t solidify his role soon.]</t>
  </si>
  <si>
    <t>Klay Thompson</t>
  </si>
  <si>
    <t>[Josh: Klay Thompson had big struggles last season, though he improved in the second half. However, with his usage likely to drop on his new team, he’s more of a specialist for points and threes. I’m not sure he’s draftable in standard leagues, as his overall contributions may be too limited.]</t>
  </si>
  <si>
    <t>Bust Candidate|New Contract|New Team</t>
  </si>
  <si>
    <t>Cameron Johnson</t>
  </si>
  <si>
    <t>[Josh: Cam Johnson struggled to stay healthy last season and should start, but there's a chance he could be dealt before the season begins. It’s hard to have a lot of faith in his durability, but if he can absorb a good chunk of Mikal Bridges' usage, a top 100 finish is clearly within reach.]</t>
  </si>
  <si>
    <t>Dereck Lively II</t>
  </si>
  <si>
    <t>[Josh: Dereck Lively II was very impressive as a rookie, even outplaying Daniel Gafford in the playoffs. I expect him to start over Gafford this season, though he likely won’t reach 30 minutes per game. Still, you can expect an uptick in his role and production from last season, making him a solid mid-round pick with potential for more.]</t>
  </si>
  <si>
    <t>Mike Conley</t>
  </si>
  <si>
    <t>[Josh: Mike Conley remains highly effective, but at 37, his age raises durability concerns. The Timberwolves rely on him heavily, so managing his minutes to keep him healthy will be important. While still a valuable mid-round option for assists and efficiency, expect the team to potentially reduce his minutes slightly to preserve him for the long haul.]</t>
  </si>
  <si>
    <t>Jonas Valanciunas</t>
  </si>
  <si>
    <t>[Josh: Jonas Valanciunas saw a reduction in his minutes last season, which was largely due to fit issues alongside Zion Williamson in New Orleans. Despite this, Valanciunas remained an effective rebounder and scorer, performing well in his role. Now with the Washington Wizards, he is expected to start, but it's unlikely he'll see heavy minutes regularly, likely staying closer to mid-20s per game. His ability to contribute solidly in scoring and rebounding should keep him relevant in fantasy, though the reduced playing time could limit his ceiling.]</t>
  </si>
  <si>
    <t>Jonathan Isaac</t>
  </si>
  <si>
    <t>[Josh: Jonathan Isaac remains an elite defensive asset, but caution around his minutes persists. His projected stats indicate growth in both scoring and rebounding, but his value primarily lies in his defensive upside with blocks and steals. Though his brief playoff stint didn’t go smoothly, there's optimism for more minutes this season compared to last. If he stays healthy, Isaac can be a major contributor in defensive categories, making him a strong mid-round pick for managers seeking blocks and steals. However, his offensive limitations and ongoing concerns about playing time keep his fantasy ceiling somewhat capped.]</t>
  </si>
  <si>
    <t>Onyeka Okongwu</t>
  </si>
  <si>
    <t>[Josh: It's risky to assume Onyeka Okongwu will start over Clint Capela this year, but he could still take incremental steps forward. The drop in his block rate last season is concerning, and while he played some power forward, I doubt we'll see much of that this year. He's a solid late-round pick, but there's some risk involved.]</t>
  </si>
  <si>
    <t>Breakout Candidate|Position Battle</t>
  </si>
  <si>
    <t>Jeremy Sochan</t>
  </si>
  <si>
    <t>[Josh: Jeremy Sochan’s brief stint as a point guard last season is now behind him, but the experiment helped improve his passing. He also made significant strides with his free-throw shooting, though his three-point shot still needs work. Sochan’s versatile skill set, particularly his rebounding and playmaking, could make him a sleeper pick, as his struggles early last season while playing out of position may have led to him being overlooked. If he continues improving, Sochan is a solid mid-to-late round target with upside.]</t>
  </si>
  <si>
    <t>Jerami Grant</t>
  </si>
  <si>
    <t>[Josh: Jerami Grant has missed the final stretch of the past three seasons, including playing only seven games after the All-Star break in 2024. His role as a primary scorer on tanking teams has led to diminished production in March and April, making him unreliable for fantasy managers during crucial playoff weeks. Despite decent offensive stats, his rebounds and defensive contributions have dropped significantly. With Portland's history of resting players late in the season, Grant's long-term fantasy value is risky. While he can still offer scoring and efficiency, his overall value is limited by the team's strategy and his declining stats in key areas.]</t>
  </si>
  <si>
    <t>Caris LeVert</t>
  </si>
  <si>
    <t>[Josh: Caris LeVert is the primary backup guard, and if Darius Garland or Donovan Mitchell are out, he becomes usable. Otherwise, he’s not someone to rely on. His shooting numbers can be a big drag, so that’s something to watch closely. I suspect the Cavaliers drafted Jaylon Tyson to eventually replace him, which could further limit LeVert’s role down the line.]</t>
  </si>
  <si>
    <t>Taylor Hendricks</t>
  </si>
  <si>
    <t>[Josh: Taylor Hendricks showed flashes of his potential during the stretch run last season, displaying solid shooting efficiency and defensive upside, particularly with blocks. His low usage rate is a concern, but his combination of shooting and shot-blocking makes him a valuable asset for Utah, especially in fantasy leagues. There's a legitimate chance he could start the season as the team's power forward, given his two-way potential. While his offensive contributions might not be high-volume, Hendricks' ability to contribute across multiple categories means he shouldn't be left on waiver wires, particularly for managers looking for defensive stats and efficiency.]</t>
  </si>
  <si>
    <t>Ben Simmons</t>
  </si>
  <si>
    <t>[Josh: Ben Simmons played just 15 games last season but claims to be healthy again. The big question is whether he would even start. We all know the story: if he's truly healthy, he has top 60 upside, but I wouldn't draft him there. I doubt he ever gets back to the 20% usage he had during his Philadelphia days.]</t>
  </si>
  <si>
    <t>Scoot Henderson</t>
  </si>
  <si>
    <t>[Josh: Scoot Henderson started last season poorly, looking like one of the worst players in basketball, and then dealt with an ankle injury. However, as the season progressed, and Portland rested key players, Henderson began to impress, even recording three double-digit assist games in April. His three-point shooting was better than expected, but his finishing at the rim remained an issue. Projected as a mid-round pick for fantasy, his role is unclear, and turnovers could be a concern, but there's upside if his development continues.]</t>
  </si>
  <si>
    <t>De'Anthony Melton</t>
  </si>
  <si>
    <t>[Josh: De'Anthony Melton had his season derailed by a back injury and will likely come off the bench behind Brandin Podziemski. While his role may be capped, Melton remains a great fantasy option due to his ability to contribute across multiple categories, especially in steals. His potential is somewhat limited by his role, but he’s still worth a look as a later-round pick for his strong per-minute production.]</t>
  </si>
  <si>
    <t>Probable - mid-back tightness</t>
  </si>
  <si>
    <t>Position Battle|New Team|Unrestricted Free Agent|New Contract</t>
  </si>
  <si>
    <t>Andrew Nembhard</t>
  </si>
  <si>
    <t>[Josh: Andrew Nembhard had some standout performances when filling in for Tyrese Haliburton during the playoffs, showcasing his potential. However, his regular-season starts in Haliburton's absence were more underwhelming, indicating that his fantasy value might not be as high when playing alongside Indiana's primary playmakers. He’s expected to open the season as a starter, but it's important to temper expectations, as his role with Haliburton in the lineup won't offer the same opportunities for big games.]</t>
  </si>
  <si>
    <t>Marcus Smart</t>
  </si>
  <si>
    <t>[Josh: With Ja Morant back, Marcus Smart is expected to see fewer minutes as the primary point guard and may take on more of a starting small forward role while serving as the backup PG. His scoring and playmaking will likely drop, making him more of a steals specialist in this setup. Smart’s defensive value remains strong, but his overall fantasy appeal could be more limited in this adjusted role.]</t>
  </si>
  <si>
    <t>Malik Monk</t>
  </si>
  <si>
    <t>[Josh: Malik Monk re-signed with Sacramento at a slight discount, which could indicate they promised him a significant role, potentially even as a starter. However, the arrival of DeMar DeRozan clouds his usage and ball-handling opportunities. Monk is still expected to play close to 30 minutes per game, likely serving as the backup point guard while also contributing as a scorer and playmaker. He offers clear strengths in scoring, assists, and free-throw percentage, but turnovers and defensive contributions remain weak spots in his fantasy profile.]</t>
  </si>
  <si>
    <t>Probable - right hand</t>
  </si>
  <si>
    <t>Donte DiVincenzo</t>
  </si>
  <si>
    <t>[Josh: Donte DiVincenzo takes a significant hit in Minnesota, where he'll come off the bench for a deeper team than New York. His role becomes less defined, and he's now more of a fringe 12-team fantasy player, potentially losing a lot of the value he had with a larger role on the Knicks.]</t>
  </si>
  <si>
    <t>New Team|Bust Candidate</t>
  </si>
  <si>
    <t>Keon Ellis</t>
  </si>
  <si>
    <t>[Josh: Keon Ellis displayed strong defensive skills and the ability to hit multiple threes in bunches, but his role is likely to be limited with Kevin Huerter and Malik Monk returning from injury. While he could be a defensive specialist and spot starter, Ellis won't have a clear path to consistent minutes or offensive opportunities. He's more likely to be a deep-league option or a category specialist for threes and steals rather than a reliable fantasy contributor with consistent output.]</t>
  </si>
  <si>
    <t>Position Battle</t>
  </si>
  <si>
    <t>RJ Barrett</t>
  </si>
  <si>
    <t>[Josh: RJ Barrett’s time in Toronto marked a big shift in his shot selection. While in New York, it was the same old Barrett, but after the trade, he drastically reduced mid-range shots and three-pointers, focusing heavily on attacking the rim. This change caused his field goal percentage to rise significantly, but oddly, his free throw percentage dropped when he joined the Raptors. If the FG% improvement holds, Barrett could have more appeal in category leagues this season than in years past, though free throws remain a concern.]</t>
  </si>
  <si>
    <t>Questionable - right shoulder sprain</t>
  </si>
  <si>
    <t>John Collins</t>
  </si>
  <si>
    <t>[Josh: John Collins had a rough start to last season, but he showed improvement when he moved to center, contributing well in rebounds, scoring, and efficiency. However, the concern with Collins this season is whether he can maintain a consistent role as Utah’s starting center. With other options on the roster, there’s a risk that Collins’ minutes could be reduced, or he could even be traded. This uncertainty makes him a potential bust candidate if his role fluctuates. Despite these concerns, his usage rate and past production make him an intriguing, albeit risky, mid-round pick in fantasy drafts.]</t>
  </si>
  <si>
    <t>Norman Powell</t>
  </si>
  <si>
    <t>[Josh: With Paul George no longer on the Clippers, Norman Powell’s offensive role becomes even more significant. His increased usage will likely lead to more scoring opportunities, making him a potential mid-round value pick. However, his fantasy upside remains primarily tied to points and steals, with limited contributions in other categories. Powell’s value should rise in leagues where points and efficiency are prioritized.]</t>
  </si>
  <si>
    <t>P.J. Washington</t>
  </si>
  <si>
    <t>[Josh: P.J. Washington is locked in as a starter, but his shooting is wildly inconsistent. With Klay Thompson now in Dallas, Washington becomes the fourth offensive option, which limits his upside. He’s more of a late-round type with low upside, providing steady but unspectacular production.]</t>
  </si>
  <si>
    <t>Brandin Podziemski</t>
  </si>
  <si>
    <t>[Josh: Brandin Podziemski is expected to start, and I anticipate his usage will increase this season. While there's competition from De'Anthony Melton and Buddy Hield, I still like him as a draft target. If he secures a solid role and the Warriors follow through on their plan to give him heavy three-point opportunities, his upside could be significant. He’s worth a late-round pick with the potential for a strong fantasy impact.]</t>
  </si>
  <si>
    <t>Probable - broken nose</t>
  </si>
  <si>
    <t>Andrew Wiggins</t>
  </si>
  <si>
    <t>[Josh: Andrew Wiggins had a dreadful start to last season but did show improvement in the second half. However, his starting spot is not guaranteed this year, adding some risk to his fantasy value. While he may see a slight increase in role with Klay Thompson gone, the uncertainty around his role and inconsistent production make him more of a late-round consideration.]</t>
  </si>
  <si>
    <t>Trayce Jackson-Davis</t>
  </si>
  <si>
    <t>[Josh: Trayce Jackson-Davis could see a significant fantasy boost if he starts. He showed impressive block rates and efficiency last season, making him a potential asset at center. However, his value is tied to his role, and with Draymond Green potentially taking minutes at center, it's worth monitoring how the Warriors deploy him. If he secures the starting spot, his fantasy relevance will rise considerably.]</t>
  </si>
  <si>
    <t>T.J. McConnell</t>
  </si>
  <si>
    <t>[Josh: T.J. McConnell remains a valuable backup after signing a new extension, solidifying his role with the Indiana Pacers. He's an assist specialist who has seen a slight decline in steals from his peak but still offers strong value, especially if Tyrese Haliburton misses time. McConnell's efficiency and ability to contribute across multiple categories make him a solid late-round target, particularly in deeper leagues.]</t>
  </si>
  <si>
    <t>Max Strus</t>
  </si>
  <si>
    <t>[Josh: Max Strus had a surprising season, but his shooting struggled, and he wasn’t elite. With low upside and the same role as last year, I don't think he's worth drafting. He’s more of a depth piece, but not someone to target in most fantasy leagues.]</t>
  </si>
  <si>
    <t>Injured - right ankle (20g) - 12/1/2024</t>
  </si>
  <si>
    <t>Shaedon Sharpe</t>
  </si>
  <si>
    <t>[Josh: Shaedon Sharpe had a strong stretch last season, particularly when he was logging heavy minutes, but his year was cut short due to abdominal surgery. While he has shown flashes of scoring potential, his ability to contribute across multiple categories remains inconsistent, especially on a more functional team. With the addition of Deni Avdija, Sharpe’s role as a starter isn’t guaranteed, though he still has a good chance to secure it. His potential is there, but his fantasy value will depend on how well-rounded his production becomes and whether he can stay healthy throughout the season.]</t>
  </si>
  <si>
    <t>Injured - left shoulder (10g) - 11/10/2024</t>
  </si>
  <si>
    <t>Andre Drummond</t>
  </si>
  <si>
    <t>[Josh: Andre Drummond is a tricky player to project because his production swings dramatically depending on Joel Embiid's availability. When Embiid plays, Drummond’s minutes are limited to around 13-14 per game, offering little fantasy value. However, when Embiid is out, Drummond steps into a much larger role, often playing 30 minutes and producing top-40 value with elite rebounding, defensive stats, and efficient scoring. This makes him a tough stash in daily changes leagues, where you need to manage his fluctuating minutes, but an elite stash in weekly or deeper formats where you can ride his upside during Embiid’s absences.]</t>
  </si>
  <si>
    <t>New Team|Player Option|New Contract</t>
  </si>
  <si>
    <t>Jaden Ivey</t>
  </si>
  <si>
    <t>[Josh: Jaden Ivey showed flashes of potential, but his efficiency and turnovers remain areas of concern. Adding to the uncertainty, we don’t know how the new coach and GM feel about him, especially after Monty Williams banished him and seemingly ruined his confidence last season. His starting role isn’t guaranteed, which makes him a risky pick. While he has upside, his situation is one to monitor closely.]</t>
  </si>
  <si>
    <t>Gary Trent Jr.</t>
  </si>
  <si>
    <t>[Josh: Gary Trent is likely to slide into the starting shooting guard spot for Milwaukee, though his usage won’t be high. His value primarily comes from scoring and three-pointers, with steals varying throughout his career. He projects as a late-round option, offering solid contributions in points and threes, but his overall fantasy ceiling remains limited.]</t>
  </si>
  <si>
    <t>Tyus Jones</t>
  </si>
  <si>
    <t>[Josh: Tyus Jones is expected to start for the Phoenix Suns, but that doesn't necessarily mean heavy minutes or a large role in the offense. With high-usage players like Devin Booker, Bradley Beal, and Kevin Durant, Jones’ primary role will be to facilitate rather than dominate the ball. His usage will remain low, and while he’ll provide solid assists and strong efficiency, he won’t be running the offense exclusively. Jones’ fantasy value will lie in his assists, steals, and efficiency, but the limited scoring and usage keep his ceiling lower than other starting point guards. He’s a solid mid-to-late round pick for managers needing assists without turnovers.]</t>
  </si>
  <si>
    <t>Ayo Dosunmu</t>
  </si>
  <si>
    <t>[Josh: Ayo Dosunmu played a lot down the stretch last season, but there isn't a clear starting role for him unless Zach LaVine is gone. He could be worth a late-round draft pick, but until those starting minutes open up, his fantasy value will be hampered. He’s more of a wait-and-see option depending on how the roster shakes out.]</t>
  </si>
  <si>
    <t>Kentavious Caldwell-Pope</t>
  </si>
  <si>
    <t>[Josh: Kentavious Caldwell-Pope joins the Orlando Magic and slots in at shooting guard, but his low usage and minimal statistical impact limit his fantasy upside. While he's a reliable three-point shooter and provides some steals, there’s not enough across-the-board production to make him intriguing in standard leagues. His role may offer slightly more opportunity than in Denver, but the lack of upside in points, rebounds, and assists keeps him as more of a deep-league option. Caldwell-Pope is solid for streaming in specific categories like threes and steals, but he’s unlikely to be a long-term fantasy contributor.]</t>
  </si>
  <si>
    <t>Deni Avdija</t>
  </si>
  <si>
    <t>[Josh: Deni Avdija had a semi-breakout season in Washington, but it largely occurred when other key players were out. In Portland, he's realistically the fifth offensive option, which will cap his fantasy upside. While he can provide some value in rebounds, assists, and efficiency, his limited offensive role makes it hard to rely on him for consistent production. Given this context, I’m lower on Avdija than others, as his opportunities may not be enough to justify a high draft position in most fantasy formats.]</t>
  </si>
  <si>
    <t>Luguentz Dort</t>
  </si>
  <si>
    <t>[Josh: Luguentz Dort improved his shooting efficiency last season while lowering his usage, but he may take more shots this year with Giddey gone. Despite the potential for increased volume, Dort remains more of a deep-league option and is not someone to target in standard leagues.]</t>
  </si>
  <si>
    <t>Vince Williams Jr.</t>
  </si>
  <si>
    <t>[Josh: Vince Williams Jr. had a breakout season before an early injury cut it short, and he was converted from a two-way contract. While he's likely to come off the bench this season, his role could expand depending on the starting group. If he manages to secure 30 minutes, he could reach standard league relevance, making him a player to watch as the season progresses.]</t>
  </si>
  <si>
    <t>Injured - left shin (6g) - 11/2/2024</t>
  </si>
  <si>
    <t>Russell Westbrook</t>
  </si>
  <si>
    <t>[Josh: Russell Westbrook has an outside shot to start in place of Kentavious Caldwell-Pope, though I don’t like the fit. However, with Nikola Jokic reportedly wanting him in Denver, he’ll see time, whether starting or coming off the bench. He won’t be strictly limited to backup point guard duties and could play alongside Jamal Murray as well. Keep an eye on his role, as it could evolve throughout the season.]</t>
  </si>
  <si>
    <t>Player Option|New Team|New Contract</t>
  </si>
  <si>
    <t>Caleb Martin</t>
  </si>
  <si>
    <t>[Josh: Caleb Martin is the early favorite to start for the 76ers, but he’s never been a big stat accumulator, which limits his fantasy upside. While his shooting and defensive contributions are respectable, his low usage and lack of high-volume production in key categories make him more of a deep-league option or a streaming candidate. Martin’s projected role as a starter could give him opportunities for steady minutes, but his fantasy value will remain limited unless his usage or overall production significantly increases. He’s a safe late-round option, but the upside is capped.]</t>
  </si>
  <si>
    <t>Wendell Carter Jr.</t>
  </si>
  <si>
    <t>[Josh: Wendell Carter Jr. had a disappointing season, impacted by injuries and a noticeable drop in defensive stats. His projected numbers show only slight improvements, and his shooting efficiency remains solid but not game-changing. The fact that Orlando brought back both of his backups suggests that Carter's minutes may be capped, limiting his upside. Without much contribution in defensive categories and a reduced ceiling in playing time, Carter is more of a low-end big man option for fantasy, with his value coming primarily from rebounds and field-goal percentage. He’s likely a late-round pick, with limited upside unless his role changes dramatically.]</t>
  </si>
  <si>
    <t>Playing - left ankle sprain</t>
  </si>
  <si>
    <t>Ausar Thompson</t>
  </si>
  <si>
    <t>[Josh: Ausar Thompson had an intriguing rookie season, showing strong defensive stats and solid rebounding for his position. In the second half, his three-point percentage rose a decent amount, offering some hope for his shooting. Unfortunately, his season ended due to blood clots in his lungs, but we expect he is healthy now. However, his role remains uncertain, especially given the ongoing shooting concerns. If his shooting continues to improve, he could be a valuable multi-category contributor, but there are still question marks around his consistency and role.]</t>
  </si>
  <si>
    <t>Doubtful - blood clot (1g) - 10/25/2024</t>
  </si>
  <si>
    <t>Kelly Oubre Jr.</t>
  </si>
  <si>
    <t>[Josh: Kelly Oubre could contend for a starting spot, but his fantasy value is heavily reliant on usage. Last season, he thrived with a higher role, but with Paul George, Tyrese Maxey, and Joel Embiid likely dominating the ball, Oubre’s opportunities may be more limited. His projected stats show a slight drop in scoring and efficiency, which could further diminish his fantasy impact. While Oubre offers some versatility with rebounds and steals, he needs significant usage to be useful for fantasy. Under Nick Nurse, who has shown a preference for veterans like Kyle Lowry in starting roles, Oubre may struggle to replicate last year’s numbers, making him more of a late-round or streaming option.]</t>
  </si>
  <si>
    <t>Bobby Portis</t>
  </si>
  <si>
    <t>[Josh: Bobby Portis offers limited fantasy value when Giannis Antetokounmpo and Brook Lopez are healthy, as his defensive contributions are minimal. He thrives when either Giannis or Lopez are out, but otherwise, he's more of a late-round option and tends to be drafted too high for what he provides in a healthy Bucks lineup. Portis is best suited for deep leagues or as an injury fill-in.]</t>
  </si>
  <si>
    <t>Obi Toppin</t>
  </si>
  <si>
    <t>[Josh: Obi Toppin signed a new contract in the offseason but remains in a backup role. Despite his impressive shooting efficiency, particularly from three, and his ability to contribute across multiple categories, he is likely to be limited by his role off the bench. His usage rate is solid, but without a clear path to increased minutes, he remains more of a depth option in fantasy leagues, potentially offering value as a streaming candidate or for deeper leagues.]</t>
  </si>
  <si>
    <t>Aaron Gordon</t>
  </si>
  <si>
    <t>[Josh: Aaron Gordon's free throws and poor three-point shooting drag down his fantasy value. Despite being a good defender, he doesn’t accumulate strong defensive stats, which limits his upside. He’s a steady contributor, but those weaknesses make him less appealing in standard leagues.]</t>
  </si>
  <si>
    <t>Kevin Porter Jr.</t>
  </si>
  <si>
    <t>[Josh: Kevin Porter Jr.'s role with the Clippers remains uncertain due to potential suspension issues, making him a high-risk fantasy option. If he plays, he could either serve as a backup or share significant minutes with other key players like James Harden. While his upside is intriguing, especially if given a larger role, efficiency concerns and playing time limitations make him more of a late-round gamble in most fantasy formats.]</t>
  </si>
  <si>
    <t>Clint Capela</t>
  </si>
  <si>
    <t>[Josh: Clint Capela is in the final year of his contract and, surprisingly, still in Atlanta. His performance dropped off significantly last year, and there’s a good chance it could decline further this season. With Onyeka Okongwu potentially pushing for more minutes, Capela's outlook isn't as strong as it once was.]</t>
  </si>
  <si>
    <t>Questionable - right ankle soreness</t>
  </si>
  <si>
    <t>Bust Candidate|Position Battle|Unrestricted Free Agent</t>
  </si>
  <si>
    <t>Tari Eason</t>
  </si>
  <si>
    <t>[Josh: Tari Eason is another per-minute stud who finds himself stuck in a bench role. If he gets 23 minutes per game, he's definitely draftable. Unfortunately, last season was derailed by a tumor on his leg after playing all 82 games as a rookie. For Eason to start, he'd need to overtake Jabari Smith Jr., which seems unlikely to happen.]</t>
  </si>
  <si>
    <t>Aaron Nesmith</t>
  </si>
  <si>
    <t>[Josh: Aaron Nesmith had a quietly productive season, showing improvement in his shooting percentages, particularly from beyond the arc. His usage rate remains modest, but his ability to contribute efficiently in multiple categories gives him some appeal in deeper leagues. His role as a potential starter or key bench piece means his minutes could be steady, though not necessarily high enough to make him a standout fantasy asset. If he can maintain or improve his shooting percentages, especially from three, Nesmith could carve out a niche as a reliable, low-end option for three-pointers and solid percentages.]</t>
  </si>
  <si>
    <t>Malcolm Brogdon</t>
  </si>
  <si>
    <t>[Josh: Malcolm Brogdon is more suited as a late-round pick in fantasy basketball due to his consistent injury concerns. While his production in points, assists, and efficiency can be valuable when he's on the court, the likelihood of missed games and potential minute restrictions later in the season reduce his overall fantasy upside. His value is strong early on, but fantasy managers should be prepared for a possible drop in his availability or role as the season progresses, making him a late-round gamble rather than a mid-round lock.]</t>
  </si>
  <si>
    <t>Injured - hand (13g) - 11/22/2024</t>
  </si>
  <si>
    <t>New Team|Unrestricted Free Agent</t>
  </si>
  <si>
    <t>Dennis Schröder</t>
  </si>
  <si>
    <t>[Josh: Dennis Schroder had a red-hot start in Toronto but eventually reverted to his usual form. He’s a UFA after this season and doesn't make much sense on this Brooklyn team, but he could still play 30+ minutes if Ben Simmons is hurt or comes off the bench. The upside is just too low for me to get excited about him at all.]</t>
  </si>
  <si>
    <t>Gradey Dick</t>
  </si>
  <si>
    <t>[Josh: Gradey Dick is likely to get the first shot at replacing Gary Trent Jr. in Toronto's lineup, but he will need to improve his shooting consistency to make a significant impact. While his three-point shooting is solid at 38.2%, he lacks contributions in peripheral stats like assists, steals, and blocks. As a result, his fantasy upside is limited outside of scoring and shooting, making him more of a late-round flier in fantasy drafts. If he can expand his game beyond shooting, his value could rise, but for now, his role may be more specialized.]</t>
  </si>
  <si>
    <t>Grayson Allen</t>
  </si>
  <si>
    <t>[Josh: Grayson Allen had a surprisingly strong season, but it's likely we’ll see a drop in both his minutes and three-point percentage this year. With Tyus Jones taking over as the starting point guard, Allen's role will likely shrink, reducing his overall impact. His shooting efficiency, particularly from beyond the arc, was likely unsustainable, and a regression seems almost certain. While he’s still a solid contributor in threes and free-throw percentage, his reduced minutes and inevitable shooting dip make him more of a late-round or streaming option, rather than the mid-round surprise he was last year.]</t>
  </si>
  <si>
    <t>Probable - achilles soreness</t>
  </si>
  <si>
    <t>Buddy Hield</t>
  </si>
  <si>
    <t>[Josh: Buddy Hield thrives on big minutes and high usage, but joining the Warriors in free agency likely limits his fantasy value. With a crowded backcourt and a potential bench role, it’s hard to see him getting the volume needed to be a strong fantasy contributor. His three-point shooting will still be valuable, but the overall impact might be minimal unless he carves out a significant role.]</t>
  </si>
  <si>
    <t>Jaime Jaquez Jr.</t>
  </si>
  <si>
    <t>[Josh: Jaime Jaquez Jr.'s shooting regressed as the season went on, aligning more with his UCLA numbers. He was fantasy-usable when starting due to injuries, but his production dropped when coming off the bench. This season, he's likely a bench player, but worth monitoring as a potential streaming option when injuries hit the Miami Heat rotation.]</t>
  </si>
  <si>
    <t>Kelly Olynyk</t>
  </si>
  <si>
    <t>[Josh: Kelly Olynyk is a known fantasy asset when given 25+ minutes, often contributing across multiple categories with solid shooting percentages and playmaking ability for a big man. However, with Jakob Poeltl ahead of him in the center rotation and limited opportunities at power forward, it’s doubtful that Olynyk will get consistent enough minutes to be a must-roster player this season. While his efficiency makes him a useful streaming option, especially when Poeltl rests or is injured, Olynyk's role is likely too small for consistent fantasy value unless things break his way in the rotation.]</t>
  </si>
  <si>
    <t>Delon Wright</t>
  </si>
  <si>
    <t>[Josh: Delon Wright steps into the role Pat Beverley held last season, providing elite steals potential. However, his fantasy value hinges on whether he can secure 24 minutes per game, as his contributions outside of steals are limited. If he gets enough playing time, Wright can be a valuable late-round steals specialist, but otherwise, his appeal is minimal in standard leagues.]</t>
  </si>
  <si>
    <t>Unrestricted Free Agent|New Contract</t>
  </si>
  <si>
    <t>Noah Clowney</t>
  </si>
  <si>
    <t>[Josh: Noah Clowney barely played as a rookie until March, but he was very impressive once he got minutes. He can play both power forward and center, and right now, he just needs to unseat Dorian Finney-Smith from the PF spot. I’d be higher on him if Nicolas Claxton wasn’t around, but he’s still the biggest and brightest future piece Brooklyn has. A full breakout might be more likely next season than this one, but there’s definite potential here.]</t>
  </si>
  <si>
    <t>Jordan Clarkson</t>
  </si>
  <si>
    <t>[Josh: Jordan Clarkson had a rough shooting season, particularly from beyond the arc, where he dropped below 30% from three. While it's unlikely he repeats that poor performance, especially given his track record as a scorer, both he and Collin Sexton can't command big minutes simultaneously. Clarkson will have stretches of fantasy usefulness, but with the minutes crunch and shooting inconsistency, he may not be reliable enough to warrant a draft pick in standard leagues. His value will likely be more situational, depending on injuries or shifts in the rotation.]</t>
  </si>
  <si>
    <t>Rui Hachimura</t>
  </si>
  <si>
    <t>[Josh: Rui Hachimura remains inefficient and requires a high volume of shots to be fantasy-relevant, limiting his upside. While he could start for the Lakers, his production across non-scoring categories is minimal, making him a low-value option. If the Lakers make a trade, he’s likely to be part of the deal as matching salary, further clouding his fantasy outlook.]</t>
  </si>
  <si>
    <t>Probable - calf</t>
  </si>
  <si>
    <t>Keldon Johnson</t>
  </si>
  <si>
    <t>[Josh: Keldon Johnson came off the bench last season, and while some expect him to start this year, it’s unclear why that would happen. He thrives on high usage and minutes, but his inefficiency as a scorer and lack of contributions in other categories limit his overall fantasy value. Johnson is largely reliant on volume to be relevant, and with the Spurs' added depth, especially with players like Chris Paul and Victor Wembanyama, it's hard to see him getting the necessary touches to maintain solid fantasy value.]</t>
  </si>
  <si>
    <t>Bilal Coulibaly</t>
  </si>
  <si>
    <t>[Josh: Bilal Coulibaly is an offensively limited prospect for the Washington Wizards, but his defensive potential stands out. While it's not guaranteed that he'll start, his defensive presence and developing playmaking skills could make him a useful player in certain lineups. His offensive game, including shooting, remains a work in progress, though he's shown flashes of improvement. As a late-round fantasy pick, he's a low-risk option with upside, especially if his passing and offensive consistency continue to develop alongside his already solid defensive capabilities.]</t>
  </si>
  <si>
    <t>Reed Sheppard</t>
  </si>
  <si>
    <t>[Josh: Reed Sheppard showed out in summer league, and I have him in tier 1 for dynasty rookies. He’s elite in steals and blocks for a point guard, especially given his size, and his shooting is solid. However, the path to significant minutes this season is very unclear. With the crowded backcourt in Houston, it's hard to see how he plays enough to be fantasy relevant right away.]</t>
  </si>
  <si>
    <t>Tre Mann</t>
  </si>
  <si>
    <t>[Josh: Tre Mann was solid enough after the trade, though I expected him to have higher usage after coming over from Oklahoma City. He handled himself well and could start instead of Josh Green. However, with his ranking outside of the top 150, he’s more of a waiver wire option in standard leagues, with potential if his role expands.]</t>
  </si>
  <si>
    <t>Zach Edey</t>
  </si>
  <si>
    <t>[Josh: Zach Edey is best viewed as a late-round flier in standard leagues. While his minutes and usage will likely be limited as a rookie, he can still contribute in rebounds, field goal percentage, and potentially blocks. His defensive concerns make him a bit risky, but he could offer solid value for managers looking for big man stats late in drafts.]</t>
  </si>
  <si>
    <t>Zaccharie Risacher</t>
  </si>
  <si>
    <t>[Josh: Zaccharie Risacher, the number 1 overall pick, should start, but that’s not a guarantee. His passivity in Europe doesn’t inspire confidence as an exciting fantasy option. Taking a last-pick flyer on him is fine, but I don’t see a clear path to significant production this season.]</t>
  </si>
  <si>
    <t>Brandon Clarke</t>
  </si>
  <si>
    <t>[Josh: Brandon Clarke returned from a torn Achilles late last season and looked solid, though his role will likely be limited to coming off the bench. He could see more minutes than Zach Edey this year, but his upside remains capped. Clarke is more of a waiver-wire option for managers needing efficient points, rebounds, and defensive stats, rather than someone to draft in standard leagues.]</t>
  </si>
  <si>
    <t>Isaiah Jackson</t>
  </si>
  <si>
    <t>[Josh: Isaiah Jackson now has a clearer path to consistent backup minutes with Jalen Smith out of the picture, barring competition from James Wiseman. As the likely permanent backup, Jackson has strong streaming potential in around 20 minutes per game, thanks to his high field goal percentage and shot-blocking ability. If he steps into a starting role due to an injury, Jackson would be a must-add player with significant fantasy upside.]</t>
  </si>
  <si>
    <t>Toumani Camara</t>
  </si>
  <si>
    <t>[Josh: Toumani Camara had an impressive rookie season, standing out as a strong defender, though his defensive stats didn’t always reflect his impact. His offensive contributions were modest, but his efficiency and versatility give him some upside. With Deni Avdija likely taking on a larger role, Camara’s opportunities might be limited unless Jerami Grant is traded. If Grant moves on, Camara could find himself in the starting lineup, making him a potential deep-league or dynasty stash with solid potential to grow into a larger role.]</t>
  </si>
  <si>
    <t>Scotty Pippen Jr.</t>
  </si>
  <si>
    <t>[Josh: Scotty Pippen Jr. has the potential to be a solid backup NBA point guard, with the upside of a low-end starter, but currently remains on a two-way contract. If he’s converted and earns meaningful minutes, he’s shown the ability to be a strong fantasy contributor. While it’s a long shot, he’s a player to keep an eye on as the season progresses.]</t>
  </si>
  <si>
    <t>Note - signing 4-year deal</t>
  </si>
  <si>
    <t>Royce O'Neale</t>
  </si>
  <si>
    <t>[Josh: Royce O'Neale remains a valuable defensive asset, and he could see minutes when Phoenix needs more defense. While his defensive versatility is useful in real life, O'Neale doesn't bring enough across other fantasy categories to be a reliable option. His low usage, inconsistent shooting, and minimal counting stats make him more of a deep-league or streaming candidate for defensive stats, but he’s unlikely to hold consistent value in standard fantasy leagues. O'Neale’s role will be limited primarily to situational defensive needs, keeping his fantasy ceiling low.]</t>
  </si>
  <si>
    <t>Payton Pritchard</t>
  </si>
  <si>
    <t>[Josh: Payton Pritchard put up nice numbers late last season when others were resting, and I expect more of the same this year. If a starting guard goes down, he could become a valuable pickup in many leagues, but for now, he's more of a wait-and-see option.]</t>
  </si>
  <si>
    <t>Sam Hauser</t>
  </si>
  <si>
    <t>[Josh: Sam Hauser is shaping up to have a similar season to last year. He’s a reliable fill-in for threes, making him a solid specialist in that category, but don’t expect much more beyond that.]</t>
  </si>
  <si>
    <t>Kyle Lowry</t>
  </si>
  <si>
    <t>[Josh: Kyle Lowry has clearly lost a step and is more of an assist streamer at this point in his career. His usage continues to drop, and he seemed hesitant to shoot at times last season. While he can still provide decent assists and solid free-throw percentage, his scoring, rebounding, and defensive stats have diminished significantly. Lowry's role will likely be limited, especially with younger, higher-usage players around him. He’s best suited as a late-round option or streamer for assists, but don’t expect much beyond that.]</t>
  </si>
  <si>
    <t>Terance Mann</t>
  </si>
  <si>
    <t>[Josh: Terance Mann's game doesn't bring much excitement from a fantasy perspective. His usage remains low, and even if Kawhi Leonard misses time, Mann's upside doesn't scream high-impact potential. His efficiency is solid, but without a notable bump in minutes or usage, it's hard to see him as more than a late-round or streaming option. There's a ceiling here, but it feels capped even in the best-case scenarios.]</t>
  </si>
  <si>
    <t>Miles McBride</t>
  </si>
  <si>
    <t>[Josh: Miles McBride played heavy minutes in some games last season and is projected to be Jalen Brunson’s backup. While there may be some competition from Tyler Kolek, it’s unlikely to be a major challenge. McBride’s role will be limited behind Brunson, but he’s a solid deep-league option for steals and occasional scoring.]</t>
  </si>
  <si>
    <t>Luke Kornet</t>
  </si>
  <si>
    <t>[Josh: Luke Kornet will be battling Xavier Tillman and Neemias Queta for backup minutes. When he starts, he’s a viable streaming option, but that’s about the extent of his fantasy value.]</t>
  </si>
  <si>
    <t>Kris Dunn</t>
  </si>
  <si>
    <t>[Josh: Kris Dunn remains a strong defender, but his lack of a starting role limits his fantasy value. He’s best suited as a steals specialist for deep leagues, offering minimal offensive contributions. Dunn’s usage and minutes likely won’t be consistent enough to make him more than a late-round or waiver-wire option for managers needing defensive stats.]</t>
  </si>
  <si>
    <t>Corey Kispert</t>
  </si>
  <si>
    <t>[Josh: Corey Kispert's fantasy value primarily comes from his shooting ability. He can provide strong three-point shooting percentages, but he offers little else in terms of counting stats like assists, rebounds, or defensive contributions. His numbers tend to get inflated toward the end of the season when Washington shuts down key players, allowing Kispert more minutes and opportunities. While he could start for the Wizards, especially in a rebuilding season, the likelihood of Bilal Coulibaly or Malcolm Brogdon being preferred in key roles makes Kispert more of a situational fantasy play, best suited as a late-round pick for managers seeking efficient three-point shooting.]</t>
  </si>
  <si>
    <t>Jalen Smith</t>
  </si>
  <si>
    <t>[Josh: Jalen Smith reportedly chose Chicago in free agency because he believed he had a chance to start. That opportunity would likely come if Nikola Vucevic is benched or traded. He’s definitely someone to watch, as his role could expand significantly depending on how the situation unfolds.]</t>
  </si>
  <si>
    <t>Probable - knee soreness</t>
  </si>
  <si>
    <t>Breakout Candidate|New Team|New Contract</t>
  </si>
  <si>
    <t>Tre Jones</t>
  </si>
  <si>
    <t>[Josh: Tre Jones was a solid starter for the Spurs last season, significantly improving the team's performance when he was on the court. He’s a reliable assist provider and highly efficient in his role. However, with Chris Paul now in San Antonio, Jones is likely relegated to a backup role. When Paul is out, Jones will become an elite streaming option, especially for assists and efficiency. Despite his reduced role, he remains valuable in deeper leagues and for spot starts when injuries strike.]</t>
  </si>
  <si>
    <t>Nikola Jovic</t>
  </si>
  <si>
    <t>[Josh: Nikola Jovic showed improvement as the season progressed, starting much of the second half, but hasn't displayed elite per-minute production yet. His role is uncertain with the potential for Haywood Highsmith or rookie Kel'el Ware to start, especially if Bam Adebayo moves to power forward. Jovic is a late-round flier, but his minutes and production could fluctuate depending on the rotation.]</t>
  </si>
  <si>
    <t>Bojan Bogdanovic</t>
  </si>
  <si>
    <t>[Josh: Bojan Bogdanovic is a bit of an NPC—someone you rarely think about in Brooklyn. The fit alongside Cam Johnson is questionable, and he no longer has the primary role he had in Detroit when Cade Cunningham was out. His defense is poor, and at this point, he’s more of a points-and-threes streamer, if that.]</t>
  </si>
  <si>
    <t>Doubtful - foot (1g) - 10/25/2024</t>
  </si>
  <si>
    <t>Jaden McDaniels</t>
  </si>
  <si>
    <t>[Josh: Jaden McDaniels is an excellent real-life defender, but his fantasy impact is often overrated. Despite having a strong starting role, his contributions don’t translate into significant fantasy value. With limited offensive output and only moderate defensive stats, McDaniels isn’t a must-draft in most leagues, even though he’ll play a key role for Minnesota.]</t>
  </si>
  <si>
    <t>Precious Achiuwa</t>
  </si>
  <si>
    <t>[Josh: Precious Achiuwa will likely serve as the backup center for the Knicks, which gives him potential for bigger minutes if Mitchell Robinson gets hurt. Outside of that scenario, Achiuwa offers limited fantasy value due to inconsistent production and lack of usage. He's best viewed as a handcuff to Robinson or a deep-league flier.]</t>
  </si>
  <si>
    <t>Probable - hamstring</t>
  </si>
  <si>
    <t>De'Andre Hunter</t>
  </si>
  <si>
    <t>[Josh: De'Andre Hunter is likely to lose his starting spot to Zaccharie Risacher. After another below-par season, he doesn't offer much outside of volume scoring, which he isn't particularly efficient at. With limited contributions in other categories, he's not someone I'm targeting, making him a lower-end option this season.]</t>
  </si>
  <si>
    <t>Bust Candidate|Position Battle</t>
  </si>
  <si>
    <t>Taurean Prince</t>
  </si>
  <si>
    <t>[Josh: Taurean Prince is expected to take on the role Jae Crowder played last season but with more minutes. Despite the increased playing time, Prince offers little fantasy appeal, as his contributions are likely to be minimal across most categories. He’s best suited for deep leagues or as a streaming option, but otherwise, not a priority in standard formats.]</t>
  </si>
  <si>
    <t>Donovan Clingan</t>
  </si>
  <si>
    <t>[Josh: Donovan Clingan, drafted at 7, didn't log heavy minutes in college and seems to struggle with stamina. His shooting in Summer League was poor, especially from mid-range, despite frequently attempting jumpers. However, he’s an elite rim protector and shot-blocker, though his ability to switch defensively is a concern due to his poor vertical and massive frame. With Deandre Ayton and Robert Williams still on the roster, Clingan will likely be a blocks specialist in fantasy, but his offensive role and minutes may be limited early on.]</t>
  </si>
  <si>
    <t>Nick Richards</t>
  </si>
  <si>
    <t>[Josh: Nick Richards got more starts than expected last season with Mark Williams out, but he’s likely heading back into a backup role now. I don’t see any chance of a minutes split either, so his fantasy value is limited to being a handcuff for Williams or a deep-league option.]</t>
  </si>
  <si>
    <t>Patrick Williams</t>
  </si>
  <si>
    <t>[Josh: The Bulls re-signed Patrick Williams, but we haven’t seen anything to suggest a breakout is coming. He should get the first crack at starting, but Matas Buzelis could easily supplant him if Williams doesn't step up. For now, he’s a low-upside option with the potential to lose his role as the season progresses.]</t>
  </si>
  <si>
    <t>Questionable - left ankle</t>
  </si>
  <si>
    <t>Isaiah Joe</t>
  </si>
  <si>
    <t>[Josh: Isaiah Joe remains one of the league's elite shooters, and with the Thunder lacking many volume shooters, his role as a floor spacer is valuable. However, there's no clear path to him starting, limiting his overall upside for fantasy.]</t>
  </si>
  <si>
    <t>Kevin Huerter</t>
  </si>
  <si>
    <t>[Josh: Kevin Huerter struggled toward the end of last season before undergoing shoulder surgery, and his role is now in question. With competition from other players and coach Mike Brown's lack of patience with him, Huerter may not start, and he needs significant minutes to be fantasy relevant. His shooting efficiency dropped, and without consistent playing time, it's hard to see him maintaining fantasy value. He’s likely a late-round or deep-league option unless he carves out a more secure role in the rotation.]</t>
  </si>
  <si>
    <t>Questionable - shoulder</t>
  </si>
  <si>
    <t>Paul Reed</t>
  </si>
  <si>
    <t>[Josh: Paul Reed, claimed off waivers from the Sixers, goes from being Joel Embiid's backup to battling Isaiah Stewart for backup minutes in Detroit. While he brings solid defensive stats and efficiency, his fantasy value might be limited by the competition for playing time. Reed's role will likely be reduced, making him a lower-tier option unless he can carve out more consistent minutes.]</t>
  </si>
  <si>
    <t>Day'Ron Sharpe</t>
  </si>
  <si>
    <t>[Josh: Day'Ron Sharpe is an elite rebounder who had opportunities last season, but the coaching staff didn’t always rely on him. With Noah Clowney now getting center minutes and Nicolas Claxton re-signed, Sharpe’s path to consistent playing time is uncertain. If he could secure 25 minutes per game, he’d be a clear fantasy stud, but I’m not confident that will happen.]</t>
  </si>
  <si>
    <t>Injured - left hamstring strain (14g) - 11/19/2024</t>
  </si>
  <si>
    <t>Simone Fontecchio</t>
  </si>
  <si>
    <t>[Josh: Simone Fontecchio was a midseason trade acquisition who significantly helped the Pistons' spacing with his shooting. While he has a shot to start, his role is likely to be smaller than last season with Tobias Harris now in the mix. Fontecchio’s shooting is valuable, but his overall game is limited, making him more of a specialist than a core fantasy asset.]</t>
  </si>
  <si>
    <t>Position Battle|New Contract</t>
  </si>
  <si>
    <t>Cason Wallace</t>
  </si>
  <si>
    <t>[Josh: Cason Wallace impressed with his shooting as a rookie, and with Giddey gone, he could see more opportunities in his second year. However, the arrival of Alex Caruso may limit his minutes in the short term. Wallace remains a strong long-term prospect with plenty of upside.]</t>
  </si>
  <si>
    <t>Christian Braun</t>
  </si>
  <si>
    <t>[Josh: I expect Christian Braun to step into Kentavious Caldwell-Pope's old starting spot. He shot well last season, and while he may see more minutes, he hasn’t shown much upside in his game. He’s more of a late-round flier if you’re looking for a solid, but unspectacular, contributor. Not a big target, but could be useful in deeper leagues.]</t>
  </si>
  <si>
    <t>Grant Williams</t>
  </si>
  <si>
    <t>[Josh: Grant Williams was better in Charlotte than in Dallas after the trade, but the starting spot could go to either him or Josh Green. Long term, Tidjane Salaun might take over this role. Williams isn’t reliable or high-upside enough to matter for standard leagues, so his fantasy impact is limited.]</t>
  </si>
  <si>
    <t>Kyle Anderson</t>
  </si>
  <si>
    <t>[Josh: Kyle Anderson brings his usual versatility, contributing across multiple categories, but his low usage limits his upside. He offers solid assists and defensive stats, though his shooting can be inconsistent. On the Warriors, his role might be more limited, especially if younger players step up. He's a late-round option in deeper leagues, providing steady, if unspectacular, production.]</t>
  </si>
  <si>
    <t>Aaron Wiggins</t>
  </si>
  <si>
    <t>[Josh: Aaron Wiggins is an elite role player who exceeded shooting expectations last season and provides solid defense. However, he remains a backup in Oklahoma City, limiting his fantasy value despite his efficiency.]</t>
  </si>
  <si>
    <t>Cole Anthony</t>
  </si>
  <si>
    <t>[Josh: Cole Anthony had a strong start to last season but fell off significantly, and with Anthony Black now in the mix, his role is uncertain. Likely relegated to backup point guard duties, Anthony’s fantasy appeal is limited without a clear path to consistent minutes. His shooting efficiency is decent, but his defensive contributions are minimal, and the presence of other guards could further cut into his opportunities. Anthony probably needs a change of scenery to regain fantasy relevance. As it stands, he's more of a late-round flier or deep-league option, with modest upside in points and assists depending on his role.]</t>
  </si>
  <si>
    <t>Lonzo Ball</t>
  </si>
  <si>
    <t>[Josh: Lonzo Ball is reportedly healthy, but after so much time out, it seems unlikely he’ll step into a significant role, especially with the addition of Josh Giddey. When Jonathan Isaac returned after a long absence, he played under 20 minutes, sat back-to-backs, and the team eased him in slowly. I expect a similar approach with Lonzo—if he even plays at all.]</t>
  </si>
  <si>
    <t>Gary Payton II</t>
  </si>
  <si>
    <t>[Josh: Gary Payton II is in a tough spot after the offseason moves, making it unclear where he fits into the rotation. His defensive prowess is well-known, but with limited offensive upside and a history of injuries, he's a risky fantasy option. Likely best left undrafted unless he carves out a significant role.]</t>
  </si>
  <si>
    <t>Bennedict Mathurin</t>
  </si>
  <si>
    <t>[Josh: Bennedict Mathurin had a tumultuous season, starting strong but ultimately losing his starting role before a season-ending shoulder surgery. With the emergence of Andrew Nembhard, Mathurin's role might be more limited as he heads into his third year, likely coming off the bench. While his scoring and efficiency are solid, the uncertain role and potential minutes cap might limit his fantasy upside, making him more of a late-round flier or streaming option depending on how the rotation shapes up.]</t>
  </si>
  <si>
    <t>Zach Collins</t>
  </si>
  <si>
    <t>[Josh: Zach Collins started last season next to Victor Wembanyama but is now slotted to be his backup. Collins remains a solid contributor in points, rebounds, and assists, with some defensive upside. However, with his role more limited this year, his fantasy value takes a hit unless Wembanyama misses time. He can still provide value in deeper leagues, especially with his efficiency and occasional strong games, but his ceiling is capped as a backup.]</t>
  </si>
  <si>
    <t>Naji Marshall</t>
  </si>
  <si>
    <t>[Josh: Naji Marshall was signed to replace Derrick Jones Jr.'s role, but he’s not much of a fantasy asset. He’s more of a bench player who could close games occasionally, but his overall impact is limited. Not someone to target in most leagues.]</t>
  </si>
  <si>
    <t>Dean Wade</t>
  </si>
  <si>
    <t>[Josh: Dean Wade is the classic 'valuable in real life, bad in fantasy' guy. He plays a role for the team, but from a fantasy perspective, there’s nothing here to get excited about. His contributions don’t translate to fantasy value, making him an easy pass in drafts.]</t>
  </si>
  <si>
    <t>Derrick Jones</t>
  </si>
  <si>
    <t>[Josh: Derrick Jones is likely to step into a starting role for the Clippers, providing defensive presence but limited offensive production. His minutes are unlikely to reach 30 per game, and his primary fantasy value will come from defensive stats rather than scoring or playmaking. He’s more of a deep-league option, best suited as a late-round flier for managers needing steals and blocks.]</t>
  </si>
  <si>
    <t>Bub Carrington</t>
  </si>
  <si>
    <t>[Josh: Bub Carrington, selected with a pick acquired for Deni Avdija, is likely seen as a potential point guard of the future for Washington. However, with Jordan Poole and Malcolm Brogdon still ahead of him in the rotation, it’s unlikely that Carrington will have significant playing time early in the season. Rookie point guards often struggle, and Carrington might follow that trend, making him unlikely to be draftable in most fantasy formats. Still, he could get a chance to prove himself if the Wizards shift focus to younger players later in the season.]</t>
  </si>
  <si>
    <t>Ryan Dunn</t>
  </si>
  <si>
    <t>[Josh: Ryan Dunn is an elite defender but offers very little on the offensive end, potentially one of the weakest offensive players in the league. His shooting percentages are rough, and with such low usage, he won't contribute much to fantasy lineups outside of defense. While his size as a small forward could force him into playing some center minutes, the lack of any offensive upside makes him a non-factor in most formats. Dunn's defensive ability is intriguing, but without more well-rounded production, he's only a deep-league option or dynasty stash for managers targeting defensive stats.]</t>
  </si>
  <si>
    <t>Peyton Watson</t>
  </si>
  <si>
    <t>[Josh: I like Peyton Watson, but I don’t see him as a candidate to replace Kentavious Caldwell-Pope. He primarily plays power forward and some small-ball center. Watson is a great defender but an iffy shooter. Heading into year 3, he could see a significant role if Aaron Gordon gets injured, which would open up a big opportunity for him.]</t>
  </si>
  <si>
    <t>Questionable - hamstring</t>
  </si>
  <si>
    <t>Kobe Bufkin</t>
  </si>
  <si>
    <t>[Josh: Kobe Bufkin missed summer league and was injured during his rookie season when an opportunity to play arose, so there’s a lot of uncertainty about what we’re getting. He looked promising in the G League, but he’s likely behind Dyson Daniels and Bogdan Bogdanovic in the rotation. However, it’s not out of the question that he could secure the backup point guard role or even start alongside Trae Young if he has an exceptional camp. There’s potential, but also a lot of unknowns.]</t>
  </si>
  <si>
    <t>Daniel Theis</t>
  </si>
  <si>
    <t>[Josh: Daniel Theis will likely start at center, though he’s unlikely to play full starter minutes. His fantasy value will depend on how the Pelicans manage his playing time. If he approaches 30 minutes per game, Theis could become a useful option in deeper leagues, but his role and minutes distribution should be closely monitored.]</t>
  </si>
  <si>
    <t>Ron Holland</t>
  </si>
  <si>
    <t>[Josh: Ron Holland was a surprise pick at 5, especially considering the fit with Ausar Thompson, given both have shooting concerns. I had him ranked second on my draft board, but there isn’t a clear starting role for him at the moment. While the talent is undeniable, how he fits into the rotation remains to be seen, making him more of a long-term project for the Pistons.]</t>
  </si>
  <si>
    <t>Julian Strawther</t>
  </si>
  <si>
    <t>[Josh: Julian Strawther is entering his second year, and his ankle issues last season held him back. It's not crazy to think he could be a better fit than Christian Braun, and the team expects more from him this season. His shooting is solid, and if he stays healthy, he could carve out a more significant role. Keep an eye on him as a potential breakout candidate.]</t>
  </si>
  <si>
    <t>Matas Buzelis</t>
  </si>
  <si>
    <t>[Josh: Matas Buzelis offers nice defensive stats, but his shooting remains iffy. He’s initially blocked by Patrick Williams, but if Williams falters, Buzelis could step into a larger role. There’s potential here, especially if his shooting improves, but his immediate fantasy impact might be limited.]</t>
  </si>
  <si>
    <t>Probable - shin contusion</t>
  </si>
  <si>
    <t>Josh Green</t>
  </si>
  <si>
    <t>[Josh: Josh Green has a chance to start, but I doubt there will be enough opportunities for him to make a significant fantasy impact. He’s shown flashes in the past when Kyrie Irving and Luka Doncic were out, but he just isn’t aggressive enough to consistently produce.]</t>
  </si>
  <si>
    <t>Robert Williams</t>
  </si>
  <si>
    <t>[Josh: Robert Williams is a game-changer when he plays 23+ minutes, offering elite defensive stats, especially in blocks and field-goal percentage. However, his durability is a major concern, as he only lasted six games before injury last season. With Deandre Ayton and Donovan Clingan also on the roster, his role may be limited, making him a prime trade candidate. Fantasy managers should remain cautious, as faith in Williams' ability to stay healthy long-term is low, but his potential is undeniable when on the court.]</t>
  </si>
  <si>
    <t>Doubtful - left hamstring strain (1g) - 10/25/2024</t>
  </si>
  <si>
    <t>Harrison Barnes</t>
  </si>
  <si>
    <t>[Josh: Harrison Barnes is likely to start in San Antonio, but he could be one of the least impactful starters on a per-minute basis. While he occasionally delivers big performances, they are few and far between. His scoring and efficiency are decent, but his lack of defensive stats, particularly in blocks, stands out—he might even be one of the worst shot-blocking forwards in the league. Barnes offers steady, low-risk production, but his limited upside makes him more of a deep-league fantasy option.]</t>
  </si>
  <si>
    <t>Brice Sensabaugh</t>
  </si>
  <si>
    <t>[Josh: Brice Sensabaugh projects as an offense-only player for the Jazz, with his knee injuries limiting his impact at times last season. While he had some big games toward the end of the year, Sensabaugh’s stats could end up being a bit hollow, as his defense and all-around game haven’t been as impactful. He’s a strong shooter, particularly from the free-throw line, but questions remain about his consistency and ability to contribute beyond scoring. Sensabaugh might find some minutes off the bench, but his fantasy value may be limited to points leagues or deeper formats due to his lack of versatility.]</t>
  </si>
  <si>
    <t>Bruce Brown</t>
  </si>
  <si>
    <t>[Josh: Bruce Brown looks like a candidate for a potential trade and may not see significant playing time over Gradey Dick in Toronto. His best performances might be behind him, as his production declined last season. Brown remains a solid role player, contributing across multiple categories, but with limited upside in scoring or assists. He’s more of a depth piece for the Raptors and likely won't have a major impact on fantasy unless his role unexpectedly increases or he’s moved to another team with a bigger need for his versatile skill set.]</t>
  </si>
  <si>
    <t>Injured - right knee (4g) - 10/30/2024</t>
  </si>
  <si>
    <t>Jarace Walker</t>
  </si>
  <si>
    <t>[Josh: Jarace Walker is in the process of transitioning to a small forward role, as evidenced by his usage in summer league. However, with no clear role yet in the rotation, it looks like another low-minute season for the former No. 7 pick. He might carve out some minutes from Aaron Nesmith, but for now, it’s hard to see him making a significant impact in fantasy leagues. His development into a more versatile player is something to monitor, but expectations should be tempered for immediate fantasy value.]</t>
  </si>
  <si>
    <t>Neemias Queta</t>
  </si>
  <si>
    <t>[Josh: There are some whispers that Neemias Queta has impressed and could earn backup minutes, with an outside shot at being a fill-in starter. I’m not convinced yet, but he does have a good fantasy profile if he gets the opportunity. For now, it’s more of a wait-and-see situation.]</t>
  </si>
  <si>
    <t>mBN</t>
  </si>
  <si>
    <t>Jarred Vanderbilt</t>
  </si>
  <si>
    <t>[Josh: Jarred Vanderbilt's season was derailed by injury, but he’ll likely challenge Rui Hachimura for a starting spot. Even if he wins that role, his fantasy value remains limited outside of rebounds and steals, making him a specialist for those categories. Vanderbilt’s low usage and scoring ceiling keep him more suited for deep leagues as a late-round flier.]</t>
  </si>
  <si>
    <t>Injured - foot (5g) - 11/1/2024</t>
  </si>
  <si>
    <t>Isaac Okoro</t>
  </si>
  <si>
    <t>[Josh: His offense remains poor, and there isn’t a starting role for him on this team. He’s a bad fantasy option with limited upside, making him someone to avoid in most leagues.]</t>
  </si>
  <si>
    <t>Quentin Grimes</t>
  </si>
  <si>
    <t>[Josh: Quentin Grimes is still a player I like, but last season was very disappointing, largely due to knee issues that really hampered him. He’s a far cry from his performance in the 2022-23 playoffs. With no clear path to big minutes in Dallas, he’s more of a young upside player to keep an eye on rather than someone to count on for consistent fantasy production.]</t>
  </si>
  <si>
    <t>New Team|Restricted Free Agent</t>
  </si>
  <si>
    <t>Josh Minott</t>
  </si>
  <si>
    <t>[Josh: Josh Minott has a chance to grab some of Kyle Anderson's vacated minutes, particularly with his strong ability to generate steals and blocks. However, his inconsistent shooting and skinny frame could limit his effectiveness. While there’s potential for growth in his third year, Minott remains a deep-league flier or watchlist player unless his role solidifies.]</t>
  </si>
  <si>
    <t>Moritz Wagner</t>
  </si>
  <si>
    <t>[Josh: Moritz Wagner is a hyper-efficient big man who excels in scoring and field-goal percentage, making him a valuable backup center for the Orlando Magic. His role as the primary backup to Wendell Carter Jr. is secure, and he’s a great streaming option whenever Carter is sidelined. While Wagner doesn’t contribute much outside of scoring and efficiency, his ability to maintain high percentages makes him useful in deeper leagues or for short-term pickups. He’s not a high-upside player, but his consistency in his limited role gives him some value in specific fantasy formats.]</t>
  </si>
  <si>
    <t>Duncan Robinson</t>
  </si>
  <si>
    <t>[Josh: Duncan Robinson had a resurgence last season, capitalizing on Tyler Herro's absence, but it's hard to envision him maintaining those minutes with a healthy roster. While still a valuable three-point shooter, his role will likely diminish, limiting his fantasy appeal. Robinson is more of a deep-league streaming option for threes when given extended playing time due to injuries.]</t>
  </si>
  <si>
    <t>Dillon Brooks</t>
  </si>
  <si>
    <t>[Josh: Dillon Brooks is likely the most at-risk starter on the Rockets. With players like Amen Thompson, Tari Eason, and even Cam Whitmore potentially cutting into his minutes, his role could be in jeopardy. His consistently poor field goal percentage is always a concern, making him a risky fantasy option despite his defensive contributions.]</t>
  </si>
  <si>
    <t>Dario Saric</t>
  </si>
  <si>
    <t>[Josh: Dario Šaric had a good start to last season with Golden State but was phased out as the season went on. He’s likely to serve as the backup center in Denver, but I don't like his fit next to Nikola Jokic. While he can contribute, his role and effectiveness might be limited in this lineup.]</t>
  </si>
  <si>
    <t>Cam Whitmore</t>
  </si>
  <si>
    <t>[Josh: Cam Whitmore brings a high usage and high steal rate, but he'll need an injury to open up enough minutes for consistent fantasy value. He's more of a points contributor than a multi-category asset. Along with Amen Thompson, Tari Eason, and Reed Sheppard, he helps make Houston's bench a strong unit, though his immediate impact may be limited without a clear path to significant playing time.]</t>
  </si>
  <si>
    <t>Xavier Tillman</t>
  </si>
  <si>
    <t>[Josh: Xavier Tillman struggled with knee injuries and a strange FG% drop last year, but now with a full season in Boston, he could step in as the starter when Al Horford rests and be the primary backup on other nights. The backup center spot is one to watch closely to see who establishes themselves, and Tillman has a chance to carve out a role.]</t>
  </si>
  <si>
    <t>Eric Gordon</t>
  </si>
  <si>
    <t>[Josh: Eric Gordon had a solid but unspectacular stint in Phoenix, and he’s likely to offer more of the same with the Philadelphia 76ers. His shooting efficiency and low turnovers make him a reliable, low-usage option, but his contributions across other categories are minimal. Gordon’s role will likely involve spacing the floor and providing veteran presence, but his lack of significant production in points, assists, and defensive stats caps his fantasy upside. He’s more of a deep-league option or a streamer for threes, but his fantasy relevance is limited in standard leagues.]</t>
  </si>
  <si>
    <t>Santi Aldama</t>
  </si>
  <si>
    <t>[Josh: Santi Aldama had his opportunity last season but will likely return to a reserve role this year. His shooting percentages dropped unexpectedly, which raises concerns about his consistency. With a reduced role, Aldama's fantasy value is limited, making him more of a deep-league option or waiver-wire candidate rather than a standard league asset.]</t>
  </si>
  <si>
    <t>Larry Nance Jr.</t>
  </si>
  <si>
    <t>[Josh: It's odd that Larry Nance Jr. is still in Atlanta, given the lack of center minutes behind Clint Capela and Onyeka Okongwu. Nance hasn't played power forward for years, and while he's still a strong defender, the fit on this roster seems off. His role and minutes are very uncertain, making him a risky fantasy option this season.]</t>
  </si>
  <si>
    <t>Unrestricted Free Agent|New Team</t>
  </si>
  <si>
    <t>Dorian Finney-Smith</t>
  </si>
  <si>
    <t>[Josh: Dorian Finney-Smith’s shooting has vanished over the last two years, and he’s not the same player who helped Dallas reach the conference finals in 2022. He should be traded, but with zero fantasy upside, he’s not someone I’m targeting at all.]</t>
  </si>
  <si>
    <t>Probable - soreness</t>
  </si>
  <si>
    <t>Nickeil Alexander-Walker</t>
  </si>
  <si>
    <t>[Josh: Nickeil Alexander-Walker has significantly improved as a defender, but his low usage limits his fantasy appeal. With only a rookie backing up the point guard spot, he could see more minutes as a backup playmaker. While his role could grow, his overall contributions remain more suited for deeper leagues unless he takes on a bigger role in the rotation.]</t>
  </si>
  <si>
    <t>Ziaire Williams</t>
  </si>
  <si>
    <t>[Josh: Ziaire Williams, a former top 10 pick, was salary dumped by Memphis to Brooklyn—and for good reason—he hasn’t been good. However, with this season focused on development and reclamation for the Nets, he could easily start at small forward. Despite that, I’m not interested in him for fantasy purposes.]</t>
  </si>
  <si>
    <t>Josh Richardson</t>
  </si>
  <si>
    <t>[Josh: Josh Richardson was solid before his season ended early, but his best days are behind him, and there isn't a clear path for significant minutes in Miami. While he can contribute in multiple categories, his role is likely to be limited, making him a low-upside option in most fantasy formats. He's best viewed as a deep-league option or injury fill-in.]</t>
  </si>
  <si>
    <t>Javonte Green</t>
  </si>
  <si>
    <t>[Josh: Javonte Green, a late signing, played well in Chicago but has struggled with knee issues. If healthy, he could be a valuable backup for Zion Williamson, offering defensive versatility and solid efficiency. However, his injury history makes him a risky fantasy option, so he’s best viewed as a deep-league flier or a watchlist player for now.]</t>
  </si>
  <si>
    <t>Julian Champagnie</t>
  </si>
  <si>
    <t>[Josh: Julian Champagnie started last season as a low-usage, defensive shooter, but with Harrison Barnes likely taking his spot in the lineup, his path to significant minutes is less clear. On a bad team with more opportunity, Champagnie has shown he can be a decent fantasy contributor, particularly with threes and steals. However, his reduced role in San Antonio makes it harder to see him reaching that level of value this season unless injuries or rotation changes open up more consistent playing time.]</t>
  </si>
  <si>
    <t>Marvin Bagley III</t>
  </si>
  <si>
    <t>[Josh: Marvin Bagley III improved his performance last season, showing more efficiency, especially with his shooting and rebounding. However, he had issues staying healthy, particularly when he earned starts, which derailed his momentum. With Jonas Valanciunas now ahead of him on the depth chart in Washington, Bagley is likely slotted into a backup center role. While he has some upside as a big man, the presence of Valanciunas limits his minutes and fantasy appeal for now, though he could be useful in deeper leagues depending on his health and team rotations.]</t>
  </si>
  <si>
    <t>Drew Eubanks</t>
  </si>
  <si>
    <t>[Josh: Drew Eubanks’ signing with Utah could signal that the team is preparing for potential roster changes, such as trading John Collins or another big. Eubanks has consistently been a reliable backup center, contributing strong field-goal percentages, blocks, and solid rebounding in limited minutes. His low usage rate means he won’t offer much offensively, but if Collins or another frontcourt player is moved, Eubanks could find himself in a larger role, making him a valuable streaming option for blocks and efficiency stats in deeper fantasy leagues. Until that happens, his fantasy impact is likely limited.]</t>
  </si>
  <si>
    <t>Ben Sheppard</t>
  </si>
  <si>
    <t>[Josh: Ben Sheppard played a surprising role in the playoffs as a rookie, showing some potential. However, heading into this season, his role is far from guaranteed. He will likely be battling Bennedict Mathurin and Jarace Walker for backup minutes, making it uncertain whether he will be a consistent part of the rotation. His shooting percentages were solid, but without a clear path to consistent playing time, he remains a deep-league consideration or a player to monitor if injuries or rotations shift.]</t>
  </si>
  <si>
    <t>Mo Bamba</t>
  </si>
  <si>
    <t>[Josh: Mo Bamba projects as the backup center for the Clippers, but his minutes could be limited by Tyronn Lue's preference for small-ball lineups. Bamba's strong shot-blocking and rebounding make him valuable in fantasy, though his inconsistent NBA performance often keeps his playing time in check. He remains a high-upside late-round option, especially if Ivica Zubac misses time, as Bamba would become a must-add in that scenario.]</t>
  </si>
  <si>
    <t>Questionable - knee</t>
  </si>
  <si>
    <t>Matisse Thybulle</t>
  </si>
  <si>
    <t>[Josh: Matisse Thybulle’s value is primarily tied to his elite defensive stats, particularly steals and blocks, but his offensive limitations and the arrival of Deni Avdija likely eliminate his chances of starting in Portland. His low usage on offense makes him a poor contributor in points and assists, and traditional fantasy rankings often overrate him due to his defensive numbers. While he’s a solid steals specialist, his lack of versatility and offensive production make him more suited for deep leagues or category-specific formats.]</t>
  </si>
  <si>
    <t>Injured - right knee (10g) - 11/10/2024</t>
  </si>
  <si>
    <t>Georges Niang</t>
  </si>
  <si>
    <t>[Josh: Georges Niang was expected to do more, but he was outplayed by Dean Wade and Max Strus. He’s still a solid shooting reserve, but his fantasy value is limited due to his role and lack of significant upside. He’s more of a depth piece than a player to target in most drafts.]</t>
  </si>
  <si>
    <t>Jose Alvarado</t>
  </si>
  <si>
    <t>[Josh: Jose Alvarado is beloved for his steals, but with Dejounte Murray and CJ McCollum ahead of him, there’s a real risk he could fall out of the rotation. While his defensive impact is undeniable, the crowded backcourt limits his upside, making him a fringe fantasy option unless injuries open up more minutes.]</t>
  </si>
  <si>
    <t>Mason Plumlee</t>
  </si>
  <si>
    <t>[Josh: Mason Plumlee serves as Jusuf Nurkic’s backup, but his role has diminished significantly, and his production has dropped off as well. While he remains an efficient rebounder, his contributions across other categories are minimal, and he's only fantasy-relevant if he steps into a starting role. With limited minutes behind Nurkic, Plumlee's fantasy value is capped, making him more of a deep-league streaming option for rebounds and efficiency. He’s unlikely to be usable in most formats unless Nurkic misses time and Plumlee sees extended minutes.]</t>
  </si>
  <si>
    <t>Goga Bitadze</t>
  </si>
  <si>
    <t>[Josh: Goga Bitadze is a strong defensive presence who stepped up last season when Wendell Carter Jr. was injured, offering solid fantasy value in those starts. However, his role as the third-string center limits his upside when the team is fully healthy. His defensive stats, particularly blocks and rebounds, make him a decent streaming option when Carter is out, but he doesn’t offer much in the way of scoring or offensive contributions. Bitadze is a valuable deep-league option for his defensive output, but his limited role keeps him from being a consistent fantasy asset in standard leagues.]</t>
  </si>
  <si>
    <t>Isaiah Stewart</t>
  </si>
  <si>
    <t>[Josh: I expect Isaiah Stewart's role to decrease significantly this year, as the Pistons likely won’t play him at power forward much anymore. This reduction in minutes and positional flexibility could limit his fantasy impact, making him a riskier pick with diminished upside compared to last season.]</t>
  </si>
  <si>
    <t>Tidjane Salaun</t>
  </si>
  <si>
    <t>[Josh: Tidjane Salaun, the number 6 pick, isn't likely to start unless injuries occur. He has rebounding upside and some shooting potential, but he tends to get lost on defense. With his big frame, he could fill out over time, but for now, he’s more of a developmental piece with intriguing long-term potential.]</t>
  </si>
  <si>
    <t>Cody Martin</t>
  </si>
  <si>
    <t>[Josh: Cody Martin is always a worry with that knee, and he could be squeezed out of minutes with a healthy roster and incoming guys. He’s reliable but unspectacular, offering little upside and more of a low-end, steady presence. If you’re looking for excitement, he’s not the guy, but he might be a solid option in deeper leagues.]</t>
  </si>
  <si>
    <t>Questionable - wrist and thumb laceration</t>
  </si>
  <si>
    <t>Malik Beasley</t>
  </si>
  <si>
    <t>[Josh: Malik Beasley was brought in to be a competent veteran presence, and his shooting and volume are very important to the Pistons. However, I doubt he’ll play as big a role as he did in Milwaukee. While he can provide value as a three-point specialist, his overall fantasy impact may be limited due to a likely reduction in minutes and usage.]</t>
  </si>
  <si>
    <t>Cam Payne</t>
  </si>
  <si>
    <t>[Josh: Cam Payne could potentially challenge Miles McBride for the backup point guard role behind Jalen Brunson. Payne's experience and shooting efficiency make him a viable contender for minutes, though it's uncertain how much of an impact he will have in the rotation. Both Payne and McBride are likely deep-league options unless an injury creates more opportunity.]</t>
  </si>
  <si>
    <t>Kevin Love</t>
  </si>
  <si>
    <t>[Josh: Kevin Love will still have the occasional big game, but his role as a regular contributor has diminished. While he can provide spot production in deeper leagues, his inconsistency makes him hard to rely on in standard formats. He could also limit Kel'el Ware's minutes early in the season, reducing Ware's immediate fantasy impact.]</t>
  </si>
  <si>
    <t>Max Christie</t>
  </si>
  <si>
    <t>[Josh: Max Christie enters his third year with some buzz and a decent contract, suggesting the Lakers believe in his potential for a larger role. While he’s likely to see an increase in minutes, he’s not projected to be a standard league option yet. However, he’s someone to watch in deeper leagues if his role continues to grow during the season.]</t>
  </si>
  <si>
    <t>Steven Adams</t>
  </si>
  <si>
    <t>[Josh: Steven Adams is easy to forget on this Houston roster after missing all of last season due to a knee injury. He should strictly be Alperen Sengun's backup, but his presence provides Ime Udoka with a defensive option if Sengun struggles, which is part of why there's a bit of concern about Sengun's role. Adams' days as a fantasy contributor appear to be over.]</t>
  </si>
  <si>
    <t>Vasilije Micic</t>
  </si>
  <si>
    <t>[Josh: Vasilije Micic struggled in Oklahoma City, but his assists really stood out in Charlotte. Euro players often see a big jump in three-point percentage in their second year as they adjust to the deeper line, even though Vasa is already 30. He’s a reliable backup point guard with some potential to improve, especially in his shooting.]</t>
  </si>
  <si>
    <t>Karlo Matkovic</t>
  </si>
  <si>
    <t>[Josh: Karlo Matkovic, although drafted a few years ago, is entering his rookie season and impressed in Summer League. He has an outside shot at the starting center role, and his game is well-suited for fantasy, especially in rebounds and blocks. Taking him as a last-round flier could pay off if he wins the job, making him a worthwhile gamble in deeper leagues.]</t>
  </si>
  <si>
    <t>Kyshawn George</t>
  </si>
  <si>
    <t>[Josh: Kyshawn George is a tall shooter who was selected in the first round, but his overall game feels somewhat empty. While he can shoot well from beyond the arc, averaging a decent three-point percentage, he doesn’t contribute significantly in other areas like playmaking, defense, or rebounding. As a result, his fantasy potential seems limited, with his value mainly tied to his shooting. Unless he expands his game, he might struggle to carve out a meaningful role in the Wizards' rotation.]</t>
  </si>
  <si>
    <t>Trendon Watford</t>
  </si>
  <si>
    <t>[Josh: Trendon Watford’s only hope of any relevance is in the chaos of March shenanigans. Otherwise, he’s not likely to make much of an impact this season.]</t>
  </si>
  <si>
    <t>Questionable - left hamstring strain</t>
  </si>
  <si>
    <t>Davion Mitchell</t>
  </si>
  <si>
    <t>[Josh: Davion Mitchell, traded in the offseason to Toronto, is expected to fill the backup point guard role. However, his offensive struggles limit his fantasy upside, as he hasn't developed much as a scorer or playmaker. Even defensively, where he's traditionally been strong, his smaller stature prevents him from being a truly elite defender. While he may have some value as a defensive specialist or streamer in deep leagues, Mitchell’s overall lack of contributions in other categories makes him a challenging fantasy option outside of very deep formats.]</t>
  </si>
  <si>
    <t>Luke Kennard</t>
  </si>
  <si>
    <t>[Josh: Luke Kennard played some point guard last season due to injuries, but his role is likely to be significantly reduced this year with the team healthier. He’s a potential trade candidate, which adds uncertainty to his fantasy outlook. Kennard remains a valuable three-point specialist, but his overall contributions are limited, making him more of a late-round pick or waiver option in standard leagues.]</t>
  </si>
  <si>
    <t>Doubtful - foot soreness (1g) - 10/25/2024</t>
  </si>
  <si>
    <t>Dalton Knecht</t>
  </si>
  <si>
    <t>[Josh: Dalton Knecht, an older rookie, may have slipped in the draft according to some, but his one-dimensional game limits his fantasy potential. While he's a solid shooter, he doesn't contribute enough in other areas to warrant consideration in most fantasy formats. Knecht is unlikely to have a significant role or impact this season, making him a pass in fantasy leagues.]</t>
  </si>
  <si>
    <t>Jaylin Williams</t>
  </si>
  <si>
    <t>[Josh: Jaylin Williams excels at taking charges and shot well last season, but he lacks shot-blocking ability. His role as backup center is now more limited with Isaiah Hartenstein's arrival, which reduces his fantasy upside.]</t>
  </si>
  <si>
    <t>Nicolas Batum</t>
  </si>
  <si>
    <t>[Josh: Nicolas Batum’s role remains fairly limited with the Los Angeles Clippers, focusing more on defense and occasional shooting. His low usage and scoring output make him a low-end option in fantasy, best suited for deeper leagues. While he can provide sporadic value in defensive stats, he’s not a player to rely on consistently. Batum is more of a late-round or waiver-wire option for managers seeking short-term defensive boosts.]</t>
  </si>
  <si>
    <t>Jaden Hardy</t>
  </si>
  <si>
    <t>[Josh: Jaden Hardy still has upside, but the path to realizing it is unclear. He's a high-usage player who could be interesting if Luka Doncic or Kyrie Irving are out, but with too many reserve options around, a true breakout seems unlikely. He’s more of a speculative pick with potential if the opportunity arises.]</t>
  </si>
  <si>
    <t>Jaden Springer</t>
  </si>
  <si>
    <t>[Josh: Jaden Springer is still not 22, and while his shooting is a concern, the question is whether we’ll finally see him carve out a consistent role. I’m not holding my breath, but this season feels like a make-or-break moment for him.]</t>
  </si>
  <si>
    <t>Sam Merrill</t>
  </si>
  <si>
    <t>[Josh: Sam Merrill has elite three-point volume and isn’t shy about getting up shots when he’s on the court. If he gets pressed into playing 25+ minutes, he could be fantasy useful for his three-pointers alone. However, outside of that specific scenario, his role remains limited.]</t>
  </si>
  <si>
    <t>Questionable - wrist</t>
  </si>
  <si>
    <t>Mitchell Robinson</t>
  </si>
  <si>
    <t>[Josh: With Mitchell Robinson expected to be out until December or January, there’s significant uncertainty around his role once he returns, especially with Karl-Anthony Towns now playing center in New York. Robinson may not even start when he’s back, and with Towns likely to command more minutes at center, Robinson's opportunities could be limited. Furthermore, his recurring ankle issues will likely lead to missed games for rest and recovery, making him a risky fantasy draft option. Given these factors, Robinson’s draft value is heavily diminished.]</t>
  </si>
  <si>
    <t>Injured - ankle (33g) - 1/1/2025</t>
  </si>
  <si>
    <t>Dalano Banton</t>
  </si>
  <si>
    <t>[Josh: Dalano Banton put up solid counting stats in March and April last season when Anfernee Simons and Shaedon Sharpe were out, but his inefficiency, especially in shooting, remains a concern. While he can contribute across multiple categories, his role is unclear moving forward, with Portland having a crowded backcourt. It’s hard to see where his minutes will come from unless injuries clear a path. Banton remains a deep-league option, but his inconsistent play and lack of a clear role limit his upside in standard formats.]</t>
  </si>
  <si>
    <t>Spencer Dinwiddie</t>
  </si>
  <si>
    <t>[Josh: Spencer Dinwiddie is back in Dallas after a rough stint with the Lakers last season. He’ll share the backup role with Jaden Hardy, and he's only worth streaming if a starter is out. His fantasy value is limited, and he’s not someone to rely on consistently.]</t>
  </si>
  <si>
    <t>Kevon Looney</t>
  </si>
  <si>
    <t>[Josh: Kevon Looney showed signs of decline last season, losing some of the steps that made him a key rotation piece. It was surprising to see his contract guaranteed, but it seems more about loyalty and his role as a veteran presence. With Trayce Jackson-Davis potentially moving ahead of him, Looney's minutes and impact could diminish further. Not someone to target in fantasy leagues.]</t>
  </si>
  <si>
    <t>Guerschon Yabusele</t>
  </si>
  <si>
    <t>[Josh: Guerschon Yabusele returns to the NBA after a few years in Europe, where he performed well at the Olympics, but his fantasy value is uncertain. He could challenge Caleb Martin for the starting power forward spot, but his projected stats suggest modest contributions across the board. While Yabusele’s efficiency and size make him intriguing, it’s unclear if he’ll play a significant enough role to be relevant in standard leagues. He’s more of a deep-league flier for now, with the potential to surprise if he secures a starting role, but his upside seems limited for standard fantasy formats.]</t>
  </si>
  <si>
    <t>Trey Lyles</t>
  </si>
  <si>
    <t>[Josh: Trey Lyles had an unusual shot-blocking surge two seasons ago, but those numbers have since regressed. He remains a reliable backup for both power forward and center positions, providing solid contributions in rebounds and three-point shooting. His efficiency from deep improved last season, and he’ll likely maintain his role as a versatile bench piece for Sacramento. However, with a relatively low usage rate and limited defensive stats, Lyles is more of a deep-league fantasy option, offering steady but unspectacular production across multiple categories.]</t>
  </si>
  <si>
    <t>Questionable - left groin</t>
  </si>
  <si>
    <t>Kel'El Ware</t>
  </si>
  <si>
    <t>[Josh: Kel'el Ware has the tools to become a future fantasy star with his athleticism, shot-blocking, and rebounding abilities. However, playing the same position as Bam Adebayo limits his immediate fantasy value, and it's unlikely they share the floor much this season. While his long-term potential is intriguing, Ware is more of a watchlist player this year with limited fantasy relevance until his role grows.]</t>
  </si>
  <si>
    <t>Pat Connaughton</t>
  </si>
  <si>
    <t>[Josh: Pat Connaughton had an unexpectedly significant role last season, but his shooting fell off, and his overall production remained mediocre. With his shooting struggles and limited upside in other categories, Connaughton doesn’t offer much fantasy value outside of deeper leagues. He's a low-impact player best suited for streaming when Milwaukee's rotation is short.]</t>
  </si>
  <si>
    <t>Christian Wood</t>
  </si>
  <si>
    <t>[Josh: Christian Wood will serve as a clear backup for the Lakers, limiting his upside. While his usage rate has been curbed, he can still provide value in points and rebounds for deeper leagues. Wood’s role is unlikely to expand significantly, making him more of a late-round flier or streaming option depending on matchups and injuries.]</t>
  </si>
  <si>
    <t>Injured - left knee (10g) - 11/13/2024</t>
  </si>
  <si>
    <t>Tim Hardaway Jr.</t>
  </si>
  <si>
    <t>[Josh: Tim Hardaway Jr. was traded to provide spacing, but with Malik Beasley also on the roster, it’s unclear why they made this move. His role likely won’t be significant enough to matter for fantasy leagues, as there just isn't enough opportunity for him to stand out amidst the competition.]</t>
  </si>
  <si>
    <t>Bruno Fernando</t>
  </si>
  <si>
    <t>[Josh: Bruno Fernando is likely behind Kelly Olynyk on the Raptors' depth chart as a backup center. While he provides traditional big man stats like blocks and a high field goal percentage, his role is limited, and he’s deep down in the rotation. Fernando’s value primarily lies in his ability to contribute in short bursts with solid rim protection and efficient scoring, but without consistent minutes, he’s more of a deep-league option or emergency streamer for blocks and FG%.]</t>
  </si>
  <si>
    <t>John Konchar</t>
  </si>
  <si>
    <t>[Josh: John Konchar has consistently performed well in low-usage roles, but with the current roster, his minutes could be squeezed this season. While he offers versatility and solid contributions across multiple categories in deeper leagues, his path to consistent playing time is unclear. Konchar may not see enough minutes to be a reliable fantasy option outside of deeper formats.]</t>
  </si>
  <si>
    <t>Stephon Castle</t>
  </si>
  <si>
    <t>[Josh: Stephon Castle, the number 4 pick, sees himself as a point guard, but with Chris Paul and Tre Jones on the roster, he won't play that role this season. His shooting is a major concern, and while he's a strong defender, he doesn't generate many defensive stats for fantasy. There’s also some worry that his impact at UConn may have been inflated. Castle will need to develop his offensive game to have a more consistent fantasy presence, but for now, he's more of a long-term project.]</t>
  </si>
  <si>
    <t>Alec Burks</t>
  </si>
  <si>
    <t>[Josh: Alec Burks finds himself in a crowded Miami backcourt, with too many similar guards like Tyler Herro, Terry Rozier, and Josh Richardson ahead of him. While he can provide streaky shooting and be a solid backup, there won’t be enough consistent minutes for him to hold fantasy value. Burks is best left for deep leagues or as a streaming option when injuries arise.]</t>
  </si>
  <si>
    <t>Charles Bassey</t>
  </si>
  <si>
    <t>[Josh: Charles Bassey was showing strong potential as a per-minute fantasy beast before tearing his ACL. He offered elite rebounding and shot-blocking, with excellent efficiency in his limited role. Bassey was preferred over Dominick Barlow due to his defensive presence and efficient scoring, making him a valuable depth piece for the Spurs when healthy. However, the ACL injury clouds his immediate future, and his recovery will be key in determining whether he can return to his high-impact play off the bench.]</t>
  </si>
  <si>
    <t>Tristan Vukcevic</t>
  </si>
  <si>
    <t>[Josh: Tristan Vukcevic showed some solid development last season, but his current situation on a two-way contract with the Washington Wizards puts him behind Jonas Valanciunas, Marvin Bagley III, and Richaun Holmes in the rotation. While he may not have a clear path to immediate playing time, there's potential for him to be converted to a full contract later in the season, especially if any of the veterans ahead of him are moved or traded. His offensive game and ability to stretch the floor are intriguing, but he's more of a long-term prospect for fantasy. Keep an eye on him, especially in deeper dynasty leagues.]</t>
  </si>
  <si>
    <t>Two-Way Player|Restricted Free Agent|New Contract</t>
  </si>
  <si>
    <t>Jaxson Hayes</t>
  </si>
  <si>
    <t>[Josh: Jaxson Hayes will compete with Christian Wood for backup minutes behind Anthony Davis, but his inconsistent play and lack of standout skills make him a low-upside option. While he offers some efficiency as a finisher, his overall contributions are limited, and he’s unlikely to be a reliable fantasy asset. Hayes remains a fringe option in deeper leagues but is not a player to prioritize.]</t>
  </si>
  <si>
    <t>Haywood Highsmith</t>
  </si>
  <si>
    <t>[Josh: Haywood Highsmith is a low-usage, defense-oriented player who can fill a starting role at small forward or power forward. His fantasy value is minimal, as he primarily focuses on defending and staying out of the way on offense. Highsmith is unlikely to contribute much in standard leagues, but his defensive presence might make him a deep-league option for those needing steals or occasional starts.]</t>
  </si>
  <si>
    <t>Jalen Wilson</t>
  </si>
  <si>
    <t>[Josh: Jalen Wilson, the Summer League MVP, flashed some potential last season. However, the Nets need to clear out some players to open up minutes for him. He could and should play over Ziaire Williams, but a lot needs to go right for him to have consistent fantasy value.]</t>
  </si>
  <si>
    <t>Jabari Walker</t>
  </si>
  <si>
    <t>[Josh: Jabari Walker had opportunities late last season when Jerami Grant was sidelined, but he struggled with his shooting, which led to a diminished role. While he has some potential as a rebounder, his poor shooting and limited offensive impact hurt his overall fantasy value. Now, with more competition on the roster, Walker is likely relegated to a much smaller role. He’s a deep-league flier at best, with limited upside unless injuries open up more consistent playing time.]</t>
  </si>
  <si>
    <t>Probable - right ankle</t>
  </si>
  <si>
    <t>Chris Boucher</t>
  </si>
  <si>
    <t>[Josh: The Chris Boucher fantasy dream has fizzled out. While he still offers decent per-minute production, particularly in rebounds and efficiency, his role has diminished, and he no longer has the upside many once hoped for. His inconsistent minutes and performance have made it difficult to rely on him, and with Toronto’s depth at forward and center, his opportunities will likely remain limited. Boucher’s days as a potential breakout player are over, and it’s best to avoid getting lured into any renewed hype.]</t>
  </si>
  <si>
    <t>Questionable - right knee contusion</t>
  </si>
  <si>
    <t>G.G. Jackson</t>
  </si>
  <si>
    <t>[Josh: G.G. Jackson remains a raw prospect with upside, but his inefficiency and limited contributions outside of scoring make him more of a long-term project. With a broken foot likely keeping him sidelined until around Christmas, his role this season was already expected to be small. Jackson is best viewed as a dynasty stash rather than a redraft option.]</t>
  </si>
  <si>
    <t>Injured - foot fracture (29g) - 12/23/2024</t>
  </si>
  <si>
    <t>Rob Dillingham</t>
  </si>
  <si>
    <t>[Josh: Rob Dillingham, though talented as a shooter with solid passing, faces the typical struggles of rookie point guards and will likely serve as a backup. Given his small size, he could struggle defensively, but if Mike Conley misses time, Dillingham could step into a starting role. While he has upside, expectations should be tempered, making him a late-round flier or a watchlist candidate in most formats.]</t>
  </si>
  <si>
    <t>Kenrich Williams</t>
  </si>
  <si>
    <t>[Josh: Kenrich Williams is a solid role player and ball mover, but with the addition of Isaiah Hartenstein, his role is less critical. While he's valuable on the court, his contributions don't translate to fantasy relevance.]</t>
  </si>
  <si>
    <t>Injured - right knee (1g) - 10/26/2024</t>
  </si>
  <si>
    <t>Monte Morris</t>
  </si>
  <si>
    <t>[Josh: Monte Morris had a rough season last year, largely due to a back injury that significantly impacted his performance. Once known for his steady efficiency and low turnovers, he looked far from his best, and there’s some concern that his recent struggles could continue. He’s now in a reduced role behind Tyus Jones, who offers a similar skill set but at a higher level. Morris' fantasy value is minimal unless he regains form and finds a larger role, but for now, he's a deep-league option at best. Keep an eye on his health, but it's fair to question if his best days are behind him.]</t>
  </si>
  <si>
    <t>Isaiah Collier</t>
  </si>
  <si>
    <t>[Josh: Isaiah Collier slipped in the draft due to his shooting concerns, but he remains a strong driver and playmaker with solid passing instincts. Despite his shooting limitations, Collier could see backup minutes behind Keyonte George early on and may even get opportunities to play alongside him. Utah will likely want to experiment with different guard combinations, making Collier a potential rotation piece right away. His ability to get to the rim and facilitate makes him intriguing, but his poor shooting and turnover rate will likely limit his fantasy value early on.]</t>
  </si>
  <si>
    <t>Injured - right hamstring (5g) - 11/2/2024</t>
  </si>
  <si>
    <t>Talen Horton-Tucker</t>
  </si>
  <si>
    <t>Bol Bol</t>
  </si>
  <si>
    <t>[Josh: Bol Bol's potential and versatility have always intrigued fantasy managers, but his path to significant minutes is once again blocked with Mason Plumlee backing up Jusuf Nurkic. While Bol's efficiency and ability to contribute across multiple categories—especially with his shooting and blocks—are appealing, the lack of a clear role limits his immediate fantasy value. He's more of a deep-league flier or dynasty stash, with the allure of upside always present if an opportunity arises. However, barring injuries, his path to big minutes remains slim, and managers should temper expectations for consistent production.]</t>
  </si>
  <si>
    <t>Moses Moody</t>
  </si>
  <si>
    <t>[Josh: Moses Moody has shown promise, but with the current roster setup, there's little room for him to carve out a significant role. He remains a player to monitor, particularly if a trade or injury creates an opportunity. For now, he's on the outside looking in for fantasy relevance.]</t>
  </si>
  <si>
    <t>Dalen Terry</t>
  </si>
  <si>
    <t>[Josh: Dalen Terry is heading into his third year, but after only marginal improvement last season, I don’t expect much from him this year either. He hasn’t shown enough to be a significant contributor, and his fantasy value remains minimal.]</t>
  </si>
  <si>
    <t>Bones Hyland</t>
  </si>
  <si>
    <t>[Josh: Bones Hyland's role with the Clippers is highly uncertain, especially with the additions of Kris Dunn and Kevin Porter Jr. His inconsistent playing time last season and crowded backcourt make him a risky fantasy option. While he has the potential for scoring and playmaking in deeper leagues, Hyland is likely to be in and out of the rotation, limiting his overall fantasy appeal.]</t>
  </si>
  <si>
    <t>Questionable - left hip</t>
  </si>
  <si>
    <t>Alex Len</t>
  </si>
  <si>
    <t>[Josh: Alex Len has settled into his role as Sacramento’s backup center, primarily providing shot-blocking and efficient finishing around the rim. While his minutes and usage remain low, Len offers solid rim protection in limited spurts, making him a useful deep-league option for blocks. His offensive contributions are minimal, and his free-throw shooting remains a weakness. However, his role as a backup center is secure, and he can offer streaming value for fantasy managers needing blocks, though his overall upside is limited.]</t>
  </si>
  <si>
    <t>Amir Coffey</t>
  </si>
  <si>
    <t>[Josh: Amir Coffey is a solid rotation piece for the Clippers but lacks the statistical output to warrant fantasy consideration. His role as a veteran wing provides stability on the court, but his contributions in scoring, assists, and other key fantasy categories are too limited. Coffey is best left on the waiver wire, even in deeper leagues.]</t>
  </si>
  <si>
    <t>Richaun Holmes</t>
  </si>
  <si>
    <t>[Josh: Richaun Holmes’ fantasy value appears to be in steep decline, with the Washington Wizards now crowded at the center position after acquiring Jonas Valanciunas, Marvin Bagley III, and Tristan Vukcevic. His role has diminished significantly over the past few seasons, and barring any significant trades or injuries, it’s hard to see him regaining the form that made him a valuable fantasy asset. With limited minutes and usage likely, he remains a low-ceiling option, and the competition for playing time makes it difficult to justify targeting him in most drafts.]</t>
  </si>
  <si>
    <t>Reggie Jackson</t>
  </si>
  <si>
    <t>[Josh: Reggie Jackson joins an already veteran-heavy point guard rotation alongside Kyle Lowry, and his role is expected to be minimal. His projected stats show a decline in usage and efficiency, and with younger players like Tyrese Maxey and possibly even Paul George handling playmaking duties, Jackson’s opportunities will be limited. His value will be low in most fantasy formats, with occasional streaming potential for assists, but he’s unlikely to be a consistent contributor. Jackson is more of a deep-league option or a veteran presence for the 76ers rather than a significant fantasy asset.]</t>
  </si>
  <si>
    <t>New Contract|New Team|Unrestricted Free Agent</t>
  </si>
  <si>
    <t>Vlatko Cancar</t>
  </si>
  <si>
    <t>[Josh: Vlatko Cancar didn’t play last season due to a torn ACL, but his shooting and defense at the big spots are valuable when he’s healthy. If he can return to form, he could provide depth in the frontcourt, though his role will likely be limited as he works his way back.]</t>
  </si>
  <si>
    <t>Gabe Vincent</t>
  </si>
  <si>
    <t>[Josh: Gabe Vincent’s first year with the Lakers was derailed by injury, leaving little to evaluate. He’s expected to serve as a backup guard this season, with potential fill-in value if injuries hit the Lakers' backcourt. Vincent’s fantasy relevance is limited to deeper leagues or as a streaming option when he gets extended minutes.]</t>
  </si>
  <si>
    <t>Jett Howard</t>
  </si>
  <si>
    <t>[Josh: Jett Howard had a rough rookie season after being selected 11th overall, struggling with efficiency and contributing minimally across the board. His projected stats show some improvement, particularly in shooting, but he’ll need to make significant strides to carve out a larger role. Howard could potentially unseat Gary Harris as the backup to Kentavious Caldwell-Pope, but it will depend on his development. For now, he remains a deep-league flier with upside if he can improve his shot and secure more consistent minutes, though the leap he needs to make keeps expectations low for standard fantasy formats.]</t>
  </si>
  <si>
    <t>Tyler Kolek</t>
  </si>
  <si>
    <t>[Josh: Tyler Kolek, a second-round rookie, is a pass-first point guard but faces a tough path to minutes with Jalen Brunson, Miles McBride, and Cam Payne ahead of him. His playmaking potential is intriguing, but he's unlikely to have a significant role this season, making him a long-shot deep-league option at best.]</t>
  </si>
  <si>
    <t>Devin Carter</t>
  </si>
  <si>
    <t>[Josh: Devin Carter, the 13th overall pick, is recovering from shoulder surgery and may miss most of the upcoming season. His primary strengths are guard rebounding and defense, with only one standout shooting season in college. Given his injury status, Carter's immediate fantasy relevance is limited, and any potential impact will depend on how quickly he recovers and integrates into Sacramento's rotation. His defensive ability makes him a name to watch in deeper leagues, but his offensive consistency remains a question.]</t>
  </si>
  <si>
    <t>Injured - shoulder (40g) - 1/15/2025</t>
  </si>
  <si>
    <t>Johnny Furphy</t>
  </si>
  <si>
    <t>[Josh: Johnny Furphy, despite sliding to the second round in the draft, remains an intriguing prospect. However, given the depth in Indiana's roster, it's unlikely he'll have a significant role this season. His development is worth keeping an eye on, but immediate fantasy impact seems minimal. He may spend more time developing in limited minutes or potentially in the G League.]</t>
  </si>
  <si>
    <t>Questionable - ankles</t>
  </si>
  <si>
    <t>Christian Koloko</t>
  </si>
  <si>
    <t>Two-Way Player|New Team|New Contract</t>
  </si>
  <si>
    <t>Cody Williams</t>
  </si>
  <si>
    <t>[Josh: Cody Williams, the 10th pick in the draft, enters the Utah rotation with promise, though there are questions about his immediate impact. He can be passive at times, and his shooting is still unconvincing, with defensive stats not being a strong point either. However, with the Jazz lacking small forwards, and Lauri Markkanen likely sliding into that spot with Taylor Hendricks at power forward, Williams should find himself in the rotation from the start. His minutes will come as he develops, but fantasy managers should be cautious due to his low usage and lack of strong defensive contributions.]</t>
  </si>
  <si>
    <t>Joe Ingles</t>
  </si>
  <si>
    <t>[Josh: Joe Ingles will likely step into Kyle Anderson's former role, providing better shooting but weaker defense. While he offers valuable three-point shooting and playmaking, his low usage and limited defensive impact cap his fantasy upside. Ingles is a deeper-league option for assists and threes, but his overall value remains modest in standard formats.]</t>
  </si>
  <si>
    <t>Baylor Scheierman</t>
  </si>
  <si>
    <t>[Josh: Baylor Scheierman is an older rookie who could theoretically contribute, but relying on a pick 30 rookie on a title-contending team isn't ideal. I wouldn't expect much from him this season in terms of fantasy value.]</t>
  </si>
  <si>
    <t>Jake LaRavia</t>
  </si>
  <si>
    <t>[Josh: Jake LaRavia has been underwhelming so far but showed some improvement with extra minutes toward the end of last season. With G.G. Jackson out to start the year, LaRavia might see early rotation minutes, though likely in a smaller role than last season. He’s still more of a deep-league flier at best, with limited fantasy appeal in standard leagues.]</t>
  </si>
  <si>
    <t>Craig Porter Jr.</t>
  </si>
  <si>
    <t>[Josh: Craig Porter Jr. is an undrafted surprise with impressive shot-blocking skills for an undersized guard. His shooting is what holds him back, but if he can improve in that area, he has the potential to become a solid backup point guard in time. For now, he's more of a developmental prospect to keep an eye on.]</t>
  </si>
  <si>
    <t>Ochai Agbaji</t>
  </si>
  <si>
    <t>[Josh: Ochai Agbaji started down the stretch last season but struggled to make an impact. Despite coming out of Kansas as a shooter, he has yet to prove he can be a reliable threat from beyond the arc, shooting just over 30%. While he defends decently for his size and position, his performances have fallen short of what was expected when he was drafted by Utah. Now on the fringe of Toronto's rotation, Agbaji will need to improve his shooting and overall consistency to earn more playing time, though his fantasy value remains limited unless significant progress is made.]</t>
  </si>
  <si>
    <t>Jonathan Mogbo</t>
  </si>
  <si>
    <t>[Josh: Jonathan Mogbo, an undersized forward/center, posted impressive numbers in college at San Francisco, showcasing strong passing skills and efficient scoring. However, his fit at the NBA level remains uncertain, especially when it comes to rim protection due to his size. Mogbo’s versatility could see him getting minutes in March, particularly if Toronto shifts to a developmental phase, but his position—whether at power forward or center—remains a question mark. His fantasy value will likely be limited, but he could emerge as a deeper-league option with strong passing and decent efficiency when given playing time.]</t>
  </si>
  <si>
    <t>Kyle Filipowski</t>
  </si>
  <si>
    <t>[Josh: Kyle Filipowski fell into the second round of the draft, but he brings a promising mix of passing, shooting, and shot-blocking for a big man, which could translate well to fantasy. While his wingspan is a bit limited for his position, his versatility makes him intriguing long-term. Currently, Filipowski is buried on the depth chart behind John Collins, Walker Kessler, and potentially Drew Eubanks, which limits his immediate fantasy appeal. However, he has the skillset to become valuable, particularly in deeper leagues, if injuries or trades open up more minutes. He’s someone to keep an eye on as the season progresses.]</t>
  </si>
  <si>
    <t>Ty Jerome</t>
  </si>
  <si>
    <t>[Josh: Milk barely played last season due to an ankle injury, and I think Craig Porter Jr. may have overtaken him in the rotation. Jerome's role is uncertain, and with limited playing time, his fantasy value is minimal.]</t>
  </si>
  <si>
    <t>Gary Harris</t>
  </si>
  <si>
    <t>[Josh: Gary Harris remains a serviceable player, but his role as a backup to Kentavious Caldwell-Pope and his injury history, particularly with lower-body issues, limit his fantasy potential. His projected stats show a slight decline, and without much contribution in key fantasy categories like points, assists, or defensive stats, Harris doesn’t offer much upside. His shooting percentages are respectable, but his low usage and lack of durability make him a deep-league option at best. Barring significant injuries ahead of him on the depth chart, he’s unlikely to have much impact in standard fantasy leagues.]</t>
  </si>
  <si>
    <t>AJ Green</t>
  </si>
  <si>
    <t>[Josh: AJ Green had a surprising season last year, and his shooting could even surpass Gary Trent's efficiency. While Doc Rivers seems to have some interest in Green, his role remains limited, and his fantasy value is minimal outside of deep leagues. Green is mostly a three-point specialist, but his playing time and impact won’t likely be enough to warrant attention in standard formats.]</t>
  </si>
  <si>
    <t>DeAndre Jordan</t>
  </si>
  <si>
    <t>[Josh: DeAndre Jordan is back again, but at this point, it’s surely just for the vibes. His on-court contributions are minimal, and he’s not someone to consider for fantasy purposes. He’s more of a locker room presence than a player with any real impact.]</t>
  </si>
  <si>
    <t>Keon Johnson</t>
  </si>
  <si>
    <t>[Josh: I liked Keon Johnson's performance in Summer League, and with Brooklyn’s lack of reliable point guards after Ben Simmons and Dennis Schroder, he’s a long shot to contribute, but his development is worth watching. There’s potential there, but it’s still a stretch for him to make a significant impact this season.]</t>
  </si>
  <si>
    <t>Dillon Jones</t>
  </si>
  <si>
    <t>[Josh: Dillon Jones is a versatile player, but his lack of speed and poor shooting efficiency make him a questionable fit in the fast-paced Thunder system. While Oklahoma City traded back into the first round to get him, his projected stats and shooting struggles highlight the challenges he faces in securing a significant role. Despite offering a variety of skills like rebounding and playmaking, his low percentages and lack of defensive impact limit his fantasy upside. He’s more of a deep-league stash or dynasty prospect at this point, and there’s a lot of risk attached to his shooting improving enough to warrant standard league consideration.]</t>
  </si>
  <si>
    <t>Dante Exum</t>
  </si>
  <si>
    <t>[Josh: Dante Exum shot amazingly well in his return to the NBA, but that shooting percentage isn’t sustainable. He had some value mid-season when others were out, but his role is likely to be smaller this season. While he showed flashes, he’s not someone to rely on for consistent fantasy production.]</t>
  </si>
  <si>
    <t>Injured - right wrist (38g) - 1/12/2025</t>
  </si>
  <si>
    <t>Marcus Sasser</t>
  </si>
  <si>
    <t>[Josh: Marcus Sasser is an undersized guard who had some moments as a rookie, but his Summer League performance was underwhelming. I’m not sure he’s a regular rotation guy yet, as his role in Detroit remains uncertain. While he has shown flashes, his path to consistent minutes is unclear, making him a risky fantasy option at this stage.]</t>
  </si>
  <si>
    <t>Julian Phillips</t>
  </si>
  <si>
    <t>[Josh: Julian Phillips could step into a bigger role, especially after a solid Summer League showing. He’s young and athletic, but I wouldn’t expect much in terms of fantasy production this season. He’s more of a developmental piece with potential down the line.]</t>
  </si>
  <si>
    <t>Questionable - rib contusion</t>
  </si>
  <si>
    <t>Yves Missi</t>
  </si>
  <si>
    <t>[Josh: Yves Missi, a first-round pick, has a questionable fit alongside Zion Williamson due to his lack of offensive versatility, relying mainly on dunks with no shooting ability. He blocks shots well, but he’s still new to basketball and was outplayed by Karlo Matkovic in Summer League. Although there's an outside chance he could start at center, Missi’s current skill set and fit with the team make him a risky fantasy option.]</t>
  </si>
  <si>
    <t>Kris Murray</t>
  </si>
  <si>
    <t>[Josh: Kris Murray struggled last season and didn't show much improvement during Summer League as a second-year player. Already on the older side for a developing prospect, his shooting and overall impact have been disappointing. With his efficiency lacking and not many signs of growth, it's hard to envision him sticking long-term in Portland’s rotation. His fantasy relevance remains minimal unless significant improvement occurs, and for now, he’s more of a deep-league flier with limited upside.]</t>
  </si>
  <si>
    <t>Jordan McLaughlin</t>
  </si>
  <si>
    <t>[Josh: Jordan McLaughlin could see some backup point guard minutes for Sacramento, but he is not expected to have a significant role in the rotation. His production across categories is limited, with low usage and modest contributions in assists and steals. While he can provide efficient shooting in small spurts, McLaughlin’s overall fantasy relevance is minimal unless injuries open up more playing time. He’s likely best suited for deep-league formats where his assists and efficiency may have value, but his upside is capped in most leagues.]</t>
  </si>
  <si>
    <t>Unrestricted Free Agent|New Team|New Contract</t>
  </si>
  <si>
    <t>Damion Lee</t>
  </si>
  <si>
    <t>[Josh: Damion Lee, an excellent shooter, missed all of last season due to a meniscus injury, and while his efficiency—especially from three and the free-throw line—has always been a strength, his role is likely limited with Grayson Allen already in place. Given Allen’s similar skill set and Lee’s uncertain health status, it’s tough to see Lee carving out a meaningful role in Phoenix’s rotation. He’s a deep-league streaming option for threes and percentages, but his upside is capped unless injuries ahead of him open up more playing time.]</t>
  </si>
  <si>
    <t>New Contract|Unrestricted Free Agent</t>
  </si>
  <si>
    <t>Duop Reath</t>
  </si>
  <si>
    <t>[Josh: Duop Reath was a pleasant surprise last season and provided some usable fantasy value. However, at 28 years old and only in his second NBA season, his long-term prospects are limited. Additionally, with three centers ahead of him in the Portland rotation, Reath’s path to consistent playing time is blocked. While he showed flashes of potential, the competition and his age make it hard to see him having a significant fantasy impact moving forward, relegating him to a deep-league or dynasty stash at best.]</t>
  </si>
  <si>
    <t>Malaki Branham</t>
  </si>
  <si>
    <t>[Josh: The Spurs still have high hopes for Malaki Branham, but he was disappointing last season. Despite getting opportunities, he often appeared as an empty scorer with little contribution outside of points, earning comparisons to a shorter Keldon Johnson. While Branham has scoring ability, his overall game needs to develop further to make a significant fantasy impact. If he can improve his playmaking or defensive stats, he might carve out a bigger role, but for now, he's a late-round option with limited upside.]</t>
  </si>
  <si>
    <t>Jamal Shead</t>
  </si>
  <si>
    <t>[Josh: Jamal Shead closely resembles Davion Mitchell in terms of play style—an undersized, ball-pressure guard who thrives defensively. However, like Mitchell, his three-point shooting is a significant concern. Shead is an older prospect out of Houston, known for his defense and tenacity, but his offensive game, particularly his shooting from deep, limits his upside. He may struggle to carve out a meaningful role in Toronto’s rotation, and unless his shooting improves, his fantasy relevance will likely remain minimal, primarily serving as a defensive specialist.]</t>
  </si>
  <si>
    <t>Kobe Brown</t>
  </si>
  <si>
    <t>[Josh: Kobe Brown enters his second year with the Clippers, but his role and consistency remain uncertain. While he has the physical tools of a power forward and can contribute across multiple categories, his inefficiency and limited minutes make him a risky fantasy option. Brown is best suited for deep-league managers looking for a multi-category flier, but he's not someone to rely on for consistent production.]</t>
  </si>
  <si>
    <t>Lindy Waters III</t>
  </si>
  <si>
    <t>[Josh: Lindy Waters III has the potential to contribute as a shooter with good size, but he's not likely to fully replace Klay Thompson's role. However, he might surprise with some valuable performances, particularly if he's able to carve out minutes in a crowded rotation. His shooting could be an asset in specific matchups or when injuries create an opportunity.]</t>
  </si>
  <si>
    <t>Thomas Bryant</t>
  </si>
  <si>
    <t>[Josh: Thomas Bryant’s return to Miami is puzzling, and while he may get some early minutes over Kel'el Ware, it’s unlikely to last. His inefficiency on defense and limited skill set make him a poor long-term option. Bryant is unlikely to hold fantasy value and will probably see his minutes diminish as the season progresses.]</t>
  </si>
  <si>
    <t>Shake Milton</t>
  </si>
  <si>
    <t>[Josh: Shake Milton is another guy most people won’t remember is on this team. He was bad in Minnesota and New York last season, but Brooklyn doesn’t have many ball handlers. Still, I have very low faith in him making any significant impact.]</t>
  </si>
  <si>
    <t>Aaron Holiday</t>
  </si>
  <si>
    <t>[Josh: Aaron Holiday is a reliable third-string point guard who might see some playing time over Reed Sheppard early in the season due to his veteran experience. However, he's not someone to prioritize in fantasy leagues, as his role is limited and doesn't offer much upside.]</t>
  </si>
  <si>
    <t>Trey Alexander</t>
  </si>
  <si>
    <t>[Josh: Trey Alexander going undrafted was a surprise, as he has the potential to be better than both Jalen Pickett and Hunter Tyson. I could see him being converted to a full contract early on. He’s a player I still really like and someone to keep an eye on as the season progresses. He could carve out a role if given the opportunity.]</t>
  </si>
  <si>
    <t>Two-Way Player|Restricted Free Agent</t>
  </si>
  <si>
    <t>James Wiseman</t>
  </si>
  <si>
    <t>[Josh: James Wiseman had another disappointing season last year, and with his current trajectory, he’s likely to find himself as the third-string center for Indiana. Despite his pedigree as a former high draft pick, his performance has been underwhelming, and it's hard to see him breaking into a more significant role unless there are injuries ahead of him on the depth chart. His fantasy value remains very limited.]</t>
  </si>
  <si>
    <t>Adem Bona</t>
  </si>
  <si>
    <t>[Josh: Adem Bona, a strong second-round pick, brings athleticism and energy to the 76ers and could potentially become their backup center as soon as next season. While he’s slightly undersized for the position, his athleticism helps compensate, and his efficiency around the rim makes him a solid finisher. However, his overall fantasy impact will be limited by his low usage and lack of contributions in key categories like scoring and assists. Bona’s value lies in his defensive stats, particularly blocks, but he’s more of a deep-league or dynasty stash at this stage, with upside if he secures a larger role down the line.]</t>
  </si>
  <si>
    <t>EM</t>
  </si>
  <si>
    <t>Vit Krejci</t>
  </si>
  <si>
    <t>[Josh: Vit Krejci showed down the stretch that he could be a solid rotation player, thriving in a low-usage defensive role alongside Trae Young and Dejounte Murray. However, he’s likely to see a reduced role this season. Despite that, his versatility to play positions 1-3 keeps him in the mix, though his fantasy upside remains limited.]</t>
  </si>
  <si>
    <t>Seth Curry</t>
  </si>
  <si>
    <t>[Josh: Seth Curry is more of an emergency option in Charlotte, given the guards ahead of him in the rotation. However, he can still shoot, which could give him some situational value, but his overall fantasy impact will likely be minimal.]</t>
  </si>
  <si>
    <t>Anthony Black</t>
  </si>
  <si>
    <t>[Josh: Anthony Black had some opportunities to start as a rookie but struggled overall, especially with his low shooting volume and questionable consistency from three. While his three-point percentage was solid, it's unlikely to be sustainable given his limited attempts and overall shooting profile. His projected stats show modest improvements, but with a crowded backcourt in Orlando, his role is unclear heading into the season. Black offers some defensive upside, but without a clear path to consistent minutes or reliable offensive contributions, he’s a deep-league or dynasty stash rather than a standard league option for now. Keep an eye on his development, but the upside seems capped this season.]</t>
  </si>
  <si>
    <t>Jeremiah Robinson-Earl</t>
  </si>
  <si>
    <t>[Josh: Jeremiah Robinson-Earl played as a backup center after being cut by OKC, but with Karlo Matkovic and Yves Missi in the mix, his role in New Orleans is unclear. His versatility could give him a chance for minutes, but he’s unlikely to be a significant factor in the rotation, making him a deep-league option at best.]</t>
  </si>
  <si>
    <t>Jordan Hawkins</t>
  </si>
  <si>
    <t>[Josh: Jordan Hawkins, last year’s lottery pick, has shown decent shooting, but that remains his primary skill, and he has room for improvement. His role this season is uncertain, with the potential for sporadic minutes due to a crowded Pelicans backcourt. Hawkins is a deep-league option or a watchlist candidate, but his limited skill set and uncertain role cap his fantasy value for now.]</t>
  </si>
  <si>
    <t>Jock Landale</t>
  </si>
  <si>
    <t>[Josh: Jock Landale performed well when Alperen Sengun was sidelined last season, but he's now likely behind Steven Adams on the depth chart. However, if Adams' knee doesn't hold up, Landale could step into the backup center role and offer some fantasy value in deeper leagues.]</t>
  </si>
  <si>
    <t>Nick Smith Jr.</t>
  </si>
  <si>
    <t>[Josh: Nick Smith Jr. looked out of control at times last year and is still likely to be inefficient. He might not secure a regular rotation spot, but with small improvements, he could carve out a role. For now, he’s more of a watch-and-see player, with potential but significant risks.]</t>
  </si>
  <si>
    <t>Questionable - groin strain</t>
  </si>
  <si>
    <t>Jeff Dowtin Jr</t>
  </si>
  <si>
    <t>[Josh: Jeff Dowtin Jr. performed well in limited minutes last season and is now on a two-way contract with the 76ers. While his efficiency, particularly from three-point range, was strong, his overall production remains modest. Dowtin is a reliable ball-handler and defender but doesn’t contribute much in terms of scoring or counting stats. He’s a deep-league or dynasty flier at best, as his role will likely be limited behind more established guards. However, if injuries open up opportunities, Dowtin could be a streaming option for assists and threes, but his upside remains capped in most formats.]</t>
  </si>
  <si>
    <t>Restricted Free Agent|New Contract|Two-Way Player</t>
  </si>
  <si>
    <t>Mouhamed Gueye</t>
  </si>
  <si>
    <t>[Josh: Mouhamed Gueye has some fans in Atlanta who see him as part of the core, but I’m not as convinced. While he had some moments last season, he’s more of a power forward than a center, and his efficiency is a significant concern. I don’t see him having a major role this year.]</t>
  </si>
  <si>
    <t>Sandro Mamukelashvili</t>
  </si>
  <si>
    <t>[Josh: Sandro Mamukelashvili was brought back by the Spurs and has shown he can produce solid stats when given playing time, especially in rebounds and efficiency. However, he’s far down the depth chart, limiting his fantasy relevance. Unless injuries or rotation changes occur, Mamukelashvili's role will likely be minimal. He’s more of a deep-league streaming option when other big men are unavailable, as his ability to fill the box score in limited minutes can be useful in certain situations.]</t>
  </si>
  <si>
    <t>Patrick Baldwin</t>
  </si>
  <si>
    <t>[Josh: Patrick Baldwin Jr. theoretically has the tools to be a good fantasy player, but his shooting struggles have severely limited his impact. Last season, despite some opportunities, he couldn't capitalize due to poor shooting efficiency. With Kyle Kuzma and Alex Sarr now in Washington's frontcourt rotation, his path to meaningful minutes is even more congested. At this point, Baldwin seems like a potential lost cause unless he drastically improves his shot and finds a way to carve out a consistent role.]</t>
  </si>
  <si>
    <t>Svi Mykhailiuk</t>
  </si>
  <si>
    <t>[Josh: Svi Mykhailiuk joined Utah in the offseason, possibly as insurance in case Collin Sexton or Jordan Clarkson gets traded. He offers solid three-point shooting and a bit of playmaking but is primarily a backup piece on this roster. Mykhailiuk could see spot minutes as a floor spacer, but his fantasy value remains minimal unless he finds himself in a larger role due to trades or injuries. For now, he's a deep-league flier at best, and even then, he's unlikely to make much of a consistent impact.]</t>
  </si>
  <si>
    <t>Chris Duarte</t>
  </si>
  <si>
    <t>[Josh: Chris Duarte arrived in the DeRozan sign-and-trade, but there’s no rotation role available for him right now. He’s unlikely to see much playing time, making his fantasy relevance minimal this season.]</t>
  </si>
  <si>
    <t>Dru Smith</t>
  </si>
  <si>
    <t>[Josh: Dru Smith returns from a torn ACL, but his fantasy relevance remains minimal. While he offers some shooting, his role is limited to a two-way contract, and the Miami Heat seem more invested in him than his production warrants. Smith is not a fantasy option in most formats, and any potential value would only come in deep leagues or with significant injuries in the backcourt.]</t>
  </si>
  <si>
    <t>Jae'Sean Tate</t>
  </si>
  <si>
    <t>[Josh: Jae'Sean Tate, despite Ime Udoka's affinity for him, is likely to find himself out of the rotation on most nights. His shooting has regressed significantly, which further limits his already modest fantasy potential.]</t>
  </si>
  <si>
    <t>KJ Martin</t>
  </si>
  <si>
    <t>[Josh: KJ Martin received an outsized contract, seemingly intended more as a trade asset than for his on-court contributions. His production last season was underwhelming, with poor shooting percentages, especially from the free-throw line, and minimal impact in key categories. While he offers athleticism and finishing ability, his role on this Philadelphia 76ers team is unclear, and he's unlikely to provide much fantasy value unless significant changes occur. Martin is a deep-league flier at best, and his low usage and poor efficiency make him hard to trust in most formats. His future might depend more on being a trade piece than an on-court contributor.]</t>
  </si>
  <si>
    <t>Ousmane Dieng</t>
  </si>
  <si>
    <t>[Josh: Ousmane Dieng enters his third year with minimal impact despite being a former lottery pick. His projected stats show slight improvements, but his shooting remains a concern, with no significant changes in usage or efficiency from last season. While he's working on his passing in the G League, his shooting percentages, particularly from deep, are still a drag. With no clear rotation spot on a loaded Oklahoma City Thunder team, Dieng is unlikely to offer fantasy value this season, making him more of a deep-league flier or a stash for dynasty formats.]</t>
  </si>
  <si>
    <t>Jordan Miller</t>
  </si>
  <si>
    <t>[Josh: Jordan Miller showed strong potential in Summer League but had minimal impact during his rookie season. With an opportunity to carve out a larger role, he could challenge Amir Coffey for minutes on the wing. While still more of a watchlist candidate, Miller's athleticism and versatility give him some upside in deeper leagues if he secures consistent playing time.]</t>
  </si>
  <si>
    <t>Jay Huff</t>
  </si>
  <si>
    <t>[Josh: Jay Huff impressed during Summer League, showcasing a nice skill set, but remains the third-string center on a two-way contract. His signing led to the waiving of Trey Jemison, signaling some belief in his potential. While Huff has intriguing upside, his role is likely limited this season, making him more of a deep-league stash or watchlist player rather than a fantasy contributor right now.]</t>
  </si>
  <si>
    <t>Two-Way Player|New Team|Restricted Free Agent|New Contract</t>
  </si>
  <si>
    <t>Andre Jackson Jr.</t>
  </si>
  <si>
    <t>[Josh: Andre Jackson Jr. is an impressive defender but offers little offensively, which limits his fantasy appeal. When Doc Rivers took over, Jackson's rotation minutes disappeared, as Rivers tends to favor veterans over young players. While Jackson could develop into a defensive specialist, his current role and offensive limitations make him a non-factor in most fantasy formats.]</t>
  </si>
  <si>
    <t>Questionable - finger</t>
  </si>
  <si>
    <t>Dominick Barlow</t>
  </si>
  <si>
    <t>[Josh: I like Dominick Barlow; he played well in San Antonio, but it’s frustrating that he could only secure a two-way contract, especially on a team with three centers ahead of him. I'm starting to lose a bit of faith that he’ll catch on to a full-time role, but there’s still some potential there.]</t>
  </si>
  <si>
    <t>Questionable - back contusion</t>
  </si>
  <si>
    <t>New Team|Restricted Free Agent|New Contract|Two-Way Player</t>
  </si>
  <si>
    <t>MarJon Beauchamp</t>
  </si>
  <si>
    <t>[Josh: MarJon Beauchamp had a few opportunities but hasn’t shown enough progress heading into his third year. While there’s still potential, it seems unlikely that he’ll make a significant impact this season. Beauchamp is best left off fantasy rosters unless he suddenly breaks out, but for now, his role and production remain limited.]</t>
  </si>
  <si>
    <t>Gui Santos</t>
  </si>
  <si>
    <t>[Josh: Gui Santos showed some promise as a rookie, particularly with his shooting efficiency, but he's currently buried deep on the depth chart. While he has potential, it's unlikely he'll see significant minutes this season unless there are multiple injuries or trades that open up opportunities. He remains a long-term project for now.]</t>
  </si>
  <si>
    <t>KJ Simpson</t>
  </si>
  <si>
    <t>[Josh: KJ Simpson, an undersized second-round pick, has some nice assists and steals upside, but being on a two-way contract means his role will be very limited. He’s more of a deep-league stash or a player to watch for future potential.]</t>
  </si>
  <si>
    <t>Two-Way Player</t>
  </si>
  <si>
    <t>Olivier-Maxence Prosper</t>
  </si>
  <si>
    <t>[Josh: Olivier-Maxence Prosper didn’t impress me as a rookie, and another G League-type season seems likely. He’s not someone to consider for fantasy this year, as his role will probably be very limited.]</t>
  </si>
  <si>
    <t>Ariel Hukporti</t>
  </si>
  <si>
    <t>[Josh: Ariel Hukporti, a rookie center on a two-way contract, has potential and could quickly surpass Jericho Sims in the depth chart. While he’s still a project, his skill set offers more upside than Sims, particularly in rebounds and shot-blocking. He’s a player to monitor in deep leagues, especially if injuries create opportunities at center.]</t>
  </si>
  <si>
    <t>Jaylen Wells</t>
  </si>
  <si>
    <t>[Josh: Jaylen Wells, a second-round pick, brings size and shooting skill, but with limited minutes available on the Grizzlies, his immediate fantasy impact is minimal. He’s more of a developmental prospect and unlikely to be a factor this season, making him a deep-league stash or dynasty consideration.]</t>
  </si>
  <si>
    <t>Jaylon Tyson</t>
  </si>
  <si>
    <t>[Josh: Jaylon Tyson, a first-round pick, has a versatile skill set and does a bit of everything. While he likely won’t have a significant role early on, he’s someone who could eventually develop into a valuable 6th man. Keep an eye on him as the season progresses, but his immediate fantasy impact will be limited.]</t>
  </si>
  <si>
    <t>Jericho Sims</t>
  </si>
  <si>
    <t>[Josh: Jericho Sims is likely the third-string center for the Knicks, but if Mitchell Robinson misses time, Sims could step into a low-minute starting role. He’s not a high-usage player, and his contributions are mostly limited to rebounds and field goal percentage. Sims is best viewed as a deep-league or short-term option if injuries create opportunities.]</t>
  </si>
  <si>
    <t>Tristan Da Silva</t>
  </si>
  <si>
    <t>[Josh: Tristan Da Silva is an older prospect who had an impressive shooting display in Summer League, hitting nearly 60% from three. However, his overall game doesn't stand out, and his projected stats suggest minimal impact across most categories. While his shooting efficiency is promising, it’s unclear where he’ll fit in Orlando's rotation, especially with established players ahead of him. Da Silva’s role likely won’t be significant enough to matter for standard fantasy leagues this season. He’s more of a deep-league or dynasty stash, with limited upside unless he carves out a larger role.]</t>
  </si>
  <si>
    <t>Cam Reddish</t>
  </si>
  <si>
    <t>[Josh: Cam Reddish struggled offensively last season, and with Max Christie likely to take on a larger role, Reddish's minutes could be reduced. Despite being overplayed under Darvin Ham, his inefficiency on offense makes him a liability, limiting his fantasy appeal. He’s not expected to have much of a role this season and can be safely ignored in most fantasy formats.]</t>
  </si>
  <si>
    <t>Dwight Powell</t>
  </si>
  <si>
    <t>[Josh: Dwight Powell is still hanging around, but he’s a long shot to get meaningful minutes this season. His role is minimal, making him irrelevant for fantasy purposes. Not someone to target in drafts.]</t>
  </si>
  <si>
    <t>Justin Champagnie</t>
  </si>
  <si>
    <t>[Josh: Justin Champagnie remains on a two-way contract with the Washington Wizards. He’s a solid defensive wing but has yet to show significant improvement in his shooting, which limits his upside. He offers decent rebounding and defensive stats when on the court, but his offensive contributions, particularly his shooting percentages, need work. His role is likely to be limited unless he can make strides in his offensive game, making him more of a deep-league or streaming option if the opportunity arises.]</t>
  </si>
  <si>
    <t>Kessler Edwards</t>
  </si>
  <si>
    <t>[Josh: Kessler Edwards showed flashes in previous seasons, but he seemed a bit lost in Sacramento last season. Now on a two-way contract, his chances are dwindling, and the hope for him to make a significant impact is fading. Not someone to target in fantasy leagues.]</t>
  </si>
  <si>
    <t>Probable - left ankle sprain</t>
  </si>
  <si>
    <t>Unrestricted Free Agent|New Team|New Contract|Two-Way Player</t>
  </si>
  <si>
    <t>Collin Gillespie</t>
  </si>
  <si>
    <t>[Josh: Collin Gillespie, an undersized point guard, had some intrigue as a developmental player, but the additions of Tyus Jones and Monte Morris push him down the depth chart, limiting his opportunity to make an impact. While he’s a capable shooter with decent efficiency, his role will likely be minimal with Phoenix’s backcourt depth. Gillespie is unlikely to have much fantasy relevance this season outside of deep leagues or dynasty formats, as his path to minutes is blocked by more established players. He's more of a stash with limited upside for now.]</t>
  </si>
  <si>
    <t>Kai Jones</t>
  </si>
  <si>
    <t>Note - 2-way with lac</t>
  </si>
  <si>
    <t>Two-Way Player|Unrestricted Free Agent</t>
  </si>
  <si>
    <t>Garrison Mathews</t>
  </si>
  <si>
    <t>[Josh: Garrison Mathews is an elite shooter, but he doesn't offer much beyond that. Atlanta likely hopes Kobe Bufkin can take some of Mathews' minutes, limiting his role and fantasy relevance this season.]</t>
  </si>
  <si>
    <t>Torrey Craig</t>
  </si>
  <si>
    <t>[Josh: Torrey Craig is solid and dependable, but with Matas Buzelis drafted and Patrick Williams back, his role is likely to be limited. He’s not someone to count on for significant fantasy production, serving more as a depth piece on the roster.]</t>
  </si>
  <si>
    <t>Josh Christopher</t>
  </si>
  <si>
    <t>[Josh: Josh Christopher had an impressive Summer League and is still young, but the crowded Miami Heat backcourt limits his chances for meaningful playing time. While the potential is there, it's unlikely he'll get a real opportunity this season unless injuries or roster changes open up a path. He's a deep-league stash at best for now.]</t>
  </si>
  <si>
    <t>New Team|Restricted Free Agent|Two-Way Player</t>
  </si>
  <si>
    <t>Maxi Kleber</t>
  </si>
  <si>
    <t>[Josh: Maxi Kleber regressed last season and doesn't have a clear role in Dallas. He’s likely the fourth big in the rotation, which limits his fantasy value. With diminished playing time and production, he’s not someone to target in standard leagues.]</t>
  </si>
  <si>
    <t>Probable - left ankle</t>
  </si>
  <si>
    <t>Jalen Pickett</t>
  </si>
  <si>
    <t>[Josh: Jalen Pickett has a theoretical skill set that could be useful, but he was a disaster in Summer League and barely played as a rookie. His potential is there, but he hasn’t shown enough to warrant any fantasy consideration at this point. He’s a long-term project rather than a player to rely on this season.]</t>
  </si>
  <si>
    <t>Ja'Kobe Walter</t>
  </si>
  <si>
    <t>[Josh: Ja'Kobe Walter, a top-20 pick, feels like an overreach for Toronto, with his game drawing comparisons to Gary Trent Jr. He has a similar skill set but lacks versatility, primarily functioning as an empty shooter with limited contributions elsewhere. Walter may find some minutes later in the season, especially if the Raptors enter a tanking phase in March, but his impact is likely to be minimal early on. His development will need to accelerate significantly for him to become a meaningful fantasy contributor.]</t>
  </si>
  <si>
    <t>Doubtful - shoulder (4g) - 10/30/2024</t>
  </si>
  <si>
    <t>Taj Gibson</t>
  </si>
  <si>
    <t>[Josh: Taj Gibson was brought in as a veteran mentor, but he’s not capable of playing any significant role anymore. His impact will be more off the court than on it, making him irrelevant for fantasy purposes.]</t>
  </si>
  <si>
    <t>Bobi Klintman</t>
  </si>
  <si>
    <t>[Josh: Bobi Klintman impressed in Summer League, showing potential as a big who can pass, defend, and possibly shoot. While he's more of a long-term project, I wouldn't be surprised to see him develop into a starter in a few years. For now, he's one to watch, but his immediate fantasy impact will likely be minimal.]</t>
  </si>
  <si>
    <t>Injured - calf contusion (5g) - 11/1/2024</t>
  </si>
  <si>
    <t>Jalen Hood-Schifino</t>
  </si>
  <si>
    <t>[Josh: Jalen Hood-Schifino struggled through a rough rookie year, capped by back surgery that ended his season and kept him out of Summer League. His performance before the injury was poor, and it's doubtful he carves out a meaningful role this season. He’s not a fantasy consideration, even in deeper leagues, unless his situation dramatically improves.]</t>
  </si>
  <si>
    <t>Adama Sanogo</t>
  </si>
  <si>
    <t>[Josh: Adama Sanogo had a big rebounding game last season, showing flashes of potential, but his role remains limited. While he could contribute on the boards in spot minutes, his overall fantasy impact is likely to be minimal this season.]</t>
  </si>
  <si>
    <t>Dariq Whitehead</t>
  </si>
  <si>
    <t>[Josh: Dariq Whitehead had a brutal Summer League, struggling to shoot, and he's coming off foot surgery. He was a high-level scorer and shooter in college and remains one of Brooklyn's few young upside prospects, but the ongoing foot issues are definitely concerning. There’s potential, but it’s a risky situation.]</t>
  </si>
  <si>
    <t>Questionable - left shin</t>
  </si>
  <si>
    <t>Ulrich Chomche</t>
  </si>
  <si>
    <t>[Josh: Ulrich Chomche is the youngest player in the draft, coming in as an incredibly raw prospect out of BAL. As a power forward/center, he shows potential as a shot-blocker with shooting upside, but he looked quite lost during Summer League, which highlights just how much development is needed. While Chomche won’t make an immediate impact, his long-term potential in dynasty formats is intriguing, as there aren't many high-upside prospects like him in this class. He’s a project player for the Raptors, and any fantasy relevance is likely years away as he grows into his role and skill set.]</t>
  </si>
  <si>
    <t>P.J. Dozier</t>
  </si>
  <si>
    <t>[Josh: P.J. Dozier has always been a favorite of Tim Connelly, but he's yet to prove himself as a consistent NBA contributor. While he could find his way into a semi-rotation role, his fantasy relevance is minimal. Dozier’s inconsistent play and low usage make him a deep-league or waiver-wire consideration at best.]</t>
  </si>
  <si>
    <t>Jordan Walsh</t>
  </si>
  <si>
    <t>[Josh: Jordan Walsh, last year’s second-rounder, struggled with his shooting in both the NBA and Summer League. I can’t see him carving out a significant role on this team, so his fantasy value is minimal at best.]</t>
  </si>
  <si>
    <t>Quinten Post</t>
  </si>
  <si>
    <t>Jared McCain</t>
  </si>
  <si>
    <t>[Josh: Jared McCain, a first-round pick, is known for his shooting, but with veterans Kyle Lowry and Reggie Jackson likely ahead of him in the rotation, his immediate fantasy impact will be limited. While his shooting percentages are respectable, McCain’s overall production across other categories is low, and his usage will likely be minimal early on. He’s more of a long-term project for dynasty leagues or a deep-league flier, as his path to meaningful minutes this season seems blocked by more established players. Keep an eye on him if injuries open up playing time, but for now, he’s unlikely to be a factor in standard leagues.]</t>
  </si>
  <si>
    <t>Questionable - pulmonary contusions</t>
  </si>
  <si>
    <t>Jevon Carter</t>
  </si>
  <si>
    <t>[Josh: Jevon Carter fell off last season after signing in Chicago, and there’s little hope for a resurgence this year. His role is limited, and he’s unlikely to make a significant fantasy impact.]</t>
  </si>
  <si>
    <t>Oso Ighodaro</t>
  </si>
  <si>
    <t>[Josh: Oso Ighodaro, a second-round rookie, has potential as a small-ball center with solid passing skills, but he’s a long shot to make a meaningful fantasy impact this season. While the Suns have expressed optimism about his skill set, particularly his ability to pass and finish efficiently, his path to consistent minutes is unclear given the depth ahead of him. Ighodaro’s fantasy value will likely be limited to deep-league formats or dynasty stashes for now, as his contributions may not be significant enough for standard leagues unless an unexpected opportunity arises.]</t>
  </si>
  <si>
    <t>Josh Okogie</t>
  </si>
  <si>
    <t>[Josh: Josh Okogie remains a defense-first player with limited offensive contributions. His projected stats show minimal impact outside of steals, making him a deep-league or streaming option for defensive stats only. While his role in Phoenix might provide occasional minutes, his offensive limitations and low usage keep him from being a reliable fantasy asset. Okogie signed a tradeable contract, which could see him moved, but for now, he's mostly a defensive specialist with little upside in standard fantasy formats.]</t>
  </si>
  <si>
    <t>Orlando Robinson</t>
  </si>
  <si>
    <t>[Josh: Orlando Robinson is battling to make Sacramento’s roster, but he has potential as a reserve center. His shooting efficiency, including a surprising three-point percentage in limited action, shows upside, though his role is far from secure. Robinson offers some versatility as a big man with a decent free-throw percentage and the ability to stretch the floor. However, competition for backup center minutes is stiff, and his overall impact will depend on whether he can secure a spot in the rotation. He's a deep-league flier at best.]</t>
  </si>
  <si>
    <t>Injured - left knee (7g) - 11/6/2024</t>
  </si>
  <si>
    <t>Johnny Davis</t>
  </si>
  <si>
    <t>[Josh: Johnny Davis has struggled significantly since being selected 10th overall, failing to make a meaningful impact in his first two seasons. His offensive efficiency remains low, and with so many players ahead of him on the Washington Wizards' depth chart, it’s difficult to see a clear path for him to carve out a significant role. Unless there is a major shift in playing time or development, it's tough to have any faith in him as a reliable fantasy asset.]</t>
  </si>
  <si>
    <t>Cam Spencer</t>
  </si>
  <si>
    <t>[Josh: Cam Spencer is an elite shooter with impressive volume, but as an older rookie on a two-way contract, his fantasy upside is limited. While his shooting could eventually carve out a role, he's unlikely to see enough playing time this season to be fantasy-relevant. Spencer is more of a long-term prospect to watch rather than a player to target in standard leagues.]</t>
  </si>
  <si>
    <t>Questionable - ankle</t>
  </si>
  <si>
    <t>Ricky Council IV</t>
  </si>
  <si>
    <t>[Josh: Ricky Council IV impressed last season, earning a converted two-way deal, and has the potential to push ahead of Guerschon Yabusele and Caleb Martin in the rotation if things go his way. His projected stats show solid efficiency and some scoring ability, but his overall production is still limited across categories. Council’s athleticism and versatility make him a player to watch, especially in deep leagues or dynasty formats, but his role will depend on how the depth chart shakes out. While he has upside, especially if he secures a larger role, his fantasy value remains more speculative at this point.]</t>
  </si>
  <si>
    <t>Riley Minix</t>
  </si>
  <si>
    <t>Yuki Kawamura</t>
  </si>
  <si>
    <t>Micah Potter</t>
  </si>
  <si>
    <t>[Josh: Micah Potter is a player unlikely to make much of an impact this season, barring an injury crisis or tanking situations where minutes open up in April. While he shot well in limited action, especially from three, his low usage rate and lack of contributions in other categories mean he’s not someone to focus on in fantasy leagues. At best, he’s a deep bench piece who could see some garbage-time minutes or fill-in games late in the season, but there’s no reason to care about his potential from a fantasy perspective at this stage.]</t>
  </si>
  <si>
    <t>New Contract|Restricted Free Agent|Two-Way Player</t>
  </si>
  <si>
    <t>Trey Jemison</t>
  </si>
  <si>
    <t>[Josh: Trey Jemison, who started at center for the Grizzlies at times last season, is now on a two-way contract with the Pelicans. While there’s a clear hole at center, it's unlikely he'll get significant minutes, though it's not entirely out of the question. He’s a deep-league watchlist player at best, with low expectations for fantasy impact this season.]</t>
  </si>
  <si>
    <t>Two-Way Player|New Team|Restricted Free Agent</t>
  </si>
  <si>
    <t>Terrence Shannon Jr.</t>
  </si>
  <si>
    <t>[Josh: Terrence Shannon Jr. is a 24-year-old rookie with questionable shooting and high usage, which raises concerns about his fit in the NBA. While he flashed some defensive potential during Summer League, it's unclear if he can carve out a consistent role in the NBA. Shannon's fantasy outlook is limited, and he’s unlikely to be a significant rotation player in the near future.]</t>
  </si>
  <si>
    <t>Doug McDermott</t>
  </si>
  <si>
    <t>Note - 1-year with sac</t>
  </si>
  <si>
    <t>Tyler Smith</t>
  </si>
  <si>
    <t>[Josh: Tyler Smith has a strong fantasy skill set and should have been a first-round pick, but his current situation in Milwaukee limits his opportunities. While he’s a promising prospect, this is a poor landing spot for immediate fantasy relevance, as he’s unlikely to see much playing time. Smith is more of a long-term dynasty stash, with no redraft value this season.]</t>
  </si>
  <si>
    <t>E.J. Liddell</t>
  </si>
  <si>
    <t>Restricted Free Agent|Two-Way Player|New Team</t>
  </si>
  <si>
    <t>Tristan Thompson</t>
  </si>
  <si>
    <t>Trevelin Queen</t>
  </si>
  <si>
    <t>[Josh: Trevelin Queen is on a two-way contract and brings some versatility, but his role as a point guard on the Magic's deep roster limits his fantasy upside. While his projected stats show slight improvement, particularly in shooting, he’s unlikely to see consistent minutes unless injuries open up a spot. His low usage and minimal contributions across most categories keep him as a deep-league flier or dynasty stash. Queen’s main appeal would be as a short-term streaming option in deeper formats if he ever secures a larger role, but for now, his fantasy value remains limited.]</t>
  </si>
  <si>
    <t>Johnny Juzang</t>
  </si>
  <si>
    <t>[Josh: Johnny Juzang shot the ball well last season, particularly from three-point range, but his overall impact remains limited. Despite his efficiency, there are doubts about his ability to contribute consistently at the NBA level. He lacks versatility in other areas, which makes him a fringe roster player. Given Utah's depth and focus on developing younger, higher-ceiling players, Juzang's path to meaningful minutes looks challenging. He may end up being more of a deep bench piece with limited fantasy relevance, especially outside of very deep leagues.]</t>
  </si>
  <si>
    <t>RayJ Dennis</t>
  </si>
  <si>
    <t>Zeke Nnaji</t>
  </si>
  <si>
    <t>[Josh: Zeke Nnaji has been hugely disappointing and has really let down expectations. At this point, he’s likely not in the rotation, and his fantasy relevance is minimal. He’s not someone to consider drafting, as his role seems to have diminished significantly.]</t>
  </si>
  <si>
    <t>Jeff Green</t>
  </si>
  <si>
    <t>[Josh: Jeff Green is still hanging around, but with the young talent ahead of him on the depth chart, it's hard to see him getting significant minutes. He might have a veteran presence on the team, but his fantasy relevance is minimal at this stage.]</t>
  </si>
  <si>
    <t>Restricted Free Agent|Unrestricted Free Agent</t>
  </si>
  <si>
    <t>J.D. Davison</t>
  </si>
  <si>
    <t>[Josh: J.D. Davison is a young point guard on a two-way contract again this season. He’s a good passer, but there’s no real role for him on this team, so his fantasy relevance is minimal.]</t>
  </si>
  <si>
    <t>Tristen Newton</t>
  </si>
  <si>
    <t>[Josh: Tristen Newton, who served as UConn's point guard, finds himself with no clear role in Indiana. Despite his college experience, the depth of the roster ahead of him likely means he won't see much, if any, playing time. His fantasy relevance is virtually nonexistent at this point.]</t>
  </si>
  <si>
    <t>Blake Wesley</t>
  </si>
  <si>
    <t>[Josh: Blake Wesley is entering his third season, but his development has been slow, and the Spurs may be running out of patience. His shooting, particularly from three-point range, has been a significant weakness, limiting his fantasy value. Wesley has some playmaking ability, but without a more consistent shot and improved decision-making, it's hard to see him earning a bigger role in the rotation. He's a deep-league or dynasty stash at best, with the potential to lose favor if he doesn't improve quickly.]</t>
  </si>
  <si>
    <t>Taze Moore</t>
  </si>
  <si>
    <t>Maxwell Lewis</t>
  </si>
  <si>
    <t>[Josh: Maxwell Lewis showed little during his rookie season, and it's unlikely that much changes this year in terms of fantasy relevance. While he was more assertive in his second Summer League appearance, his role on the Lakers remains minimal. Lewis is a deep-league stash at best, but he's not expected to contribute meaningfully in most fantasy formats this season.]</t>
  </si>
  <si>
    <t>David Roddy</t>
  </si>
  <si>
    <t>[Josh: David Roddy arrived in a recent trade for E.J. Liddell from Phoenix, but I have serious doubts about his impact. He might be the worst player in the NBA, offering little in terms of fantasy value. There's no reason to expect much from him this season.]</t>
  </si>
  <si>
    <t>Leonard Miller</t>
  </si>
  <si>
    <t>[Josh: Leonard Miller enters his second year after showing promise in both the G League and Summer League. While his path to significant minutes is somewhat blocked, he could see opportunities with Kyle Anderson's departure. Miller remains more of a developmental prospect, but he’s worth monitoring in deeper leagues as his role could expand throughout the season.]</t>
  </si>
  <si>
    <t>Hunter Tyson</t>
  </si>
  <si>
    <t>[Josh: Hunter Tyson had a disappointing rookie season, and I’m not sure he’s an NBA rotation guy at this point. If he can find his shot, he could become interesting, but so far, he hasn’t shown that ability. For now, he’s more of a long shot with limited fantasy relevance.]</t>
  </si>
  <si>
    <t>Pelle Larsson</t>
  </si>
  <si>
    <t>[Josh: Pelle Larsson, a second-round pick, is a passing forward but lacks standout skills in any area. His overall game doesn't inspire confidence for an NBA role, and he’s unlikely to make any fantasy impact. Larsson can be safely ignored in all formats, as his path to meaningful minutes or production is extremely limited.]</t>
  </si>
  <si>
    <t>Luke Travers</t>
  </si>
  <si>
    <t>Restricted Free Agent|Two-Way Player</t>
  </si>
  <si>
    <t>Alex Reese</t>
  </si>
  <si>
    <t>Jamal Cain</t>
  </si>
  <si>
    <t>[Josh: Jamal Cain showed some promise during preseason with Miami a few years ago but hasn’t progressed much since. Now on a two-way contract, his role in New Orleans is limited, and he’s unlikely to see meaningful minutes. Cain is a non-factor in fantasy leagues and best left off rosters.]</t>
  </si>
  <si>
    <t>Jazian Gortman</t>
  </si>
  <si>
    <t>Stanley Umude</t>
  </si>
  <si>
    <t>[Josh: Stanley Umude showed flashes during his time with Detroit, but as a two-way contract player with the Bucks, he's unlikely to have much of a role this season. His fantasy relevance is minimal, and he's best left off rosters in all formats unless injuries open up unexpected playing time.]</t>
  </si>
  <si>
    <t>Daniss Jenkins</t>
  </si>
  <si>
    <t>[Josh: Daniss Jenkins, on a two-way contract, is a point guard who I thought outperformed Marcus Sasser in Summer League. While he’s not in the regular rotation now, he could be a player to watch during a tanking stretch at the end of the season. For now, he’s more of a deep-league or dynasty stash with potential upside if given the opportunity.]</t>
  </si>
  <si>
    <t>Jalen Bridges</t>
  </si>
  <si>
    <t>[Josh: Jalen Bridges, a shooting wing who surprisingly went undrafted, has landed a two-way contract with the Phoenix Suns, likely due to a pre-arrangement with the team. While he offers decent shooting, his overall production is minimal, and his role will likely be limited in Phoenix’s deep roster. Bridges may see some spot minutes as a three-and-D option, but he’s unlikely to contribute much in fantasy this season. He’s more of a dynasty stash or deep-league flier, with little immediate upside barring injuries or an unexpected opportunity for more playing time.]</t>
  </si>
  <si>
    <t>Sidy Cissoko</t>
  </si>
  <si>
    <t>[Josh: Sidy Cissoko, a second-round pick, is entering his second season, but his development remains uncertain due to poor shooting, which held him back in his rookie year. However, his ability as a passing wing could prove valuable if he can improve his offensive game. Cissoko has defensive potential, with decent steal and block rates, but his offensive consistency, especially from three-point range, will determine whether he can carve out a larger role in the rotation. For now, he's more of a deep-league project.]</t>
  </si>
  <si>
    <t>Adam Flagler</t>
  </si>
  <si>
    <t>[Josh: Adam Flagler brings solid shooting to the table, as evidenced by his strong projected three-point percentage. However, as a two-way contract player, his opportunity for meaningful minutes with the Oklahoma City Thunder is limited. His shooting could make him an intriguing deep-league option if injuries open up minutes, but his role is unclear, and he’s not expected to play much this season. Flagler’s value is largely restricted to dynasty formats or very deep leagues, with the potential for a few spot appearances based on the Thunder's rotation needs.]</t>
  </si>
  <si>
    <t>Ajay Mitchell</t>
  </si>
  <si>
    <t>[Josh: Ajay Mitchell was a productive college guard, but his below-average athleticism and lack of standout shooting could limit his NBA impact. On a two-way contract with the Oklahoma City Thunder, Mitchell will likely spend most of his time in the G League refining his game. While he showed some potential as a playmaker and defender in college, his low projected stats and shooting inefficiencies suggest he won’t be a fantasy factor in standard leagues. He’s more of a deep-league dynasty stash at best, as his path to meaningful minutes on a deep Thunder roster remains unclear.]</t>
  </si>
  <si>
    <t>Rayan Rupert</t>
  </si>
  <si>
    <t>[Josh: Rayan Rupert, a second-round pick last year, has yet to flash significant upside in his limited time on the court. Concerns about his shooting consistency and physicality remain, as he struggled to show much improvement during his rookie season. While there is potential for growth, especially with his three-point shot showing some promise, his overall lack of impact across other areas and his difficulty handling the physicality of the NBA limit his current fantasy relevance. Rupert is more of a long-term project, suitable for dynasty leagues.]</t>
  </si>
  <si>
    <t>Anthony Gill</t>
  </si>
  <si>
    <t>Yongxi Cui</t>
  </si>
  <si>
    <t>Patty Mills</t>
  </si>
  <si>
    <t>[Josh: Patty Mills seems to be nearing the end of his career, with his production dropping significantly over the past few seasons. His shooting percentages have declined, and he offers very little outside of his three-point shooting. Mills appears to be primarily signed for his locker room presence and veteran leadership, especially for a young Utah Jazz team. At this point, his fantasy relevance is negligible, and he's unlikely to see meaningful minutes barring major injuries or rest days for key players.]</t>
  </si>
  <si>
    <t>Moussa Diabate</t>
  </si>
  <si>
    <t>[Josh: Moussa Diabate didn't show me anything with the Clippers to suggest he should get another shot. He’s on a two-way contract, and his chances of making an impact are slim. Not someone to consider for fantasy purposes.]</t>
  </si>
  <si>
    <t>Restricted Free Agent|New Team|New Contract|Two-Way Player</t>
  </si>
  <si>
    <t>Markieff Morris</t>
  </si>
  <si>
    <t>Colby Jones</t>
  </si>
  <si>
    <t>[Josh: Colby Jones showed some decent flashes in his second season, though his overall production remains modest. His shooting percentages are inconsistent, and while he has some versatility, he hasn't carved out a significant role yet. Jones has shown potential, but with Sacramento’s depth and competition for minutes, it’s unclear if he’ll see enough playing time to be fantasy relevant. He remains a deep-league or dynasty option for now, with the hope that he can build on his flashes of potential and secure a larger role moving forward.]</t>
  </si>
  <si>
    <t>David Duke</t>
  </si>
  <si>
    <t>[Josh: David Duke, not to be confused with the infamous name, has had a few NBA moments but remains on a two-way contract, with limited upside. While he has shown flashes of potential in the NBA, his overall impact remains modest, and his role is unclear. Duke has solid efficiency, but his low usage and lack of standout skills make him more of a deep-league flier. His fantasy upside is restricted unless he finds a more consistent role in the Spurs’ rotation.]</t>
  </si>
  <si>
    <t>Liam Robbins</t>
  </si>
  <si>
    <t>Anton Watson</t>
  </si>
  <si>
    <t>[Josh: Anton Watson is a two-way big man with some potential to shoot. Given how late he was picked, he’s a solid prospect, but his fantasy relevance will likely be limited this season. He’s one to watch for the future, but not someone to rely on right now.]</t>
  </si>
  <si>
    <t>Tyrese Martin</t>
  </si>
  <si>
    <t>Cole Swider</t>
  </si>
  <si>
    <t>Two-Way Player|New Team|Unrestricted Free Agent|New Contract</t>
  </si>
  <si>
    <t>Caleb Houstan</t>
  </si>
  <si>
    <t>[Josh: Caleb Houstan is a low-usage wing who primarily contributes through his three-point shooting. While his percentages are respectable, his overall stat line remains modest, making him more of a deep-league or streaming option for threes. With the Magic hoping for Jett Howard to surpass him in the rotation, Houstan’s role may be limited this season. Unless he can expand his game beyond shooting, his fantasy relevance will be minimal. He’s a situational player who could provide value in very deep leagues, but his upside is capped if he remains behind Howard in the pecking order.]</t>
  </si>
  <si>
    <t>Drew Peterson</t>
  </si>
  <si>
    <t>[Josh: Drew Peterson is back on a two-way contract this season. He showed some shooting ability, but his role is limited, and he’s not likely to see much playing time. His fantasy impact will be minimal, making him more of a deep-league or future prospect to watch.]</t>
  </si>
  <si>
    <t>J.T. Thor</t>
  </si>
  <si>
    <t>[Josh: J.T. Thor had an impressive showing in the Olympics for South Sudan, showcasing his defensive and shooting potential. However, he never quite put it together during his time in Charlotte. Now on a two-way contract with Cleveland, his role is limited, but there's still some appeal if he can finally harness his skills.]</t>
  </si>
  <si>
    <t>Unrestricted Free Agent|Two-Way Player|New Team|New Contract</t>
  </si>
  <si>
    <t>P.J. Hall</t>
  </si>
  <si>
    <t>[Josh: P.J. Hall was another surprise to go undrafted. He’s a tall, shooting big man on a two-way contract. While he has some intriguing potential, especially with his shooting ability, he’s more of a developmental player at this stage. Keep an eye on him, but don’t expect much fantasy impact this season.]</t>
  </si>
  <si>
    <t>Jaylen Clark</t>
  </si>
  <si>
    <t>[Josh: Jaylen Clark missed his rookie season due to an Achilles tear, but he’s known for his defensive prowess. However, his shooting remains a concern, limiting his fantasy potential. While his defense could earn him minutes, Clark’s offensive struggles make him a deep-league or watchlist player at best.]</t>
  </si>
  <si>
    <t>Jack McVeigh</t>
  </si>
  <si>
    <t>[Josh: Jack McVeigh is an older rookie on a two-way contract, and it's hard to see where he might fit into Houston's rotation. While he has shown some shooting ability, the depth on this roster makes it unlikely that he'll find significant playing time this season. He's more of a developmental piece who may spend most of his time in the G League.]</t>
  </si>
  <si>
    <t>Jason Preston</t>
  </si>
  <si>
    <t>[Josh: Jason Preston is known for his playmaking ability, but he struggled with shooting efficiency last season, which limits his overall impact. Currently on a two-way contract, Preston will likely serve as depth at point guard for the Utah Jazz. His passing is his primary strength, and he might see some playing time in specific situations, but his scoring limitations and defensive weaknesses make it hard to see him gaining a significant role. Fantasy-wise, he's a deep-league option at best, especially in formats where assists are highly valued.]</t>
  </si>
  <si>
    <t>Malcolm Hill</t>
  </si>
  <si>
    <t>[Josh: Malcolm Hill is one of the least impactful players in the league, offering minimal fantasy or real-life contributions. As an NPC, there's no reason to consider him in any format. He’s entirely off the fantasy radar.]</t>
  </si>
  <si>
    <t>Two-Way Player|Unrestricted Free Agent|New Contract</t>
  </si>
  <si>
    <t>Isaac Jones</t>
  </si>
  <si>
    <t>[Josh: Isaac Jones, a two-way player for Sacramento, hasn't shown much beyond being another depth option on the roster. His stats are minimal, and while he offers some efficiency around the basket, there’s no clear path to significant minutes. With plenty of competition on the team, Jones is unlikely to have much of a fantasy impact, and his role will likely remain limited. He’s just another depth piece with little upside unless circumstances drastically change.]</t>
  </si>
  <si>
    <t>Cory Joseph</t>
  </si>
  <si>
    <t>[Josh: Cory Joseph provides veteran depth for the Orlando Magic, but his role will likely be limited to emergency situations. His projected stats show minimal impact, and his usage is low, making him irrelevant for fantasy purposes outside of deep leagues. Joseph’s value to the Magic lies more in his experience and leadership than any on-court production. He’s a non-factor in fantasy, even as a backup, unless significant injuries occur ahead of him on the depth chart.]</t>
  </si>
  <si>
    <t>Cam Christie</t>
  </si>
  <si>
    <t>[Josh: Cam Christie is an intriguing young prospect with shooting upside and potential to contribute in passing and steals down the line. However, as a rookie, he’s unlikely to see significant minutes this season, making him more of a long-term stash in dynasty leagues. In redraft formats, Christie can be left on the waiver wire unless his role unexpectedly increases later in the season.]</t>
  </si>
  <si>
    <t>Lester Quinones</t>
  </si>
  <si>
    <t>D.J. Carton</t>
  </si>
  <si>
    <t>[Josh: D.J. Carton had a brief opportunity last year before getting hurt, but remains on a two-way contract with Toronto. Though he’s not guaranteed a significant role, it wouldn’t be entirely surprising if he outperformed Davion Mitchell, given his potential. Carton is a capable scorer with decent playmaking skills, and if he stays healthy, he could push for more playing time. However, with his current two-way status, his path to consistent minutes remains uncertain, making him a deep-league or dynasty watchlist player for now.]</t>
  </si>
  <si>
    <t>Mason Jones</t>
  </si>
  <si>
    <t>[Josh: Mason Jones, once an intriguing prospect, has seen his stock fall in recent years. Now the third player named "Jones" on the Sacramento roster, he provides little excitement in terms of fantasy value. His shooting percentages have been inconsistent, and he hasn’t carved out a meaningful role. While there was some intrigue in the past, those days have passed, and Jones is more of a deep bench or developmental player, with little upside to contribute significantly in most formats.]</t>
  </si>
  <si>
    <t>Jaylen Martin</t>
  </si>
  <si>
    <t>[Josh: Jaylen Martin, an Overtime Elite prospect, has potential but is a long shot to last the season. There's little to suggest he’ll make a significant impact, and his role on the team is far from secure.]</t>
  </si>
  <si>
    <t>Bryce McGowens</t>
  </si>
  <si>
    <t>[Josh: Bryce McGowens showed flashes of scoring ability during his time in Charlotte, and although he's now on a two-way contract with Portland, his potential hasn't been completely written off yet. He’s proven capable of contributing offensively in limited spurts, but his path to meaningful minutes is unclear with Portland's crowded roster. As a scoring guard, McGowens remains a deep-league option or dynasty stash, with a small chance of carving out a role if injuries open up playing time during the season.]</t>
  </si>
  <si>
    <t>Reece Beekman</t>
  </si>
  <si>
    <t>[Josh: Reece Beekman is primarily known for his defensive abilities, which is his calling card as a rookie on a two-way contract. Offensively, he's limited, and with the Warriors' depth, it's unlikely he sees a substantial role this season. He'll need to develop his offensive game if he wants to secure a more significant spot in the rotation down the line.]</t>
  </si>
  <si>
    <t>Oscar Tshiebwe</t>
  </si>
  <si>
    <t>[Josh: Oscar Tshiebwe, now on a two-way contract after a stint with Indiana, is undersized but known for his relentless rebounding. While his offensive game remains limited, particularly with no shooting range, his ability to dominate the boards, even in short minutes, is what sets him apart. Despite his rebounding prowess, Tshiebwe struggles to carve out a regular NBA role due to his size and lack of defensive versatility. For fantasy purposes, he's strictly a deep-league rebounding specialist but not someone who is likely to see consistent minutes barring significant injuries to Utah's frontcourt.]</t>
  </si>
  <si>
    <t>TyTy Washington</t>
  </si>
  <si>
    <t>[Josh: TyTy Washington, now on his third team in three years, has seen his stock fall considerably since being a first-round pick. Now on a two-way contract, his lack of development and declining production have caused his fantasy relevance to dwindle. While he still has some potential as a guard, his poor shooting percentages and limited role make him a long shot to contribute meaningfully this season. Washington is more of a deep-league flier or dynasty stash for those holding out hope, but his path to minutes and fantasy value seems increasingly uncertain.]</t>
  </si>
  <si>
    <t>Harrison Ingram</t>
  </si>
  <si>
    <t>[Josh: Harrison Ingram, an older second-round pick, has raised concerns with his shooting and overall fit as an NBA prospect. While he has some versatility, his inefficient scoring and unclear strengths make him a bit of a weird prospect, and there are doubts about his ability to stick in the league. Unless he improves his offensive game and finds a role, Ingram may struggle to carve out a consistent spot on an NBA roster. His fantasy value is minimal at this point.]</t>
  </si>
  <si>
    <t>Isaiah Crawford</t>
  </si>
  <si>
    <t>[Josh: Isaiah Crawford possesses a versatile skill set as a big point guard, but his value is limited due to multiple knee injuries, coming from a smaller school, and shooting inconsistencies. While his size and playmaking ability are intriguing, his injury history and struggles with shooting could hinder his chances of carving out a significant role. Crawford is more of a deep-league or developmental prospect, with plenty of work ahead to overcome the challenges limiting his current fantasy relevance.]</t>
  </si>
  <si>
    <t>Alondes Williams</t>
  </si>
  <si>
    <t>A.J. Johnson</t>
  </si>
  <si>
    <t>[Josh: A.J. Johnson was a surprising first-round pick, but it’s doubtful he will play much, if at all, this season. His future as an NBA player is uncertain, and he lacks the immediate skills to contribute meaningfully in fantasy or on the court. Johnson can be ignored in all formats for now, with serious questions about his long-term potential.]</t>
  </si>
  <si>
    <t>Keshad Johnson</t>
  </si>
  <si>
    <t>[Josh: Keshad Johnson had a dynamic Summer League showing, but as a two-way contract player, he'll need to bide his time before seeing significant minutes. While he has some upside, his fantasy relevance is minimal for now, and he’s more of a long-term project to watch in deeper leagues.]</t>
  </si>
  <si>
    <t>Garrett Temple</t>
  </si>
  <si>
    <t>[Josh: Garrett Temple continues to land "good bloke" contracts, mainly serving as a locker room presence for the Raptors. His on-court production has dwindled, with minimal contributions across the board, and at this point, his role is strictly about leadership and mentorship for the younger players. Fantasy-wise, there's no value here, as his playing time will be extremely limited and focused more on off-court impact rather than any tangible contributions in games.]</t>
  </si>
  <si>
    <t>Enrique Freeman</t>
  </si>
  <si>
    <t>[Josh: Enrique Freeman is an undersized big man known for his excellent rebounding skills. As a rookie on a two-way contract, his opportunities may be limited, but his rebounding prowess could earn him spot minutes if the team needs an energy boost off the bench. His role will likely be minimal this season, focusing more on development.]</t>
  </si>
  <si>
    <t>Wendell Moore</t>
  </si>
  <si>
    <t>[Josh: Wendell Moore was salary dumped by Minnesota and has done nothing of note so far in his career. I'm all out of hope for him at this point, and he’s unlikely to make any fantasy impact. Just a name to know, but not one to target.]</t>
  </si>
  <si>
    <t>Ryan Rollins</t>
  </si>
  <si>
    <t>[Josh: Ryan Rollins has solid pick-and-roll skills, but as a two-way contract player, his opportunities will be limited this season. After a setback due to a shoplifting arrest last year, this is a second chance for him to prove himself. While there’s potential, he’s unlikely to have any fantasy relevance in the short term.]</t>
  </si>
  <si>
    <t>Brandon Williams</t>
  </si>
  <si>
    <t>[Josh: Brandon Williams might be the most irrelevant player in the NBA right now. His minimal production and lack of a clear role make him completely off the radar for fantasy purposes. There’s no reason to consider him in any format.]</t>
  </si>
  <si>
    <t>Bronny James</t>
  </si>
  <si>
    <t>[Josh: Bronny James is still a developmental project for the Lakers and unlikely to have a significant fantasy impact this season. His playing time will likely be limited, and while there’s plenty of long-term potential, he’s not expected to contribute much in standard leagues this year. He’s best viewed as a dynasty stash rather than a redraft option.]</t>
  </si>
  <si>
    <t>Antonio Reeves</t>
  </si>
  <si>
    <t>[Josh: Antonio Reeves, an older second-round pick, is unlikely to see significant playing time this season. While he has some shooting ability, his role on the Pelicans is minimal, and he doesn’t project to be a fantasy-relevant player. He’s best left off rosters in all formats for now.]</t>
  </si>
  <si>
    <t>Luka Garza</t>
  </si>
  <si>
    <t>[Josh: Luka Garza is a strong scorer and solid shooter, but his poor defense limits his overall impact. As a third or fourth-string center, his role will be minimal, making him a non-factor in most fantasy leagues. Garza is fine for depth but doesn’t offer much fantasy relevance outside of deep leagues.]</t>
  </si>
  <si>
    <t>N'Faly Dante</t>
  </si>
  <si>
    <t>[Josh: N'Faly Dante is a two-way rookie known for his rim protection, but he didn't impress during the Summer League. While he has the potential to be a defensive presence, his offensive game is limited, and with the depth on Houston's roster, it's unlikely he'll see much playing time this season. He's more of a project player who may spend time developing in the G League.]</t>
  </si>
  <si>
    <t>Armel Traore</t>
  </si>
  <si>
    <t>[Josh: Armel Traore is an intriguing prospect on a two-way contract, but he's unlikely to have any fantasy relevance this season. While there may be some long-term potential, he won't see enough playing time to make an impact. Traore is not a consideration for fantasy rosters at this point.]</t>
  </si>
  <si>
    <t>Seth Lundy</t>
  </si>
  <si>
    <t>[Josh: Seth Lundy is back for his second year on a two-way contract. His first season didn't offer much to get excited about, and he's unlikely to see significant minutes or make a fantasy impact this year.]</t>
  </si>
  <si>
    <t>Keaton Wallace</t>
  </si>
  <si>
    <t>[Josh: Keaton Wallace, Cason’s brother, spent last year in the G League and returns on a two-way contract. He’s capable in a pinch but isn’t likely to see much action beyond that. His role will be limited, with minimal fantasy relevance this season.]</t>
  </si>
  <si>
    <t>James Johnson</t>
  </si>
  <si>
    <t>[Josh: James Johnson remains on the roster primarily as an enforcer and locker room leader, not for his on-court contributions. His playing time will likely be minimal, as his role is more about veteran presence and mentoring than actual game impact.]</t>
  </si>
  <si>
    <t>Chris Livingston</t>
  </si>
  <si>
    <t>[Josh: Chris Livingston has an outside chance at cracking the rotation, but it will be tough as a second-year player under Doc Rivers. He impressed in Summer League, particularly with his rebounding, but his fantasy value remains limited for now. Livingston is more of a deep-league or dynasty option unless his role unexpectedly expands.]</t>
  </si>
  <si>
    <t>Quenton Jackson</t>
  </si>
  <si>
    <t>[Josh: Quenton Jackson is a fringe player who didn't show much in limited action last season. Despite a decent usage rate, his production was minimal, and he didn't contribute significantly in any category. On a two-way contract, he's likely to spend most of the season in the G League, with limited opportunities at the NBA level. Not someone to consider for fantasy or a significant role in the rotation.]</t>
  </si>
  <si>
    <t>Pat Spencer</t>
  </si>
  <si>
    <t>[Josh: Pat Spencer, already 28 years old, barely played last year as a rookie and is back on a two-way contract again. Given his age and limited opportunity last season, it’s unlikely he’ll have a significant role with the Warriors moving forward. He remains more of a depth option with little upside for the NBA level.]</t>
  </si>
  <si>
    <t>Quincy Olivari</t>
  </si>
  <si>
    <t>D.J. Steward</t>
  </si>
  <si>
    <t>[Josh: D.J. Steward had a strong Summer League performance and is on a two-way contract. While he showed some promise, his role will be limited, and he’s more of a developmental player to keep an eye on rather than someone with immediate fantasy impact.]</t>
  </si>
  <si>
    <t>New Team|New Contract|Two-Way Player</t>
  </si>
  <si>
    <t>Jules Bernard</t>
  </si>
  <si>
    <t>Jeenathan Williams Jr.</t>
  </si>
  <si>
    <t>[Josh: Jeenathan Williams Jr. is a deep bench player with limited offensive output. His shooting percentages are respectable, especially from three-point range, but his overall contributions are minimal. Given his place on the depth chart, he's unlikely to be a significant factor in the rotation and may spend more time in the G League unless injuries or other factors create opportunities.]</t>
  </si>
  <si>
    <t>Jamison Battle</t>
  </si>
  <si>
    <t>Spencer Jones</t>
  </si>
  <si>
    <t>[Josh: Spencer Jones is on a team with championship aspirations, so if he ends up playing significant minutes, it likely means things have gone very wrong. He’s not expected to have any meaningful role this season, making him irrelevant for fantasy purposes.]</t>
  </si>
  <si>
    <t>DaQuan Jeffries</t>
  </si>
  <si>
    <t>Jesse Edwards</t>
  </si>
  <si>
    <t>[Josh: Jesse Edwards, on a two-way contract, is unlikely to make a significant impact as an NBA player. As a center, his skill set doesn't project well for fantasy, and he's unlikely to see meaningful minutes. Edwards is best left off fantasy rosters, as his long-term potential in the league is doubtful.]</t>
  </si>
  <si>
    <t>Justin Edwards</t>
  </si>
  <si>
    <t>[Josh: Justin Edwards, once a highly regarded high school recruit, struggled during his college stint and now finds himself on a two-way contract with the 76ers. His projected stats reflect minimal contributions, and while there was once excitement about his potential, his recent trajectory has been underwhelming. Edwards doesn’t offer much fantasy upside at this stage and will likely be a non-factor in standard leagues. Unless he turns things around significantly, he’s more of a deep-league dynasty flier, with little reason for optimism in most fantasy formats.]</t>
  </si>
  <si>
    <t>Emoni Bates</t>
  </si>
  <si>
    <t>Injured - arthroscopic knee surgery (13g) - 11/15/2024</t>
  </si>
  <si>
    <t>Kevin McCullar</t>
  </si>
  <si>
    <t>[Josh: Kevin McCullar, an older rookie, is a strong defensive guard/wing but struggles with shooting. His defensive ability could earn him some minutes in certain situations, but his offensive limitations make him a non-factor for fantasy purposes. He’s unlikely to carve out a significant role this season.]</t>
  </si>
  <si>
    <t>Justin Minaya</t>
  </si>
  <si>
    <t>[Josh: Justin Minaya is typically deployed late in the season when Portland looks to rest key players, often contributing during the team’s tanking efforts in April. His usage is minimal, and he offers little offensively, as reflected in his low shooting percentages and overall production. While Minaya brings some defensive presence, his role is primarily situational, with no significant fantasy value in most formats. He’s more of a placeholder player, and his limited contributions make him a non-factor in most fantasy leagues.]</t>
  </si>
  <si>
    <t>Alex Ducas</t>
  </si>
  <si>
    <t>[Josh: Alex Ducas is another shooting specialist on a two-way deal with the Oklahoma City Thunder. As an undrafted rookie, he brings a reliable shot, but his low usage and limited contributions outside of scoring make it unlikely that he will have a significant role this season. While his percentages suggest he can knock down shots efficiently, he’s more of a deep-league flier or dynasty prospect due to the lack of guaranteed minutes. Unless the Thunder's rotation gets thinned out by injuries, Ducas is not expected to make much of a fantasy impact this year.]</t>
  </si>
  <si>
    <t>Jacob Toppin</t>
  </si>
  <si>
    <t>[Josh: Jacob Toppin is known for his athletic dunks but, as a two-way player, he’s unlikely to see meaningful minutes. He’s buried in the depth chart and will not be a factor for fantasy, making him someone to avoid in all formats.]</t>
  </si>
  <si>
    <t>Pacome Dadiet</t>
  </si>
  <si>
    <t>[Josh: Pacome Dadiet, a first-round pick, is unlikely to see much court time this season, and he could end up playing fewer than 70 minutes total. He’s not expected to be a factor in the rotation, making him irrelevant for fantasy purposes.]</t>
  </si>
  <si>
    <t>Matt Bradley</t>
  </si>
  <si>
    <t>Daishen Nix</t>
  </si>
  <si>
    <t>[Josh: Daishen Nix is still lingering on the roster, but his role remains minimal. While he could see some point guard minutes if Mike Conley gets hurt, his production and efficiency have been lackluster. Nix isn’t a reliable fantasy option, even as an injury fill-in, and is best avoided in most formats.]</t>
  </si>
  <si>
    <t>Trentyn Flowers</t>
  </si>
  <si>
    <t>[Josh: Trentyn Flowers is a developmental project for the Clippers with limited immediate fantasy relevance. His scoring and usage suggest potential down the line, but as a rookie, he’s unlikely to contribute much this season. Flowers is a deep dynasty stash but doesn’t warrant consideration in redraft leagues at this point.]</t>
  </si>
  <si>
    <t>Questionable - left wrist</t>
  </si>
  <si>
    <t>Kevin Knox</t>
  </si>
  <si>
    <t>FA</t>
  </si>
  <si>
    <t>NVR</t>
  </si>
  <si>
    <t>Jamaree Bouyea</t>
  </si>
  <si>
    <t>[Josh: Jamaree Bouyea showed some flashes during his time in Miami, but his shooting remains a significant problem. Now on a two-way contract with San Antonio, Bouyea has potential as a point guard, especially with his playmaking skills, but his offensive efficiency needs to improve. His low percentages from three-point range and the free-throw line limit his fantasy value, and it’s hard to see him earning a consistent role without developing his shot. For now, he's a deep-league or dynasty stash at best.]</t>
  </si>
  <si>
    <t>Colin Castleton</t>
  </si>
  <si>
    <t>[Josh: Colin Castleton has a good chance to emerge as the Lakers' best backup center this season. While still on a two-way deal, he could see his contract converted if he continues to impress. Castleton's fantasy appeal is limited for now, but he’s a player to keep an eye on in deeper leagues, especially if injuries occur in the Lakers' frontcourt.]</t>
  </si>
  <si>
    <t>Nate Hinton</t>
  </si>
  <si>
    <t>Nathan Mensah</t>
  </si>
  <si>
    <t>DaRon Holmes II</t>
  </si>
  <si>
    <t>Out for season - achilles (0g) - 7/14/2024</t>
  </si>
  <si>
    <t>Damion Baugh</t>
  </si>
  <si>
    <t>Keita Bates-Diop</t>
  </si>
  <si>
    <t>[Josh: Keita Bates-Diop came over in the Mikal Bridges deal and didn’t make much of an impact last season in Brooklyn or Phoenix. He’s a low-usage player with limited fantasy appeal, offering occasional contributions in rebounds and defensive stats. Bates-Diop is unlikely to have a meaningful role in New York’s rotation this season.]</t>
  </si>
  <si>
    <t>Alex Fudge</t>
  </si>
  <si>
    <t>Nassir Little</t>
  </si>
  <si>
    <t>Cody Zeller</t>
  </si>
  <si>
    <t>[Josh: Cody Zeller was included in the Dejounte Murray deal as a sign-and-trade piece. With the Hawks needing to cut someone, I see no reason he survives that cut. He could also be dealt, but I don't expect to see him in a Hawks uniform this season.]</t>
  </si>
  <si>
    <t>Landry Shamet</t>
  </si>
  <si>
    <t>Note - right shoulder</t>
  </si>
  <si>
    <t>Alex O'Connell</t>
  </si>
  <si>
    <t>Mac McClung</t>
  </si>
  <si>
    <t>David Jones</t>
  </si>
  <si>
    <t>[Josh: David Jones is on a two-way contract with the 76ers, but he’s unlikely to see significant playing time this season. His projected stats are minimal, and while he has some potential, his role is expected to be very limited. Jones is more of a developmental player for the future, and his fantasy relevance is almost nonexistent in standard leagues. He’s a deep-league dynasty stash at best, but not someone to target in most formats unless his situation changes dramatically.]</t>
  </si>
  <si>
    <t>Kenneth Lofton Jr.</t>
  </si>
  <si>
    <t>Amari Bailey</t>
  </si>
  <si>
    <t>T.J. Warren</t>
  </si>
  <si>
    <t>Note - waived by nyk</t>
  </si>
  <si>
    <t>Boo Buie</t>
  </si>
  <si>
    <t>Jermaine Samuels</t>
  </si>
  <si>
    <t>Restricted Free Agent|New Contract</t>
  </si>
  <si>
    <t>P.J. Tucker</t>
  </si>
  <si>
    <t>[Josh: P.J. Tucker's fantasy value has significantly diminished, as his production has sharply declined and he’s barely contributing in any categories. His role is likely limited to defensive assignments and occasional three-point shooting, making him an afterthought in most fantasy leagues. Tucker is best avoided, as he appears to be well past his prime and unlikely to offer any meaningful fantasy output.]</t>
  </si>
  <si>
    <t>Note - away from team</t>
  </si>
  <si>
    <t>Chuma Okeke</t>
  </si>
  <si>
    <t>Lonnie Walker</t>
  </si>
  <si>
    <t>Note - waived by bos</t>
  </si>
  <si>
    <t>Killian Hayes</t>
  </si>
  <si>
    <t>[Josh: Killian Hayes isn’t guaranteed to make the roster, and given his inconsistent play, it’s hard to see him carving out a meaningful role. There’s little reason to invest in him for fantasy purposes this season.]</t>
  </si>
  <si>
    <t>Note - waived by bkn</t>
  </si>
  <si>
    <t>Saddiq Bey</t>
  </si>
  <si>
    <t>Out for season - acl (82g) - 7/13/2025</t>
  </si>
  <si>
    <t>Nikola Topic</t>
  </si>
  <si>
    <t>Out for season - torn acl (82g) - 7/13/2025</t>
  </si>
  <si>
    <t>Onuralp Bitim</t>
  </si>
  <si>
    <t>[Josh: Onuralp Bitim hasn’t shown much since joining the roster, and I’m not really sure of the point of him being there. He didn’t flash as a rookie, and his role seems minimal, making him irrelevant for fantasy purposes.]</t>
  </si>
  <si>
    <t>Jalen McDaniels</t>
  </si>
  <si>
    <t>[Josh: Jalen McDaniels has shown flashes of potential but struggled during his stints with Philadelphia and Toronto. Sacramento could use his skill set, especially on the defensive end and as a versatile forward, but his inconsistent performance makes it unclear if he can deliver. While he theoretically fits as a 3-and-D option, his poor shooting and inability to carve out a consistent role with past teams make him a deep-league gamble at best. McDaniels will need to prove himself to earn consistent minutes in Sacramento's rotation.]</t>
  </si>
  <si>
    <t>TOP</t>
  </si>
  <si>
    <t>Don't sort this table!</t>
  </si>
  <si>
    <t>D</t>
  </si>
  <si>
    <t>E</t>
  </si>
  <si>
    <t>I</t>
  </si>
  <si>
    <t>J</t>
  </si>
  <si>
    <t>K</t>
  </si>
  <si>
    <t>N</t>
  </si>
  <si>
    <t>O</t>
  </si>
  <si>
    <t>P</t>
  </si>
  <si>
    <t>Q</t>
  </si>
  <si>
    <t>Current</t>
  </si>
  <si>
    <t>Last</t>
  </si>
  <si>
    <t>Categories Won</t>
  </si>
  <si>
    <t>PLAYERS</t>
  </si>
  <si>
    <t>STATUS</t>
  </si>
  <si>
    <t>RANK</t>
  </si>
  <si>
    <t>TYPE</t>
  </si>
  <si>
    <t>ACTION</t>
  </si>
  <si>
    <t>Nikola Jokic
DenC</t>
  </si>
  <si>
    <t/>
  </si>
  <si>
    <t>Giannis AntetokounmpoDTD
MilPF</t>
  </si>
  <si>
    <t>Luka Doncic
DalPG</t>
  </si>
  <si>
    <t>James Harden
BknSG, PG</t>
  </si>
  <si>
    <t>Karl-Anthony Towns
MinC</t>
  </si>
  <si>
    <t>Bradley Beal
WshSG</t>
  </si>
  <si>
    <t>Damian Lillard
PorPG</t>
  </si>
  <si>
    <t>Paul George
LACSF, SG</t>
  </si>
  <si>
    <t>Stephen Curry
GSPG</t>
  </si>
  <si>
    <t>Jayson Tatum
BosPF, SF</t>
  </si>
  <si>
    <t>Kevin Durant
BknSF, PF</t>
  </si>
  <si>
    <t>Nikola Vucevic
ChiC</t>
  </si>
  <si>
    <t>Zion WilliamsonO
NOPF</t>
  </si>
  <si>
    <t>De'Aaron Fox
SacPG</t>
  </si>
  <si>
    <t>Joel Embiid
PhiC</t>
  </si>
  <si>
    <t>LeBron JamesO
LALSF, PG, PF</t>
  </si>
  <si>
    <t>Trae Young
AtlPG</t>
  </si>
  <si>
    <t>Fred VanVleet
TorSG, PG</t>
  </si>
  <si>
    <t>Donovan Mitchell
UtahSG, PG</t>
  </si>
  <si>
    <t>Domantas Sabonis
IndPF</t>
  </si>
  <si>
    <t>Anthony Davis
LALPF</t>
  </si>
  <si>
    <t>Julius Randle
NYPF</t>
  </si>
  <si>
    <t>Rudy Gobert
UtahC</t>
  </si>
  <si>
    <t>LaMelo Ball
ChaPG</t>
  </si>
  <si>
    <t>Jimmy Butler
MiaSF, SG</t>
  </si>
  <si>
    <t>Shai Gilgeous-Alexander
OKCSG, PG</t>
  </si>
  <si>
    <t>Dejounte Murray
SAPG, SG</t>
  </si>
  <si>
    <t>Bam Adebayo
MiaC, PF</t>
  </si>
  <si>
    <t>Jrue Holiday
MilPG, SG</t>
  </si>
  <si>
    <t>Ben Simmons
PhiPG</t>
  </si>
  <si>
    <t>Kyrie Irving
BknPG, SG</t>
  </si>
  <si>
    <t>Michael Porter Jr.
DenSF, PF</t>
  </si>
  <si>
    <t>Chris PaulDTD
PhxPG</t>
  </si>
  <si>
    <t>Russell WestbrookO
LALPG</t>
  </si>
  <si>
    <t>Clint CapelaDTD
AtlC</t>
  </si>
  <si>
    <t>Deandre Ayton
PhxC</t>
  </si>
  <si>
    <t>Tobias Harris
PhiSF, PF</t>
  </si>
  <si>
    <t>Devin Booker
PhxSG, PG</t>
  </si>
  <si>
    <t>Khris Middleton
MilSF, SG</t>
  </si>
  <si>
    <t>Christian Wood
HouC, PF</t>
  </si>
  <si>
    <t>Jaylen Brown
BosSG, SF</t>
  </si>
  <si>
    <t>Lonzo Ball
ChiPG</t>
  </si>
  <si>
    <t>Zach LaVine
ChiSG</t>
  </si>
  <si>
    <t>Ja Morant
MemPG</t>
  </si>
  <si>
    <t>Brandon Ingram
NOSF, PF</t>
  </si>
  <si>
    <t>Caris LeVertO
IndSG, SF</t>
  </si>
  <si>
    <t>CJ McCollum
PorSG</t>
  </si>
  <si>
    <t>DeMar DeRozan
ChiSG, SF</t>
  </si>
  <si>
    <t>Collin Sexton
CleSG, PG</t>
  </si>
  <si>
    <t>Montrezl Harrell
WshC, PF</t>
  </si>
  <si>
    <t>Terry Rozier
ChaPG, SG</t>
  </si>
  <si>
    <t>Jusuf Nurkic
PorC</t>
  </si>
  <si>
    <t>Pascal SiakamO
TorPF</t>
  </si>
  <si>
    <t>Draymond Green
GSPF</t>
  </si>
  <si>
    <t>Jakob Poeltl
SAC</t>
  </si>
  <si>
    <t>Anthony Edwards
MinSG, SF</t>
  </si>
  <si>
    <t>Robert Williams III
BosC, PF</t>
  </si>
  <si>
    <t>Tyrese Haliburton
SacPG, SG</t>
  </si>
  <si>
    <t>Kyle Lowry
MiaPG</t>
  </si>
  <si>
    <t>Jalen Suggs
OrlPG, SG</t>
  </si>
  <si>
    <t>Derrick White
SAPG, SG</t>
  </si>
  <si>
    <t>Cade CunninghamDTD
DetPG</t>
  </si>
  <si>
    <t>Buddy Hield
SacSG, SF</t>
  </si>
  <si>
    <t>Jarrett AllenDTD
CleC</t>
  </si>
  <si>
    <t>Malcolm Brogdon
IndPG, SG</t>
  </si>
  <si>
    <t>Spencer Dinwiddie
WshSG, PG</t>
  </si>
  <si>
    <t>Jonathan IsaacO
OrlPF, SF</t>
  </si>
  <si>
    <t>D'Angelo Russell
MinPG, SG</t>
  </si>
  <si>
    <t>Kemba Walker
NYPG</t>
  </si>
  <si>
    <t>Andrew Wiggins
GSSF, SG</t>
  </si>
  <si>
    <t>OG Anunoby
TorSF, PF</t>
  </si>
  <si>
    <t>John Collins
AtlPF</t>
  </si>
  <si>
    <t>Kristaps Porzingis
DalC, PF</t>
  </si>
  <si>
    <t>Chris Boucher
TorC, PF</t>
  </si>
  <si>
    <t>Jerami Grant
DetSF, PF</t>
  </si>
  <si>
    <t>Isaiah StewartDTD
DetC, PF</t>
  </si>
  <si>
    <t>Richaun Holmes
SacC, PF</t>
  </si>
  <si>
    <t>Darius Garland
ClePG, SG</t>
  </si>
  <si>
    <t>Myles Turner
IndC, PF</t>
  </si>
  <si>
    <t>Nickeil Alexander-Walker
NOSG</t>
  </si>
  <si>
    <t>Jaren Jackson Jr.
MemPF</t>
  </si>
  <si>
    <t>RJ Barrett
NYSF, SG</t>
  </si>
  <si>
    <t>Mike Conley
UtahPG</t>
  </si>
  <si>
    <t>P.J. Washington
ChaPF</t>
  </si>
  <si>
    <t>Jalen Green
HouSG</t>
  </si>
  <si>
    <t>Norman Powell
PorSG, SF</t>
  </si>
  <si>
    <t>Ivica ZubacDTD
LACC</t>
  </si>
  <si>
    <t>Devonte' Graham
NOPG, SG</t>
  </si>
  <si>
    <t>Eric Bledsoe
LACPG, SG</t>
  </si>
  <si>
    <t>Mikal Bridges
PhxSF</t>
  </si>
  <si>
    <t>Wendell Carter Jr.
OrlC</t>
  </si>
  <si>
    <t>Robert Covington
PorPF, SF</t>
  </si>
  <si>
    <t>Thaddeus Young
SAPF, SF, C</t>
  </si>
  <si>
    <t>Marcus Smart
BosSG, PG</t>
  </si>
  <si>
    <t>Dennis Schroder
BosPG</t>
  </si>
  <si>
    <t>Bogdan Bogdanovic
AtlSG, SF</t>
  </si>
  <si>
    <t>Harrison Barnes
SacSF, PF</t>
  </si>
  <si>
    <t>Reggie Jackson
LACPG</t>
  </si>
  <si>
    <t>Keldon Johnson
SASF, PF</t>
  </si>
  <si>
    <t>Tim Hardaway Jr.
DalSG, SF</t>
  </si>
  <si>
    <t>RESEARCH</t>
  </si>
  <si>
    <t>%ROST</t>
  </si>
  <si>
    <t>Scottie Barnes
TorPF, SF</t>
  </si>
  <si>
    <t>Donte DiVincenzoO
MilSG, PG</t>
  </si>
  <si>
    <t>Saddiq Bey
DetSF</t>
  </si>
  <si>
    <t>Joe Ingles
UtahSF, SG, PF</t>
  </si>
  <si>
    <t>Miles Bridges
ChaSF, PF</t>
  </si>
  <si>
    <t>Brook Lopez
MilC</t>
  </si>
  <si>
    <t>Daniel Theis
HouC, PF</t>
  </si>
  <si>
    <t>Mitchell RobinsonO
NYC</t>
  </si>
  <si>
    <t>Jordan Clarkson
UtahSG</t>
  </si>
  <si>
    <t>Killian Hayes
DetPG</t>
  </si>
  <si>
    <t>Marvin Bagley III
SacPF</t>
  </si>
  <si>
    <t>Gordon Hayward
ChaSF</t>
  </si>
  <si>
    <t>Evan Fournier
NYSG, SF</t>
  </si>
  <si>
    <t>Brandon Clarke
MemPF, C</t>
  </si>
  <si>
    <t>Jonas Valanciunas
NOC</t>
  </si>
  <si>
    <t>Hassan Whiteside
UtahC</t>
  </si>
  <si>
    <t>Joe Harris
BknSG, SF</t>
  </si>
  <si>
    <t>Malik Beasley
MinSG, SF</t>
  </si>
  <si>
    <t>Kyle Kuzma
WshPF, SF</t>
  </si>
  <si>
    <t>T.J. McConnell
IndPG</t>
  </si>
  <si>
    <t>Lauri Markkanen
ClePF</t>
  </si>
  <si>
    <t>Thomas BryantO
WshC</t>
  </si>
  <si>
    <t>T.J. WarrenO
IndSF</t>
  </si>
  <si>
    <t>Bojan BogdanovicDTD
UtahPF, SF</t>
  </si>
  <si>
    <t>Steven Adams
MemC</t>
  </si>
  <si>
    <t>Bobby Portis
MilPF</t>
  </si>
  <si>
    <t>Mason Plumlee
ChaC</t>
  </si>
  <si>
    <t>Ricky Rubio
ClePG</t>
  </si>
  <si>
    <t>Klay ThompsonO
GSSG</t>
  </si>
  <si>
    <t>Kelly Olynyk
DetC, PF</t>
  </si>
  <si>
    <t>Monte Morris
DenPG</t>
  </si>
  <si>
    <t>John WallO
HouPG</t>
  </si>
  <si>
    <t>Kyle Anderson
MemSF, PF</t>
  </si>
  <si>
    <t>Kevin Porter Jr.
HouSG, PG</t>
  </si>
  <si>
    <t>Alperen Sengun
HouC</t>
  </si>
  <si>
    <t>Tyler Herro
MiaSG, PG</t>
  </si>
  <si>
    <t>Isaiah Roby
OKCPF</t>
  </si>
  <si>
    <t>Andre Drummond
PhiC</t>
  </si>
  <si>
    <t>Isaac OkoroDTD
CleSF</t>
  </si>
  <si>
    <t>Derrick Rose
NYPG</t>
  </si>
  <si>
    <t>Aaron Gordon
DenPF</t>
  </si>
  <si>
    <t>Patrick WilliamsO
ChiSF, PF</t>
  </si>
  <si>
    <t>Markelle FultzO
OrlPG</t>
  </si>
  <si>
    <t>Darius Bazley
OKCSF, PF</t>
  </si>
  <si>
    <t>Otto Porter Jr.
GSSF</t>
  </si>
  <si>
    <t>Serge IbakaDTD
LACC, PF</t>
  </si>
  <si>
    <t>Al Horford
BosC, PF</t>
  </si>
  <si>
    <t>Kelly Oubre Jr.
ChaPF, SF</t>
  </si>
  <si>
    <t>Dillon Brooks
MemSG, SF</t>
  </si>
  <si>
    <t>Rui HachimuraDTD
WshPF, SF</t>
  </si>
  <si>
    <t>Seth Curry
PhiSG, PG</t>
  </si>
  <si>
    <t>Marcus Morris Sr.
LACPF, SF</t>
  </si>
  <si>
    <t>Doug McDermott
SASF, PF</t>
  </si>
  <si>
    <t>Nerlens Noel
NYC</t>
  </si>
  <si>
    <t>LaMarcus Aldridge
BknPF</t>
  </si>
  <si>
    <t>Moses Brown
DalC</t>
  </si>
  <si>
    <t>Cole Anthony
OrlPG</t>
  </si>
  <si>
    <t>Duncan Robinson
MiaSG, SF</t>
  </si>
  <si>
    <t>Enes Kanter
BosC</t>
  </si>
  <si>
    <t>Talen Horton-Tucker
LALSG, SF</t>
  </si>
  <si>
    <t>Jalen Brunson
DalPG</t>
  </si>
  <si>
    <t>Jae Crowder
PhxPF, SF</t>
  </si>
  <si>
    <t>Danny Green
PhiSG, SF</t>
  </si>
  <si>
    <t>Terrence Ross
OrlSG, SF</t>
  </si>
  <si>
    <t>James WisemanO
GSC</t>
  </si>
  <si>
    <t>Daniel Gafford
WshC, PF</t>
  </si>
  <si>
    <t>Goran Dragic
TorPG</t>
  </si>
  <si>
    <t>Kevin Huerter
AtlSG, SF</t>
  </si>
  <si>
    <t>Alec Burks
NYSG</t>
  </si>
  <si>
    <t>Aleksej Pokusevski
OKCPF</t>
  </si>
  <si>
    <t>Evan Mobley
ClePF, C</t>
  </si>
  <si>
    <t>Dorian Finney-Smith
DalSF, PF</t>
  </si>
  <si>
    <t>Chuma OkekeDTD
OrlPF</t>
  </si>
  <si>
    <t>Khem Birch
TorC</t>
  </si>
  <si>
    <t>Terance Mann
LACSF</t>
  </si>
  <si>
    <t>Larry Nance Jr.
PorPF</t>
  </si>
  <si>
    <t>Franz Wagner
OrlSF</t>
  </si>
  <si>
    <t>Coby WhiteO
ChiPG</t>
  </si>
  <si>
    <t>Blake Griffin
BknPF</t>
  </si>
  <si>
    <t>Rudy GayO
UtahPF</t>
  </si>
  <si>
    <t>Josh Hart
NOSG, SF</t>
  </si>
  <si>
    <t>Kenrich Williams
OKCSF</t>
  </si>
  <si>
    <t>Terence Davis
SacSG</t>
  </si>
  <si>
    <t>Tomas Satoransky
NOPG, SG</t>
  </si>
  <si>
    <t>Kendrick Nunn
LALSG</t>
  </si>
  <si>
    <t>Luguentz Dort
OKCSG, SF</t>
  </si>
  <si>
    <t>Shake Milton
PhiPG, SG</t>
  </si>
  <si>
    <t>Nicolas Batum
LACSF, SG</t>
  </si>
  <si>
    <t>Jaxson Hayes
NOC</t>
  </si>
  <si>
    <t>Matisse Thybulle
PhiSF, SG</t>
  </si>
  <si>
    <t>Royce O'Neale
UtahSF, PF</t>
  </si>
  <si>
    <t>Devin Vassell
SASG, SF</t>
  </si>
  <si>
    <t>Victor OladipoO
MiaSG</t>
  </si>
  <si>
    <t>Davis Bertans
WshPF</t>
  </si>
  <si>
    <t>Kevin Love
ClePF</t>
  </si>
  <si>
    <t>Jeremy Lamb
IndSG, SF</t>
  </si>
  <si>
    <t>Bruce Brown
BknSG</t>
  </si>
  <si>
    <t>Derrick Favors
OKCC, PF</t>
  </si>
  <si>
    <t>Ish Smith
ChaPG</t>
  </si>
  <si>
    <t>Cedi Osman
CleSF</t>
  </si>
  <si>
    <t>Cameron Johnson
PhxSF</t>
  </si>
  <si>
    <t>Tyus Jones
MemPG</t>
  </si>
  <si>
    <t>Gary Trent Jr.
TorSG, SF</t>
  </si>
  <si>
    <t>Reggie BullockO
DalSF, SG</t>
  </si>
  <si>
    <t>Willie Cauley-Stein
DalC</t>
  </si>
  <si>
    <t>Hamidou Diallo
DetSG</t>
  </si>
  <si>
    <t>Carmelo AnthonyO
LALPF, SF</t>
  </si>
  <si>
    <t>Naz Reid
MinC</t>
  </si>
  <si>
    <t>De'Anthony Melton
MemPG</t>
  </si>
  <si>
    <t>Nicolas Claxton
BknC, PF</t>
  </si>
  <si>
    <t>De'Andre Hunter
AtlSF, PF</t>
  </si>
  <si>
    <t>Josh Jackson
DetSF, SG</t>
  </si>
  <si>
    <t>Marc Gasol
LALC</t>
  </si>
  <si>
    <t>Bryn Forbes
SASG, PG</t>
  </si>
  <si>
    <t>Lou Williams
AtlSG</t>
  </si>
  <si>
    <t>Josh Richardson
BosSG, SF</t>
  </si>
  <si>
    <t>Paul Millsap
BknPF</t>
  </si>
  <si>
    <t>Maxi Kleber
DalPF</t>
  </si>
  <si>
    <t>Danilo Gallinari
AtlPF, SF</t>
  </si>
  <si>
    <t>Dwight Howard
LALC</t>
  </si>
  <si>
    <t>Kentavious Caldwell-Pope
WshSG, SF</t>
  </si>
  <si>
    <t>Dwight Powell
DalC</t>
  </si>
  <si>
    <t>Onyeka OkongwuO
AtlC</t>
  </si>
  <si>
    <t>Justin Holiday
IndSG, SF</t>
  </si>
  <si>
    <t>Taurean PrinceO
MinSF, PF</t>
  </si>
  <si>
    <t>Patrick BeverleyO
MinPG</t>
  </si>
  <si>
    <t>Rajon Rondo
LALPG</t>
  </si>
  <si>
    <t>Tristan Thompson
SacC, PF</t>
  </si>
  <si>
    <t>Jeff Green
DenPF</t>
  </si>
  <si>
    <t>Cory Joseph
DetPG</t>
  </si>
  <si>
    <t>Patty Mills
BknPG</t>
  </si>
  <si>
    <t>Kira Lewis Jr.
NOPG</t>
  </si>
  <si>
    <t>James Bouknight
ChaSG</t>
  </si>
  <si>
    <t>Saben Lee
DetPG</t>
  </si>
  <si>
    <t>Delon Wright
AtlSG, PG</t>
  </si>
  <si>
    <t>Pat Connaughton
MilSG, SF</t>
  </si>
  <si>
    <t>Anfernee Simons
PorSG, PG</t>
  </si>
  <si>
    <t>George Hill
MilPG, SG</t>
  </si>
  <si>
    <t>Lonnie Walker IV
SASF, SG</t>
  </si>
  <si>
    <t>D.J. Augustin
HouPG</t>
  </si>
  <si>
    <t>Mo Bamba
OrlC</t>
  </si>
  <si>
    <t>JaMychal Green
DenPF</t>
  </si>
  <si>
    <t>Danuel House Jr.
HouSF, SG</t>
  </si>
  <si>
    <t>Cam Reddish
AtlSF, SG</t>
  </si>
  <si>
    <t>Landry Shamet
PhxSG</t>
  </si>
  <si>
    <t>Deni AvdijaDTD
WshSF</t>
  </si>
  <si>
    <t>Willy Hernangomez
NOC</t>
  </si>
  <si>
    <t>Gorgui Dieng
AtlC, PF</t>
  </si>
  <si>
    <t>Garrett Temple
NOSG, SF</t>
  </si>
  <si>
    <t>Eric Gordon
HouSG</t>
  </si>
  <si>
    <t>Kent Bazemore
LALSG, SF</t>
  </si>
  <si>
    <t>Alex Caruso
ChiPG, SG</t>
  </si>
  <si>
    <t>Grayson Allen
MilSG</t>
  </si>
  <si>
    <t>Elfrid Payton
PhxPG</t>
  </si>
  <si>
    <t>Frank Kaminsky
PhxC, PF</t>
  </si>
  <si>
    <t>Gary Harris
OrlSG</t>
  </si>
  <si>
    <t>Furkan Korkmaz
PhiSG</t>
  </si>
  <si>
    <t>Austin Rivers
DenSG</t>
  </si>
  <si>
    <t>Jamal MurrayO
DenPG, SG</t>
  </si>
  <si>
    <t>Trevor ArizaO
LALSF</t>
  </si>
  <si>
    <t>Luke Kennard
LACSG</t>
  </si>
  <si>
    <t>Wayne Ellington
LALSG</t>
  </si>
  <si>
    <t>Kenyon Martin Jr.
HouSF</t>
  </si>
  <si>
    <t>Justise Winslow
LACSF</t>
  </si>
  <si>
    <t>JaVale McGee
PhxC</t>
  </si>
  <si>
    <t>Jordan Poole
GSSG, PG</t>
  </si>
  <si>
    <t>Juancho HernangomezDTD
BosPF, SF</t>
  </si>
  <si>
    <t>PJ Dozier
DenPG</t>
  </si>
  <si>
    <t>Torrey Craig
IndSF</t>
  </si>
  <si>
    <t>DeAndre Jordan
LALC</t>
  </si>
  <si>
    <t>Eric Paschall
UtahPF</t>
  </si>
  <si>
    <t>Aaron Holiday
WshPG, SG</t>
  </si>
  <si>
    <t>Raul Neto
WshPG</t>
  </si>
  <si>
    <t>Sterling Brown
DalSG, SF</t>
  </si>
  <si>
    <t>Moritz Wagner
OrlC, PF</t>
  </si>
  <si>
    <t>Jalen McDaniels
ChaPF</t>
  </si>
  <si>
    <t>Dwayne Bacon
NYSG</t>
  </si>
  <si>
    <t>Damion Lee
GSSF, SG</t>
  </si>
  <si>
    <t>Aaron Nesmith
BosSF</t>
  </si>
  <si>
    <t>Juan Toscano-Anderson
GSPF, SF</t>
  </si>
  <si>
    <t>Josh Okogie
MinSG, SF</t>
  </si>
  <si>
    <t>Andre Iguodala
GSSF, SG</t>
  </si>
  <si>
    <t>Kevon Looney
GSPF</t>
  </si>
  <si>
    <t>Mike Muscala
OKCC, PF</t>
  </si>
  <si>
    <t>DeMarcus Cousins
LACC</t>
  </si>
  <si>
    <t>Jarrett CulverDTD
MemSG, SF</t>
  </si>
  <si>
    <t>Bismack Biyombo
ChaC</t>
  </si>
  <si>
    <t>Maurice Harkless
SacSF</t>
  </si>
  <si>
    <t>James Johnson
BknPF, SF</t>
  </si>
  <si>
    <t>Cody Martin
ChaSF</t>
  </si>
  <si>
    <t>Michael Carter-WilliamsO
OrlPG</t>
  </si>
  <si>
    <t>Al-Farouq Aminu
SAPF</t>
  </si>
  <si>
    <t>D.J. Wilson
OKCPF</t>
  </si>
  <si>
    <t>Trey Burke
DalPG, SG</t>
  </si>
  <si>
    <t>Zach CollinsO
SAC</t>
  </si>
  <si>
    <t>Edmond SumnerO
IndSG</t>
  </si>
  <si>
    <t>Georges Niang
PhiPF</t>
  </si>
  <si>
    <t>Aron Baynes
TorC</t>
  </si>
  <si>
    <t>Brad Wanamaker
ChaPG</t>
  </si>
  <si>
    <t>Robin Lopez
OrlC</t>
  </si>
  <si>
    <t>STATS</t>
  </si>
  <si>
    <t>FANTASY PTS</t>
  </si>
  <si>
    <t>TOT</t>
  </si>
  <si>
    <t>AVG</t>
  </si>
  <si>
    <t>Team 8</t>
  </si>
  <si>
    <t>Team 10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</si>
</sst>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 am/pm"/>
    <numFmt numFmtId="165" formatCode="0.0%"/>
    <numFmt numFmtId="166" formatCode="0.0"/>
    <numFmt numFmtId="167" formatCode="#,##0.0"/>
  </numFmts>
  <fonts count="55">
    <font>
      <sz val="10.0"/>
      <color rgb="FF000000"/>
      <name val="Arial"/>
    </font>
    <font>
      <sz val="11.0"/>
      <color rgb="FFFFFFFF"/>
      <name val="Roboto"/>
    </font>
    <font>
      <color rgb="FFFFFFFF"/>
    </font>
    <font/>
    <font>
      <sz val="11.0"/>
      <color rgb="FF22292F"/>
      <name val="Montserrat"/>
    </font>
    <font>
      <sz val="11.0"/>
      <name val="Montserrat"/>
    </font>
    <font>
      <b/>
      <sz val="11.0"/>
      <color rgb="FFFFFFFF"/>
      <name val="Roboto"/>
    </font>
    <font>
      <u/>
      <sz val="11.0"/>
      <color rgb="FF0000FF"/>
      <name val="Montserrat"/>
    </font>
    <font>
      <color rgb="FF000000"/>
    </font>
    <font>
      <b/>
      <sz val="11.0"/>
      <color rgb="FF000000"/>
      <name val="Roboto"/>
    </font>
    <font>
      <sz val="11.0"/>
      <color rgb="FF1155CC"/>
      <name val="Inconsolata"/>
    </font>
    <font>
      <b/>
      <color rgb="FFFFFFFF"/>
    </font>
    <font>
      <b/>
      <sz val="9.0"/>
      <color rgb="FFFFFFFF"/>
    </font>
    <font>
      <b/>
    </font>
    <font>
      <b/>
      <name val="Arial"/>
    </font>
    <font>
      <name val="Arial"/>
    </font>
    <font>
      <u/>
      <color rgb="FF0000FF"/>
    </font>
    <font>
      <b/>
      <sz val="14.0"/>
      <color rgb="FFFFFFFF"/>
    </font>
    <font>
      <b/>
      <sz val="14.0"/>
      <color rgb="FF000000"/>
    </font>
    <font>
      <b/>
      <sz val="11.0"/>
      <name val="Roboto"/>
    </font>
    <font>
      <sz val="11.0"/>
      <color rgb="FF4285F4"/>
      <name val="Inconsolata"/>
    </font>
    <font>
      <sz val="11.0"/>
      <color rgb="FF7E3794"/>
      <name val="Inconsolata"/>
    </font>
    <font>
      <b/>
      <sz val="7.0"/>
      <color rgb="FFFFFFFF"/>
    </font>
    <font>
      <b/>
      <sz val="7.0"/>
      <color rgb="FF000000"/>
    </font>
    <font>
      <b/>
      <color rgb="FFFFFFFF"/>
      <name val="Arial"/>
    </font>
    <font>
      <sz val="36.0"/>
      <color rgb="FFFFFFFF"/>
    </font>
    <font>
      <sz val="14.0"/>
      <color rgb="FFFFFFFF"/>
    </font>
    <font>
      <b/>
      <sz val="14.0"/>
      <color rgb="FFFFFFFF"/>
      <name val="Arial"/>
    </font>
    <font>
      <b/>
      <sz val="14.0"/>
      <color rgb="FF000000"/>
      <name val="Arial"/>
    </font>
    <font>
      <b/>
      <color rgb="FF000000"/>
    </font>
    <font>
      <color rgb="FFFFFFFF"/>
      <name val="Arial"/>
    </font>
    <font>
      <u/>
      <color rgb="FF1155CC"/>
      <name val="Arial"/>
    </font>
    <font>
      <sz val="11.0"/>
      <color rgb="FF000000"/>
      <name val="Inconsolata"/>
    </font>
    <font>
      <b/>
      <sz val="10.0"/>
      <color rgb="FFFFFFFF"/>
    </font>
    <font>
      <b/>
      <sz val="12.0"/>
      <color rgb="FFFFFFFF"/>
      <name val="Roboto"/>
    </font>
    <font>
      <b/>
      <sz val="12.0"/>
      <color rgb="FFFFFFFF"/>
    </font>
    <font>
      <sz val="9.0"/>
      <name val="Google Sans Mono"/>
    </font>
    <font>
      <sz val="11.0"/>
      <color rgb="FF000000"/>
      <name val="Roboto"/>
    </font>
    <font>
      <u/>
      <color rgb="FF0000FF"/>
    </font>
    <font>
      <sz val="11.0"/>
      <color rgb="FFFFFFFF"/>
      <name val="Arial"/>
    </font>
    <font>
      <sz val="11.0"/>
      <name val="Roboto"/>
    </font>
    <font>
      <color rgb="FF000000"/>
      <name val="Arial"/>
    </font>
    <font>
      <sz val="14.0"/>
    </font>
    <font>
      <b/>
      <sz val="12.0"/>
    </font>
    <font>
      <b/>
      <sz val="8.0"/>
      <color rgb="FF48494A"/>
      <name val="-apple-system"/>
    </font>
    <font>
      <sz val="9.0"/>
      <color rgb="FF009444"/>
      <name val="-apple-system"/>
    </font>
    <font>
      <sz val="9.0"/>
      <color rgb="FF797B7D"/>
      <name val="-apple-system"/>
    </font>
    <font>
      <sz val="8.0"/>
      <color rgb="FF151617"/>
      <name val="-apple-system"/>
    </font>
    <font>
      <u/>
      <sz val="8.0"/>
      <color rgb="FF151617"/>
      <name val="-apple-system"/>
    </font>
    <font>
      <sz val="9.0"/>
      <color rgb="FF6C6D6F"/>
      <name val="-apple-system"/>
    </font>
    <font>
      <sz val="9.0"/>
      <color rgb="FFCC0000"/>
      <name val="-apple-system"/>
    </font>
    <font>
      <u/>
      <sz val="8.0"/>
      <color rgb="FF151617"/>
      <name val="-apple-system"/>
    </font>
    <font>
      <u/>
      <sz val="8.0"/>
      <color rgb="FF151617"/>
      <name val="-apple-system"/>
    </font>
    <font>
      <u/>
      <sz val="8.0"/>
      <color rgb="FF151617"/>
      <name val="-apple-system"/>
    </font>
    <font>
      <u/>
      <sz val="8.0"/>
      <color rgb="FF151617"/>
      <name val="-apple-system"/>
    </font>
  </fonts>
  <fills count="106">
    <fill>
      <patternFill patternType="none"/>
    </fill>
    <fill>
      <patternFill patternType="lightGray"/>
    </fill>
    <fill>
      <patternFill patternType="solid">
        <fgColor rgb="FF000000"/>
        <bgColor rgb="FF000000"/>
      </patternFill>
    </fill>
    <fill>
      <patternFill patternType="solid">
        <fgColor rgb="FFF3F2F7"/>
        <bgColor rgb="FFF3F2F7"/>
      </patternFill>
    </fill>
    <fill>
      <patternFill patternType="solid">
        <fgColor rgb="FFFEFEFE"/>
        <bgColor rgb="FFFEFEFE"/>
      </patternFill>
    </fill>
    <fill>
      <patternFill patternType="solid">
        <fgColor rgb="FFFFFFFF"/>
        <bgColor rgb="FFFFFFFF"/>
      </patternFill>
    </fill>
    <fill>
      <patternFill patternType="solid">
        <fgColor rgb="FF83FF83"/>
        <bgColor rgb="FF83FF83"/>
      </patternFill>
    </fill>
    <fill>
      <patternFill patternType="solid">
        <fgColor rgb="FFCDFFCD"/>
        <bgColor rgb="FFCDFFCD"/>
      </patternFill>
    </fill>
    <fill>
      <patternFill patternType="solid">
        <fgColor rgb="FFCCFFCC"/>
        <bgColor rgb="FFCCFFCC"/>
      </patternFill>
    </fill>
    <fill>
      <patternFill patternType="solid">
        <fgColor rgb="FFBEFFBE"/>
        <bgColor rgb="FFBEFFBE"/>
      </patternFill>
    </fill>
    <fill>
      <patternFill patternType="solid">
        <fgColor rgb="FF3FFF3F"/>
        <bgColor rgb="FF3FFF3F"/>
      </patternFill>
    </fill>
    <fill>
      <patternFill patternType="solid">
        <fgColor rgb="FFD2FFD2"/>
        <bgColor rgb="FFD2FFD2"/>
      </patternFill>
    </fill>
    <fill>
      <patternFill patternType="solid">
        <fgColor rgb="FFFF7B7B"/>
        <bgColor rgb="FFFF7B7B"/>
      </patternFill>
    </fill>
    <fill>
      <patternFill patternType="solid">
        <fgColor rgb="FFF6FFF6"/>
        <bgColor rgb="FFF6FFF6"/>
      </patternFill>
    </fill>
    <fill>
      <patternFill patternType="solid">
        <fgColor rgb="FF85FF85"/>
        <bgColor rgb="FF85FF85"/>
      </patternFill>
    </fill>
    <fill>
      <patternFill patternType="solid">
        <fgColor rgb="FFE2FFE2"/>
        <bgColor rgb="FFE2FFE2"/>
      </patternFill>
    </fill>
    <fill>
      <patternFill patternType="solid">
        <fgColor rgb="FFB7FFB7"/>
        <bgColor rgb="FFB7FFB7"/>
      </patternFill>
    </fill>
    <fill>
      <patternFill patternType="solid">
        <fgColor rgb="FF66FF66"/>
        <bgColor rgb="FF66FF66"/>
      </patternFill>
    </fill>
    <fill>
      <patternFill patternType="solid">
        <fgColor rgb="FFFFE4E4"/>
        <bgColor rgb="FFFFE4E4"/>
      </patternFill>
    </fill>
    <fill>
      <patternFill patternType="solid">
        <fgColor rgb="FFEDFFED"/>
        <bgColor rgb="FFEDFFED"/>
      </patternFill>
    </fill>
    <fill>
      <patternFill patternType="solid">
        <fgColor rgb="FF6FFF6F"/>
        <bgColor rgb="FF6FFF6F"/>
      </patternFill>
    </fill>
    <fill>
      <patternFill patternType="solid">
        <fgColor rgb="FFFF6C6C"/>
        <bgColor rgb="FFFF6C6C"/>
      </patternFill>
    </fill>
    <fill>
      <patternFill patternType="solid">
        <fgColor rgb="FFABFFAB"/>
        <bgColor rgb="FFABFFAB"/>
      </patternFill>
    </fill>
    <fill>
      <patternFill patternType="solid">
        <fgColor rgb="FF4AFF4A"/>
        <bgColor rgb="FF4AFF4A"/>
      </patternFill>
    </fill>
    <fill>
      <patternFill patternType="solid">
        <fgColor rgb="FF90FF90"/>
        <bgColor rgb="FF90FF90"/>
      </patternFill>
    </fill>
    <fill>
      <patternFill patternType="solid">
        <fgColor rgb="FFB9FFB9"/>
        <bgColor rgb="FFB9FFB9"/>
      </patternFill>
    </fill>
    <fill>
      <patternFill patternType="solid">
        <fgColor rgb="FF40FF40"/>
        <bgColor rgb="FF40FF40"/>
      </patternFill>
    </fill>
    <fill>
      <patternFill patternType="solid">
        <fgColor rgb="FFB2FFB2"/>
        <bgColor rgb="FFB2FFB2"/>
      </patternFill>
    </fill>
    <fill>
      <patternFill patternType="solid">
        <fgColor rgb="FFFFD1D1"/>
        <bgColor rgb="FFFFD1D1"/>
      </patternFill>
    </fill>
    <fill>
      <patternFill patternType="solid">
        <fgColor rgb="FFE8FFE8"/>
        <bgColor rgb="FFE8FFE8"/>
      </patternFill>
    </fill>
    <fill>
      <patternFill patternType="solid">
        <fgColor rgb="FFFFD0D0"/>
        <bgColor rgb="FFFFD0D0"/>
      </patternFill>
    </fill>
    <fill>
      <patternFill patternType="solid">
        <fgColor rgb="FFFF1515"/>
        <bgColor rgb="FFFF1515"/>
      </patternFill>
    </fill>
    <fill>
      <patternFill patternType="solid">
        <fgColor rgb="FFFF6666"/>
        <bgColor rgb="FFFF6666"/>
      </patternFill>
    </fill>
    <fill>
      <patternFill patternType="solid">
        <fgColor rgb="FF434343"/>
        <bgColor rgb="FF434343"/>
      </patternFill>
    </fill>
    <fill>
      <patternFill patternType="solid">
        <fgColor rgb="FF666666"/>
        <bgColor rgb="FF666666"/>
      </patternFill>
    </fill>
    <fill>
      <patternFill patternType="solid">
        <fgColor rgb="FF70FF70"/>
        <bgColor rgb="FF70FF70"/>
      </patternFill>
    </fill>
    <fill>
      <patternFill patternType="solid">
        <fgColor rgb="FFD9FFD9"/>
        <bgColor rgb="FFD9FFD9"/>
      </patternFill>
    </fill>
    <fill>
      <patternFill patternType="solid">
        <fgColor rgb="FFFFD3D3"/>
        <bgColor rgb="FFFFD3D3"/>
      </patternFill>
    </fill>
    <fill>
      <patternFill patternType="solid">
        <fgColor rgb="FFB8FFB8"/>
        <bgColor rgb="FFB8FFB8"/>
      </patternFill>
    </fill>
    <fill>
      <patternFill patternType="solid">
        <fgColor rgb="FF60FF60"/>
        <bgColor rgb="FF60FF60"/>
      </patternFill>
    </fill>
    <fill>
      <patternFill patternType="solid">
        <fgColor rgb="FFFEFFFE"/>
        <bgColor rgb="FFFEFFFE"/>
      </patternFill>
    </fill>
    <fill>
      <patternFill patternType="solid">
        <fgColor rgb="FFE9FFE9"/>
        <bgColor rgb="FFE9FFE9"/>
      </patternFill>
    </fill>
    <fill>
      <patternFill patternType="solid">
        <fgColor rgb="FF54FF54"/>
        <bgColor rgb="FF54FF54"/>
      </patternFill>
    </fill>
    <fill>
      <patternFill patternType="solid">
        <fgColor rgb="FFFFE8E8"/>
        <bgColor rgb="FFFFE8E8"/>
      </patternFill>
    </fill>
    <fill>
      <patternFill patternType="solid">
        <fgColor rgb="FF00FF00"/>
        <bgColor rgb="FF00FF00"/>
      </patternFill>
    </fill>
    <fill>
      <patternFill patternType="solid">
        <fgColor rgb="FF9CFF9C"/>
        <bgColor rgb="FF9CFF9C"/>
      </patternFill>
    </fill>
    <fill>
      <patternFill patternType="solid">
        <fgColor rgb="FFEAFFEA"/>
        <bgColor rgb="FFEAFFEA"/>
      </patternFill>
    </fill>
    <fill>
      <patternFill patternType="solid">
        <fgColor rgb="FF9AFF9A"/>
        <bgColor rgb="FF9AFF9A"/>
      </patternFill>
    </fill>
    <fill>
      <patternFill patternType="solid">
        <fgColor rgb="FFAFFFAF"/>
        <bgColor rgb="FFAFFFAF"/>
      </patternFill>
    </fill>
    <fill>
      <patternFill patternType="solid">
        <fgColor rgb="FF89FF89"/>
        <bgColor rgb="FF89FF89"/>
      </patternFill>
    </fill>
    <fill>
      <patternFill patternType="solid">
        <fgColor rgb="FFADFFAD"/>
        <bgColor rgb="FFADFFAD"/>
      </patternFill>
    </fill>
    <fill>
      <patternFill patternType="solid">
        <fgColor rgb="FFFFEBEB"/>
        <bgColor rgb="FFFFEBEB"/>
      </patternFill>
    </fill>
    <fill>
      <patternFill patternType="solid">
        <fgColor rgb="FFD8FFD8"/>
        <bgColor rgb="FFD8FFD8"/>
      </patternFill>
    </fill>
    <fill>
      <patternFill patternType="solid">
        <fgColor rgb="FFFF8282"/>
        <bgColor rgb="FFFF8282"/>
      </patternFill>
    </fill>
    <fill>
      <patternFill patternType="solid">
        <fgColor rgb="FFFFCCCC"/>
        <bgColor rgb="FFFFCCCC"/>
      </patternFill>
    </fill>
    <fill>
      <patternFill patternType="solid">
        <fgColor rgb="FFD0FFD0"/>
        <bgColor rgb="FFD0FFD0"/>
      </patternFill>
    </fill>
    <fill>
      <patternFill patternType="solid">
        <fgColor rgb="FFCFFFCF"/>
        <bgColor rgb="FFCFFFCF"/>
      </patternFill>
    </fill>
    <fill>
      <patternFill patternType="solid">
        <fgColor rgb="FFA0FFA0"/>
        <bgColor rgb="FFA0FFA0"/>
      </patternFill>
    </fill>
    <fill>
      <patternFill patternType="solid">
        <fgColor rgb="FFFFF7F7"/>
        <bgColor rgb="FFFFF7F7"/>
      </patternFill>
    </fill>
    <fill>
      <patternFill patternType="solid">
        <fgColor rgb="FFFFB9B9"/>
        <bgColor rgb="FFFFB9B9"/>
      </patternFill>
    </fill>
    <fill>
      <patternFill patternType="solid">
        <fgColor rgb="FFA3FFA3"/>
        <bgColor rgb="FFA3FFA3"/>
      </patternFill>
    </fill>
    <fill>
      <patternFill patternType="solid">
        <fgColor rgb="FFFF9191"/>
        <bgColor rgb="FFFF9191"/>
      </patternFill>
    </fill>
    <fill>
      <patternFill patternType="solid">
        <fgColor rgb="FFFFC1C1"/>
        <bgColor rgb="FFFFC1C1"/>
      </patternFill>
    </fill>
    <fill>
      <patternFill patternType="solid">
        <fgColor rgb="FF8FFF8F"/>
        <bgColor rgb="FF8FFF8F"/>
      </patternFill>
    </fill>
    <fill>
      <patternFill patternType="solid">
        <fgColor rgb="FF7FFF7F"/>
        <bgColor rgb="FF7FFF7F"/>
      </patternFill>
    </fill>
    <fill>
      <patternFill patternType="solid">
        <fgColor rgb="FFA5FFA5"/>
        <bgColor rgb="FFA5FFA5"/>
      </patternFill>
    </fill>
    <fill>
      <patternFill patternType="solid">
        <fgColor rgb="FFA1FFA1"/>
        <bgColor rgb="FFA1FFA1"/>
      </patternFill>
    </fill>
    <fill>
      <patternFill patternType="solid">
        <fgColor rgb="FFFF0303"/>
        <bgColor rgb="FFFF0303"/>
      </patternFill>
    </fill>
    <fill>
      <patternFill patternType="solid">
        <fgColor rgb="FFFF7474"/>
        <bgColor rgb="FFFF7474"/>
      </patternFill>
    </fill>
    <fill>
      <patternFill patternType="solid">
        <fgColor rgb="FFDBFFDB"/>
        <bgColor rgb="FFDBFFDB"/>
      </patternFill>
    </fill>
    <fill>
      <patternFill patternType="solid">
        <fgColor rgb="FF5DFF5D"/>
        <bgColor rgb="FF5DFF5D"/>
      </patternFill>
    </fill>
    <fill>
      <patternFill patternType="solid">
        <fgColor rgb="FFE1FFE1"/>
        <bgColor rgb="FFE1FFE1"/>
      </patternFill>
    </fill>
    <fill>
      <patternFill patternType="solid">
        <fgColor rgb="FFF5FFF5"/>
        <bgColor rgb="FFF5FFF5"/>
      </patternFill>
    </fill>
    <fill>
      <patternFill patternType="solid">
        <fgColor rgb="FF42FF42"/>
        <bgColor rgb="FF42FF42"/>
      </patternFill>
    </fill>
    <fill>
      <patternFill patternType="solid">
        <fgColor rgb="FFFF5757"/>
        <bgColor rgb="FFFF5757"/>
      </patternFill>
    </fill>
    <fill>
      <patternFill patternType="solid">
        <fgColor rgb="FF92FF92"/>
        <bgColor rgb="FF92FF92"/>
      </patternFill>
    </fill>
    <fill>
      <patternFill patternType="solid">
        <fgColor rgb="FFFFAFAF"/>
        <bgColor rgb="FFFFAFAF"/>
      </patternFill>
    </fill>
    <fill>
      <patternFill patternType="solid">
        <fgColor rgb="FFB3FFB3"/>
        <bgColor rgb="FFB3FFB3"/>
      </patternFill>
    </fill>
    <fill>
      <patternFill patternType="solid">
        <fgColor rgb="FFD1FFD1"/>
        <bgColor rgb="FFD1FFD1"/>
      </patternFill>
    </fill>
    <fill>
      <patternFill patternType="solid">
        <fgColor rgb="FFFFFAFA"/>
        <bgColor rgb="FFFFFAFA"/>
      </patternFill>
    </fill>
    <fill>
      <patternFill patternType="solid">
        <fgColor rgb="FFFFF3F3"/>
        <bgColor rgb="FFFFF3F3"/>
      </patternFill>
    </fill>
    <fill>
      <patternFill patternType="solid">
        <fgColor rgb="FFD6FFD6"/>
        <bgColor rgb="FFD6FFD6"/>
      </patternFill>
    </fill>
    <fill>
      <patternFill patternType="solid">
        <fgColor rgb="FFFF9E9E"/>
        <bgColor rgb="FFFF9E9E"/>
      </patternFill>
    </fill>
    <fill>
      <patternFill patternType="solid">
        <fgColor rgb="FFF2FFF2"/>
        <bgColor rgb="FFF2FFF2"/>
      </patternFill>
    </fill>
    <fill>
      <patternFill patternType="solid">
        <fgColor rgb="FFC3FFC3"/>
        <bgColor rgb="FFC3FFC3"/>
      </patternFill>
    </fill>
    <fill>
      <patternFill patternType="solid">
        <fgColor rgb="FF35FF35"/>
        <bgColor rgb="FF35FF35"/>
      </patternFill>
    </fill>
    <fill>
      <patternFill patternType="solid">
        <fgColor rgb="FFFFBEBE"/>
        <bgColor rgb="FFFFBEBE"/>
      </patternFill>
    </fill>
    <fill>
      <patternFill patternType="solid">
        <fgColor rgb="FFFCFFFC"/>
        <bgColor rgb="FFFCFFFC"/>
      </patternFill>
    </fill>
    <fill>
      <patternFill patternType="solid">
        <fgColor rgb="FFCEFFCE"/>
        <bgColor rgb="FFCEFFCE"/>
      </patternFill>
    </fill>
    <fill>
      <patternFill patternType="solid">
        <fgColor rgb="FFFF0000"/>
        <bgColor rgb="FFFF0000"/>
      </patternFill>
    </fill>
    <fill>
      <patternFill patternType="solid">
        <fgColor rgb="FF81FF81"/>
        <bgColor rgb="FF81FF81"/>
      </patternFill>
    </fill>
    <fill>
      <patternFill patternType="solid">
        <fgColor rgb="FF73FF73"/>
        <bgColor rgb="FF73FF73"/>
      </patternFill>
    </fill>
    <fill>
      <patternFill patternType="solid">
        <fgColor rgb="FFFFE5E5"/>
        <bgColor rgb="FFFFE5E5"/>
      </patternFill>
    </fill>
    <fill>
      <patternFill patternType="solid">
        <fgColor rgb="FFFFC5C5"/>
        <bgColor rgb="FFFFC5C5"/>
      </patternFill>
    </fill>
    <fill>
      <patternFill patternType="solid">
        <fgColor rgb="FFF7FFF7"/>
        <bgColor rgb="FFF7FFF7"/>
      </patternFill>
    </fill>
    <fill>
      <patternFill patternType="solid">
        <fgColor rgb="FFFFF6F6"/>
        <bgColor rgb="FFFFF6F6"/>
      </patternFill>
    </fill>
    <fill>
      <patternFill patternType="solid">
        <fgColor rgb="FFFF6565"/>
        <bgColor rgb="FFFF6565"/>
      </patternFill>
    </fill>
    <fill>
      <patternFill patternType="solid">
        <fgColor rgb="FF5AFF5A"/>
        <bgColor rgb="FF5AFF5A"/>
      </patternFill>
    </fill>
    <fill>
      <patternFill patternType="solid">
        <fgColor rgb="FF6CFF6C"/>
        <bgColor rgb="FF6CFF6C"/>
      </patternFill>
    </fill>
    <fill>
      <patternFill patternType="solid">
        <fgColor rgb="FFFFBDBD"/>
        <bgColor rgb="FFFFBDBD"/>
      </patternFill>
    </fill>
    <fill>
      <patternFill patternType="solid">
        <fgColor rgb="FFD7FFD7"/>
        <bgColor rgb="FFD7FFD7"/>
      </patternFill>
    </fill>
    <fill>
      <patternFill patternType="solid">
        <fgColor rgb="FF24FF24"/>
        <bgColor rgb="FF24FF24"/>
      </patternFill>
    </fill>
    <fill>
      <patternFill patternType="solid">
        <fgColor rgb="FFFFBABA"/>
        <bgColor rgb="FFFFBABA"/>
      </patternFill>
    </fill>
    <fill>
      <patternFill patternType="solid">
        <fgColor rgb="FFFF8989"/>
        <bgColor rgb="FFFF8989"/>
      </patternFill>
    </fill>
    <fill>
      <patternFill patternType="solid">
        <fgColor rgb="FF75FF75"/>
        <bgColor rgb="FF75FF75"/>
      </patternFill>
    </fill>
    <fill>
      <patternFill patternType="solid">
        <fgColor rgb="FFFF4444"/>
        <bgColor rgb="FFFF4444"/>
      </patternFill>
    </fill>
  </fills>
  <borders count="48">
    <border/>
    <border>
      <left style="thin">
        <color rgb="FF000000"/>
      </left>
      <right style="thin">
        <color rgb="FF000000"/>
      </right>
    </border>
    <border>
      <left style="thick">
        <color rgb="FF666666"/>
      </left>
      <right style="thick">
        <color rgb="FF666666"/>
      </right>
      <top style="thick">
        <color rgb="FF666666"/>
      </top>
      <bottom style="thick">
        <color rgb="FF666666"/>
      </bottom>
    </border>
    <border>
      <left style="medium">
        <color rgb="FF666666"/>
      </left>
      <right style="medium">
        <color rgb="FF666666"/>
      </right>
      <top style="medium">
        <color rgb="FF666666"/>
      </top>
      <bottom style="medium">
        <color rgb="FF666666"/>
      </bottom>
    </border>
    <border>
      <left style="medium">
        <color rgb="FF666666"/>
      </left>
      <top style="medium">
        <color rgb="FF666666"/>
      </top>
      <bottom style="medium">
        <color rgb="FF666666"/>
      </bottom>
    </border>
    <border>
      <top style="medium">
        <color rgb="FF666666"/>
      </top>
      <bottom style="medium">
        <color rgb="FF666666"/>
      </bottom>
    </border>
    <border>
      <right style="medium">
        <color rgb="FF666666"/>
      </right>
      <top style="medium">
        <color rgb="FF666666"/>
      </top>
      <bottom style="medium">
        <color rgb="FF666666"/>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666666"/>
      </left>
    </border>
    <border>
      <right style="medium">
        <color rgb="FF666666"/>
      </right>
    </border>
    <border>
      <left style="medium">
        <color rgb="FF666666"/>
      </left>
      <right style="medium">
        <color rgb="FF666666"/>
      </right>
    </border>
    <border>
      <left style="thick">
        <color rgb="FF666666"/>
      </left>
      <top style="thick">
        <color rgb="FF666666"/>
      </top>
      <bottom style="thick">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FFFFFF"/>
      </left>
      <bottom style="medium">
        <color rgb="FFFFFFFF"/>
      </bottom>
    </border>
    <border>
      <left style="medium">
        <color rgb="FFFFFFFF"/>
      </left>
      <right style="medium">
        <color rgb="FFFFFFFF"/>
      </right>
      <bottom style="medium">
        <color rgb="FFFFFFFF"/>
      </bottom>
    </border>
    <border>
      <left style="medium">
        <color rgb="FFFFFFFF"/>
      </left>
      <top style="medium">
        <color rgb="FFFFFFFF"/>
      </top>
    </border>
    <border>
      <right style="medium">
        <color rgb="FFFFFFFF"/>
      </right>
      <top style="medium">
        <color rgb="FFFFFFFF"/>
      </top>
    </border>
    <border>
      <right style="medium">
        <color rgb="FFFFFFFF"/>
      </right>
      <bottom style="medium">
        <color rgb="FFFFFFFF"/>
      </bottom>
    </border>
    <border>
      <bottom style="medium">
        <color rgb="FFFFFFFF"/>
      </bottom>
    </border>
    <border>
      <left style="medium">
        <color rgb="FFFFFFFF"/>
      </left>
    </border>
    <border>
      <left style="medium">
        <color rgb="FFFFFFFF"/>
      </left>
      <right style="medium">
        <color rgb="FFFFFFFF"/>
      </right>
    </border>
    <border>
      <right style="medium">
        <color rgb="FFFFFFFF"/>
      </right>
    </border>
    <border>
      <left style="medium">
        <color rgb="FF666666"/>
      </left>
      <bottom style="medium">
        <color rgb="FF666666"/>
      </bottom>
    </border>
    <border>
      <left style="medium">
        <color rgb="FF666666"/>
      </left>
      <right style="medium">
        <color rgb="FF666666"/>
      </right>
      <bottom style="medium">
        <color rgb="FF666666"/>
      </bottom>
    </border>
    <border>
      <left style="thick">
        <color rgb="FF666666"/>
      </left>
      <right style="medium">
        <color rgb="FF666666"/>
      </right>
      <top style="thick">
        <color rgb="FF666666"/>
      </top>
    </border>
    <border>
      <left style="medium">
        <color rgb="FF666666"/>
      </left>
      <right style="medium">
        <color rgb="FF666666"/>
      </right>
      <top style="thick">
        <color rgb="FF666666"/>
      </top>
    </border>
    <border>
      <left style="medium">
        <color rgb="FF666666"/>
      </left>
      <top style="thick">
        <color rgb="FF666666"/>
      </top>
    </border>
    <border>
      <left style="medium">
        <color rgb="FF666666"/>
      </left>
      <right style="thick">
        <color rgb="FF666666"/>
      </right>
      <top style="thick">
        <color rgb="FF666666"/>
      </top>
    </border>
    <border>
      <left style="thick">
        <color rgb="FF666666"/>
      </left>
      <right style="medium">
        <color rgb="FF666666"/>
      </right>
      <top style="thick">
        <color rgb="FF666666"/>
      </top>
      <bottom style="medium">
        <color rgb="FF666666"/>
      </bottom>
    </border>
    <border>
      <left style="medium">
        <color rgb="FF666666"/>
      </left>
      <top style="thick">
        <color rgb="FF666666"/>
      </top>
      <bottom style="medium">
        <color rgb="FF666666"/>
      </bottom>
    </border>
    <border>
      <left style="medium">
        <color rgb="FF666666"/>
      </left>
      <right style="medium">
        <color rgb="FF666666"/>
      </right>
      <top style="thick">
        <color rgb="FF666666"/>
      </top>
      <bottom style="medium">
        <color rgb="FF666666"/>
      </bottom>
    </border>
    <border>
      <left style="medium">
        <color rgb="FF666666"/>
      </left>
      <right style="thick">
        <color rgb="FF666666"/>
      </right>
      <top style="thick">
        <color rgb="FF666666"/>
      </top>
      <bottom style="medium">
        <color rgb="FF666666"/>
      </bottom>
    </border>
    <border>
      <left style="medium">
        <color rgb="FF666666"/>
      </left>
      <right style="thick">
        <color rgb="FF666666"/>
      </right>
      <top style="medium">
        <color rgb="FF666666"/>
      </top>
      <bottom style="medium">
        <color rgb="FF666666"/>
      </bottom>
    </border>
    <border>
      <left style="medium">
        <color rgb="FF434343"/>
      </left>
      <right style="medium">
        <color rgb="FF434343"/>
      </right>
      <top style="medium">
        <color rgb="FF434343"/>
      </top>
      <bottom style="medium">
        <color rgb="FF434343"/>
      </bottom>
    </border>
    <border>
      <left style="thin">
        <color rgb="FF000000"/>
      </left>
      <right style="thin">
        <color rgb="FF000000"/>
      </right>
      <top style="thin">
        <color rgb="FF000000"/>
      </top>
      <bottom style="thin">
        <color rgb="FF000000"/>
      </bottom>
    </border>
    <border>
      <left style="medium">
        <color rgb="FF434343"/>
      </left>
      <top style="medium">
        <color rgb="FF434343"/>
      </top>
      <bottom style="medium">
        <color rgb="FF434343"/>
      </bottom>
    </border>
    <border>
      <right style="medium">
        <color rgb="FF434343"/>
      </right>
      <top style="medium">
        <color rgb="FF434343"/>
      </top>
      <bottom style="medium">
        <color rgb="FF434343"/>
      </bottom>
    </border>
    <border>
      <left style="medium">
        <color rgb="FF434343"/>
      </left>
      <top style="medium">
        <color rgb="FF434343"/>
      </top>
    </border>
    <border>
      <right style="medium">
        <color rgb="FF434343"/>
      </right>
      <top style="medium">
        <color rgb="FF434343"/>
      </top>
    </border>
    <border>
      <left style="medium">
        <color rgb="FF434343"/>
      </left>
      <right style="medium">
        <color rgb="FF434343"/>
      </right>
      <top style="medium">
        <color rgb="FF434343"/>
      </top>
    </border>
    <border>
      <left style="medium">
        <color rgb="FF666666"/>
      </left>
      <top style="medium">
        <color rgb="FF666666"/>
      </top>
      <bottom style="thick">
        <color rgb="FF666666"/>
      </bottom>
    </border>
    <border>
      <left style="medium">
        <color rgb="FF666666"/>
      </left>
      <right style="medium">
        <color rgb="FF666666"/>
      </right>
      <top style="medium">
        <color rgb="FF666666"/>
      </top>
      <bottom style="thick">
        <color rgb="FF666666"/>
      </bottom>
    </border>
    <border>
      <left style="medium">
        <color rgb="FF666666"/>
      </left>
      <right style="thick">
        <color rgb="FF666666"/>
      </right>
      <top style="medium">
        <color rgb="FF666666"/>
      </top>
      <bottom style="thick">
        <color rgb="FF666666"/>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0" fillId="2" fontId="1" numFmtId="4" xfId="0" applyFill="1" applyFont="1" applyNumberFormat="1"/>
    <xf borderId="0" fillId="2" fontId="1" numFmtId="0" xfId="0" applyFill="1" applyFont="1"/>
    <xf borderId="0" fillId="2" fontId="1" numFmtId="0" xfId="0" applyAlignment="1" applyFill="1" applyFont="1">
      <alignment readingOrder="0"/>
    </xf>
    <xf borderId="0" fillId="2" fontId="2" numFmtId="0" xfId="0" applyFill="1" applyFont="1"/>
    <xf borderId="0" fillId="0" fontId="3" numFmtId="0" xfId="0" applyAlignment="1" applyFont="1">
      <alignment readingOrder="0"/>
    </xf>
    <xf borderId="1" fillId="3" fontId="4" numFmtId="0" xfId="0" applyAlignment="1" applyBorder="1" applyFill="1" applyFont="1">
      <alignment horizontal="center" readingOrder="0"/>
    </xf>
    <xf borderId="1" fillId="3" fontId="5" numFmtId="0" xfId="0" applyAlignment="1" applyBorder="1" applyFill="1" applyFont="1">
      <alignment horizontal="center" readingOrder="0"/>
    </xf>
    <xf borderId="0" fillId="2" fontId="6" numFmtId="4" xfId="0" applyAlignment="1" applyFill="1" applyFont="1" applyNumberFormat="1">
      <alignment readingOrder="0"/>
    </xf>
    <xf borderId="1" fillId="3" fontId="5" numFmtId="164" xfId="0" applyAlignment="1" applyBorder="1" applyFill="1" applyFont="1" applyNumberFormat="1">
      <alignment horizontal="center" readingOrder="0"/>
    </xf>
    <xf borderId="2" fillId="2" fontId="6" numFmtId="4" xfId="0" applyAlignment="1" applyBorder="1" applyFill="1" applyFont="1" applyNumberFormat="1">
      <alignment readingOrder="0"/>
    </xf>
    <xf borderId="2" fillId="2" fontId="6" numFmtId="0" xfId="0" applyAlignment="1" applyBorder="1" applyFill="1" applyFont="1">
      <alignment readingOrder="0"/>
    </xf>
    <xf borderId="1" fillId="4" fontId="4" numFmtId="0" xfId="0" applyAlignment="1" applyBorder="1" applyFill="1" applyFont="1">
      <alignment horizontal="center" readingOrder="0" vertical="bottom"/>
    </xf>
    <xf borderId="0" fillId="2" fontId="1" numFmtId="3" xfId="0" applyAlignment="1" applyFill="1" applyFont="1" applyNumberFormat="1">
      <alignment readingOrder="0"/>
    </xf>
    <xf borderId="2" fillId="2" fontId="1" numFmtId="3" xfId="0" applyAlignment="1" applyBorder="1" applyFill="1" applyFont="1" applyNumberFormat="1">
      <alignment readingOrder="0"/>
    </xf>
    <xf borderId="0" fillId="2" fontId="2" numFmtId="0" xfId="0" applyAlignment="1" applyFill="1" applyFont="1">
      <alignment readingOrder="0"/>
    </xf>
    <xf borderId="0" fillId="2" fontId="2" numFmtId="0" xfId="0" applyAlignment="1" applyFill="1" applyFont="1">
      <alignment horizontal="center" readingOrder="0"/>
    </xf>
    <xf borderId="0" fillId="2" fontId="2" numFmtId="0" xfId="0" applyAlignment="1" applyFill="1" applyFont="1">
      <alignment horizontal="center"/>
    </xf>
    <xf borderId="0" fillId="2" fontId="6" numFmtId="0" xfId="0" applyAlignment="1" applyFill="1" applyFont="1">
      <alignment readingOrder="0"/>
    </xf>
    <xf borderId="0" fillId="2" fontId="6" numFmtId="0" xfId="0" applyAlignment="1" applyFill="1" applyFont="1">
      <alignment horizontal="center" readingOrder="0"/>
    </xf>
    <xf borderId="0" fillId="2" fontId="6" numFmtId="0" xfId="0" applyAlignment="1" applyFill="1" applyFont="1">
      <alignment horizontal="left" readingOrder="0"/>
    </xf>
    <xf borderId="2" fillId="2" fontId="1" numFmtId="0" xfId="0" applyAlignment="1" applyBorder="1" applyFill="1" applyFont="1">
      <alignment readingOrder="0"/>
    </xf>
    <xf borderId="1" fillId="0" fontId="7" numFmtId="0" xfId="0" applyAlignment="1" applyBorder="1" applyFont="1">
      <alignment horizontal="center" readingOrder="0" vertical="bottom"/>
    </xf>
    <xf borderId="0" fillId="2" fontId="3" numFmtId="0" xfId="0" applyFill="1" applyFont="1"/>
    <xf borderId="0" fillId="5" fontId="8" numFmtId="0" xfId="0" applyFill="1" applyFont="1"/>
    <xf borderId="0" fillId="5" fontId="9" numFmtId="0" xfId="0" applyAlignment="1" applyFill="1" applyFont="1">
      <alignment horizontal="center"/>
    </xf>
    <xf borderId="0" fillId="0" fontId="3" numFmtId="2" xfId="0" applyFont="1" applyNumberFormat="1"/>
    <xf borderId="0" fillId="2" fontId="9" numFmtId="0" xfId="0" applyAlignment="1" applyFill="1" applyFont="1">
      <alignment horizontal="center"/>
    </xf>
    <xf borderId="0" fillId="2" fontId="8" numFmtId="0" xfId="0" applyFill="1" applyFont="1"/>
    <xf borderId="0" fillId="5" fontId="10" numFmtId="0" xfId="0" applyAlignment="1" applyFill="1" applyFont="1">
      <alignment readingOrder="0"/>
    </xf>
    <xf borderId="3" fillId="2" fontId="6" numFmtId="0" xfId="0" applyAlignment="1" applyBorder="1" applyFill="1" applyFont="1">
      <alignment horizontal="center" readingOrder="0"/>
    </xf>
    <xf borderId="4" fillId="2" fontId="6" numFmtId="0" xfId="0" applyAlignment="1" applyBorder="1" applyFill="1" applyFont="1">
      <alignment horizontal="center" readingOrder="0"/>
    </xf>
    <xf borderId="3" fillId="2" fontId="11" numFmtId="0" xfId="0" applyAlignment="1" applyBorder="1" applyFill="1" applyFont="1">
      <alignment readingOrder="0"/>
    </xf>
    <xf borderId="5" fillId="2" fontId="12" numFmtId="0" xfId="0" applyAlignment="1" applyBorder="1" applyFill="1" applyFont="1">
      <alignment horizontal="center"/>
    </xf>
    <xf borderId="6" fillId="0" fontId="3" numFmtId="0" xfId="0" applyBorder="1" applyFont="1"/>
    <xf borderId="4" fillId="2" fontId="12" numFmtId="0" xfId="0" applyAlignment="1" applyBorder="1" applyFill="1" applyFont="1">
      <alignment horizontal="center"/>
    </xf>
    <xf borderId="0" fillId="0" fontId="13" numFmtId="0" xfId="0" applyAlignment="1" applyFont="1">
      <alignment readingOrder="0"/>
    </xf>
    <xf borderId="0" fillId="0" fontId="14" numFmtId="0" xfId="0" applyAlignment="1" applyFont="1">
      <alignment vertical="bottom"/>
    </xf>
    <xf borderId="0" fillId="0" fontId="14" numFmtId="0" xfId="0" applyAlignment="1" applyFont="1">
      <alignment readingOrder="0" vertical="bottom"/>
    </xf>
    <xf borderId="0" fillId="0" fontId="15" numFmtId="0" xfId="0" applyAlignment="1" applyFont="1">
      <alignment readingOrder="0"/>
    </xf>
    <xf borderId="0" fillId="0" fontId="16" numFmtId="0" xfId="0" applyFont="1"/>
    <xf borderId="0" fillId="0" fontId="15" numFmtId="2" xfId="0" applyAlignment="1" applyFont="1" applyNumberFormat="1">
      <alignment horizontal="right" vertical="bottom"/>
    </xf>
    <xf borderId="3" fillId="2" fontId="12" numFmtId="0" xfId="0" applyAlignment="1" applyBorder="1" applyFill="1" applyFont="1">
      <alignment horizontal="center"/>
    </xf>
    <xf borderId="0" fillId="2" fontId="17" numFmtId="0" xfId="0" applyAlignment="1" applyFill="1" applyFont="1">
      <alignment horizontal="center" readingOrder="0"/>
    </xf>
    <xf borderId="7" fillId="2" fontId="17" numFmtId="0" xfId="0" applyAlignment="1" applyBorder="1" applyFill="1" applyFont="1">
      <alignment horizontal="center" readingOrder="0"/>
    </xf>
    <xf borderId="8" fillId="2" fontId="18" numFmtId="0" xfId="0" applyAlignment="1" applyBorder="1" applyFill="1" applyFont="1">
      <alignment horizontal="center" readingOrder="0"/>
    </xf>
    <xf borderId="3" fillId="2" fontId="3" numFmtId="0" xfId="0" applyAlignment="1" applyBorder="1" applyFill="1" applyFont="1">
      <alignment horizontal="center" readingOrder="0"/>
    </xf>
    <xf borderId="0" fillId="2" fontId="2" numFmtId="4" xfId="0" applyAlignment="1" applyFill="1" applyFont="1" applyNumberFormat="1">
      <alignment readingOrder="0"/>
    </xf>
    <xf borderId="0" fillId="2" fontId="2" numFmtId="4" xfId="0" applyFill="1" applyFont="1" applyNumberFormat="1"/>
    <xf borderId="3" fillId="6" fontId="19" numFmtId="2" xfId="0" applyAlignment="1" applyBorder="1" applyFill="1" applyFont="1" applyNumberFormat="1">
      <alignment horizontal="center" vertical="bottom"/>
    </xf>
    <xf borderId="2" fillId="2" fontId="11" numFmtId="0" xfId="0" applyAlignment="1" applyBorder="1" applyFill="1" applyFont="1">
      <alignment readingOrder="0"/>
    </xf>
    <xf borderId="3" fillId="7" fontId="19" numFmtId="2" xfId="0" applyAlignment="1" applyBorder="1" applyFill="1" applyFont="1" applyNumberFormat="1">
      <alignment horizontal="center" vertical="bottom"/>
    </xf>
    <xf borderId="3" fillId="8" fontId="19" numFmtId="2" xfId="0" applyAlignment="1" applyBorder="1" applyFill="1" applyFont="1" applyNumberFormat="1">
      <alignment horizontal="center" vertical="bottom"/>
    </xf>
    <xf borderId="0" fillId="5" fontId="20" numFmtId="2" xfId="0" applyFill="1" applyFont="1" applyNumberFormat="1"/>
    <xf borderId="3" fillId="9" fontId="19" numFmtId="2" xfId="0" applyAlignment="1" applyBorder="1" applyFill="1" applyFont="1" applyNumberFormat="1">
      <alignment horizontal="center" vertical="bottom"/>
    </xf>
    <xf borderId="0" fillId="5" fontId="21" numFmtId="2" xfId="0" applyFill="1" applyFont="1" applyNumberFormat="1"/>
    <xf borderId="3" fillId="10" fontId="19" numFmtId="2" xfId="0" applyAlignment="1" applyBorder="1" applyFill="1" applyFont="1" applyNumberFormat="1">
      <alignment horizontal="center" vertical="bottom"/>
    </xf>
    <xf borderId="3" fillId="2" fontId="19" numFmtId="2" xfId="0" applyAlignment="1" applyBorder="1" applyFill="1" applyFont="1" applyNumberFormat="1">
      <alignment horizontal="center" vertical="bottom"/>
    </xf>
    <xf borderId="3" fillId="11" fontId="19" numFmtId="2" xfId="0" applyAlignment="1" applyBorder="1" applyFill="1" applyFont="1" applyNumberFormat="1">
      <alignment horizontal="center" vertical="bottom"/>
    </xf>
    <xf borderId="2" fillId="2" fontId="1" numFmtId="0" xfId="0" applyAlignment="1" applyBorder="1" applyFill="1" applyFont="1">
      <alignment horizontal="center"/>
    </xf>
    <xf borderId="3" fillId="12" fontId="19" numFmtId="2" xfId="0" applyAlignment="1" applyBorder="1" applyFill="1" applyFont="1" applyNumberFormat="1">
      <alignment horizontal="center" vertical="bottom"/>
    </xf>
    <xf borderId="2" fillId="2" fontId="1" numFmtId="3" xfId="0" applyAlignment="1" applyBorder="1" applyFill="1" applyFont="1" applyNumberFormat="1">
      <alignment horizontal="center" readingOrder="0"/>
    </xf>
    <xf borderId="3" fillId="5" fontId="9" numFmtId="0" xfId="0" applyAlignment="1" applyBorder="1" applyFill="1" applyFont="1">
      <alignment horizontal="center" vertical="bottom"/>
    </xf>
    <xf borderId="3" fillId="13" fontId="19" numFmtId="165" xfId="0" applyAlignment="1" applyBorder="1" applyFill="1" applyFont="1" applyNumberFormat="1">
      <alignment horizontal="center" vertical="bottom"/>
    </xf>
    <xf borderId="3" fillId="2" fontId="15" numFmtId="2" xfId="0" applyAlignment="1" applyBorder="1" applyFill="1" applyFont="1" applyNumberFormat="1">
      <alignment vertical="bottom"/>
    </xf>
    <xf borderId="9" fillId="2" fontId="22" numFmtId="0" xfId="0" applyAlignment="1" applyBorder="1" applyFill="1" applyFont="1">
      <alignment shrinkToFit="0" wrapText="0"/>
    </xf>
    <xf borderId="10" fillId="0" fontId="3" numFmtId="0" xfId="0" applyBorder="1" applyFont="1"/>
    <xf borderId="2" fillId="2" fontId="1" numFmtId="3" xfId="0" applyAlignment="1" applyBorder="1" applyFill="1" applyFont="1" applyNumberFormat="1">
      <alignment horizontal="center"/>
    </xf>
    <xf borderId="9" fillId="2" fontId="22" numFmtId="4" xfId="0" applyAlignment="1" applyBorder="1" applyFill="1" applyFont="1" applyNumberFormat="1">
      <alignment shrinkToFit="0" wrapText="0"/>
    </xf>
    <xf borderId="11" fillId="2" fontId="23" numFmtId="0" xfId="0" applyBorder="1" applyFill="1" applyFont="1"/>
    <xf borderId="11" fillId="2" fontId="22" numFmtId="4" xfId="0" applyBorder="1" applyFill="1" applyFont="1" applyNumberFormat="1"/>
    <xf borderId="11" fillId="2" fontId="2" numFmtId="0" xfId="0" applyBorder="1" applyFill="1" applyFont="1"/>
    <xf borderId="3" fillId="14" fontId="19" numFmtId="2" xfId="0" applyAlignment="1" applyBorder="1" applyFill="1" applyFont="1" applyNumberFormat="1">
      <alignment horizontal="center" vertical="bottom"/>
    </xf>
    <xf borderId="3" fillId="15" fontId="19" numFmtId="2" xfId="0" applyAlignment="1" applyBorder="1" applyFill="1" applyFont="1" applyNumberFormat="1">
      <alignment horizontal="center" vertical="bottom"/>
    </xf>
    <xf borderId="3" fillId="16" fontId="19" numFmtId="2" xfId="0" applyAlignment="1" applyBorder="1" applyFill="1" applyFont="1" applyNumberFormat="1">
      <alignment horizontal="center" vertical="bottom"/>
    </xf>
    <xf borderId="3" fillId="17" fontId="19" numFmtId="2" xfId="0" applyAlignment="1" applyBorder="1" applyFill="1" applyFont="1" applyNumberFormat="1">
      <alignment horizontal="center" vertical="bottom"/>
    </xf>
    <xf borderId="3" fillId="18" fontId="19" numFmtId="2" xfId="0" applyAlignment="1" applyBorder="1" applyFill="1" applyFont="1" applyNumberFormat="1">
      <alignment horizontal="center" vertical="bottom"/>
    </xf>
    <xf borderId="3" fillId="19" fontId="19" numFmtId="2" xfId="0" applyAlignment="1" applyBorder="1" applyFill="1" applyFont="1" applyNumberFormat="1">
      <alignment horizontal="center" vertical="bottom"/>
    </xf>
    <xf borderId="3" fillId="20" fontId="19" numFmtId="2" xfId="0" applyAlignment="1" applyBorder="1" applyFill="1" applyFont="1" applyNumberFormat="1">
      <alignment horizontal="center" vertical="bottom"/>
    </xf>
    <xf borderId="3" fillId="21" fontId="19" numFmtId="2" xfId="0" applyAlignment="1" applyBorder="1" applyFill="1" applyFont="1" applyNumberFormat="1">
      <alignment horizontal="center" vertical="bottom"/>
    </xf>
    <xf borderId="12" fillId="2" fontId="1" numFmtId="3" xfId="0" applyAlignment="1" applyBorder="1" applyFill="1" applyFont="1" applyNumberFormat="1">
      <alignment horizontal="center"/>
    </xf>
    <xf borderId="2" fillId="2" fontId="1" numFmtId="4" xfId="0" applyAlignment="1" applyBorder="1" applyFill="1" applyFont="1" applyNumberFormat="1">
      <alignment horizontal="center" vertical="bottom"/>
    </xf>
    <xf borderId="2" fillId="2" fontId="24" numFmtId="0" xfId="0" applyAlignment="1" applyBorder="1" applyFill="1" applyFont="1">
      <alignment vertical="bottom"/>
    </xf>
    <xf borderId="2" fillId="2" fontId="1" numFmtId="0" xfId="0" applyAlignment="1" applyBorder="1" applyFill="1" applyFont="1">
      <alignment horizontal="center" vertical="bottom"/>
    </xf>
    <xf borderId="3" fillId="22" fontId="19" numFmtId="165" xfId="0" applyAlignment="1" applyBorder="1" applyFill="1" applyFont="1" applyNumberFormat="1">
      <alignment horizontal="center" vertical="bottom"/>
    </xf>
    <xf borderId="2" fillId="2" fontId="1" numFmtId="3" xfId="0" applyAlignment="1" applyBorder="1" applyFill="1" applyFont="1" applyNumberFormat="1">
      <alignment horizontal="center" vertical="bottom"/>
    </xf>
    <xf borderId="0" fillId="2" fontId="3" numFmtId="0" xfId="0" applyAlignment="1" applyFill="1" applyFont="1">
      <alignment horizontal="center" readingOrder="0"/>
    </xf>
    <xf borderId="7" fillId="2" fontId="3" numFmtId="0" xfId="0" applyAlignment="1" applyBorder="1" applyFill="1" applyFont="1">
      <alignment horizontal="center" readingOrder="0"/>
    </xf>
    <xf borderId="8" fillId="0" fontId="3" numFmtId="0" xfId="0" applyBorder="1" applyFont="1"/>
    <xf borderId="3" fillId="23" fontId="19" numFmtId="2" xfId="0" applyAlignment="1" applyBorder="1" applyFill="1" applyFont="1" applyNumberFormat="1">
      <alignment horizontal="center" vertical="bottom"/>
    </xf>
    <xf borderId="3" fillId="24" fontId="19" numFmtId="2" xfId="0" applyAlignment="1" applyBorder="1" applyFill="1" applyFont="1" applyNumberFormat="1">
      <alignment horizontal="center" vertical="bottom"/>
    </xf>
    <xf borderId="3" fillId="25" fontId="19" numFmtId="2" xfId="0" applyAlignment="1" applyBorder="1" applyFill="1" applyFont="1" applyNumberFormat="1">
      <alignment horizontal="center" vertical="bottom"/>
    </xf>
    <xf borderId="3" fillId="26" fontId="19" numFmtId="2" xfId="0" applyAlignment="1" applyBorder="1" applyFill="1" applyFont="1" applyNumberFormat="1">
      <alignment horizontal="center" vertical="bottom"/>
    </xf>
    <xf borderId="3" fillId="27" fontId="19" numFmtId="2" xfId="0" applyAlignment="1" applyBorder="1" applyFill="1" applyFont="1" applyNumberFormat="1">
      <alignment horizontal="center" vertical="bottom"/>
    </xf>
    <xf borderId="3" fillId="28" fontId="19" numFmtId="2" xfId="0" applyAlignment="1" applyBorder="1" applyFill="1" applyFont="1" applyNumberFormat="1">
      <alignment horizontal="center" vertical="bottom"/>
    </xf>
    <xf borderId="3" fillId="29" fontId="19" numFmtId="2" xfId="0" applyAlignment="1" applyBorder="1" applyFill="1" applyFont="1" applyNumberFormat="1">
      <alignment horizontal="center" vertical="bottom"/>
    </xf>
    <xf borderId="3" fillId="30" fontId="19" numFmtId="2" xfId="0" applyAlignment="1" applyBorder="1" applyFill="1" applyFont="1" applyNumberFormat="1">
      <alignment horizontal="center" vertical="bottom"/>
    </xf>
    <xf borderId="3" fillId="31" fontId="19" numFmtId="2" xfId="0" applyAlignment="1" applyBorder="1" applyFill="1" applyFont="1" applyNumberFormat="1">
      <alignment horizontal="center" vertical="bottom"/>
    </xf>
    <xf borderId="12" fillId="2" fontId="1" numFmtId="3" xfId="0" applyAlignment="1" applyBorder="1" applyFill="1" applyFont="1" applyNumberFormat="1">
      <alignment horizontal="center" vertical="bottom"/>
    </xf>
    <xf borderId="0" fillId="0" fontId="15" numFmtId="2" xfId="0" applyAlignment="1" applyFont="1" applyNumberFormat="1">
      <alignment horizontal="right" readingOrder="0" vertical="bottom"/>
    </xf>
    <xf borderId="3" fillId="32" fontId="9" numFmtId="0" xfId="0" applyAlignment="1" applyBorder="1" applyFill="1" applyFont="1">
      <alignment horizontal="center" vertical="bottom"/>
    </xf>
    <xf borderId="3" fillId="14" fontId="19" numFmtId="165" xfId="0" applyAlignment="1" applyBorder="1" applyFill="1" applyFont="1" applyNumberFormat="1">
      <alignment horizontal="center" vertical="bottom"/>
    </xf>
    <xf borderId="13" fillId="2" fontId="25" numFmtId="0" xfId="0" applyAlignment="1" applyBorder="1" applyFill="1" applyFont="1">
      <alignment readingOrder="0"/>
    </xf>
    <xf borderId="14" fillId="0" fontId="3" numFmtId="0" xfId="0" applyBorder="1" applyFont="1"/>
    <xf borderId="15" fillId="0" fontId="3" numFmtId="0" xfId="0" applyBorder="1" applyFont="1"/>
    <xf borderId="0" fillId="2" fontId="25" numFmtId="0" xfId="0" applyAlignment="1" applyFill="1" applyFont="1">
      <alignment readingOrder="0"/>
    </xf>
    <xf borderId="13" fillId="2" fontId="26" numFmtId="0" xfId="0" applyAlignment="1" applyBorder="1" applyFill="1" applyFont="1">
      <alignment readingOrder="0"/>
    </xf>
    <xf borderId="0" fillId="0" fontId="14" numFmtId="0" xfId="0" applyAlignment="1" applyFont="1">
      <alignment horizontal="right" readingOrder="0" vertical="bottom"/>
    </xf>
    <xf borderId="0" fillId="2" fontId="27" numFmtId="0" xfId="0" applyAlignment="1" applyFill="1" applyFont="1">
      <alignment horizontal="center" readingOrder="0" vertical="bottom"/>
    </xf>
    <xf borderId="16" fillId="33" fontId="27" numFmtId="0" xfId="0" applyAlignment="1" applyBorder="1" applyFill="1" applyFont="1">
      <alignment horizontal="center" readingOrder="0" vertical="bottom"/>
    </xf>
    <xf borderId="17" fillId="34" fontId="28" numFmtId="0" xfId="0" applyAlignment="1" applyBorder="1" applyFill="1" applyFont="1">
      <alignment horizontal="center" readingOrder="0" vertical="bottom"/>
    </xf>
    <xf borderId="3" fillId="35" fontId="19" numFmtId="2" xfId="0" applyAlignment="1" applyBorder="1" applyFill="1" applyFont="1" applyNumberFormat="1">
      <alignment horizontal="center" vertical="bottom"/>
    </xf>
    <xf borderId="0" fillId="0" fontId="15" numFmtId="0" xfId="0" applyAlignment="1" applyFont="1">
      <alignment horizontal="right" readingOrder="0" vertical="bottom"/>
    </xf>
    <xf borderId="3" fillId="36" fontId="19" numFmtId="2" xfId="0" applyAlignment="1" applyBorder="1" applyFill="1" applyFont="1" applyNumberFormat="1">
      <alignment horizontal="center" vertical="bottom"/>
    </xf>
    <xf borderId="0" fillId="0" fontId="14" numFmtId="0" xfId="0" applyAlignment="1" applyFont="1">
      <alignment vertical="bottom"/>
    </xf>
    <xf borderId="3" fillId="37" fontId="19" numFmtId="2" xfId="0" applyAlignment="1" applyBorder="1" applyFill="1" applyFont="1" applyNumberFormat="1">
      <alignment horizontal="center" vertical="bottom"/>
    </xf>
    <xf borderId="3" fillId="38" fontId="19" numFmtId="2" xfId="0" applyAlignment="1" applyBorder="1" applyFill="1" applyFont="1" applyNumberFormat="1">
      <alignment horizontal="center" vertical="bottom"/>
    </xf>
    <xf borderId="3" fillId="39" fontId="19" numFmtId="2" xfId="0" applyAlignment="1" applyBorder="1" applyFill="1" applyFont="1" applyNumberFormat="1">
      <alignment horizontal="center" vertical="bottom"/>
    </xf>
    <xf borderId="3" fillId="40" fontId="19" numFmtId="2" xfId="0" applyAlignment="1" applyBorder="1" applyFill="1" applyFont="1" applyNumberFormat="1">
      <alignment horizontal="center" vertical="bottom"/>
    </xf>
    <xf borderId="3" fillId="41" fontId="19" numFmtId="2" xfId="0" applyAlignment="1" applyBorder="1" applyFill="1" applyFont="1" applyNumberFormat="1">
      <alignment horizontal="center" vertical="bottom"/>
    </xf>
    <xf borderId="3" fillId="42" fontId="19" numFmtId="2" xfId="0" applyAlignment="1" applyBorder="1" applyFill="1" applyFont="1" applyNumberFormat="1">
      <alignment horizontal="center" vertical="bottom"/>
    </xf>
    <xf borderId="3" fillId="43" fontId="19" numFmtId="2" xfId="0" applyAlignment="1" applyBorder="1" applyFill="1" applyFont="1" applyNumberFormat="1">
      <alignment horizontal="center" vertical="bottom"/>
    </xf>
    <xf borderId="3" fillId="44" fontId="19" numFmtId="165" xfId="0" applyAlignment="1" applyBorder="1" applyFill="1" applyFont="1" applyNumberFormat="1">
      <alignment horizontal="center" vertical="bottom"/>
    </xf>
    <xf borderId="0" fillId="0" fontId="15" numFmtId="166" xfId="0" applyAlignment="1" applyFont="1" applyNumberFormat="1">
      <alignment horizontal="right" readingOrder="0" vertical="bottom"/>
    </xf>
    <xf borderId="0" fillId="0" fontId="15" numFmtId="2" xfId="0" applyAlignment="1" applyFont="1" applyNumberFormat="1">
      <alignment horizontal="right" vertical="bottom"/>
    </xf>
    <xf borderId="0" fillId="2" fontId="29" numFmtId="0" xfId="0" applyAlignment="1" applyFill="1" applyFont="1">
      <alignment horizontal="center" readingOrder="0" vertical="center"/>
    </xf>
    <xf borderId="18" fillId="34" fontId="29" numFmtId="0" xfId="0" applyAlignment="1" applyBorder="1" applyFill="1" applyFont="1">
      <alignment horizontal="center" readingOrder="0" vertical="center"/>
    </xf>
    <xf borderId="19" fillId="0" fontId="3" numFmtId="0" xfId="0" applyBorder="1" applyFont="1"/>
    <xf borderId="3" fillId="45" fontId="19" numFmtId="2" xfId="0" applyAlignment="1" applyBorder="1" applyFill="1" applyFont="1" applyNumberFormat="1">
      <alignment horizontal="center" vertical="bottom"/>
    </xf>
    <xf borderId="3" fillId="46" fontId="19" numFmtId="2" xfId="0" applyAlignment="1" applyBorder="1" applyFill="1" applyFont="1" applyNumberFormat="1">
      <alignment horizontal="center" vertical="bottom"/>
    </xf>
    <xf borderId="3" fillId="47" fontId="19" numFmtId="2" xfId="0" applyAlignment="1" applyBorder="1" applyFill="1" applyFont="1" applyNumberFormat="1">
      <alignment horizontal="center" vertical="bottom"/>
    </xf>
    <xf borderId="3" fillId="48" fontId="19" numFmtId="2" xfId="0" applyAlignment="1" applyBorder="1" applyFill="1" applyFont="1" applyNumberFormat="1">
      <alignment horizontal="center" vertical="bottom"/>
    </xf>
    <xf borderId="3" fillId="49" fontId="19" numFmtId="2" xfId="0" applyAlignment="1" applyBorder="1" applyFill="1" applyFont="1" applyNumberFormat="1">
      <alignment horizontal="center" vertical="bottom"/>
    </xf>
    <xf borderId="3" fillId="50" fontId="19" numFmtId="2" xfId="0" applyAlignment="1" applyBorder="1" applyFill="1" applyFont="1" applyNumberFormat="1">
      <alignment horizontal="center" vertical="bottom"/>
    </xf>
    <xf borderId="3" fillId="51" fontId="19" numFmtId="2" xfId="0" applyAlignment="1" applyBorder="1" applyFill="1" applyFont="1" applyNumberFormat="1">
      <alignment horizontal="center" vertical="bottom"/>
    </xf>
    <xf borderId="3" fillId="52" fontId="19" numFmtId="2" xfId="0" applyAlignment="1" applyBorder="1" applyFill="1" applyFont="1" applyNumberFormat="1">
      <alignment horizontal="center" vertical="bottom"/>
    </xf>
    <xf borderId="3" fillId="53" fontId="19" numFmtId="2" xfId="0" applyAlignment="1" applyBorder="1" applyFill="1" applyFont="1" applyNumberFormat="1">
      <alignment horizontal="center" vertical="bottom"/>
    </xf>
    <xf borderId="3" fillId="54" fontId="9" numFmtId="0" xfId="0" applyAlignment="1" applyBorder="1" applyFill="1" applyFont="1">
      <alignment horizontal="center" vertical="bottom"/>
    </xf>
    <xf borderId="3" fillId="55" fontId="19" numFmtId="165" xfId="0" applyAlignment="1" applyBorder="1" applyFill="1" applyFont="1" applyNumberFormat="1">
      <alignment horizontal="center" vertical="bottom"/>
    </xf>
    <xf borderId="0" fillId="2" fontId="24" numFmtId="0" xfId="0" applyAlignment="1" applyFill="1" applyFont="1">
      <alignment horizontal="center"/>
    </xf>
    <xf borderId="18" fillId="2" fontId="24" numFmtId="0" xfId="0" applyAlignment="1" applyBorder="1" applyFill="1" applyFont="1">
      <alignment horizontal="center"/>
    </xf>
    <xf borderId="19" fillId="2" fontId="24" numFmtId="0" xfId="0" applyAlignment="1" applyBorder="1" applyFill="1" applyFont="1">
      <alignment horizontal="center"/>
    </xf>
    <xf borderId="3" fillId="56" fontId="9" numFmtId="2" xfId="0" applyAlignment="1" applyBorder="1" applyFill="1" applyFont="1" applyNumberFormat="1">
      <alignment horizontal="center" vertical="bottom"/>
    </xf>
    <xf borderId="3" fillId="57" fontId="9" numFmtId="2" xfId="0" applyAlignment="1" applyBorder="1" applyFill="1" applyFont="1" applyNumberFormat="1">
      <alignment horizontal="center" vertical="bottom"/>
    </xf>
    <xf borderId="3" fillId="37" fontId="9" numFmtId="2" xfId="0" applyAlignment="1" applyBorder="1" applyFill="1" applyFont="1" applyNumberFormat="1">
      <alignment horizontal="center" vertical="bottom"/>
    </xf>
    <xf borderId="3" fillId="44" fontId="9" numFmtId="2" xfId="0" applyAlignment="1" applyBorder="1" applyFill="1" applyFont="1" applyNumberFormat="1">
      <alignment horizontal="center" vertical="bottom"/>
    </xf>
    <xf borderId="3" fillId="27" fontId="9" numFmtId="2" xfId="0" applyAlignment="1" applyBorder="1" applyFill="1" applyFont="1" applyNumberFormat="1">
      <alignment horizontal="center" vertical="bottom"/>
    </xf>
    <xf borderId="3" fillId="58" fontId="9" numFmtId="2" xfId="0" applyAlignment="1" applyBorder="1" applyFill="1" applyFont="1" applyNumberFormat="1">
      <alignment horizontal="center" vertical="bottom"/>
    </xf>
    <xf borderId="3" fillId="59" fontId="9" numFmtId="2" xfId="0" applyAlignment="1" applyBorder="1" applyFill="1" applyFont="1" applyNumberFormat="1">
      <alignment horizontal="center" vertical="bottom"/>
    </xf>
    <xf borderId="3" fillId="60" fontId="9" numFmtId="2" xfId="0" applyAlignment="1" applyBorder="1" applyFill="1" applyFont="1" applyNumberFormat="1">
      <alignment horizontal="center" vertical="bottom"/>
    </xf>
    <xf borderId="3" fillId="61" fontId="9" numFmtId="2" xfId="0" applyAlignment="1" applyBorder="1" applyFill="1" applyFont="1" applyNumberFormat="1">
      <alignment horizontal="center" vertical="bottom"/>
    </xf>
    <xf borderId="3" fillId="62" fontId="19" numFmtId="165" xfId="0" applyAlignment="1" applyBorder="1" applyFill="1" applyFont="1" applyNumberFormat="1">
      <alignment horizontal="center" vertical="bottom"/>
    </xf>
    <xf borderId="3" fillId="2" fontId="30" numFmtId="2" xfId="0" applyAlignment="1" applyBorder="1" applyFill="1" applyFont="1" applyNumberFormat="1">
      <alignment horizontal="right" vertical="bottom"/>
    </xf>
    <xf borderId="0" fillId="0" fontId="13" numFmtId="0" xfId="0" applyAlignment="1" applyFont="1">
      <alignment horizontal="left" readingOrder="0"/>
    </xf>
    <xf borderId="16" fillId="2" fontId="24" numFmtId="0" xfId="0" applyAlignment="1" applyBorder="1" applyFill="1" applyFont="1">
      <alignment horizontal="center"/>
    </xf>
    <xf borderId="20" fillId="2" fontId="24" numFmtId="0" xfId="0" applyAlignment="1" applyBorder="1" applyFill="1" applyFont="1">
      <alignment horizontal="center"/>
    </xf>
    <xf borderId="3" fillId="63" fontId="19" numFmtId="2" xfId="0" applyAlignment="1" applyBorder="1" applyFill="1" applyFont="1" applyNumberFormat="1">
      <alignment horizontal="center" vertical="bottom"/>
    </xf>
    <xf borderId="3" fillId="62" fontId="19" numFmtId="2" xfId="0" applyAlignment="1" applyBorder="1" applyFill="1" applyFont="1" applyNumberFormat="1">
      <alignment horizontal="center" vertical="bottom"/>
    </xf>
    <xf borderId="3" fillId="64" fontId="19" numFmtId="2" xfId="0" applyAlignment="1" applyBorder="1" applyFill="1" applyFont="1" applyNumberFormat="1">
      <alignment horizontal="center" vertical="bottom"/>
    </xf>
    <xf borderId="3" fillId="65" fontId="19" numFmtId="2" xfId="0" applyAlignment="1" applyBorder="1" applyFill="1" applyFont="1" applyNumberFormat="1">
      <alignment horizontal="center" vertical="bottom"/>
    </xf>
    <xf borderId="3" fillId="66" fontId="19" numFmtId="2" xfId="0" applyAlignment="1" applyBorder="1" applyFill="1" applyFont="1" applyNumberFormat="1">
      <alignment horizontal="center" vertical="bottom"/>
    </xf>
    <xf borderId="3" fillId="67" fontId="19" numFmtId="2" xfId="0" applyAlignment="1" applyBorder="1" applyFill="1" applyFont="1" applyNumberFormat="1">
      <alignment horizontal="center" vertical="bottom"/>
    </xf>
    <xf borderId="3" fillId="68" fontId="19" numFmtId="2" xfId="0" applyAlignment="1" applyBorder="1" applyFill="1" applyFont="1" applyNumberFormat="1">
      <alignment horizontal="center" vertical="bottom"/>
    </xf>
    <xf borderId="3" fillId="69" fontId="9" numFmtId="0" xfId="0" applyAlignment="1" applyBorder="1" applyFill="1" applyFont="1">
      <alignment horizontal="center" vertical="bottom"/>
    </xf>
    <xf borderId="0" fillId="0" fontId="14" numFmtId="0" xfId="0" applyAlignment="1" applyFont="1">
      <alignment readingOrder="0" vertical="bottom"/>
    </xf>
    <xf borderId="0" fillId="0" fontId="14" numFmtId="0" xfId="0" applyAlignment="1" applyFont="1">
      <alignment vertical="bottom"/>
    </xf>
    <xf borderId="0" fillId="0" fontId="14" numFmtId="0" xfId="0" applyAlignment="1" applyFont="1">
      <alignment vertical="bottom"/>
    </xf>
    <xf borderId="0" fillId="2" fontId="15" numFmtId="0" xfId="0" applyAlignment="1" applyFill="1" applyFont="1">
      <alignment vertical="bottom"/>
    </xf>
    <xf borderId="21" fillId="2" fontId="15" numFmtId="0" xfId="0" applyAlignment="1" applyBorder="1" applyFill="1" applyFont="1">
      <alignment vertical="bottom"/>
    </xf>
    <xf borderId="3" fillId="70" fontId="19" numFmtId="2" xfId="0" applyAlignment="1" applyBorder="1" applyFill="1" applyFont="1" applyNumberFormat="1">
      <alignment horizontal="center" vertical="bottom"/>
    </xf>
    <xf borderId="0" fillId="0" fontId="15" numFmtId="0" xfId="0" applyAlignment="1" applyFont="1">
      <alignment vertical="bottom"/>
    </xf>
    <xf borderId="3" fillId="71" fontId="19" numFmtId="2" xfId="0" applyAlignment="1" applyBorder="1" applyFill="1" applyFont="1" applyNumberFormat="1">
      <alignment horizontal="center" vertical="bottom"/>
    </xf>
    <xf borderId="0" fillId="0" fontId="15" numFmtId="0" xfId="0" applyAlignment="1" applyFont="1">
      <alignment horizontal="right" vertical="bottom"/>
    </xf>
    <xf borderId="3" fillId="13" fontId="19" numFmtId="2" xfId="0" applyAlignment="1" applyBorder="1" applyFill="1" applyFont="1" applyNumberFormat="1">
      <alignment horizontal="center" vertical="bottom"/>
    </xf>
    <xf borderId="3" fillId="72" fontId="19" numFmtId="2" xfId="0" applyAlignment="1" applyBorder="1" applyFill="1" applyFont="1" applyNumberFormat="1">
      <alignment horizontal="center" vertical="bottom"/>
    </xf>
    <xf borderId="3" fillId="73" fontId="19" numFmtId="2" xfId="0" applyAlignment="1" applyBorder="1" applyFill="1" applyFont="1" applyNumberFormat="1">
      <alignment horizontal="center" vertical="bottom"/>
    </xf>
    <xf borderId="3" fillId="74" fontId="19" numFmtId="2" xfId="0" applyAlignment="1" applyBorder="1" applyFill="1" applyFont="1" applyNumberFormat="1">
      <alignment horizontal="center" vertical="bottom"/>
    </xf>
    <xf borderId="0" fillId="0" fontId="31" numFmtId="2" xfId="0" applyAlignment="1" applyFont="1" applyNumberFormat="1">
      <alignment vertical="bottom"/>
    </xf>
    <xf borderId="3" fillId="75" fontId="9" numFmtId="0" xfId="0" applyAlignment="1" applyBorder="1" applyFill="1" applyFont="1">
      <alignment horizontal="center" vertical="bottom"/>
    </xf>
    <xf borderId="3" fillId="76" fontId="19" numFmtId="165" xfId="0" applyAlignment="1" applyBorder="1" applyFill="1" applyFont="1" applyNumberFormat="1">
      <alignment horizontal="center" vertical="bottom"/>
    </xf>
    <xf borderId="0" fillId="0" fontId="15" numFmtId="165" xfId="0" applyAlignment="1" applyFont="1" applyNumberFormat="1">
      <alignment horizontal="right" vertical="bottom"/>
    </xf>
    <xf borderId="3" fillId="77" fontId="19" numFmtId="2" xfId="0" applyAlignment="1" applyBorder="1" applyFill="1" applyFont="1" applyNumberFormat="1">
      <alignment horizontal="center" vertical="bottom"/>
    </xf>
    <xf borderId="3" fillId="78" fontId="19" numFmtId="2" xfId="0" applyAlignment="1" applyBorder="1" applyFill="1" applyFont="1" applyNumberFormat="1">
      <alignment horizontal="center" vertical="bottom"/>
    </xf>
    <xf borderId="0" fillId="5" fontId="32" numFmtId="2" xfId="0" applyAlignment="1" applyFill="1" applyFont="1" applyNumberFormat="1">
      <alignment vertical="bottom"/>
    </xf>
    <xf borderId="3" fillId="79" fontId="19" numFmtId="2" xfId="0" applyAlignment="1" applyBorder="1" applyFill="1" applyFont="1" applyNumberFormat="1">
      <alignment horizontal="center" vertical="bottom"/>
    </xf>
    <xf borderId="3" fillId="80" fontId="19" numFmtId="2" xfId="0" applyAlignment="1" applyBorder="1" applyFill="1" applyFont="1" applyNumberFormat="1">
      <alignment horizontal="center" vertical="bottom"/>
    </xf>
    <xf borderId="3" fillId="81" fontId="19" numFmtId="2" xfId="0" applyAlignment="1" applyBorder="1" applyFill="1" applyFont="1" applyNumberFormat="1">
      <alignment horizontal="center" vertical="bottom"/>
    </xf>
    <xf borderId="3" fillId="82" fontId="19" numFmtId="165" xfId="0" applyAlignment="1" applyBorder="1" applyFill="1" applyFont="1" applyNumberFormat="1">
      <alignment horizontal="center" vertical="bottom"/>
    </xf>
    <xf borderId="1" fillId="4" fontId="4" numFmtId="0" xfId="0" applyAlignment="1" applyBorder="1" applyFill="1" applyFont="1">
      <alignment horizontal="center" vertical="bottom"/>
    </xf>
    <xf borderId="0" fillId="2" fontId="33" numFmtId="0" xfId="0" applyAlignment="1" applyFill="1" applyFont="1">
      <alignment horizontal="center" readingOrder="0"/>
    </xf>
    <xf borderId="0" fillId="2" fontId="33" numFmtId="0" xfId="0" applyAlignment="1" applyFill="1" applyFont="1">
      <alignment horizontal="center" readingOrder="0" vertical="center"/>
    </xf>
    <xf borderId="22" fillId="33" fontId="33" numFmtId="0" xfId="0" applyAlignment="1" applyBorder="1" applyFill="1" applyFont="1">
      <alignment horizontal="center" readingOrder="0" vertical="center"/>
    </xf>
    <xf borderId="23" fillId="34" fontId="33" numFmtId="0" xfId="0" applyAlignment="1" applyBorder="1" applyFill="1" applyFont="1">
      <alignment horizontal="center" readingOrder="0" vertical="center"/>
    </xf>
    <xf borderId="3" fillId="83" fontId="19" numFmtId="2" xfId="0" applyAlignment="1" applyBorder="1" applyFill="1" applyFont="1" applyNumberFormat="1">
      <alignment horizontal="center" vertical="bottom"/>
    </xf>
    <xf borderId="3" fillId="84" fontId="19" numFmtId="2" xfId="0" applyAlignment="1" applyBorder="1" applyFill="1" applyFont="1" applyNumberFormat="1">
      <alignment horizontal="center" vertical="bottom"/>
    </xf>
    <xf borderId="3" fillId="85" fontId="19" numFmtId="2" xfId="0" applyAlignment="1" applyBorder="1" applyFill="1" applyFont="1" applyNumberFormat="1">
      <alignment horizontal="center" vertical="bottom"/>
    </xf>
    <xf borderId="3" fillId="86" fontId="19" numFmtId="2" xfId="0" applyAlignment="1" applyBorder="1" applyFill="1" applyFont="1" applyNumberFormat="1">
      <alignment horizontal="center" vertical="bottom"/>
    </xf>
    <xf borderId="3" fillId="87" fontId="19" numFmtId="2" xfId="0" applyAlignment="1" applyBorder="1" applyFill="1" applyFont="1" applyNumberFormat="1">
      <alignment horizontal="center" vertical="bottom"/>
    </xf>
    <xf borderId="3" fillId="88" fontId="19" numFmtId="2" xfId="0" applyAlignment="1" applyBorder="1" applyFill="1" applyFont="1" applyNumberFormat="1">
      <alignment horizontal="center" vertical="bottom"/>
    </xf>
    <xf borderId="3" fillId="89" fontId="19" numFmtId="2" xfId="0" applyAlignment="1" applyBorder="1" applyFill="1" applyFont="1" applyNumberFormat="1">
      <alignment horizontal="center" vertical="bottom"/>
    </xf>
    <xf borderId="3" fillId="89" fontId="19" numFmtId="165" xfId="0" applyAlignment="1" applyBorder="1" applyFill="1" applyFont="1" applyNumberFormat="1">
      <alignment horizontal="center" vertical="bottom"/>
    </xf>
    <xf borderId="0" fillId="2" fontId="11" numFmtId="0" xfId="0" applyAlignment="1" applyFill="1" applyFont="1">
      <alignment horizontal="center" readingOrder="0"/>
    </xf>
    <xf borderId="0" fillId="2" fontId="11" numFmtId="0" xfId="0" applyAlignment="1" applyFill="1" applyFont="1">
      <alignment horizontal="center" readingOrder="0" vertical="center"/>
    </xf>
    <xf borderId="22" fillId="33" fontId="11" numFmtId="0" xfId="0" applyAlignment="1" applyBorder="1" applyFill="1" applyFont="1">
      <alignment horizontal="center" readingOrder="0" vertical="center"/>
    </xf>
    <xf borderId="23" fillId="34" fontId="11" numFmtId="0" xfId="0" applyAlignment="1" applyBorder="1" applyFill="1" applyFont="1">
      <alignment horizontal="center" readingOrder="0" vertical="center"/>
    </xf>
    <xf borderId="3" fillId="90" fontId="19" numFmtId="2" xfId="0" applyAlignment="1" applyBorder="1" applyFill="1" applyFont="1" applyNumberFormat="1">
      <alignment horizontal="center" vertical="bottom"/>
    </xf>
    <xf borderId="3" fillId="91" fontId="19" numFmtId="2" xfId="0" applyAlignment="1" applyBorder="1" applyFill="1" applyFont="1" applyNumberFormat="1">
      <alignment horizontal="center" vertical="bottom"/>
    </xf>
    <xf borderId="3" fillId="92" fontId="19" numFmtId="2" xfId="0" applyAlignment="1" applyBorder="1" applyFill="1" applyFont="1" applyNumberFormat="1">
      <alignment horizontal="center" vertical="bottom"/>
    </xf>
    <xf borderId="3" fillId="93" fontId="19" numFmtId="2" xfId="0" applyAlignment="1" applyBorder="1" applyFill="1" applyFont="1" applyNumberFormat="1">
      <alignment horizontal="center" vertical="bottom"/>
    </xf>
    <xf borderId="3" fillId="94" fontId="19" numFmtId="2" xfId="0" applyAlignment="1" applyBorder="1" applyFill="1" applyFont="1" applyNumberFormat="1">
      <alignment horizontal="center" vertical="bottom"/>
    </xf>
    <xf borderId="3" fillId="95" fontId="19" numFmtId="2" xfId="0" applyAlignment="1" applyBorder="1" applyFill="1" applyFont="1" applyNumberFormat="1">
      <alignment horizontal="center" vertical="bottom"/>
    </xf>
    <xf borderId="3" fillId="96" fontId="19" numFmtId="2" xfId="0" applyAlignment="1" applyBorder="1" applyFill="1" applyFont="1" applyNumberFormat="1">
      <alignment horizontal="center" vertical="bottom"/>
    </xf>
    <xf borderId="3" fillId="97" fontId="19" numFmtId="2" xfId="0" applyAlignment="1" applyBorder="1" applyFill="1" applyFont="1" applyNumberFormat="1">
      <alignment horizontal="center" vertical="bottom"/>
    </xf>
    <xf borderId="3" fillId="98" fontId="19" numFmtId="2" xfId="0" applyAlignment="1" applyBorder="1" applyFill="1" applyFont="1" applyNumberFormat="1">
      <alignment horizontal="center" vertical="bottom"/>
    </xf>
    <xf borderId="3" fillId="99" fontId="19" numFmtId="2" xfId="0" applyAlignment="1" applyBorder="1" applyFill="1" applyFont="1" applyNumberFormat="1">
      <alignment horizontal="center" vertical="bottom"/>
    </xf>
    <xf borderId="3" fillId="100" fontId="19" numFmtId="2" xfId="0" applyAlignment="1" applyBorder="1" applyFill="1" applyFont="1" applyNumberFormat="1">
      <alignment horizontal="center" vertical="bottom"/>
    </xf>
    <xf borderId="3" fillId="101" fontId="19" numFmtId="2" xfId="0" applyAlignment="1" applyBorder="1" applyFill="1" applyFont="1" applyNumberFormat="1">
      <alignment horizontal="center" vertical="bottom"/>
    </xf>
    <xf borderId="3" fillId="102" fontId="19" numFmtId="2" xfId="0" applyAlignment="1" applyBorder="1" applyFill="1" applyFont="1" applyNumberFormat="1">
      <alignment horizontal="center" vertical="bottom"/>
    </xf>
    <xf borderId="3" fillId="103" fontId="19" numFmtId="2" xfId="0" applyAlignment="1" applyBorder="1" applyFill="1" applyFont="1" applyNumberFormat="1">
      <alignment horizontal="center" vertical="bottom"/>
    </xf>
    <xf borderId="3" fillId="104" fontId="19" numFmtId="2" xfId="0" applyAlignment="1" applyBorder="1" applyFill="1" applyFont="1" applyNumberFormat="1">
      <alignment horizontal="center" vertical="bottom"/>
    </xf>
    <xf borderId="3" fillId="105" fontId="19" numFmtId="2" xfId="0" applyAlignment="1" applyBorder="1" applyFill="1" applyFont="1" applyNumberFormat="1">
      <alignment horizontal="center" vertical="bottom"/>
    </xf>
    <xf borderId="0" fillId="2" fontId="29" numFmtId="0" xfId="0" applyAlignment="1" applyFill="1" applyFont="1">
      <alignment readingOrder="0"/>
    </xf>
    <xf borderId="16" fillId="33" fontId="11" numFmtId="0" xfId="0" applyAlignment="1" applyBorder="1" applyFill="1" applyFont="1">
      <alignment horizontal="center" readingOrder="0" vertical="center"/>
    </xf>
    <xf borderId="17" fillId="34" fontId="29" numFmtId="0" xfId="0" applyAlignment="1" applyBorder="1" applyFill="1" applyFont="1">
      <alignment readingOrder="0" vertical="center"/>
    </xf>
    <xf borderId="4" fillId="2" fontId="11" numFmtId="0" xfId="0" applyBorder="1" applyFill="1" applyFont="1"/>
    <xf borderId="4" fillId="2" fontId="11" numFmtId="3" xfId="0" applyBorder="1" applyFill="1" applyFont="1" applyNumberFormat="1"/>
    <xf borderId="3" fillId="2" fontId="11" numFmtId="3" xfId="0" applyBorder="1" applyFill="1" applyFont="1" applyNumberFormat="1"/>
    <xf borderId="22" fillId="2" fontId="3" numFmtId="0" xfId="0" applyBorder="1" applyFill="1" applyFont="1"/>
    <xf borderId="24" fillId="2" fontId="3" numFmtId="0" xfId="0" applyBorder="1" applyFill="1" applyFont="1"/>
    <xf borderId="25" fillId="2" fontId="6" numFmtId="0" xfId="0" applyAlignment="1" applyBorder="1" applyFill="1" applyFont="1">
      <alignment horizontal="center" readingOrder="0"/>
    </xf>
    <xf borderId="26" fillId="2" fontId="6" numFmtId="0" xfId="0" applyAlignment="1" applyBorder="1" applyFill="1" applyFont="1">
      <alignment horizontal="center" readingOrder="0"/>
    </xf>
    <xf borderId="4" fillId="2" fontId="34" numFmtId="0" xfId="0" applyAlignment="1" applyBorder="1" applyFill="1" applyFont="1">
      <alignment horizontal="center" readingOrder="0"/>
    </xf>
    <xf borderId="4" fillId="2" fontId="34" numFmtId="0" xfId="0" applyAlignment="1" applyBorder="1" applyFill="1" applyFont="1">
      <alignment horizontal="center" readingOrder="0" vertical="bottom"/>
    </xf>
    <xf borderId="5" fillId="0" fontId="3" numFmtId="0" xfId="0" applyBorder="1" applyFont="1"/>
    <xf borderId="4" fillId="2" fontId="35" numFmtId="0" xfId="0" applyAlignment="1" applyBorder="1" applyFill="1" applyFont="1">
      <alignment horizontal="center" readingOrder="0"/>
    </xf>
    <xf borderId="3" fillId="2" fontId="35" numFmtId="0" xfId="0" applyAlignment="1" applyBorder="1" applyFill="1" applyFont="1">
      <alignment horizontal="left" readingOrder="0"/>
    </xf>
    <xf borderId="3" fillId="2" fontId="35" numFmtId="0" xfId="0" applyAlignment="1" applyBorder="1" applyFill="1" applyFont="1">
      <alignment horizontal="center" readingOrder="0"/>
    </xf>
    <xf borderId="16" fillId="2" fontId="2" numFmtId="0" xfId="0" applyBorder="1" applyFill="1" applyFont="1"/>
    <xf borderId="20" fillId="2" fontId="2" numFmtId="0" xfId="0" applyBorder="1" applyFill="1" applyFont="1"/>
    <xf borderId="3" fillId="2" fontId="24" numFmtId="0" xfId="0" applyAlignment="1" applyBorder="1" applyFill="1" applyFont="1">
      <alignment horizontal="center" readingOrder="0"/>
    </xf>
    <xf borderId="3" fillId="2" fontId="24" numFmtId="0" xfId="0" applyAlignment="1" applyBorder="1" applyFill="1" applyFont="1">
      <alignment readingOrder="0"/>
    </xf>
    <xf borderId="3" fillId="2" fontId="6" numFmtId="0" xfId="0" applyAlignment="1" applyBorder="1" applyFill="1" applyFont="1">
      <alignment horizontal="right" readingOrder="0" vertical="center"/>
    </xf>
    <xf borderId="3" fillId="2" fontId="6" numFmtId="0" xfId="0" applyAlignment="1" applyBorder="1" applyFill="1" applyFont="1">
      <alignment readingOrder="0"/>
    </xf>
    <xf borderId="4" fillId="2" fontId="24" numFmtId="0" xfId="0" applyAlignment="1" applyBorder="1" applyFill="1" applyFont="1">
      <alignment readingOrder="0"/>
    </xf>
    <xf borderId="4" fillId="2" fontId="29" numFmtId="0" xfId="0" applyAlignment="1" applyBorder="1" applyFill="1" applyFont="1">
      <alignment horizontal="center" readingOrder="0"/>
    </xf>
    <xf borderId="27" fillId="2" fontId="6" numFmtId="0" xfId="0" applyAlignment="1" applyBorder="1" applyFill="1" applyFont="1">
      <alignment horizontal="center" readingOrder="0" vertical="bottom"/>
    </xf>
    <xf borderId="28" fillId="2" fontId="6" numFmtId="0" xfId="0" applyAlignment="1" applyBorder="1" applyFill="1" applyFont="1">
      <alignment horizontal="center" readingOrder="0" vertical="bottom"/>
    </xf>
    <xf borderId="29" fillId="2" fontId="6" numFmtId="0" xfId="0" applyAlignment="1" applyBorder="1" applyFill="1" applyFont="1">
      <alignment horizontal="center" readingOrder="0" vertical="bottom"/>
    </xf>
    <xf borderId="0" fillId="2" fontId="6" numFmtId="0" xfId="0" applyAlignment="1" applyFill="1" applyFont="1">
      <alignment horizontal="center" readingOrder="0" vertical="bottom"/>
    </xf>
    <xf borderId="28" fillId="2" fontId="6" numFmtId="0" xfId="0" applyAlignment="1" applyBorder="1" applyFill="1" applyFont="1">
      <alignment horizontal="center" vertical="bottom"/>
    </xf>
    <xf borderId="30" fillId="2" fontId="6" numFmtId="0" xfId="0" applyAlignment="1" applyBorder="1" applyFill="1" applyFont="1">
      <alignment horizontal="center" vertical="bottom"/>
    </xf>
    <xf borderId="31" fillId="0" fontId="14" numFmtId="1" xfId="0" applyAlignment="1" applyBorder="1" applyFont="1" applyNumberFormat="1">
      <alignment vertical="bottom"/>
    </xf>
    <xf borderId="31" fillId="0" fontId="14" numFmtId="0" xfId="0" applyAlignment="1" applyBorder="1" applyFont="1">
      <alignment vertical="bottom"/>
    </xf>
    <xf borderId="32" fillId="0" fontId="14" numFmtId="1" xfId="0" applyAlignment="1" applyBorder="1" applyFont="1" applyNumberFormat="1">
      <alignment vertical="bottom"/>
    </xf>
    <xf borderId="33" fillId="2" fontId="6" numFmtId="0" xfId="0" applyAlignment="1" applyBorder="1" applyFill="1" applyFont="1">
      <alignment horizontal="center" readingOrder="0"/>
    </xf>
    <xf borderId="33" fillId="2" fontId="6" numFmtId="0" xfId="0" applyAlignment="1" applyBorder="1" applyFill="1" applyFont="1">
      <alignment horizontal="center" readingOrder="0" vertical="bottom"/>
    </xf>
    <xf borderId="33" fillId="2" fontId="6" numFmtId="0" xfId="0" applyAlignment="1" applyBorder="1" applyFill="1" applyFont="1">
      <alignment horizontal="center"/>
    </xf>
    <xf borderId="33" fillId="2" fontId="6" numFmtId="0" xfId="0" applyBorder="1" applyFill="1" applyFont="1"/>
    <xf borderId="33" fillId="2" fontId="6" numFmtId="2" xfId="0" applyBorder="1" applyFill="1" applyFont="1" applyNumberFormat="1"/>
    <xf borderId="33" fillId="0" fontId="19" numFmtId="2" xfId="0" applyBorder="1" applyFont="1" applyNumberFormat="1"/>
    <xf borderId="33" fillId="0" fontId="19" numFmtId="166" xfId="0" applyBorder="1" applyFont="1" applyNumberFormat="1"/>
    <xf borderId="33" fillId="2" fontId="6" numFmtId="166" xfId="0" applyBorder="1" applyFill="1" applyFont="1" applyNumberFormat="1"/>
    <xf borderId="33" fillId="2" fontId="6" numFmtId="166" xfId="0" applyAlignment="1" applyBorder="1" applyFill="1" applyFont="1" applyNumberFormat="1">
      <alignment horizontal="right"/>
    </xf>
    <xf borderId="33" fillId="5" fontId="9" numFmtId="2" xfId="0" applyAlignment="1" applyBorder="1" applyFill="1" applyFont="1" applyNumberFormat="1">
      <alignment horizontal="right"/>
    </xf>
    <xf borderId="34" fillId="0" fontId="19" numFmtId="2" xfId="0" applyBorder="1" applyFont="1" applyNumberFormat="1"/>
    <xf borderId="0" fillId="2" fontId="13" numFmtId="0" xfId="0" applyFill="1" applyFont="1"/>
    <xf borderId="0" fillId="0" fontId="36" numFmtId="0" xfId="0" applyAlignment="1" applyFont="1">
      <alignment horizontal="right" readingOrder="0" vertical="bottom"/>
    </xf>
    <xf borderId="0" fillId="2" fontId="19" numFmtId="0" xfId="0" applyAlignment="1" applyFill="1" applyFont="1">
      <alignment readingOrder="0"/>
    </xf>
    <xf borderId="4" fillId="0" fontId="14" numFmtId="1" xfId="0" applyAlignment="1" applyBorder="1" applyFont="1" applyNumberFormat="1">
      <alignment vertical="bottom"/>
    </xf>
    <xf borderId="3" fillId="2" fontId="6" numFmtId="0" xfId="0" applyAlignment="1" applyBorder="1" applyFill="1" applyFont="1">
      <alignment horizontal="center" readingOrder="0" vertical="bottom"/>
    </xf>
    <xf borderId="3" fillId="2" fontId="6" numFmtId="0" xfId="0" applyAlignment="1" applyBorder="1" applyFill="1" applyFont="1">
      <alignment horizontal="center"/>
    </xf>
    <xf borderId="3" fillId="2" fontId="6" numFmtId="0" xfId="0" applyBorder="1" applyFill="1" applyFont="1"/>
    <xf borderId="3" fillId="2" fontId="6" numFmtId="2" xfId="0" applyBorder="1" applyFill="1" applyFont="1" applyNumberFormat="1"/>
    <xf borderId="3" fillId="0" fontId="19" numFmtId="2" xfId="0" applyBorder="1" applyFont="1" applyNumberFormat="1"/>
    <xf borderId="3" fillId="0" fontId="19" numFmtId="166" xfId="0" applyBorder="1" applyFont="1" applyNumberFormat="1"/>
    <xf borderId="3" fillId="2" fontId="6" numFmtId="166" xfId="0" applyBorder="1" applyFill="1" applyFont="1" applyNumberFormat="1"/>
    <xf borderId="3" fillId="2" fontId="6" numFmtId="166" xfId="0" applyAlignment="1" applyBorder="1" applyFill="1" applyFont="1" applyNumberFormat="1">
      <alignment horizontal="right"/>
    </xf>
    <xf borderId="35" fillId="0" fontId="19" numFmtId="2" xfId="0" applyBorder="1" applyFont="1" applyNumberFormat="1"/>
    <xf borderId="0" fillId="2" fontId="19" numFmtId="0" xfId="0" applyAlignment="1" applyFill="1" applyFont="1">
      <alignment vertical="bottom"/>
    </xf>
    <xf borderId="36" fillId="2" fontId="6" numFmtId="0" xfId="0" applyAlignment="1" applyBorder="1" applyFill="1" applyFont="1">
      <alignment vertical="bottom"/>
    </xf>
    <xf borderId="15" fillId="0" fontId="19" numFmtId="0" xfId="0" applyAlignment="1" applyBorder="1" applyFont="1">
      <alignment vertical="bottom"/>
    </xf>
    <xf borderId="37" fillId="0" fontId="15" numFmtId="0" xfId="0" applyAlignment="1" applyBorder="1" applyFont="1">
      <alignment vertical="bottom"/>
    </xf>
    <xf borderId="13" fillId="0" fontId="15" numFmtId="0" xfId="0" applyAlignment="1" applyBorder="1" applyFont="1">
      <alignment vertical="bottom"/>
    </xf>
    <xf borderId="36" fillId="2" fontId="24" numFmtId="0" xfId="0" applyAlignment="1" applyBorder="1" applyFill="1" applyFont="1">
      <alignment horizontal="center" vertical="bottom"/>
    </xf>
    <xf borderId="38" fillId="2" fontId="6" numFmtId="0" xfId="0" applyAlignment="1" applyBorder="1" applyFill="1" applyFont="1">
      <alignment horizontal="center" vertical="bottom"/>
    </xf>
    <xf borderId="39" fillId="0" fontId="3" numFmtId="0" xfId="0" applyBorder="1" applyFont="1"/>
    <xf borderId="36" fillId="2" fontId="6" numFmtId="0" xfId="0" applyAlignment="1" applyBorder="1" applyFill="1" applyFont="1">
      <alignment horizontal="center" vertical="bottom"/>
    </xf>
    <xf borderId="36" fillId="2" fontId="6" numFmtId="2" xfId="0" applyAlignment="1" applyBorder="1" applyFill="1" applyFont="1" applyNumberFormat="1">
      <alignment horizontal="center" vertical="bottom"/>
    </xf>
    <xf borderId="15" fillId="2" fontId="15" numFmtId="2" xfId="0" applyAlignment="1" applyBorder="1" applyFill="1" applyFont="1" applyNumberFormat="1">
      <alignment vertical="bottom"/>
    </xf>
    <xf borderId="37" fillId="2" fontId="15" numFmtId="2" xfId="0" applyAlignment="1" applyBorder="1" applyFill="1" applyFont="1" applyNumberFormat="1">
      <alignment vertical="bottom"/>
    </xf>
    <xf borderId="0" fillId="2" fontId="13" numFmtId="2" xfId="0" applyFill="1" applyFont="1" applyNumberFormat="1"/>
    <xf borderId="36" fillId="2" fontId="30" numFmtId="0" xfId="0" applyAlignment="1" applyBorder="1" applyFill="1" applyFont="1">
      <alignment horizontal="center" vertical="bottom"/>
    </xf>
    <xf borderId="15" fillId="5" fontId="37" numFmtId="0" xfId="0" applyAlignment="1" applyBorder="1" applyFill="1" applyFont="1">
      <alignment horizontal="center" vertical="bottom"/>
    </xf>
    <xf borderId="37" fillId="5" fontId="37" numFmtId="0" xfId="0" applyAlignment="1" applyBorder="1" applyFill="1" applyFont="1">
      <alignment horizontal="center" vertical="bottom"/>
    </xf>
    <xf borderId="13" fillId="5" fontId="37" numFmtId="0" xfId="0" applyAlignment="1" applyBorder="1" applyFill="1" applyFont="1">
      <alignment horizontal="center" vertical="bottom"/>
    </xf>
    <xf borderId="36" fillId="2" fontId="1" numFmtId="0" xfId="0" applyAlignment="1" applyBorder="1" applyFill="1" applyFont="1">
      <alignment horizontal="center" vertical="bottom"/>
    </xf>
    <xf borderId="38" fillId="2" fontId="1" numFmtId="0" xfId="0" applyAlignment="1" applyBorder="1" applyFill="1" applyFont="1">
      <alignment horizontal="left" vertical="bottom"/>
    </xf>
    <xf borderId="39" fillId="2" fontId="15" numFmtId="0" xfId="0" applyAlignment="1" applyBorder="1" applyFill="1" applyFont="1">
      <alignment vertical="bottom"/>
    </xf>
    <xf borderId="1" fillId="4" fontId="4" numFmtId="0" xfId="0" applyAlignment="1" applyBorder="1" applyFill="1" applyFont="1">
      <alignment horizontal="center" vertical="bottom"/>
    </xf>
    <xf borderId="36" fillId="2" fontId="1" numFmtId="167" xfId="0" applyAlignment="1" applyBorder="1" applyFill="1" applyFont="1" applyNumberFormat="1">
      <alignment horizontal="center" vertical="bottom"/>
    </xf>
    <xf borderId="36" fillId="2" fontId="1" numFmtId="165" xfId="0" applyAlignment="1" applyBorder="1" applyFill="1" applyFont="1" applyNumberFormat="1">
      <alignment horizontal="center" vertical="bottom"/>
    </xf>
    <xf borderId="36" fillId="2" fontId="1" numFmtId="1" xfId="0" applyAlignment="1" applyBorder="1" applyFill="1" applyFont="1" applyNumberFormat="1">
      <alignment horizontal="center" vertical="bottom"/>
    </xf>
    <xf borderId="36" fillId="2" fontId="1" numFmtId="2" xfId="0" applyAlignment="1" applyBorder="1" applyFill="1" applyFont="1" applyNumberFormat="1">
      <alignment horizontal="center" vertical="bottom"/>
    </xf>
    <xf borderId="0" fillId="0" fontId="3" numFmtId="2" xfId="0" applyAlignment="1" applyFont="1" applyNumberFormat="1">
      <alignment readingOrder="0"/>
    </xf>
    <xf borderId="0" fillId="0" fontId="3" numFmtId="49" xfId="0" applyAlignment="1" applyFont="1" applyNumberFormat="1">
      <alignment readingOrder="0"/>
    </xf>
    <xf borderId="0" fillId="0" fontId="38" numFmtId="0" xfId="0" applyAlignment="1" applyFont="1">
      <alignment readingOrder="0"/>
    </xf>
    <xf borderId="0" fillId="0" fontId="15" numFmtId="4" xfId="0" applyAlignment="1" applyFont="1" applyNumberFormat="1">
      <alignment vertical="bottom"/>
    </xf>
    <xf borderId="0" fillId="0" fontId="15" numFmtId="2" xfId="0" applyAlignment="1" applyFont="1" applyNumberFormat="1">
      <alignment vertical="bottom"/>
    </xf>
    <xf borderId="0" fillId="0" fontId="15" numFmtId="2" xfId="0" applyAlignment="1" applyFont="1" applyNumberFormat="1">
      <alignment readingOrder="0" vertical="bottom"/>
    </xf>
    <xf borderId="0" fillId="0" fontId="15" numFmtId="0" xfId="0" applyAlignment="1" applyFont="1">
      <alignment readingOrder="0" vertical="bottom"/>
    </xf>
    <xf borderId="1" fillId="4" fontId="4" numFmtId="2" xfId="0" applyAlignment="1" applyBorder="1" applyFill="1" applyFont="1" applyNumberFormat="1">
      <alignment horizontal="center" readingOrder="0" vertical="bottom"/>
    </xf>
    <xf borderId="1" fillId="4" fontId="4" numFmtId="1" xfId="0" applyAlignment="1" applyBorder="1" applyFill="1" applyFont="1" applyNumberFormat="1">
      <alignment horizontal="center" readingOrder="0" vertical="bottom"/>
    </xf>
    <xf borderId="0" fillId="0" fontId="3" numFmtId="164" xfId="0" applyAlignment="1" applyFont="1" applyNumberFormat="1">
      <alignment readingOrder="0"/>
    </xf>
    <xf borderId="38" fillId="2" fontId="1" numFmtId="4" xfId="0" applyAlignment="1" applyBorder="1" applyFill="1" applyFont="1" applyNumberFormat="1">
      <alignment horizontal="left" vertical="bottom"/>
    </xf>
    <xf borderId="39" fillId="2" fontId="30" numFmtId="0" xfId="0" applyAlignment="1" applyBorder="1" applyFill="1" applyFont="1">
      <alignment vertical="bottom"/>
    </xf>
    <xf borderId="36" fillId="2" fontId="39" numFmtId="167" xfId="0" applyAlignment="1" applyBorder="1" applyFill="1" applyFont="1" applyNumberFormat="1">
      <alignment horizontal="center" vertical="bottom"/>
    </xf>
    <xf borderId="39" fillId="2" fontId="30" numFmtId="4" xfId="0" applyAlignment="1" applyBorder="1" applyFill="1" applyFont="1" applyNumberFormat="1">
      <alignment vertical="bottom"/>
    </xf>
    <xf borderId="0" fillId="2" fontId="15" numFmtId="2" xfId="0" applyAlignment="1" applyFill="1" applyFont="1" applyNumberFormat="1">
      <alignment vertical="bottom"/>
    </xf>
    <xf borderId="0" fillId="2" fontId="30" numFmtId="2" xfId="0" applyAlignment="1" applyFill="1" applyFont="1" applyNumberFormat="1">
      <alignment horizontal="center" vertical="bottom"/>
    </xf>
    <xf borderId="3" fillId="5" fontId="9" numFmtId="2" xfId="0" applyAlignment="1" applyBorder="1" applyFill="1" applyFont="1" applyNumberFormat="1">
      <alignment horizontal="right" readingOrder="0"/>
    </xf>
    <xf borderId="3" fillId="0" fontId="19" numFmtId="2" xfId="0" applyAlignment="1" applyBorder="1" applyFont="1" applyNumberFormat="1">
      <alignment readingOrder="0"/>
    </xf>
    <xf borderId="40" fillId="2" fontId="1" numFmtId="4" xfId="0" applyAlignment="1" applyBorder="1" applyFill="1" applyFont="1" applyNumberFormat="1">
      <alignment horizontal="left" vertical="bottom"/>
    </xf>
    <xf borderId="41" fillId="2" fontId="30" numFmtId="4" xfId="0" applyAlignment="1" applyBorder="1" applyFill="1" applyFont="1" applyNumberFormat="1">
      <alignment vertical="bottom"/>
    </xf>
    <xf borderId="42" fillId="2" fontId="39" numFmtId="167" xfId="0" applyAlignment="1" applyBorder="1" applyFill="1" applyFont="1" applyNumberFormat="1">
      <alignment horizontal="center" vertical="bottom"/>
    </xf>
    <xf borderId="0" fillId="2" fontId="15" numFmtId="0" xfId="0" applyAlignment="1" applyFill="1" applyFont="1">
      <alignment vertical="bottom"/>
    </xf>
    <xf borderId="0" fillId="2" fontId="30" numFmtId="0" xfId="0" applyAlignment="1" applyFill="1" applyFont="1">
      <alignment horizontal="center" vertical="bottom"/>
    </xf>
    <xf borderId="37" fillId="2" fontId="15" numFmtId="0" xfId="0" applyAlignment="1" applyBorder="1" applyFill="1" applyFont="1">
      <alignment vertical="bottom"/>
    </xf>
    <xf borderId="36" fillId="2" fontId="30" numFmtId="3" xfId="0" applyAlignment="1" applyBorder="1" applyFill="1" applyFont="1" applyNumberFormat="1">
      <alignment horizontal="center" readingOrder="0" vertical="bottom"/>
    </xf>
    <xf borderId="38" fillId="2" fontId="1" numFmtId="0" xfId="0" applyAlignment="1" applyBorder="1" applyFill="1" applyFont="1">
      <alignment horizontal="center" vertical="bottom"/>
    </xf>
    <xf borderId="36" fillId="2" fontId="39" numFmtId="166" xfId="0" applyAlignment="1" applyBorder="1" applyFill="1" applyFont="1" applyNumberFormat="1">
      <alignment horizontal="center" vertical="bottom"/>
    </xf>
    <xf borderId="36" fillId="2" fontId="39" numFmtId="0" xfId="0" applyAlignment="1" applyBorder="1" applyFill="1" applyFont="1">
      <alignment horizontal="center" vertical="bottom"/>
    </xf>
    <xf borderId="15" fillId="2" fontId="15" numFmtId="0" xfId="0" applyAlignment="1" applyBorder="1" applyFill="1" applyFont="1">
      <alignment vertical="bottom"/>
    </xf>
    <xf borderId="13" fillId="2" fontId="15" numFmtId="0" xfId="0" applyAlignment="1" applyBorder="1" applyFill="1" applyFont="1">
      <alignment vertical="bottom"/>
    </xf>
    <xf borderId="36" fillId="2" fontId="1" numFmtId="166" xfId="0" applyAlignment="1" applyBorder="1" applyFill="1" applyFont="1" applyNumberFormat="1">
      <alignment horizontal="right" vertical="bottom"/>
    </xf>
    <xf borderId="36" fillId="2" fontId="15" numFmtId="0" xfId="0" applyAlignment="1" applyBorder="1" applyFill="1" applyFont="1">
      <alignment vertical="bottom"/>
    </xf>
    <xf borderId="36" fillId="2" fontId="1" numFmtId="2" xfId="0" applyAlignment="1" applyBorder="1" applyFill="1" applyFont="1" applyNumberFormat="1">
      <alignment horizontal="right" vertical="bottom"/>
    </xf>
    <xf borderId="0" fillId="2" fontId="13" numFmtId="2" xfId="0" applyAlignment="1" applyFill="1" applyFont="1" applyNumberFormat="1">
      <alignment horizontal="center"/>
    </xf>
    <xf borderId="0" fillId="2" fontId="11" numFmtId="2" xfId="0" applyFill="1" applyFont="1" applyNumberFormat="1"/>
    <xf borderId="0" fillId="2" fontId="13" numFmtId="0" xfId="0" applyAlignment="1" applyFill="1" applyFont="1">
      <alignment horizontal="center"/>
    </xf>
    <xf borderId="0" fillId="2" fontId="11" numFmtId="0" xfId="0" applyFill="1" applyFont="1"/>
    <xf borderId="0" fillId="2" fontId="11" numFmtId="0" xfId="0" applyAlignment="1" applyFill="1" applyFont="1">
      <alignment horizontal="center"/>
    </xf>
    <xf borderId="0" fillId="0" fontId="15" numFmtId="0" xfId="0" applyAlignment="1" applyFont="1">
      <alignment readingOrder="0" vertical="bottom"/>
    </xf>
    <xf borderId="0" fillId="0" fontId="15" numFmtId="0" xfId="0" applyAlignment="1" applyFont="1">
      <alignment horizontal="right" readingOrder="0" vertical="bottom"/>
    </xf>
    <xf borderId="0" fillId="0" fontId="15" numFmtId="0" xfId="0" applyAlignment="1" applyFont="1">
      <alignment horizontal="right" vertical="bottom"/>
    </xf>
    <xf borderId="4" fillId="0" fontId="14" numFmtId="0" xfId="0" applyAlignment="1" applyBorder="1" applyFont="1">
      <alignment vertical="bottom"/>
    </xf>
    <xf borderId="3" fillId="0" fontId="19" numFmtId="0" xfId="0" applyBorder="1" applyFont="1"/>
    <xf borderId="35" fillId="0" fontId="19" numFmtId="0" xfId="0" applyBorder="1" applyFont="1"/>
    <xf borderId="0" fillId="0" fontId="15" numFmtId="0" xfId="0" applyAlignment="1" applyFont="1">
      <alignment vertical="bottom"/>
    </xf>
    <xf borderId="0" fillId="0" fontId="19" numFmtId="0" xfId="0" applyAlignment="1" applyFont="1">
      <alignment horizontal="center" vertical="bottom"/>
    </xf>
    <xf borderId="0" fillId="0" fontId="15" numFmtId="0" xfId="0" applyAlignment="1" applyFont="1">
      <alignment horizontal="center" vertical="bottom"/>
    </xf>
    <xf borderId="37" fillId="0" fontId="19" numFmtId="0" xfId="0" applyAlignment="1" applyBorder="1" applyFont="1">
      <alignment vertical="bottom"/>
    </xf>
    <xf borderId="37" fillId="0" fontId="19" numFmtId="0" xfId="0" applyAlignment="1" applyBorder="1" applyFont="1">
      <alignment horizontal="center" vertical="bottom"/>
    </xf>
    <xf borderId="37" fillId="0" fontId="15" numFmtId="0" xfId="0" applyAlignment="1" applyBorder="1" applyFont="1">
      <alignment horizontal="right" vertical="bottom"/>
    </xf>
    <xf borderId="37" fillId="0" fontId="40" numFmtId="0" xfId="0" applyAlignment="1" applyBorder="1" applyFont="1">
      <alignment horizontal="right" vertical="bottom"/>
    </xf>
    <xf borderId="37" fillId="0" fontId="40" numFmtId="0" xfId="0" applyAlignment="1" applyBorder="1" applyFont="1">
      <alignment vertical="bottom"/>
    </xf>
    <xf borderId="37" fillId="0" fontId="40" numFmtId="167" xfId="0" applyAlignment="1" applyBorder="1" applyFont="1" applyNumberFormat="1">
      <alignment horizontal="right" vertical="bottom"/>
    </xf>
    <xf borderId="37" fillId="0" fontId="40" numFmtId="165" xfId="0" applyAlignment="1" applyBorder="1" applyFont="1" applyNumberFormat="1">
      <alignment horizontal="right" vertical="bottom"/>
    </xf>
    <xf borderId="0" fillId="5" fontId="37" numFmtId="0" xfId="0" applyAlignment="1" applyFill="1" applyFont="1">
      <alignment vertical="bottom"/>
    </xf>
    <xf borderId="37" fillId="0" fontId="15" numFmtId="4" xfId="0" applyAlignment="1" applyBorder="1" applyFont="1" applyNumberFormat="1">
      <alignment vertical="bottom"/>
    </xf>
    <xf borderId="37" fillId="0" fontId="15" numFmtId="167" xfId="0" applyAlignment="1" applyBorder="1" applyFont="1" applyNumberFormat="1">
      <alignment vertical="bottom"/>
    </xf>
    <xf borderId="37" fillId="0" fontId="15" numFmtId="165" xfId="0" applyAlignment="1" applyBorder="1" applyFont="1" applyNumberFormat="1">
      <alignment vertical="bottom"/>
    </xf>
    <xf borderId="0" fillId="5" fontId="15" numFmtId="4" xfId="0" applyAlignment="1" applyFill="1" applyFont="1" applyNumberFormat="1">
      <alignment vertical="bottom"/>
    </xf>
    <xf borderId="37" fillId="0" fontId="41" numFmtId="4" xfId="0" applyAlignment="1" applyBorder="1" applyFont="1" applyNumberFormat="1">
      <alignment vertical="bottom"/>
    </xf>
    <xf borderId="0" fillId="5" fontId="41" numFmtId="4" xfId="0" applyAlignment="1" applyFill="1" applyFont="1" applyNumberFormat="1">
      <alignment vertical="bottom"/>
    </xf>
    <xf borderId="37" fillId="0" fontId="15" numFmtId="3" xfId="0" applyAlignment="1" applyBorder="1" applyFont="1" applyNumberFormat="1">
      <alignment horizontal="right" vertical="bottom"/>
    </xf>
    <xf borderId="37" fillId="0" fontId="40" numFmtId="166" xfId="0" applyAlignment="1" applyBorder="1" applyFont="1" applyNumberFormat="1">
      <alignment horizontal="right" vertical="bottom"/>
    </xf>
    <xf borderId="37" fillId="0" fontId="40" numFmtId="2" xfId="0" applyAlignment="1" applyBorder="1" applyFont="1" applyNumberFormat="1">
      <alignment horizontal="right" vertical="bottom"/>
    </xf>
    <xf borderId="37" fillId="0" fontId="41" numFmtId="167" xfId="0" applyAlignment="1" applyBorder="1" applyFont="1" applyNumberFormat="1">
      <alignment vertical="bottom"/>
    </xf>
    <xf borderId="37" fillId="0" fontId="41" numFmtId="165" xfId="0" applyAlignment="1" applyBorder="1" applyFont="1" applyNumberFormat="1">
      <alignment vertical="bottom"/>
    </xf>
    <xf borderId="43" fillId="0" fontId="14" numFmtId="0" xfId="0" applyAlignment="1" applyBorder="1" applyFont="1">
      <alignment vertical="bottom"/>
    </xf>
    <xf borderId="44" fillId="2" fontId="6" numFmtId="0" xfId="0" applyAlignment="1" applyBorder="1" applyFill="1" applyFont="1">
      <alignment horizontal="center" readingOrder="0"/>
    </xf>
    <xf borderId="44" fillId="2" fontId="6" numFmtId="0" xfId="0" applyAlignment="1" applyBorder="1" applyFill="1" applyFont="1">
      <alignment horizontal="center"/>
    </xf>
    <xf borderId="44" fillId="2" fontId="6" numFmtId="0" xfId="0" applyBorder="1" applyFill="1" applyFont="1"/>
    <xf borderId="44" fillId="2" fontId="6" numFmtId="2" xfId="0" applyBorder="1" applyFill="1" applyFont="1" applyNumberFormat="1"/>
    <xf borderId="44" fillId="0" fontId="19" numFmtId="2" xfId="0" applyBorder="1" applyFont="1" applyNumberFormat="1"/>
    <xf borderId="44" fillId="0" fontId="19" numFmtId="166" xfId="0" applyBorder="1" applyFont="1" applyNumberFormat="1"/>
    <xf borderId="44" fillId="2" fontId="6" numFmtId="166" xfId="0" applyBorder="1" applyFill="1" applyFont="1" applyNumberFormat="1"/>
    <xf borderId="44" fillId="2" fontId="6" numFmtId="166" xfId="0" applyAlignment="1" applyBorder="1" applyFill="1" applyFont="1" applyNumberFormat="1">
      <alignment horizontal="right"/>
    </xf>
    <xf borderId="44" fillId="0" fontId="19" numFmtId="0" xfId="0" applyBorder="1" applyFont="1"/>
    <xf borderId="45" fillId="0" fontId="19" numFmtId="0" xfId="0" applyBorder="1" applyFont="1"/>
    <xf borderId="25" fillId="0" fontId="15" numFmtId="0" xfId="0" applyAlignment="1" applyBorder="1" applyFont="1">
      <alignment vertical="bottom"/>
    </xf>
    <xf borderId="0" fillId="2" fontId="1" numFmtId="0" xfId="0" applyAlignment="1" applyFill="1" applyFont="1">
      <alignment horizontal="center" readingOrder="0"/>
    </xf>
    <xf borderId="26" fillId="2" fontId="1" numFmtId="0" xfId="0" applyAlignment="1" applyBorder="1" applyFill="1" applyFont="1">
      <alignment horizontal="center" readingOrder="0"/>
    </xf>
    <xf borderId="26" fillId="2" fontId="1" numFmtId="0" xfId="0" applyAlignment="1" applyBorder="1" applyFill="1" applyFont="1">
      <alignment horizontal="center"/>
    </xf>
    <xf borderId="26" fillId="2" fontId="1" numFmtId="0" xfId="0" applyBorder="1" applyFill="1" applyFont="1"/>
    <xf borderId="26" fillId="2" fontId="1" numFmtId="2" xfId="0" applyBorder="1" applyFill="1" applyFont="1" applyNumberFormat="1"/>
    <xf borderId="26" fillId="0" fontId="40" numFmtId="2" xfId="0" applyBorder="1" applyFont="1" applyNumberFormat="1"/>
    <xf borderId="26" fillId="0" fontId="40" numFmtId="166" xfId="0" applyBorder="1" applyFont="1" applyNumberFormat="1"/>
    <xf borderId="26" fillId="2" fontId="1" numFmtId="166" xfId="0" applyBorder="1" applyFill="1" applyFont="1" applyNumberFormat="1"/>
    <xf borderId="26" fillId="2" fontId="1" numFmtId="166" xfId="0" applyAlignment="1" applyBorder="1" applyFill="1" applyFont="1" applyNumberFormat="1">
      <alignment horizontal="right"/>
    </xf>
    <xf borderId="26" fillId="0" fontId="40" numFmtId="0" xfId="0" applyBorder="1" applyFont="1"/>
    <xf borderId="0" fillId="2" fontId="3" numFmtId="0" xfId="0" applyAlignment="1" applyFill="1" applyFont="1">
      <alignment horizontal="center"/>
    </xf>
    <xf borderId="4" fillId="0" fontId="15" numFmtId="0" xfId="0" applyAlignment="1" applyBorder="1" applyFont="1">
      <alignment vertical="bottom"/>
    </xf>
    <xf borderId="6" fillId="2" fontId="1" numFmtId="0" xfId="0" applyAlignment="1" applyBorder="1" applyFill="1" applyFont="1">
      <alignment horizontal="center" readingOrder="0"/>
    </xf>
    <xf borderId="3" fillId="2" fontId="1" numFmtId="0" xfId="0" applyAlignment="1" applyBorder="1" applyFill="1" applyFont="1">
      <alignment horizontal="center" readingOrder="0"/>
    </xf>
    <xf borderId="3" fillId="2" fontId="1" numFmtId="0" xfId="0" applyAlignment="1" applyBorder="1" applyFill="1" applyFont="1">
      <alignment horizontal="center"/>
    </xf>
    <xf borderId="3" fillId="2" fontId="1" numFmtId="0" xfId="0" applyBorder="1" applyFill="1" applyFont="1"/>
    <xf borderId="3" fillId="2" fontId="1" numFmtId="2" xfId="0" applyBorder="1" applyFill="1" applyFont="1" applyNumberFormat="1"/>
    <xf borderId="3" fillId="0" fontId="40" numFmtId="2" xfId="0" applyBorder="1" applyFont="1" applyNumberFormat="1"/>
    <xf borderId="3" fillId="0" fontId="40" numFmtId="166" xfId="0" applyBorder="1" applyFont="1" applyNumberFormat="1"/>
    <xf borderId="3" fillId="2" fontId="1" numFmtId="166" xfId="0" applyBorder="1" applyFill="1" applyFont="1" applyNumberFormat="1"/>
    <xf borderId="3" fillId="2" fontId="1" numFmtId="166" xfId="0" applyAlignment="1" applyBorder="1" applyFill="1" applyFont="1" applyNumberFormat="1">
      <alignment horizontal="right"/>
    </xf>
    <xf borderId="3" fillId="0" fontId="40" numFmtId="0" xfId="0" applyBorder="1" applyFont="1"/>
    <xf borderId="0" fillId="2" fontId="30" numFmtId="0" xfId="0" applyAlignment="1" applyFill="1" applyFont="1">
      <alignment vertical="bottom"/>
    </xf>
    <xf borderId="0" fillId="2" fontId="2" numFmtId="2" xfId="0" applyFill="1" applyFont="1" applyNumberFormat="1"/>
    <xf borderId="37" fillId="0" fontId="15" numFmtId="0" xfId="0" applyAlignment="1" applyBorder="1" applyFont="1">
      <alignment horizontal="right" readingOrder="0" vertical="bottom"/>
    </xf>
    <xf borderId="0" fillId="0" fontId="3" numFmtId="4" xfId="0" applyAlignment="1" applyFont="1" applyNumberFormat="1">
      <alignment readingOrder="0"/>
    </xf>
    <xf borderId="0" fillId="0" fontId="15" numFmtId="4" xfId="0" applyAlignment="1" applyFont="1" applyNumberFormat="1">
      <alignment horizontal="right" vertical="bottom"/>
    </xf>
    <xf borderId="0" fillId="0" fontId="3" numFmtId="4" xfId="0" applyFont="1" applyNumberFormat="1"/>
    <xf borderId="46" fillId="0" fontId="42" numFmtId="0" xfId="0" applyAlignment="1" applyBorder="1" applyFont="1">
      <alignment horizontal="center" readingOrder="0" vertical="center"/>
    </xf>
    <xf borderId="46" fillId="0" fontId="3" numFmtId="0" xfId="0" applyAlignment="1" applyBorder="1" applyFont="1">
      <alignment horizontal="center" readingOrder="0" vertical="center"/>
    </xf>
    <xf borderId="0" fillId="5" fontId="32" numFmtId="0" xfId="0" applyAlignment="1" applyFill="1" applyFont="1">
      <alignment horizontal="left"/>
    </xf>
    <xf borderId="47" fillId="0" fontId="3" numFmtId="0" xfId="0" applyBorder="1" applyFont="1"/>
    <xf borderId="0" fillId="0" fontId="43" numFmtId="0" xfId="0" applyAlignment="1" applyFont="1">
      <alignment readingOrder="0"/>
    </xf>
    <xf borderId="0" fillId="5" fontId="32" numFmtId="0" xfId="0" applyAlignment="1" applyFill="1" applyFont="1">
      <alignment horizontal="right"/>
    </xf>
    <xf borderId="0" fillId="5" fontId="32" numFmtId="0" xfId="0" applyFill="1" applyFont="1"/>
    <xf borderId="37" fillId="5" fontId="32" numFmtId="0" xfId="0" applyAlignment="1" applyBorder="1" applyFill="1" applyFont="1">
      <alignment horizontal="center"/>
    </xf>
    <xf borderId="37" fillId="0" fontId="40" numFmtId="0" xfId="0" applyBorder="1" applyFont="1"/>
    <xf borderId="37" fillId="0" fontId="19" numFmtId="0" xfId="0" applyBorder="1" applyFont="1"/>
    <xf borderId="37" fillId="0" fontId="19" numFmtId="0" xfId="0" applyAlignment="1" applyBorder="1" applyFont="1">
      <alignment readingOrder="0" vertical="bottom"/>
    </xf>
    <xf borderId="37" fillId="0" fontId="19" numFmtId="0" xfId="0" applyAlignment="1" applyBorder="1" applyFont="1">
      <alignment readingOrder="0"/>
    </xf>
    <xf borderId="37" fillId="0" fontId="40" numFmtId="0" xfId="0" applyAlignment="1" applyBorder="1" applyFont="1">
      <alignment readingOrder="0"/>
    </xf>
    <xf borderId="37" fillId="0" fontId="40" numFmtId="167" xfId="0" applyBorder="1" applyFont="1" applyNumberFormat="1"/>
    <xf borderId="37" fillId="0" fontId="40" numFmtId="166" xfId="0" applyBorder="1" applyFont="1" applyNumberFormat="1"/>
    <xf borderId="0" fillId="5" fontId="37" numFmtId="0" xfId="0" applyAlignment="1" applyFill="1" applyFont="1">
      <alignment horizontal="left"/>
    </xf>
    <xf borderId="0" fillId="5" fontId="37" numFmtId="4" xfId="0" applyAlignment="1" applyFill="1" applyFont="1" applyNumberFormat="1">
      <alignment horizontal="left"/>
    </xf>
    <xf borderId="37" fillId="0" fontId="40" numFmtId="4" xfId="0" applyAlignment="1" applyBorder="1" applyFont="1" applyNumberFormat="1">
      <alignment readingOrder="0"/>
    </xf>
    <xf borderId="0" fillId="0" fontId="40" numFmtId="0" xfId="0" applyFont="1"/>
    <xf borderId="2" fillId="2" fontId="6" numFmtId="3" xfId="0" applyAlignment="1" applyBorder="1" applyFill="1" applyFont="1" applyNumberFormat="1">
      <alignment readingOrder="0"/>
    </xf>
    <xf borderId="37" fillId="0" fontId="19" numFmtId="0" xfId="0" applyAlignment="1" applyBorder="1" applyFont="1">
      <alignment horizontal="center" readingOrder="0"/>
    </xf>
    <xf borderId="13" fillId="0" fontId="40" numFmtId="0" xfId="0" applyBorder="1" applyFont="1"/>
    <xf borderId="37" fillId="0" fontId="19" numFmtId="0" xfId="0" applyAlignment="1" applyBorder="1" applyFont="1">
      <alignment horizontal="left" readingOrder="0"/>
    </xf>
    <xf borderId="37" fillId="0" fontId="3" numFmtId="0" xfId="0" applyAlignment="1" applyBorder="1" applyFont="1">
      <alignment readingOrder="0"/>
    </xf>
    <xf borderId="37" fillId="0" fontId="40" numFmtId="2" xfId="0" applyBorder="1" applyFont="1" applyNumberFormat="1"/>
    <xf borderId="37" fillId="0" fontId="40" numFmtId="2" xfId="0" applyAlignment="1" applyBorder="1" applyFont="1" applyNumberFormat="1">
      <alignment readingOrder="0"/>
    </xf>
    <xf borderId="37" fillId="5" fontId="37" numFmtId="0" xfId="0" applyAlignment="1" applyBorder="1" applyFill="1" applyFont="1">
      <alignment horizontal="center"/>
    </xf>
    <xf borderId="0" fillId="5" fontId="44" numFmtId="0" xfId="0" applyAlignment="1" applyFill="1" applyFont="1">
      <alignment horizontal="center" readingOrder="0" shrinkToFit="0" wrapText="0"/>
    </xf>
    <xf borderId="0" fillId="2" fontId="45" numFmtId="0" xfId="0" applyAlignment="1" applyFill="1" applyFont="1">
      <alignment shrinkToFit="0" wrapText="0"/>
    </xf>
    <xf borderId="0" fillId="2" fontId="46" numFmtId="0" xfId="0" applyAlignment="1" applyFill="1" applyFont="1">
      <alignment readingOrder="0" shrinkToFit="0" wrapText="0"/>
    </xf>
    <xf borderId="0" fillId="5" fontId="47" numFmtId="0" xfId="0" applyAlignment="1" applyFill="1" applyFont="1">
      <alignment horizontal="left" readingOrder="0" shrinkToFit="0" wrapText="0"/>
    </xf>
    <xf borderId="0" fillId="5" fontId="48" numFmtId="0" xfId="0" applyAlignment="1" applyFill="1" applyFont="1">
      <alignment horizontal="left" readingOrder="0" shrinkToFit="0" wrapText="0"/>
    </xf>
    <xf borderId="0" fillId="5" fontId="47" numFmtId="0" xfId="0" applyAlignment="1" applyFill="1" applyFont="1">
      <alignment horizontal="center" readingOrder="0" shrinkToFit="0" wrapText="0"/>
    </xf>
    <xf borderId="0" fillId="5" fontId="46" numFmtId="0" xfId="0" applyAlignment="1" applyFill="1" applyFont="1">
      <alignment readingOrder="0" shrinkToFit="0" wrapText="0"/>
    </xf>
    <xf borderId="0" fillId="5" fontId="45" numFmtId="0" xfId="0" applyAlignment="1" applyFill="1" applyFont="1">
      <alignment shrinkToFit="0" wrapText="0"/>
    </xf>
    <xf borderId="0" fillId="2" fontId="46" numFmtId="0" xfId="0" applyAlignment="1" applyFill="1" applyFont="1">
      <alignment horizontal="left" readingOrder="0" shrinkToFit="0" wrapText="0"/>
    </xf>
    <xf borderId="0" fillId="2" fontId="49" numFmtId="0" xfId="0" applyAlignment="1" applyFill="1" applyFont="1">
      <alignment horizontal="left" readingOrder="0" shrinkToFit="0" wrapText="0"/>
    </xf>
    <xf borderId="0" fillId="2" fontId="49" numFmtId="0" xfId="0" applyAlignment="1" applyFill="1" applyFont="1">
      <alignment horizontal="left" shrinkToFit="0" wrapText="0"/>
    </xf>
    <xf borderId="0" fillId="5" fontId="46" numFmtId="0" xfId="0" applyAlignment="1" applyFill="1" applyFont="1">
      <alignment horizontal="left" readingOrder="0" shrinkToFit="0" wrapText="0"/>
    </xf>
    <xf borderId="0" fillId="5" fontId="49" numFmtId="0" xfId="0" applyAlignment="1" applyFill="1" applyFont="1">
      <alignment horizontal="left" readingOrder="0" shrinkToFit="0" wrapText="0"/>
    </xf>
    <xf borderId="0" fillId="5" fontId="49" numFmtId="0" xfId="0" applyAlignment="1" applyFill="1" applyFont="1">
      <alignment horizontal="left" shrinkToFit="0" wrapText="0"/>
    </xf>
    <xf borderId="0" fillId="5" fontId="49" numFmtId="0" xfId="0" applyAlignment="1" applyFill="1" applyFont="1">
      <alignment horizontal="left" shrinkToFit="0" wrapText="0"/>
    </xf>
    <xf borderId="0" fillId="2" fontId="49" numFmtId="0" xfId="0" applyAlignment="1" applyFill="1" applyFont="1">
      <alignment horizontal="left" shrinkToFit="0" wrapText="0"/>
    </xf>
    <xf borderId="0" fillId="5" fontId="50" numFmtId="0" xfId="0" applyAlignment="1" applyFill="1" applyFont="1">
      <alignment readingOrder="0" shrinkToFit="0" wrapText="0"/>
    </xf>
    <xf borderId="0" fillId="2" fontId="50" numFmtId="0" xfId="0" applyAlignment="1" applyFill="1" applyFont="1">
      <alignment readingOrder="0" shrinkToFit="0" wrapText="0"/>
    </xf>
    <xf borderId="0" fillId="5" fontId="44" numFmtId="0" xfId="0" applyAlignment="1" applyFill="1" applyFont="1">
      <alignment horizontal="right" readingOrder="0" shrinkToFit="0" wrapText="0"/>
    </xf>
    <xf borderId="0" fillId="0" fontId="51" numFmtId="0" xfId="0" applyAlignment="1" applyFont="1">
      <alignment horizontal="right" readingOrder="0" shrinkToFit="0" wrapText="0"/>
    </xf>
    <xf borderId="0" fillId="0" fontId="52" numFmtId="164" xfId="0" applyAlignment="1" applyFont="1" applyNumberFormat="1">
      <alignment horizontal="right" readingOrder="0" shrinkToFit="0" wrapText="0"/>
    </xf>
    <xf borderId="0" fillId="0" fontId="53" numFmtId="0" xfId="0" applyAlignment="1" applyFont="1">
      <alignment horizontal="right" shrinkToFit="0" wrapText="0"/>
    </xf>
    <xf borderId="0" fillId="2" fontId="46" numFmtId="0" xfId="0" applyAlignment="1" applyFill="1" applyFont="1">
      <alignment horizontal="right" readingOrder="0" shrinkToFit="0" wrapText="0"/>
    </xf>
    <xf borderId="0" fillId="0" fontId="46" numFmtId="0" xfId="0" applyAlignment="1" applyFont="1">
      <alignment horizontal="right" readingOrder="0" shrinkToFit="0" wrapText="0"/>
    </xf>
    <xf borderId="0" fillId="0" fontId="45" numFmtId="0" xfId="0" applyAlignment="1" applyFont="1">
      <alignment horizontal="right" shrinkToFit="0" wrapText="0"/>
    </xf>
    <xf borderId="0" fillId="2" fontId="45" numFmtId="0" xfId="0" applyAlignment="1" applyFill="1" applyFont="1">
      <alignment horizontal="right" shrinkToFit="0" wrapText="0"/>
    </xf>
    <xf borderId="0" fillId="2" fontId="50" numFmtId="0" xfId="0" applyAlignment="1" applyFill="1" applyFont="1">
      <alignment horizontal="right" readingOrder="0" shrinkToFit="0" wrapText="0"/>
    </xf>
    <xf borderId="0" fillId="0" fontId="50" numFmtId="0" xfId="0" applyAlignment="1" applyFont="1">
      <alignment horizontal="right" readingOrder="0" shrinkToFit="0" wrapText="0"/>
    </xf>
    <xf borderId="0" fillId="0" fontId="3" numFmtId="165" xfId="0" applyFont="1" applyNumberFormat="1"/>
    <xf borderId="0" fillId="5" fontId="54" numFmtId="0" xfId="0" applyAlignment="1" applyFill="1" applyFont="1">
      <alignment horizontal="right" readingOrder="0" shrinkToFit="0" wrapText="0"/>
    </xf>
    <xf borderId="0" fillId="5" fontId="37" numFmtId="0" xfId="0" applyAlignment="1" applyFill="1" applyFont="1">
      <alignment horizontal="right"/>
    </xf>
    <xf borderId="0" fillId="5" fontId="46" numFmtId="0" xfId="0" applyAlignment="1" applyFill="1" applyFont="1">
      <alignment horizontal="right" readingOrder="0" shrinkToFit="0" wrapText="0"/>
    </xf>
    <xf borderId="0" fillId="5" fontId="41" numFmtId="2" xfId="0" applyAlignment="1" applyFill="1" applyFont="1" applyNumberFormat="1">
      <alignment horizontal="right" vertical="bottom"/>
    </xf>
    <xf borderId="0" fillId="5" fontId="32" numFmtId="2" xfId="0" applyAlignment="1" applyFill="1" applyFont="1" applyNumberFormat="1">
      <alignment horizontal="left"/>
    </xf>
  </cellXfs>
  <cellStyles count="1">
    <cellStyle xfId="0" name="Normal" builtinId="0"/>
  </cellStyles>
  <dxfs count="7">
    <dxf>
      <font/>
      <fill>
        <patternFill patternType="solid">
          <fgColor rgb="FF00FF00"/>
          <bgColor rgb="FF00FF00"/>
        </patternFill>
      </fill>
      <border/>
    </dxf>
    <dxf>
      <font>
        <color rgb="FF000000"/>
      </font>
      <fill>
        <patternFill patternType="solid">
          <fgColor rgb="FF00FF00"/>
          <bgColor rgb="FF00FF00"/>
        </patternFill>
      </fill>
      <border/>
    </dxf>
    <dxf>
      <font>
        <color rgb="FFFFFFFF"/>
      </font>
      <fill>
        <patternFill patternType="solid">
          <fgColor rgb="FF000000"/>
          <bgColor rgb="FF000000"/>
        </patternFill>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15</xdr:row>
      <xdr:rowOff>57150</xdr:rowOff>
    </xdr:from>
    <xdr:ext cx="676275" cy="304800"/>
    <xdr:sp>
      <xdr:nvSpPr>
        <xdr:cNvPr id="3" name="Shape 3"/>
        <xdr:cNvSpPr/>
      </xdr:nvSpPr>
      <xdr:spPr>
        <a:xfrm>
          <a:off x="1007050" y="220925"/>
          <a:ext cx="846000" cy="417900"/>
        </a:xfrm>
        <a:prstGeom prst="roundRect">
          <a:avLst>
            <a:gd fmla="val 16667" name="adj"/>
          </a:avLst>
        </a:prstGeom>
        <a:gradFill>
          <a:gsLst>
            <a:gs pos="0">
              <a:srgbClr val="51AB2A"/>
            </a:gs>
            <a:gs pos="100000">
              <a:srgbClr val="203E1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Input Pick</a:t>
          </a:r>
          <a:endParaRPr b="1" sz="1400"/>
        </a:p>
      </xdr:txBody>
    </xdr:sp>
    <xdr:clientData fLocksWithSheet="0"/>
  </xdr:oneCellAnchor>
  <xdr:oneCellAnchor>
    <xdr:from>
      <xdr:col>5</xdr:col>
      <xdr:colOff>1066800</xdr:colOff>
      <xdr:row>15</xdr:row>
      <xdr:rowOff>57150</xdr:rowOff>
    </xdr:from>
    <xdr:ext cx="676275" cy="304800"/>
    <xdr:sp>
      <xdr:nvSpPr>
        <xdr:cNvPr id="4" name="Shape 4"/>
        <xdr:cNvSpPr/>
      </xdr:nvSpPr>
      <xdr:spPr>
        <a:xfrm>
          <a:off x="360225" y="230875"/>
          <a:ext cx="875700" cy="417900"/>
        </a:xfrm>
        <a:prstGeom prst="roundRect">
          <a:avLst>
            <a:gd fmla="val 16667" name="adj"/>
          </a:avLst>
        </a:prstGeom>
        <a:gradFill>
          <a:gsLst>
            <a:gs pos="0">
              <a:srgbClr val="DB0000"/>
            </a:gs>
            <a:gs pos="100000">
              <a:srgbClr val="54030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Clear Last</a:t>
          </a:r>
          <a:endParaRPr b="1" sz="1400"/>
        </a:p>
      </xdr:txBody>
    </xdr:sp>
    <xdr:clientData fLocksWithSheet="0"/>
  </xdr:oneCellAnchor>
  <xdr:oneCellAnchor>
    <xdr:from>
      <xdr:col>5</xdr:col>
      <xdr:colOff>114300</xdr:colOff>
      <xdr:row>7</xdr:row>
      <xdr:rowOff>38100</xdr:rowOff>
    </xdr:from>
    <xdr:ext cx="838200" cy="333375"/>
    <xdr:sp>
      <xdr:nvSpPr>
        <xdr:cNvPr id="5" name="Shape 5"/>
        <xdr:cNvSpPr/>
      </xdr:nvSpPr>
      <xdr:spPr>
        <a:xfrm>
          <a:off x="668725" y="240825"/>
          <a:ext cx="1054800" cy="438000"/>
        </a:xfrm>
        <a:prstGeom prst="roundRect">
          <a:avLst>
            <a:gd fmla="val 16667" name="adj"/>
          </a:avLst>
        </a:prstGeom>
        <a:gradFill>
          <a:gsLst>
            <a:gs pos="0">
              <a:srgbClr val="51AB2A"/>
            </a:gs>
            <a:gs pos="100000">
              <a:srgbClr val="203E1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t>Make Pick</a:t>
          </a:r>
          <a:endParaRPr b="1" sz="1200"/>
        </a:p>
      </xdr:txBody>
    </xdr:sp>
    <xdr:clientData fLocksWithSheet="0"/>
  </xdr:oneCellAnchor>
  <xdr:oneCellAnchor>
    <xdr:from>
      <xdr:col>5</xdr:col>
      <xdr:colOff>1019175</xdr:colOff>
      <xdr:row>7</xdr:row>
      <xdr:rowOff>38100</xdr:rowOff>
    </xdr:from>
    <xdr:ext cx="723900" cy="333375"/>
    <xdr:sp>
      <xdr:nvSpPr>
        <xdr:cNvPr id="6" name="Shape 6"/>
        <xdr:cNvSpPr/>
      </xdr:nvSpPr>
      <xdr:spPr>
        <a:xfrm>
          <a:off x="628925" y="320425"/>
          <a:ext cx="1104600" cy="527400"/>
        </a:xfrm>
        <a:prstGeom prst="roundRect">
          <a:avLst>
            <a:gd fmla="val 16667" name="adj"/>
          </a:avLst>
        </a:prstGeom>
        <a:gradFill>
          <a:gsLst>
            <a:gs pos="0">
              <a:srgbClr val="DB0000"/>
            </a:gs>
            <a:gs pos="100000">
              <a:srgbClr val="540303"/>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Delete Pick</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hashtagbasketball.com/15288/player" TargetMode="External"/><Relationship Id="rId194" Type="http://schemas.openxmlformats.org/officeDocument/2006/relationships/hyperlink" Target="https://hashtagbasketball.com/9659/player" TargetMode="External"/><Relationship Id="rId193" Type="http://schemas.openxmlformats.org/officeDocument/2006/relationships/hyperlink" Target="https://hashtagbasketball.com/10127/player" TargetMode="External"/><Relationship Id="rId192" Type="http://schemas.openxmlformats.org/officeDocument/2006/relationships/hyperlink" Target="https://hashtagbasketball.com/9387/player" TargetMode="External"/><Relationship Id="rId191" Type="http://schemas.openxmlformats.org/officeDocument/2006/relationships/hyperlink" Target="https://hashtagbasketball.com/17312/player" TargetMode="External"/><Relationship Id="rId187" Type="http://schemas.openxmlformats.org/officeDocument/2006/relationships/hyperlink" Target="https://hashtagbasketball.com/27590/player" TargetMode="External"/><Relationship Id="rId186" Type="http://schemas.openxmlformats.org/officeDocument/2006/relationships/hyperlink" Target="https://hashtagbasketball.com/9202/player" TargetMode="External"/><Relationship Id="rId185" Type="http://schemas.openxmlformats.org/officeDocument/2006/relationships/hyperlink" Target="https://hashtagbasketball.com/13740/player" TargetMode="External"/><Relationship Id="rId184" Type="http://schemas.openxmlformats.org/officeDocument/2006/relationships/hyperlink" Target="https://hashtagbasketball.com/9283/player" TargetMode="External"/><Relationship Id="rId189" Type="http://schemas.openxmlformats.org/officeDocument/2006/relationships/hyperlink" Target="https://hashtagbasketball.com/9342/player" TargetMode="External"/><Relationship Id="rId188" Type="http://schemas.openxmlformats.org/officeDocument/2006/relationships/hyperlink" Target="https://hashtagbasketball.com/120004/player" TargetMode="External"/><Relationship Id="rId183" Type="http://schemas.openxmlformats.org/officeDocument/2006/relationships/hyperlink" Target="https://hashtagbasketball.com/120005/player" TargetMode="External"/><Relationship Id="rId182" Type="http://schemas.openxmlformats.org/officeDocument/2006/relationships/hyperlink" Target="https://hashtagbasketball.com/38570/player" TargetMode="External"/><Relationship Id="rId181" Type="http://schemas.openxmlformats.org/officeDocument/2006/relationships/hyperlink" Target="https://hashtagbasketball.com/17305/player" TargetMode="External"/><Relationship Id="rId180" Type="http://schemas.openxmlformats.org/officeDocument/2006/relationships/hyperlink" Target="https://hashtagbasketball.com/15355/player" TargetMode="External"/><Relationship Id="rId176" Type="http://schemas.openxmlformats.org/officeDocument/2006/relationships/hyperlink" Target="https://hashtagbasketball.com/111214/player" TargetMode="External"/><Relationship Id="rId297" Type="http://schemas.openxmlformats.org/officeDocument/2006/relationships/hyperlink" Target="https://hashtagbasketball.com/9390/player" TargetMode="External"/><Relationship Id="rId175" Type="http://schemas.openxmlformats.org/officeDocument/2006/relationships/hyperlink" Target="https://hashtagbasketball.com/13733/player" TargetMode="External"/><Relationship Id="rId296" Type="http://schemas.openxmlformats.org/officeDocument/2006/relationships/hyperlink" Target="https://hashtagbasketball.com/111229/player" TargetMode="External"/><Relationship Id="rId174" Type="http://schemas.openxmlformats.org/officeDocument/2006/relationships/hyperlink" Target="https://hashtagbasketball.com/10087/player" TargetMode="External"/><Relationship Id="rId295" Type="http://schemas.openxmlformats.org/officeDocument/2006/relationships/hyperlink" Target="https://hashtagbasketball.com/9509/player" TargetMode="External"/><Relationship Id="rId173" Type="http://schemas.openxmlformats.org/officeDocument/2006/relationships/hyperlink" Target="https://hashtagbasketball.com/38941/player" TargetMode="External"/><Relationship Id="rId294" Type="http://schemas.openxmlformats.org/officeDocument/2006/relationships/hyperlink" Target="https://hashtagbasketball.com/9191/player" TargetMode="External"/><Relationship Id="rId179" Type="http://schemas.openxmlformats.org/officeDocument/2006/relationships/hyperlink" Target="https://hashtagbasketball.com/38953/player" TargetMode="External"/><Relationship Id="rId178" Type="http://schemas.openxmlformats.org/officeDocument/2006/relationships/hyperlink" Target="https://hashtagbasketball.com/13728/player" TargetMode="External"/><Relationship Id="rId299" Type="http://schemas.openxmlformats.org/officeDocument/2006/relationships/hyperlink" Target="https://hashtagbasketball.com/9467/player" TargetMode="External"/><Relationship Id="rId177" Type="http://schemas.openxmlformats.org/officeDocument/2006/relationships/hyperlink" Target="https://hashtagbasketball.com/15216/player" TargetMode="External"/><Relationship Id="rId298" Type="http://schemas.openxmlformats.org/officeDocument/2006/relationships/hyperlink" Target="https://hashtagbasketball.com/27636/player" TargetMode="External"/><Relationship Id="rId198" Type="http://schemas.openxmlformats.org/officeDocument/2006/relationships/hyperlink" Target="https://hashtagbasketball.com/10129/player" TargetMode="External"/><Relationship Id="rId197" Type="http://schemas.openxmlformats.org/officeDocument/2006/relationships/hyperlink" Target="https://hashtagbasketball.com/9317/player" TargetMode="External"/><Relationship Id="rId196" Type="http://schemas.openxmlformats.org/officeDocument/2006/relationships/hyperlink" Target="https://hashtagbasketball.com/39836/player" TargetMode="External"/><Relationship Id="rId195" Type="http://schemas.openxmlformats.org/officeDocument/2006/relationships/hyperlink" Target="https://hashtagbasketball.com/15300/player" TargetMode="External"/><Relationship Id="rId199" Type="http://schemas.openxmlformats.org/officeDocument/2006/relationships/hyperlink" Target="https://hashtagbasketball.com/31067/player" TargetMode="External"/><Relationship Id="rId150" Type="http://schemas.openxmlformats.org/officeDocument/2006/relationships/hyperlink" Target="https://hashtagbasketball.com/109467/player" TargetMode="External"/><Relationship Id="rId271" Type="http://schemas.openxmlformats.org/officeDocument/2006/relationships/hyperlink" Target="https://hashtagbasketball.com/15323/player" TargetMode="External"/><Relationship Id="rId392" Type="http://schemas.openxmlformats.org/officeDocument/2006/relationships/hyperlink" Target="https://hashtagbasketball.com/111219/player" TargetMode="External"/><Relationship Id="rId270" Type="http://schemas.openxmlformats.org/officeDocument/2006/relationships/hyperlink" Target="https://hashtagbasketball.com/53823/player" TargetMode="External"/><Relationship Id="rId391" Type="http://schemas.openxmlformats.org/officeDocument/2006/relationships/hyperlink" Target="https://hashtagbasketball.com/39834/player" TargetMode="External"/><Relationship Id="rId390" Type="http://schemas.openxmlformats.org/officeDocument/2006/relationships/hyperlink" Target="https://hashtagbasketball.com/37957/player" TargetMode="External"/><Relationship Id="rId1" Type="http://schemas.openxmlformats.org/officeDocument/2006/relationships/hyperlink" Target="https://hashtagbasketball.com/110399/player" TargetMode="External"/><Relationship Id="rId2" Type="http://schemas.openxmlformats.org/officeDocument/2006/relationships/hyperlink" Target="https://hashtagbasketball.com/9196/player" TargetMode="External"/><Relationship Id="rId3" Type="http://schemas.openxmlformats.org/officeDocument/2006/relationships/hyperlink" Target="https://hashtagbasketball.com/15208/player" TargetMode="External"/><Relationship Id="rId149" Type="http://schemas.openxmlformats.org/officeDocument/2006/relationships/hyperlink" Target="https://hashtagbasketball.com/9100/player" TargetMode="External"/><Relationship Id="rId4" Type="http://schemas.openxmlformats.org/officeDocument/2006/relationships/hyperlink" Target="https://hashtagbasketball.com/15200/player" TargetMode="External"/><Relationship Id="rId148" Type="http://schemas.openxmlformats.org/officeDocument/2006/relationships/hyperlink" Target="https://hashtagbasketball.com/15199/player" TargetMode="External"/><Relationship Id="rId269" Type="http://schemas.openxmlformats.org/officeDocument/2006/relationships/hyperlink" Target="https://hashtagbasketball.com/15324/player" TargetMode="External"/><Relationship Id="rId9" Type="http://schemas.openxmlformats.org/officeDocument/2006/relationships/hyperlink" Target="https://hashtagbasketball.com/15202/player" TargetMode="External"/><Relationship Id="rId143" Type="http://schemas.openxmlformats.org/officeDocument/2006/relationships/hyperlink" Target="https://hashtagbasketball.com/13756/player" TargetMode="External"/><Relationship Id="rId264" Type="http://schemas.openxmlformats.org/officeDocument/2006/relationships/hyperlink" Target="https://hashtagbasketball.com/120048/player" TargetMode="External"/><Relationship Id="rId385" Type="http://schemas.openxmlformats.org/officeDocument/2006/relationships/hyperlink" Target="https://hashtagbasketball.com/120022/player" TargetMode="External"/><Relationship Id="rId142" Type="http://schemas.openxmlformats.org/officeDocument/2006/relationships/hyperlink" Target="https://hashtagbasketball.com/17195/player" TargetMode="External"/><Relationship Id="rId263" Type="http://schemas.openxmlformats.org/officeDocument/2006/relationships/hyperlink" Target="https://hashtagbasketball.com/120011/player" TargetMode="External"/><Relationship Id="rId384" Type="http://schemas.openxmlformats.org/officeDocument/2006/relationships/hyperlink" Target="https://hashtagbasketball.com/120035/player" TargetMode="External"/><Relationship Id="rId141" Type="http://schemas.openxmlformats.org/officeDocument/2006/relationships/hyperlink" Target="https://hashtagbasketball.com/111205/player" TargetMode="External"/><Relationship Id="rId262" Type="http://schemas.openxmlformats.org/officeDocument/2006/relationships/hyperlink" Target="https://hashtagbasketball.com/11882/player" TargetMode="External"/><Relationship Id="rId383" Type="http://schemas.openxmlformats.org/officeDocument/2006/relationships/hyperlink" Target="https://hashtagbasketball.com/17236/player" TargetMode="External"/><Relationship Id="rId140" Type="http://schemas.openxmlformats.org/officeDocument/2006/relationships/hyperlink" Target="https://hashtagbasketball.com/17255/player" TargetMode="External"/><Relationship Id="rId261" Type="http://schemas.openxmlformats.org/officeDocument/2006/relationships/hyperlink" Target="https://hashtagbasketball.com/120002/player" TargetMode="External"/><Relationship Id="rId382" Type="http://schemas.openxmlformats.org/officeDocument/2006/relationships/hyperlink" Target="https://hashtagbasketball.com/111223/player" TargetMode="External"/><Relationship Id="rId5" Type="http://schemas.openxmlformats.org/officeDocument/2006/relationships/hyperlink" Target="https://hashtagbasketball.com/9354/player" TargetMode="External"/><Relationship Id="rId147" Type="http://schemas.openxmlformats.org/officeDocument/2006/relationships/hyperlink" Target="https://hashtagbasketball.com/17251/player" TargetMode="External"/><Relationship Id="rId268" Type="http://schemas.openxmlformats.org/officeDocument/2006/relationships/hyperlink" Target="https://hashtagbasketball.com/13790/player" TargetMode="External"/><Relationship Id="rId389" Type="http://schemas.openxmlformats.org/officeDocument/2006/relationships/hyperlink" Target="https://hashtagbasketball.com/120070/player" TargetMode="External"/><Relationship Id="rId6" Type="http://schemas.openxmlformats.org/officeDocument/2006/relationships/hyperlink" Target="https://hashtagbasketball.com/9418/player" TargetMode="External"/><Relationship Id="rId146" Type="http://schemas.openxmlformats.org/officeDocument/2006/relationships/hyperlink" Target="https://hashtagbasketball.com/27883/player" TargetMode="External"/><Relationship Id="rId267" Type="http://schemas.openxmlformats.org/officeDocument/2006/relationships/hyperlink" Target="https://hashtagbasketball.com/31054/player" TargetMode="External"/><Relationship Id="rId388" Type="http://schemas.openxmlformats.org/officeDocument/2006/relationships/hyperlink" Target="https://hashtagbasketball.com/17233/player" TargetMode="External"/><Relationship Id="rId7" Type="http://schemas.openxmlformats.org/officeDocument/2006/relationships/hyperlink" Target="https://hashtagbasketball.com/9325/player" TargetMode="External"/><Relationship Id="rId145" Type="http://schemas.openxmlformats.org/officeDocument/2006/relationships/hyperlink" Target="https://hashtagbasketball.com/38938/player" TargetMode="External"/><Relationship Id="rId266" Type="http://schemas.openxmlformats.org/officeDocument/2006/relationships/hyperlink" Target="https://hashtagbasketball.com/27587/player" TargetMode="External"/><Relationship Id="rId387" Type="http://schemas.openxmlformats.org/officeDocument/2006/relationships/hyperlink" Target="https://hashtagbasketball.com/38958/player" TargetMode="External"/><Relationship Id="rId8" Type="http://schemas.openxmlformats.org/officeDocument/2006/relationships/hyperlink" Target="https://hashtagbasketball.com/27619/player" TargetMode="External"/><Relationship Id="rId144" Type="http://schemas.openxmlformats.org/officeDocument/2006/relationships/hyperlink" Target="https://hashtagbasketball.com/15204/player" TargetMode="External"/><Relationship Id="rId265" Type="http://schemas.openxmlformats.org/officeDocument/2006/relationships/hyperlink" Target="https://hashtagbasketball.com/31043/player" TargetMode="External"/><Relationship Id="rId386" Type="http://schemas.openxmlformats.org/officeDocument/2006/relationships/hyperlink" Target="https://hashtagbasketball.com/9271/player" TargetMode="External"/><Relationship Id="rId260" Type="http://schemas.openxmlformats.org/officeDocument/2006/relationships/hyperlink" Target="https://hashtagbasketball.com/17241/player" TargetMode="External"/><Relationship Id="rId381" Type="http://schemas.openxmlformats.org/officeDocument/2006/relationships/hyperlink" Target="https://hashtagbasketball.com/39851/player" TargetMode="External"/><Relationship Id="rId380" Type="http://schemas.openxmlformats.org/officeDocument/2006/relationships/hyperlink" Target="https://hashtagbasketball.com/15319/player" TargetMode="External"/><Relationship Id="rId139" Type="http://schemas.openxmlformats.org/officeDocument/2006/relationships/hyperlink" Target="https://hashtagbasketball.com/13739/player" TargetMode="External"/><Relationship Id="rId138" Type="http://schemas.openxmlformats.org/officeDocument/2006/relationships/hyperlink" Target="https://hashtagbasketball.com/17273/player" TargetMode="External"/><Relationship Id="rId259" Type="http://schemas.openxmlformats.org/officeDocument/2006/relationships/hyperlink" Target="https://hashtagbasketball.com/9213/player" TargetMode="External"/><Relationship Id="rId137" Type="http://schemas.openxmlformats.org/officeDocument/2006/relationships/hyperlink" Target="https://hashtagbasketball.com/17181/player" TargetMode="External"/><Relationship Id="rId258" Type="http://schemas.openxmlformats.org/officeDocument/2006/relationships/hyperlink" Target="https://hashtagbasketball.com/27593/player" TargetMode="External"/><Relationship Id="rId379" Type="http://schemas.openxmlformats.org/officeDocument/2006/relationships/hyperlink" Target="https://hashtagbasketball.com/120067/player" TargetMode="External"/><Relationship Id="rId132" Type="http://schemas.openxmlformats.org/officeDocument/2006/relationships/hyperlink" Target="https://hashtagbasketball.com/9151/player" TargetMode="External"/><Relationship Id="rId253" Type="http://schemas.openxmlformats.org/officeDocument/2006/relationships/hyperlink" Target="https://hashtagbasketball.com/111221/player" TargetMode="External"/><Relationship Id="rId374" Type="http://schemas.openxmlformats.org/officeDocument/2006/relationships/hyperlink" Target="https://hashtagbasketball.com/120052/player" TargetMode="External"/><Relationship Id="rId131" Type="http://schemas.openxmlformats.org/officeDocument/2006/relationships/hyperlink" Target="https://hashtagbasketball.com/17224/player" TargetMode="External"/><Relationship Id="rId252" Type="http://schemas.openxmlformats.org/officeDocument/2006/relationships/hyperlink" Target="https://hashtagbasketball.com/27843/player" TargetMode="External"/><Relationship Id="rId373" Type="http://schemas.openxmlformats.org/officeDocument/2006/relationships/hyperlink" Target="https://hashtagbasketball.com/53607/player" TargetMode="External"/><Relationship Id="rId130" Type="http://schemas.openxmlformats.org/officeDocument/2006/relationships/hyperlink" Target="https://hashtagbasketball.com/15218/player" TargetMode="External"/><Relationship Id="rId251" Type="http://schemas.openxmlformats.org/officeDocument/2006/relationships/hyperlink" Target="https://hashtagbasketball.com/111224/player" TargetMode="External"/><Relationship Id="rId372" Type="http://schemas.openxmlformats.org/officeDocument/2006/relationships/hyperlink" Target="https://hashtagbasketball.com/120072/player" TargetMode="External"/><Relationship Id="rId250" Type="http://schemas.openxmlformats.org/officeDocument/2006/relationships/hyperlink" Target="https://hashtagbasketball.com/53593/player" TargetMode="External"/><Relationship Id="rId371" Type="http://schemas.openxmlformats.org/officeDocument/2006/relationships/hyperlink" Target="https://hashtagbasketball.com/15297/player" TargetMode="External"/><Relationship Id="rId136" Type="http://schemas.openxmlformats.org/officeDocument/2006/relationships/hyperlink" Target="https://hashtagbasketball.com/38635/player" TargetMode="External"/><Relationship Id="rId257" Type="http://schemas.openxmlformats.org/officeDocument/2006/relationships/hyperlink" Target="https://hashtagbasketball.com/35219/player" TargetMode="External"/><Relationship Id="rId378" Type="http://schemas.openxmlformats.org/officeDocument/2006/relationships/hyperlink" Target="https://hashtagbasketball.com/9268/player" TargetMode="External"/><Relationship Id="rId135" Type="http://schemas.openxmlformats.org/officeDocument/2006/relationships/hyperlink" Target="https://hashtagbasketball.com/120000/player" TargetMode="External"/><Relationship Id="rId256" Type="http://schemas.openxmlformats.org/officeDocument/2006/relationships/hyperlink" Target="https://hashtagbasketball.com/10162/player" TargetMode="External"/><Relationship Id="rId377" Type="http://schemas.openxmlformats.org/officeDocument/2006/relationships/hyperlink" Target="https://hashtagbasketball.com/9498/player" TargetMode="External"/><Relationship Id="rId134" Type="http://schemas.openxmlformats.org/officeDocument/2006/relationships/hyperlink" Target="https://hashtagbasketball.com/9203/player" TargetMode="External"/><Relationship Id="rId255" Type="http://schemas.openxmlformats.org/officeDocument/2006/relationships/hyperlink" Target="https://hashtagbasketball.com/27622/player" TargetMode="External"/><Relationship Id="rId376" Type="http://schemas.openxmlformats.org/officeDocument/2006/relationships/hyperlink" Target="https://hashtagbasketball.com/120015/player" TargetMode="External"/><Relationship Id="rId133" Type="http://schemas.openxmlformats.org/officeDocument/2006/relationships/hyperlink" Target="https://hashtagbasketball.com/111212/player" TargetMode="External"/><Relationship Id="rId254" Type="http://schemas.openxmlformats.org/officeDocument/2006/relationships/hyperlink" Target="https://hashtagbasketball.com/9512/player" TargetMode="External"/><Relationship Id="rId375" Type="http://schemas.openxmlformats.org/officeDocument/2006/relationships/hyperlink" Target="https://hashtagbasketball.com/39849/player" TargetMode="External"/><Relationship Id="rId172" Type="http://schemas.openxmlformats.org/officeDocument/2006/relationships/hyperlink" Target="https://hashtagbasketball.com/27454/player" TargetMode="External"/><Relationship Id="rId293" Type="http://schemas.openxmlformats.org/officeDocument/2006/relationships/hyperlink" Target="https://hashtagbasketball.com/11259/player" TargetMode="External"/><Relationship Id="rId171" Type="http://schemas.openxmlformats.org/officeDocument/2006/relationships/hyperlink" Target="https://hashtagbasketball.com/31065/player" TargetMode="External"/><Relationship Id="rId292" Type="http://schemas.openxmlformats.org/officeDocument/2006/relationships/hyperlink" Target="https://hashtagbasketball.com/13766/player" TargetMode="External"/><Relationship Id="rId170" Type="http://schemas.openxmlformats.org/officeDocument/2006/relationships/hyperlink" Target="https://hashtagbasketball.com/9423/player" TargetMode="External"/><Relationship Id="rId291" Type="http://schemas.openxmlformats.org/officeDocument/2006/relationships/hyperlink" Target="https://hashtagbasketball.com/14134/player" TargetMode="External"/><Relationship Id="rId290" Type="http://schemas.openxmlformats.org/officeDocument/2006/relationships/hyperlink" Target="https://hashtagbasketball.com/120008/player" TargetMode="External"/><Relationship Id="rId165" Type="http://schemas.openxmlformats.org/officeDocument/2006/relationships/hyperlink" Target="https://hashtagbasketball.com/38614/player" TargetMode="External"/><Relationship Id="rId286" Type="http://schemas.openxmlformats.org/officeDocument/2006/relationships/hyperlink" Target="https://hashtagbasketball.com/35209/player" TargetMode="External"/><Relationship Id="rId164" Type="http://schemas.openxmlformats.org/officeDocument/2006/relationships/hyperlink" Target="https://hashtagbasketball.com/39833/player" TargetMode="External"/><Relationship Id="rId285" Type="http://schemas.openxmlformats.org/officeDocument/2006/relationships/hyperlink" Target="https://hashtagbasketball.com/31039/player" TargetMode="External"/><Relationship Id="rId163" Type="http://schemas.openxmlformats.org/officeDocument/2006/relationships/hyperlink" Target="https://hashtagbasketball.com/9490/player" TargetMode="External"/><Relationship Id="rId284" Type="http://schemas.openxmlformats.org/officeDocument/2006/relationships/hyperlink" Target="https://hashtagbasketball.com/9442/player" TargetMode="External"/><Relationship Id="rId162" Type="http://schemas.openxmlformats.org/officeDocument/2006/relationships/hyperlink" Target="https://hashtagbasketball.com/111203/player" TargetMode="External"/><Relationship Id="rId283" Type="http://schemas.openxmlformats.org/officeDocument/2006/relationships/hyperlink" Target="https://hashtagbasketball.com/111216/player" TargetMode="External"/><Relationship Id="rId169" Type="http://schemas.openxmlformats.org/officeDocument/2006/relationships/hyperlink" Target="https://hashtagbasketball.com/17276/player" TargetMode="External"/><Relationship Id="rId168" Type="http://schemas.openxmlformats.org/officeDocument/2006/relationships/hyperlink" Target="https://hashtagbasketball.com/120096/player" TargetMode="External"/><Relationship Id="rId289" Type="http://schemas.openxmlformats.org/officeDocument/2006/relationships/hyperlink" Target="https://hashtagbasketball.com/31087/player" TargetMode="External"/><Relationship Id="rId167" Type="http://schemas.openxmlformats.org/officeDocument/2006/relationships/hyperlink" Target="https://hashtagbasketball.com/27627/player" TargetMode="External"/><Relationship Id="rId288" Type="http://schemas.openxmlformats.org/officeDocument/2006/relationships/hyperlink" Target="https://hashtagbasketball.com/120019/player" TargetMode="External"/><Relationship Id="rId166" Type="http://schemas.openxmlformats.org/officeDocument/2006/relationships/hyperlink" Target="https://hashtagbasketball.com/27700/player" TargetMode="External"/><Relationship Id="rId287" Type="http://schemas.openxmlformats.org/officeDocument/2006/relationships/hyperlink" Target="https://hashtagbasketball.com/38582/player" TargetMode="External"/><Relationship Id="rId161" Type="http://schemas.openxmlformats.org/officeDocument/2006/relationships/hyperlink" Target="https://hashtagbasketball.com/120018/player" TargetMode="External"/><Relationship Id="rId282" Type="http://schemas.openxmlformats.org/officeDocument/2006/relationships/hyperlink" Target="https://hashtagbasketball.com/38847/player" TargetMode="External"/><Relationship Id="rId160" Type="http://schemas.openxmlformats.org/officeDocument/2006/relationships/hyperlink" Target="https://hashtagbasketball.com/27679/player" TargetMode="External"/><Relationship Id="rId281" Type="http://schemas.openxmlformats.org/officeDocument/2006/relationships/hyperlink" Target="https://hashtagbasketball.com/120020/player" TargetMode="External"/><Relationship Id="rId280" Type="http://schemas.openxmlformats.org/officeDocument/2006/relationships/hyperlink" Target="https://hashtagbasketball.com/109468/player" TargetMode="External"/><Relationship Id="rId159" Type="http://schemas.openxmlformats.org/officeDocument/2006/relationships/hyperlink" Target="https://hashtagbasketball.com/9406/player" TargetMode="External"/><Relationship Id="rId154" Type="http://schemas.openxmlformats.org/officeDocument/2006/relationships/hyperlink" Target="https://hashtagbasketball.com/27661/player" TargetMode="External"/><Relationship Id="rId275" Type="http://schemas.openxmlformats.org/officeDocument/2006/relationships/hyperlink" Target="https://hashtagbasketball.com/9507/player" TargetMode="External"/><Relationship Id="rId396" Type="http://schemas.openxmlformats.org/officeDocument/2006/relationships/hyperlink" Target="https://hashtagbasketball.com/38946/player" TargetMode="External"/><Relationship Id="rId153" Type="http://schemas.openxmlformats.org/officeDocument/2006/relationships/hyperlink" Target="https://hashtagbasketball.com/9526/player" TargetMode="External"/><Relationship Id="rId274" Type="http://schemas.openxmlformats.org/officeDocument/2006/relationships/hyperlink" Target="https://hashtagbasketball.com/17334/player" TargetMode="External"/><Relationship Id="rId395" Type="http://schemas.openxmlformats.org/officeDocument/2006/relationships/hyperlink" Target="https://hashtagbasketball.com/120046/player" TargetMode="External"/><Relationship Id="rId152" Type="http://schemas.openxmlformats.org/officeDocument/2006/relationships/hyperlink" Target="https://hashtagbasketball.com/15287/player" TargetMode="External"/><Relationship Id="rId273" Type="http://schemas.openxmlformats.org/officeDocument/2006/relationships/hyperlink" Target="https://hashtagbasketball.com/111248/player" TargetMode="External"/><Relationship Id="rId394" Type="http://schemas.openxmlformats.org/officeDocument/2006/relationships/hyperlink" Target="https://hashtagbasketball.com/120063/player" TargetMode="External"/><Relationship Id="rId151" Type="http://schemas.openxmlformats.org/officeDocument/2006/relationships/hyperlink" Target="https://hashtagbasketball.com/17286/player" TargetMode="External"/><Relationship Id="rId272" Type="http://schemas.openxmlformats.org/officeDocument/2006/relationships/hyperlink" Target="https://hashtagbasketball.com/9456/player" TargetMode="External"/><Relationship Id="rId393" Type="http://schemas.openxmlformats.org/officeDocument/2006/relationships/hyperlink" Target="https://hashtagbasketball.com/9525/player" TargetMode="External"/><Relationship Id="rId158" Type="http://schemas.openxmlformats.org/officeDocument/2006/relationships/hyperlink" Target="https://hashtagbasketball.com/38950/player" TargetMode="External"/><Relationship Id="rId279" Type="http://schemas.openxmlformats.org/officeDocument/2006/relationships/hyperlink" Target="https://hashtagbasketball.com/9161/player" TargetMode="External"/><Relationship Id="rId157" Type="http://schemas.openxmlformats.org/officeDocument/2006/relationships/hyperlink" Target="https://hashtagbasketball.com/120003/player" TargetMode="External"/><Relationship Id="rId278" Type="http://schemas.openxmlformats.org/officeDocument/2006/relationships/hyperlink" Target="https://hashtagbasketball.com/15261/player" TargetMode="External"/><Relationship Id="rId399" Type="http://schemas.openxmlformats.org/officeDocument/2006/relationships/hyperlink" Target="https://hashtagbasketball.com/27720/player" TargetMode="External"/><Relationship Id="rId156" Type="http://schemas.openxmlformats.org/officeDocument/2006/relationships/hyperlink" Target="https://hashtagbasketball.com/15282/player" TargetMode="External"/><Relationship Id="rId277" Type="http://schemas.openxmlformats.org/officeDocument/2006/relationships/hyperlink" Target="https://hashtagbasketball.com/31084/player" TargetMode="External"/><Relationship Id="rId398" Type="http://schemas.openxmlformats.org/officeDocument/2006/relationships/hyperlink" Target="https://hashtagbasketball.com/111260/player" TargetMode="External"/><Relationship Id="rId155" Type="http://schemas.openxmlformats.org/officeDocument/2006/relationships/hyperlink" Target="https://hashtagbasketball.com/111217/player" TargetMode="External"/><Relationship Id="rId276" Type="http://schemas.openxmlformats.org/officeDocument/2006/relationships/hyperlink" Target="https://hashtagbasketball.com/17274/player" TargetMode="External"/><Relationship Id="rId397" Type="http://schemas.openxmlformats.org/officeDocument/2006/relationships/hyperlink" Target="https://hashtagbasketball.com/38947/player" TargetMode="External"/><Relationship Id="rId40" Type="http://schemas.openxmlformats.org/officeDocument/2006/relationships/hyperlink" Target="https://hashtagbasketball.com/27649/player" TargetMode="External"/><Relationship Id="rId42" Type="http://schemas.openxmlformats.org/officeDocument/2006/relationships/hyperlink" Target="https://hashtagbasketball.com/31045/player" TargetMode="External"/><Relationship Id="rId41" Type="http://schemas.openxmlformats.org/officeDocument/2006/relationships/hyperlink" Target="https://hashtagbasketball.com/10165/player" TargetMode="External"/><Relationship Id="rId44" Type="http://schemas.openxmlformats.org/officeDocument/2006/relationships/hyperlink" Target="https://hashtagbasketball.com/9373/player" TargetMode="External"/><Relationship Id="rId43" Type="http://schemas.openxmlformats.org/officeDocument/2006/relationships/hyperlink" Target="https://hashtagbasketball.com/13742/player" TargetMode="External"/><Relationship Id="rId46" Type="http://schemas.openxmlformats.org/officeDocument/2006/relationships/hyperlink" Target="https://hashtagbasketball.com/9252/player" TargetMode="External"/><Relationship Id="rId45" Type="http://schemas.openxmlformats.org/officeDocument/2006/relationships/hyperlink" Target="https://hashtagbasketball.com/31030/player" TargetMode="External"/><Relationship Id="rId48" Type="http://schemas.openxmlformats.org/officeDocument/2006/relationships/hyperlink" Target="https://hashtagbasketball.com/10134/player" TargetMode="External"/><Relationship Id="rId47" Type="http://schemas.openxmlformats.org/officeDocument/2006/relationships/hyperlink" Target="https://hashtagbasketball.com/27724/player" TargetMode="External"/><Relationship Id="rId49" Type="http://schemas.openxmlformats.org/officeDocument/2006/relationships/hyperlink" Target="https://hashtagbasketball.com/31037/player" TargetMode="External"/><Relationship Id="rId31" Type="http://schemas.openxmlformats.org/officeDocument/2006/relationships/hyperlink" Target="https://hashtagbasketball.com/27450/player" TargetMode="External"/><Relationship Id="rId30" Type="http://schemas.openxmlformats.org/officeDocument/2006/relationships/hyperlink" Target="https://hashtagbasketball.com/15201/player" TargetMode="External"/><Relationship Id="rId33" Type="http://schemas.openxmlformats.org/officeDocument/2006/relationships/hyperlink" Target="https://hashtagbasketball.com/31049/player" TargetMode="External"/><Relationship Id="rId32" Type="http://schemas.openxmlformats.org/officeDocument/2006/relationships/hyperlink" Target="https://hashtagbasketball.com/10124/player" TargetMode="External"/><Relationship Id="rId35" Type="http://schemas.openxmlformats.org/officeDocument/2006/relationships/hyperlink" Target="https://hashtagbasketball.com/13755/player" TargetMode="External"/><Relationship Id="rId34" Type="http://schemas.openxmlformats.org/officeDocument/2006/relationships/hyperlink" Target="https://hashtagbasketball.com/13732/player" TargetMode="External"/><Relationship Id="rId37" Type="http://schemas.openxmlformats.org/officeDocument/2006/relationships/hyperlink" Target="https://hashtagbasketball.com/9489/player" TargetMode="External"/><Relationship Id="rId36" Type="http://schemas.openxmlformats.org/officeDocument/2006/relationships/hyperlink" Target="https://hashtagbasketball.com/17189/player" TargetMode="External"/><Relationship Id="rId39" Type="http://schemas.openxmlformats.org/officeDocument/2006/relationships/hyperlink" Target="https://hashtagbasketball.com/9476/player" TargetMode="External"/><Relationship Id="rId38" Type="http://schemas.openxmlformats.org/officeDocument/2006/relationships/hyperlink" Target="https://hashtagbasketball.com/31032/player" TargetMode="External"/><Relationship Id="rId20" Type="http://schemas.openxmlformats.org/officeDocument/2006/relationships/hyperlink" Target="https://hashtagbasketball.com/27469/player" TargetMode="External"/><Relationship Id="rId22" Type="http://schemas.openxmlformats.org/officeDocument/2006/relationships/hyperlink" Target="https://hashtagbasketball.com/10113/player" TargetMode="External"/><Relationship Id="rId21" Type="http://schemas.openxmlformats.org/officeDocument/2006/relationships/hyperlink" Target="https://hashtagbasketball.com/9346/player" TargetMode="External"/><Relationship Id="rId24" Type="http://schemas.openxmlformats.org/officeDocument/2006/relationships/hyperlink" Target="https://hashtagbasketball.com/38617/player" TargetMode="External"/><Relationship Id="rId23" Type="http://schemas.openxmlformats.org/officeDocument/2006/relationships/hyperlink" Target="https://hashtagbasketball.com/13734/player" TargetMode="External"/><Relationship Id="rId401" Type="http://schemas.openxmlformats.org/officeDocument/2006/relationships/drawing" Target="../drawings/drawing4.xml"/><Relationship Id="rId26" Type="http://schemas.openxmlformats.org/officeDocument/2006/relationships/hyperlink" Target="https://hashtagbasketball.com/27638/player" TargetMode="External"/><Relationship Id="rId25" Type="http://schemas.openxmlformats.org/officeDocument/2006/relationships/hyperlink" Target="https://hashtagbasketball.com/15280/player" TargetMode="External"/><Relationship Id="rId28" Type="http://schemas.openxmlformats.org/officeDocument/2006/relationships/hyperlink" Target="https://hashtagbasketball.com/38949/player" TargetMode="External"/><Relationship Id="rId27" Type="http://schemas.openxmlformats.org/officeDocument/2006/relationships/hyperlink" Target="https://hashtagbasketball.com/9250/player" TargetMode="External"/><Relationship Id="rId400" Type="http://schemas.openxmlformats.org/officeDocument/2006/relationships/hyperlink" Target="https://hashtagbasketball.com/120009/player" TargetMode="External"/><Relationship Id="rId29" Type="http://schemas.openxmlformats.org/officeDocument/2006/relationships/hyperlink" Target="https://hashtagbasketball.com/9152/player" TargetMode="External"/><Relationship Id="rId11" Type="http://schemas.openxmlformats.org/officeDocument/2006/relationships/hyperlink" Target="https://hashtagbasketball.com/9232/player" TargetMode="External"/><Relationship Id="rId10" Type="http://schemas.openxmlformats.org/officeDocument/2006/relationships/hyperlink" Target="https://hashtagbasketball.com/13730/player" TargetMode="External"/><Relationship Id="rId13" Type="http://schemas.openxmlformats.org/officeDocument/2006/relationships/hyperlink" Target="https://hashtagbasketball.com/13741/player" TargetMode="External"/><Relationship Id="rId12" Type="http://schemas.openxmlformats.org/officeDocument/2006/relationships/hyperlink" Target="https://hashtagbasketball.com/9218/player" TargetMode="External"/><Relationship Id="rId15" Type="http://schemas.openxmlformats.org/officeDocument/2006/relationships/hyperlink" Target="https://hashtagbasketball.com/9386/player" TargetMode="External"/><Relationship Id="rId14" Type="http://schemas.openxmlformats.org/officeDocument/2006/relationships/hyperlink" Target="https://hashtagbasketball.com/9157/player" TargetMode="External"/><Relationship Id="rId17" Type="http://schemas.openxmlformats.org/officeDocument/2006/relationships/hyperlink" Target="https://hashtagbasketball.com/31033/player" TargetMode="External"/><Relationship Id="rId16" Type="http://schemas.openxmlformats.org/officeDocument/2006/relationships/hyperlink" Target="https://hashtagbasketball.com/9158/player" TargetMode="External"/><Relationship Id="rId19" Type="http://schemas.openxmlformats.org/officeDocument/2006/relationships/hyperlink" Target="https://hashtagbasketball.com/9434/player" TargetMode="External"/><Relationship Id="rId18" Type="http://schemas.openxmlformats.org/officeDocument/2006/relationships/hyperlink" Target="https://hashtagbasketball.com/9445/player" TargetMode="External"/><Relationship Id="rId84" Type="http://schemas.openxmlformats.org/officeDocument/2006/relationships/hyperlink" Target="https://hashtagbasketball.com/35041/player" TargetMode="External"/><Relationship Id="rId83" Type="http://schemas.openxmlformats.org/officeDocument/2006/relationships/hyperlink" Target="https://hashtagbasketball.com/38840/player" TargetMode="External"/><Relationship Id="rId86" Type="http://schemas.openxmlformats.org/officeDocument/2006/relationships/hyperlink" Target="https://hashtagbasketball.com/27342/player" TargetMode="External"/><Relationship Id="rId85" Type="http://schemas.openxmlformats.org/officeDocument/2006/relationships/hyperlink" Target="https://hashtagbasketball.com/38942/player" TargetMode="External"/><Relationship Id="rId88" Type="http://schemas.openxmlformats.org/officeDocument/2006/relationships/hyperlink" Target="https://hashtagbasketball.com/17193/player" TargetMode="External"/><Relationship Id="rId87" Type="http://schemas.openxmlformats.org/officeDocument/2006/relationships/hyperlink" Target="https://hashtagbasketball.com/13750/player" TargetMode="External"/><Relationship Id="rId89" Type="http://schemas.openxmlformats.org/officeDocument/2006/relationships/hyperlink" Target="https://hashtagbasketball.com/15211/player" TargetMode="External"/><Relationship Id="rId80" Type="http://schemas.openxmlformats.org/officeDocument/2006/relationships/hyperlink" Target="https://hashtagbasketball.com/38797/player" TargetMode="External"/><Relationship Id="rId82" Type="http://schemas.openxmlformats.org/officeDocument/2006/relationships/hyperlink" Target="https://hashtagbasketball.com/13726/player" TargetMode="External"/><Relationship Id="rId81" Type="http://schemas.openxmlformats.org/officeDocument/2006/relationships/hyperlink" Target="https://hashtagbasketball.com/111207/player" TargetMode="External"/><Relationship Id="rId73" Type="http://schemas.openxmlformats.org/officeDocument/2006/relationships/hyperlink" Target="https://hashtagbasketball.com/27644/player" TargetMode="External"/><Relationship Id="rId72" Type="http://schemas.openxmlformats.org/officeDocument/2006/relationships/hyperlink" Target="https://hashtagbasketball.com/10149/player" TargetMode="External"/><Relationship Id="rId75" Type="http://schemas.openxmlformats.org/officeDocument/2006/relationships/hyperlink" Target="https://hashtagbasketball.com/109470/player" TargetMode="External"/><Relationship Id="rId74" Type="http://schemas.openxmlformats.org/officeDocument/2006/relationships/hyperlink" Target="https://hashtagbasketball.com/15221/player" TargetMode="External"/><Relationship Id="rId77" Type="http://schemas.openxmlformats.org/officeDocument/2006/relationships/hyperlink" Target="https://hashtagbasketball.com/31035/player" TargetMode="External"/><Relationship Id="rId76" Type="http://schemas.openxmlformats.org/officeDocument/2006/relationships/hyperlink" Target="https://hashtagbasketball.com/15205/player" TargetMode="External"/><Relationship Id="rId79" Type="http://schemas.openxmlformats.org/officeDocument/2006/relationships/hyperlink" Target="https://hashtagbasketball.com/31034/player" TargetMode="External"/><Relationship Id="rId78" Type="http://schemas.openxmlformats.org/officeDocument/2006/relationships/hyperlink" Target="https://hashtagbasketball.com/38835/player" TargetMode="External"/><Relationship Id="rId71" Type="http://schemas.openxmlformats.org/officeDocument/2006/relationships/hyperlink" Target="https://hashtagbasketball.com/15207/player" TargetMode="External"/><Relationship Id="rId70" Type="http://schemas.openxmlformats.org/officeDocument/2006/relationships/hyperlink" Target="https://hashtagbasketball.com/38790/player" TargetMode="External"/><Relationship Id="rId62" Type="http://schemas.openxmlformats.org/officeDocument/2006/relationships/hyperlink" Target="https://hashtagbasketball.com/10123/player" TargetMode="External"/><Relationship Id="rId61" Type="http://schemas.openxmlformats.org/officeDocument/2006/relationships/hyperlink" Target="https://hashtagbasketball.com/16958/player" TargetMode="External"/><Relationship Id="rId64" Type="http://schemas.openxmlformats.org/officeDocument/2006/relationships/hyperlink" Target="https://hashtagbasketball.com/17329/player" TargetMode="External"/><Relationship Id="rId63" Type="http://schemas.openxmlformats.org/officeDocument/2006/relationships/hyperlink" Target="https://hashtagbasketball.com/9343/player" TargetMode="External"/><Relationship Id="rId66" Type="http://schemas.openxmlformats.org/officeDocument/2006/relationships/hyperlink" Target="https://hashtagbasketball.com/15209/player" TargetMode="External"/><Relationship Id="rId65" Type="http://schemas.openxmlformats.org/officeDocument/2006/relationships/hyperlink" Target="https://hashtagbasketball.com/17252/player" TargetMode="External"/><Relationship Id="rId68" Type="http://schemas.openxmlformats.org/officeDocument/2006/relationships/hyperlink" Target="https://hashtagbasketball.com/31046/player" TargetMode="External"/><Relationship Id="rId67" Type="http://schemas.openxmlformats.org/officeDocument/2006/relationships/hyperlink" Target="https://hashtagbasketball.com/17295/player" TargetMode="External"/><Relationship Id="rId60" Type="http://schemas.openxmlformats.org/officeDocument/2006/relationships/hyperlink" Target="https://hashtagbasketball.com/9355/player" TargetMode="External"/><Relationship Id="rId69" Type="http://schemas.openxmlformats.org/officeDocument/2006/relationships/hyperlink" Target="https://hashtagbasketball.com/15281/player" TargetMode="External"/><Relationship Id="rId51" Type="http://schemas.openxmlformats.org/officeDocument/2006/relationships/hyperlink" Target="https://hashtagbasketball.com/9412/player" TargetMode="External"/><Relationship Id="rId50" Type="http://schemas.openxmlformats.org/officeDocument/2006/relationships/hyperlink" Target="https://hashtagbasketball.com/9212/player" TargetMode="External"/><Relationship Id="rId53" Type="http://schemas.openxmlformats.org/officeDocument/2006/relationships/hyperlink" Target="https://hashtagbasketball.com/9503/player" TargetMode="External"/><Relationship Id="rId52" Type="http://schemas.openxmlformats.org/officeDocument/2006/relationships/hyperlink" Target="https://hashtagbasketball.com/13749/player" TargetMode="External"/><Relationship Id="rId55" Type="http://schemas.openxmlformats.org/officeDocument/2006/relationships/hyperlink" Target="https://hashtagbasketball.com/10090/player" TargetMode="External"/><Relationship Id="rId54" Type="http://schemas.openxmlformats.org/officeDocument/2006/relationships/hyperlink" Target="https://hashtagbasketball.com/17191/player" TargetMode="External"/><Relationship Id="rId57" Type="http://schemas.openxmlformats.org/officeDocument/2006/relationships/hyperlink" Target="https://hashtagbasketball.com/9523/player" TargetMode="External"/><Relationship Id="rId56" Type="http://schemas.openxmlformats.org/officeDocument/2006/relationships/hyperlink" Target="https://hashtagbasketball.com/15198/player" TargetMode="External"/><Relationship Id="rId59" Type="http://schemas.openxmlformats.org/officeDocument/2006/relationships/hyperlink" Target="https://hashtagbasketball.com/38848/player" TargetMode="External"/><Relationship Id="rId58" Type="http://schemas.openxmlformats.org/officeDocument/2006/relationships/hyperlink" Target="https://hashtagbasketball.com/9285/player" TargetMode="External"/><Relationship Id="rId107" Type="http://schemas.openxmlformats.org/officeDocument/2006/relationships/hyperlink" Target="https://hashtagbasketball.com/13753/player" TargetMode="External"/><Relationship Id="rId228" Type="http://schemas.openxmlformats.org/officeDocument/2006/relationships/hyperlink" Target="https://hashtagbasketball.com/27637/player" TargetMode="External"/><Relationship Id="rId349" Type="http://schemas.openxmlformats.org/officeDocument/2006/relationships/hyperlink" Target="https://hashtagbasketball.com/31050/player" TargetMode="External"/><Relationship Id="rId106" Type="http://schemas.openxmlformats.org/officeDocument/2006/relationships/hyperlink" Target="https://hashtagbasketball.com/9419/player" TargetMode="External"/><Relationship Id="rId227" Type="http://schemas.openxmlformats.org/officeDocument/2006/relationships/hyperlink" Target="https://hashtagbasketball.com/31058/player" TargetMode="External"/><Relationship Id="rId348" Type="http://schemas.openxmlformats.org/officeDocument/2006/relationships/hyperlink" Target="https://hashtagbasketball.com/120023/player" TargetMode="External"/><Relationship Id="rId105" Type="http://schemas.openxmlformats.org/officeDocument/2006/relationships/hyperlink" Target="https://hashtagbasketball.com/9118/player" TargetMode="External"/><Relationship Id="rId226" Type="http://schemas.openxmlformats.org/officeDocument/2006/relationships/hyperlink" Target="https://hashtagbasketball.com/9114/player" TargetMode="External"/><Relationship Id="rId347" Type="http://schemas.openxmlformats.org/officeDocument/2006/relationships/hyperlink" Target="https://hashtagbasketball.com/111232/player" TargetMode="External"/><Relationship Id="rId104" Type="http://schemas.openxmlformats.org/officeDocument/2006/relationships/hyperlink" Target="https://hashtagbasketball.com/9347/player" TargetMode="External"/><Relationship Id="rId225" Type="http://schemas.openxmlformats.org/officeDocument/2006/relationships/hyperlink" Target="https://hashtagbasketball.com/13862/player" TargetMode="External"/><Relationship Id="rId346" Type="http://schemas.openxmlformats.org/officeDocument/2006/relationships/hyperlink" Target="https://hashtagbasketball.com/120017/player" TargetMode="External"/><Relationship Id="rId109" Type="http://schemas.openxmlformats.org/officeDocument/2006/relationships/hyperlink" Target="https://hashtagbasketball.com/9237/player" TargetMode="External"/><Relationship Id="rId108" Type="http://schemas.openxmlformats.org/officeDocument/2006/relationships/hyperlink" Target="https://hashtagbasketball.com/9500/player" TargetMode="External"/><Relationship Id="rId229" Type="http://schemas.openxmlformats.org/officeDocument/2006/relationships/hyperlink" Target="https://hashtagbasketball.com/9495/player" TargetMode="External"/><Relationship Id="rId220" Type="http://schemas.openxmlformats.org/officeDocument/2006/relationships/hyperlink" Target="https://hashtagbasketball.com/9209/player" TargetMode="External"/><Relationship Id="rId341" Type="http://schemas.openxmlformats.org/officeDocument/2006/relationships/hyperlink" Target="https://hashtagbasketball.com/43375/player" TargetMode="External"/><Relationship Id="rId340" Type="http://schemas.openxmlformats.org/officeDocument/2006/relationships/hyperlink" Target="https://hashtagbasketball.com/120016/player" TargetMode="External"/><Relationship Id="rId103" Type="http://schemas.openxmlformats.org/officeDocument/2006/relationships/hyperlink" Target="https://hashtagbasketball.com/110400/player" TargetMode="External"/><Relationship Id="rId224" Type="http://schemas.openxmlformats.org/officeDocument/2006/relationships/hyperlink" Target="https://hashtagbasketball.com/9475/player" TargetMode="External"/><Relationship Id="rId345" Type="http://schemas.openxmlformats.org/officeDocument/2006/relationships/hyperlink" Target="https://hashtagbasketball.com/120027/player" TargetMode="External"/><Relationship Id="rId102" Type="http://schemas.openxmlformats.org/officeDocument/2006/relationships/hyperlink" Target="https://hashtagbasketball.com/9491/player" TargetMode="External"/><Relationship Id="rId223" Type="http://schemas.openxmlformats.org/officeDocument/2006/relationships/hyperlink" Target="https://hashtagbasketball.com/13792/player" TargetMode="External"/><Relationship Id="rId344" Type="http://schemas.openxmlformats.org/officeDocument/2006/relationships/hyperlink" Target="https://hashtagbasketball.com/15293/player" TargetMode="External"/><Relationship Id="rId101" Type="http://schemas.openxmlformats.org/officeDocument/2006/relationships/hyperlink" Target="https://hashtagbasketball.com/9296/player" TargetMode="External"/><Relationship Id="rId222" Type="http://schemas.openxmlformats.org/officeDocument/2006/relationships/hyperlink" Target="https://hashtagbasketball.com/17308/player" TargetMode="External"/><Relationship Id="rId343" Type="http://schemas.openxmlformats.org/officeDocument/2006/relationships/hyperlink" Target="https://hashtagbasketball.com/120040/player" TargetMode="External"/><Relationship Id="rId100" Type="http://schemas.openxmlformats.org/officeDocument/2006/relationships/hyperlink" Target="https://hashtagbasketball.com/9334/player" TargetMode="External"/><Relationship Id="rId221" Type="http://schemas.openxmlformats.org/officeDocument/2006/relationships/hyperlink" Target="https://hashtagbasketball.com/13786/player" TargetMode="External"/><Relationship Id="rId342" Type="http://schemas.openxmlformats.org/officeDocument/2006/relationships/hyperlink" Target="https://hashtagbasketball.com/39838/player" TargetMode="External"/><Relationship Id="rId217" Type="http://schemas.openxmlformats.org/officeDocument/2006/relationships/hyperlink" Target="https://hashtagbasketball.com/17275/player" TargetMode="External"/><Relationship Id="rId338" Type="http://schemas.openxmlformats.org/officeDocument/2006/relationships/hyperlink" Target="https://hashtagbasketball.com/38948/player" TargetMode="External"/><Relationship Id="rId216" Type="http://schemas.openxmlformats.org/officeDocument/2006/relationships/hyperlink" Target="https://hashtagbasketball.com/31059/player" TargetMode="External"/><Relationship Id="rId337" Type="http://schemas.openxmlformats.org/officeDocument/2006/relationships/hyperlink" Target="https://hashtagbasketball.com/120029/player" TargetMode="External"/><Relationship Id="rId215" Type="http://schemas.openxmlformats.org/officeDocument/2006/relationships/hyperlink" Target="https://hashtagbasketball.com/15222/player" TargetMode="External"/><Relationship Id="rId336" Type="http://schemas.openxmlformats.org/officeDocument/2006/relationships/hyperlink" Target="https://hashtagbasketball.com/9177/player" TargetMode="External"/><Relationship Id="rId214" Type="http://schemas.openxmlformats.org/officeDocument/2006/relationships/hyperlink" Target="https://hashtagbasketball.com/27591/player" TargetMode="External"/><Relationship Id="rId335" Type="http://schemas.openxmlformats.org/officeDocument/2006/relationships/hyperlink" Target="https://hashtagbasketball.com/27624/player" TargetMode="External"/><Relationship Id="rId219" Type="http://schemas.openxmlformats.org/officeDocument/2006/relationships/hyperlink" Target="https://hashtagbasketball.com/10155/player" TargetMode="External"/><Relationship Id="rId218" Type="http://schemas.openxmlformats.org/officeDocument/2006/relationships/hyperlink" Target="https://hashtagbasketball.com/15224/player" TargetMode="External"/><Relationship Id="rId339" Type="http://schemas.openxmlformats.org/officeDocument/2006/relationships/hyperlink" Target="https://hashtagbasketball.com/120030/player" TargetMode="External"/><Relationship Id="rId330" Type="http://schemas.openxmlformats.org/officeDocument/2006/relationships/hyperlink" Target="https://hashtagbasketball.com/28550/player" TargetMode="External"/><Relationship Id="rId213" Type="http://schemas.openxmlformats.org/officeDocument/2006/relationships/hyperlink" Target="https://hashtagbasketball.com/27718/player" TargetMode="External"/><Relationship Id="rId334" Type="http://schemas.openxmlformats.org/officeDocument/2006/relationships/hyperlink" Target="https://hashtagbasketball.com/111222/player" TargetMode="External"/><Relationship Id="rId212" Type="http://schemas.openxmlformats.org/officeDocument/2006/relationships/hyperlink" Target="https://hashtagbasketball.com/9286/player" TargetMode="External"/><Relationship Id="rId333" Type="http://schemas.openxmlformats.org/officeDocument/2006/relationships/hyperlink" Target="https://hashtagbasketball.com/120021/player" TargetMode="External"/><Relationship Id="rId211" Type="http://schemas.openxmlformats.org/officeDocument/2006/relationships/hyperlink" Target="https://hashtagbasketball.com/9220/player" TargetMode="External"/><Relationship Id="rId332" Type="http://schemas.openxmlformats.org/officeDocument/2006/relationships/hyperlink" Target="https://hashtagbasketball.com/15341/player" TargetMode="External"/><Relationship Id="rId210" Type="http://schemas.openxmlformats.org/officeDocument/2006/relationships/hyperlink" Target="https://hashtagbasketball.com/9133/player" TargetMode="External"/><Relationship Id="rId331" Type="http://schemas.openxmlformats.org/officeDocument/2006/relationships/hyperlink" Target="https://hashtagbasketball.com/15309/player" TargetMode="External"/><Relationship Id="rId370" Type="http://schemas.openxmlformats.org/officeDocument/2006/relationships/hyperlink" Target="https://hashtagbasketball.com/111247/player" TargetMode="External"/><Relationship Id="rId129" Type="http://schemas.openxmlformats.org/officeDocument/2006/relationships/hyperlink" Target="https://hashtagbasketball.com/9221/player" TargetMode="External"/><Relationship Id="rId128" Type="http://schemas.openxmlformats.org/officeDocument/2006/relationships/hyperlink" Target="https://hashtagbasketball.com/10136/player" TargetMode="External"/><Relationship Id="rId249" Type="http://schemas.openxmlformats.org/officeDocument/2006/relationships/hyperlink" Target="https://hashtagbasketball.com/31068/player" TargetMode="External"/><Relationship Id="rId127" Type="http://schemas.openxmlformats.org/officeDocument/2006/relationships/hyperlink" Target="https://hashtagbasketball.com/31044/player" TargetMode="External"/><Relationship Id="rId248" Type="http://schemas.openxmlformats.org/officeDocument/2006/relationships/hyperlink" Target="https://hashtagbasketball.com/111241/player" TargetMode="External"/><Relationship Id="rId369" Type="http://schemas.openxmlformats.org/officeDocument/2006/relationships/hyperlink" Target="https://hashtagbasketball.com/17317/player" TargetMode="External"/><Relationship Id="rId126" Type="http://schemas.openxmlformats.org/officeDocument/2006/relationships/hyperlink" Target="https://hashtagbasketball.com/27683/player" TargetMode="External"/><Relationship Id="rId247" Type="http://schemas.openxmlformats.org/officeDocument/2006/relationships/hyperlink" Target="https://hashtagbasketball.com/31055/player" TargetMode="External"/><Relationship Id="rId368" Type="http://schemas.openxmlformats.org/officeDocument/2006/relationships/hyperlink" Target="https://hashtagbasketball.com/31075/player" TargetMode="External"/><Relationship Id="rId121" Type="http://schemas.openxmlformats.org/officeDocument/2006/relationships/hyperlink" Target="https://hashtagbasketball.com/53595/player" TargetMode="External"/><Relationship Id="rId242" Type="http://schemas.openxmlformats.org/officeDocument/2006/relationships/hyperlink" Target="https://hashtagbasketball.com/15278/player" TargetMode="External"/><Relationship Id="rId363" Type="http://schemas.openxmlformats.org/officeDocument/2006/relationships/hyperlink" Target="https://hashtagbasketball.com/39835/player" TargetMode="External"/><Relationship Id="rId120" Type="http://schemas.openxmlformats.org/officeDocument/2006/relationships/hyperlink" Target="https://hashtagbasketball.com/15316/player" TargetMode="External"/><Relationship Id="rId241" Type="http://schemas.openxmlformats.org/officeDocument/2006/relationships/hyperlink" Target="https://hashtagbasketball.com/120010/player" TargetMode="External"/><Relationship Id="rId362" Type="http://schemas.openxmlformats.org/officeDocument/2006/relationships/hyperlink" Target="https://hashtagbasketball.com/120006/player" TargetMode="External"/><Relationship Id="rId240" Type="http://schemas.openxmlformats.org/officeDocument/2006/relationships/hyperlink" Target="https://hashtagbasketball.com/111209/player" TargetMode="External"/><Relationship Id="rId361" Type="http://schemas.openxmlformats.org/officeDocument/2006/relationships/hyperlink" Target="https://hashtagbasketball.com/120043/player" TargetMode="External"/><Relationship Id="rId360" Type="http://schemas.openxmlformats.org/officeDocument/2006/relationships/hyperlink" Target="https://hashtagbasketball.com/120059/player" TargetMode="External"/><Relationship Id="rId125" Type="http://schemas.openxmlformats.org/officeDocument/2006/relationships/hyperlink" Target="https://hashtagbasketball.com/9102/player" TargetMode="External"/><Relationship Id="rId246" Type="http://schemas.openxmlformats.org/officeDocument/2006/relationships/hyperlink" Target="https://hashtagbasketball.com/120039/player" TargetMode="External"/><Relationship Id="rId367" Type="http://schemas.openxmlformats.org/officeDocument/2006/relationships/hyperlink" Target="https://hashtagbasketball.com/111234/player" TargetMode="External"/><Relationship Id="rId124" Type="http://schemas.openxmlformats.org/officeDocument/2006/relationships/hyperlink" Target="https://hashtagbasketball.com/31036/player" TargetMode="External"/><Relationship Id="rId245" Type="http://schemas.openxmlformats.org/officeDocument/2006/relationships/hyperlink" Target="https://hashtagbasketball.com/27850/player" TargetMode="External"/><Relationship Id="rId366" Type="http://schemas.openxmlformats.org/officeDocument/2006/relationships/hyperlink" Target="https://hashtagbasketball.com/9142/player" TargetMode="External"/><Relationship Id="rId123" Type="http://schemas.openxmlformats.org/officeDocument/2006/relationships/hyperlink" Target="https://hashtagbasketball.com/9084/player" TargetMode="External"/><Relationship Id="rId244" Type="http://schemas.openxmlformats.org/officeDocument/2006/relationships/hyperlink" Target="https://hashtagbasketball.com/27881/player" TargetMode="External"/><Relationship Id="rId365" Type="http://schemas.openxmlformats.org/officeDocument/2006/relationships/hyperlink" Target="https://hashtagbasketball.com/15220/player" TargetMode="External"/><Relationship Id="rId122" Type="http://schemas.openxmlformats.org/officeDocument/2006/relationships/hyperlink" Target="https://hashtagbasketball.com/111215/player" TargetMode="External"/><Relationship Id="rId243" Type="http://schemas.openxmlformats.org/officeDocument/2006/relationships/hyperlink" Target="https://hashtagbasketball.com/10146/player" TargetMode="External"/><Relationship Id="rId364" Type="http://schemas.openxmlformats.org/officeDocument/2006/relationships/hyperlink" Target="https://hashtagbasketball.com/111238/player" TargetMode="External"/><Relationship Id="rId95" Type="http://schemas.openxmlformats.org/officeDocument/2006/relationships/hyperlink" Target="https://hashtagbasketball.com/111204/player" TargetMode="External"/><Relationship Id="rId94" Type="http://schemas.openxmlformats.org/officeDocument/2006/relationships/hyperlink" Target="https://hashtagbasketball.com/10122/player" TargetMode="External"/><Relationship Id="rId97" Type="http://schemas.openxmlformats.org/officeDocument/2006/relationships/hyperlink" Target="https://hashtagbasketball.com/31056/player" TargetMode="External"/><Relationship Id="rId96" Type="http://schemas.openxmlformats.org/officeDocument/2006/relationships/hyperlink" Target="https://hashtagbasketball.com/9447/player" TargetMode="External"/><Relationship Id="rId99" Type="http://schemas.openxmlformats.org/officeDocument/2006/relationships/hyperlink" Target="https://hashtagbasketball.com/10169/player" TargetMode="External"/><Relationship Id="rId98" Type="http://schemas.openxmlformats.org/officeDocument/2006/relationships/hyperlink" Target="https://hashtagbasketball.com/9082/player" TargetMode="External"/><Relationship Id="rId91" Type="http://schemas.openxmlformats.org/officeDocument/2006/relationships/hyperlink" Target="https://hashtagbasketball.com/31064/player" TargetMode="External"/><Relationship Id="rId90" Type="http://schemas.openxmlformats.org/officeDocument/2006/relationships/hyperlink" Target="https://hashtagbasketball.com/13860/player" TargetMode="External"/><Relationship Id="rId93" Type="http://schemas.openxmlformats.org/officeDocument/2006/relationships/hyperlink" Target="https://hashtagbasketball.com/9228/player" TargetMode="External"/><Relationship Id="rId92" Type="http://schemas.openxmlformats.org/officeDocument/2006/relationships/hyperlink" Target="https://hashtagbasketball.com/17259/player" TargetMode="External"/><Relationship Id="rId118" Type="http://schemas.openxmlformats.org/officeDocument/2006/relationships/hyperlink" Target="https://hashtagbasketball.com/17197/player" TargetMode="External"/><Relationship Id="rId239" Type="http://schemas.openxmlformats.org/officeDocument/2006/relationships/hyperlink" Target="https://hashtagbasketball.com/27462/player" TargetMode="External"/><Relationship Id="rId117" Type="http://schemas.openxmlformats.org/officeDocument/2006/relationships/hyperlink" Target="https://hashtagbasketball.com/9192/player" TargetMode="External"/><Relationship Id="rId238" Type="http://schemas.openxmlformats.org/officeDocument/2006/relationships/hyperlink" Target="https://hashtagbasketball.com/120007/player" TargetMode="External"/><Relationship Id="rId359" Type="http://schemas.openxmlformats.org/officeDocument/2006/relationships/hyperlink" Target="https://hashtagbasketball.com/17315/player" TargetMode="External"/><Relationship Id="rId116" Type="http://schemas.openxmlformats.org/officeDocument/2006/relationships/hyperlink" Target="https://hashtagbasketball.com/9265/player" TargetMode="External"/><Relationship Id="rId237" Type="http://schemas.openxmlformats.org/officeDocument/2006/relationships/hyperlink" Target="https://hashtagbasketball.com/9427/player" TargetMode="External"/><Relationship Id="rId358" Type="http://schemas.openxmlformats.org/officeDocument/2006/relationships/hyperlink" Target="https://hashtagbasketball.com/31122/player" TargetMode="External"/><Relationship Id="rId115" Type="http://schemas.openxmlformats.org/officeDocument/2006/relationships/hyperlink" Target="https://hashtagbasketball.com/13737/player" TargetMode="External"/><Relationship Id="rId236" Type="http://schemas.openxmlformats.org/officeDocument/2006/relationships/hyperlink" Target="https://hashtagbasketball.com/10115/player" TargetMode="External"/><Relationship Id="rId357" Type="http://schemas.openxmlformats.org/officeDocument/2006/relationships/hyperlink" Target="https://hashtagbasketball.com/111211/player" TargetMode="External"/><Relationship Id="rId119" Type="http://schemas.openxmlformats.org/officeDocument/2006/relationships/hyperlink" Target="https://hashtagbasketball.com/9105/player" TargetMode="External"/><Relationship Id="rId110" Type="http://schemas.openxmlformats.org/officeDocument/2006/relationships/hyperlink" Target="https://hashtagbasketball.com/111253/player" TargetMode="External"/><Relationship Id="rId231" Type="http://schemas.openxmlformats.org/officeDocument/2006/relationships/hyperlink" Target="https://hashtagbasketball.com/111225/player" TargetMode="External"/><Relationship Id="rId352" Type="http://schemas.openxmlformats.org/officeDocument/2006/relationships/hyperlink" Target="https://hashtagbasketball.com/9227/player" TargetMode="External"/><Relationship Id="rId230" Type="http://schemas.openxmlformats.org/officeDocument/2006/relationships/hyperlink" Target="https://hashtagbasketball.com/10133/player" TargetMode="External"/><Relationship Id="rId351" Type="http://schemas.openxmlformats.org/officeDocument/2006/relationships/hyperlink" Target="https://hashtagbasketball.com/9431/player" TargetMode="External"/><Relationship Id="rId350" Type="http://schemas.openxmlformats.org/officeDocument/2006/relationships/hyperlink" Target="https://hashtagbasketball.com/31042/player" TargetMode="External"/><Relationship Id="rId114" Type="http://schemas.openxmlformats.org/officeDocument/2006/relationships/hyperlink" Target="https://hashtagbasketball.com/15214/player" TargetMode="External"/><Relationship Id="rId235" Type="http://schemas.openxmlformats.org/officeDocument/2006/relationships/hyperlink" Target="https://hashtagbasketball.com/27884/player" TargetMode="External"/><Relationship Id="rId356" Type="http://schemas.openxmlformats.org/officeDocument/2006/relationships/hyperlink" Target="https://hashtagbasketball.com/27706/player" TargetMode="External"/><Relationship Id="rId113" Type="http://schemas.openxmlformats.org/officeDocument/2006/relationships/hyperlink" Target="https://hashtagbasketball.com/9282/player" TargetMode="External"/><Relationship Id="rId234" Type="http://schemas.openxmlformats.org/officeDocument/2006/relationships/hyperlink" Target="https://hashtagbasketball.com/10117/player" TargetMode="External"/><Relationship Id="rId355" Type="http://schemas.openxmlformats.org/officeDocument/2006/relationships/hyperlink" Target="https://hashtagbasketball.com/35173/player" TargetMode="External"/><Relationship Id="rId112" Type="http://schemas.openxmlformats.org/officeDocument/2006/relationships/hyperlink" Target="https://hashtagbasketball.com/17285/player" TargetMode="External"/><Relationship Id="rId233" Type="http://schemas.openxmlformats.org/officeDocument/2006/relationships/hyperlink" Target="https://hashtagbasketball.com/17270/player" TargetMode="External"/><Relationship Id="rId354" Type="http://schemas.openxmlformats.org/officeDocument/2006/relationships/hyperlink" Target="https://hashtagbasketball.com/53608/player" TargetMode="External"/><Relationship Id="rId111" Type="http://schemas.openxmlformats.org/officeDocument/2006/relationships/hyperlink" Target="https://hashtagbasketball.com/31031/player" TargetMode="External"/><Relationship Id="rId232" Type="http://schemas.openxmlformats.org/officeDocument/2006/relationships/hyperlink" Target="https://hashtagbasketball.com/13784/player" TargetMode="External"/><Relationship Id="rId353" Type="http://schemas.openxmlformats.org/officeDocument/2006/relationships/hyperlink" Target="https://hashtagbasketball.com/31061/player" TargetMode="External"/><Relationship Id="rId305" Type="http://schemas.openxmlformats.org/officeDocument/2006/relationships/hyperlink" Target="https://hashtagbasketball.com/9087/player" TargetMode="External"/><Relationship Id="rId304" Type="http://schemas.openxmlformats.org/officeDocument/2006/relationships/hyperlink" Target="https://hashtagbasketball.com/9513/player" TargetMode="External"/><Relationship Id="rId303" Type="http://schemas.openxmlformats.org/officeDocument/2006/relationships/hyperlink" Target="https://hashtagbasketball.com/120013/player" TargetMode="External"/><Relationship Id="rId302" Type="http://schemas.openxmlformats.org/officeDocument/2006/relationships/hyperlink" Target="https://hashtagbasketball.com/13856/player" TargetMode="External"/><Relationship Id="rId309" Type="http://schemas.openxmlformats.org/officeDocument/2006/relationships/hyperlink" Target="https://hashtagbasketball.com/31057/player" TargetMode="External"/><Relationship Id="rId308" Type="http://schemas.openxmlformats.org/officeDocument/2006/relationships/hyperlink" Target="https://hashtagbasketball.com/15217/player" TargetMode="External"/><Relationship Id="rId307" Type="http://schemas.openxmlformats.org/officeDocument/2006/relationships/hyperlink" Target="https://hashtagbasketball.com/31038/player" TargetMode="External"/><Relationship Id="rId306" Type="http://schemas.openxmlformats.org/officeDocument/2006/relationships/hyperlink" Target="https://hashtagbasketball.com/31047/player" TargetMode="External"/><Relationship Id="rId301" Type="http://schemas.openxmlformats.org/officeDocument/2006/relationships/hyperlink" Target="https://hashtagbasketball.com/111259/player" TargetMode="External"/><Relationship Id="rId300" Type="http://schemas.openxmlformats.org/officeDocument/2006/relationships/hyperlink" Target="https://hashtagbasketball.com/38695/player" TargetMode="External"/><Relationship Id="rId206" Type="http://schemas.openxmlformats.org/officeDocument/2006/relationships/hyperlink" Target="https://hashtagbasketball.com/36104/player" TargetMode="External"/><Relationship Id="rId327" Type="http://schemas.openxmlformats.org/officeDocument/2006/relationships/hyperlink" Target="https://hashtagbasketball.com/111258/player" TargetMode="External"/><Relationship Id="rId205" Type="http://schemas.openxmlformats.org/officeDocument/2006/relationships/hyperlink" Target="https://hashtagbasketball.com/31051/player" TargetMode="External"/><Relationship Id="rId326" Type="http://schemas.openxmlformats.org/officeDocument/2006/relationships/hyperlink" Target="https://hashtagbasketball.com/33899/player" TargetMode="External"/><Relationship Id="rId204" Type="http://schemas.openxmlformats.org/officeDocument/2006/relationships/hyperlink" Target="https://hashtagbasketball.com/17208/player" TargetMode="External"/><Relationship Id="rId325" Type="http://schemas.openxmlformats.org/officeDocument/2006/relationships/hyperlink" Target="https://hashtagbasketball.com/9422/player" TargetMode="External"/><Relationship Id="rId203" Type="http://schemas.openxmlformats.org/officeDocument/2006/relationships/hyperlink" Target="https://hashtagbasketball.com/13777/player" TargetMode="External"/><Relationship Id="rId324" Type="http://schemas.openxmlformats.org/officeDocument/2006/relationships/hyperlink" Target="https://hashtagbasketball.com/17194/player" TargetMode="External"/><Relationship Id="rId209" Type="http://schemas.openxmlformats.org/officeDocument/2006/relationships/hyperlink" Target="https://hashtagbasketball.com/109469/player" TargetMode="External"/><Relationship Id="rId208" Type="http://schemas.openxmlformats.org/officeDocument/2006/relationships/hyperlink" Target="https://hashtagbasketball.com/17190/player" TargetMode="External"/><Relationship Id="rId329" Type="http://schemas.openxmlformats.org/officeDocument/2006/relationships/hyperlink" Target="https://hashtagbasketball.com/38959/player" TargetMode="External"/><Relationship Id="rId207" Type="http://schemas.openxmlformats.org/officeDocument/2006/relationships/hyperlink" Target="https://hashtagbasketball.com/9352/player" TargetMode="External"/><Relationship Id="rId328" Type="http://schemas.openxmlformats.org/officeDocument/2006/relationships/hyperlink" Target="https://hashtagbasketball.com/111210/player" TargetMode="External"/><Relationship Id="rId202" Type="http://schemas.openxmlformats.org/officeDocument/2006/relationships/hyperlink" Target="https://hashtagbasketball.com/38944/player" TargetMode="External"/><Relationship Id="rId323" Type="http://schemas.openxmlformats.org/officeDocument/2006/relationships/hyperlink" Target="https://hashtagbasketball.com/120014/player" TargetMode="External"/><Relationship Id="rId201" Type="http://schemas.openxmlformats.org/officeDocument/2006/relationships/hyperlink" Target="https://hashtagbasketball.com/27652/player" TargetMode="External"/><Relationship Id="rId322" Type="http://schemas.openxmlformats.org/officeDocument/2006/relationships/hyperlink" Target="https://hashtagbasketball.com/120149/player" TargetMode="External"/><Relationship Id="rId200" Type="http://schemas.openxmlformats.org/officeDocument/2006/relationships/hyperlink" Target="https://hashtagbasketball.com/38940/player" TargetMode="External"/><Relationship Id="rId321" Type="http://schemas.openxmlformats.org/officeDocument/2006/relationships/hyperlink" Target="https://hashtagbasketball.com/13817/player" TargetMode="External"/><Relationship Id="rId320" Type="http://schemas.openxmlformats.org/officeDocument/2006/relationships/hyperlink" Target="https://hashtagbasketball.com/31082/player" TargetMode="External"/><Relationship Id="rId316" Type="http://schemas.openxmlformats.org/officeDocument/2006/relationships/hyperlink" Target="https://hashtagbasketball.com/27691/player" TargetMode="External"/><Relationship Id="rId315" Type="http://schemas.openxmlformats.org/officeDocument/2006/relationships/hyperlink" Target="https://hashtagbasketball.com/17196/player" TargetMode="External"/><Relationship Id="rId314" Type="http://schemas.openxmlformats.org/officeDocument/2006/relationships/hyperlink" Target="https://hashtagbasketball.com/111206/player" TargetMode="External"/><Relationship Id="rId313" Type="http://schemas.openxmlformats.org/officeDocument/2006/relationships/hyperlink" Target="https://hashtagbasketball.com/17215/player" TargetMode="External"/><Relationship Id="rId319" Type="http://schemas.openxmlformats.org/officeDocument/2006/relationships/hyperlink" Target="https://hashtagbasketball.com/38740/player" TargetMode="External"/><Relationship Id="rId318" Type="http://schemas.openxmlformats.org/officeDocument/2006/relationships/hyperlink" Target="https://hashtagbasketball.com/15462/player" TargetMode="External"/><Relationship Id="rId317" Type="http://schemas.openxmlformats.org/officeDocument/2006/relationships/hyperlink" Target="https://hashtagbasketball.com/38571/player" TargetMode="External"/><Relationship Id="rId312" Type="http://schemas.openxmlformats.org/officeDocument/2006/relationships/hyperlink" Target="https://hashtagbasketball.com/13791/player" TargetMode="External"/><Relationship Id="rId311" Type="http://schemas.openxmlformats.org/officeDocument/2006/relationships/hyperlink" Target="https://hashtagbasketball.com/9394/player" TargetMode="External"/><Relationship Id="rId310" Type="http://schemas.openxmlformats.org/officeDocument/2006/relationships/hyperlink" Target="https://hashtagbasketball.com/17229/playe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88"/>
    <col customWidth="1" min="3" max="3" width="11.75"/>
    <col customWidth="1" min="4" max="4" width="16.75"/>
    <col customWidth="1" min="5" max="5" width="13.38"/>
    <col customWidth="1" min="6" max="6" width="16.13"/>
    <col customWidth="1" min="7" max="7" width="14.5"/>
    <col customWidth="1" min="8" max="8" width="14.88"/>
    <col customWidth="1" min="9" max="9" width="16.88"/>
    <col customWidth="1" min="10" max="10" width="15.63"/>
    <col customWidth="1" min="11" max="11" width="14.88"/>
    <col customWidth="1" min="12" max="12" width="13.25"/>
    <col customWidth="1" min="13" max="13" width="14.38"/>
    <col customWidth="1" min="14" max="14" width="13.88"/>
    <col customWidth="1" min="15" max="15" width="16.88"/>
  </cols>
  <sheetData>
    <row r="1">
      <c r="A1" s="1"/>
      <c r="B1" s="1"/>
      <c r="C1" s="2"/>
      <c r="D1" s="2"/>
      <c r="E1" s="3"/>
      <c r="F1" s="2"/>
      <c r="G1" s="2"/>
      <c r="H1" s="2"/>
      <c r="I1" s="2"/>
      <c r="J1" s="2"/>
      <c r="K1" s="2"/>
      <c r="L1" s="2"/>
      <c r="M1" s="2"/>
      <c r="N1" s="2"/>
      <c r="O1" s="2"/>
      <c r="P1" s="4"/>
      <c r="Q1" s="4"/>
      <c r="R1" s="4"/>
      <c r="S1" s="4"/>
      <c r="T1" s="4"/>
      <c r="U1" s="4"/>
      <c r="V1" s="4"/>
      <c r="W1" s="4"/>
      <c r="X1" s="4"/>
      <c r="Y1" s="4"/>
      <c r="Z1" s="4"/>
      <c r="AA1" s="4"/>
    </row>
    <row r="2">
      <c r="A2" s="8"/>
      <c r="B2" s="10" t="s">
        <v>10</v>
      </c>
      <c r="C2" s="11" t="s">
        <v>13</v>
      </c>
      <c r="D2" s="11" t="s">
        <v>19</v>
      </c>
      <c r="E2" s="11" t="s">
        <v>20</v>
      </c>
      <c r="F2" s="10" t="s">
        <v>22</v>
      </c>
      <c r="G2" s="10" t="s">
        <v>23</v>
      </c>
      <c r="H2" s="10" t="s">
        <v>24</v>
      </c>
      <c r="I2" s="10" t="s">
        <v>25</v>
      </c>
      <c r="J2" s="10" t="s">
        <v>26</v>
      </c>
      <c r="K2" s="10" t="s">
        <v>27</v>
      </c>
      <c r="L2" s="10" t="s">
        <v>28</v>
      </c>
      <c r="M2" s="10" t="s">
        <v>29</v>
      </c>
      <c r="N2" s="10" t="s">
        <v>30</v>
      </c>
      <c r="O2" s="10" t="s">
        <v>31</v>
      </c>
      <c r="P2" s="10" t="s">
        <v>32</v>
      </c>
      <c r="Q2" s="10" t="s">
        <v>33</v>
      </c>
      <c r="R2" s="4"/>
      <c r="S2" s="4"/>
      <c r="T2" s="4"/>
      <c r="U2" s="4"/>
      <c r="V2" s="4"/>
      <c r="W2" s="4"/>
      <c r="X2" s="4"/>
      <c r="Y2" s="4"/>
      <c r="Z2" s="4"/>
      <c r="AA2" s="4"/>
    </row>
    <row r="3">
      <c r="A3" s="13"/>
      <c r="B3" s="14">
        <v>1.0</v>
      </c>
      <c r="C3" s="21" t="b">
        <f>IF(B3=Projections!$G$3,TRUE)</f>
        <v>0</v>
      </c>
      <c r="D3" s="11" t="s">
        <v>39</v>
      </c>
      <c r="E3" s="11"/>
      <c r="F3" s="10"/>
      <c r="G3" s="10"/>
      <c r="H3" s="10"/>
      <c r="I3" s="10"/>
      <c r="J3" s="10"/>
      <c r="K3" s="10"/>
      <c r="L3" s="10"/>
      <c r="M3" s="10"/>
      <c r="N3" s="10"/>
      <c r="O3" s="10"/>
      <c r="P3" s="10"/>
      <c r="Q3" s="10"/>
      <c r="R3" s="4"/>
      <c r="S3" s="4"/>
      <c r="T3" s="4"/>
      <c r="U3" s="4"/>
      <c r="V3" s="4"/>
      <c r="W3" s="4"/>
      <c r="X3" s="4"/>
      <c r="Y3" s="4"/>
      <c r="Z3" s="4"/>
      <c r="AA3" s="4"/>
    </row>
    <row r="4">
      <c r="A4" s="13"/>
      <c r="B4" s="14">
        <v>2.0</v>
      </c>
      <c r="C4" s="21" t="b">
        <f>IF(B4=Projections!$G$3,TRUE)</f>
        <v>0</v>
      </c>
      <c r="D4" s="11"/>
      <c r="E4" s="11"/>
      <c r="F4" s="10"/>
      <c r="G4" s="10"/>
      <c r="H4" s="10"/>
      <c r="I4" s="10"/>
      <c r="J4" s="10"/>
      <c r="K4" s="10"/>
      <c r="L4" s="10"/>
      <c r="M4" s="10"/>
      <c r="N4" s="10"/>
      <c r="O4" s="10"/>
      <c r="P4" s="10"/>
      <c r="Q4" s="10"/>
      <c r="R4" s="4"/>
      <c r="S4" s="4"/>
      <c r="T4" s="4"/>
      <c r="U4" s="4"/>
      <c r="V4" s="4"/>
      <c r="W4" s="4"/>
      <c r="X4" s="4"/>
      <c r="Y4" s="4"/>
      <c r="Z4" s="4"/>
      <c r="AA4" s="4"/>
    </row>
    <row r="5">
      <c r="A5" s="13"/>
      <c r="B5" s="14">
        <v>3.0</v>
      </c>
      <c r="C5" s="21" t="b">
        <f>IF(B5=Projections!$G$3,TRUE)</f>
        <v>0</v>
      </c>
      <c r="D5" s="11"/>
      <c r="E5" s="11"/>
      <c r="F5" s="10"/>
      <c r="G5" s="10"/>
      <c r="H5" s="10"/>
      <c r="I5" s="10"/>
      <c r="J5" s="10"/>
      <c r="K5" s="10"/>
      <c r="L5" s="10"/>
      <c r="M5" s="10"/>
      <c r="N5" s="10"/>
      <c r="O5" s="10"/>
      <c r="P5" s="10"/>
      <c r="Q5" s="10"/>
      <c r="R5" s="4"/>
      <c r="S5" s="4"/>
      <c r="T5" s="4"/>
      <c r="U5" s="4"/>
      <c r="V5" s="4"/>
      <c r="W5" s="4"/>
      <c r="X5" s="4"/>
      <c r="Y5" s="4"/>
      <c r="Z5" s="4"/>
      <c r="AA5" s="4"/>
    </row>
    <row r="6">
      <c r="A6" s="13"/>
      <c r="B6" s="14">
        <v>4.0</v>
      </c>
      <c r="C6" s="21" t="b">
        <f>IF(B6=Projections!$G$3,TRUE)</f>
        <v>0</v>
      </c>
      <c r="D6" s="11"/>
      <c r="E6" s="11"/>
      <c r="F6" s="10"/>
      <c r="G6" s="10"/>
      <c r="H6" s="10"/>
      <c r="I6" s="10"/>
      <c r="J6" s="10"/>
      <c r="K6" s="10"/>
      <c r="L6" s="10"/>
      <c r="M6" s="10"/>
      <c r="N6" s="10"/>
      <c r="O6" s="10"/>
      <c r="P6" s="10"/>
      <c r="Q6" s="10"/>
      <c r="R6" s="4"/>
      <c r="S6" s="4"/>
      <c r="T6" s="4"/>
      <c r="U6" s="4"/>
      <c r="V6" s="4"/>
      <c r="W6" s="4"/>
      <c r="X6" s="4"/>
      <c r="Y6" s="4"/>
      <c r="Z6" s="4"/>
      <c r="AA6" s="4"/>
    </row>
    <row r="7">
      <c r="A7" s="13"/>
      <c r="B7" s="14">
        <v>5.0</v>
      </c>
      <c r="C7" s="21" t="b">
        <f>IF(B7=Projections!$G$3,TRUE)</f>
        <v>0</v>
      </c>
      <c r="D7" s="11"/>
      <c r="E7" s="11"/>
      <c r="F7" s="10"/>
      <c r="G7" s="10"/>
      <c r="H7" s="10"/>
      <c r="I7" s="10"/>
      <c r="J7" s="10"/>
      <c r="K7" s="10"/>
      <c r="L7" s="10"/>
      <c r="M7" s="10"/>
      <c r="N7" s="10"/>
      <c r="O7" s="10"/>
      <c r="P7" s="10"/>
      <c r="Q7" s="10"/>
      <c r="R7" s="4"/>
      <c r="S7" s="4"/>
      <c r="T7" s="4"/>
      <c r="U7" s="4"/>
      <c r="V7" s="4"/>
      <c r="W7" s="4"/>
      <c r="X7" s="4"/>
      <c r="Y7" s="4"/>
      <c r="Z7" s="4"/>
      <c r="AA7" s="4"/>
    </row>
    <row r="8">
      <c r="A8" s="13"/>
      <c r="B8" s="14">
        <v>6.0</v>
      </c>
      <c r="C8" s="21" t="b">
        <f>IF(B8=Projections!$G$3,TRUE)</f>
        <v>1</v>
      </c>
      <c r="D8" s="11"/>
      <c r="E8" s="11"/>
      <c r="F8" s="10"/>
      <c r="G8" s="10"/>
      <c r="H8" s="10"/>
      <c r="I8" s="10"/>
      <c r="J8" s="10"/>
      <c r="K8" s="10"/>
      <c r="L8" s="10"/>
      <c r="M8" s="10"/>
      <c r="N8" s="10"/>
      <c r="O8" s="10"/>
      <c r="P8" s="10"/>
      <c r="Q8" s="10"/>
      <c r="R8" s="4"/>
      <c r="S8" s="4"/>
      <c r="T8" s="4"/>
      <c r="U8" s="4"/>
      <c r="V8" s="4"/>
      <c r="W8" s="4"/>
      <c r="X8" s="4"/>
      <c r="Y8" s="4"/>
      <c r="Z8" s="4"/>
      <c r="AA8" s="4"/>
    </row>
    <row r="9">
      <c r="A9" s="13"/>
      <c r="B9" s="14">
        <v>7.0</v>
      </c>
      <c r="C9" s="21" t="b">
        <f>IF(B9=Projections!$G$3,TRUE)</f>
        <v>0</v>
      </c>
      <c r="D9" s="11"/>
      <c r="E9" s="11"/>
      <c r="F9" s="10"/>
      <c r="G9" s="10"/>
      <c r="H9" s="10"/>
      <c r="I9" s="10"/>
      <c r="J9" s="10"/>
      <c r="K9" s="10"/>
      <c r="L9" s="10"/>
      <c r="M9" s="10"/>
      <c r="N9" s="10"/>
      <c r="O9" s="10"/>
      <c r="P9" s="10"/>
      <c r="Q9" s="10"/>
      <c r="R9" s="4"/>
      <c r="S9" s="4"/>
      <c r="T9" s="4"/>
      <c r="U9" s="4"/>
      <c r="V9" s="4"/>
      <c r="W9" s="4"/>
      <c r="X9" s="4"/>
      <c r="Y9" s="4"/>
      <c r="Z9" s="4"/>
      <c r="AA9" s="4"/>
    </row>
    <row r="10">
      <c r="A10" s="13"/>
      <c r="B10" s="14">
        <v>8.0</v>
      </c>
      <c r="C10" s="21" t="b">
        <f>IF(B10=Projections!$G$3,TRUE)</f>
        <v>0</v>
      </c>
      <c r="D10" s="11"/>
      <c r="E10" s="11"/>
      <c r="F10" s="10"/>
      <c r="G10" s="10"/>
      <c r="H10" s="10"/>
      <c r="I10" s="10"/>
      <c r="J10" s="10"/>
      <c r="K10" s="10"/>
      <c r="L10" s="10"/>
      <c r="M10" s="10"/>
      <c r="N10" s="10"/>
      <c r="O10" s="10"/>
      <c r="P10" s="10"/>
      <c r="Q10" s="10"/>
      <c r="R10" s="4"/>
      <c r="S10" s="4"/>
      <c r="T10" s="4"/>
      <c r="U10" s="4"/>
      <c r="V10" s="4"/>
      <c r="W10" s="4"/>
      <c r="X10" s="4"/>
      <c r="Y10" s="4"/>
      <c r="Z10" s="4"/>
      <c r="AA10" s="4"/>
    </row>
    <row r="11">
      <c r="A11" s="13"/>
      <c r="B11" s="14">
        <v>9.0</v>
      </c>
      <c r="C11" s="21" t="b">
        <f>IF(B11=Projections!$G$3,TRUE)</f>
        <v>0</v>
      </c>
      <c r="D11" s="11"/>
      <c r="E11" s="11"/>
      <c r="F11" s="10"/>
      <c r="G11" s="10"/>
      <c r="H11" s="10"/>
      <c r="I11" s="10"/>
      <c r="J11" s="10"/>
      <c r="K11" s="10"/>
      <c r="L11" s="10"/>
      <c r="M11" s="10"/>
      <c r="N11" s="10"/>
      <c r="O11" s="10"/>
      <c r="P11" s="10"/>
      <c r="Q11" s="10"/>
      <c r="R11" s="4"/>
      <c r="S11" s="4"/>
      <c r="T11" s="4"/>
      <c r="U11" s="4"/>
      <c r="V11" s="4"/>
      <c r="W11" s="4"/>
      <c r="X11" s="4"/>
      <c r="Y11" s="4"/>
      <c r="Z11" s="4"/>
      <c r="AA11" s="4"/>
    </row>
    <row r="12">
      <c r="A12" s="13"/>
      <c r="B12" s="14">
        <v>10.0</v>
      </c>
      <c r="C12" s="21" t="b">
        <f>IF(B12=Projections!$G$3,TRUE)</f>
        <v>0</v>
      </c>
      <c r="D12" s="11"/>
      <c r="E12" s="11"/>
      <c r="F12" s="10"/>
      <c r="G12" s="10"/>
      <c r="H12" s="10"/>
      <c r="I12" s="10"/>
      <c r="J12" s="10"/>
      <c r="K12" s="10"/>
      <c r="L12" s="10"/>
      <c r="M12" s="10"/>
      <c r="N12" s="10"/>
      <c r="O12" s="10"/>
      <c r="P12" s="10"/>
      <c r="Q12" s="10"/>
      <c r="R12" s="4"/>
      <c r="S12" s="4"/>
      <c r="T12" s="4"/>
      <c r="U12" s="4"/>
      <c r="V12" s="4"/>
      <c r="W12" s="4"/>
      <c r="X12" s="4"/>
      <c r="Y12" s="4"/>
      <c r="Z12" s="4"/>
      <c r="AA12" s="4"/>
    </row>
    <row r="13">
      <c r="A13" s="13"/>
      <c r="B13" s="14">
        <v>11.0</v>
      </c>
      <c r="C13" s="21" t="b">
        <f>IF(B13=Projections!$G$3,TRUE)</f>
        <v>0</v>
      </c>
      <c r="D13" s="11"/>
      <c r="E13" s="11"/>
      <c r="F13" s="10"/>
      <c r="G13" s="10"/>
      <c r="H13" s="10"/>
      <c r="I13" s="10"/>
      <c r="J13" s="10"/>
      <c r="K13" s="10"/>
      <c r="L13" s="10"/>
      <c r="M13" s="10"/>
      <c r="N13" s="10"/>
      <c r="O13" s="10"/>
      <c r="P13" s="10"/>
      <c r="Q13" s="10"/>
      <c r="R13" s="4"/>
      <c r="S13" s="4"/>
      <c r="T13" s="4"/>
      <c r="U13" s="4"/>
      <c r="V13" s="4"/>
      <c r="W13" s="4"/>
      <c r="X13" s="4"/>
      <c r="Y13" s="4"/>
      <c r="Z13" s="4"/>
      <c r="AA13" s="4"/>
    </row>
    <row r="14">
      <c r="A14" s="13"/>
      <c r="B14" s="14">
        <v>12.0</v>
      </c>
      <c r="C14" s="21" t="b">
        <f>IF(B14=Projections!$G$3,TRUE)</f>
        <v>0</v>
      </c>
      <c r="D14" s="11"/>
      <c r="E14" s="11"/>
      <c r="F14" s="10"/>
      <c r="G14" s="10"/>
      <c r="H14" s="10"/>
      <c r="I14" s="10"/>
      <c r="J14" s="10"/>
      <c r="K14" s="10"/>
      <c r="L14" s="10"/>
      <c r="M14" s="10"/>
      <c r="N14" s="10"/>
      <c r="O14" s="10"/>
      <c r="P14" s="10"/>
      <c r="Q14" s="10"/>
      <c r="R14" s="4"/>
      <c r="S14" s="4"/>
      <c r="T14" s="4"/>
      <c r="U14" s="4"/>
      <c r="V14" s="4"/>
      <c r="W14" s="4"/>
      <c r="X14" s="4"/>
      <c r="Y14" s="4"/>
      <c r="Z14" s="4"/>
      <c r="AA14" s="4"/>
    </row>
    <row r="15">
      <c r="A15" s="47"/>
      <c r="B15" s="47"/>
      <c r="C15" s="4"/>
      <c r="D15" s="4"/>
      <c r="E15" s="4"/>
      <c r="F15" s="48"/>
      <c r="G15" s="48"/>
      <c r="H15" s="48"/>
      <c r="I15" s="48"/>
      <c r="J15" s="48"/>
      <c r="K15" s="48"/>
      <c r="L15" s="48"/>
      <c r="M15" s="48"/>
      <c r="N15" s="48"/>
      <c r="O15" s="48"/>
      <c r="P15" s="4"/>
      <c r="Q15" s="4"/>
      <c r="R15" s="4"/>
      <c r="S15" s="4"/>
      <c r="T15" s="4"/>
      <c r="U15" s="4"/>
      <c r="V15" s="4"/>
      <c r="W15" s="4"/>
      <c r="X15" s="4"/>
      <c r="Y15" s="4"/>
      <c r="Z15" s="4"/>
      <c r="AA15" s="4"/>
    </row>
    <row r="16">
      <c r="A16" s="47"/>
      <c r="B16" s="47"/>
      <c r="C16" s="50" t="s">
        <v>49</v>
      </c>
      <c r="D16" s="59">
        <f>IF(C3=TRUE,"1",IF(C4=TRUE,"2", IF(C5=True, "3",IF(C6=True, "4",IF(C7=True, "5",IF(C8=True, "6",IF(C9=True, "7",IF(C10=True, "8",IF(C11=True, "9",IF(C12=True, "10",IF(C13=True, "11",IF(C14=True, "12"))))))))))))*1</f>
        <v>6</v>
      </c>
      <c r="E16" s="59">
        <f>IF(C3=TRUE,"24",IF(C4=TRUE,"23", IF(C5=True, "22",IF(C6=True, "21",IF(C7=True, "20",IF(C8=True, "19",IF(C9=True, "18",IF(C10=True, "17",IF(C11=True, "16",IF(C12=True, "15",IF(C13=True, "14",IF(C14=True, "13"))))))))))))*1</f>
        <v>19</v>
      </c>
      <c r="F16" s="61">
        <f>IF(C3=TRUE,"25",IF(C4=TRUE,"26", IF(C5=True, "27",IF(C6=True, "28",IF(C7=True, "29",IF(C8=True, "30",IF(C9=True, "31",IF(C10=True, "32",IF(C11=True, "33",IF(C12=True, "34",IF(C13=True, "35",IF(C14=True, "36"))))))))))))*1</f>
        <v>30</v>
      </c>
      <c r="G16" s="61">
        <f>IF(C3=TRUE,"48",IF(C4=TRUE,"47", IF(C5=True, "46",IF(C6=True, "45",IF(C7=True, "44",IF(C8=True, "43",IF(C9=True, "42",IF(C10=True, "41",IF(C11=True, "40",IF(C12=True, "39",IF(C13=True, "38",IF(C14=True, "37"))))))))))))*1</f>
        <v>43</v>
      </c>
      <c r="H16" s="67">
        <f>IF(C3=TRUE,"49",IF(C4=TRUE,"50", IF(C5=True, "51",IF(C6=True, "52",IF(C7=True, "53",IF(C8=True, "54",IF(C9=True, "55",IF(C10=True, "56",IF(C11=True, "57",IF(C12=True, "58",IF(C13=True, "59",IF(C14=True, "60"))))))))))))*1</f>
        <v>54</v>
      </c>
      <c r="I16" s="67">
        <f>IF(C3=TRUE,"72",IF(C4=TRUE,"71", IF(C5=True, "70",IF(C6=True, "69",IF(C7=True, "68",IF(C8=True, "67",IF(C9=True, "66",IF(C10=True, "65",IF(C11=True, "64",IF(C12=True, "63",IF(C13=True, "62",IF(C14=True, "61"))))))))))))*1</f>
        <v>67</v>
      </c>
      <c r="J16" s="67">
        <f>IF(C3=TRUE,"73",IF(C4=TRUE,"74", IF(C5=True, "75",IF(C6=True, "76",IF(C7=True, "77",IF(C8=True, "78",IF(C9=True, "79",IF(C10=True, "80",IF(C11=True, "81",IF(C12=True, "82",IF(C13=True, "83",IF(C14=True, "84"))))))))))))*1</f>
        <v>78</v>
      </c>
      <c r="K16" s="67">
        <f>IF(C3=TRUE,"96",IF(C4=TRUE,"95", IF(C5=True, "94",IF(C6=True, "93",IF(C7=True, "92",IF(C8=True, "91",IF(C9=True, "90",IF(C10=True, "89",IF(C11=True, "88",IF(C12=True, "87",IF(C13=True, "86",IF(C14=True, "85"))))))))))))*1</f>
        <v>91</v>
      </c>
      <c r="L16" s="67">
        <f>IF(C3=TRUE,"97",IF(C4=TRUE,"98", IF(C5=True, "99",IF(C6=True, "100",IF(C7=True, "101",IF(C8=True, "102",IF(C9=True, "103",IF(C10=True, "104",IF(C11=True, "105",IF(C12=True, "106",IF(C13=True, "107",IF(C14=True, "108"))))))))))))*1</f>
        <v>102</v>
      </c>
      <c r="M16" s="67">
        <f>IF(C3=TRUE,"120",IF(C4=TRUE,"119", IF(C5=True, "118",IF(C6=True, "117",IF(C7=True, "116",IF(C8=True, "115",IF(C9=True, "114",IF(C10=True, "113",IF(C11=True, "112",IF(C12=True, "111",IF(C13=True, "110",IF(C14=True, "109"))))))))))))*1</f>
        <v>115</v>
      </c>
      <c r="N16" s="67">
        <f>IF(C3=TRUE,"121",IF(C4=TRUE,"122", IF(C5=True, "123",IF(C6=True, "124",IF(C7=True, "125",IF(C8=True, "126",IF(C9=True, "127",IF(C10=True, "128",IF(C11=True, "129",IF(C12=True, "130",IF(C13=True, "131",IF(C14=True, "132"))))))))))))*1</f>
        <v>126</v>
      </c>
      <c r="O16" s="80">
        <f>IF(C3=TRUE,"144",IF(C4=TRUE,"143", IF(C5=True, "142",IF(C6=True, "141",IF(C7=True, "140",IF(C8=True, "139",IF(C9=True, "138",IF(C10=True, "137",IF(C11=True, "136",IF(C12=True, "135",IF(C13=True, "134",IF(C14=True, "133"))))))))))))*1</f>
        <v>139</v>
      </c>
      <c r="P16" s="81" t="str">
        <f>IF(C3=TRUE,"145",IF(C4=TRUE,"146", IF(C5=True, "147",IF(C6=True, "148",IF(C7=True, "149",IF(C8=True, "150",IF(C9=True, "151",IF(C10=True, "152",IF(C11=True, "153",IF(C12=True, "154",IF(C13=True, "155",IF(C14=True, "156"))))))))))))</f>
        <v>150</v>
      </c>
      <c r="Q16" s="81" t="str">
        <f>IF(C3=TRUE,"168",IF(C4=TRUE,"167", IF(C5=True, "166",IF(C6=True, "165",IF(C7=True, "164",IF(C8=True, "163",IF(C9=True, "162",IF(C10=True, "161",IF(C11=True, "160",IF(C12=True, "159",IF(C13=True, "158",IF(C14=True, "157"))))))))))))</f>
        <v>163</v>
      </c>
      <c r="R16" s="4"/>
      <c r="S16" s="4"/>
      <c r="T16" s="4"/>
      <c r="U16" s="4"/>
      <c r="V16" s="4"/>
      <c r="W16" s="4"/>
      <c r="X16" s="4"/>
      <c r="Y16" s="4"/>
      <c r="Z16" s="4"/>
      <c r="AA16" s="4"/>
    </row>
    <row r="17">
      <c r="A17" s="48"/>
      <c r="B17" s="48"/>
      <c r="C17" s="82" t="s">
        <v>199</v>
      </c>
      <c r="D17" s="83">
        <f t="shared" ref="D17:E17" si="1">D16</f>
        <v>6</v>
      </c>
      <c r="E17" s="83">
        <f t="shared" si="1"/>
        <v>19</v>
      </c>
      <c r="F17" s="85">
        <f>F16+IF($C$3,11, IF($C$4,9,IF($C$5,7,IF($C$6,5,IF($C$7,3,IF($C$8,1,IF($C$9,-1,IF($C$10,-3,IF($C$11,-5,IF($C$12,-7, IF($C$13,-9, IF($C$14,-11))))))))))))*1</f>
        <v>31</v>
      </c>
      <c r="G17" s="85">
        <f>G16-IF($C$3,11, IF($C$4,9,IF($C$5,7,IF($C$6,5,IF($C$7,3,IF($C$8,1,IF($C$9,-1,IF($C$10,-3,IF($C$11,-5,IF($C$12,-7, IF($C$13,-9, IF($C$14,-11))))))))))))*1</f>
        <v>42</v>
      </c>
      <c r="H17" s="85">
        <f>H16+IF($C$3,11, IF($C$4,9,IF($C$5,7,IF($C$6,5,IF($C$7,3,IF($C$8,1,IF($C$9,-1,IF($C$10,-3,IF($C$11,-5,IF($C$12,-7, IF($C$13,-9, IF($C$14,-11))))))))))))*1</f>
        <v>55</v>
      </c>
      <c r="I17" s="85">
        <f>I16-IF($C$3,11, IF($C$4,9,IF($C$5,7,IF($C$6,5,IF($C$7,3,IF($C$8,1,IF($C$9,-1,IF($C$10,-3,IF($C$11,-5,IF($C$12,-7, IF($C$13,-9, IF($C$14,-11))))))))))))*1</f>
        <v>66</v>
      </c>
      <c r="J17" s="85">
        <f>J16+IF($C$3,11, IF($C$4,9,IF($C$5,7,IF($C$6,5,IF($C$7,3,IF($C$8,1,IF($C$9,-1,IF($C$10,-3,IF($C$11,-5,IF($C$12,-7, IF($C$13,-9, IF($C$14,-11))))))))))))*1</f>
        <v>79</v>
      </c>
      <c r="K17" s="85">
        <f>K16-IF($C$3,11, IF($C$4,9,IF($C$5,7,IF($C$6,5,IF($C$7,3,IF($C$8,1,IF($C$9,-1,IF($C$10,-3,IF($C$11,-5,IF($C$12,-7, IF($C$13,-9, IF($C$14,-11))))))))))))*1</f>
        <v>90</v>
      </c>
      <c r="L17" s="85">
        <f>L16+IF($C$3,11, IF($C$4,9,IF($C$5,7,IF($C$6,5,IF($C$7,3,IF($C$8,1,IF($C$9,-1,IF($C$10,-3,IF($C$11,-5,IF($C$12,-7, IF($C$13,-9, IF($C$14,-11))))))))))))*1</f>
        <v>103</v>
      </c>
      <c r="M17" s="85">
        <f>M16-IF($C$3,11, IF($C$4,9,IF($C$5,7,IF($C$6,5,IF($C$7,3,IF($C$8,1,IF($C$9,-1,IF($C$10,-3,IF($C$11,-5,IF($C$12,-7, IF($C$13,-9, IF($C$14,-11))))))))))))*1</f>
        <v>114</v>
      </c>
      <c r="N17" s="85">
        <f>N16+IF($C$3,11, IF($C$4,9,IF($C$5,7,IF($C$6,5,IF($C$7,3,IF($C$8,1,IF($C$9,-1,IF($C$10,-3,IF($C$11,-5,IF($C$12,-7, IF($C$13,-9, IF($C$14,-11))))))))))))*1</f>
        <v>127</v>
      </c>
      <c r="O17" s="98">
        <f>O16-IF($C$3,11, IF($C$4,9,IF($C$5,7,IF($C$6,5,IF($C$7,3,IF($C$8,1,IF($C$9,-1,IF($C$10,-3,IF($C$11,-5,IF($C$12,-7, IF($C$13,-9, IF($C$14,-11))))))))))))*1</f>
        <v>138</v>
      </c>
      <c r="P17" s="85">
        <f>P16+IF($B$3,11, IF($B$4,9,IF($B$5,7,IF($B$6,5,IF($B$7,3,IF($B$8,1,IF($B$9,-1,IF($B$10,-3,IF($B$11,-5,IF($B$12,-7, IF($B$13,-9, IF($B$14,-11))))))))))))</f>
        <v>161</v>
      </c>
      <c r="Q17" s="85">
        <f>Q16-IF($B$3,11, IF($B$4,9,IF($B$5,7,IF($B$6,5,IF($B$7,3,IF($B$8,1,IF($B$9,-1,IF($B$10,-3,IF($B$11,-5,IF($B$12,-7, IF($B$13,-9, IF($B$14,-11))))))))))))</f>
        <v>152</v>
      </c>
      <c r="R17" s="4"/>
      <c r="S17" s="4"/>
      <c r="T17" s="4"/>
      <c r="U17" s="4"/>
      <c r="V17" s="4"/>
      <c r="W17" s="4"/>
      <c r="X17" s="4"/>
      <c r="Y17" s="4"/>
      <c r="Z17" s="4"/>
      <c r="AA17" s="4"/>
    </row>
    <row r="18">
      <c r="A18" s="48"/>
      <c r="B18" s="48"/>
      <c r="C18" s="4"/>
      <c r="D18" s="4"/>
      <c r="E18" s="4"/>
      <c r="F18" s="48"/>
      <c r="G18" s="48"/>
      <c r="H18" s="48"/>
      <c r="I18" s="48"/>
      <c r="J18" s="48"/>
      <c r="K18" s="48"/>
      <c r="L18" s="48"/>
      <c r="M18" s="48"/>
      <c r="N18" s="48"/>
      <c r="O18" s="48"/>
      <c r="P18" s="4"/>
      <c r="Q18" s="4"/>
      <c r="R18" s="4"/>
      <c r="S18" s="4"/>
      <c r="T18" s="4"/>
      <c r="U18" s="4"/>
      <c r="V18" s="4"/>
      <c r="W18" s="4"/>
      <c r="X18" s="4"/>
      <c r="Y18" s="4"/>
      <c r="Z18" s="4"/>
      <c r="AA18" s="4"/>
    </row>
    <row r="19">
      <c r="A19" s="48"/>
      <c r="B19" s="48"/>
      <c r="C19" s="4"/>
      <c r="D19" s="102" t="s">
        <v>263</v>
      </c>
      <c r="E19" s="103"/>
      <c r="F19" s="104"/>
      <c r="G19" s="105"/>
      <c r="H19" s="48"/>
      <c r="I19" s="48"/>
      <c r="J19" s="48"/>
      <c r="K19" s="48"/>
      <c r="L19" s="48"/>
      <c r="M19" s="48"/>
      <c r="N19" s="48"/>
      <c r="O19" s="48"/>
      <c r="P19" s="4"/>
      <c r="Q19" s="4"/>
      <c r="R19" s="4"/>
      <c r="S19" s="4"/>
      <c r="T19" s="4"/>
      <c r="U19" s="4"/>
      <c r="V19" s="4"/>
      <c r="W19" s="4"/>
      <c r="X19" s="4"/>
      <c r="Y19" s="4"/>
      <c r="Z19" s="4"/>
      <c r="AA19" s="4"/>
    </row>
    <row r="20">
      <c r="A20" s="48"/>
      <c r="B20" s="48"/>
      <c r="C20" s="4"/>
      <c r="D20" s="106" t="s">
        <v>264</v>
      </c>
      <c r="E20" s="104"/>
      <c r="F20" s="105"/>
      <c r="G20" s="105"/>
      <c r="H20" s="48"/>
      <c r="I20" s="48"/>
      <c r="J20" s="48"/>
      <c r="K20" s="48"/>
      <c r="L20" s="48"/>
      <c r="M20" s="48"/>
      <c r="N20" s="48"/>
      <c r="O20" s="48"/>
      <c r="P20" s="4"/>
      <c r="Q20" s="4"/>
      <c r="R20" s="4"/>
      <c r="S20" s="4"/>
      <c r="T20" s="4"/>
      <c r="U20" s="4"/>
      <c r="V20" s="4"/>
      <c r="W20" s="4"/>
      <c r="X20" s="4"/>
      <c r="Y20" s="4"/>
      <c r="Z20" s="4"/>
      <c r="AA20" s="4"/>
    </row>
    <row r="21">
      <c r="A21" s="48"/>
      <c r="B21" s="48"/>
      <c r="C21" s="4"/>
      <c r="D21" s="105"/>
      <c r="E21" s="105"/>
      <c r="F21" s="105"/>
      <c r="G21" s="105"/>
      <c r="H21" s="48"/>
      <c r="I21" s="48"/>
      <c r="J21" s="48"/>
      <c r="K21" s="48"/>
      <c r="L21" s="48"/>
      <c r="M21" s="48"/>
      <c r="N21" s="48"/>
      <c r="O21" s="48"/>
      <c r="P21" s="4"/>
      <c r="Q21" s="4"/>
      <c r="R21" s="4"/>
      <c r="S21" s="4"/>
      <c r="T21" s="4"/>
      <c r="U21" s="4"/>
      <c r="V21" s="4"/>
      <c r="W21" s="4"/>
      <c r="X21" s="4"/>
      <c r="Y21" s="4"/>
      <c r="Z21" s="4"/>
      <c r="AA21" s="4"/>
    </row>
    <row r="22">
      <c r="A22" s="48"/>
      <c r="B22" s="48"/>
      <c r="C22" s="4"/>
      <c r="D22" s="4"/>
      <c r="E22" s="4"/>
      <c r="F22" s="48"/>
      <c r="G22" s="48"/>
      <c r="H22" s="48"/>
      <c r="I22" s="48"/>
      <c r="J22" s="48"/>
      <c r="K22" s="48"/>
      <c r="L22" s="48"/>
      <c r="M22" s="48"/>
      <c r="N22" s="48"/>
      <c r="O22" s="48"/>
      <c r="P22" s="4"/>
      <c r="Q22" s="4"/>
      <c r="R22" s="4"/>
      <c r="S22" s="4"/>
      <c r="T22" s="4"/>
      <c r="U22" s="4"/>
      <c r="V22" s="4"/>
      <c r="W22" s="4"/>
      <c r="X22" s="4"/>
      <c r="Y22" s="4"/>
      <c r="Z22" s="4"/>
      <c r="AA22" s="4"/>
    </row>
    <row r="23">
      <c r="A23" s="48"/>
      <c r="B23" s="48"/>
      <c r="C23" s="4"/>
      <c r="D23" s="4"/>
      <c r="E23" s="4"/>
      <c r="F23" s="48"/>
      <c r="G23" s="48"/>
      <c r="H23" s="48"/>
      <c r="I23" s="48"/>
      <c r="J23" s="48"/>
      <c r="K23" s="48"/>
      <c r="L23" s="48"/>
      <c r="M23" s="48"/>
      <c r="N23" s="48"/>
      <c r="O23" s="48"/>
      <c r="P23" s="4"/>
      <c r="Q23" s="4"/>
      <c r="R23" s="4"/>
      <c r="S23" s="4"/>
      <c r="T23" s="4"/>
      <c r="U23" s="4"/>
      <c r="V23" s="4"/>
      <c r="W23" s="4"/>
      <c r="X23" s="4"/>
      <c r="Y23" s="4"/>
      <c r="Z23" s="4"/>
      <c r="AA23" s="4"/>
    </row>
    <row r="24">
      <c r="A24" s="48"/>
      <c r="B24" s="48"/>
      <c r="C24" s="4"/>
      <c r="D24" s="4"/>
      <c r="E24" s="4"/>
      <c r="F24" s="48"/>
      <c r="G24" s="48"/>
      <c r="H24" s="48"/>
      <c r="I24" s="48"/>
      <c r="J24" s="48"/>
      <c r="K24" s="48"/>
      <c r="L24" s="48"/>
      <c r="M24" s="48"/>
      <c r="N24" s="48"/>
      <c r="O24" s="48"/>
      <c r="P24" s="4"/>
      <c r="Q24" s="4"/>
      <c r="R24" s="4"/>
      <c r="S24" s="4"/>
      <c r="T24" s="4"/>
      <c r="U24" s="4"/>
      <c r="V24" s="4"/>
      <c r="W24" s="4"/>
      <c r="X24" s="4"/>
      <c r="Y24" s="4"/>
      <c r="Z24" s="4"/>
      <c r="AA24" s="4"/>
    </row>
    <row r="25">
      <c r="A25" s="48"/>
      <c r="B25" s="48"/>
      <c r="C25" s="4"/>
      <c r="D25" s="4"/>
      <c r="E25" s="4"/>
      <c r="F25" s="48"/>
      <c r="G25" s="48"/>
      <c r="H25" s="48"/>
      <c r="I25" s="48"/>
      <c r="J25" s="48"/>
      <c r="K25" s="48"/>
      <c r="L25" s="48"/>
      <c r="M25" s="48"/>
      <c r="N25" s="48"/>
      <c r="O25" s="48"/>
      <c r="P25" s="4"/>
      <c r="Q25" s="4"/>
      <c r="R25" s="4"/>
      <c r="S25" s="4"/>
      <c r="T25" s="4"/>
      <c r="U25" s="4"/>
      <c r="V25" s="4"/>
      <c r="W25" s="4"/>
      <c r="X25" s="4"/>
      <c r="Y25" s="4"/>
      <c r="Z25" s="4"/>
      <c r="AA25" s="4"/>
    </row>
    <row r="26">
      <c r="A26" s="48"/>
      <c r="B26" s="48"/>
      <c r="C26" s="4"/>
      <c r="D26" s="4"/>
      <c r="E26" s="4"/>
      <c r="F26" s="48"/>
      <c r="G26" s="48"/>
      <c r="H26" s="48"/>
      <c r="I26" s="48"/>
      <c r="J26" s="48"/>
      <c r="K26" s="48"/>
      <c r="L26" s="48"/>
      <c r="M26" s="48"/>
      <c r="N26" s="48"/>
      <c r="O26" s="48"/>
      <c r="P26" s="4"/>
      <c r="Q26" s="4"/>
      <c r="R26" s="4"/>
      <c r="S26" s="4"/>
      <c r="T26" s="4"/>
      <c r="U26" s="4"/>
      <c r="V26" s="4"/>
      <c r="W26" s="4"/>
      <c r="X26" s="4"/>
      <c r="Y26" s="4"/>
      <c r="Z26" s="4"/>
      <c r="AA26" s="4"/>
    </row>
    <row r="27">
      <c r="A27" s="48"/>
      <c r="B27" s="48"/>
      <c r="C27" s="4"/>
      <c r="D27" s="4"/>
      <c r="E27" s="4"/>
      <c r="F27" s="48"/>
      <c r="G27" s="48"/>
      <c r="H27" s="48"/>
      <c r="I27" s="48"/>
      <c r="J27" s="48"/>
      <c r="K27" s="48"/>
      <c r="L27" s="48"/>
      <c r="M27" s="48"/>
      <c r="N27" s="48"/>
      <c r="O27" s="48"/>
      <c r="P27" s="4"/>
      <c r="Q27" s="4"/>
      <c r="R27" s="4"/>
      <c r="S27" s="4"/>
      <c r="T27" s="4"/>
      <c r="U27" s="4"/>
      <c r="V27" s="4"/>
      <c r="W27" s="4"/>
      <c r="X27" s="4"/>
      <c r="Y27" s="4"/>
      <c r="Z27" s="4"/>
      <c r="AA27" s="4"/>
    </row>
    <row r="28">
      <c r="A28" s="48"/>
      <c r="B28" s="48"/>
      <c r="C28" s="4"/>
      <c r="D28" s="4"/>
      <c r="E28" s="4"/>
      <c r="F28" s="48"/>
      <c r="G28" s="48"/>
      <c r="H28" s="48"/>
      <c r="I28" s="48"/>
      <c r="J28" s="48"/>
      <c r="K28" s="48"/>
      <c r="L28" s="48"/>
      <c r="M28" s="48"/>
      <c r="N28" s="48"/>
      <c r="O28" s="48"/>
      <c r="P28" s="4"/>
      <c r="Q28" s="4"/>
      <c r="R28" s="4"/>
      <c r="S28" s="4"/>
      <c r="T28" s="4"/>
      <c r="U28" s="4"/>
      <c r="V28" s="4"/>
      <c r="W28" s="4"/>
      <c r="X28" s="4"/>
      <c r="Y28" s="4"/>
      <c r="Z28" s="4"/>
      <c r="AA28" s="4"/>
    </row>
    <row r="29">
      <c r="A29" s="48"/>
      <c r="B29" s="48"/>
      <c r="C29" s="4"/>
      <c r="D29" s="4"/>
      <c r="E29" s="4"/>
      <c r="F29" s="48"/>
      <c r="G29" s="48"/>
      <c r="H29" s="48"/>
      <c r="I29" s="48"/>
      <c r="J29" s="48"/>
      <c r="K29" s="48"/>
      <c r="L29" s="48"/>
      <c r="M29" s="48"/>
      <c r="N29" s="48"/>
      <c r="O29" s="48"/>
      <c r="P29" s="4"/>
      <c r="Q29" s="4"/>
      <c r="R29" s="4"/>
      <c r="S29" s="4"/>
      <c r="T29" s="4"/>
      <c r="U29" s="4"/>
      <c r="V29" s="4"/>
      <c r="W29" s="4"/>
      <c r="X29" s="4"/>
      <c r="Y29" s="4"/>
      <c r="Z29" s="4"/>
      <c r="AA29" s="4"/>
    </row>
    <row r="30">
      <c r="A30" s="48"/>
      <c r="B30" s="48"/>
      <c r="C30" s="4"/>
      <c r="D30" s="4"/>
      <c r="E30" s="4"/>
      <c r="F30" s="48"/>
      <c r="G30" s="48"/>
      <c r="H30" s="48"/>
      <c r="I30" s="48"/>
      <c r="J30" s="48"/>
      <c r="K30" s="48"/>
      <c r="L30" s="48"/>
      <c r="M30" s="48"/>
      <c r="N30" s="48"/>
      <c r="O30" s="48"/>
      <c r="P30" s="4"/>
      <c r="Q30" s="4"/>
      <c r="R30" s="4"/>
      <c r="S30" s="4"/>
      <c r="T30" s="4"/>
      <c r="U30" s="4"/>
      <c r="V30" s="4"/>
      <c r="W30" s="4"/>
      <c r="X30" s="4"/>
      <c r="Y30" s="4"/>
      <c r="Z30" s="4"/>
      <c r="AA30" s="4"/>
    </row>
    <row r="31">
      <c r="A31" s="48"/>
      <c r="B31" s="48"/>
      <c r="C31" s="4"/>
      <c r="D31" s="4"/>
      <c r="E31" s="4"/>
      <c r="F31" s="48"/>
      <c r="G31" s="48"/>
      <c r="H31" s="48"/>
      <c r="I31" s="48"/>
      <c r="J31" s="48"/>
      <c r="K31" s="48"/>
      <c r="L31" s="48"/>
      <c r="M31" s="48"/>
      <c r="N31" s="48"/>
      <c r="O31" s="48"/>
      <c r="P31" s="4"/>
      <c r="Q31" s="4"/>
      <c r="R31" s="4"/>
      <c r="S31" s="4"/>
      <c r="T31" s="4"/>
      <c r="U31" s="4"/>
      <c r="V31" s="4"/>
      <c r="W31" s="4"/>
      <c r="X31" s="4"/>
      <c r="Y31" s="4"/>
      <c r="Z31" s="4"/>
      <c r="AA31" s="4"/>
    </row>
    <row r="32">
      <c r="A32" s="48"/>
      <c r="B32" s="48"/>
      <c r="C32" s="4"/>
      <c r="D32" s="4"/>
      <c r="E32" s="4"/>
      <c r="F32" s="48"/>
      <c r="G32" s="48"/>
      <c r="H32" s="48"/>
      <c r="I32" s="48"/>
      <c r="J32" s="48"/>
      <c r="K32" s="48"/>
      <c r="L32" s="48"/>
      <c r="M32" s="48"/>
      <c r="N32" s="48"/>
      <c r="O32" s="48"/>
      <c r="P32" s="4"/>
      <c r="Q32" s="4"/>
      <c r="R32" s="4"/>
      <c r="S32" s="4"/>
      <c r="T32" s="4"/>
      <c r="U32" s="4"/>
      <c r="V32" s="4"/>
      <c r="W32" s="4"/>
      <c r="X32" s="4"/>
      <c r="Y32" s="4"/>
      <c r="Z32" s="4"/>
      <c r="AA32" s="4"/>
    </row>
    <row r="33">
      <c r="A33" s="48"/>
      <c r="B33" s="48"/>
      <c r="C33" s="4"/>
      <c r="D33" s="4"/>
      <c r="E33" s="4"/>
      <c r="F33" s="48"/>
      <c r="G33" s="48"/>
      <c r="H33" s="48"/>
      <c r="I33" s="48"/>
      <c r="J33" s="48"/>
      <c r="K33" s="48"/>
      <c r="L33" s="48"/>
      <c r="M33" s="48"/>
      <c r="N33" s="48"/>
      <c r="O33" s="48"/>
      <c r="P33" s="4"/>
      <c r="Q33" s="4"/>
      <c r="R33" s="4"/>
      <c r="S33" s="4"/>
      <c r="T33" s="4"/>
      <c r="U33" s="4"/>
      <c r="V33" s="4"/>
      <c r="W33" s="4"/>
      <c r="X33" s="4"/>
      <c r="Y33" s="4"/>
      <c r="Z33" s="4"/>
      <c r="AA33" s="4"/>
    </row>
    <row r="34">
      <c r="A34" s="48"/>
      <c r="B34" s="48"/>
      <c r="C34" s="4"/>
      <c r="D34" s="4"/>
      <c r="E34" s="4"/>
      <c r="F34" s="48"/>
      <c r="G34" s="48"/>
      <c r="H34" s="48"/>
      <c r="I34" s="48"/>
      <c r="J34" s="48"/>
      <c r="K34" s="48"/>
      <c r="L34" s="48"/>
      <c r="M34" s="48"/>
      <c r="N34" s="48"/>
      <c r="O34" s="48"/>
      <c r="P34" s="4"/>
      <c r="Q34" s="4"/>
      <c r="R34" s="4"/>
      <c r="S34" s="4"/>
      <c r="T34" s="4"/>
      <c r="U34" s="4"/>
      <c r="V34" s="4"/>
      <c r="W34" s="4"/>
      <c r="X34" s="4"/>
      <c r="Y34" s="4"/>
      <c r="Z34" s="4"/>
      <c r="AA34" s="4"/>
    </row>
    <row r="35">
      <c r="A35" s="48"/>
      <c r="B35" s="48"/>
      <c r="C35" s="4"/>
      <c r="D35" s="4"/>
      <c r="E35" s="4"/>
      <c r="F35" s="48"/>
      <c r="G35" s="48"/>
      <c r="H35" s="48"/>
      <c r="I35" s="48"/>
      <c r="J35" s="48"/>
      <c r="K35" s="48"/>
      <c r="L35" s="48"/>
      <c r="M35" s="48"/>
      <c r="N35" s="48"/>
      <c r="O35" s="48"/>
      <c r="P35" s="4"/>
      <c r="Q35" s="4"/>
      <c r="R35" s="4"/>
      <c r="S35" s="4"/>
      <c r="T35" s="4"/>
      <c r="U35" s="4"/>
      <c r="V35" s="4"/>
      <c r="W35" s="4"/>
      <c r="X35" s="4"/>
      <c r="Y35" s="4"/>
      <c r="Z35" s="4"/>
      <c r="AA35" s="4"/>
    </row>
    <row r="36">
      <c r="A36" s="48"/>
      <c r="B36" s="48"/>
      <c r="C36" s="4"/>
      <c r="D36" s="4"/>
      <c r="E36" s="4"/>
      <c r="F36" s="48"/>
      <c r="G36" s="48"/>
      <c r="H36" s="48"/>
      <c r="I36" s="48"/>
      <c r="J36" s="48"/>
      <c r="K36" s="48"/>
      <c r="L36" s="48"/>
      <c r="M36" s="48"/>
      <c r="N36" s="48"/>
      <c r="O36" s="48"/>
      <c r="P36" s="4"/>
      <c r="Q36" s="4"/>
      <c r="R36" s="4"/>
      <c r="S36" s="4"/>
      <c r="T36" s="4"/>
      <c r="U36" s="4"/>
      <c r="V36" s="4"/>
      <c r="W36" s="4"/>
      <c r="X36" s="4"/>
      <c r="Y36" s="4"/>
      <c r="Z36" s="4"/>
      <c r="AA36" s="4"/>
    </row>
    <row r="37">
      <c r="A37" s="48"/>
      <c r="B37" s="48"/>
      <c r="C37" s="4"/>
      <c r="D37" s="4"/>
      <c r="E37" s="4"/>
      <c r="F37" s="48"/>
      <c r="G37" s="48"/>
      <c r="H37" s="48"/>
      <c r="I37" s="48"/>
      <c r="J37" s="48"/>
      <c r="K37" s="48"/>
      <c r="L37" s="48"/>
      <c r="M37" s="48"/>
      <c r="N37" s="48"/>
      <c r="O37" s="48"/>
      <c r="P37" s="4"/>
      <c r="Q37" s="4"/>
      <c r="R37" s="4"/>
      <c r="S37" s="4"/>
      <c r="T37" s="4"/>
      <c r="U37" s="4"/>
      <c r="V37" s="4"/>
      <c r="W37" s="4"/>
      <c r="X37" s="4"/>
      <c r="Y37" s="4"/>
      <c r="Z37" s="4"/>
      <c r="AA37" s="4"/>
    </row>
    <row r="38">
      <c r="A38" s="48"/>
      <c r="B38" s="48"/>
      <c r="C38" s="4"/>
      <c r="D38" s="4"/>
      <c r="E38" s="4"/>
      <c r="F38" s="48"/>
      <c r="G38" s="48"/>
      <c r="H38" s="48"/>
      <c r="I38" s="48"/>
      <c r="J38" s="48"/>
      <c r="K38" s="48"/>
      <c r="L38" s="48"/>
      <c r="M38" s="48"/>
      <c r="N38" s="48"/>
      <c r="O38" s="48"/>
      <c r="P38" s="4"/>
      <c r="Q38" s="4"/>
      <c r="R38" s="4"/>
      <c r="S38" s="4"/>
      <c r="T38" s="4"/>
      <c r="U38" s="4"/>
      <c r="V38" s="4"/>
      <c r="W38" s="4"/>
      <c r="X38" s="4"/>
      <c r="Y38" s="4"/>
      <c r="Z38" s="4"/>
      <c r="AA38" s="4"/>
    </row>
    <row r="39">
      <c r="A39" s="48"/>
      <c r="B39" s="48"/>
      <c r="C39" s="4"/>
      <c r="D39" s="4"/>
      <c r="E39" s="4"/>
      <c r="F39" s="48"/>
      <c r="G39" s="48"/>
      <c r="H39" s="48"/>
      <c r="I39" s="48"/>
      <c r="J39" s="48"/>
      <c r="K39" s="48"/>
      <c r="L39" s="48"/>
      <c r="M39" s="48"/>
      <c r="N39" s="48"/>
      <c r="O39" s="48"/>
      <c r="P39" s="4"/>
      <c r="Q39" s="4"/>
      <c r="R39" s="4"/>
      <c r="S39" s="4"/>
      <c r="T39" s="4"/>
      <c r="U39" s="4"/>
      <c r="V39" s="4"/>
      <c r="W39" s="4"/>
      <c r="X39" s="4"/>
      <c r="Y39" s="4"/>
      <c r="Z39" s="4"/>
      <c r="AA39" s="4"/>
    </row>
    <row r="40">
      <c r="A40" s="48"/>
      <c r="B40" s="48"/>
      <c r="C40" s="4"/>
      <c r="D40" s="4"/>
      <c r="E40" s="4"/>
      <c r="F40" s="48"/>
      <c r="G40" s="48"/>
      <c r="H40" s="48"/>
      <c r="I40" s="48"/>
      <c r="J40" s="48"/>
      <c r="K40" s="48"/>
      <c r="L40" s="48"/>
      <c r="M40" s="48"/>
      <c r="N40" s="48"/>
      <c r="O40" s="48"/>
      <c r="P40" s="4"/>
      <c r="Q40" s="4"/>
      <c r="R40" s="4"/>
      <c r="S40" s="4"/>
      <c r="T40" s="4"/>
      <c r="U40" s="4"/>
      <c r="V40" s="4"/>
      <c r="W40" s="4"/>
      <c r="X40" s="4"/>
      <c r="Y40" s="4"/>
      <c r="Z40" s="4"/>
      <c r="AA40" s="4"/>
    </row>
    <row r="41">
      <c r="A41" s="48"/>
      <c r="B41" s="48"/>
      <c r="C41" s="4"/>
      <c r="D41" s="4"/>
      <c r="E41" s="4"/>
      <c r="F41" s="48"/>
      <c r="G41" s="48"/>
      <c r="H41" s="48"/>
      <c r="I41" s="48"/>
      <c r="J41" s="48"/>
      <c r="K41" s="48"/>
      <c r="L41" s="48"/>
      <c r="M41" s="48"/>
      <c r="N41" s="48"/>
      <c r="O41" s="48"/>
      <c r="P41" s="4"/>
      <c r="Q41" s="4"/>
      <c r="R41" s="4"/>
      <c r="S41" s="4"/>
      <c r="T41" s="4"/>
      <c r="U41" s="4"/>
      <c r="V41" s="4"/>
      <c r="W41" s="4"/>
      <c r="X41" s="4"/>
      <c r="Y41" s="4"/>
      <c r="Z41" s="4"/>
      <c r="AA41" s="4"/>
    </row>
    <row r="42">
      <c r="A42" s="48"/>
      <c r="B42" s="48"/>
      <c r="C42" s="4"/>
      <c r="D42" s="4"/>
      <c r="E42" s="4"/>
      <c r="F42" s="48"/>
      <c r="G42" s="48"/>
      <c r="H42" s="48"/>
      <c r="I42" s="48"/>
      <c r="J42" s="48"/>
      <c r="K42" s="48"/>
      <c r="L42" s="48"/>
      <c r="M42" s="48"/>
      <c r="N42" s="48"/>
      <c r="O42" s="48"/>
      <c r="P42" s="4"/>
      <c r="Q42" s="4"/>
      <c r="R42" s="4"/>
      <c r="S42" s="4"/>
      <c r="T42" s="4"/>
      <c r="U42" s="4"/>
      <c r="V42" s="4"/>
      <c r="W42" s="4"/>
      <c r="X42" s="4"/>
      <c r="Y42" s="4"/>
      <c r="Z42" s="4"/>
      <c r="AA42" s="4"/>
    </row>
    <row r="43">
      <c r="A43" s="48"/>
      <c r="B43" s="48"/>
      <c r="C43" s="4"/>
      <c r="D43" s="4"/>
      <c r="E43" s="4"/>
      <c r="F43" s="48"/>
      <c r="G43" s="48"/>
      <c r="H43" s="48"/>
      <c r="I43" s="48"/>
      <c r="J43" s="48"/>
      <c r="K43" s="48"/>
      <c r="L43" s="48"/>
      <c r="M43" s="48"/>
      <c r="N43" s="48"/>
      <c r="O43" s="48"/>
      <c r="P43" s="4"/>
      <c r="Q43" s="4"/>
      <c r="R43" s="4"/>
      <c r="S43" s="4"/>
      <c r="T43" s="4"/>
      <c r="U43" s="4"/>
      <c r="V43" s="4"/>
      <c r="W43" s="4"/>
      <c r="X43" s="4"/>
      <c r="Y43" s="4"/>
      <c r="Z43" s="4"/>
      <c r="AA43" s="4"/>
    </row>
    <row r="44">
      <c r="A44" s="48"/>
      <c r="B44" s="48"/>
      <c r="C44" s="4"/>
      <c r="D44" s="4"/>
      <c r="E44" s="4"/>
      <c r="F44" s="48"/>
      <c r="G44" s="48"/>
      <c r="H44" s="48"/>
      <c r="I44" s="48"/>
      <c r="J44" s="48"/>
      <c r="K44" s="48"/>
      <c r="L44" s="48"/>
      <c r="M44" s="48"/>
      <c r="N44" s="48"/>
      <c r="O44" s="48"/>
      <c r="P44" s="4"/>
      <c r="Q44" s="4"/>
      <c r="R44" s="4"/>
      <c r="S44" s="4"/>
      <c r="T44" s="4"/>
      <c r="U44" s="4"/>
      <c r="V44" s="4"/>
      <c r="W44" s="4"/>
      <c r="X44" s="4"/>
      <c r="Y44" s="4"/>
      <c r="Z44" s="4"/>
      <c r="AA44" s="4"/>
    </row>
    <row r="45">
      <c r="A45" s="48"/>
      <c r="B45" s="48"/>
      <c r="C45" s="4"/>
      <c r="D45" s="4"/>
      <c r="E45" s="4"/>
      <c r="F45" s="48"/>
      <c r="G45" s="48"/>
      <c r="H45" s="48"/>
      <c r="I45" s="48"/>
      <c r="J45" s="48"/>
      <c r="K45" s="48"/>
      <c r="L45" s="48"/>
      <c r="M45" s="48"/>
      <c r="N45" s="48"/>
      <c r="O45" s="48"/>
      <c r="P45" s="4"/>
      <c r="Q45" s="4"/>
      <c r="R45" s="4"/>
      <c r="S45" s="4"/>
      <c r="T45" s="4"/>
      <c r="U45" s="4"/>
      <c r="V45" s="4"/>
      <c r="W45" s="4"/>
      <c r="X45" s="4"/>
      <c r="Y45" s="4"/>
      <c r="Z45" s="4"/>
      <c r="AA45" s="4"/>
    </row>
    <row r="46">
      <c r="A46" s="48"/>
      <c r="B46" s="48"/>
      <c r="C46" s="4"/>
      <c r="D46" s="4"/>
      <c r="E46" s="4"/>
      <c r="F46" s="48"/>
      <c r="G46" s="48"/>
      <c r="H46" s="48"/>
      <c r="I46" s="48"/>
      <c r="J46" s="48"/>
      <c r="K46" s="48"/>
      <c r="L46" s="48"/>
      <c r="M46" s="48"/>
      <c r="N46" s="48"/>
      <c r="O46" s="48"/>
      <c r="P46" s="4"/>
      <c r="Q46" s="4"/>
      <c r="R46" s="4"/>
      <c r="S46" s="4"/>
      <c r="T46" s="4"/>
      <c r="U46" s="4"/>
      <c r="V46" s="4"/>
      <c r="W46" s="4"/>
      <c r="X46" s="4"/>
      <c r="Y46" s="4"/>
      <c r="Z46" s="4"/>
      <c r="AA46" s="4"/>
    </row>
    <row r="47">
      <c r="A47" s="48"/>
      <c r="B47" s="48"/>
      <c r="C47" s="4"/>
      <c r="D47" s="4"/>
      <c r="E47" s="4"/>
      <c r="F47" s="48"/>
      <c r="G47" s="48"/>
      <c r="H47" s="48"/>
      <c r="I47" s="48"/>
      <c r="J47" s="48"/>
      <c r="K47" s="48"/>
      <c r="L47" s="48"/>
      <c r="M47" s="48"/>
      <c r="N47" s="48"/>
      <c r="O47" s="48"/>
      <c r="P47" s="4"/>
      <c r="Q47" s="4"/>
      <c r="R47" s="4"/>
      <c r="S47" s="4"/>
      <c r="T47" s="4"/>
      <c r="U47" s="4"/>
      <c r="V47" s="4"/>
      <c r="W47" s="4"/>
      <c r="X47" s="4"/>
      <c r="Y47" s="4"/>
      <c r="Z47" s="4"/>
      <c r="AA47" s="4"/>
    </row>
    <row r="48">
      <c r="A48" s="48"/>
      <c r="B48" s="48"/>
      <c r="C48" s="4"/>
      <c r="D48" s="4"/>
      <c r="E48" s="4"/>
      <c r="F48" s="48"/>
      <c r="G48" s="48"/>
      <c r="H48" s="48"/>
      <c r="I48" s="48"/>
      <c r="J48" s="48"/>
      <c r="K48" s="48"/>
      <c r="L48" s="48"/>
      <c r="M48" s="48"/>
      <c r="N48" s="48"/>
      <c r="O48" s="48"/>
      <c r="P48" s="4"/>
      <c r="Q48" s="4"/>
      <c r="R48" s="4"/>
      <c r="S48" s="4"/>
      <c r="T48" s="4"/>
      <c r="U48" s="4"/>
      <c r="V48" s="4"/>
      <c r="W48" s="4"/>
      <c r="X48" s="4"/>
      <c r="Y48" s="4"/>
      <c r="Z48" s="4"/>
      <c r="AA48" s="4"/>
    </row>
    <row r="49">
      <c r="A49" s="48"/>
      <c r="B49" s="48"/>
      <c r="C49" s="4"/>
      <c r="D49" s="4"/>
      <c r="E49" s="4"/>
      <c r="F49" s="48"/>
      <c r="G49" s="48"/>
      <c r="H49" s="48"/>
      <c r="I49" s="48"/>
      <c r="J49" s="48"/>
      <c r="K49" s="48"/>
      <c r="L49" s="48"/>
      <c r="M49" s="48"/>
      <c r="N49" s="48"/>
      <c r="O49" s="48"/>
      <c r="P49" s="4"/>
      <c r="Q49" s="4"/>
      <c r="R49" s="4"/>
      <c r="S49" s="4"/>
      <c r="T49" s="4"/>
      <c r="U49" s="4"/>
      <c r="V49" s="4"/>
      <c r="W49" s="4"/>
      <c r="X49" s="4"/>
      <c r="Y49" s="4"/>
      <c r="Z49" s="4"/>
      <c r="AA49" s="4"/>
    </row>
    <row r="50">
      <c r="A50" s="48"/>
      <c r="B50" s="48"/>
      <c r="C50" s="4"/>
      <c r="D50" s="4"/>
      <c r="E50" s="4"/>
      <c r="F50" s="48"/>
      <c r="G50" s="48"/>
      <c r="H50" s="48"/>
      <c r="I50" s="48"/>
      <c r="J50" s="48"/>
      <c r="K50" s="48"/>
      <c r="L50" s="48"/>
      <c r="M50" s="48"/>
      <c r="N50" s="48"/>
      <c r="O50" s="48"/>
      <c r="P50" s="4"/>
      <c r="Q50" s="4"/>
      <c r="R50" s="4"/>
      <c r="S50" s="4"/>
      <c r="T50" s="4"/>
      <c r="U50" s="4"/>
      <c r="V50" s="4"/>
      <c r="W50" s="4"/>
      <c r="X50" s="4"/>
      <c r="Y50" s="4"/>
      <c r="Z50" s="4"/>
      <c r="AA50" s="4"/>
    </row>
    <row r="51">
      <c r="A51" s="48"/>
      <c r="B51" s="48"/>
      <c r="C51" s="4"/>
      <c r="D51" s="4"/>
      <c r="E51" s="4"/>
      <c r="F51" s="48"/>
      <c r="G51" s="48"/>
      <c r="H51" s="48"/>
      <c r="I51" s="48"/>
      <c r="J51" s="48"/>
      <c r="K51" s="48"/>
      <c r="L51" s="48"/>
      <c r="M51" s="48"/>
      <c r="N51" s="48"/>
      <c r="O51" s="48"/>
      <c r="P51" s="4"/>
      <c r="Q51" s="4"/>
      <c r="R51" s="4"/>
      <c r="S51" s="4"/>
      <c r="T51" s="4"/>
      <c r="U51" s="4"/>
      <c r="V51" s="4"/>
      <c r="W51" s="4"/>
      <c r="X51" s="4"/>
      <c r="Y51" s="4"/>
      <c r="Z51" s="4"/>
      <c r="AA51" s="4"/>
    </row>
    <row r="52">
      <c r="A52" s="48"/>
      <c r="B52" s="48"/>
      <c r="C52" s="4"/>
      <c r="D52" s="4"/>
      <c r="E52" s="4"/>
      <c r="F52" s="48"/>
      <c r="G52" s="48"/>
      <c r="H52" s="48"/>
      <c r="I52" s="48"/>
      <c r="J52" s="48"/>
      <c r="K52" s="48"/>
      <c r="L52" s="48"/>
      <c r="M52" s="48"/>
      <c r="N52" s="48"/>
      <c r="O52" s="48"/>
      <c r="P52" s="4"/>
      <c r="Q52" s="4"/>
      <c r="R52" s="4"/>
      <c r="S52" s="4"/>
      <c r="T52" s="4"/>
      <c r="U52" s="4"/>
      <c r="V52" s="4"/>
      <c r="W52" s="4"/>
      <c r="X52" s="4"/>
      <c r="Y52" s="4"/>
      <c r="Z52" s="4"/>
      <c r="AA52" s="4"/>
    </row>
    <row r="53">
      <c r="A53" s="48"/>
      <c r="B53" s="48"/>
      <c r="C53" s="4"/>
      <c r="D53" s="4"/>
      <c r="E53" s="4"/>
      <c r="F53" s="48"/>
      <c r="G53" s="48"/>
      <c r="H53" s="48"/>
      <c r="I53" s="48"/>
      <c r="J53" s="48"/>
      <c r="K53" s="48"/>
      <c r="L53" s="48"/>
      <c r="M53" s="48"/>
      <c r="N53" s="48"/>
      <c r="O53" s="48"/>
      <c r="P53" s="4"/>
      <c r="Q53" s="4"/>
      <c r="R53" s="4"/>
      <c r="S53" s="4"/>
      <c r="T53" s="4"/>
      <c r="U53" s="4"/>
      <c r="V53" s="4"/>
      <c r="W53" s="4"/>
      <c r="X53" s="4"/>
      <c r="Y53" s="4"/>
      <c r="Z53" s="4"/>
      <c r="AA53" s="4"/>
    </row>
    <row r="54">
      <c r="A54" s="48"/>
      <c r="B54" s="48"/>
      <c r="C54" s="4"/>
      <c r="D54" s="4"/>
      <c r="E54" s="4"/>
      <c r="F54" s="48"/>
      <c r="G54" s="48"/>
      <c r="H54" s="48"/>
      <c r="I54" s="48"/>
      <c r="J54" s="48"/>
      <c r="K54" s="48"/>
      <c r="L54" s="48"/>
      <c r="M54" s="48"/>
      <c r="N54" s="48"/>
      <c r="O54" s="48"/>
      <c r="P54" s="4"/>
      <c r="Q54" s="4"/>
      <c r="R54" s="4"/>
      <c r="S54" s="4"/>
      <c r="T54" s="4"/>
      <c r="U54" s="4"/>
      <c r="V54" s="4"/>
      <c r="W54" s="4"/>
      <c r="X54" s="4"/>
      <c r="Y54" s="4"/>
      <c r="Z54" s="4"/>
      <c r="AA54" s="4"/>
    </row>
    <row r="55">
      <c r="A55" s="48"/>
      <c r="B55" s="48"/>
      <c r="C55" s="4"/>
      <c r="D55" s="4"/>
      <c r="E55" s="4"/>
      <c r="F55" s="48"/>
      <c r="G55" s="48"/>
      <c r="H55" s="48"/>
      <c r="I55" s="48"/>
      <c r="J55" s="48"/>
      <c r="K55" s="48"/>
      <c r="L55" s="48"/>
      <c r="M55" s="48"/>
      <c r="N55" s="48"/>
      <c r="O55" s="48"/>
      <c r="P55" s="4"/>
      <c r="Q55" s="4"/>
      <c r="R55" s="4"/>
      <c r="S55" s="4"/>
      <c r="T55" s="4"/>
      <c r="U55" s="4"/>
      <c r="V55" s="4"/>
      <c r="W55" s="4"/>
      <c r="X55" s="4"/>
      <c r="Y55" s="4"/>
      <c r="Z55" s="4"/>
      <c r="AA55" s="4"/>
    </row>
    <row r="56">
      <c r="A56" s="48"/>
      <c r="B56" s="48"/>
      <c r="C56" s="4"/>
      <c r="D56" s="4"/>
      <c r="E56" s="4"/>
      <c r="F56" s="48"/>
      <c r="G56" s="48"/>
      <c r="H56" s="48"/>
      <c r="I56" s="48"/>
      <c r="J56" s="48"/>
      <c r="K56" s="48"/>
      <c r="L56" s="48"/>
      <c r="M56" s="48"/>
      <c r="N56" s="48"/>
      <c r="O56" s="48"/>
      <c r="P56" s="4"/>
      <c r="Q56" s="4"/>
      <c r="R56" s="4"/>
      <c r="S56" s="4"/>
      <c r="T56" s="4"/>
      <c r="U56" s="4"/>
      <c r="V56" s="4"/>
      <c r="W56" s="4"/>
      <c r="X56" s="4"/>
      <c r="Y56" s="4"/>
      <c r="Z56" s="4"/>
      <c r="AA56" s="4"/>
    </row>
    <row r="57">
      <c r="A57" s="48"/>
      <c r="B57" s="48"/>
      <c r="C57" s="4"/>
      <c r="D57" s="4"/>
      <c r="E57" s="4"/>
      <c r="F57" s="48"/>
      <c r="G57" s="48"/>
      <c r="H57" s="48"/>
      <c r="I57" s="48"/>
      <c r="J57" s="48"/>
      <c r="K57" s="48"/>
      <c r="L57" s="48"/>
      <c r="M57" s="48"/>
      <c r="N57" s="48"/>
      <c r="O57" s="48"/>
      <c r="P57" s="4"/>
      <c r="Q57" s="4"/>
      <c r="R57" s="4"/>
      <c r="S57" s="4"/>
      <c r="T57" s="4"/>
      <c r="U57" s="4"/>
      <c r="V57" s="4"/>
      <c r="W57" s="4"/>
      <c r="X57" s="4"/>
      <c r="Y57" s="4"/>
      <c r="Z57" s="4"/>
      <c r="AA57" s="4"/>
    </row>
    <row r="58">
      <c r="A58" s="48"/>
      <c r="B58" s="48"/>
      <c r="C58" s="4"/>
      <c r="D58" s="4"/>
      <c r="E58" s="4"/>
      <c r="F58" s="48"/>
      <c r="G58" s="48"/>
      <c r="H58" s="48"/>
      <c r="I58" s="48"/>
      <c r="J58" s="48"/>
      <c r="K58" s="48"/>
      <c r="L58" s="48"/>
      <c r="M58" s="48"/>
      <c r="N58" s="48"/>
      <c r="O58" s="48"/>
      <c r="P58" s="4"/>
      <c r="Q58" s="4"/>
      <c r="R58" s="4"/>
      <c r="S58" s="4"/>
      <c r="T58" s="4"/>
      <c r="U58" s="4"/>
      <c r="V58" s="4"/>
      <c r="W58" s="4"/>
      <c r="X58" s="4"/>
      <c r="Y58" s="4"/>
      <c r="Z58" s="4"/>
      <c r="AA58" s="4"/>
    </row>
    <row r="59">
      <c r="A59" s="48"/>
      <c r="B59" s="48"/>
      <c r="C59" s="4"/>
      <c r="D59" s="4"/>
      <c r="E59" s="4"/>
      <c r="F59" s="48"/>
      <c r="G59" s="48"/>
      <c r="H59" s="48"/>
      <c r="I59" s="48"/>
      <c r="J59" s="48"/>
      <c r="K59" s="48"/>
      <c r="L59" s="48"/>
      <c r="M59" s="48"/>
      <c r="N59" s="48"/>
      <c r="O59" s="48"/>
      <c r="P59" s="4"/>
      <c r="Q59" s="4"/>
      <c r="R59" s="4"/>
      <c r="S59" s="4"/>
      <c r="T59" s="4"/>
      <c r="U59" s="4"/>
      <c r="V59" s="4"/>
      <c r="W59" s="4"/>
      <c r="X59" s="4"/>
      <c r="Y59" s="4"/>
      <c r="Z59" s="4"/>
      <c r="AA59" s="4"/>
    </row>
    <row r="60">
      <c r="A60" s="48"/>
      <c r="B60" s="48"/>
      <c r="C60" s="4"/>
      <c r="D60" s="4"/>
      <c r="E60" s="4"/>
      <c r="F60" s="48"/>
      <c r="G60" s="48"/>
      <c r="H60" s="48"/>
      <c r="I60" s="48"/>
      <c r="J60" s="48"/>
      <c r="K60" s="48"/>
      <c r="L60" s="48"/>
      <c r="M60" s="48"/>
      <c r="N60" s="48"/>
      <c r="O60" s="48"/>
      <c r="P60" s="4"/>
      <c r="Q60" s="4"/>
      <c r="R60" s="4"/>
      <c r="S60" s="4"/>
      <c r="T60" s="4"/>
      <c r="U60" s="4"/>
      <c r="V60" s="4"/>
      <c r="W60" s="4"/>
      <c r="X60" s="4"/>
      <c r="Y60" s="4"/>
      <c r="Z60" s="4"/>
      <c r="AA60" s="4"/>
    </row>
    <row r="61">
      <c r="A61" s="48"/>
      <c r="B61" s="48"/>
      <c r="C61" s="4"/>
      <c r="D61" s="4"/>
      <c r="E61" s="4"/>
      <c r="F61" s="48"/>
      <c r="G61" s="48"/>
      <c r="H61" s="48"/>
      <c r="I61" s="48"/>
      <c r="J61" s="48"/>
      <c r="K61" s="48"/>
      <c r="L61" s="48"/>
      <c r="M61" s="48"/>
      <c r="N61" s="48"/>
      <c r="O61" s="48"/>
      <c r="P61" s="4"/>
      <c r="Q61" s="4"/>
      <c r="R61" s="4"/>
      <c r="S61" s="4"/>
      <c r="T61" s="4"/>
      <c r="U61" s="4"/>
      <c r="V61" s="4"/>
      <c r="W61" s="4"/>
      <c r="X61" s="4"/>
      <c r="Y61" s="4"/>
      <c r="Z61" s="4"/>
      <c r="AA61" s="4"/>
    </row>
    <row r="62">
      <c r="A62" s="48"/>
      <c r="B62" s="48"/>
      <c r="C62" s="4"/>
      <c r="D62" s="4"/>
      <c r="E62" s="4"/>
      <c r="F62" s="48"/>
      <c r="G62" s="48"/>
      <c r="H62" s="48"/>
      <c r="I62" s="48"/>
      <c r="J62" s="48"/>
      <c r="K62" s="48"/>
      <c r="L62" s="48"/>
      <c r="M62" s="48"/>
      <c r="N62" s="48"/>
      <c r="O62" s="48"/>
      <c r="P62" s="4"/>
      <c r="Q62" s="4"/>
      <c r="R62" s="4"/>
      <c r="S62" s="4"/>
      <c r="T62" s="4"/>
      <c r="U62" s="4"/>
      <c r="V62" s="4"/>
      <c r="W62" s="4"/>
      <c r="X62" s="4"/>
      <c r="Y62" s="4"/>
      <c r="Z62" s="4"/>
      <c r="AA62" s="4"/>
    </row>
    <row r="63">
      <c r="A63" s="48"/>
      <c r="B63" s="48"/>
      <c r="C63" s="4"/>
      <c r="D63" s="4"/>
      <c r="E63" s="4"/>
      <c r="F63" s="48"/>
      <c r="G63" s="48"/>
      <c r="H63" s="48"/>
      <c r="I63" s="48"/>
      <c r="J63" s="48"/>
      <c r="K63" s="48"/>
      <c r="L63" s="48"/>
      <c r="M63" s="48"/>
      <c r="N63" s="48"/>
      <c r="O63" s="48"/>
      <c r="P63" s="4"/>
      <c r="Q63" s="4"/>
      <c r="R63" s="4"/>
      <c r="S63" s="4"/>
      <c r="T63" s="4"/>
      <c r="U63" s="4"/>
      <c r="V63" s="4"/>
      <c r="W63" s="4"/>
      <c r="X63" s="4"/>
      <c r="Y63" s="4"/>
      <c r="Z63" s="4"/>
      <c r="AA63" s="4"/>
    </row>
    <row r="64">
      <c r="A64" s="48"/>
      <c r="B64" s="48"/>
      <c r="C64" s="4"/>
      <c r="D64" s="4"/>
      <c r="E64" s="4"/>
      <c r="F64" s="48"/>
      <c r="G64" s="48"/>
      <c r="H64" s="48"/>
      <c r="I64" s="48"/>
      <c r="J64" s="48"/>
      <c r="K64" s="48"/>
      <c r="L64" s="48"/>
      <c r="M64" s="48"/>
      <c r="N64" s="48"/>
      <c r="O64" s="48"/>
      <c r="P64" s="4"/>
      <c r="Q64" s="4"/>
      <c r="R64" s="4"/>
      <c r="S64" s="4"/>
      <c r="T64" s="4"/>
      <c r="U64" s="4"/>
      <c r="V64" s="4"/>
      <c r="W64" s="4"/>
      <c r="X64" s="4"/>
      <c r="Y64" s="4"/>
      <c r="Z64" s="4"/>
      <c r="AA64" s="4"/>
    </row>
    <row r="65">
      <c r="A65" s="48"/>
      <c r="B65" s="48"/>
      <c r="C65" s="4"/>
      <c r="D65" s="4"/>
      <c r="E65" s="4"/>
      <c r="F65" s="48"/>
      <c r="G65" s="48"/>
      <c r="H65" s="48"/>
      <c r="I65" s="48"/>
      <c r="J65" s="48"/>
      <c r="K65" s="48"/>
      <c r="L65" s="48"/>
      <c r="M65" s="48"/>
      <c r="N65" s="48"/>
      <c r="O65" s="48"/>
      <c r="P65" s="4"/>
      <c r="Q65" s="4"/>
      <c r="R65" s="4"/>
      <c r="S65" s="4"/>
      <c r="T65" s="4"/>
      <c r="U65" s="4"/>
      <c r="V65" s="4"/>
      <c r="W65" s="4"/>
      <c r="X65" s="4"/>
      <c r="Y65" s="4"/>
      <c r="Z65" s="4"/>
      <c r="AA65" s="4"/>
    </row>
    <row r="66">
      <c r="A66" s="48"/>
      <c r="B66" s="48"/>
      <c r="C66" s="4"/>
      <c r="D66" s="4"/>
      <c r="E66" s="4"/>
      <c r="F66" s="48"/>
      <c r="G66" s="48"/>
      <c r="H66" s="48"/>
      <c r="I66" s="48"/>
      <c r="J66" s="48"/>
      <c r="K66" s="48"/>
      <c r="L66" s="48"/>
      <c r="M66" s="48"/>
      <c r="N66" s="48"/>
      <c r="O66" s="48"/>
      <c r="P66" s="4"/>
      <c r="Q66" s="4"/>
      <c r="R66" s="4"/>
      <c r="S66" s="4"/>
      <c r="T66" s="4"/>
      <c r="U66" s="4"/>
      <c r="V66" s="4"/>
      <c r="W66" s="4"/>
      <c r="X66" s="4"/>
      <c r="Y66" s="4"/>
      <c r="Z66" s="4"/>
      <c r="AA66" s="4"/>
    </row>
    <row r="67">
      <c r="A67" s="48"/>
      <c r="B67" s="48"/>
      <c r="C67" s="4"/>
      <c r="D67" s="4"/>
      <c r="E67" s="4"/>
      <c r="F67" s="48"/>
      <c r="G67" s="48"/>
      <c r="H67" s="48"/>
      <c r="I67" s="48"/>
      <c r="J67" s="48"/>
      <c r="K67" s="48"/>
      <c r="L67" s="48"/>
      <c r="M67" s="48"/>
      <c r="N67" s="48"/>
      <c r="O67" s="48"/>
      <c r="P67" s="4"/>
      <c r="Q67" s="4"/>
      <c r="R67" s="4"/>
      <c r="S67" s="4"/>
      <c r="T67" s="4"/>
      <c r="U67" s="4"/>
      <c r="V67" s="4"/>
      <c r="W67" s="4"/>
      <c r="X67" s="4"/>
      <c r="Y67" s="4"/>
      <c r="Z67" s="4"/>
      <c r="AA67" s="4"/>
    </row>
    <row r="68">
      <c r="A68" s="48"/>
      <c r="B68" s="48"/>
      <c r="C68" s="4"/>
      <c r="D68" s="4"/>
      <c r="E68" s="4"/>
      <c r="F68" s="48"/>
      <c r="G68" s="48"/>
      <c r="H68" s="48"/>
      <c r="I68" s="48"/>
      <c r="J68" s="48"/>
      <c r="K68" s="48"/>
      <c r="L68" s="48"/>
      <c r="M68" s="48"/>
      <c r="N68" s="48"/>
      <c r="O68" s="48"/>
      <c r="P68" s="4"/>
      <c r="Q68" s="4"/>
      <c r="R68" s="4"/>
      <c r="S68" s="4"/>
      <c r="T68" s="4"/>
      <c r="U68" s="4"/>
      <c r="V68" s="4"/>
      <c r="W68" s="4"/>
      <c r="X68" s="4"/>
      <c r="Y68" s="4"/>
      <c r="Z68" s="4"/>
      <c r="AA68" s="4"/>
    </row>
    <row r="69">
      <c r="A69" s="48"/>
      <c r="B69" s="48"/>
      <c r="C69" s="4"/>
      <c r="D69" s="4"/>
      <c r="E69" s="4"/>
      <c r="F69" s="48"/>
      <c r="G69" s="48"/>
      <c r="H69" s="48"/>
      <c r="I69" s="48"/>
      <c r="J69" s="48"/>
      <c r="K69" s="48"/>
      <c r="L69" s="48"/>
      <c r="M69" s="48"/>
      <c r="N69" s="48"/>
      <c r="O69" s="48"/>
      <c r="P69" s="4"/>
      <c r="Q69" s="4"/>
      <c r="R69" s="4"/>
      <c r="S69" s="4"/>
      <c r="T69" s="4"/>
      <c r="U69" s="4"/>
      <c r="V69" s="4"/>
      <c r="W69" s="4"/>
      <c r="X69" s="4"/>
      <c r="Y69" s="4"/>
      <c r="Z69" s="4"/>
      <c r="AA69" s="4"/>
    </row>
    <row r="70">
      <c r="A70" s="48"/>
      <c r="B70" s="48"/>
      <c r="C70" s="4"/>
      <c r="D70" s="4"/>
      <c r="E70" s="4"/>
      <c r="F70" s="48"/>
      <c r="G70" s="48"/>
      <c r="H70" s="48"/>
      <c r="I70" s="48"/>
      <c r="J70" s="48"/>
      <c r="K70" s="48"/>
      <c r="L70" s="48"/>
      <c r="M70" s="48"/>
      <c r="N70" s="48"/>
      <c r="O70" s="48"/>
      <c r="P70" s="4"/>
      <c r="Q70" s="4"/>
      <c r="R70" s="4"/>
      <c r="S70" s="4"/>
      <c r="T70" s="4"/>
      <c r="U70" s="4"/>
      <c r="V70" s="4"/>
      <c r="W70" s="4"/>
      <c r="X70" s="4"/>
      <c r="Y70" s="4"/>
      <c r="Z70" s="4"/>
      <c r="AA70" s="4"/>
    </row>
    <row r="71">
      <c r="A71" s="48"/>
      <c r="B71" s="48"/>
      <c r="C71" s="4"/>
      <c r="D71" s="4"/>
      <c r="E71" s="4"/>
      <c r="F71" s="48"/>
      <c r="G71" s="48"/>
      <c r="H71" s="48"/>
      <c r="I71" s="48"/>
      <c r="J71" s="48"/>
      <c r="K71" s="48"/>
      <c r="L71" s="48"/>
      <c r="M71" s="48"/>
      <c r="N71" s="48"/>
      <c r="O71" s="48"/>
      <c r="P71" s="4"/>
      <c r="Q71" s="4"/>
      <c r="R71" s="4"/>
      <c r="S71" s="4"/>
      <c r="T71" s="4"/>
      <c r="U71" s="4"/>
      <c r="V71" s="4"/>
      <c r="W71" s="4"/>
      <c r="X71" s="4"/>
      <c r="Y71" s="4"/>
      <c r="Z71" s="4"/>
      <c r="AA71" s="4"/>
    </row>
    <row r="72">
      <c r="A72" s="48"/>
      <c r="B72" s="48"/>
      <c r="C72" s="4"/>
      <c r="D72" s="4"/>
      <c r="E72" s="4"/>
      <c r="F72" s="48"/>
      <c r="G72" s="48"/>
      <c r="H72" s="48"/>
      <c r="I72" s="48"/>
      <c r="J72" s="48"/>
      <c r="K72" s="48"/>
      <c r="L72" s="48"/>
      <c r="M72" s="48"/>
      <c r="N72" s="48"/>
      <c r="O72" s="48"/>
      <c r="P72" s="4"/>
      <c r="Q72" s="4"/>
      <c r="R72" s="4"/>
      <c r="S72" s="4"/>
      <c r="T72" s="4"/>
      <c r="U72" s="4"/>
      <c r="V72" s="4"/>
      <c r="W72" s="4"/>
      <c r="X72" s="4"/>
      <c r="Y72" s="4"/>
      <c r="Z72" s="4"/>
      <c r="AA72" s="4"/>
    </row>
    <row r="73">
      <c r="A73" s="48"/>
      <c r="B73" s="48"/>
      <c r="C73" s="4"/>
      <c r="D73" s="4"/>
      <c r="E73" s="4"/>
      <c r="F73" s="48"/>
      <c r="G73" s="48"/>
      <c r="H73" s="48"/>
      <c r="I73" s="48"/>
      <c r="J73" s="48"/>
      <c r="K73" s="48"/>
      <c r="L73" s="48"/>
      <c r="M73" s="48"/>
      <c r="N73" s="48"/>
      <c r="O73" s="48"/>
      <c r="P73" s="4"/>
      <c r="Q73" s="4"/>
      <c r="R73" s="4"/>
      <c r="S73" s="4"/>
      <c r="T73" s="4"/>
      <c r="U73" s="4"/>
      <c r="V73" s="4"/>
      <c r="W73" s="4"/>
      <c r="X73" s="4"/>
      <c r="Y73" s="4"/>
      <c r="Z73" s="4"/>
      <c r="AA73" s="4"/>
    </row>
    <row r="74">
      <c r="A74" s="48"/>
      <c r="B74" s="48"/>
      <c r="C74" s="4"/>
      <c r="D74" s="4"/>
      <c r="E74" s="4"/>
      <c r="F74" s="48"/>
      <c r="G74" s="48"/>
      <c r="H74" s="48"/>
      <c r="I74" s="48"/>
      <c r="J74" s="48"/>
      <c r="K74" s="48"/>
      <c r="L74" s="48"/>
      <c r="M74" s="48"/>
      <c r="N74" s="48"/>
      <c r="O74" s="48"/>
      <c r="P74" s="4"/>
      <c r="Q74" s="4"/>
      <c r="R74" s="4"/>
      <c r="S74" s="4"/>
      <c r="T74" s="4"/>
      <c r="U74" s="4"/>
      <c r="V74" s="4"/>
      <c r="W74" s="4"/>
      <c r="X74" s="4"/>
      <c r="Y74" s="4"/>
      <c r="Z74" s="4"/>
      <c r="AA74" s="4"/>
    </row>
    <row r="75">
      <c r="A75" s="48"/>
      <c r="B75" s="48"/>
      <c r="C75" s="4"/>
      <c r="D75" s="4"/>
      <c r="E75" s="4"/>
      <c r="F75" s="48"/>
      <c r="G75" s="48"/>
      <c r="H75" s="48"/>
      <c r="I75" s="48"/>
      <c r="J75" s="48"/>
      <c r="K75" s="48"/>
      <c r="L75" s="48"/>
      <c r="M75" s="48"/>
      <c r="N75" s="48"/>
      <c r="O75" s="48"/>
      <c r="P75" s="4"/>
      <c r="Q75" s="4"/>
      <c r="R75" s="4"/>
      <c r="S75" s="4"/>
      <c r="T75" s="4"/>
      <c r="U75" s="4"/>
      <c r="V75" s="4"/>
      <c r="W75" s="4"/>
      <c r="X75" s="4"/>
      <c r="Y75" s="4"/>
      <c r="Z75" s="4"/>
      <c r="AA75" s="4"/>
    </row>
    <row r="76">
      <c r="A76" s="48"/>
      <c r="B76" s="48"/>
      <c r="C76" s="4"/>
      <c r="D76" s="4"/>
      <c r="E76" s="4"/>
      <c r="F76" s="48"/>
      <c r="G76" s="48"/>
      <c r="H76" s="48"/>
      <c r="I76" s="48"/>
      <c r="J76" s="48"/>
      <c r="K76" s="48"/>
      <c r="L76" s="48"/>
      <c r="M76" s="48"/>
      <c r="N76" s="48"/>
      <c r="O76" s="48"/>
      <c r="P76" s="4"/>
      <c r="Q76" s="4"/>
      <c r="R76" s="4"/>
      <c r="S76" s="4"/>
      <c r="T76" s="4"/>
      <c r="U76" s="4"/>
      <c r="V76" s="4"/>
      <c r="W76" s="4"/>
      <c r="X76" s="4"/>
      <c r="Y76" s="4"/>
      <c r="Z76" s="4"/>
      <c r="AA76" s="4"/>
    </row>
    <row r="77">
      <c r="A77" s="48"/>
      <c r="B77" s="48"/>
      <c r="C77" s="4"/>
      <c r="D77" s="4"/>
      <c r="E77" s="4"/>
      <c r="F77" s="48"/>
      <c r="G77" s="48"/>
      <c r="H77" s="48"/>
      <c r="I77" s="48"/>
      <c r="J77" s="48"/>
      <c r="K77" s="48"/>
      <c r="L77" s="48"/>
      <c r="M77" s="48"/>
      <c r="N77" s="48"/>
      <c r="O77" s="48"/>
      <c r="P77" s="4"/>
      <c r="Q77" s="4"/>
      <c r="R77" s="4"/>
      <c r="S77" s="4"/>
      <c r="T77" s="4"/>
      <c r="U77" s="4"/>
      <c r="V77" s="4"/>
      <c r="W77" s="4"/>
      <c r="X77" s="4"/>
      <c r="Y77" s="4"/>
      <c r="Z77" s="4"/>
      <c r="AA77" s="4"/>
    </row>
    <row r="78">
      <c r="A78" s="48"/>
      <c r="B78" s="48"/>
      <c r="C78" s="4"/>
      <c r="D78" s="4"/>
      <c r="E78" s="4"/>
      <c r="F78" s="48"/>
      <c r="G78" s="48"/>
      <c r="H78" s="48"/>
      <c r="I78" s="48"/>
      <c r="J78" s="48"/>
      <c r="K78" s="48"/>
      <c r="L78" s="48"/>
      <c r="M78" s="48"/>
      <c r="N78" s="48"/>
      <c r="O78" s="48"/>
      <c r="P78" s="4"/>
      <c r="Q78" s="4"/>
      <c r="R78" s="4"/>
      <c r="S78" s="4"/>
      <c r="T78" s="4"/>
      <c r="U78" s="4"/>
      <c r="V78" s="4"/>
      <c r="W78" s="4"/>
      <c r="X78" s="4"/>
      <c r="Y78" s="4"/>
      <c r="Z78" s="4"/>
      <c r="AA78" s="4"/>
    </row>
    <row r="79">
      <c r="A79" s="48"/>
      <c r="B79" s="48"/>
      <c r="C79" s="4"/>
      <c r="D79" s="4"/>
      <c r="E79" s="4"/>
      <c r="F79" s="48"/>
      <c r="G79" s="48"/>
      <c r="H79" s="48"/>
      <c r="I79" s="48"/>
      <c r="J79" s="48"/>
      <c r="K79" s="48"/>
      <c r="L79" s="48"/>
      <c r="M79" s="48"/>
      <c r="N79" s="48"/>
      <c r="O79" s="48"/>
      <c r="P79" s="4"/>
      <c r="Q79" s="4"/>
      <c r="R79" s="4"/>
      <c r="S79" s="4"/>
      <c r="T79" s="4"/>
      <c r="U79" s="4"/>
      <c r="V79" s="4"/>
      <c r="W79" s="4"/>
      <c r="X79" s="4"/>
      <c r="Y79" s="4"/>
      <c r="Z79" s="4"/>
      <c r="AA79" s="4"/>
    </row>
    <row r="80">
      <c r="A80" s="48"/>
      <c r="B80" s="48"/>
      <c r="C80" s="4"/>
      <c r="D80" s="4"/>
      <c r="E80" s="4"/>
      <c r="F80" s="48"/>
      <c r="G80" s="48"/>
      <c r="H80" s="48"/>
      <c r="I80" s="48"/>
      <c r="J80" s="48"/>
      <c r="K80" s="48"/>
      <c r="L80" s="48"/>
      <c r="M80" s="48"/>
      <c r="N80" s="48"/>
      <c r="O80" s="48"/>
      <c r="P80" s="4"/>
      <c r="Q80" s="4"/>
      <c r="R80" s="4"/>
      <c r="S80" s="4"/>
      <c r="T80" s="4"/>
      <c r="U80" s="4"/>
      <c r="V80" s="4"/>
      <c r="W80" s="4"/>
      <c r="X80" s="4"/>
      <c r="Y80" s="4"/>
      <c r="Z80" s="4"/>
      <c r="AA80" s="4"/>
    </row>
    <row r="81">
      <c r="A81" s="48"/>
      <c r="B81" s="48"/>
      <c r="C81" s="4"/>
      <c r="D81" s="4"/>
      <c r="E81" s="4"/>
      <c r="F81" s="48"/>
      <c r="G81" s="48"/>
      <c r="H81" s="48"/>
      <c r="I81" s="48"/>
      <c r="J81" s="48"/>
      <c r="K81" s="48"/>
      <c r="L81" s="48"/>
      <c r="M81" s="48"/>
      <c r="N81" s="48"/>
      <c r="O81" s="48"/>
      <c r="P81" s="4"/>
      <c r="Q81" s="4"/>
      <c r="R81" s="4"/>
      <c r="S81" s="4"/>
      <c r="T81" s="4"/>
      <c r="U81" s="4"/>
      <c r="V81" s="4"/>
      <c r="W81" s="4"/>
      <c r="X81" s="4"/>
      <c r="Y81" s="4"/>
      <c r="Z81" s="4"/>
      <c r="AA81" s="4"/>
    </row>
    <row r="82">
      <c r="A82" s="48"/>
      <c r="B82" s="48"/>
      <c r="C82" s="4"/>
      <c r="D82" s="4"/>
      <c r="E82" s="4"/>
      <c r="F82" s="48"/>
      <c r="G82" s="48"/>
      <c r="H82" s="48"/>
      <c r="I82" s="48"/>
      <c r="J82" s="48"/>
      <c r="K82" s="48"/>
      <c r="L82" s="48"/>
      <c r="M82" s="48"/>
      <c r="N82" s="48"/>
      <c r="O82" s="48"/>
      <c r="P82" s="4"/>
      <c r="Q82" s="4"/>
      <c r="R82" s="4"/>
      <c r="S82" s="4"/>
      <c r="T82" s="4"/>
      <c r="U82" s="4"/>
      <c r="V82" s="4"/>
      <c r="W82" s="4"/>
      <c r="X82" s="4"/>
      <c r="Y82" s="4"/>
      <c r="Z82" s="4"/>
      <c r="AA82" s="4"/>
    </row>
    <row r="83">
      <c r="A83" s="48"/>
      <c r="B83" s="48"/>
      <c r="C83" s="4"/>
      <c r="D83" s="4"/>
      <c r="E83" s="4"/>
      <c r="F83" s="48"/>
      <c r="G83" s="48"/>
      <c r="H83" s="48"/>
      <c r="I83" s="48"/>
      <c r="J83" s="48"/>
      <c r="K83" s="48"/>
      <c r="L83" s="48"/>
      <c r="M83" s="48"/>
      <c r="N83" s="48"/>
      <c r="O83" s="48"/>
      <c r="P83" s="4"/>
      <c r="Q83" s="4"/>
      <c r="R83" s="4"/>
      <c r="S83" s="4"/>
      <c r="T83" s="4"/>
      <c r="U83" s="4"/>
      <c r="V83" s="4"/>
      <c r="W83" s="4"/>
      <c r="X83" s="4"/>
      <c r="Y83" s="4"/>
      <c r="Z83" s="4"/>
      <c r="AA83" s="4"/>
    </row>
    <row r="84">
      <c r="A84" s="48"/>
      <c r="B84" s="48"/>
      <c r="C84" s="4"/>
      <c r="D84" s="4"/>
      <c r="E84" s="4"/>
      <c r="F84" s="48"/>
      <c r="G84" s="48"/>
      <c r="H84" s="48"/>
      <c r="I84" s="48"/>
      <c r="J84" s="48"/>
      <c r="K84" s="48"/>
      <c r="L84" s="48"/>
      <c r="M84" s="48"/>
      <c r="N84" s="48"/>
      <c r="O84" s="48"/>
      <c r="P84" s="4"/>
      <c r="Q84" s="4"/>
      <c r="R84" s="4"/>
      <c r="S84" s="4"/>
      <c r="T84" s="4"/>
      <c r="U84" s="4"/>
      <c r="V84" s="4"/>
      <c r="W84" s="4"/>
      <c r="X84" s="4"/>
      <c r="Y84" s="4"/>
      <c r="Z84" s="4"/>
      <c r="AA84" s="4"/>
    </row>
    <row r="85">
      <c r="A85" s="48"/>
      <c r="B85" s="48"/>
      <c r="C85" s="4"/>
      <c r="D85" s="4"/>
      <c r="E85" s="4"/>
      <c r="F85" s="48"/>
      <c r="G85" s="48"/>
      <c r="H85" s="48"/>
      <c r="I85" s="48"/>
      <c r="J85" s="48"/>
      <c r="K85" s="48"/>
      <c r="L85" s="48"/>
      <c r="M85" s="48"/>
      <c r="N85" s="48"/>
      <c r="O85" s="48"/>
      <c r="P85" s="4"/>
      <c r="Q85" s="4"/>
      <c r="R85" s="4"/>
      <c r="S85" s="4"/>
      <c r="T85" s="4"/>
      <c r="U85" s="4"/>
      <c r="V85" s="4"/>
      <c r="W85" s="4"/>
      <c r="X85" s="4"/>
      <c r="Y85" s="4"/>
      <c r="Z85" s="4"/>
      <c r="AA85" s="4"/>
    </row>
    <row r="86">
      <c r="A86" s="48"/>
      <c r="B86" s="48"/>
      <c r="C86" s="4"/>
      <c r="D86" s="4"/>
      <c r="E86" s="4"/>
      <c r="F86" s="48"/>
      <c r="G86" s="48"/>
      <c r="H86" s="48"/>
      <c r="I86" s="48"/>
      <c r="J86" s="48"/>
      <c r="K86" s="48"/>
      <c r="L86" s="48"/>
      <c r="M86" s="48"/>
      <c r="N86" s="48"/>
      <c r="O86" s="48"/>
      <c r="P86" s="4"/>
      <c r="Q86" s="4"/>
      <c r="R86" s="4"/>
      <c r="S86" s="4"/>
      <c r="T86" s="4"/>
      <c r="U86" s="4"/>
      <c r="V86" s="4"/>
      <c r="W86" s="4"/>
      <c r="X86" s="4"/>
      <c r="Y86" s="4"/>
      <c r="Z86" s="4"/>
      <c r="AA86" s="4"/>
    </row>
    <row r="87">
      <c r="A87" s="48"/>
      <c r="B87" s="48"/>
      <c r="C87" s="4"/>
      <c r="D87" s="4"/>
      <c r="E87" s="4"/>
      <c r="F87" s="48"/>
      <c r="G87" s="48"/>
      <c r="H87" s="48"/>
      <c r="I87" s="48"/>
      <c r="J87" s="48"/>
      <c r="K87" s="48"/>
      <c r="L87" s="48"/>
      <c r="M87" s="48"/>
      <c r="N87" s="48"/>
      <c r="O87" s="48"/>
      <c r="P87" s="4"/>
      <c r="Q87" s="4"/>
      <c r="R87" s="4"/>
      <c r="S87" s="4"/>
      <c r="T87" s="4"/>
      <c r="U87" s="4"/>
      <c r="V87" s="4"/>
      <c r="W87" s="4"/>
      <c r="X87" s="4"/>
      <c r="Y87" s="4"/>
      <c r="Z87" s="4"/>
      <c r="AA87" s="4"/>
    </row>
    <row r="88">
      <c r="A88" s="48"/>
      <c r="B88" s="48"/>
      <c r="C88" s="4"/>
      <c r="D88" s="4"/>
      <c r="E88" s="4"/>
      <c r="F88" s="48"/>
      <c r="G88" s="48"/>
      <c r="H88" s="48"/>
      <c r="I88" s="48"/>
      <c r="J88" s="48"/>
      <c r="K88" s="48"/>
      <c r="L88" s="48"/>
      <c r="M88" s="48"/>
      <c r="N88" s="48"/>
      <c r="O88" s="48"/>
      <c r="P88" s="4"/>
      <c r="Q88" s="4"/>
      <c r="R88" s="4"/>
      <c r="S88" s="4"/>
      <c r="T88" s="4"/>
      <c r="U88" s="4"/>
      <c r="V88" s="4"/>
      <c r="W88" s="4"/>
      <c r="X88" s="4"/>
      <c r="Y88" s="4"/>
      <c r="Z88" s="4"/>
      <c r="AA88" s="4"/>
    </row>
    <row r="89">
      <c r="A89" s="48"/>
      <c r="B89" s="48"/>
      <c r="C89" s="4"/>
      <c r="D89" s="4"/>
      <c r="E89" s="4"/>
      <c r="F89" s="48"/>
      <c r="G89" s="48"/>
      <c r="H89" s="48"/>
      <c r="I89" s="48"/>
      <c r="J89" s="48"/>
      <c r="K89" s="48"/>
      <c r="L89" s="48"/>
      <c r="M89" s="48"/>
      <c r="N89" s="48"/>
      <c r="O89" s="48"/>
      <c r="P89" s="4"/>
      <c r="Q89" s="4"/>
      <c r="R89" s="4"/>
      <c r="S89" s="4"/>
      <c r="T89" s="4"/>
      <c r="U89" s="4"/>
      <c r="V89" s="4"/>
      <c r="W89" s="4"/>
      <c r="X89" s="4"/>
      <c r="Y89" s="4"/>
      <c r="Z89" s="4"/>
      <c r="AA89" s="4"/>
    </row>
    <row r="90">
      <c r="A90" s="48"/>
      <c r="B90" s="48"/>
      <c r="C90" s="4"/>
      <c r="D90" s="4"/>
      <c r="E90" s="4"/>
      <c r="F90" s="48"/>
      <c r="G90" s="48"/>
      <c r="H90" s="48"/>
      <c r="I90" s="48"/>
      <c r="J90" s="48"/>
      <c r="K90" s="48"/>
      <c r="L90" s="48"/>
      <c r="M90" s="48"/>
      <c r="N90" s="48"/>
      <c r="O90" s="48"/>
      <c r="P90" s="4"/>
      <c r="Q90" s="4"/>
      <c r="R90" s="4"/>
      <c r="S90" s="4"/>
      <c r="T90" s="4"/>
      <c r="U90" s="4"/>
      <c r="V90" s="4"/>
      <c r="W90" s="4"/>
      <c r="X90" s="4"/>
      <c r="Y90" s="4"/>
      <c r="Z90" s="4"/>
      <c r="AA90" s="4"/>
    </row>
    <row r="91">
      <c r="A91" s="48"/>
      <c r="B91" s="48"/>
      <c r="C91" s="4"/>
      <c r="D91" s="4"/>
      <c r="E91" s="4"/>
      <c r="F91" s="48"/>
      <c r="G91" s="48"/>
      <c r="H91" s="48"/>
      <c r="I91" s="48"/>
      <c r="J91" s="48"/>
      <c r="K91" s="48"/>
      <c r="L91" s="48"/>
      <c r="M91" s="48"/>
      <c r="N91" s="48"/>
      <c r="O91" s="48"/>
      <c r="P91" s="4"/>
      <c r="Q91" s="4"/>
      <c r="R91" s="4"/>
      <c r="S91" s="4"/>
      <c r="T91" s="4"/>
      <c r="U91" s="4"/>
      <c r="V91" s="4"/>
      <c r="W91" s="4"/>
      <c r="X91" s="4"/>
      <c r="Y91" s="4"/>
      <c r="Z91" s="4"/>
      <c r="AA91" s="4"/>
    </row>
    <row r="92">
      <c r="A92" s="48"/>
      <c r="B92" s="48"/>
      <c r="C92" s="4"/>
      <c r="D92" s="4"/>
      <c r="E92" s="4"/>
      <c r="F92" s="48"/>
      <c r="G92" s="48"/>
      <c r="H92" s="48"/>
      <c r="I92" s="48"/>
      <c r="J92" s="48"/>
      <c r="K92" s="48"/>
      <c r="L92" s="48"/>
      <c r="M92" s="48"/>
      <c r="N92" s="48"/>
      <c r="O92" s="48"/>
      <c r="P92" s="4"/>
      <c r="Q92" s="4"/>
      <c r="R92" s="4"/>
      <c r="S92" s="4"/>
      <c r="T92" s="4"/>
      <c r="U92" s="4"/>
      <c r="V92" s="4"/>
      <c r="W92" s="4"/>
      <c r="X92" s="4"/>
      <c r="Y92" s="4"/>
      <c r="Z92" s="4"/>
      <c r="AA92" s="4"/>
    </row>
    <row r="93">
      <c r="A93" s="48"/>
      <c r="B93" s="48"/>
      <c r="C93" s="4"/>
      <c r="D93" s="4"/>
      <c r="E93" s="4"/>
      <c r="F93" s="48"/>
      <c r="G93" s="48"/>
      <c r="H93" s="48"/>
      <c r="I93" s="48"/>
      <c r="J93" s="48"/>
      <c r="K93" s="48"/>
      <c r="L93" s="48"/>
      <c r="M93" s="48"/>
      <c r="N93" s="48"/>
      <c r="O93" s="48"/>
      <c r="P93" s="4"/>
      <c r="Q93" s="4"/>
      <c r="R93" s="4"/>
      <c r="S93" s="4"/>
      <c r="T93" s="4"/>
      <c r="U93" s="4"/>
      <c r="V93" s="4"/>
      <c r="W93" s="4"/>
      <c r="X93" s="4"/>
      <c r="Y93" s="4"/>
      <c r="Z93" s="4"/>
      <c r="AA93" s="4"/>
    </row>
    <row r="94">
      <c r="A94" s="48"/>
      <c r="B94" s="48"/>
      <c r="C94" s="4"/>
      <c r="D94" s="4"/>
      <c r="E94" s="4"/>
      <c r="F94" s="48"/>
      <c r="G94" s="48"/>
      <c r="H94" s="48"/>
      <c r="I94" s="48"/>
      <c r="J94" s="48"/>
      <c r="K94" s="48"/>
      <c r="L94" s="48"/>
      <c r="M94" s="48"/>
      <c r="N94" s="48"/>
      <c r="O94" s="48"/>
      <c r="P94" s="4"/>
      <c r="Q94" s="4"/>
      <c r="R94" s="4"/>
      <c r="S94" s="4"/>
      <c r="T94" s="4"/>
      <c r="U94" s="4"/>
      <c r="V94" s="4"/>
      <c r="W94" s="4"/>
      <c r="X94" s="4"/>
      <c r="Y94" s="4"/>
      <c r="Z94" s="4"/>
      <c r="AA94" s="4"/>
    </row>
    <row r="95">
      <c r="A95" s="48"/>
      <c r="B95" s="48"/>
      <c r="C95" s="4"/>
      <c r="D95" s="4"/>
      <c r="E95" s="4"/>
      <c r="F95" s="48"/>
      <c r="G95" s="48"/>
      <c r="H95" s="48"/>
      <c r="I95" s="48"/>
      <c r="J95" s="48"/>
      <c r="K95" s="48"/>
      <c r="L95" s="48"/>
      <c r="M95" s="48"/>
      <c r="N95" s="48"/>
      <c r="O95" s="48"/>
      <c r="P95" s="4"/>
      <c r="Q95" s="4"/>
      <c r="R95" s="4"/>
      <c r="S95" s="4"/>
      <c r="T95" s="4"/>
      <c r="U95" s="4"/>
      <c r="V95" s="4"/>
      <c r="W95" s="4"/>
      <c r="X95" s="4"/>
      <c r="Y95" s="4"/>
      <c r="Z95" s="4"/>
      <c r="AA95" s="4"/>
    </row>
    <row r="96">
      <c r="A96" s="48"/>
      <c r="B96" s="48"/>
      <c r="C96" s="4"/>
      <c r="D96" s="4"/>
      <c r="E96" s="4"/>
      <c r="F96" s="48"/>
      <c r="G96" s="48"/>
      <c r="H96" s="48"/>
      <c r="I96" s="48"/>
      <c r="J96" s="48"/>
      <c r="K96" s="48"/>
      <c r="L96" s="48"/>
      <c r="M96" s="48"/>
      <c r="N96" s="48"/>
      <c r="O96" s="48"/>
      <c r="P96" s="4"/>
      <c r="Q96" s="4"/>
      <c r="R96" s="4"/>
      <c r="S96" s="4"/>
      <c r="T96" s="4"/>
      <c r="U96" s="4"/>
      <c r="V96" s="4"/>
      <c r="W96" s="4"/>
      <c r="X96" s="4"/>
      <c r="Y96" s="4"/>
      <c r="Z96" s="4"/>
      <c r="AA96" s="4"/>
    </row>
    <row r="97">
      <c r="A97" s="48"/>
      <c r="B97" s="48"/>
      <c r="C97" s="4"/>
      <c r="D97" s="4"/>
      <c r="E97" s="4"/>
      <c r="F97" s="48"/>
      <c r="G97" s="48"/>
      <c r="H97" s="48"/>
      <c r="I97" s="48"/>
      <c r="J97" s="48"/>
      <c r="K97" s="48"/>
      <c r="L97" s="48"/>
      <c r="M97" s="48"/>
      <c r="N97" s="48"/>
      <c r="O97" s="48"/>
      <c r="P97" s="4"/>
      <c r="Q97" s="4"/>
      <c r="R97" s="4"/>
      <c r="S97" s="4"/>
      <c r="T97" s="4"/>
      <c r="U97" s="4"/>
      <c r="V97" s="4"/>
      <c r="W97" s="4"/>
      <c r="X97" s="4"/>
      <c r="Y97" s="4"/>
      <c r="Z97" s="4"/>
      <c r="AA97" s="4"/>
    </row>
    <row r="98">
      <c r="A98" s="48"/>
      <c r="B98" s="48"/>
      <c r="C98" s="4"/>
      <c r="D98" s="4"/>
      <c r="E98" s="4"/>
      <c r="F98" s="48"/>
      <c r="G98" s="48"/>
      <c r="H98" s="48"/>
      <c r="I98" s="48"/>
      <c r="J98" s="48"/>
      <c r="K98" s="48"/>
      <c r="L98" s="48"/>
      <c r="M98" s="48"/>
      <c r="N98" s="48"/>
      <c r="O98" s="48"/>
      <c r="P98" s="4"/>
      <c r="Q98" s="4"/>
      <c r="R98" s="4"/>
      <c r="S98" s="4"/>
      <c r="T98" s="4"/>
      <c r="U98" s="4"/>
      <c r="V98" s="4"/>
      <c r="W98" s="4"/>
      <c r="X98" s="4"/>
      <c r="Y98" s="4"/>
      <c r="Z98" s="4"/>
      <c r="AA98" s="4"/>
    </row>
    <row r="99">
      <c r="A99" s="48"/>
      <c r="B99" s="48"/>
      <c r="C99" s="4"/>
      <c r="D99" s="4"/>
      <c r="E99" s="4"/>
      <c r="F99" s="48"/>
      <c r="G99" s="48"/>
      <c r="H99" s="48"/>
      <c r="I99" s="48"/>
      <c r="J99" s="48"/>
      <c r="K99" s="48"/>
      <c r="L99" s="48"/>
      <c r="M99" s="48"/>
      <c r="N99" s="48"/>
      <c r="O99" s="48"/>
      <c r="P99" s="4"/>
      <c r="Q99" s="4"/>
      <c r="R99" s="4"/>
      <c r="S99" s="4"/>
      <c r="T99" s="4"/>
      <c r="U99" s="4"/>
      <c r="V99" s="4"/>
      <c r="W99" s="4"/>
      <c r="X99" s="4"/>
      <c r="Y99" s="4"/>
      <c r="Z99" s="4"/>
      <c r="AA99" s="4"/>
    </row>
    <row r="100">
      <c r="A100" s="48"/>
      <c r="B100" s="48"/>
      <c r="C100" s="4"/>
      <c r="D100" s="4"/>
      <c r="E100" s="4"/>
      <c r="F100" s="48"/>
      <c r="G100" s="48"/>
      <c r="H100" s="48"/>
      <c r="I100" s="48"/>
      <c r="J100" s="48"/>
      <c r="K100" s="48"/>
      <c r="L100" s="48"/>
      <c r="M100" s="48"/>
      <c r="N100" s="48"/>
      <c r="O100" s="48"/>
      <c r="P100" s="4"/>
      <c r="Q100" s="4"/>
      <c r="R100" s="4"/>
      <c r="S100" s="4"/>
      <c r="T100" s="4"/>
      <c r="U100" s="4"/>
      <c r="V100" s="4"/>
      <c r="W100" s="4"/>
      <c r="X100" s="4"/>
      <c r="Y100" s="4"/>
      <c r="Z100" s="4"/>
      <c r="AA100" s="4"/>
    </row>
    <row r="101">
      <c r="A101" s="48"/>
      <c r="B101" s="48"/>
      <c r="C101" s="4"/>
      <c r="D101" s="4"/>
      <c r="E101" s="4"/>
      <c r="F101" s="48"/>
      <c r="G101" s="48"/>
      <c r="H101" s="48"/>
      <c r="I101" s="48"/>
      <c r="J101" s="48"/>
      <c r="K101" s="48"/>
      <c r="L101" s="48"/>
      <c r="M101" s="48"/>
      <c r="N101" s="48"/>
      <c r="O101" s="48"/>
      <c r="P101" s="4"/>
      <c r="Q101" s="4"/>
      <c r="R101" s="4"/>
      <c r="S101" s="4"/>
      <c r="T101" s="4"/>
      <c r="U101" s="4"/>
      <c r="V101" s="4"/>
      <c r="W101" s="4"/>
      <c r="X101" s="4"/>
      <c r="Y101" s="4"/>
      <c r="Z101" s="4"/>
      <c r="AA101" s="4"/>
    </row>
    <row r="102">
      <c r="A102" s="48"/>
      <c r="B102" s="48"/>
      <c r="C102" s="4"/>
      <c r="D102" s="4"/>
      <c r="E102" s="4"/>
      <c r="F102" s="48"/>
      <c r="G102" s="48"/>
      <c r="H102" s="48"/>
      <c r="I102" s="48"/>
      <c r="J102" s="48"/>
      <c r="K102" s="48"/>
      <c r="L102" s="48"/>
      <c r="M102" s="48"/>
      <c r="N102" s="48"/>
      <c r="O102" s="48"/>
      <c r="P102" s="4"/>
      <c r="Q102" s="4"/>
      <c r="R102" s="4"/>
      <c r="S102" s="4"/>
      <c r="T102" s="4"/>
      <c r="U102" s="4"/>
      <c r="V102" s="4"/>
      <c r="W102" s="4"/>
      <c r="X102" s="4"/>
      <c r="Y102" s="4"/>
      <c r="Z102" s="4"/>
      <c r="AA102" s="4"/>
    </row>
    <row r="103">
      <c r="A103" s="48"/>
      <c r="B103" s="48"/>
      <c r="C103" s="4"/>
      <c r="D103" s="4"/>
      <c r="E103" s="4"/>
      <c r="F103" s="48"/>
      <c r="G103" s="48"/>
      <c r="H103" s="48"/>
      <c r="I103" s="48"/>
      <c r="J103" s="48"/>
      <c r="K103" s="48"/>
      <c r="L103" s="48"/>
      <c r="M103" s="48"/>
      <c r="N103" s="48"/>
      <c r="O103" s="48"/>
      <c r="P103" s="4"/>
      <c r="Q103" s="4"/>
      <c r="R103" s="4"/>
      <c r="S103" s="4"/>
      <c r="T103" s="4"/>
      <c r="U103" s="4"/>
      <c r="V103" s="4"/>
      <c r="W103" s="4"/>
      <c r="X103" s="4"/>
      <c r="Y103" s="4"/>
      <c r="Z103" s="4"/>
      <c r="AA103" s="4"/>
    </row>
    <row r="104">
      <c r="A104" s="48"/>
      <c r="B104" s="48"/>
      <c r="C104" s="4"/>
      <c r="D104" s="4"/>
      <c r="E104" s="4"/>
      <c r="F104" s="48"/>
      <c r="G104" s="48"/>
      <c r="H104" s="48"/>
      <c r="I104" s="48"/>
      <c r="J104" s="48"/>
      <c r="K104" s="48"/>
      <c r="L104" s="48"/>
      <c r="M104" s="48"/>
      <c r="N104" s="48"/>
      <c r="O104" s="48"/>
      <c r="P104" s="4"/>
      <c r="Q104" s="4"/>
      <c r="R104" s="4"/>
      <c r="S104" s="4"/>
      <c r="T104" s="4"/>
      <c r="U104" s="4"/>
      <c r="V104" s="4"/>
      <c r="W104" s="4"/>
      <c r="X104" s="4"/>
      <c r="Y104" s="4"/>
      <c r="Z104" s="4"/>
      <c r="AA104" s="4"/>
    </row>
    <row r="105">
      <c r="A105" s="48"/>
      <c r="B105" s="48"/>
      <c r="C105" s="4"/>
      <c r="D105" s="4"/>
      <c r="E105" s="4"/>
      <c r="F105" s="48"/>
      <c r="G105" s="48"/>
      <c r="H105" s="48"/>
      <c r="I105" s="48"/>
      <c r="J105" s="48"/>
      <c r="K105" s="48"/>
      <c r="L105" s="48"/>
      <c r="M105" s="48"/>
      <c r="N105" s="48"/>
      <c r="O105" s="48"/>
      <c r="P105" s="4"/>
      <c r="Q105" s="4"/>
      <c r="R105" s="4"/>
      <c r="S105" s="4"/>
      <c r="T105" s="4"/>
      <c r="U105" s="4"/>
      <c r="V105" s="4"/>
      <c r="W105" s="4"/>
      <c r="X105" s="4"/>
      <c r="Y105" s="4"/>
      <c r="Z105" s="4"/>
      <c r="AA105" s="4"/>
    </row>
    <row r="106">
      <c r="A106" s="48"/>
      <c r="B106" s="48"/>
      <c r="C106" s="4"/>
      <c r="D106" s="4"/>
      <c r="E106" s="4"/>
      <c r="F106" s="48"/>
      <c r="G106" s="48"/>
      <c r="H106" s="48"/>
      <c r="I106" s="48"/>
      <c r="J106" s="48"/>
      <c r="K106" s="48"/>
      <c r="L106" s="48"/>
      <c r="M106" s="48"/>
      <c r="N106" s="48"/>
      <c r="O106" s="48"/>
      <c r="P106" s="4"/>
      <c r="Q106" s="4"/>
      <c r="R106" s="4"/>
      <c r="S106" s="4"/>
      <c r="T106" s="4"/>
      <c r="U106" s="4"/>
      <c r="V106" s="4"/>
      <c r="W106" s="4"/>
      <c r="X106" s="4"/>
      <c r="Y106" s="4"/>
      <c r="Z106" s="4"/>
      <c r="AA106" s="4"/>
    </row>
    <row r="107">
      <c r="A107" s="48"/>
      <c r="B107" s="48"/>
      <c r="C107" s="4"/>
      <c r="D107" s="4"/>
      <c r="E107" s="4"/>
      <c r="F107" s="48"/>
      <c r="G107" s="48"/>
      <c r="H107" s="48"/>
      <c r="I107" s="48"/>
      <c r="J107" s="48"/>
      <c r="K107" s="48"/>
      <c r="L107" s="48"/>
      <c r="M107" s="48"/>
      <c r="N107" s="48"/>
      <c r="O107" s="48"/>
      <c r="P107" s="4"/>
      <c r="Q107" s="4"/>
      <c r="R107" s="4"/>
      <c r="S107" s="4"/>
      <c r="T107" s="4"/>
      <c r="U107" s="4"/>
      <c r="V107" s="4"/>
      <c r="W107" s="4"/>
      <c r="X107" s="4"/>
      <c r="Y107" s="4"/>
      <c r="Z107" s="4"/>
      <c r="AA107" s="4"/>
    </row>
    <row r="108">
      <c r="A108" s="48"/>
      <c r="B108" s="48"/>
      <c r="C108" s="4"/>
      <c r="D108" s="4"/>
      <c r="E108" s="4"/>
      <c r="F108" s="48"/>
      <c r="G108" s="48"/>
      <c r="H108" s="48"/>
      <c r="I108" s="48"/>
      <c r="J108" s="48"/>
      <c r="K108" s="48"/>
      <c r="L108" s="48"/>
      <c r="M108" s="48"/>
      <c r="N108" s="48"/>
      <c r="O108" s="48"/>
      <c r="P108" s="4"/>
      <c r="Q108" s="4"/>
      <c r="R108" s="4"/>
      <c r="S108" s="4"/>
      <c r="T108" s="4"/>
      <c r="U108" s="4"/>
      <c r="V108" s="4"/>
      <c r="W108" s="4"/>
      <c r="X108" s="4"/>
      <c r="Y108" s="4"/>
      <c r="Z108" s="4"/>
      <c r="AA108" s="4"/>
    </row>
    <row r="109">
      <c r="A109" s="48"/>
      <c r="B109" s="48"/>
      <c r="C109" s="4"/>
      <c r="D109" s="4"/>
      <c r="E109" s="4"/>
      <c r="F109" s="48"/>
      <c r="G109" s="48"/>
      <c r="H109" s="48"/>
      <c r="I109" s="48"/>
      <c r="J109" s="48"/>
      <c r="K109" s="48"/>
      <c r="L109" s="48"/>
      <c r="M109" s="48"/>
      <c r="N109" s="48"/>
      <c r="O109" s="48"/>
      <c r="P109" s="4"/>
      <c r="Q109" s="4"/>
      <c r="R109" s="4"/>
      <c r="S109" s="4"/>
      <c r="T109" s="4"/>
      <c r="U109" s="4"/>
      <c r="V109" s="4"/>
      <c r="W109" s="4"/>
      <c r="X109" s="4"/>
      <c r="Y109" s="4"/>
      <c r="Z109" s="4"/>
      <c r="AA109" s="4"/>
    </row>
    <row r="110">
      <c r="A110" s="48"/>
      <c r="B110" s="48"/>
      <c r="C110" s="4"/>
      <c r="D110" s="4"/>
      <c r="E110" s="4"/>
      <c r="F110" s="48"/>
      <c r="G110" s="48"/>
      <c r="H110" s="48"/>
      <c r="I110" s="48"/>
      <c r="J110" s="48"/>
      <c r="K110" s="48"/>
      <c r="L110" s="48"/>
      <c r="M110" s="48"/>
      <c r="N110" s="48"/>
      <c r="O110" s="48"/>
      <c r="P110" s="4"/>
      <c r="Q110" s="4"/>
      <c r="R110" s="4"/>
      <c r="S110" s="4"/>
      <c r="T110" s="4"/>
      <c r="U110" s="4"/>
      <c r="V110" s="4"/>
      <c r="W110" s="4"/>
      <c r="X110" s="4"/>
      <c r="Y110" s="4"/>
      <c r="Z110" s="4"/>
      <c r="AA110" s="4"/>
    </row>
    <row r="111">
      <c r="A111" s="48"/>
      <c r="B111" s="48"/>
      <c r="C111" s="4"/>
      <c r="D111" s="4"/>
      <c r="E111" s="4"/>
      <c r="F111" s="48"/>
      <c r="G111" s="48"/>
      <c r="H111" s="48"/>
      <c r="I111" s="48"/>
      <c r="J111" s="48"/>
      <c r="K111" s="48"/>
      <c r="L111" s="48"/>
      <c r="M111" s="48"/>
      <c r="N111" s="48"/>
      <c r="O111" s="48"/>
      <c r="P111" s="4"/>
      <c r="Q111" s="4"/>
      <c r="R111" s="4"/>
      <c r="S111" s="4"/>
      <c r="T111" s="4"/>
      <c r="U111" s="4"/>
      <c r="V111" s="4"/>
      <c r="W111" s="4"/>
      <c r="X111" s="4"/>
      <c r="Y111" s="4"/>
      <c r="Z111" s="4"/>
      <c r="AA111" s="4"/>
    </row>
    <row r="112">
      <c r="A112" s="48"/>
      <c r="B112" s="48"/>
      <c r="C112" s="4"/>
      <c r="D112" s="4"/>
      <c r="E112" s="4"/>
      <c r="F112" s="48"/>
      <c r="G112" s="48"/>
      <c r="H112" s="48"/>
      <c r="I112" s="48"/>
      <c r="J112" s="48"/>
      <c r="K112" s="48"/>
      <c r="L112" s="48"/>
      <c r="M112" s="48"/>
      <c r="N112" s="48"/>
      <c r="O112" s="48"/>
      <c r="P112" s="4"/>
      <c r="Q112" s="4"/>
      <c r="R112" s="4"/>
      <c r="S112" s="4"/>
      <c r="T112" s="4"/>
      <c r="U112" s="4"/>
      <c r="V112" s="4"/>
      <c r="W112" s="4"/>
      <c r="X112" s="4"/>
      <c r="Y112" s="4"/>
      <c r="Z112" s="4"/>
      <c r="AA112" s="4"/>
    </row>
    <row r="113">
      <c r="A113" s="48"/>
      <c r="B113" s="48"/>
      <c r="C113" s="4"/>
      <c r="D113" s="4"/>
      <c r="E113" s="4"/>
      <c r="F113" s="48"/>
      <c r="G113" s="48"/>
      <c r="H113" s="48"/>
      <c r="I113" s="48"/>
      <c r="J113" s="48"/>
      <c r="K113" s="48"/>
      <c r="L113" s="48"/>
      <c r="M113" s="48"/>
      <c r="N113" s="48"/>
      <c r="O113" s="48"/>
      <c r="P113" s="4"/>
      <c r="Q113" s="4"/>
      <c r="R113" s="4"/>
      <c r="S113" s="4"/>
      <c r="T113" s="4"/>
      <c r="U113" s="4"/>
      <c r="V113" s="4"/>
      <c r="W113" s="4"/>
      <c r="X113" s="4"/>
      <c r="Y113" s="4"/>
      <c r="Z113" s="4"/>
      <c r="AA113" s="4"/>
    </row>
    <row r="114">
      <c r="A114" s="48"/>
      <c r="B114" s="48"/>
      <c r="C114" s="4"/>
      <c r="D114" s="4"/>
      <c r="E114" s="4"/>
      <c r="F114" s="48"/>
      <c r="G114" s="48"/>
      <c r="H114" s="48"/>
      <c r="I114" s="48"/>
      <c r="J114" s="48"/>
      <c r="K114" s="48"/>
      <c r="L114" s="48"/>
      <c r="M114" s="48"/>
      <c r="N114" s="48"/>
      <c r="O114" s="48"/>
      <c r="P114" s="4"/>
      <c r="Q114" s="4"/>
      <c r="R114" s="4"/>
      <c r="S114" s="4"/>
      <c r="T114" s="4"/>
      <c r="U114" s="4"/>
      <c r="V114" s="4"/>
      <c r="W114" s="4"/>
      <c r="X114" s="4"/>
      <c r="Y114" s="4"/>
      <c r="Z114" s="4"/>
      <c r="AA114" s="4"/>
    </row>
    <row r="115">
      <c r="A115" s="48"/>
      <c r="B115" s="48"/>
      <c r="C115" s="4"/>
      <c r="D115" s="4"/>
      <c r="E115" s="4"/>
      <c r="F115" s="48"/>
      <c r="G115" s="48"/>
      <c r="H115" s="48"/>
      <c r="I115" s="48"/>
      <c r="J115" s="48"/>
      <c r="K115" s="48"/>
      <c r="L115" s="48"/>
      <c r="M115" s="48"/>
      <c r="N115" s="48"/>
      <c r="O115" s="48"/>
      <c r="P115" s="4"/>
      <c r="Q115" s="4"/>
      <c r="R115" s="4"/>
      <c r="S115" s="4"/>
      <c r="T115" s="4"/>
      <c r="U115" s="4"/>
      <c r="V115" s="4"/>
      <c r="W115" s="4"/>
      <c r="X115" s="4"/>
      <c r="Y115" s="4"/>
      <c r="Z115" s="4"/>
      <c r="AA115" s="4"/>
    </row>
    <row r="116">
      <c r="A116" s="48"/>
      <c r="B116" s="48"/>
      <c r="C116" s="4"/>
      <c r="D116" s="4"/>
      <c r="E116" s="4"/>
      <c r="F116" s="48"/>
      <c r="G116" s="48"/>
      <c r="H116" s="48"/>
      <c r="I116" s="48"/>
      <c r="J116" s="48"/>
      <c r="K116" s="48"/>
      <c r="L116" s="48"/>
      <c r="M116" s="48"/>
      <c r="N116" s="48"/>
      <c r="O116" s="48"/>
      <c r="P116" s="4"/>
      <c r="Q116" s="4"/>
      <c r="R116" s="4"/>
      <c r="S116" s="4"/>
      <c r="T116" s="4"/>
      <c r="U116" s="4"/>
      <c r="V116" s="4"/>
      <c r="W116" s="4"/>
      <c r="X116" s="4"/>
      <c r="Y116" s="4"/>
      <c r="Z116" s="4"/>
      <c r="AA116" s="4"/>
    </row>
    <row r="117">
      <c r="A117" s="48"/>
      <c r="B117" s="48"/>
      <c r="C117" s="4"/>
      <c r="D117" s="4"/>
      <c r="E117" s="4"/>
      <c r="F117" s="48"/>
      <c r="G117" s="48"/>
      <c r="H117" s="48"/>
      <c r="I117" s="48"/>
      <c r="J117" s="48"/>
      <c r="K117" s="48"/>
      <c r="L117" s="48"/>
      <c r="M117" s="48"/>
      <c r="N117" s="48"/>
      <c r="O117" s="48"/>
      <c r="P117" s="4"/>
      <c r="Q117" s="4"/>
      <c r="R117" s="4"/>
      <c r="S117" s="4"/>
      <c r="T117" s="4"/>
      <c r="U117" s="4"/>
      <c r="V117" s="4"/>
      <c r="W117" s="4"/>
      <c r="X117" s="4"/>
      <c r="Y117" s="4"/>
      <c r="Z117" s="4"/>
      <c r="AA117" s="4"/>
    </row>
    <row r="118">
      <c r="A118" s="48"/>
      <c r="B118" s="48"/>
      <c r="C118" s="4"/>
      <c r="D118" s="4"/>
      <c r="E118" s="4"/>
      <c r="F118" s="48"/>
      <c r="G118" s="48"/>
      <c r="H118" s="48"/>
      <c r="I118" s="48"/>
      <c r="J118" s="48"/>
      <c r="K118" s="48"/>
      <c r="L118" s="48"/>
      <c r="M118" s="48"/>
      <c r="N118" s="48"/>
      <c r="O118" s="48"/>
      <c r="P118" s="4"/>
      <c r="Q118" s="4"/>
      <c r="R118" s="4"/>
      <c r="S118" s="4"/>
      <c r="T118" s="4"/>
      <c r="U118" s="4"/>
      <c r="V118" s="4"/>
      <c r="W118" s="4"/>
      <c r="X118" s="4"/>
      <c r="Y118" s="4"/>
      <c r="Z118" s="4"/>
      <c r="AA118" s="4"/>
    </row>
    <row r="119">
      <c r="A119" s="48"/>
      <c r="B119" s="48"/>
      <c r="C119" s="4"/>
      <c r="D119" s="4"/>
      <c r="E119" s="4"/>
      <c r="F119" s="48"/>
      <c r="G119" s="48"/>
      <c r="H119" s="48"/>
      <c r="I119" s="48"/>
      <c r="J119" s="48"/>
      <c r="K119" s="48"/>
      <c r="L119" s="48"/>
      <c r="M119" s="48"/>
      <c r="N119" s="48"/>
      <c r="O119" s="48"/>
      <c r="P119" s="4"/>
      <c r="Q119" s="4"/>
      <c r="R119" s="4"/>
      <c r="S119" s="4"/>
      <c r="T119" s="4"/>
      <c r="U119" s="4"/>
      <c r="V119" s="4"/>
      <c r="W119" s="4"/>
      <c r="X119" s="4"/>
      <c r="Y119" s="4"/>
      <c r="Z119" s="4"/>
      <c r="AA119" s="4"/>
    </row>
    <row r="120">
      <c r="A120" s="48"/>
      <c r="B120" s="48"/>
      <c r="C120" s="4"/>
      <c r="D120" s="4"/>
      <c r="E120" s="4"/>
      <c r="F120" s="48"/>
      <c r="G120" s="48"/>
      <c r="H120" s="48"/>
      <c r="I120" s="48"/>
      <c r="J120" s="48"/>
      <c r="K120" s="48"/>
      <c r="L120" s="48"/>
      <c r="M120" s="48"/>
      <c r="N120" s="48"/>
      <c r="O120" s="48"/>
      <c r="P120" s="4"/>
      <c r="Q120" s="4"/>
      <c r="R120" s="4"/>
      <c r="S120" s="4"/>
      <c r="T120" s="4"/>
      <c r="U120" s="4"/>
      <c r="V120" s="4"/>
      <c r="W120" s="4"/>
      <c r="X120" s="4"/>
      <c r="Y120" s="4"/>
      <c r="Z120" s="4"/>
      <c r="AA120" s="4"/>
    </row>
    <row r="121">
      <c r="A121" s="48"/>
      <c r="B121" s="48"/>
      <c r="C121" s="4"/>
      <c r="D121" s="4"/>
      <c r="E121" s="4"/>
      <c r="F121" s="48"/>
      <c r="G121" s="48"/>
      <c r="H121" s="48"/>
      <c r="I121" s="48"/>
      <c r="J121" s="48"/>
      <c r="K121" s="48"/>
      <c r="L121" s="48"/>
      <c r="M121" s="48"/>
      <c r="N121" s="48"/>
      <c r="O121" s="48"/>
      <c r="P121" s="4"/>
      <c r="Q121" s="4"/>
      <c r="R121" s="4"/>
      <c r="S121" s="4"/>
      <c r="T121" s="4"/>
      <c r="U121" s="4"/>
      <c r="V121" s="4"/>
      <c r="W121" s="4"/>
      <c r="X121" s="4"/>
      <c r="Y121" s="4"/>
      <c r="Z121" s="4"/>
      <c r="AA121" s="4"/>
    </row>
    <row r="122">
      <c r="A122" s="48"/>
      <c r="B122" s="48"/>
      <c r="C122" s="4"/>
      <c r="D122" s="4"/>
      <c r="E122" s="4"/>
      <c r="F122" s="48"/>
      <c r="G122" s="48"/>
      <c r="H122" s="48"/>
      <c r="I122" s="48"/>
      <c r="J122" s="48"/>
      <c r="K122" s="48"/>
      <c r="L122" s="48"/>
      <c r="M122" s="48"/>
      <c r="N122" s="48"/>
      <c r="O122" s="48"/>
      <c r="P122" s="4"/>
      <c r="Q122" s="4"/>
      <c r="R122" s="4"/>
      <c r="S122" s="4"/>
      <c r="T122" s="4"/>
      <c r="U122" s="4"/>
      <c r="V122" s="4"/>
      <c r="W122" s="4"/>
      <c r="X122" s="4"/>
      <c r="Y122" s="4"/>
      <c r="Z122" s="4"/>
      <c r="AA122" s="4"/>
    </row>
    <row r="123">
      <c r="A123" s="48"/>
      <c r="B123" s="48"/>
      <c r="C123" s="4"/>
      <c r="D123" s="4"/>
      <c r="E123" s="4"/>
      <c r="F123" s="48"/>
      <c r="G123" s="48"/>
      <c r="H123" s="48"/>
      <c r="I123" s="48"/>
      <c r="J123" s="48"/>
      <c r="K123" s="48"/>
      <c r="L123" s="48"/>
      <c r="M123" s="48"/>
      <c r="N123" s="48"/>
      <c r="O123" s="48"/>
      <c r="P123" s="4"/>
      <c r="Q123" s="4"/>
      <c r="R123" s="4"/>
      <c r="S123" s="4"/>
      <c r="T123" s="4"/>
      <c r="U123" s="4"/>
      <c r="V123" s="4"/>
      <c r="W123" s="4"/>
      <c r="X123" s="4"/>
      <c r="Y123" s="4"/>
      <c r="Z123" s="4"/>
      <c r="AA123" s="4"/>
    </row>
    <row r="124">
      <c r="A124" s="48"/>
      <c r="B124" s="48"/>
      <c r="C124" s="4"/>
      <c r="D124" s="4"/>
      <c r="E124" s="4"/>
      <c r="F124" s="48"/>
      <c r="G124" s="48"/>
      <c r="H124" s="48"/>
      <c r="I124" s="48"/>
      <c r="J124" s="48"/>
      <c r="K124" s="48"/>
      <c r="L124" s="48"/>
      <c r="M124" s="48"/>
      <c r="N124" s="48"/>
      <c r="O124" s="48"/>
      <c r="P124" s="4"/>
      <c r="Q124" s="4"/>
      <c r="R124" s="4"/>
      <c r="S124" s="4"/>
      <c r="T124" s="4"/>
      <c r="U124" s="4"/>
      <c r="V124" s="4"/>
      <c r="W124" s="4"/>
      <c r="X124" s="4"/>
      <c r="Y124" s="4"/>
      <c r="Z124" s="4"/>
      <c r="AA124" s="4"/>
    </row>
    <row r="125">
      <c r="A125" s="48"/>
      <c r="B125" s="48"/>
      <c r="C125" s="4"/>
      <c r="D125" s="4"/>
      <c r="E125" s="4"/>
      <c r="F125" s="48"/>
      <c r="G125" s="48"/>
      <c r="H125" s="48"/>
      <c r="I125" s="48"/>
      <c r="J125" s="48"/>
      <c r="K125" s="48"/>
      <c r="L125" s="48"/>
      <c r="M125" s="48"/>
      <c r="N125" s="48"/>
      <c r="O125" s="48"/>
      <c r="P125" s="4"/>
      <c r="Q125" s="4"/>
      <c r="R125" s="4"/>
      <c r="S125" s="4"/>
      <c r="T125" s="4"/>
      <c r="U125" s="4"/>
      <c r="V125" s="4"/>
      <c r="W125" s="4"/>
      <c r="X125" s="4"/>
      <c r="Y125" s="4"/>
      <c r="Z125" s="4"/>
      <c r="AA125" s="4"/>
    </row>
    <row r="126">
      <c r="A126" s="48"/>
      <c r="B126" s="48"/>
      <c r="C126" s="4"/>
      <c r="D126" s="4"/>
      <c r="E126" s="4"/>
      <c r="F126" s="48"/>
      <c r="G126" s="48"/>
      <c r="H126" s="48"/>
      <c r="I126" s="48"/>
      <c r="J126" s="48"/>
      <c r="K126" s="48"/>
      <c r="L126" s="48"/>
      <c r="M126" s="48"/>
      <c r="N126" s="48"/>
      <c r="O126" s="48"/>
      <c r="P126" s="4"/>
      <c r="Q126" s="4"/>
      <c r="R126" s="4"/>
      <c r="S126" s="4"/>
      <c r="T126" s="4"/>
      <c r="U126" s="4"/>
      <c r="V126" s="4"/>
      <c r="W126" s="4"/>
      <c r="X126" s="4"/>
      <c r="Y126" s="4"/>
      <c r="Z126" s="4"/>
      <c r="AA126" s="4"/>
    </row>
    <row r="127">
      <c r="A127" s="48"/>
      <c r="B127" s="48"/>
      <c r="C127" s="4"/>
      <c r="D127" s="4"/>
      <c r="E127" s="4"/>
      <c r="F127" s="48"/>
      <c r="G127" s="48"/>
      <c r="H127" s="48"/>
      <c r="I127" s="48"/>
      <c r="J127" s="48"/>
      <c r="K127" s="48"/>
      <c r="L127" s="48"/>
      <c r="M127" s="48"/>
      <c r="N127" s="48"/>
      <c r="O127" s="48"/>
      <c r="P127" s="4"/>
      <c r="Q127" s="4"/>
      <c r="R127" s="4"/>
      <c r="S127" s="4"/>
      <c r="T127" s="4"/>
      <c r="U127" s="4"/>
      <c r="V127" s="4"/>
      <c r="W127" s="4"/>
      <c r="X127" s="4"/>
      <c r="Y127" s="4"/>
      <c r="Z127" s="4"/>
      <c r="AA127" s="4"/>
    </row>
    <row r="128">
      <c r="A128" s="48"/>
      <c r="B128" s="48"/>
      <c r="C128" s="4"/>
      <c r="D128" s="4"/>
      <c r="E128" s="4"/>
      <c r="F128" s="48"/>
      <c r="G128" s="48"/>
      <c r="H128" s="48"/>
      <c r="I128" s="48"/>
      <c r="J128" s="48"/>
      <c r="K128" s="48"/>
      <c r="L128" s="48"/>
      <c r="M128" s="48"/>
      <c r="N128" s="48"/>
      <c r="O128" s="48"/>
      <c r="P128" s="4"/>
      <c r="Q128" s="4"/>
      <c r="R128" s="4"/>
      <c r="S128" s="4"/>
      <c r="T128" s="4"/>
      <c r="U128" s="4"/>
      <c r="V128" s="4"/>
      <c r="W128" s="4"/>
      <c r="X128" s="4"/>
      <c r="Y128" s="4"/>
      <c r="Z128" s="4"/>
      <c r="AA128" s="4"/>
    </row>
    <row r="129">
      <c r="A129" s="48"/>
      <c r="B129" s="48"/>
      <c r="C129" s="4"/>
      <c r="D129" s="4"/>
      <c r="E129" s="4"/>
      <c r="F129" s="48"/>
      <c r="G129" s="48"/>
      <c r="H129" s="48"/>
      <c r="I129" s="48"/>
      <c r="J129" s="48"/>
      <c r="K129" s="48"/>
      <c r="L129" s="48"/>
      <c r="M129" s="48"/>
      <c r="N129" s="48"/>
      <c r="O129" s="48"/>
      <c r="P129" s="4"/>
      <c r="Q129" s="4"/>
      <c r="R129" s="4"/>
      <c r="S129" s="4"/>
      <c r="T129" s="4"/>
      <c r="U129" s="4"/>
      <c r="V129" s="4"/>
      <c r="W129" s="4"/>
      <c r="X129" s="4"/>
      <c r="Y129" s="4"/>
      <c r="Z129" s="4"/>
      <c r="AA129" s="4"/>
    </row>
    <row r="130">
      <c r="A130" s="48"/>
      <c r="B130" s="48"/>
      <c r="C130" s="4"/>
      <c r="D130" s="4"/>
      <c r="E130" s="4"/>
      <c r="F130" s="48"/>
      <c r="G130" s="48"/>
      <c r="H130" s="48"/>
      <c r="I130" s="48"/>
      <c r="J130" s="48"/>
      <c r="K130" s="48"/>
      <c r="L130" s="48"/>
      <c r="M130" s="48"/>
      <c r="N130" s="48"/>
      <c r="O130" s="48"/>
      <c r="P130" s="4"/>
      <c r="Q130" s="4"/>
      <c r="R130" s="4"/>
      <c r="S130" s="4"/>
      <c r="T130" s="4"/>
      <c r="U130" s="4"/>
      <c r="V130" s="4"/>
      <c r="W130" s="4"/>
      <c r="X130" s="4"/>
      <c r="Y130" s="4"/>
      <c r="Z130" s="4"/>
      <c r="AA130" s="4"/>
    </row>
    <row r="131">
      <c r="A131" s="48"/>
      <c r="B131" s="48"/>
      <c r="C131" s="4"/>
      <c r="D131" s="4"/>
      <c r="E131" s="4"/>
      <c r="F131" s="48"/>
      <c r="G131" s="48"/>
      <c r="H131" s="48"/>
      <c r="I131" s="48"/>
      <c r="J131" s="48"/>
      <c r="K131" s="48"/>
      <c r="L131" s="48"/>
      <c r="M131" s="48"/>
      <c r="N131" s="48"/>
      <c r="O131" s="48"/>
      <c r="P131" s="4"/>
      <c r="Q131" s="4"/>
      <c r="R131" s="4"/>
      <c r="S131" s="4"/>
      <c r="T131" s="4"/>
      <c r="U131" s="4"/>
      <c r="V131" s="4"/>
      <c r="W131" s="4"/>
      <c r="X131" s="4"/>
      <c r="Y131" s="4"/>
      <c r="Z131" s="4"/>
      <c r="AA131" s="4"/>
    </row>
    <row r="132">
      <c r="A132" s="48"/>
      <c r="B132" s="48"/>
      <c r="C132" s="4"/>
      <c r="D132" s="4"/>
      <c r="E132" s="4"/>
      <c r="F132" s="48"/>
      <c r="G132" s="48"/>
      <c r="H132" s="48"/>
      <c r="I132" s="48"/>
      <c r="J132" s="48"/>
      <c r="K132" s="48"/>
      <c r="L132" s="48"/>
      <c r="M132" s="48"/>
      <c r="N132" s="48"/>
      <c r="O132" s="48"/>
      <c r="P132" s="4"/>
      <c r="Q132" s="4"/>
      <c r="R132" s="4"/>
      <c r="S132" s="4"/>
      <c r="T132" s="4"/>
      <c r="U132" s="4"/>
      <c r="V132" s="4"/>
      <c r="W132" s="4"/>
      <c r="X132" s="4"/>
      <c r="Y132" s="4"/>
      <c r="Z132" s="4"/>
      <c r="AA132" s="4"/>
    </row>
    <row r="133">
      <c r="A133" s="48"/>
      <c r="B133" s="48"/>
      <c r="C133" s="4"/>
      <c r="D133" s="4"/>
      <c r="E133" s="4"/>
      <c r="F133" s="48"/>
      <c r="G133" s="48"/>
      <c r="H133" s="48"/>
      <c r="I133" s="48"/>
      <c r="J133" s="48"/>
      <c r="K133" s="48"/>
      <c r="L133" s="48"/>
      <c r="M133" s="48"/>
      <c r="N133" s="48"/>
      <c r="O133" s="48"/>
      <c r="P133" s="4"/>
      <c r="Q133" s="4"/>
      <c r="R133" s="4"/>
      <c r="S133" s="4"/>
      <c r="T133" s="4"/>
      <c r="U133" s="4"/>
      <c r="V133" s="4"/>
      <c r="W133" s="4"/>
      <c r="X133" s="4"/>
      <c r="Y133" s="4"/>
      <c r="Z133" s="4"/>
      <c r="AA133" s="4"/>
    </row>
    <row r="134">
      <c r="A134" s="48"/>
      <c r="B134" s="48"/>
      <c r="C134" s="4"/>
      <c r="D134" s="4"/>
      <c r="E134" s="4"/>
      <c r="F134" s="48"/>
      <c r="G134" s="48"/>
      <c r="H134" s="48"/>
      <c r="I134" s="48"/>
      <c r="J134" s="48"/>
      <c r="K134" s="48"/>
      <c r="L134" s="48"/>
      <c r="M134" s="48"/>
      <c r="N134" s="48"/>
      <c r="O134" s="48"/>
      <c r="P134" s="4"/>
      <c r="Q134" s="4"/>
      <c r="R134" s="4"/>
      <c r="S134" s="4"/>
      <c r="T134" s="4"/>
      <c r="U134" s="4"/>
      <c r="V134" s="4"/>
      <c r="W134" s="4"/>
      <c r="X134" s="4"/>
      <c r="Y134" s="4"/>
      <c r="Z134" s="4"/>
      <c r="AA134" s="4"/>
    </row>
    <row r="135">
      <c r="A135" s="48"/>
      <c r="B135" s="48"/>
      <c r="C135" s="4"/>
      <c r="D135" s="4"/>
      <c r="E135" s="4"/>
      <c r="F135" s="48"/>
      <c r="G135" s="48"/>
      <c r="H135" s="48"/>
      <c r="I135" s="48"/>
      <c r="J135" s="48"/>
      <c r="K135" s="48"/>
      <c r="L135" s="48"/>
      <c r="M135" s="48"/>
      <c r="N135" s="48"/>
      <c r="O135" s="48"/>
      <c r="P135" s="4"/>
      <c r="Q135" s="4"/>
      <c r="R135" s="4"/>
      <c r="S135" s="4"/>
      <c r="T135" s="4"/>
      <c r="U135" s="4"/>
      <c r="V135" s="4"/>
      <c r="W135" s="4"/>
      <c r="X135" s="4"/>
      <c r="Y135" s="4"/>
      <c r="Z135" s="4"/>
      <c r="AA135" s="4"/>
    </row>
    <row r="136">
      <c r="A136" s="48"/>
      <c r="B136" s="48"/>
      <c r="C136" s="4"/>
      <c r="D136" s="4"/>
      <c r="E136" s="4"/>
      <c r="F136" s="48"/>
      <c r="G136" s="48"/>
      <c r="H136" s="48"/>
      <c r="I136" s="48"/>
      <c r="J136" s="48"/>
      <c r="K136" s="48"/>
      <c r="L136" s="48"/>
      <c r="M136" s="48"/>
      <c r="N136" s="48"/>
      <c r="O136" s="48"/>
      <c r="P136" s="4"/>
      <c r="Q136" s="4"/>
      <c r="R136" s="4"/>
      <c r="S136" s="4"/>
      <c r="T136" s="4"/>
      <c r="U136" s="4"/>
      <c r="V136" s="4"/>
      <c r="W136" s="4"/>
      <c r="X136" s="4"/>
      <c r="Y136" s="4"/>
      <c r="Z136" s="4"/>
      <c r="AA136" s="4"/>
    </row>
    <row r="137">
      <c r="A137" s="48"/>
      <c r="B137" s="48"/>
      <c r="C137" s="4"/>
      <c r="D137" s="4"/>
      <c r="E137" s="4"/>
      <c r="F137" s="48"/>
      <c r="G137" s="48"/>
      <c r="H137" s="48"/>
      <c r="I137" s="48"/>
      <c r="J137" s="48"/>
      <c r="K137" s="48"/>
      <c r="L137" s="48"/>
      <c r="M137" s="48"/>
      <c r="N137" s="48"/>
      <c r="O137" s="48"/>
      <c r="P137" s="4"/>
      <c r="Q137" s="4"/>
      <c r="R137" s="4"/>
      <c r="S137" s="4"/>
      <c r="T137" s="4"/>
      <c r="U137" s="4"/>
      <c r="V137" s="4"/>
      <c r="W137" s="4"/>
      <c r="X137" s="4"/>
      <c r="Y137" s="4"/>
      <c r="Z137" s="4"/>
      <c r="AA137" s="4"/>
    </row>
    <row r="138">
      <c r="A138" s="48"/>
      <c r="B138" s="48"/>
      <c r="C138" s="4"/>
      <c r="D138" s="4"/>
      <c r="E138" s="4"/>
      <c r="F138" s="48"/>
      <c r="G138" s="48"/>
      <c r="H138" s="48"/>
      <c r="I138" s="48"/>
      <c r="J138" s="48"/>
      <c r="K138" s="48"/>
      <c r="L138" s="48"/>
      <c r="M138" s="48"/>
      <c r="N138" s="48"/>
      <c r="O138" s="48"/>
      <c r="P138" s="4"/>
      <c r="Q138" s="4"/>
      <c r="R138" s="4"/>
      <c r="S138" s="4"/>
      <c r="T138" s="4"/>
      <c r="U138" s="4"/>
      <c r="V138" s="4"/>
      <c r="W138" s="4"/>
      <c r="X138" s="4"/>
      <c r="Y138" s="4"/>
      <c r="Z138" s="4"/>
      <c r="AA138" s="4"/>
    </row>
    <row r="139">
      <c r="A139" s="48"/>
      <c r="B139" s="48"/>
      <c r="C139" s="4"/>
      <c r="D139" s="4"/>
      <c r="E139" s="4"/>
      <c r="F139" s="48"/>
      <c r="G139" s="48"/>
      <c r="H139" s="48"/>
      <c r="I139" s="48"/>
      <c r="J139" s="48"/>
      <c r="K139" s="48"/>
      <c r="L139" s="48"/>
      <c r="M139" s="48"/>
      <c r="N139" s="48"/>
      <c r="O139" s="48"/>
      <c r="P139" s="4"/>
      <c r="Q139" s="4"/>
      <c r="R139" s="4"/>
      <c r="S139" s="4"/>
      <c r="T139" s="4"/>
      <c r="U139" s="4"/>
      <c r="V139" s="4"/>
      <c r="W139" s="4"/>
      <c r="X139" s="4"/>
      <c r="Y139" s="4"/>
      <c r="Z139" s="4"/>
      <c r="AA139" s="4"/>
    </row>
    <row r="140">
      <c r="A140" s="48"/>
      <c r="B140" s="48"/>
      <c r="C140" s="4"/>
      <c r="D140" s="4"/>
      <c r="E140" s="4"/>
      <c r="F140" s="48"/>
      <c r="G140" s="48"/>
      <c r="H140" s="48"/>
      <c r="I140" s="48"/>
      <c r="J140" s="48"/>
      <c r="K140" s="48"/>
      <c r="L140" s="48"/>
      <c r="M140" s="48"/>
      <c r="N140" s="48"/>
      <c r="O140" s="48"/>
      <c r="P140" s="4"/>
      <c r="Q140" s="4"/>
      <c r="R140" s="4"/>
      <c r="S140" s="4"/>
      <c r="T140" s="4"/>
      <c r="U140" s="4"/>
      <c r="V140" s="4"/>
      <c r="W140" s="4"/>
      <c r="X140" s="4"/>
      <c r="Y140" s="4"/>
      <c r="Z140" s="4"/>
      <c r="AA140" s="4"/>
    </row>
    <row r="141">
      <c r="A141" s="48"/>
      <c r="B141" s="48"/>
      <c r="C141" s="4"/>
      <c r="D141" s="4"/>
      <c r="E141" s="4"/>
      <c r="F141" s="48"/>
      <c r="G141" s="48"/>
      <c r="H141" s="48"/>
      <c r="I141" s="48"/>
      <c r="J141" s="48"/>
      <c r="K141" s="48"/>
      <c r="L141" s="48"/>
      <c r="M141" s="48"/>
      <c r="N141" s="48"/>
      <c r="O141" s="48"/>
      <c r="P141" s="4"/>
      <c r="Q141" s="4"/>
      <c r="R141" s="4"/>
      <c r="S141" s="4"/>
      <c r="T141" s="4"/>
      <c r="U141" s="4"/>
      <c r="V141" s="4"/>
      <c r="W141" s="4"/>
      <c r="X141" s="4"/>
      <c r="Y141" s="4"/>
      <c r="Z141" s="4"/>
      <c r="AA141" s="4"/>
    </row>
    <row r="142">
      <c r="A142" s="48"/>
      <c r="B142" s="48"/>
      <c r="C142" s="4"/>
      <c r="D142" s="4"/>
      <c r="E142" s="4"/>
      <c r="F142" s="48"/>
      <c r="G142" s="48"/>
      <c r="H142" s="48"/>
      <c r="I142" s="48"/>
      <c r="J142" s="48"/>
      <c r="K142" s="48"/>
      <c r="L142" s="48"/>
      <c r="M142" s="48"/>
      <c r="N142" s="48"/>
      <c r="O142" s="48"/>
      <c r="P142" s="4"/>
      <c r="Q142" s="4"/>
      <c r="R142" s="4"/>
      <c r="S142" s="4"/>
      <c r="T142" s="4"/>
      <c r="U142" s="4"/>
      <c r="V142" s="4"/>
      <c r="W142" s="4"/>
      <c r="X142" s="4"/>
      <c r="Y142" s="4"/>
      <c r="Z142" s="4"/>
      <c r="AA142" s="4"/>
    </row>
    <row r="143">
      <c r="A143" s="48"/>
      <c r="B143" s="48"/>
      <c r="C143" s="4"/>
      <c r="D143" s="4"/>
      <c r="E143" s="4"/>
      <c r="F143" s="48"/>
      <c r="G143" s="48"/>
      <c r="H143" s="48"/>
      <c r="I143" s="48"/>
      <c r="J143" s="48"/>
      <c r="K143" s="48"/>
      <c r="L143" s="48"/>
      <c r="M143" s="48"/>
      <c r="N143" s="48"/>
      <c r="O143" s="48"/>
      <c r="P143" s="4"/>
      <c r="Q143" s="4"/>
      <c r="R143" s="4"/>
      <c r="S143" s="4"/>
      <c r="T143" s="4"/>
      <c r="U143" s="4"/>
      <c r="V143" s="4"/>
      <c r="W143" s="4"/>
      <c r="X143" s="4"/>
      <c r="Y143" s="4"/>
      <c r="Z143" s="4"/>
      <c r="AA143" s="4"/>
    </row>
    <row r="144">
      <c r="A144" s="48"/>
      <c r="B144" s="48"/>
      <c r="C144" s="4"/>
      <c r="D144" s="4"/>
      <c r="E144" s="4"/>
      <c r="F144" s="48"/>
      <c r="G144" s="48"/>
      <c r="H144" s="48"/>
      <c r="I144" s="48"/>
      <c r="J144" s="48"/>
      <c r="K144" s="48"/>
      <c r="L144" s="48"/>
      <c r="M144" s="48"/>
      <c r="N144" s="48"/>
      <c r="O144" s="48"/>
      <c r="P144" s="4"/>
      <c r="Q144" s="4"/>
      <c r="R144" s="4"/>
      <c r="S144" s="4"/>
      <c r="T144" s="4"/>
      <c r="U144" s="4"/>
      <c r="V144" s="4"/>
      <c r="W144" s="4"/>
      <c r="X144" s="4"/>
      <c r="Y144" s="4"/>
      <c r="Z144" s="4"/>
      <c r="AA144" s="4"/>
    </row>
    <row r="145">
      <c r="A145" s="48"/>
      <c r="B145" s="48"/>
      <c r="C145" s="4"/>
      <c r="D145" s="4"/>
      <c r="E145" s="4"/>
      <c r="F145" s="48"/>
      <c r="G145" s="48"/>
      <c r="H145" s="48"/>
      <c r="I145" s="48"/>
      <c r="J145" s="48"/>
      <c r="K145" s="48"/>
      <c r="L145" s="48"/>
      <c r="M145" s="48"/>
      <c r="N145" s="48"/>
      <c r="O145" s="48"/>
      <c r="P145" s="4"/>
      <c r="Q145" s="4"/>
      <c r="R145" s="4"/>
      <c r="S145" s="4"/>
      <c r="T145" s="4"/>
      <c r="U145" s="4"/>
      <c r="V145" s="4"/>
      <c r="W145" s="4"/>
      <c r="X145" s="4"/>
      <c r="Y145" s="4"/>
      <c r="Z145" s="4"/>
      <c r="AA145" s="4"/>
    </row>
    <row r="146">
      <c r="A146" s="48"/>
      <c r="B146" s="48"/>
      <c r="C146" s="4"/>
      <c r="D146" s="4"/>
      <c r="E146" s="4"/>
      <c r="F146" s="48"/>
      <c r="G146" s="48"/>
      <c r="H146" s="48"/>
      <c r="I146" s="48"/>
      <c r="J146" s="48"/>
      <c r="K146" s="48"/>
      <c r="L146" s="48"/>
      <c r="M146" s="48"/>
      <c r="N146" s="48"/>
      <c r="O146" s="48"/>
      <c r="P146" s="4"/>
      <c r="Q146" s="4"/>
      <c r="R146" s="4"/>
      <c r="S146" s="4"/>
      <c r="T146" s="4"/>
      <c r="U146" s="4"/>
      <c r="V146" s="4"/>
      <c r="W146" s="4"/>
      <c r="X146" s="4"/>
      <c r="Y146" s="4"/>
      <c r="Z146" s="4"/>
      <c r="AA146" s="4"/>
    </row>
    <row r="147">
      <c r="A147" s="48"/>
      <c r="B147" s="48"/>
      <c r="C147" s="4"/>
      <c r="D147" s="4"/>
      <c r="E147" s="4"/>
      <c r="F147" s="48"/>
      <c r="G147" s="48"/>
      <c r="H147" s="48"/>
      <c r="I147" s="48"/>
      <c r="J147" s="48"/>
      <c r="K147" s="48"/>
      <c r="L147" s="48"/>
      <c r="M147" s="48"/>
      <c r="N147" s="48"/>
      <c r="O147" s="48"/>
      <c r="P147" s="4"/>
      <c r="Q147" s="4"/>
      <c r="R147" s="4"/>
      <c r="S147" s="4"/>
      <c r="T147" s="4"/>
      <c r="U147" s="4"/>
      <c r="V147" s="4"/>
      <c r="W147" s="4"/>
      <c r="X147" s="4"/>
      <c r="Y147" s="4"/>
      <c r="Z147" s="4"/>
      <c r="AA147" s="4"/>
    </row>
    <row r="148">
      <c r="A148" s="48"/>
      <c r="B148" s="48"/>
      <c r="C148" s="4"/>
      <c r="D148" s="4"/>
      <c r="E148" s="4"/>
      <c r="F148" s="48"/>
      <c r="G148" s="48"/>
      <c r="H148" s="48"/>
      <c r="I148" s="48"/>
      <c r="J148" s="48"/>
      <c r="K148" s="48"/>
      <c r="L148" s="48"/>
      <c r="M148" s="48"/>
      <c r="N148" s="48"/>
      <c r="O148" s="48"/>
      <c r="P148" s="4"/>
      <c r="Q148" s="4"/>
      <c r="R148" s="4"/>
      <c r="S148" s="4"/>
      <c r="T148" s="4"/>
      <c r="U148" s="4"/>
      <c r="V148" s="4"/>
      <c r="W148" s="4"/>
      <c r="X148" s="4"/>
      <c r="Y148" s="4"/>
      <c r="Z148" s="4"/>
      <c r="AA148" s="4"/>
    </row>
    <row r="149">
      <c r="A149" s="48"/>
      <c r="B149" s="48"/>
      <c r="C149" s="4"/>
      <c r="D149" s="4"/>
      <c r="E149" s="4"/>
      <c r="F149" s="48"/>
      <c r="G149" s="48"/>
      <c r="H149" s="48"/>
      <c r="I149" s="48"/>
      <c r="J149" s="48"/>
      <c r="K149" s="48"/>
      <c r="L149" s="48"/>
      <c r="M149" s="48"/>
      <c r="N149" s="48"/>
      <c r="O149" s="48"/>
      <c r="P149" s="4"/>
      <c r="Q149" s="4"/>
      <c r="R149" s="4"/>
      <c r="S149" s="4"/>
      <c r="T149" s="4"/>
      <c r="U149" s="4"/>
      <c r="V149" s="4"/>
      <c r="W149" s="4"/>
      <c r="X149" s="4"/>
      <c r="Y149" s="4"/>
      <c r="Z149" s="4"/>
      <c r="AA149" s="4"/>
    </row>
    <row r="150">
      <c r="A150" s="48"/>
      <c r="B150" s="48"/>
      <c r="C150" s="4"/>
      <c r="D150" s="4"/>
      <c r="E150" s="4"/>
      <c r="F150" s="48"/>
      <c r="G150" s="48"/>
      <c r="H150" s="48"/>
      <c r="I150" s="48"/>
      <c r="J150" s="48"/>
      <c r="K150" s="48"/>
      <c r="L150" s="48"/>
      <c r="M150" s="48"/>
      <c r="N150" s="48"/>
      <c r="O150" s="48"/>
      <c r="P150" s="4"/>
      <c r="Q150" s="4"/>
      <c r="R150" s="4"/>
      <c r="S150" s="4"/>
      <c r="T150" s="4"/>
      <c r="U150" s="4"/>
      <c r="V150" s="4"/>
      <c r="W150" s="4"/>
      <c r="X150" s="4"/>
      <c r="Y150" s="4"/>
      <c r="Z150" s="4"/>
      <c r="AA150" s="4"/>
    </row>
    <row r="151">
      <c r="A151" s="48"/>
      <c r="B151" s="48"/>
      <c r="C151" s="4"/>
      <c r="D151" s="4"/>
      <c r="E151" s="4"/>
      <c r="F151" s="48"/>
      <c r="G151" s="48"/>
      <c r="H151" s="48"/>
      <c r="I151" s="48"/>
      <c r="J151" s="48"/>
      <c r="K151" s="48"/>
      <c r="L151" s="48"/>
      <c r="M151" s="48"/>
      <c r="N151" s="48"/>
      <c r="O151" s="48"/>
      <c r="P151" s="4"/>
      <c r="Q151" s="4"/>
      <c r="R151" s="4"/>
      <c r="S151" s="4"/>
      <c r="T151" s="4"/>
      <c r="U151" s="4"/>
      <c r="V151" s="4"/>
      <c r="W151" s="4"/>
      <c r="X151" s="4"/>
      <c r="Y151" s="4"/>
      <c r="Z151" s="4"/>
      <c r="AA151" s="4"/>
    </row>
    <row r="152">
      <c r="A152" s="48"/>
      <c r="B152" s="48"/>
      <c r="C152" s="4"/>
      <c r="D152" s="4"/>
      <c r="E152" s="4"/>
      <c r="F152" s="48"/>
      <c r="G152" s="48"/>
      <c r="H152" s="48"/>
      <c r="I152" s="48"/>
      <c r="J152" s="48"/>
      <c r="K152" s="48"/>
      <c r="L152" s="48"/>
      <c r="M152" s="48"/>
      <c r="N152" s="48"/>
      <c r="O152" s="48"/>
      <c r="P152" s="4"/>
      <c r="Q152" s="4"/>
      <c r="R152" s="4"/>
      <c r="S152" s="4"/>
      <c r="T152" s="4"/>
      <c r="U152" s="4"/>
      <c r="V152" s="4"/>
      <c r="W152" s="4"/>
      <c r="X152" s="4"/>
      <c r="Y152" s="4"/>
      <c r="Z152" s="4"/>
      <c r="AA152" s="4"/>
    </row>
    <row r="153">
      <c r="A153" s="48"/>
      <c r="B153" s="48"/>
      <c r="C153" s="4"/>
      <c r="D153" s="4"/>
      <c r="E153" s="4"/>
      <c r="F153" s="48"/>
      <c r="G153" s="48"/>
      <c r="H153" s="48"/>
      <c r="I153" s="48"/>
      <c r="J153" s="48"/>
      <c r="K153" s="48"/>
      <c r="L153" s="48"/>
      <c r="M153" s="48"/>
      <c r="N153" s="48"/>
      <c r="O153" s="48"/>
      <c r="P153" s="4"/>
      <c r="Q153" s="4"/>
      <c r="R153" s="4"/>
      <c r="S153" s="4"/>
      <c r="T153" s="4"/>
      <c r="U153" s="4"/>
      <c r="V153" s="4"/>
      <c r="W153" s="4"/>
      <c r="X153" s="4"/>
      <c r="Y153" s="4"/>
      <c r="Z153" s="4"/>
      <c r="AA153" s="4"/>
    </row>
    <row r="154">
      <c r="A154" s="48"/>
      <c r="B154" s="48"/>
      <c r="C154" s="4"/>
      <c r="D154" s="4"/>
      <c r="E154" s="4"/>
      <c r="F154" s="48"/>
      <c r="G154" s="48"/>
      <c r="H154" s="48"/>
      <c r="I154" s="48"/>
      <c r="J154" s="48"/>
      <c r="K154" s="48"/>
      <c r="L154" s="48"/>
      <c r="M154" s="48"/>
      <c r="N154" s="48"/>
      <c r="O154" s="48"/>
      <c r="P154" s="4"/>
      <c r="Q154" s="4"/>
      <c r="R154" s="4"/>
      <c r="S154" s="4"/>
      <c r="T154" s="4"/>
      <c r="U154" s="4"/>
      <c r="V154" s="4"/>
      <c r="W154" s="4"/>
      <c r="X154" s="4"/>
      <c r="Y154" s="4"/>
      <c r="Z154" s="4"/>
      <c r="AA154" s="4"/>
    </row>
    <row r="155">
      <c r="A155" s="48"/>
      <c r="B155" s="48"/>
      <c r="C155" s="4"/>
      <c r="D155" s="4"/>
      <c r="E155" s="4"/>
      <c r="F155" s="48"/>
      <c r="G155" s="48"/>
      <c r="H155" s="48"/>
      <c r="I155" s="48"/>
      <c r="J155" s="48"/>
      <c r="K155" s="48"/>
      <c r="L155" s="48"/>
      <c r="M155" s="48"/>
      <c r="N155" s="48"/>
      <c r="O155" s="48"/>
      <c r="P155" s="4"/>
      <c r="Q155" s="4"/>
      <c r="R155" s="4"/>
      <c r="S155" s="4"/>
      <c r="T155" s="4"/>
      <c r="U155" s="4"/>
      <c r="V155" s="4"/>
      <c r="W155" s="4"/>
      <c r="X155" s="4"/>
      <c r="Y155" s="4"/>
      <c r="Z155" s="4"/>
      <c r="AA155" s="4"/>
    </row>
    <row r="156">
      <c r="A156" s="48"/>
      <c r="B156" s="48"/>
      <c r="C156" s="4"/>
      <c r="D156" s="4"/>
      <c r="E156" s="4"/>
      <c r="F156" s="48"/>
      <c r="G156" s="48"/>
      <c r="H156" s="48"/>
      <c r="I156" s="48"/>
      <c r="J156" s="48"/>
      <c r="K156" s="48"/>
      <c r="L156" s="48"/>
      <c r="M156" s="48"/>
      <c r="N156" s="48"/>
      <c r="O156" s="48"/>
      <c r="P156" s="4"/>
      <c r="Q156" s="4"/>
      <c r="R156" s="4"/>
      <c r="S156" s="4"/>
      <c r="T156" s="4"/>
      <c r="U156" s="4"/>
      <c r="V156" s="4"/>
      <c r="W156" s="4"/>
      <c r="X156" s="4"/>
      <c r="Y156" s="4"/>
      <c r="Z156" s="4"/>
      <c r="AA156" s="4"/>
    </row>
    <row r="157">
      <c r="A157" s="48"/>
      <c r="B157" s="48"/>
      <c r="C157" s="4"/>
      <c r="D157" s="4"/>
      <c r="E157" s="4"/>
      <c r="F157" s="48"/>
      <c r="G157" s="48"/>
      <c r="H157" s="48"/>
      <c r="I157" s="48"/>
      <c r="J157" s="48"/>
      <c r="K157" s="48"/>
      <c r="L157" s="48"/>
      <c r="M157" s="48"/>
      <c r="N157" s="48"/>
      <c r="O157" s="48"/>
      <c r="P157" s="4"/>
      <c r="Q157" s="4"/>
      <c r="R157" s="4"/>
      <c r="S157" s="4"/>
      <c r="T157" s="4"/>
      <c r="U157" s="4"/>
      <c r="V157" s="4"/>
      <c r="W157" s="4"/>
      <c r="X157" s="4"/>
      <c r="Y157" s="4"/>
      <c r="Z157" s="4"/>
      <c r="AA157" s="4"/>
    </row>
    <row r="158">
      <c r="A158" s="48"/>
      <c r="B158" s="48"/>
      <c r="C158" s="4"/>
      <c r="D158" s="4"/>
      <c r="E158" s="4"/>
      <c r="F158" s="48"/>
      <c r="G158" s="48"/>
      <c r="H158" s="48"/>
      <c r="I158" s="48"/>
      <c r="J158" s="48"/>
      <c r="K158" s="48"/>
      <c r="L158" s="48"/>
      <c r="M158" s="48"/>
      <c r="N158" s="48"/>
      <c r="O158" s="48"/>
      <c r="P158" s="4"/>
      <c r="Q158" s="4"/>
      <c r="R158" s="4"/>
      <c r="S158" s="4"/>
      <c r="T158" s="4"/>
      <c r="U158" s="4"/>
      <c r="V158" s="4"/>
      <c r="W158" s="4"/>
      <c r="X158" s="4"/>
      <c r="Y158" s="4"/>
      <c r="Z158" s="4"/>
      <c r="AA158" s="4"/>
    </row>
    <row r="159">
      <c r="A159" s="48"/>
      <c r="B159" s="48"/>
      <c r="C159" s="4"/>
      <c r="D159" s="4"/>
      <c r="E159" s="4"/>
      <c r="F159" s="48"/>
      <c r="G159" s="48"/>
      <c r="H159" s="48"/>
      <c r="I159" s="48"/>
      <c r="J159" s="48"/>
      <c r="K159" s="48"/>
      <c r="L159" s="48"/>
      <c r="M159" s="48"/>
      <c r="N159" s="48"/>
      <c r="O159" s="48"/>
      <c r="P159" s="4"/>
      <c r="Q159" s="4"/>
      <c r="R159" s="4"/>
      <c r="S159" s="4"/>
      <c r="T159" s="4"/>
      <c r="U159" s="4"/>
      <c r="V159" s="4"/>
      <c r="W159" s="4"/>
      <c r="X159" s="4"/>
      <c r="Y159" s="4"/>
      <c r="Z159" s="4"/>
      <c r="AA159" s="4"/>
    </row>
    <row r="160">
      <c r="A160" s="48"/>
      <c r="B160" s="48"/>
      <c r="C160" s="4"/>
      <c r="D160" s="4"/>
      <c r="E160" s="4"/>
      <c r="F160" s="48"/>
      <c r="G160" s="48"/>
      <c r="H160" s="48"/>
      <c r="I160" s="48"/>
      <c r="J160" s="48"/>
      <c r="K160" s="48"/>
      <c r="L160" s="48"/>
      <c r="M160" s="48"/>
      <c r="N160" s="48"/>
      <c r="O160" s="48"/>
      <c r="P160" s="4"/>
      <c r="Q160" s="4"/>
      <c r="R160" s="4"/>
      <c r="S160" s="4"/>
      <c r="T160" s="4"/>
      <c r="U160" s="4"/>
      <c r="V160" s="4"/>
      <c r="W160" s="4"/>
      <c r="X160" s="4"/>
      <c r="Y160" s="4"/>
      <c r="Z160" s="4"/>
      <c r="AA160" s="4"/>
    </row>
    <row r="161">
      <c r="A161" s="48"/>
      <c r="B161" s="48"/>
      <c r="C161" s="4"/>
      <c r="D161" s="4"/>
      <c r="E161" s="4"/>
      <c r="F161" s="48"/>
      <c r="G161" s="48"/>
      <c r="H161" s="48"/>
      <c r="I161" s="48"/>
      <c r="J161" s="48"/>
      <c r="K161" s="48"/>
      <c r="L161" s="48"/>
      <c r="M161" s="48"/>
      <c r="N161" s="48"/>
      <c r="O161" s="48"/>
      <c r="P161" s="4"/>
      <c r="Q161" s="4"/>
      <c r="R161" s="4"/>
      <c r="S161" s="4"/>
      <c r="T161" s="4"/>
      <c r="U161" s="4"/>
      <c r="V161" s="4"/>
      <c r="W161" s="4"/>
      <c r="X161" s="4"/>
      <c r="Y161" s="4"/>
      <c r="Z161" s="4"/>
      <c r="AA161" s="4"/>
    </row>
    <row r="162">
      <c r="A162" s="48"/>
      <c r="B162" s="48"/>
      <c r="C162" s="4"/>
      <c r="D162" s="4"/>
      <c r="E162" s="4"/>
      <c r="F162" s="48"/>
      <c r="G162" s="48"/>
      <c r="H162" s="48"/>
      <c r="I162" s="48"/>
      <c r="J162" s="48"/>
      <c r="K162" s="48"/>
      <c r="L162" s="48"/>
      <c r="M162" s="48"/>
      <c r="N162" s="48"/>
      <c r="O162" s="48"/>
      <c r="P162" s="4"/>
      <c r="Q162" s="4"/>
      <c r="R162" s="4"/>
      <c r="S162" s="4"/>
      <c r="T162" s="4"/>
      <c r="U162" s="4"/>
      <c r="V162" s="4"/>
      <c r="W162" s="4"/>
      <c r="X162" s="4"/>
      <c r="Y162" s="4"/>
      <c r="Z162" s="4"/>
      <c r="AA162" s="4"/>
    </row>
    <row r="163">
      <c r="A163" s="48"/>
      <c r="B163" s="48"/>
      <c r="C163" s="4"/>
      <c r="D163" s="4"/>
      <c r="E163" s="4"/>
      <c r="F163" s="48"/>
      <c r="G163" s="48"/>
      <c r="H163" s="48"/>
      <c r="I163" s="48"/>
      <c r="J163" s="48"/>
      <c r="K163" s="48"/>
      <c r="L163" s="48"/>
      <c r="M163" s="48"/>
      <c r="N163" s="48"/>
      <c r="O163" s="48"/>
      <c r="P163" s="4"/>
      <c r="Q163" s="4"/>
      <c r="R163" s="4"/>
      <c r="S163" s="4"/>
      <c r="T163" s="4"/>
      <c r="U163" s="4"/>
      <c r="V163" s="4"/>
      <c r="W163" s="4"/>
      <c r="X163" s="4"/>
      <c r="Y163" s="4"/>
      <c r="Z163" s="4"/>
      <c r="AA163" s="4"/>
    </row>
    <row r="164">
      <c r="A164" s="48"/>
      <c r="B164" s="48"/>
      <c r="C164" s="4"/>
      <c r="D164" s="4"/>
      <c r="E164" s="4"/>
      <c r="F164" s="48"/>
      <c r="G164" s="48"/>
      <c r="H164" s="48"/>
      <c r="I164" s="48"/>
      <c r="J164" s="48"/>
      <c r="K164" s="48"/>
      <c r="L164" s="48"/>
      <c r="M164" s="48"/>
      <c r="N164" s="48"/>
      <c r="O164" s="48"/>
      <c r="P164" s="4"/>
      <c r="Q164" s="4"/>
      <c r="R164" s="4"/>
      <c r="S164" s="4"/>
      <c r="T164" s="4"/>
      <c r="U164" s="4"/>
      <c r="V164" s="4"/>
      <c r="W164" s="4"/>
      <c r="X164" s="4"/>
      <c r="Y164" s="4"/>
      <c r="Z164" s="4"/>
      <c r="AA164" s="4"/>
    </row>
    <row r="165">
      <c r="A165" s="48"/>
      <c r="B165" s="48"/>
      <c r="C165" s="4"/>
      <c r="D165" s="4"/>
      <c r="E165" s="4"/>
      <c r="F165" s="48"/>
      <c r="G165" s="48"/>
      <c r="H165" s="48"/>
      <c r="I165" s="48"/>
      <c r="J165" s="48"/>
      <c r="K165" s="48"/>
      <c r="L165" s="48"/>
      <c r="M165" s="48"/>
      <c r="N165" s="48"/>
      <c r="O165" s="48"/>
      <c r="P165" s="4"/>
      <c r="Q165" s="4"/>
      <c r="R165" s="4"/>
      <c r="S165" s="4"/>
      <c r="T165" s="4"/>
      <c r="U165" s="4"/>
      <c r="V165" s="4"/>
      <c r="W165" s="4"/>
      <c r="X165" s="4"/>
      <c r="Y165" s="4"/>
      <c r="Z165" s="4"/>
      <c r="AA165" s="4"/>
    </row>
    <row r="166">
      <c r="A166" s="48"/>
      <c r="B166" s="48"/>
      <c r="C166" s="4"/>
      <c r="D166" s="4"/>
      <c r="E166" s="4"/>
      <c r="F166" s="48"/>
      <c r="G166" s="48"/>
      <c r="H166" s="48"/>
      <c r="I166" s="48"/>
      <c r="J166" s="48"/>
      <c r="K166" s="48"/>
      <c r="L166" s="48"/>
      <c r="M166" s="48"/>
      <c r="N166" s="48"/>
      <c r="O166" s="48"/>
      <c r="P166" s="4"/>
      <c r="Q166" s="4"/>
      <c r="R166" s="4"/>
      <c r="S166" s="4"/>
      <c r="T166" s="4"/>
      <c r="U166" s="4"/>
      <c r="V166" s="4"/>
      <c r="W166" s="4"/>
      <c r="X166" s="4"/>
      <c r="Y166" s="4"/>
      <c r="Z166" s="4"/>
      <c r="AA166" s="4"/>
    </row>
    <row r="167">
      <c r="A167" s="48"/>
      <c r="B167" s="48"/>
      <c r="C167" s="4"/>
      <c r="D167" s="4"/>
      <c r="E167" s="4"/>
      <c r="F167" s="48"/>
      <c r="G167" s="48"/>
      <c r="H167" s="48"/>
      <c r="I167" s="48"/>
      <c r="J167" s="48"/>
      <c r="K167" s="48"/>
      <c r="L167" s="48"/>
      <c r="M167" s="48"/>
      <c r="N167" s="48"/>
      <c r="O167" s="48"/>
      <c r="P167" s="4"/>
      <c r="Q167" s="4"/>
      <c r="R167" s="4"/>
      <c r="S167" s="4"/>
      <c r="T167" s="4"/>
      <c r="U167" s="4"/>
      <c r="V167" s="4"/>
      <c r="W167" s="4"/>
      <c r="X167" s="4"/>
      <c r="Y167" s="4"/>
      <c r="Z167" s="4"/>
      <c r="AA167" s="4"/>
    </row>
    <row r="168">
      <c r="A168" s="48"/>
      <c r="B168" s="48"/>
      <c r="C168" s="4"/>
      <c r="D168" s="4"/>
      <c r="E168" s="4"/>
      <c r="F168" s="48"/>
      <c r="G168" s="48"/>
      <c r="H168" s="48"/>
      <c r="I168" s="48"/>
      <c r="J168" s="48"/>
      <c r="K168" s="48"/>
      <c r="L168" s="48"/>
      <c r="M168" s="48"/>
      <c r="N168" s="48"/>
      <c r="O168" s="48"/>
      <c r="P168" s="4"/>
      <c r="Q168" s="4"/>
      <c r="R168" s="4"/>
      <c r="S168" s="4"/>
      <c r="T168" s="4"/>
      <c r="U168" s="4"/>
      <c r="V168" s="4"/>
      <c r="W168" s="4"/>
      <c r="X168" s="4"/>
      <c r="Y168" s="4"/>
      <c r="Z168" s="4"/>
      <c r="AA168" s="4"/>
    </row>
    <row r="169">
      <c r="A169" s="48"/>
      <c r="B169" s="48"/>
      <c r="C169" s="4"/>
      <c r="D169" s="4"/>
      <c r="E169" s="4"/>
      <c r="F169" s="48"/>
      <c r="G169" s="48"/>
      <c r="H169" s="48"/>
      <c r="I169" s="48"/>
      <c r="J169" s="48"/>
      <c r="K169" s="48"/>
      <c r="L169" s="48"/>
      <c r="M169" s="48"/>
      <c r="N169" s="48"/>
      <c r="O169" s="48"/>
      <c r="P169" s="4"/>
      <c r="Q169" s="4"/>
      <c r="R169" s="4"/>
      <c r="S169" s="4"/>
      <c r="T169" s="4"/>
      <c r="U169" s="4"/>
      <c r="V169" s="4"/>
      <c r="W169" s="4"/>
      <c r="X169" s="4"/>
      <c r="Y169" s="4"/>
      <c r="Z169" s="4"/>
      <c r="AA169" s="4"/>
    </row>
    <row r="170">
      <c r="A170" s="48"/>
      <c r="B170" s="48"/>
      <c r="C170" s="4"/>
      <c r="D170" s="4"/>
      <c r="E170" s="4"/>
      <c r="F170" s="48"/>
      <c r="G170" s="48"/>
      <c r="H170" s="48"/>
      <c r="I170" s="48"/>
      <c r="J170" s="48"/>
      <c r="K170" s="48"/>
      <c r="L170" s="48"/>
      <c r="M170" s="48"/>
      <c r="N170" s="48"/>
      <c r="O170" s="48"/>
      <c r="P170" s="4"/>
      <c r="Q170" s="4"/>
      <c r="R170" s="4"/>
      <c r="S170" s="4"/>
      <c r="T170" s="4"/>
      <c r="U170" s="4"/>
      <c r="V170" s="4"/>
      <c r="W170" s="4"/>
      <c r="X170" s="4"/>
      <c r="Y170" s="4"/>
      <c r="Z170" s="4"/>
      <c r="AA170" s="4"/>
    </row>
    <row r="171">
      <c r="A171" s="48"/>
      <c r="B171" s="48"/>
      <c r="C171" s="4"/>
      <c r="D171" s="4"/>
      <c r="E171" s="4"/>
      <c r="F171" s="48"/>
      <c r="G171" s="48"/>
      <c r="H171" s="48"/>
      <c r="I171" s="48"/>
      <c r="J171" s="48"/>
      <c r="K171" s="48"/>
      <c r="L171" s="48"/>
      <c r="M171" s="48"/>
      <c r="N171" s="48"/>
      <c r="O171" s="48"/>
      <c r="P171" s="4"/>
      <c r="Q171" s="4"/>
      <c r="R171" s="4"/>
      <c r="S171" s="4"/>
      <c r="T171" s="4"/>
      <c r="U171" s="4"/>
      <c r="V171" s="4"/>
      <c r="W171" s="4"/>
      <c r="X171" s="4"/>
      <c r="Y171" s="4"/>
      <c r="Z171" s="4"/>
      <c r="AA171" s="4"/>
    </row>
    <row r="172">
      <c r="A172" s="48"/>
      <c r="B172" s="48"/>
      <c r="C172" s="4"/>
      <c r="D172" s="4"/>
      <c r="E172" s="4"/>
      <c r="F172" s="48"/>
      <c r="G172" s="48"/>
      <c r="H172" s="48"/>
      <c r="I172" s="48"/>
      <c r="J172" s="48"/>
      <c r="K172" s="48"/>
      <c r="L172" s="48"/>
      <c r="M172" s="48"/>
      <c r="N172" s="48"/>
      <c r="O172" s="48"/>
      <c r="P172" s="4"/>
      <c r="Q172" s="4"/>
      <c r="R172" s="4"/>
      <c r="S172" s="4"/>
      <c r="T172" s="4"/>
      <c r="U172" s="4"/>
      <c r="V172" s="4"/>
      <c r="W172" s="4"/>
      <c r="X172" s="4"/>
      <c r="Y172" s="4"/>
      <c r="Z172" s="4"/>
      <c r="AA172" s="4"/>
    </row>
    <row r="173">
      <c r="A173" s="48"/>
      <c r="B173" s="48"/>
      <c r="C173" s="4"/>
      <c r="D173" s="4"/>
      <c r="E173" s="4"/>
      <c r="F173" s="48"/>
      <c r="G173" s="48"/>
      <c r="H173" s="48"/>
      <c r="I173" s="48"/>
      <c r="J173" s="48"/>
      <c r="K173" s="48"/>
      <c r="L173" s="48"/>
      <c r="M173" s="48"/>
      <c r="N173" s="48"/>
      <c r="O173" s="48"/>
      <c r="P173" s="4"/>
      <c r="Q173" s="4"/>
      <c r="R173" s="4"/>
      <c r="S173" s="4"/>
      <c r="T173" s="4"/>
      <c r="U173" s="4"/>
      <c r="V173" s="4"/>
      <c r="W173" s="4"/>
      <c r="X173" s="4"/>
      <c r="Y173" s="4"/>
      <c r="Z173" s="4"/>
      <c r="AA173" s="4"/>
    </row>
    <row r="174">
      <c r="A174" s="48"/>
      <c r="B174" s="48"/>
      <c r="C174" s="4"/>
      <c r="D174" s="4"/>
      <c r="E174" s="4"/>
      <c r="F174" s="48"/>
      <c r="G174" s="48"/>
      <c r="H174" s="48"/>
      <c r="I174" s="48"/>
      <c r="J174" s="48"/>
      <c r="K174" s="48"/>
      <c r="L174" s="48"/>
      <c r="M174" s="48"/>
      <c r="N174" s="48"/>
      <c r="O174" s="48"/>
      <c r="P174" s="4"/>
      <c r="Q174" s="4"/>
      <c r="R174" s="4"/>
      <c r="S174" s="4"/>
      <c r="T174" s="4"/>
      <c r="U174" s="4"/>
      <c r="V174" s="4"/>
      <c r="W174" s="4"/>
      <c r="X174" s="4"/>
      <c r="Y174" s="4"/>
      <c r="Z174" s="4"/>
      <c r="AA174" s="4"/>
    </row>
    <row r="175">
      <c r="A175" s="48"/>
      <c r="B175" s="48"/>
      <c r="C175" s="4"/>
      <c r="D175" s="4"/>
      <c r="E175" s="4"/>
      <c r="F175" s="48"/>
      <c r="G175" s="48"/>
      <c r="H175" s="48"/>
      <c r="I175" s="48"/>
      <c r="J175" s="48"/>
      <c r="K175" s="48"/>
      <c r="L175" s="48"/>
      <c r="M175" s="48"/>
      <c r="N175" s="48"/>
      <c r="O175" s="48"/>
      <c r="P175" s="4"/>
      <c r="Q175" s="4"/>
      <c r="R175" s="4"/>
      <c r="S175" s="4"/>
      <c r="T175" s="4"/>
      <c r="U175" s="4"/>
      <c r="V175" s="4"/>
      <c r="W175" s="4"/>
      <c r="X175" s="4"/>
      <c r="Y175" s="4"/>
      <c r="Z175" s="4"/>
      <c r="AA175" s="4"/>
    </row>
    <row r="176">
      <c r="A176" s="48"/>
      <c r="B176" s="48"/>
      <c r="C176" s="4"/>
      <c r="D176" s="4"/>
      <c r="E176" s="4"/>
      <c r="F176" s="48"/>
      <c r="G176" s="48"/>
      <c r="H176" s="48"/>
      <c r="I176" s="48"/>
      <c r="J176" s="48"/>
      <c r="K176" s="48"/>
      <c r="L176" s="48"/>
      <c r="M176" s="48"/>
      <c r="N176" s="48"/>
      <c r="O176" s="48"/>
      <c r="P176" s="4"/>
      <c r="Q176" s="4"/>
      <c r="R176" s="4"/>
      <c r="S176" s="4"/>
      <c r="T176" s="4"/>
      <c r="U176" s="4"/>
      <c r="V176" s="4"/>
      <c r="W176" s="4"/>
      <c r="X176" s="4"/>
      <c r="Y176" s="4"/>
      <c r="Z176" s="4"/>
      <c r="AA176" s="4"/>
    </row>
    <row r="177">
      <c r="A177" s="48"/>
      <c r="B177" s="48"/>
      <c r="C177" s="4"/>
      <c r="D177" s="4"/>
      <c r="E177" s="4"/>
      <c r="F177" s="48"/>
      <c r="G177" s="48"/>
      <c r="H177" s="48"/>
      <c r="I177" s="48"/>
      <c r="J177" s="48"/>
      <c r="K177" s="48"/>
      <c r="L177" s="48"/>
      <c r="M177" s="48"/>
      <c r="N177" s="48"/>
      <c r="O177" s="48"/>
      <c r="P177" s="4"/>
      <c r="Q177" s="4"/>
      <c r="R177" s="4"/>
      <c r="S177" s="4"/>
      <c r="T177" s="4"/>
      <c r="U177" s="4"/>
      <c r="V177" s="4"/>
      <c r="W177" s="4"/>
      <c r="X177" s="4"/>
      <c r="Y177" s="4"/>
      <c r="Z177" s="4"/>
      <c r="AA177" s="4"/>
    </row>
    <row r="178">
      <c r="A178" s="48"/>
      <c r="B178" s="48"/>
      <c r="C178" s="4"/>
      <c r="D178" s="4"/>
      <c r="E178" s="4"/>
      <c r="F178" s="48"/>
      <c r="G178" s="48"/>
      <c r="H178" s="48"/>
      <c r="I178" s="48"/>
      <c r="J178" s="48"/>
      <c r="K178" s="48"/>
      <c r="L178" s="48"/>
      <c r="M178" s="48"/>
      <c r="N178" s="48"/>
      <c r="O178" s="48"/>
      <c r="P178" s="4"/>
      <c r="Q178" s="4"/>
      <c r="R178" s="4"/>
      <c r="S178" s="4"/>
      <c r="T178" s="4"/>
      <c r="U178" s="4"/>
      <c r="V178" s="4"/>
      <c r="W178" s="4"/>
      <c r="X178" s="4"/>
      <c r="Y178" s="4"/>
      <c r="Z178" s="4"/>
      <c r="AA178" s="4"/>
    </row>
    <row r="179">
      <c r="A179" s="48"/>
      <c r="B179" s="48"/>
      <c r="C179" s="4"/>
      <c r="D179" s="4"/>
      <c r="E179" s="4"/>
      <c r="F179" s="48"/>
      <c r="G179" s="48"/>
      <c r="H179" s="48"/>
      <c r="I179" s="48"/>
      <c r="J179" s="48"/>
      <c r="K179" s="48"/>
      <c r="L179" s="48"/>
      <c r="M179" s="48"/>
      <c r="N179" s="48"/>
      <c r="O179" s="48"/>
      <c r="P179" s="4"/>
      <c r="Q179" s="4"/>
      <c r="R179" s="4"/>
      <c r="S179" s="4"/>
      <c r="T179" s="4"/>
      <c r="U179" s="4"/>
      <c r="V179" s="4"/>
      <c r="W179" s="4"/>
      <c r="X179" s="4"/>
      <c r="Y179" s="4"/>
      <c r="Z179" s="4"/>
      <c r="AA179" s="4"/>
    </row>
    <row r="180">
      <c r="A180" s="48"/>
      <c r="B180" s="48"/>
      <c r="C180" s="4"/>
      <c r="D180" s="4"/>
      <c r="E180" s="4"/>
      <c r="F180" s="48"/>
      <c r="G180" s="48"/>
      <c r="H180" s="48"/>
      <c r="I180" s="48"/>
      <c r="J180" s="48"/>
      <c r="K180" s="48"/>
      <c r="L180" s="48"/>
      <c r="M180" s="48"/>
      <c r="N180" s="48"/>
      <c r="O180" s="48"/>
      <c r="P180" s="4"/>
      <c r="Q180" s="4"/>
      <c r="R180" s="4"/>
      <c r="S180" s="4"/>
      <c r="T180" s="4"/>
      <c r="U180" s="4"/>
      <c r="V180" s="4"/>
      <c r="W180" s="4"/>
      <c r="X180" s="4"/>
      <c r="Y180" s="4"/>
      <c r="Z180" s="4"/>
      <c r="AA180" s="4"/>
    </row>
    <row r="181">
      <c r="A181" s="48"/>
      <c r="B181" s="48"/>
      <c r="C181" s="4"/>
      <c r="D181" s="4"/>
      <c r="E181" s="4"/>
      <c r="F181" s="48"/>
      <c r="G181" s="48"/>
      <c r="H181" s="48"/>
      <c r="I181" s="48"/>
      <c r="J181" s="48"/>
      <c r="K181" s="48"/>
      <c r="L181" s="48"/>
      <c r="M181" s="48"/>
      <c r="N181" s="48"/>
      <c r="O181" s="48"/>
      <c r="P181" s="4"/>
      <c r="Q181" s="4"/>
      <c r="R181" s="4"/>
      <c r="S181" s="4"/>
      <c r="T181" s="4"/>
      <c r="U181" s="4"/>
      <c r="V181" s="4"/>
      <c r="W181" s="4"/>
      <c r="X181" s="4"/>
      <c r="Y181" s="4"/>
      <c r="Z181" s="4"/>
      <c r="AA181" s="4"/>
    </row>
    <row r="182">
      <c r="A182" s="48"/>
      <c r="B182" s="48"/>
      <c r="C182" s="4"/>
      <c r="D182" s="4"/>
      <c r="E182" s="4"/>
      <c r="F182" s="48"/>
      <c r="G182" s="48"/>
      <c r="H182" s="48"/>
      <c r="I182" s="48"/>
      <c r="J182" s="48"/>
      <c r="K182" s="48"/>
      <c r="L182" s="48"/>
      <c r="M182" s="48"/>
      <c r="N182" s="48"/>
      <c r="O182" s="48"/>
      <c r="P182" s="4"/>
      <c r="Q182" s="4"/>
      <c r="R182" s="4"/>
      <c r="S182" s="4"/>
      <c r="T182" s="4"/>
      <c r="U182" s="4"/>
      <c r="V182" s="4"/>
      <c r="W182" s="4"/>
      <c r="X182" s="4"/>
      <c r="Y182" s="4"/>
      <c r="Z182" s="4"/>
      <c r="AA182" s="4"/>
    </row>
    <row r="183">
      <c r="A183" s="48"/>
      <c r="B183" s="48"/>
      <c r="C183" s="4"/>
      <c r="D183" s="4"/>
      <c r="E183" s="4"/>
      <c r="F183" s="48"/>
      <c r="G183" s="48"/>
      <c r="H183" s="48"/>
      <c r="I183" s="48"/>
      <c r="J183" s="48"/>
      <c r="K183" s="48"/>
      <c r="L183" s="48"/>
      <c r="M183" s="48"/>
      <c r="N183" s="48"/>
      <c r="O183" s="48"/>
      <c r="P183" s="4"/>
      <c r="Q183" s="4"/>
      <c r="R183" s="4"/>
      <c r="S183" s="4"/>
      <c r="T183" s="4"/>
      <c r="U183" s="4"/>
      <c r="V183" s="4"/>
      <c r="W183" s="4"/>
      <c r="X183" s="4"/>
      <c r="Y183" s="4"/>
      <c r="Z183" s="4"/>
      <c r="AA183" s="4"/>
    </row>
    <row r="184">
      <c r="A184" s="48"/>
      <c r="B184" s="48"/>
      <c r="C184" s="4"/>
      <c r="D184" s="4"/>
      <c r="E184" s="4"/>
      <c r="F184" s="48"/>
      <c r="G184" s="48"/>
      <c r="H184" s="48"/>
      <c r="I184" s="48"/>
      <c r="J184" s="48"/>
      <c r="K184" s="48"/>
      <c r="L184" s="48"/>
      <c r="M184" s="48"/>
      <c r="N184" s="48"/>
      <c r="O184" s="48"/>
      <c r="P184" s="4"/>
      <c r="Q184" s="4"/>
      <c r="R184" s="4"/>
      <c r="S184" s="4"/>
      <c r="T184" s="4"/>
      <c r="U184" s="4"/>
      <c r="V184" s="4"/>
      <c r="W184" s="4"/>
      <c r="X184" s="4"/>
      <c r="Y184" s="4"/>
      <c r="Z184" s="4"/>
      <c r="AA184" s="4"/>
    </row>
    <row r="185">
      <c r="A185" s="48"/>
      <c r="B185" s="48"/>
      <c r="C185" s="4"/>
      <c r="D185" s="4"/>
      <c r="E185" s="4"/>
      <c r="F185" s="48"/>
      <c r="G185" s="48"/>
      <c r="H185" s="48"/>
      <c r="I185" s="48"/>
      <c r="J185" s="48"/>
      <c r="K185" s="48"/>
      <c r="L185" s="48"/>
      <c r="M185" s="48"/>
      <c r="N185" s="48"/>
      <c r="O185" s="48"/>
      <c r="P185" s="4"/>
      <c r="Q185" s="4"/>
      <c r="R185" s="4"/>
      <c r="S185" s="4"/>
      <c r="T185" s="4"/>
      <c r="U185" s="4"/>
      <c r="V185" s="4"/>
      <c r="W185" s="4"/>
      <c r="X185" s="4"/>
      <c r="Y185" s="4"/>
      <c r="Z185" s="4"/>
      <c r="AA185" s="4"/>
    </row>
    <row r="186">
      <c r="A186" s="48"/>
      <c r="B186" s="48"/>
      <c r="C186" s="4"/>
      <c r="D186" s="4"/>
      <c r="E186" s="4"/>
      <c r="F186" s="48"/>
      <c r="G186" s="48"/>
      <c r="H186" s="48"/>
      <c r="I186" s="48"/>
      <c r="J186" s="48"/>
      <c r="K186" s="48"/>
      <c r="L186" s="48"/>
      <c r="M186" s="48"/>
      <c r="N186" s="48"/>
      <c r="O186" s="48"/>
      <c r="P186" s="4"/>
      <c r="Q186" s="4"/>
      <c r="R186" s="4"/>
      <c r="S186" s="4"/>
      <c r="T186" s="4"/>
      <c r="U186" s="4"/>
      <c r="V186" s="4"/>
      <c r="W186" s="4"/>
      <c r="X186" s="4"/>
      <c r="Y186" s="4"/>
      <c r="Z186" s="4"/>
      <c r="AA186" s="4"/>
    </row>
    <row r="187">
      <c r="A187" s="48"/>
      <c r="B187" s="48"/>
      <c r="C187" s="4"/>
      <c r="D187" s="4"/>
      <c r="E187" s="4"/>
      <c r="F187" s="48"/>
      <c r="G187" s="48"/>
      <c r="H187" s="48"/>
      <c r="I187" s="48"/>
      <c r="J187" s="48"/>
      <c r="K187" s="48"/>
      <c r="L187" s="48"/>
      <c r="M187" s="48"/>
      <c r="N187" s="48"/>
      <c r="O187" s="48"/>
      <c r="P187" s="4"/>
      <c r="Q187" s="4"/>
      <c r="R187" s="4"/>
      <c r="S187" s="4"/>
      <c r="T187" s="4"/>
      <c r="U187" s="4"/>
      <c r="V187" s="4"/>
      <c r="W187" s="4"/>
      <c r="X187" s="4"/>
      <c r="Y187" s="4"/>
      <c r="Z187" s="4"/>
      <c r="AA187" s="4"/>
    </row>
    <row r="188">
      <c r="A188" s="48"/>
      <c r="B188" s="48"/>
      <c r="C188" s="4"/>
      <c r="D188" s="4"/>
      <c r="E188" s="4"/>
      <c r="F188" s="48"/>
      <c r="G188" s="48"/>
      <c r="H188" s="48"/>
      <c r="I188" s="48"/>
      <c r="J188" s="48"/>
      <c r="K188" s="48"/>
      <c r="L188" s="48"/>
      <c r="M188" s="48"/>
      <c r="N188" s="48"/>
      <c r="O188" s="48"/>
      <c r="P188" s="4"/>
      <c r="Q188" s="4"/>
      <c r="R188" s="4"/>
      <c r="S188" s="4"/>
      <c r="T188" s="4"/>
      <c r="U188" s="4"/>
      <c r="V188" s="4"/>
      <c r="W188" s="4"/>
      <c r="X188" s="4"/>
      <c r="Y188" s="4"/>
      <c r="Z188" s="4"/>
      <c r="AA188" s="4"/>
    </row>
    <row r="189">
      <c r="A189" s="48"/>
      <c r="B189" s="48"/>
      <c r="C189" s="4"/>
      <c r="D189" s="4"/>
      <c r="E189" s="4"/>
      <c r="F189" s="48"/>
      <c r="G189" s="48"/>
      <c r="H189" s="48"/>
      <c r="I189" s="48"/>
      <c r="J189" s="48"/>
      <c r="K189" s="48"/>
      <c r="L189" s="48"/>
      <c r="M189" s="48"/>
      <c r="N189" s="48"/>
      <c r="O189" s="48"/>
      <c r="P189" s="4"/>
      <c r="Q189" s="4"/>
      <c r="R189" s="4"/>
      <c r="S189" s="4"/>
      <c r="T189" s="4"/>
      <c r="U189" s="4"/>
      <c r="V189" s="4"/>
      <c r="W189" s="4"/>
      <c r="X189" s="4"/>
      <c r="Y189" s="4"/>
      <c r="Z189" s="4"/>
      <c r="AA189" s="4"/>
    </row>
    <row r="190">
      <c r="A190" s="48"/>
      <c r="B190" s="48"/>
      <c r="C190" s="4"/>
      <c r="D190" s="4"/>
      <c r="E190" s="4"/>
      <c r="F190" s="48"/>
      <c r="G190" s="48"/>
      <c r="H190" s="48"/>
      <c r="I190" s="48"/>
      <c r="J190" s="48"/>
      <c r="K190" s="48"/>
      <c r="L190" s="48"/>
      <c r="M190" s="48"/>
      <c r="N190" s="48"/>
      <c r="O190" s="48"/>
      <c r="P190" s="4"/>
      <c r="Q190" s="4"/>
      <c r="R190" s="4"/>
      <c r="S190" s="4"/>
      <c r="T190" s="4"/>
      <c r="U190" s="4"/>
      <c r="V190" s="4"/>
      <c r="W190" s="4"/>
      <c r="X190" s="4"/>
      <c r="Y190" s="4"/>
      <c r="Z190" s="4"/>
      <c r="AA190" s="4"/>
    </row>
    <row r="191">
      <c r="A191" s="48"/>
      <c r="B191" s="48"/>
      <c r="C191" s="4"/>
      <c r="D191" s="4"/>
      <c r="E191" s="4"/>
      <c r="F191" s="48"/>
      <c r="G191" s="48"/>
      <c r="H191" s="48"/>
      <c r="I191" s="48"/>
      <c r="J191" s="48"/>
      <c r="K191" s="48"/>
      <c r="L191" s="48"/>
      <c r="M191" s="48"/>
      <c r="N191" s="48"/>
      <c r="O191" s="48"/>
      <c r="P191" s="4"/>
      <c r="Q191" s="4"/>
      <c r="R191" s="4"/>
      <c r="S191" s="4"/>
      <c r="T191" s="4"/>
      <c r="U191" s="4"/>
      <c r="V191" s="4"/>
      <c r="W191" s="4"/>
      <c r="X191" s="4"/>
      <c r="Y191" s="4"/>
      <c r="Z191" s="4"/>
      <c r="AA191" s="4"/>
    </row>
    <row r="192">
      <c r="A192" s="48"/>
      <c r="B192" s="48"/>
      <c r="C192" s="4"/>
      <c r="D192" s="4"/>
      <c r="E192" s="4"/>
      <c r="F192" s="48"/>
      <c r="G192" s="48"/>
      <c r="H192" s="48"/>
      <c r="I192" s="48"/>
      <c r="J192" s="48"/>
      <c r="K192" s="48"/>
      <c r="L192" s="48"/>
      <c r="M192" s="48"/>
      <c r="N192" s="48"/>
      <c r="O192" s="48"/>
      <c r="P192" s="4"/>
      <c r="Q192" s="4"/>
      <c r="R192" s="4"/>
      <c r="S192" s="4"/>
      <c r="T192" s="4"/>
      <c r="U192" s="4"/>
      <c r="V192" s="4"/>
      <c r="W192" s="4"/>
      <c r="X192" s="4"/>
      <c r="Y192" s="4"/>
      <c r="Z192" s="4"/>
      <c r="AA192" s="4"/>
    </row>
    <row r="193">
      <c r="A193" s="48"/>
      <c r="B193" s="48"/>
      <c r="C193" s="4"/>
      <c r="D193" s="4"/>
      <c r="E193" s="4"/>
      <c r="F193" s="48"/>
      <c r="G193" s="48"/>
      <c r="H193" s="48"/>
      <c r="I193" s="48"/>
      <c r="J193" s="48"/>
      <c r="K193" s="48"/>
      <c r="L193" s="48"/>
      <c r="M193" s="48"/>
      <c r="N193" s="48"/>
      <c r="O193" s="48"/>
      <c r="P193" s="4"/>
      <c r="Q193" s="4"/>
      <c r="R193" s="4"/>
      <c r="S193" s="4"/>
      <c r="T193" s="4"/>
      <c r="U193" s="4"/>
      <c r="V193" s="4"/>
      <c r="W193" s="4"/>
      <c r="X193" s="4"/>
      <c r="Y193" s="4"/>
      <c r="Z193" s="4"/>
      <c r="AA193" s="4"/>
    </row>
    <row r="194">
      <c r="A194" s="48"/>
      <c r="B194" s="48"/>
      <c r="C194" s="4"/>
      <c r="D194" s="4"/>
      <c r="E194" s="4"/>
      <c r="F194" s="48"/>
      <c r="G194" s="48"/>
      <c r="H194" s="48"/>
      <c r="I194" s="48"/>
      <c r="J194" s="48"/>
      <c r="K194" s="48"/>
      <c r="L194" s="48"/>
      <c r="M194" s="48"/>
      <c r="N194" s="48"/>
      <c r="O194" s="48"/>
      <c r="P194" s="4"/>
      <c r="Q194" s="4"/>
      <c r="R194" s="4"/>
      <c r="S194" s="4"/>
      <c r="T194" s="4"/>
      <c r="U194" s="4"/>
      <c r="V194" s="4"/>
      <c r="W194" s="4"/>
      <c r="X194" s="4"/>
      <c r="Y194" s="4"/>
      <c r="Z194" s="4"/>
      <c r="AA194" s="4"/>
    </row>
    <row r="195">
      <c r="A195" s="48"/>
      <c r="B195" s="48"/>
      <c r="C195" s="4"/>
      <c r="D195" s="4"/>
      <c r="E195" s="4"/>
      <c r="F195" s="48"/>
      <c r="G195" s="48"/>
      <c r="H195" s="48"/>
      <c r="I195" s="48"/>
      <c r="J195" s="48"/>
      <c r="K195" s="48"/>
      <c r="L195" s="48"/>
      <c r="M195" s="48"/>
      <c r="N195" s="48"/>
      <c r="O195" s="48"/>
      <c r="P195" s="4"/>
      <c r="Q195" s="4"/>
      <c r="R195" s="4"/>
      <c r="S195" s="4"/>
      <c r="T195" s="4"/>
      <c r="U195" s="4"/>
      <c r="V195" s="4"/>
      <c r="W195" s="4"/>
      <c r="X195" s="4"/>
      <c r="Y195" s="4"/>
      <c r="Z195" s="4"/>
      <c r="AA195" s="4"/>
    </row>
    <row r="196">
      <c r="A196" s="48"/>
      <c r="B196" s="48"/>
      <c r="C196" s="4"/>
      <c r="D196" s="4"/>
      <c r="E196" s="4"/>
      <c r="F196" s="48"/>
      <c r="G196" s="48"/>
      <c r="H196" s="48"/>
      <c r="I196" s="48"/>
      <c r="J196" s="48"/>
      <c r="K196" s="48"/>
      <c r="L196" s="48"/>
      <c r="M196" s="48"/>
      <c r="N196" s="48"/>
      <c r="O196" s="48"/>
      <c r="P196" s="4"/>
      <c r="Q196" s="4"/>
      <c r="R196" s="4"/>
      <c r="S196" s="4"/>
      <c r="T196" s="4"/>
      <c r="U196" s="4"/>
      <c r="V196" s="4"/>
      <c r="W196" s="4"/>
      <c r="X196" s="4"/>
      <c r="Y196" s="4"/>
      <c r="Z196" s="4"/>
      <c r="AA196" s="4"/>
    </row>
    <row r="197">
      <c r="A197" s="48"/>
      <c r="B197" s="48"/>
      <c r="C197" s="4"/>
      <c r="D197" s="4"/>
      <c r="E197" s="4"/>
      <c r="F197" s="48"/>
      <c r="G197" s="48"/>
      <c r="H197" s="48"/>
      <c r="I197" s="48"/>
      <c r="J197" s="48"/>
      <c r="K197" s="48"/>
      <c r="L197" s="48"/>
      <c r="M197" s="48"/>
      <c r="N197" s="48"/>
      <c r="O197" s="48"/>
      <c r="P197" s="4"/>
      <c r="Q197" s="4"/>
      <c r="R197" s="4"/>
      <c r="S197" s="4"/>
      <c r="T197" s="4"/>
      <c r="U197" s="4"/>
      <c r="V197" s="4"/>
      <c r="W197" s="4"/>
      <c r="X197" s="4"/>
      <c r="Y197" s="4"/>
      <c r="Z197" s="4"/>
      <c r="AA197" s="4"/>
    </row>
    <row r="198">
      <c r="A198" s="48"/>
      <c r="B198" s="48"/>
      <c r="C198" s="4"/>
      <c r="D198" s="4"/>
      <c r="E198" s="4"/>
      <c r="F198" s="48"/>
      <c r="G198" s="48"/>
      <c r="H198" s="48"/>
      <c r="I198" s="48"/>
      <c r="J198" s="48"/>
      <c r="K198" s="48"/>
      <c r="L198" s="48"/>
      <c r="M198" s="48"/>
      <c r="N198" s="48"/>
      <c r="O198" s="48"/>
      <c r="P198" s="4"/>
      <c r="Q198" s="4"/>
      <c r="R198" s="4"/>
      <c r="S198" s="4"/>
      <c r="T198" s="4"/>
      <c r="U198" s="4"/>
      <c r="V198" s="4"/>
      <c r="W198" s="4"/>
      <c r="X198" s="4"/>
      <c r="Y198" s="4"/>
      <c r="Z198" s="4"/>
      <c r="AA198" s="4"/>
    </row>
    <row r="199">
      <c r="A199" s="48"/>
      <c r="B199" s="48"/>
      <c r="C199" s="4"/>
      <c r="D199" s="4"/>
      <c r="E199" s="4"/>
      <c r="F199" s="48"/>
      <c r="G199" s="48"/>
      <c r="H199" s="48"/>
      <c r="I199" s="48"/>
      <c r="J199" s="48"/>
      <c r="K199" s="48"/>
      <c r="L199" s="48"/>
      <c r="M199" s="48"/>
      <c r="N199" s="48"/>
      <c r="O199" s="48"/>
      <c r="P199" s="4"/>
      <c r="Q199" s="4"/>
      <c r="R199" s="4"/>
      <c r="S199" s="4"/>
      <c r="T199" s="4"/>
      <c r="U199" s="4"/>
      <c r="V199" s="4"/>
      <c r="W199" s="4"/>
      <c r="X199" s="4"/>
      <c r="Y199" s="4"/>
      <c r="Z199" s="4"/>
      <c r="AA199" s="4"/>
    </row>
    <row r="200">
      <c r="A200" s="48"/>
      <c r="B200" s="48"/>
      <c r="C200" s="4"/>
      <c r="D200" s="4"/>
      <c r="E200" s="4"/>
      <c r="F200" s="48"/>
      <c r="G200" s="48"/>
      <c r="H200" s="48"/>
      <c r="I200" s="48"/>
      <c r="J200" s="48"/>
      <c r="K200" s="48"/>
      <c r="L200" s="48"/>
      <c r="M200" s="48"/>
      <c r="N200" s="48"/>
      <c r="O200" s="48"/>
      <c r="P200" s="4"/>
      <c r="Q200" s="4"/>
      <c r="R200" s="4"/>
      <c r="S200" s="4"/>
      <c r="T200" s="4"/>
      <c r="U200" s="4"/>
      <c r="V200" s="4"/>
      <c r="W200" s="4"/>
      <c r="X200" s="4"/>
      <c r="Y200" s="4"/>
      <c r="Z200" s="4"/>
      <c r="AA200" s="4"/>
    </row>
    <row r="201">
      <c r="A201" s="48"/>
      <c r="B201" s="48"/>
      <c r="C201" s="4"/>
      <c r="D201" s="4"/>
      <c r="E201" s="4"/>
      <c r="F201" s="48"/>
      <c r="G201" s="48"/>
      <c r="H201" s="48"/>
      <c r="I201" s="48"/>
      <c r="J201" s="48"/>
      <c r="K201" s="48"/>
      <c r="L201" s="48"/>
      <c r="M201" s="48"/>
      <c r="N201" s="48"/>
      <c r="O201" s="48"/>
      <c r="P201" s="4"/>
      <c r="Q201" s="4"/>
      <c r="R201" s="4"/>
      <c r="S201" s="4"/>
      <c r="T201" s="4"/>
      <c r="U201" s="4"/>
      <c r="V201" s="4"/>
      <c r="W201" s="4"/>
      <c r="X201" s="4"/>
      <c r="Y201" s="4"/>
      <c r="Z201" s="4"/>
      <c r="AA201" s="4"/>
    </row>
    <row r="202">
      <c r="A202" s="48"/>
      <c r="B202" s="48"/>
      <c r="C202" s="4"/>
      <c r="D202" s="4"/>
      <c r="E202" s="4"/>
      <c r="F202" s="48"/>
      <c r="G202" s="48"/>
      <c r="H202" s="48"/>
      <c r="I202" s="48"/>
      <c r="J202" s="48"/>
      <c r="K202" s="48"/>
      <c r="L202" s="48"/>
      <c r="M202" s="48"/>
      <c r="N202" s="48"/>
      <c r="O202" s="48"/>
      <c r="P202" s="4"/>
      <c r="Q202" s="4"/>
      <c r="R202" s="4"/>
      <c r="S202" s="4"/>
      <c r="T202" s="4"/>
      <c r="U202" s="4"/>
      <c r="V202" s="4"/>
      <c r="W202" s="4"/>
      <c r="X202" s="4"/>
      <c r="Y202" s="4"/>
      <c r="Z202" s="4"/>
      <c r="AA202" s="4"/>
    </row>
    <row r="203">
      <c r="A203" s="48"/>
      <c r="B203" s="48"/>
      <c r="C203" s="4"/>
      <c r="D203" s="4"/>
      <c r="E203" s="4"/>
      <c r="F203" s="48"/>
      <c r="G203" s="48"/>
      <c r="H203" s="48"/>
      <c r="I203" s="48"/>
      <c r="J203" s="48"/>
      <c r="K203" s="48"/>
      <c r="L203" s="48"/>
      <c r="M203" s="48"/>
      <c r="N203" s="48"/>
      <c r="O203" s="48"/>
      <c r="P203" s="4"/>
      <c r="Q203" s="4"/>
      <c r="R203" s="4"/>
      <c r="S203" s="4"/>
      <c r="T203" s="4"/>
      <c r="U203" s="4"/>
      <c r="V203" s="4"/>
      <c r="W203" s="4"/>
      <c r="X203" s="4"/>
      <c r="Y203" s="4"/>
      <c r="Z203" s="4"/>
      <c r="AA203" s="4"/>
    </row>
    <row r="204">
      <c r="A204" s="48"/>
      <c r="B204" s="48"/>
      <c r="C204" s="4"/>
      <c r="D204" s="4"/>
      <c r="E204" s="4"/>
      <c r="F204" s="48"/>
      <c r="G204" s="48"/>
      <c r="H204" s="48"/>
      <c r="I204" s="48"/>
      <c r="J204" s="48"/>
      <c r="K204" s="48"/>
      <c r="L204" s="48"/>
      <c r="M204" s="48"/>
      <c r="N204" s="48"/>
      <c r="O204" s="48"/>
      <c r="P204" s="4"/>
      <c r="Q204" s="4"/>
      <c r="R204" s="4"/>
      <c r="S204" s="4"/>
      <c r="T204" s="4"/>
      <c r="U204" s="4"/>
      <c r="V204" s="4"/>
      <c r="W204" s="4"/>
      <c r="X204" s="4"/>
      <c r="Y204" s="4"/>
      <c r="Z204" s="4"/>
      <c r="AA204" s="4"/>
    </row>
    <row r="205">
      <c r="A205" s="48"/>
      <c r="B205" s="48"/>
      <c r="C205" s="4"/>
      <c r="D205" s="4"/>
      <c r="E205" s="4"/>
      <c r="F205" s="48"/>
      <c r="G205" s="48"/>
      <c r="H205" s="48"/>
      <c r="I205" s="48"/>
      <c r="J205" s="48"/>
      <c r="K205" s="48"/>
      <c r="L205" s="48"/>
      <c r="M205" s="48"/>
      <c r="N205" s="48"/>
      <c r="O205" s="48"/>
      <c r="P205" s="4"/>
      <c r="Q205" s="4"/>
      <c r="R205" s="4"/>
      <c r="S205" s="4"/>
      <c r="T205" s="4"/>
      <c r="U205" s="4"/>
      <c r="V205" s="4"/>
      <c r="W205" s="4"/>
      <c r="X205" s="4"/>
      <c r="Y205" s="4"/>
      <c r="Z205" s="4"/>
      <c r="AA205" s="4"/>
    </row>
    <row r="206">
      <c r="A206" s="48"/>
      <c r="B206" s="48"/>
      <c r="C206" s="4"/>
      <c r="D206" s="4"/>
      <c r="E206" s="4"/>
      <c r="F206" s="48"/>
      <c r="G206" s="48"/>
      <c r="H206" s="48"/>
      <c r="I206" s="48"/>
      <c r="J206" s="48"/>
      <c r="K206" s="48"/>
      <c r="L206" s="48"/>
      <c r="M206" s="48"/>
      <c r="N206" s="48"/>
      <c r="O206" s="48"/>
      <c r="P206" s="4"/>
      <c r="Q206" s="4"/>
      <c r="R206" s="4"/>
      <c r="S206" s="4"/>
      <c r="T206" s="4"/>
      <c r="U206" s="4"/>
      <c r="V206" s="4"/>
      <c r="W206" s="4"/>
      <c r="X206" s="4"/>
      <c r="Y206" s="4"/>
      <c r="Z206" s="4"/>
      <c r="AA206" s="4"/>
    </row>
    <row r="207">
      <c r="A207" s="48"/>
      <c r="B207" s="48"/>
      <c r="C207" s="4"/>
      <c r="D207" s="4"/>
      <c r="E207" s="4"/>
      <c r="F207" s="48"/>
      <c r="G207" s="48"/>
      <c r="H207" s="48"/>
      <c r="I207" s="48"/>
      <c r="J207" s="48"/>
      <c r="K207" s="48"/>
      <c r="L207" s="48"/>
      <c r="M207" s="48"/>
      <c r="N207" s="48"/>
      <c r="O207" s="48"/>
      <c r="P207" s="4"/>
      <c r="Q207" s="4"/>
      <c r="R207" s="4"/>
      <c r="S207" s="4"/>
      <c r="T207" s="4"/>
      <c r="U207" s="4"/>
      <c r="V207" s="4"/>
      <c r="W207" s="4"/>
      <c r="X207" s="4"/>
      <c r="Y207" s="4"/>
      <c r="Z207" s="4"/>
      <c r="AA207" s="4"/>
    </row>
    <row r="208">
      <c r="A208" s="48"/>
      <c r="B208" s="48"/>
      <c r="C208" s="4"/>
      <c r="D208" s="4"/>
      <c r="E208" s="4"/>
      <c r="F208" s="48"/>
      <c r="G208" s="48"/>
      <c r="H208" s="48"/>
      <c r="I208" s="48"/>
      <c r="J208" s="48"/>
      <c r="K208" s="48"/>
      <c r="L208" s="48"/>
      <c r="M208" s="48"/>
      <c r="N208" s="48"/>
      <c r="O208" s="48"/>
      <c r="P208" s="4"/>
      <c r="Q208" s="4"/>
      <c r="R208" s="4"/>
      <c r="S208" s="4"/>
      <c r="T208" s="4"/>
      <c r="U208" s="4"/>
      <c r="V208" s="4"/>
      <c r="W208" s="4"/>
      <c r="X208" s="4"/>
      <c r="Y208" s="4"/>
      <c r="Z208" s="4"/>
      <c r="AA208" s="4"/>
    </row>
    <row r="209">
      <c r="A209" s="48"/>
      <c r="B209" s="48"/>
      <c r="C209" s="4"/>
      <c r="D209" s="4"/>
      <c r="E209" s="4"/>
      <c r="F209" s="48"/>
      <c r="G209" s="48"/>
      <c r="H209" s="48"/>
      <c r="I209" s="48"/>
      <c r="J209" s="48"/>
      <c r="K209" s="48"/>
      <c r="L209" s="48"/>
      <c r="M209" s="48"/>
      <c r="N209" s="48"/>
      <c r="O209" s="48"/>
      <c r="P209" s="4"/>
      <c r="Q209" s="4"/>
      <c r="R209" s="4"/>
      <c r="S209" s="4"/>
      <c r="T209" s="4"/>
      <c r="U209" s="4"/>
      <c r="V209" s="4"/>
      <c r="W209" s="4"/>
      <c r="X209" s="4"/>
      <c r="Y209" s="4"/>
      <c r="Z209" s="4"/>
      <c r="AA209" s="4"/>
    </row>
    <row r="210">
      <c r="A210" s="48"/>
      <c r="B210" s="48"/>
      <c r="C210" s="4"/>
      <c r="D210" s="4"/>
      <c r="E210" s="4"/>
      <c r="F210" s="48"/>
      <c r="G210" s="48"/>
      <c r="H210" s="48"/>
      <c r="I210" s="48"/>
      <c r="J210" s="48"/>
      <c r="K210" s="48"/>
      <c r="L210" s="48"/>
      <c r="M210" s="48"/>
      <c r="N210" s="48"/>
      <c r="O210" s="48"/>
      <c r="P210" s="4"/>
      <c r="Q210" s="4"/>
      <c r="R210" s="4"/>
      <c r="S210" s="4"/>
      <c r="T210" s="4"/>
      <c r="U210" s="4"/>
      <c r="V210" s="4"/>
      <c r="W210" s="4"/>
      <c r="X210" s="4"/>
      <c r="Y210" s="4"/>
      <c r="Z210" s="4"/>
      <c r="AA210" s="4"/>
    </row>
    <row r="211">
      <c r="A211" s="48"/>
      <c r="B211" s="48"/>
      <c r="C211" s="4"/>
      <c r="D211" s="4"/>
      <c r="E211" s="4"/>
      <c r="F211" s="48"/>
      <c r="G211" s="48"/>
      <c r="H211" s="48"/>
      <c r="I211" s="48"/>
      <c r="J211" s="48"/>
      <c r="K211" s="48"/>
      <c r="L211" s="48"/>
      <c r="M211" s="48"/>
      <c r="N211" s="48"/>
      <c r="O211" s="48"/>
      <c r="P211" s="4"/>
      <c r="Q211" s="4"/>
      <c r="R211" s="4"/>
      <c r="S211" s="4"/>
      <c r="T211" s="4"/>
      <c r="U211" s="4"/>
      <c r="V211" s="4"/>
      <c r="W211" s="4"/>
      <c r="X211" s="4"/>
      <c r="Y211" s="4"/>
      <c r="Z211" s="4"/>
      <c r="AA211" s="4"/>
    </row>
    <row r="212">
      <c r="A212" s="48"/>
      <c r="B212" s="48"/>
      <c r="C212" s="4"/>
      <c r="D212" s="4"/>
      <c r="E212" s="4"/>
      <c r="F212" s="48"/>
      <c r="G212" s="48"/>
      <c r="H212" s="48"/>
      <c r="I212" s="48"/>
      <c r="J212" s="48"/>
      <c r="K212" s="48"/>
      <c r="L212" s="48"/>
      <c r="M212" s="48"/>
      <c r="N212" s="48"/>
      <c r="O212" s="48"/>
      <c r="P212" s="4"/>
      <c r="Q212" s="4"/>
      <c r="R212" s="4"/>
      <c r="S212" s="4"/>
      <c r="T212" s="4"/>
      <c r="U212" s="4"/>
      <c r="V212" s="4"/>
      <c r="W212" s="4"/>
      <c r="X212" s="4"/>
      <c r="Y212" s="4"/>
      <c r="Z212" s="4"/>
      <c r="AA212" s="4"/>
    </row>
    <row r="213">
      <c r="A213" s="48"/>
      <c r="B213" s="48"/>
      <c r="C213" s="4"/>
      <c r="D213" s="4"/>
      <c r="E213" s="4"/>
      <c r="F213" s="48"/>
      <c r="G213" s="48"/>
      <c r="H213" s="48"/>
      <c r="I213" s="48"/>
      <c r="J213" s="48"/>
      <c r="K213" s="48"/>
      <c r="L213" s="48"/>
      <c r="M213" s="48"/>
      <c r="N213" s="48"/>
      <c r="O213" s="48"/>
      <c r="P213" s="4"/>
      <c r="Q213" s="4"/>
      <c r="R213" s="4"/>
      <c r="S213" s="4"/>
      <c r="T213" s="4"/>
      <c r="U213" s="4"/>
      <c r="V213" s="4"/>
      <c r="W213" s="4"/>
      <c r="X213" s="4"/>
      <c r="Y213" s="4"/>
      <c r="Z213" s="4"/>
      <c r="AA213" s="4"/>
    </row>
    <row r="214">
      <c r="A214" s="48"/>
      <c r="B214" s="48"/>
      <c r="C214" s="4"/>
      <c r="D214" s="4"/>
      <c r="E214" s="4"/>
      <c r="F214" s="48"/>
      <c r="G214" s="48"/>
      <c r="H214" s="48"/>
      <c r="I214" s="48"/>
      <c r="J214" s="48"/>
      <c r="K214" s="48"/>
      <c r="L214" s="48"/>
      <c r="M214" s="48"/>
      <c r="N214" s="48"/>
      <c r="O214" s="48"/>
      <c r="P214" s="4"/>
      <c r="Q214" s="4"/>
      <c r="R214" s="4"/>
      <c r="S214" s="4"/>
      <c r="T214" s="4"/>
      <c r="U214" s="4"/>
      <c r="V214" s="4"/>
      <c r="W214" s="4"/>
      <c r="X214" s="4"/>
      <c r="Y214" s="4"/>
      <c r="Z214" s="4"/>
      <c r="AA214" s="4"/>
    </row>
    <row r="215">
      <c r="A215" s="48"/>
      <c r="B215" s="48"/>
      <c r="C215" s="4"/>
      <c r="D215" s="4"/>
      <c r="E215" s="4"/>
      <c r="F215" s="48"/>
      <c r="G215" s="48"/>
      <c r="H215" s="48"/>
      <c r="I215" s="48"/>
      <c r="J215" s="48"/>
      <c r="K215" s="48"/>
      <c r="L215" s="48"/>
      <c r="M215" s="48"/>
      <c r="N215" s="48"/>
      <c r="O215" s="48"/>
      <c r="P215" s="4"/>
      <c r="Q215" s="4"/>
      <c r="R215" s="4"/>
      <c r="S215" s="4"/>
      <c r="T215" s="4"/>
      <c r="U215" s="4"/>
      <c r="V215" s="4"/>
      <c r="W215" s="4"/>
      <c r="X215" s="4"/>
      <c r="Y215" s="4"/>
      <c r="Z215" s="4"/>
      <c r="AA215" s="4"/>
    </row>
    <row r="216">
      <c r="A216" s="48"/>
      <c r="B216" s="48"/>
      <c r="C216" s="4"/>
      <c r="D216" s="4"/>
      <c r="E216" s="4"/>
      <c r="F216" s="48"/>
      <c r="G216" s="48"/>
      <c r="H216" s="48"/>
      <c r="I216" s="48"/>
      <c r="J216" s="48"/>
      <c r="K216" s="48"/>
      <c r="L216" s="48"/>
      <c r="M216" s="48"/>
      <c r="N216" s="48"/>
      <c r="O216" s="48"/>
      <c r="P216" s="4"/>
      <c r="Q216" s="4"/>
      <c r="R216" s="4"/>
      <c r="S216" s="4"/>
      <c r="T216" s="4"/>
      <c r="U216" s="4"/>
      <c r="V216" s="4"/>
      <c r="W216" s="4"/>
      <c r="X216" s="4"/>
      <c r="Y216" s="4"/>
      <c r="Z216" s="4"/>
      <c r="AA216" s="4"/>
    </row>
    <row r="217">
      <c r="A217" s="48"/>
      <c r="B217" s="48"/>
      <c r="C217" s="4"/>
      <c r="D217" s="4"/>
      <c r="E217" s="4"/>
      <c r="F217" s="48"/>
      <c r="G217" s="48"/>
      <c r="H217" s="48"/>
      <c r="I217" s="48"/>
      <c r="J217" s="48"/>
      <c r="K217" s="48"/>
      <c r="L217" s="48"/>
      <c r="M217" s="48"/>
      <c r="N217" s="48"/>
      <c r="O217" s="48"/>
      <c r="P217" s="4"/>
      <c r="Q217" s="4"/>
      <c r="R217" s="4"/>
      <c r="S217" s="4"/>
      <c r="T217" s="4"/>
      <c r="U217" s="4"/>
      <c r="V217" s="4"/>
      <c r="W217" s="4"/>
      <c r="X217" s="4"/>
      <c r="Y217" s="4"/>
      <c r="Z217" s="4"/>
      <c r="AA217" s="4"/>
    </row>
    <row r="218">
      <c r="A218" s="48"/>
      <c r="B218" s="48"/>
      <c r="C218" s="4"/>
      <c r="D218" s="4"/>
      <c r="E218" s="4"/>
      <c r="F218" s="48"/>
      <c r="G218" s="48"/>
      <c r="H218" s="48"/>
      <c r="I218" s="48"/>
      <c r="J218" s="48"/>
      <c r="K218" s="48"/>
      <c r="L218" s="48"/>
      <c r="M218" s="48"/>
      <c r="N218" s="48"/>
      <c r="O218" s="48"/>
      <c r="P218" s="4"/>
      <c r="Q218" s="4"/>
      <c r="R218" s="4"/>
      <c r="S218" s="4"/>
      <c r="T218" s="4"/>
      <c r="U218" s="4"/>
      <c r="V218" s="4"/>
      <c r="W218" s="4"/>
      <c r="X218" s="4"/>
      <c r="Y218" s="4"/>
      <c r="Z218" s="4"/>
      <c r="AA218" s="4"/>
    </row>
    <row r="219">
      <c r="A219" s="48"/>
      <c r="B219" s="48"/>
      <c r="C219" s="4"/>
      <c r="D219" s="4"/>
      <c r="E219" s="4"/>
      <c r="F219" s="48"/>
      <c r="G219" s="48"/>
      <c r="H219" s="48"/>
      <c r="I219" s="48"/>
      <c r="J219" s="48"/>
      <c r="K219" s="48"/>
      <c r="L219" s="48"/>
      <c r="M219" s="48"/>
      <c r="N219" s="48"/>
      <c r="O219" s="48"/>
      <c r="P219" s="4"/>
      <c r="Q219" s="4"/>
      <c r="R219" s="4"/>
      <c r="S219" s="4"/>
      <c r="T219" s="4"/>
      <c r="U219" s="4"/>
      <c r="V219" s="4"/>
      <c r="W219" s="4"/>
      <c r="X219" s="4"/>
      <c r="Y219" s="4"/>
      <c r="Z219" s="4"/>
      <c r="AA219" s="4"/>
    </row>
    <row r="220">
      <c r="A220" s="48"/>
      <c r="B220" s="48"/>
      <c r="C220" s="4"/>
      <c r="D220" s="4"/>
      <c r="E220" s="4"/>
      <c r="F220" s="48"/>
      <c r="G220" s="48"/>
      <c r="H220" s="48"/>
      <c r="I220" s="48"/>
      <c r="J220" s="48"/>
      <c r="K220" s="48"/>
      <c r="L220" s="48"/>
      <c r="M220" s="48"/>
      <c r="N220" s="48"/>
      <c r="O220" s="48"/>
      <c r="P220" s="4"/>
      <c r="Q220" s="4"/>
      <c r="R220" s="4"/>
      <c r="S220" s="4"/>
      <c r="T220" s="4"/>
      <c r="U220" s="4"/>
      <c r="V220" s="4"/>
      <c r="W220" s="4"/>
      <c r="X220" s="4"/>
      <c r="Y220" s="4"/>
      <c r="Z220" s="4"/>
      <c r="AA220" s="4"/>
    </row>
    <row r="221">
      <c r="A221" s="48"/>
      <c r="B221" s="48"/>
      <c r="C221" s="4"/>
      <c r="D221" s="4"/>
      <c r="E221" s="4"/>
      <c r="F221" s="48"/>
      <c r="G221" s="48"/>
      <c r="H221" s="48"/>
      <c r="I221" s="48"/>
      <c r="J221" s="48"/>
      <c r="K221" s="48"/>
      <c r="L221" s="48"/>
      <c r="M221" s="48"/>
      <c r="N221" s="48"/>
      <c r="O221" s="48"/>
      <c r="P221" s="4"/>
      <c r="Q221" s="4"/>
      <c r="R221" s="4"/>
      <c r="S221" s="4"/>
      <c r="T221" s="4"/>
      <c r="U221" s="4"/>
      <c r="V221" s="4"/>
      <c r="W221" s="4"/>
      <c r="X221" s="4"/>
      <c r="Y221" s="4"/>
      <c r="Z221" s="4"/>
      <c r="AA221" s="4"/>
    </row>
    <row r="222">
      <c r="A222" s="48"/>
      <c r="B222" s="48"/>
      <c r="C222" s="4"/>
      <c r="D222" s="4"/>
      <c r="E222" s="4"/>
      <c r="F222" s="48"/>
      <c r="G222" s="48"/>
      <c r="H222" s="48"/>
      <c r="I222" s="48"/>
      <c r="J222" s="48"/>
      <c r="K222" s="48"/>
      <c r="L222" s="48"/>
      <c r="M222" s="48"/>
      <c r="N222" s="48"/>
      <c r="O222" s="48"/>
      <c r="P222" s="4"/>
      <c r="Q222" s="4"/>
      <c r="R222" s="4"/>
      <c r="S222" s="4"/>
      <c r="T222" s="4"/>
      <c r="U222" s="4"/>
      <c r="V222" s="4"/>
      <c r="W222" s="4"/>
      <c r="X222" s="4"/>
      <c r="Y222" s="4"/>
      <c r="Z222" s="4"/>
      <c r="AA222" s="4"/>
    </row>
    <row r="223">
      <c r="A223" s="48"/>
      <c r="B223" s="48"/>
      <c r="C223" s="4"/>
      <c r="D223" s="4"/>
      <c r="E223" s="4"/>
      <c r="F223" s="48"/>
      <c r="G223" s="48"/>
      <c r="H223" s="48"/>
      <c r="I223" s="48"/>
      <c r="J223" s="48"/>
      <c r="K223" s="48"/>
      <c r="L223" s="48"/>
      <c r="M223" s="48"/>
      <c r="N223" s="48"/>
      <c r="O223" s="48"/>
      <c r="P223" s="4"/>
      <c r="Q223" s="4"/>
      <c r="R223" s="4"/>
      <c r="S223" s="4"/>
      <c r="T223" s="4"/>
      <c r="U223" s="4"/>
      <c r="V223" s="4"/>
      <c r="W223" s="4"/>
      <c r="X223" s="4"/>
      <c r="Y223" s="4"/>
      <c r="Z223" s="4"/>
      <c r="AA223" s="4"/>
    </row>
    <row r="224">
      <c r="A224" s="48"/>
      <c r="B224" s="48"/>
      <c r="C224" s="4"/>
      <c r="D224" s="4"/>
      <c r="E224" s="4"/>
      <c r="F224" s="48"/>
      <c r="G224" s="48"/>
      <c r="H224" s="48"/>
      <c r="I224" s="48"/>
      <c r="J224" s="48"/>
      <c r="K224" s="48"/>
      <c r="L224" s="48"/>
      <c r="M224" s="48"/>
      <c r="N224" s="48"/>
      <c r="O224" s="48"/>
      <c r="P224" s="4"/>
      <c r="Q224" s="4"/>
      <c r="R224" s="4"/>
      <c r="S224" s="4"/>
      <c r="T224" s="4"/>
      <c r="U224" s="4"/>
      <c r="V224" s="4"/>
      <c r="W224" s="4"/>
      <c r="X224" s="4"/>
      <c r="Y224" s="4"/>
      <c r="Z224" s="4"/>
      <c r="AA224" s="4"/>
    </row>
    <row r="225">
      <c r="A225" s="48"/>
      <c r="B225" s="48"/>
      <c r="C225" s="4"/>
      <c r="D225" s="4"/>
      <c r="E225" s="4"/>
      <c r="F225" s="48"/>
      <c r="G225" s="48"/>
      <c r="H225" s="48"/>
      <c r="I225" s="48"/>
      <c r="J225" s="48"/>
      <c r="K225" s="48"/>
      <c r="L225" s="48"/>
      <c r="M225" s="48"/>
      <c r="N225" s="48"/>
      <c r="O225" s="48"/>
      <c r="P225" s="4"/>
      <c r="Q225" s="4"/>
      <c r="R225" s="4"/>
      <c r="S225" s="4"/>
      <c r="T225" s="4"/>
      <c r="U225" s="4"/>
      <c r="V225" s="4"/>
      <c r="W225" s="4"/>
      <c r="X225" s="4"/>
      <c r="Y225" s="4"/>
      <c r="Z225" s="4"/>
      <c r="AA225" s="4"/>
    </row>
    <row r="226">
      <c r="A226" s="48"/>
      <c r="B226" s="48"/>
      <c r="C226" s="4"/>
      <c r="D226" s="4"/>
      <c r="E226" s="4"/>
      <c r="F226" s="48"/>
      <c r="G226" s="48"/>
      <c r="H226" s="48"/>
      <c r="I226" s="48"/>
      <c r="J226" s="48"/>
      <c r="K226" s="48"/>
      <c r="L226" s="48"/>
      <c r="M226" s="48"/>
      <c r="N226" s="48"/>
      <c r="O226" s="48"/>
      <c r="P226" s="4"/>
      <c r="Q226" s="4"/>
      <c r="R226" s="4"/>
      <c r="S226" s="4"/>
      <c r="T226" s="4"/>
      <c r="U226" s="4"/>
      <c r="V226" s="4"/>
      <c r="W226" s="4"/>
      <c r="X226" s="4"/>
      <c r="Y226" s="4"/>
      <c r="Z226" s="4"/>
      <c r="AA226" s="4"/>
    </row>
    <row r="227">
      <c r="A227" s="48"/>
      <c r="B227" s="48"/>
      <c r="C227" s="4"/>
      <c r="D227" s="4"/>
      <c r="E227" s="4"/>
      <c r="F227" s="48"/>
      <c r="G227" s="48"/>
      <c r="H227" s="48"/>
      <c r="I227" s="48"/>
      <c r="J227" s="48"/>
      <c r="K227" s="48"/>
      <c r="L227" s="48"/>
      <c r="M227" s="48"/>
      <c r="N227" s="48"/>
      <c r="O227" s="48"/>
      <c r="P227" s="4"/>
      <c r="Q227" s="4"/>
      <c r="R227" s="4"/>
      <c r="S227" s="4"/>
      <c r="T227" s="4"/>
      <c r="U227" s="4"/>
      <c r="V227" s="4"/>
      <c r="W227" s="4"/>
      <c r="X227" s="4"/>
      <c r="Y227" s="4"/>
      <c r="Z227" s="4"/>
      <c r="AA227" s="4"/>
    </row>
    <row r="228">
      <c r="A228" s="48"/>
      <c r="B228" s="48"/>
      <c r="C228" s="4"/>
      <c r="D228" s="4"/>
      <c r="E228" s="4"/>
      <c r="F228" s="48"/>
      <c r="G228" s="48"/>
      <c r="H228" s="48"/>
      <c r="I228" s="48"/>
      <c r="J228" s="48"/>
      <c r="K228" s="48"/>
      <c r="L228" s="48"/>
      <c r="M228" s="48"/>
      <c r="N228" s="48"/>
      <c r="O228" s="48"/>
      <c r="P228" s="4"/>
      <c r="Q228" s="4"/>
      <c r="R228" s="4"/>
      <c r="S228" s="4"/>
      <c r="T228" s="4"/>
      <c r="U228" s="4"/>
      <c r="V228" s="4"/>
      <c r="W228" s="4"/>
      <c r="X228" s="4"/>
      <c r="Y228" s="4"/>
      <c r="Z228" s="4"/>
      <c r="AA228" s="4"/>
    </row>
    <row r="229">
      <c r="A229" s="48"/>
      <c r="B229" s="48"/>
      <c r="C229" s="4"/>
      <c r="D229" s="4"/>
      <c r="E229" s="4"/>
      <c r="F229" s="48"/>
      <c r="G229" s="48"/>
      <c r="H229" s="48"/>
      <c r="I229" s="48"/>
      <c r="J229" s="48"/>
      <c r="K229" s="48"/>
      <c r="L229" s="48"/>
      <c r="M229" s="48"/>
      <c r="N229" s="48"/>
      <c r="O229" s="48"/>
      <c r="P229" s="4"/>
      <c r="Q229" s="4"/>
      <c r="R229" s="4"/>
      <c r="S229" s="4"/>
      <c r="T229" s="4"/>
      <c r="U229" s="4"/>
      <c r="V229" s="4"/>
      <c r="W229" s="4"/>
      <c r="X229" s="4"/>
      <c r="Y229" s="4"/>
      <c r="Z229" s="4"/>
      <c r="AA229" s="4"/>
    </row>
    <row r="230">
      <c r="A230" s="48"/>
      <c r="B230" s="48"/>
      <c r="C230" s="4"/>
      <c r="D230" s="4"/>
      <c r="E230" s="4"/>
      <c r="F230" s="48"/>
      <c r="G230" s="48"/>
      <c r="H230" s="48"/>
      <c r="I230" s="48"/>
      <c r="J230" s="48"/>
      <c r="K230" s="48"/>
      <c r="L230" s="48"/>
      <c r="M230" s="48"/>
      <c r="N230" s="48"/>
      <c r="O230" s="48"/>
      <c r="P230" s="4"/>
      <c r="Q230" s="4"/>
      <c r="R230" s="4"/>
      <c r="S230" s="4"/>
      <c r="T230" s="4"/>
      <c r="U230" s="4"/>
      <c r="V230" s="4"/>
      <c r="W230" s="4"/>
      <c r="X230" s="4"/>
      <c r="Y230" s="4"/>
      <c r="Z230" s="4"/>
      <c r="AA230" s="4"/>
    </row>
    <row r="231">
      <c r="A231" s="48"/>
      <c r="B231" s="48"/>
      <c r="C231" s="4"/>
      <c r="D231" s="4"/>
      <c r="E231" s="4"/>
      <c r="F231" s="48"/>
      <c r="G231" s="48"/>
      <c r="H231" s="48"/>
      <c r="I231" s="48"/>
      <c r="J231" s="48"/>
      <c r="K231" s="48"/>
      <c r="L231" s="48"/>
      <c r="M231" s="48"/>
      <c r="N231" s="48"/>
      <c r="O231" s="48"/>
      <c r="P231" s="4"/>
      <c r="Q231" s="4"/>
      <c r="R231" s="4"/>
      <c r="S231" s="4"/>
      <c r="T231" s="4"/>
      <c r="U231" s="4"/>
      <c r="V231" s="4"/>
      <c r="W231" s="4"/>
      <c r="X231" s="4"/>
      <c r="Y231" s="4"/>
      <c r="Z231" s="4"/>
      <c r="AA231" s="4"/>
    </row>
    <row r="232">
      <c r="A232" s="48"/>
      <c r="B232" s="48"/>
      <c r="C232" s="4"/>
      <c r="D232" s="4"/>
      <c r="E232" s="4"/>
      <c r="F232" s="48"/>
      <c r="G232" s="48"/>
      <c r="H232" s="48"/>
      <c r="I232" s="48"/>
      <c r="J232" s="48"/>
      <c r="K232" s="48"/>
      <c r="L232" s="48"/>
      <c r="M232" s="48"/>
      <c r="N232" s="48"/>
      <c r="O232" s="48"/>
      <c r="P232" s="4"/>
      <c r="Q232" s="4"/>
      <c r="R232" s="4"/>
      <c r="S232" s="4"/>
      <c r="T232" s="4"/>
      <c r="U232" s="4"/>
      <c r="V232" s="4"/>
      <c r="W232" s="4"/>
      <c r="X232" s="4"/>
      <c r="Y232" s="4"/>
      <c r="Z232" s="4"/>
      <c r="AA232" s="4"/>
    </row>
    <row r="233">
      <c r="A233" s="48"/>
      <c r="B233" s="48"/>
      <c r="C233" s="4"/>
      <c r="D233" s="4"/>
      <c r="E233" s="4"/>
      <c r="F233" s="48"/>
      <c r="G233" s="48"/>
      <c r="H233" s="48"/>
      <c r="I233" s="48"/>
      <c r="J233" s="48"/>
      <c r="K233" s="48"/>
      <c r="L233" s="48"/>
      <c r="M233" s="48"/>
      <c r="N233" s="48"/>
      <c r="O233" s="48"/>
      <c r="P233" s="4"/>
      <c r="Q233" s="4"/>
      <c r="R233" s="4"/>
      <c r="S233" s="4"/>
      <c r="T233" s="4"/>
      <c r="U233" s="4"/>
      <c r="V233" s="4"/>
      <c r="W233" s="4"/>
      <c r="X233" s="4"/>
      <c r="Y233" s="4"/>
      <c r="Z233" s="4"/>
      <c r="AA233" s="4"/>
    </row>
    <row r="234">
      <c r="A234" s="48"/>
      <c r="B234" s="48"/>
      <c r="C234" s="4"/>
      <c r="D234" s="4"/>
      <c r="E234" s="4"/>
      <c r="F234" s="48"/>
      <c r="G234" s="48"/>
      <c r="H234" s="48"/>
      <c r="I234" s="48"/>
      <c r="J234" s="48"/>
      <c r="K234" s="48"/>
      <c r="L234" s="48"/>
      <c r="M234" s="48"/>
      <c r="N234" s="48"/>
      <c r="O234" s="48"/>
      <c r="P234" s="4"/>
      <c r="Q234" s="4"/>
      <c r="R234" s="4"/>
      <c r="S234" s="4"/>
      <c r="T234" s="4"/>
      <c r="U234" s="4"/>
      <c r="V234" s="4"/>
      <c r="W234" s="4"/>
      <c r="X234" s="4"/>
      <c r="Y234" s="4"/>
      <c r="Z234" s="4"/>
      <c r="AA234" s="4"/>
    </row>
    <row r="235">
      <c r="A235" s="48"/>
      <c r="B235" s="48"/>
      <c r="C235" s="4"/>
      <c r="D235" s="4"/>
      <c r="E235" s="4"/>
      <c r="F235" s="48"/>
      <c r="G235" s="48"/>
      <c r="H235" s="48"/>
      <c r="I235" s="48"/>
      <c r="J235" s="48"/>
      <c r="K235" s="48"/>
      <c r="L235" s="48"/>
      <c r="M235" s="48"/>
      <c r="N235" s="48"/>
      <c r="O235" s="48"/>
      <c r="P235" s="4"/>
      <c r="Q235" s="4"/>
      <c r="R235" s="4"/>
      <c r="S235" s="4"/>
      <c r="T235" s="4"/>
      <c r="U235" s="4"/>
      <c r="V235" s="4"/>
      <c r="W235" s="4"/>
      <c r="X235" s="4"/>
      <c r="Y235" s="4"/>
      <c r="Z235" s="4"/>
      <c r="AA235" s="4"/>
    </row>
    <row r="236">
      <c r="A236" s="48"/>
      <c r="B236" s="48"/>
      <c r="C236" s="4"/>
      <c r="D236" s="4"/>
      <c r="E236" s="4"/>
      <c r="F236" s="48"/>
      <c r="G236" s="48"/>
      <c r="H236" s="48"/>
      <c r="I236" s="48"/>
      <c r="J236" s="48"/>
      <c r="K236" s="48"/>
      <c r="L236" s="48"/>
      <c r="M236" s="48"/>
      <c r="N236" s="48"/>
      <c r="O236" s="48"/>
      <c r="P236" s="4"/>
      <c r="Q236" s="4"/>
      <c r="R236" s="4"/>
      <c r="S236" s="4"/>
      <c r="T236" s="4"/>
      <c r="U236" s="4"/>
      <c r="V236" s="4"/>
      <c r="W236" s="4"/>
      <c r="X236" s="4"/>
      <c r="Y236" s="4"/>
      <c r="Z236" s="4"/>
      <c r="AA236" s="4"/>
    </row>
    <row r="237">
      <c r="A237" s="48"/>
      <c r="B237" s="48"/>
      <c r="C237" s="4"/>
      <c r="D237" s="4"/>
      <c r="E237" s="4"/>
      <c r="F237" s="48"/>
      <c r="G237" s="48"/>
      <c r="H237" s="48"/>
      <c r="I237" s="48"/>
      <c r="J237" s="48"/>
      <c r="K237" s="48"/>
      <c r="L237" s="48"/>
      <c r="M237" s="48"/>
      <c r="N237" s="48"/>
      <c r="O237" s="48"/>
      <c r="P237" s="4"/>
      <c r="Q237" s="4"/>
      <c r="R237" s="4"/>
      <c r="S237" s="4"/>
      <c r="T237" s="4"/>
      <c r="U237" s="4"/>
      <c r="V237" s="4"/>
      <c r="W237" s="4"/>
      <c r="X237" s="4"/>
      <c r="Y237" s="4"/>
      <c r="Z237" s="4"/>
      <c r="AA237" s="4"/>
    </row>
    <row r="238">
      <c r="A238" s="48"/>
      <c r="B238" s="48"/>
      <c r="C238" s="4"/>
      <c r="D238" s="4"/>
      <c r="E238" s="4"/>
      <c r="F238" s="48"/>
      <c r="G238" s="48"/>
      <c r="H238" s="48"/>
      <c r="I238" s="48"/>
      <c r="J238" s="48"/>
      <c r="K238" s="48"/>
      <c r="L238" s="48"/>
      <c r="M238" s="48"/>
      <c r="N238" s="48"/>
      <c r="O238" s="48"/>
      <c r="P238" s="4"/>
      <c r="Q238" s="4"/>
      <c r="R238" s="4"/>
      <c r="S238" s="4"/>
      <c r="T238" s="4"/>
      <c r="U238" s="4"/>
      <c r="V238" s="4"/>
      <c r="W238" s="4"/>
      <c r="X238" s="4"/>
      <c r="Y238" s="4"/>
      <c r="Z238" s="4"/>
      <c r="AA238" s="4"/>
    </row>
    <row r="239">
      <c r="A239" s="48"/>
      <c r="B239" s="48"/>
      <c r="C239" s="4"/>
      <c r="D239" s="4"/>
      <c r="E239" s="4"/>
      <c r="F239" s="48"/>
      <c r="G239" s="48"/>
      <c r="H239" s="48"/>
      <c r="I239" s="48"/>
      <c r="J239" s="48"/>
      <c r="K239" s="48"/>
      <c r="L239" s="48"/>
      <c r="M239" s="48"/>
      <c r="N239" s="48"/>
      <c r="O239" s="48"/>
      <c r="P239" s="4"/>
      <c r="Q239" s="4"/>
      <c r="R239" s="4"/>
      <c r="S239" s="4"/>
      <c r="T239" s="4"/>
      <c r="U239" s="4"/>
      <c r="V239" s="4"/>
      <c r="W239" s="4"/>
      <c r="X239" s="4"/>
      <c r="Y239" s="4"/>
      <c r="Z239" s="4"/>
      <c r="AA239" s="4"/>
    </row>
    <row r="240">
      <c r="A240" s="48"/>
      <c r="B240" s="48"/>
      <c r="C240" s="4"/>
      <c r="D240" s="4"/>
      <c r="E240" s="4"/>
      <c r="F240" s="48"/>
      <c r="G240" s="48"/>
      <c r="H240" s="48"/>
      <c r="I240" s="48"/>
      <c r="J240" s="48"/>
      <c r="K240" s="48"/>
      <c r="L240" s="48"/>
      <c r="M240" s="48"/>
      <c r="N240" s="48"/>
      <c r="O240" s="48"/>
      <c r="P240" s="4"/>
      <c r="Q240" s="4"/>
      <c r="R240" s="4"/>
      <c r="S240" s="4"/>
      <c r="T240" s="4"/>
      <c r="U240" s="4"/>
      <c r="V240" s="4"/>
      <c r="W240" s="4"/>
      <c r="X240" s="4"/>
      <c r="Y240" s="4"/>
      <c r="Z240" s="4"/>
      <c r="AA240" s="4"/>
    </row>
    <row r="241">
      <c r="A241" s="48"/>
      <c r="B241" s="48"/>
      <c r="C241" s="4"/>
      <c r="D241" s="4"/>
      <c r="E241" s="4"/>
      <c r="F241" s="48"/>
      <c r="G241" s="48"/>
      <c r="H241" s="48"/>
      <c r="I241" s="48"/>
      <c r="J241" s="48"/>
      <c r="K241" s="48"/>
      <c r="L241" s="48"/>
      <c r="M241" s="48"/>
      <c r="N241" s="48"/>
      <c r="O241" s="48"/>
      <c r="P241" s="4"/>
      <c r="Q241" s="4"/>
      <c r="R241" s="4"/>
      <c r="S241" s="4"/>
      <c r="T241" s="4"/>
      <c r="U241" s="4"/>
      <c r="V241" s="4"/>
      <c r="W241" s="4"/>
      <c r="X241" s="4"/>
      <c r="Y241" s="4"/>
      <c r="Z241" s="4"/>
      <c r="AA241" s="4"/>
    </row>
    <row r="242">
      <c r="A242" s="48"/>
      <c r="B242" s="48"/>
      <c r="C242" s="4"/>
      <c r="D242" s="4"/>
      <c r="E242" s="4"/>
      <c r="F242" s="48"/>
      <c r="G242" s="48"/>
      <c r="H242" s="48"/>
      <c r="I242" s="48"/>
      <c r="J242" s="48"/>
      <c r="K242" s="48"/>
      <c r="L242" s="48"/>
      <c r="M242" s="48"/>
      <c r="N242" s="48"/>
      <c r="O242" s="48"/>
      <c r="P242" s="4"/>
      <c r="Q242" s="4"/>
      <c r="R242" s="4"/>
      <c r="S242" s="4"/>
      <c r="T242" s="4"/>
      <c r="U242" s="4"/>
      <c r="V242" s="4"/>
      <c r="W242" s="4"/>
      <c r="X242" s="4"/>
      <c r="Y242" s="4"/>
      <c r="Z242" s="4"/>
      <c r="AA242" s="4"/>
    </row>
    <row r="243">
      <c r="A243" s="48"/>
      <c r="B243" s="48"/>
      <c r="C243" s="4"/>
      <c r="D243" s="4"/>
      <c r="E243" s="4"/>
      <c r="F243" s="48"/>
      <c r="G243" s="48"/>
      <c r="H243" s="48"/>
      <c r="I243" s="48"/>
      <c r="J243" s="48"/>
      <c r="K243" s="48"/>
      <c r="L243" s="48"/>
      <c r="M243" s="48"/>
      <c r="N243" s="48"/>
      <c r="O243" s="48"/>
      <c r="P243" s="4"/>
      <c r="Q243" s="4"/>
      <c r="R243" s="4"/>
      <c r="S243" s="4"/>
      <c r="T243" s="4"/>
      <c r="U243" s="4"/>
      <c r="V243" s="4"/>
      <c r="W243" s="4"/>
      <c r="X243" s="4"/>
      <c r="Y243" s="4"/>
      <c r="Z243" s="4"/>
      <c r="AA243" s="4"/>
    </row>
    <row r="244">
      <c r="A244" s="48"/>
      <c r="B244" s="48"/>
      <c r="C244" s="4"/>
      <c r="D244" s="4"/>
      <c r="E244" s="4"/>
      <c r="F244" s="48"/>
      <c r="G244" s="48"/>
      <c r="H244" s="48"/>
      <c r="I244" s="48"/>
      <c r="J244" s="48"/>
      <c r="K244" s="48"/>
      <c r="L244" s="48"/>
      <c r="M244" s="48"/>
      <c r="N244" s="48"/>
      <c r="O244" s="48"/>
      <c r="P244" s="4"/>
      <c r="Q244" s="4"/>
      <c r="R244" s="4"/>
      <c r="S244" s="4"/>
      <c r="T244" s="4"/>
      <c r="U244" s="4"/>
      <c r="V244" s="4"/>
      <c r="W244" s="4"/>
      <c r="X244" s="4"/>
      <c r="Y244" s="4"/>
      <c r="Z244" s="4"/>
      <c r="AA244" s="4"/>
    </row>
    <row r="245">
      <c r="A245" s="48"/>
      <c r="B245" s="48"/>
      <c r="C245" s="4"/>
      <c r="D245" s="4"/>
      <c r="E245" s="4"/>
      <c r="F245" s="48"/>
      <c r="G245" s="48"/>
      <c r="H245" s="48"/>
      <c r="I245" s="48"/>
      <c r="J245" s="48"/>
      <c r="K245" s="48"/>
      <c r="L245" s="48"/>
      <c r="M245" s="48"/>
      <c r="N245" s="48"/>
      <c r="O245" s="48"/>
      <c r="P245" s="4"/>
      <c r="Q245" s="4"/>
      <c r="R245" s="4"/>
      <c r="S245" s="4"/>
      <c r="T245" s="4"/>
      <c r="U245" s="4"/>
      <c r="V245" s="4"/>
      <c r="W245" s="4"/>
      <c r="X245" s="4"/>
      <c r="Y245" s="4"/>
      <c r="Z245" s="4"/>
      <c r="AA245" s="4"/>
    </row>
    <row r="246">
      <c r="A246" s="48"/>
      <c r="B246" s="48"/>
      <c r="C246" s="4"/>
      <c r="D246" s="4"/>
      <c r="E246" s="4"/>
      <c r="F246" s="48"/>
      <c r="G246" s="48"/>
      <c r="H246" s="48"/>
      <c r="I246" s="48"/>
      <c r="J246" s="48"/>
      <c r="K246" s="48"/>
      <c r="L246" s="48"/>
      <c r="M246" s="48"/>
      <c r="N246" s="48"/>
      <c r="O246" s="48"/>
      <c r="P246" s="4"/>
      <c r="Q246" s="4"/>
      <c r="R246" s="4"/>
      <c r="S246" s="4"/>
      <c r="T246" s="4"/>
      <c r="U246" s="4"/>
      <c r="V246" s="4"/>
      <c r="W246" s="4"/>
      <c r="X246" s="4"/>
      <c r="Y246" s="4"/>
      <c r="Z246" s="4"/>
      <c r="AA246" s="4"/>
    </row>
    <row r="247">
      <c r="A247" s="48"/>
      <c r="B247" s="48"/>
      <c r="C247" s="4"/>
      <c r="D247" s="4"/>
      <c r="E247" s="4"/>
      <c r="F247" s="48"/>
      <c r="G247" s="48"/>
      <c r="H247" s="48"/>
      <c r="I247" s="48"/>
      <c r="J247" s="48"/>
      <c r="K247" s="48"/>
      <c r="L247" s="48"/>
      <c r="M247" s="48"/>
      <c r="N247" s="48"/>
      <c r="O247" s="48"/>
      <c r="P247" s="4"/>
      <c r="Q247" s="4"/>
      <c r="R247" s="4"/>
      <c r="S247" s="4"/>
      <c r="T247" s="4"/>
      <c r="U247" s="4"/>
      <c r="V247" s="4"/>
      <c r="W247" s="4"/>
      <c r="X247" s="4"/>
      <c r="Y247" s="4"/>
      <c r="Z247" s="4"/>
      <c r="AA247" s="4"/>
    </row>
    <row r="248">
      <c r="A248" s="48"/>
      <c r="B248" s="48"/>
      <c r="C248" s="4"/>
      <c r="D248" s="4"/>
      <c r="E248" s="4"/>
      <c r="F248" s="48"/>
      <c r="G248" s="48"/>
      <c r="H248" s="48"/>
      <c r="I248" s="48"/>
      <c r="J248" s="48"/>
      <c r="K248" s="48"/>
      <c r="L248" s="48"/>
      <c r="M248" s="48"/>
      <c r="N248" s="48"/>
      <c r="O248" s="48"/>
      <c r="P248" s="4"/>
      <c r="Q248" s="4"/>
      <c r="R248" s="4"/>
      <c r="S248" s="4"/>
      <c r="T248" s="4"/>
      <c r="U248" s="4"/>
      <c r="V248" s="4"/>
      <c r="W248" s="4"/>
      <c r="X248" s="4"/>
      <c r="Y248" s="4"/>
      <c r="Z248" s="4"/>
      <c r="AA248" s="4"/>
    </row>
    <row r="249">
      <c r="A249" s="48"/>
      <c r="B249" s="48"/>
      <c r="C249" s="4"/>
      <c r="D249" s="4"/>
      <c r="E249" s="4"/>
      <c r="F249" s="48"/>
      <c r="G249" s="48"/>
      <c r="H249" s="48"/>
      <c r="I249" s="48"/>
      <c r="J249" s="48"/>
      <c r="K249" s="48"/>
      <c r="L249" s="48"/>
      <c r="M249" s="48"/>
      <c r="N249" s="48"/>
      <c r="O249" s="48"/>
      <c r="P249" s="4"/>
      <c r="Q249" s="4"/>
      <c r="R249" s="4"/>
      <c r="S249" s="4"/>
      <c r="T249" s="4"/>
      <c r="U249" s="4"/>
      <c r="V249" s="4"/>
      <c r="W249" s="4"/>
      <c r="X249" s="4"/>
      <c r="Y249" s="4"/>
      <c r="Z249" s="4"/>
      <c r="AA249" s="4"/>
    </row>
    <row r="250">
      <c r="A250" s="48"/>
      <c r="B250" s="48"/>
      <c r="C250" s="4"/>
      <c r="D250" s="4"/>
      <c r="E250" s="4"/>
      <c r="F250" s="48"/>
      <c r="G250" s="48"/>
      <c r="H250" s="48"/>
      <c r="I250" s="48"/>
      <c r="J250" s="48"/>
      <c r="K250" s="48"/>
      <c r="L250" s="48"/>
      <c r="M250" s="48"/>
      <c r="N250" s="48"/>
      <c r="O250" s="48"/>
      <c r="P250" s="4"/>
      <c r="Q250" s="4"/>
      <c r="R250" s="4"/>
      <c r="S250" s="4"/>
      <c r="T250" s="4"/>
      <c r="U250" s="4"/>
      <c r="V250" s="4"/>
      <c r="W250" s="4"/>
      <c r="X250" s="4"/>
      <c r="Y250" s="4"/>
      <c r="Z250" s="4"/>
      <c r="AA250" s="4"/>
    </row>
    <row r="251">
      <c r="A251" s="48"/>
      <c r="B251" s="48"/>
      <c r="C251" s="4"/>
      <c r="D251" s="4"/>
      <c r="E251" s="4"/>
      <c r="F251" s="48"/>
      <c r="G251" s="48"/>
      <c r="H251" s="48"/>
      <c r="I251" s="48"/>
      <c r="J251" s="48"/>
      <c r="K251" s="48"/>
      <c r="L251" s="48"/>
      <c r="M251" s="48"/>
      <c r="N251" s="48"/>
      <c r="O251" s="48"/>
      <c r="P251" s="4"/>
      <c r="Q251" s="4"/>
      <c r="R251" s="4"/>
      <c r="S251" s="4"/>
      <c r="T251" s="4"/>
      <c r="U251" s="4"/>
      <c r="V251" s="4"/>
      <c r="W251" s="4"/>
      <c r="X251" s="4"/>
      <c r="Y251" s="4"/>
      <c r="Z251" s="4"/>
      <c r="AA251" s="4"/>
    </row>
    <row r="252">
      <c r="A252" s="48"/>
      <c r="B252" s="48"/>
      <c r="C252" s="4"/>
      <c r="D252" s="4"/>
      <c r="E252" s="4"/>
      <c r="F252" s="48"/>
      <c r="G252" s="48"/>
      <c r="H252" s="48"/>
      <c r="I252" s="48"/>
      <c r="J252" s="48"/>
      <c r="K252" s="48"/>
      <c r="L252" s="48"/>
      <c r="M252" s="48"/>
      <c r="N252" s="48"/>
      <c r="O252" s="48"/>
      <c r="P252" s="4"/>
      <c r="Q252" s="4"/>
      <c r="R252" s="4"/>
      <c r="S252" s="4"/>
      <c r="T252" s="4"/>
      <c r="U252" s="4"/>
      <c r="V252" s="4"/>
      <c r="W252" s="4"/>
      <c r="X252" s="4"/>
      <c r="Y252" s="4"/>
      <c r="Z252" s="4"/>
      <c r="AA252" s="4"/>
    </row>
    <row r="253">
      <c r="A253" s="48"/>
      <c r="B253" s="48"/>
      <c r="C253" s="4"/>
      <c r="D253" s="4"/>
      <c r="E253" s="4"/>
      <c r="F253" s="48"/>
      <c r="G253" s="48"/>
      <c r="H253" s="48"/>
      <c r="I253" s="48"/>
      <c r="J253" s="48"/>
      <c r="K253" s="48"/>
      <c r="L253" s="48"/>
      <c r="M253" s="48"/>
      <c r="N253" s="48"/>
      <c r="O253" s="48"/>
      <c r="P253" s="4"/>
      <c r="Q253" s="4"/>
      <c r="R253" s="4"/>
      <c r="S253" s="4"/>
      <c r="T253" s="4"/>
      <c r="U253" s="4"/>
      <c r="V253" s="4"/>
      <c r="W253" s="4"/>
      <c r="X253" s="4"/>
      <c r="Y253" s="4"/>
      <c r="Z253" s="4"/>
      <c r="AA253" s="4"/>
    </row>
    <row r="254">
      <c r="A254" s="48"/>
      <c r="B254" s="48"/>
      <c r="C254" s="4"/>
      <c r="D254" s="4"/>
      <c r="E254" s="4"/>
      <c r="F254" s="48"/>
      <c r="G254" s="48"/>
      <c r="H254" s="48"/>
      <c r="I254" s="48"/>
      <c r="J254" s="48"/>
      <c r="K254" s="48"/>
      <c r="L254" s="48"/>
      <c r="M254" s="48"/>
      <c r="N254" s="48"/>
      <c r="O254" s="48"/>
      <c r="P254" s="4"/>
      <c r="Q254" s="4"/>
      <c r="R254" s="4"/>
      <c r="S254" s="4"/>
      <c r="T254" s="4"/>
      <c r="U254" s="4"/>
      <c r="V254" s="4"/>
      <c r="W254" s="4"/>
      <c r="X254" s="4"/>
      <c r="Y254" s="4"/>
      <c r="Z254" s="4"/>
      <c r="AA254" s="4"/>
    </row>
    <row r="255">
      <c r="A255" s="48"/>
      <c r="B255" s="48"/>
      <c r="C255" s="4"/>
      <c r="D255" s="4"/>
      <c r="E255" s="4"/>
      <c r="F255" s="48"/>
      <c r="G255" s="48"/>
      <c r="H255" s="48"/>
      <c r="I255" s="48"/>
      <c r="J255" s="48"/>
      <c r="K255" s="48"/>
      <c r="L255" s="48"/>
      <c r="M255" s="48"/>
      <c r="N255" s="48"/>
      <c r="O255" s="48"/>
      <c r="P255" s="4"/>
      <c r="Q255" s="4"/>
      <c r="R255" s="4"/>
      <c r="S255" s="4"/>
      <c r="T255" s="4"/>
      <c r="U255" s="4"/>
      <c r="V255" s="4"/>
      <c r="W255" s="4"/>
      <c r="X255" s="4"/>
      <c r="Y255" s="4"/>
      <c r="Z255" s="4"/>
      <c r="AA255" s="4"/>
    </row>
    <row r="256">
      <c r="A256" s="48"/>
      <c r="B256" s="48"/>
      <c r="C256" s="4"/>
      <c r="D256" s="4"/>
      <c r="E256" s="4"/>
      <c r="F256" s="48"/>
      <c r="G256" s="48"/>
      <c r="H256" s="48"/>
      <c r="I256" s="48"/>
      <c r="J256" s="48"/>
      <c r="K256" s="48"/>
      <c r="L256" s="48"/>
      <c r="M256" s="48"/>
      <c r="N256" s="48"/>
      <c r="O256" s="48"/>
      <c r="P256" s="4"/>
      <c r="Q256" s="4"/>
      <c r="R256" s="4"/>
      <c r="S256" s="4"/>
      <c r="T256" s="4"/>
      <c r="U256" s="4"/>
      <c r="V256" s="4"/>
      <c r="W256" s="4"/>
      <c r="X256" s="4"/>
      <c r="Y256" s="4"/>
      <c r="Z256" s="4"/>
      <c r="AA256" s="4"/>
    </row>
    <row r="257">
      <c r="A257" s="48"/>
      <c r="B257" s="48"/>
      <c r="C257" s="4"/>
      <c r="D257" s="4"/>
      <c r="E257" s="4"/>
      <c r="F257" s="48"/>
      <c r="G257" s="48"/>
      <c r="H257" s="48"/>
      <c r="I257" s="48"/>
      <c r="J257" s="48"/>
      <c r="K257" s="48"/>
      <c r="L257" s="48"/>
      <c r="M257" s="48"/>
      <c r="N257" s="48"/>
      <c r="O257" s="48"/>
      <c r="P257" s="4"/>
      <c r="Q257" s="4"/>
      <c r="R257" s="4"/>
      <c r="S257" s="4"/>
      <c r="T257" s="4"/>
      <c r="U257" s="4"/>
      <c r="V257" s="4"/>
      <c r="W257" s="4"/>
      <c r="X257" s="4"/>
      <c r="Y257" s="4"/>
      <c r="Z257" s="4"/>
      <c r="AA257" s="4"/>
    </row>
    <row r="258">
      <c r="A258" s="48"/>
      <c r="B258" s="48"/>
      <c r="C258" s="4"/>
      <c r="D258" s="4"/>
      <c r="E258" s="4"/>
      <c r="F258" s="48"/>
      <c r="G258" s="48"/>
      <c r="H258" s="48"/>
      <c r="I258" s="48"/>
      <c r="J258" s="48"/>
      <c r="K258" s="48"/>
      <c r="L258" s="48"/>
      <c r="M258" s="48"/>
      <c r="N258" s="48"/>
      <c r="O258" s="48"/>
      <c r="P258" s="4"/>
      <c r="Q258" s="4"/>
      <c r="R258" s="4"/>
      <c r="S258" s="4"/>
      <c r="T258" s="4"/>
      <c r="U258" s="4"/>
      <c r="V258" s="4"/>
      <c r="W258" s="4"/>
      <c r="X258" s="4"/>
      <c r="Y258" s="4"/>
      <c r="Z258" s="4"/>
      <c r="AA258" s="4"/>
    </row>
    <row r="259">
      <c r="A259" s="48"/>
      <c r="B259" s="48"/>
      <c r="C259" s="4"/>
      <c r="D259" s="4"/>
      <c r="E259" s="4"/>
      <c r="F259" s="48"/>
      <c r="G259" s="48"/>
      <c r="H259" s="48"/>
      <c r="I259" s="48"/>
      <c r="J259" s="48"/>
      <c r="K259" s="48"/>
      <c r="L259" s="48"/>
      <c r="M259" s="48"/>
      <c r="N259" s="48"/>
      <c r="O259" s="48"/>
      <c r="P259" s="4"/>
      <c r="Q259" s="4"/>
      <c r="R259" s="4"/>
      <c r="S259" s="4"/>
      <c r="T259" s="4"/>
      <c r="U259" s="4"/>
      <c r="V259" s="4"/>
      <c r="W259" s="4"/>
      <c r="X259" s="4"/>
      <c r="Y259" s="4"/>
      <c r="Z259" s="4"/>
      <c r="AA259" s="4"/>
    </row>
    <row r="260">
      <c r="A260" s="48"/>
      <c r="B260" s="48"/>
      <c r="C260" s="4"/>
      <c r="D260" s="4"/>
      <c r="E260" s="4"/>
      <c r="F260" s="48"/>
      <c r="G260" s="48"/>
      <c r="H260" s="48"/>
      <c r="I260" s="48"/>
      <c r="J260" s="48"/>
      <c r="K260" s="48"/>
      <c r="L260" s="48"/>
      <c r="M260" s="48"/>
      <c r="N260" s="48"/>
      <c r="O260" s="48"/>
      <c r="P260" s="4"/>
      <c r="Q260" s="4"/>
      <c r="R260" s="4"/>
      <c r="S260" s="4"/>
      <c r="T260" s="4"/>
      <c r="U260" s="4"/>
      <c r="V260" s="4"/>
      <c r="W260" s="4"/>
      <c r="X260" s="4"/>
      <c r="Y260" s="4"/>
      <c r="Z260" s="4"/>
      <c r="AA260" s="4"/>
    </row>
    <row r="261">
      <c r="A261" s="48"/>
      <c r="B261" s="48"/>
      <c r="C261" s="4"/>
      <c r="D261" s="4"/>
      <c r="E261" s="4"/>
      <c r="F261" s="48"/>
      <c r="G261" s="48"/>
      <c r="H261" s="48"/>
      <c r="I261" s="48"/>
      <c r="J261" s="48"/>
      <c r="K261" s="48"/>
      <c r="L261" s="48"/>
      <c r="M261" s="48"/>
      <c r="N261" s="48"/>
      <c r="O261" s="48"/>
      <c r="P261" s="4"/>
      <c r="Q261" s="4"/>
      <c r="R261" s="4"/>
      <c r="S261" s="4"/>
      <c r="T261" s="4"/>
      <c r="U261" s="4"/>
      <c r="V261" s="4"/>
      <c r="W261" s="4"/>
      <c r="X261" s="4"/>
      <c r="Y261" s="4"/>
      <c r="Z261" s="4"/>
      <c r="AA261" s="4"/>
    </row>
    <row r="262">
      <c r="A262" s="48"/>
      <c r="B262" s="48"/>
      <c r="C262" s="4"/>
      <c r="D262" s="4"/>
      <c r="E262" s="4"/>
      <c r="F262" s="48"/>
      <c r="G262" s="48"/>
      <c r="H262" s="48"/>
      <c r="I262" s="48"/>
      <c r="J262" s="48"/>
      <c r="K262" s="48"/>
      <c r="L262" s="48"/>
      <c r="M262" s="48"/>
      <c r="N262" s="48"/>
      <c r="O262" s="48"/>
      <c r="P262" s="4"/>
      <c r="Q262" s="4"/>
      <c r="R262" s="4"/>
      <c r="S262" s="4"/>
      <c r="T262" s="4"/>
      <c r="U262" s="4"/>
      <c r="V262" s="4"/>
      <c r="W262" s="4"/>
      <c r="X262" s="4"/>
      <c r="Y262" s="4"/>
      <c r="Z262" s="4"/>
      <c r="AA262" s="4"/>
    </row>
    <row r="263">
      <c r="A263" s="48"/>
      <c r="B263" s="48"/>
      <c r="C263" s="4"/>
      <c r="D263" s="4"/>
      <c r="E263" s="4"/>
      <c r="F263" s="48"/>
      <c r="G263" s="48"/>
      <c r="H263" s="48"/>
      <c r="I263" s="48"/>
      <c r="J263" s="48"/>
      <c r="K263" s="48"/>
      <c r="L263" s="48"/>
      <c r="M263" s="48"/>
      <c r="N263" s="48"/>
      <c r="O263" s="48"/>
      <c r="P263" s="4"/>
      <c r="Q263" s="4"/>
      <c r="R263" s="4"/>
      <c r="S263" s="4"/>
      <c r="T263" s="4"/>
      <c r="U263" s="4"/>
      <c r="V263" s="4"/>
      <c r="W263" s="4"/>
      <c r="X263" s="4"/>
      <c r="Y263" s="4"/>
      <c r="Z263" s="4"/>
      <c r="AA263" s="4"/>
    </row>
    <row r="264">
      <c r="A264" s="48"/>
      <c r="B264" s="48"/>
      <c r="C264" s="4"/>
      <c r="D264" s="4"/>
      <c r="E264" s="4"/>
      <c r="F264" s="48"/>
      <c r="G264" s="48"/>
      <c r="H264" s="48"/>
      <c r="I264" s="48"/>
      <c r="J264" s="48"/>
      <c r="K264" s="48"/>
      <c r="L264" s="48"/>
      <c r="M264" s="48"/>
      <c r="N264" s="48"/>
      <c r="O264" s="48"/>
      <c r="P264" s="4"/>
      <c r="Q264" s="4"/>
      <c r="R264" s="4"/>
      <c r="S264" s="4"/>
      <c r="T264" s="4"/>
      <c r="U264" s="4"/>
      <c r="V264" s="4"/>
      <c r="W264" s="4"/>
      <c r="X264" s="4"/>
      <c r="Y264" s="4"/>
      <c r="Z264" s="4"/>
      <c r="AA264" s="4"/>
    </row>
    <row r="265">
      <c r="A265" s="48"/>
      <c r="B265" s="48"/>
      <c r="C265" s="4"/>
      <c r="D265" s="4"/>
      <c r="E265" s="4"/>
      <c r="F265" s="48"/>
      <c r="G265" s="48"/>
      <c r="H265" s="48"/>
      <c r="I265" s="48"/>
      <c r="J265" s="48"/>
      <c r="K265" s="48"/>
      <c r="L265" s="48"/>
      <c r="M265" s="48"/>
      <c r="N265" s="48"/>
      <c r="O265" s="48"/>
      <c r="P265" s="4"/>
      <c r="Q265" s="4"/>
      <c r="R265" s="4"/>
      <c r="S265" s="4"/>
      <c r="T265" s="4"/>
      <c r="U265" s="4"/>
      <c r="V265" s="4"/>
      <c r="W265" s="4"/>
      <c r="X265" s="4"/>
      <c r="Y265" s="4"/>
      <c r="Z265" s="4"/>
      <c r="AA265" s="4"/>
    </row>
    <row r="266">
      <c r="A266" s="48"/>
      <c r="B266" s="48"/>
      <c r="C266" s="4"/>
      <c r="D266" s="4"/>
      <c r="E266" s="4"/>
      <c r="F266" s="48"/>
      <c r="G266" s="48"/>
      <c r="H266" s="48"/>
      <c r="I266" s="48"/>
      <c r="J266" s="48"/>
      <c r="K266" s="48"/>
      <c r="L266" s="48"/>
      <c r="M266" s="48"/>
      <c r="N266" s="48"/>
      <c r="O266" s="48"/>
      <c r="P266" s="4"/>
      <c r="Q266" s="4"/>
      <c r="R266" s="4"/>
      <c r="S266" s="4"/>
      <c r="T266" s="4"/>
      <c r="U266" s="4"/>
      <c r="V266" s="4"/>
      <c r="W266" s="4"/>
      <c r="X266" s="4"/>
      <c r="Y266" s="4"/>
      <c r="Z266" s="4"/>
      <c r="AA266" s="4"/>
    </row>
    <row r="267">
      <c r="A267" s="48"/>
      <c r="B267" s="48"/>
      <c r="C267" s="4"/>
      <c r="D267" s="4"/>
      <c r="E267" s="4"/>
      <c r="F267" s="48"/>
      <c r="G267" s="48"/>
      <c r="H267" s="48"/>
      <c r="I267" s="48"/>
      <c r="J267" s="48"/>
      <c r="K267" s="48"/>
      <c r="L267" s="48"/>
      <c r="M267" s="48"/>
      <c r="N267" s="48"/>
      <c r="O267" s="48"/>
      <c r="P267" s="4"/>
      <c r="Q267" s="4"/>
      <c r="R267" s="4"/>
      <c r="S267" s="4"/>
      <c r="T267" s="4"/>
      <c r="U267" s="4"/>
      <c r="V267" s="4"/>
      <c r="W267" s="4"/>
      <c r="X267" s="4"/>
      <c r="Y267" s="4"/>
      <c r="Z267" s="4"/>
      <c r="AA267" s="4"/>
    </row>
    <row r="268">
      <c r="A268" s="48"/>
      <c r="B268" s="48"/>
      <c r="C268" s="4"/>
      <c r="D268" s="4"/>
      <c r="E268" s="4"/>
      <c r="F268" s="48"/>
      <c r="G268" s="48"/>
      <c r="H268" s="48"/>
      <c r="I268" s="48"/>
      <c r="J268" s="48"/>
      <c r="K268" s="48"/>
      <c r="L268" s="48"/>
      <c r="M268" s="48"/>
      <c r="N268" s="48"/>
      <c r="O268" s="48"/>
      <c r="P268" s="4"/>
      <c r="Q268" s="4"/>
      <c r="R268" s="4"/>
      <c r="S268" s="4"/>
      <c r="T268" s="4"/>
      <c r="U268" s="4"/>
      <c r="V268" s="4"/>
      <c r="W268" s="4"/>
      <c r="X268" s="4"/>
      <c r="Y268" s="4"/>
      <c r="Z268" s="4"/>
      <c r="AA268" s="4"/>
    </row>
    <row r="269">
      <c r="A269" s="48"/>
      <c r="B269" s="48"/>
      <c r="C269" s="4"/>
      <c r="D269" s="4"/>
      <c r="E269" s="4"/>
      <c r="F269" s="48"/>
      <c r="G269" s="48"/>
      <c r="H269" s="48"/>
      <c r="I269" s="48"/>
      <c r="J269" s="48"/>
      <c r="K269" s="48"/>
      <c r="L269" s="48"/>
      <c r="M269" s="48"/>
      <c r="N269" s="48"/>
      <c r="O269" s="48"/>
      <c r="P269" s="4"/>
      <c r="Q269" s="4"/>
      <c r="R269" s="4"/>
      <c r="S269" s="4"/>
      <c r="T269" s="4"/>
      <c r="U269" s="4"/>
      <c r="V269" s="4"/>
      <c r="W269" s="4"/>
      <c r="X269" s="4"/>
      <c r="Y269" s="4"/>
      <c r="Z269" s="4"/>
      <c r="AA269" s="4"/>
    </row>
    <row r="270">
      <c r="A270" s="48"/>
      <c r="B270" s="48"/>
      <c r="C270" s="4"/>
      <c r="D270" s="4"/>
      <c r="E270" s="4"/>
      <c r="F270" s="48"/>
      <c r="G270" s="48"/>
      <c r="H270" s="48"/>
      <c r="I270" s="48"/>
      <c r="J270" s="48"/>
      <c r="K270" s="48"/>
      <c r="L270" s="48"/>
      <c r="M270" s="48"/>
      <c r="N270" s="48"/>
      <c r="O270" s="48"/>
      <c r="P270" s="4"/>
      <c r="Q270" s="4"/>
      <c r="R270" s="4"/>
      <c r="S270" s="4"/>
      <c r="T270" s="4"/>
      <c r="U270" s="4"/>
      <c r="V270" s="4"/>
      <c r="W270" s="4"/>
      <c r="X270" s="4"/>
      <c r="Y270" s="4"/>
      <c r="Z270" s="4"/>
      <c r="AA270" s="4"/>
    </row>
    <row r="271">
      <c r="A271" s="48"/>
      <c r="B271" s="48"/>
      <c r="C271" s="4"/>
      <c r="D271" s="4"/>
      <c r="E271" s="4"/>
      <c r="F271" s="48"/>
      <c r="G271" s="48"/>
      <c r="H271" s="48"/>
      <c r="I271" s="48"/>
      <c r="J271" s="48"/>
      <c r="K271" s="48"/>
      <c r="L271" s="48"/>
      <c r="M271" s="48"/>
      <c r="N271" s="48"/>
      <c r="O271" s="48"/>
      <c r="P271" s="4"/>
      <c r="Q271" s="4"/>
      <c r="R271" s="4"/>
      <c r="S271" s="4"/>
      <c r="T271" s="4"/>
      <c r="U271" s="4"/>
      <c r="V271" s="4"/>
      <c r="W271" s="4"/>
      <c r="X271" s="4"/>
      <c r="Y271" s="4"/>
      <c r="Z271" s="4"/>
      <c r="AA271" s="4"/>
    </row>
    <row r="272">
      <c r="A272" s="48"/>
      <c r="B272" s="48"/>
      <c r="C272" s="4"/>
      <c r="D272" s="4"/>
      <c r="E272" s="4"/>
      <c r="F272" s="48"/>
      <c r="G272" s="48"/>
      <c r="H272" s="48"/>
      <c r="I272" s="48"/>
      <c r="J272" s="48"/>
      <c r="K272" s="48"/>
      <c r="L272" s="48"/>
      <c r="M272" s="48"/>
      <c r="N272" s="48"/>
      <c r="O272" s="48"/>
      <c r="P272" s="4"/>
      <c r="Q272" s="4"/>
      <c r="R272" s="4"/>
      <c r="S272" s="4"/>
      <c r="T272" s="4"/>
      <c r="U272" s="4"/>
      <c r="V272" s="4"/>
      <c r="W272" s="4"/>
      <c r="X272" s="4"/>
      <c r="Y272" s="4"/>
      <c r="Z272" s="4"/>
      <c r="AA272" s="4"/>
    </row>
    <row r="273">
      <c r="A273" s="48"/>
      <c r="B273" s="48"/>
      <c r="C273" s="4"/>
      <c r="D273" s="4"/>
      <c r="E273" s="4"/>
      <c r="F273" s="48"/>
      <c r="G273" s="48"/>
      <c r="H273" s="48"/>
      <c r="I273" s="48"/>
      <c r="J273" s="48"/>
      <c r="K273" s="48"/>
      <c r="L273" s="48"/>
      <c r="M273" s="48"/>
      <c r="N273" s="48"/>
      <c r="O273" s="48"/>
      <c r="P273" s="4"/>
      <c r="Q273" s="4"/>
      <c r="R273" s="4"/>
      <c r="S273" s="4"/>
      <c r="T273" s="4"/>
      <c r="U273" s="4"/>
      <c r="V273" s="4"/>
      <c r="W273" s="4"/>
      <c r="X273" s="4"/>
      <c r="Y273" s="4"/>
      <c r="Z273" s="4"/>
      <c r="AA273" s="4"/>
    </row>
    <row r="274">
      <c r="A274" s="48"/>
      <c r="B274" s="48"/>
      <c r="C274" s="4"/>
      <c r="D274" s="4"/>
      <c r="E274" s="4"/>
      <c r="F274" s="48"/>
      <c r="G274" s="48"/>
      <c r="H274" s="48"/>
      <c r="I274" s="48"/>
      <c r="J274" s="48"/>
      <c r="K274" s="48"/>
      <c r="L274" s="48"/>
      <c r="M274" s="48"/>
      <c r="N274" s="48"/>
      <c r="O274" s="48"/>
      <c r="P274" s="4"/>
      <c r="Q274" s="4"/>
      <c r="R274" s="4"/>
      <c r="S274" s="4"/>
      <c r="T274" s="4"/>
      <c r="U274" s="4"/>
      <c r="V274" s="4"/>
      <c r="W274" s="4"/>
      <c r="X274" s="4"/>
      <c r="Y274" s="4"/>
      <c r="Z274" s="4"/>
      <c r="AA274" s="4"/>
    </row>
    <row r="275">
      <c r="A275" s="48"/>
      <c r="B275" s="48"/>
      <c r="C275" s="4"/>
      <c r="D275" s="4"/>
      <c r="E275" s="4"/>
      <c r="F275" s="48"/>
      <c r="G275" s="48"/>
      <c r="H275" s="48"/>
      <c r="I275" s="48"/>
      <c r="J275" s="48"/>
      <c r="K275" s="48"/>
      <c r="L275" s="48"/>
      <c r="M275" s="48"/>
      <c r="N275" s="48"/>
      <c r="O275" s="48"/>
      <c r="P275" s="4"/>
      <c r="Q275" s="4"/>
      <c r="R275" s="4"/>
      <c r="S275" s="4"/>
      <c r="T275" s="4"/>
      <c r="U275" s="4"/>
      <c r="V275" s="4"/>
      <c r="W275" s="4"/>
      <c r="X275" s="4"/>
      <c r="Y275" s="4"/>
      <c r="Z275" s="4"/>
      <c r="AA275" s="4"/>
    </row>
    <row r="276">
      <c r="A276" s="48"/>
      <c r="B276" s="48"/>
      <c r="C276" s="4"/>
      <c r="D276" s="4"/>
      <c r="E276" s="4"/>
      <c r="F276" s="48"/>
      <c r="G276" s="48"/>
      <c r="H276" s="48"/>
      <c r="I276" s="48"/>
      <c r="J276" s="48"/>
      <c r="K276" s="48"/>
      <c r="L276" s="48"/>
      <c r="M276" s="48"/>
      <c r="N276" s="48"/>
      <c r="O276" s="48"/>
      <c r="P276" s="4"/>
      <c r="Q276" s="4"/>
      <c r="R276" s="4"/>
      <c r="S276" s="4"/>
      <c r="T276" s="4"/>
      <c r="U276" s="4"/>
      <c r="V276" s="4"/>
      <c r="W276" s="4"/>
      <c r="X276" s="4"/>
      <c r="Y276" s="4"/>
      <c r="Z276" s="4"/>
      <c r="AA276" s="4"/>
    </row>
    <row r="277">
      <c r="A277" s="48"/>
      <c r="B277" s="48"/>
      <c r="C277" s="4"/>
      <c r="D277" s="4"/>
      <c r="E277" s="4"/>
      <c r="F277" s="48"/>
      <c r="G277" s="48"/>
      <c r="H277" s="48"/>
      <c r="I277" s="48"/>
      <c r="J277" s="48"/>
      <c r="K277" s="48"/>
      <c r="L277" s="48"/>
      <c r="M277" s="48"/>
      <c r="N277" s="48"/>
      <c r="O277" s="48"/>
      <c r="P277" s="4"/>
      <c r="Q277" s="4"/>
      <c r="R277" s="4"/>
      <c r="S277" s="4"/>
      <c r="T277" s="4"/>
      <c r="U277" s="4"/>
      <c r="V277" s="4"/>
      <c r="W277" s="4"/>
      <c r="X277" s="4"/>
      <c r="Y277" s="4"/>
      <c r="Z277" s="4"/>
      <c r="AA277" s="4"/>
    </row>
    <row r="278">
      <c r="A278" s="48"/>
      <c r="B278" s="48"/>
      <c r="C278" s="4"/>
      <c r="D278" s="4"/>
      <c r="E278" s="4"/>
      <c r="F278" s="48"/>
      <c r="G278" s="48"/>
      <c r="H278" s="48"/>
      <c r="I278" s="48"/>
      <c r="J278" s="48"/>
      <c r="K278" s="48"/>
      <c r="L278" s="48"/>
      <c r="M278" s="48"/>
      <c r="N278" s="48"/>
      <c r="O278" s="48"/>
      <c r="P278" s="4"/>
      <c r="Q278" s="4"/>
      <c r="R278" s="4"/>
      <c r="S278" s="4"/>
      <c r="T278" s="4"/>
      <c r="U278" s="4"/>
      <c r="V278" s="4"/>
      <c r="W278" s="4"/>
      <c r="X278" s="4"/>
      <c r="Y278" s="4"/>
      <c r="Z278" s="4"/>
      <c r="AA278" s="4"/>
    </row>
    <row r="279">
      <c r="A279" s="48"/>
      <c r="B279" s="48"/>
      <c r="C279" s="4"/>
      <c r="D279" s="4"/>
      <c r="E279" s="4"/>
      <c r="F279" s="48"/>
      <c r="G279" s="48"/>
      <c r="H279" s="48"/>
      <c r="I279" s="48"/>
      <c r="J279" s="48"/>
      <c r="K279" s="48"/>
      <c r="L279" s="48"/>
      <c r="M279" s="48"/>
      <c r="N279" s="48"/>
      <c r="O279" s="48"/>
      <c r="P279" s="4"/>
      <c r="Q279" s="4"/>
      <c r="R279" s="4"/>
      <c r="S279" s="4"/>
      <c r="T279" s="4"/>
      <c r="U279" s="4"/>
      <c r="V279" s="4"/>
      <c r="W279" s="4"/>
      <c r="X279" s="4"/>
      <c r="Y279" s="4"/>
      <c r="Z279" s="4"/>
      <c r="AA279" s="4"/>
    </row>
    <row r="280">
      <c r="A280" s="48"/>
      <c r="B280" s="48"/>
      <c r="C280" s="4"/>
      <c r="D280" s="4"/>
      <c r="E280" s="4"/>
      <c r="F280" s="48"/>
      <c r="G280" s="48"/>
      <c r="H280" s="48"/>
      <c r="I280" s="48"/>
      <c r="J280" s="48"/>
      <c r="K280" s="48"/>
      <c r="L280" s="48"/>
      <c r="M280" s="48"/>
      <c r="N280" s="48"/>
      <c r="O280" s="48"/>
      <c r="P280" s="4"/>
      <c r="Q280" s="4"/>
      <c r="R280" s="4"/>
      <c r="S280" s="4"/>
      <c r="T280" s="4"/>
      <c r="U280" s="4"/>
      <c r="V280" s="4"/>
      <c r="W280" s="4"/>
      <c r="X280" s="4"/>
      <c r="Y280" s="4"/>
      <c r="Z280" s="4"/>
      <c r="AA280" s="4"/>
    </row>
    <row r="281">
      <c r="A281" s="48"/>
      <c r="B281" s="48"/>
      <c r="C281" s="4"/>
      <c r="D281" s="4"/>
      <c r="E281" s="4"/>
      <c r="F281" s="48"/>
      <c r="G281" s="48"/>
      <c r="H281" s="48"/>
      <c r="I281" s="48"/>
      <c r="J281" s="48"/>
      <c r="K281" s="48"/>
      <c r="L281" s="48"/>
      <c r="M281" s="48"/>
      <c r="N281" s="48"/>
      <c r="O281" s="48"/>
      <c r="P281" s="4"/>
      <c r="Q281" s="4"/>
      <c r="R281" s="4"/>
      <c r="S281" s="4"/>
      <c r="T281" s="4"/>
      <c r="U281" s="4"/>
      <c r="V281" s="4"/>
      <c r="W281" s="4"/>
      <c r="X281" s="4"/>
      <c r="Y281" s="4"/>
      <c r="Z281" s="4"/>
      <c r="AA281" s="4"/>
    </row>
    <row r="282">
      <c r="A282" s="48"/>
      <c r="B282" s="48"/>
      <c r="C282" s="4"/>
      <c r="D282" s="4"/>
      <c r="E282" s="4"/>
      <c r="F282" s="48"/>
      <c r="G282" s="48"/>
      <c r="H282" s="48"/>
      <c r="I282" s="48"/>
      <c r="J282" s="48"/>
      <c r="K282" s="48"/>
      <c r="L282" s="48"/>
      <c r="M282" s="48"/>
      <c r="N282" s="48"/>
      <c r="O282" s="48"/>
      <c r="P282" s="4"/>
      <c r="Q282" s="4"/>
      <c r="R282" s="4"/>
      <c r="S282" s="4"/>
      <c r="T282" s="4"/>
      <c r="U282" s="4"/>
      <c r="V282" s="4"/>
      <c r="W282" s="4"/>
      <c r="X282" s="4"/>
      <c r="Y282" s="4"/>
      <c r="Z282" s="4"/>
      <c r="AA282" s="4"/>
    </row>
    <row r="283">
      <c r="A283" s="48"/>
      <c r="B283" s="48"/>
      <c r="C283" s="4"/>
      <c r="D283" s="4"/>
      <c r="E283" s="4"/>
      <c r="F283" s="48"/>
      <c r="G283" s="48"/>
      <c r="H283" s="48"/>
      <c r="I283" s="48"/>
      <c r="J283" s="48"/>
      <c r="K283" s="48"/>
      <c r="L283" s="48"/>
      <c r="M283" s="48"/>
      <c r="N283" s="48"/>
      <c r="O283" s="48"/>
      <c r="P283" s="4"/>
      <c r="Q283" s="4"/>
      <c r="R283" s="4"/>
      <c r="S283" s="4"/>
      <c r="T283" s="4"/>
      <c r="U283" s="4"/>
      <c r="V283" s="4"/>
      <c r="W283" s="4"/>
      <c r="X283" s="4"/>
      <c r="Y283" s="4"/>
      <c r="Z283" s="4"/>
      <c r="AA283" s="4"/>
    </row>
    <row r="284">
      <c r="A284" s="48"/>
      <c r="B284" s="48"/>
      <c r="C284" s="4"/>
      <c r="D284" s="4"/>
      <c r="E284" s="4"/>
      <c r="F284" s="48"/>
      <c r="G284" s="48"/>
      <c r="H284" s="48"/>
      <c r="I284" s="48"/>
      <c r="J284" s="48"/>
      <c r="K284" s="48"/>
      <c r="L284" s="48"/>
      <c r="M284" s="48"/>
      <c r="N284" s="48"/>
      <c r="O284" s="48"/>
      <c r="P284" s="4"/>
      <c r="Q284" s="4"/>
      <c r="R284" s="4"/>
      <c r="S284" s="4"/>
      <c r="T284" s="4"/>
      <c r="U284" s="4"/>
      <c r="V284" s="4"/>
      <c r="W284" s="4"/>
      <c r="X284" s="4"/>
      <c r="Y284" s="4"/>
      <c r="Z284" s="4"/>
      <c r="AA284" s="4"/>
    </row>
    <row r="285">
      <c r="A285" s="48"/>
      <c r="B285" s="48"/>
      <c r="C285" s="4"/>
      <c r="D285" s="4"/>
      <c r="E285" s="4"/>
      <c r="F285" s="48"/>
      <c r="G285" s="48"/>
      <c r="H285" s="48"/>
      <c r="I285" s="48"/>
      <c r="J285" s="48"/>
      <c r="K285" s="48"/>
      <c r="L285" s="48"/>
      <c r="M285" s="48"/>
      <c r="N285" s="48"/>
      <c r="O285" s="48"/>
      <c r="P285" s="4"/>
      <c r="Q285" s="4"/>
      <c r="R285" s="4"/>
      <c r="S285" s="4"/>
      <c r="T285" s="4"/>
      <c r="U285" s="4"/>
      <c r="V285" s="4"/>
      <c r="W285" s="4"/>
      <c r="X285" s="4"/>
      <c r="Y285" s="4"/>
      <c r="Z285" s="4"/>
      <c r="AA285" s="4"/>
    </row>
    <row r="286">
      <c r="A286" s="48"/>
      <c r="B286" s="48"/>
      <c r="C286" s="4"/>
      <c r="D286" s="4"/>
      <c r="E286" s="4"/>
      <c r="F286" s="48"/>
      <c r="G286" s="48"/>
      <c r="H286" s="48"/>
      <c r="I286" s="48"/>
      <c r="J286" s="48"/>
      <c r="K286" s="48"/>
      <c r="L286" s="48"/>
      <c r="M286" s="48"/>
      <c r="N286" s="48"/>
      <c r="O286" s="48"/>
      <c r="P286" s="4"/>
      <c r="Q286" s="4"/>
      <c r="R286" s="4"/>
      <c r="S286" s="4"/>
      <c r="T286" s="4"/>
      <c r="U286" s="4"/>
      <c r="V286" s="4"/>
      <c r="W286" s="4"/>
      <c r="X286" s="4"/>
      <c r="Y286" s="4"/>
      <c r="Z286" s="4"/>
      <c r="AA286" s="4"/>
    </row>
    <row r="287">
      <c r="A287" s="48"/>
      <c r="B287" s="48"/>
      <c r="C287" s="4"/>
      <c r="D287" s="4"/>
      <c r="E287" s="4"/>
      <c r="F287" s="48"/>
      <c r="G287" s="48"/>
      <c r="H287" s="48"/>
      <c r="I287" s="48"/>
      <c r="J287" s="48"/>
      <c r="K287" s="48"/>
      <c r="L287" s="48"/>
      <c r="M287" s="48"/>
      <c r="N287" s="48"/>
      <c r="O287" s="48"/>
      <c r="P287" s="4"/>
      <c r="Q287" s="4"/>
      <c r="R287" s="4"/>
      <c r="S287" s="4"/>
      <c r="T287" s="4"/>
      <c r="U287" s="4"/>
      <c r="V287" s="4"/>
      <c r="W287" s="4"/>
      <c r="X287" s="4"/>
      <c r="Y287" s="4"/>
      <c r="Z287" s="4"/>
      <c r="AA287" s="4"/>
    </row>
    <row r="288">
      <c r="A288" s="48"/>
      <c r="B288" s="48"/>
      <c r="C288" s="4"/>
      <c r="D288" s="4"/>
      <c r="E288" s="4"/>
      <c r="F288" s="48"/>
      <c r="G288" s="48"/>
      <c r="H288" s="48"/>
      <c r="I288" s="48"/>
      <c r="J288" s="48"/>
      <c r="K288" s="48"/>
      <c r="L288" s="48"/>
      <c r="M288" s="48"/>
      <c r="N288" s="48"/>
      <c r="O288" s="48"/>
      <c r="P288" s="4"/>
      <c r="Q288" s="4"/>
      <c r="R288" s="4"/>
      <c r="S288" s="4"/>
      <c r="T288" s="4"/>
      <c r="U288" s="4"/>
      <c r="V288" s="4"/>
      <c r="W288" s="4"/>
      <c r="X288" s="4"/>
      <c r="Y288" s="4"/>
      <c r="Z288" s="4"/>
      <c r="AA288" s="4"/>
    </row>
    <row r="289">
      <c r="A289" s="48"/>
      <c r="B289" s="48"/>
      <c r="C289" s="4"/>
      <c r="D289" s="4"/>
      <c r="E289" s="4"/>
      <c r="F289" s="48"/>
      <c r="G289" s="48"/>
      <c r="H289" s="48"/>
      <c r="I289" s="48"/>
      <c r="J289" s="48"/>
      <c r="K289" s="48"/>
      <c r="L289" s="48"/>
      <c r="M289" s="48"/>
      <c r="N289" s="48"/>
      <c r="O289" s="48"/>
      <c r="P289" s="4"/>
      <c r="Q289" s="4"/>
      <c r="R289" s="4"/>
      <c r="S289" s="4"/>
      <c r="T289" s="4"/>
      <c r="U289" s="4"/>
      <c r="V289" s="4"/>
      <c r="W289" s="4"/>
      <c r="X289" s="4"/>
      <c r="Y289" s="4"/>
      <c r="Z289" s="4"/>
      <c r="AA289" s="4"/>
    </row>
    <row r="290">
      <c r="A290" s="48"/>
      <c r="B290" s="48"/>
      <c r="C290" s="4"/>
      <c r="D290" s="4"/>
      <c r="E290" s="4"/>
      <c r="F290" s="48"/>
      <c r="G290" s="48"/>
      <c r="H290" s="48"/>
      <c r="I290" s="48"/>
      <c r="J290" s="48"/>
      <c r="K290" s="48"/>
      <c r="L290" s="48"/>
      <c r="M290" s="48"/>
      <c r="N290" s="48"/>
      <c r="O290" s="48"/>
      <c r="P290" s="4"/>
      <c r="Q290" s="4"/>
      <c r="R290" s="4"/>
      <c r="S290" s="4"/>
      <c r="T290" s="4"/>
      <c r="U290" s="4"/>
      <c r="V290" s="4"/>
      <c r="W290" s="4"/>
      <c r="X290" s="4"/>
      <c r="Y290" s="4"/>
      <c r="Z290" s="4"/>
      <c r="AA290" s="4"/>
    </row>
    <row r="291">
      <c r="A291" s="48"/>
      <c r="B291" s="48"/>
      <c r="C291" s="4"/>
      <c r="D291" s="4"/>
      <c r="E291" s="4"/>
      <c r="F291" s="48"/>
      <c r="G291" s="48"/>
      <c r="H291" s="48"/>
      <c r="I291" s="48"/>
      <c r="J291" s="48"/>
      <c r="K291" s="48"/>
      <c r="L291" s="48"/>
      <c r="M291" s="48"/>
      <c r="N291" s="48"/>
      <c r="O291" s="48"/>
      <c r="P291" s="4"/>
      <c r="Q291" s="4"/>
      <c r="R291" s="4"/>
      <c r="S291" s="4"/>
      <c r="T291" s="4"/>
      <c r="U291" s="4"/>
      <c r="V291" s="4"/>
      <c r="W291" s="4"/>
      <c r="X291" s="4"/>
      <c r="Y291" s="4"/>
      <c r="Z291" s="4"/>
      <c r="AA291" s="4"/>
    </row>
    <row r="292">
      <c r="A292" s="48"/>
      <c r="B292" s="48"/>
      <c r="C292" s="4"/>
      <c r="D292" s="4"/>
      <c r="E292" s="4"/>
      <c r="F292" s="48"/>
      <c r="G292" s="48"/>
      <c r="H292" s="48"/>
      <c r="I292" s="48"/>
      <c r="J292" s="48"/>
      <c r="K292" s="48"/>
      <c r="L292" s="48"/>
      <c r="M292" s="48"/>
      <c r="N292" s="48"/>
      <c r="O292" s="48"/>
      <c r="P292" s="4"/>
      <c r="Q292" s="4"/>
      <c r="R292" s="4"/>
      <c r="S292" s="4"/>
      <c r="T292" s="4"/>
      <c r="U292" s="4"/>
      <c r="V292" s="4"/>
      <c r="W292" s="4"/>
      <c r="X292" s="4"/>
      <c r="Y292" s="4"/>
      <c r="Z292" s="4"/>
      <c r="AA292" s="4"/>
    </row>
    <row r="293">
      <c r="A293" s="48"/>
      <c r="B293" s="48"/>
      <c r="C293" s="4"/>
      <c r="D293" s="4"/>
      <c r="E293" s="4"/>
      <c r="F293" s="48"/>
      <c r="G293" s="48"/>
      <c r="H293" s="48"/>
      <c r="I293" s="48"/>
      <c r="J293" s="48"/>
      <c r="K293" s="48"/>
      <c r="L293" s="48"/>
      <c r="M293" s="48"/>
      <c r="N293" s="48"/>
      <c r="O293" s="48"/>
      <c r="P293" s="4"/>
      <c r="Q293" s="4"/>
      <c r="R293" s="4"/>
      <c r="S293" s="4"/>
      <c r="T293" s="4"/>
      <c r="U293" s="4"/>
      <c r="V293" s="4"/>
      <c r="W293" s="4"/>
      <c r="X293" s="4"/>
      <c r="Y293" s="4"/>
      <c r="Z293" s="4"/>
      <c r="AA293" s="4"/>
    </row>
    <row r="294">
      <c r="A294" s="48"/>
      <c r="B294" s="48"/>
      <c r="C294" s="4"/>
      <c r="D294" s="4"/>
      <c r="E294" s="4"/>
      <c r="F294" s="48"/>
      <c r="G294" s="48"/>
      <c r="H294" s="48"/>
      <c r="I294" s="48"/>
      <c r="J294" s="48"/>
      <c r="K294" s="48"/>
      <c r="L294" s="48"/>
      <c r="M294" s="48"/>
      <c r="N294" s="48"/>
      <c r="O294" s="48"/>
      <c r="P294" s="4"/>
      <c r="Q294" s="4"/>
      <c r="R294" s="4"/>
      <c r="S294" s="4"/>
      <c r="T294" s="4"/>
      <c r="U294" s="4"/>
      <c r="V294" s="4"/>
      <c r="W294" s="4"/>
      <c r="X294" s="4"/>
      <c r="Y294" s="4"/>
      <c r="Z294" s="4"/>
      <c r="AA294" s="4"/>
    </row>
    <row r="295">
      <c r="A295" s="48"/>
      <c r="B295" s="48"/>
      <c r="C295" s="4"/>
      <c r="D295" s="4"/>
      <c r="E295" s="4"/>
      <c r="F295" s="48"/>
      <c r="G295" s="48"/>
      <c r="H295" s="48"/>
      <c r="I295" s="48"/>
      <c r="J295" s="48"/>
      <c r="K295" s="48"/>
      <c r="L295" s="48"/>
      <c r="M295" s="48"/>
      <c r="N295" s="48"/>
      <c r="O295" s="48"/>
      <c r="P295" s="4"/>
      <c r="Q295" s="4"/>
      <c r="R295" s="4"/>
      <c r="S295" s="4"/>
      <c r="T295" s="4"/>
      <c r="U295" s="4"/>
      <c r="V295" s="4"/>
      <c r="W295" s="4"/>
      <c r="X295" s="4"/>
      <c r="Y295" s="4"/>
      <c r="Z295" s="4"/>
      <c r="AA295" s="4"/>
    </row>
    <row r="296">
      <c r="A296" s="48"/>
      <c r="B296" s="48"/>
      <c r="C296" s="4"/>
      <c r="D296" s="4"/>
      <c r="E296" s="4"/>
      <c r="F296" s="48"/>
      <c r="G296" s="48"/>
      <c r="H296" s="48"/>
      <c r="I296" s="48"/>
      <c r="J296" s="48"/>
      <c r="K296" s="48"/>
      <c r="L296" s="48"/>
      <c r="M296" s="48"/>
      <c r="N296" s="48"/>
      <c r="O296" s="48"/>
      <c r="P296" s="4"/>
      <c r="Q296" s="4"/>
      <c r="R296" s="4"/>
      <c r="S296" s="4"/>
      <c r="T296" s="4"/>
      <c r="U296" s="4"/>
      <c r="V296" s="4"/>
      <c r="W296" s="4"/>
      <c r="X296" s="4"/>
      <c r="Y296" s="4"/>
      <c r="Z296" s="4"/>
      <c r="AA296" s="4"/>
    </row>
    <row r="297">
      <c r="A297" s="48"/>
      <c r="B297" s="48"/>
      <c r="C297" s="4"/>
      <c r="D297" s="4"/>
      <c r="E297" s="4"/>
      <c r="F297" s="48"/>
      <c r="G297" s="48"/>
      <c r="H297" s="48"/>
      <c r="I297" s="48"/>
      <c r="J297" s="48"/>
      <c r="K297" s="48"/>
      <c r="L297" s="48"/>
      <c r="M297" s="48"/>
      <c r="N297" s="48"/>
      <c r="O297" s="48"/>
      <c r="P297" s="4"/>
      <c r="Q297" s="4"/>
      <c r="R297" s="4"/>
      <c r="S297" s="4"/>
      <c r="T297" s="4"/>
      <c r="U297" s="4"/>
      <c r="V297" s="4"/>
      <c r="W297" s="4"/>
      <c r="X297" s="4"/>
      <c r="Y297" s="4"/>
      <c r="Z297" s="4"/>
      <c r="AA297" s="4"/>
    </row>
    <row r="298">
      <c r="A298" s="48"/>
      <c r="B298" s="48"/>
      <c r="C298" s="4"/>
      <c r="D298" s="4"/>
      <c r="E298" s="4"/>
      <c r="F298" s="48"/>
      <c r="G298" s="48"/>
      <c r="H298" s="48"/>
      <c r="I298" s="48"/>
      <c r="J298" s="48"/>
      <c r="K298" s="48"/>
      <c r="L298" s="48"/>
      <c r="M298" s="48"/>
      <c r="N298" s="48"/>
      <c r="O298" s="48"/>
      <c r="P298" s="4"/>
      <c r="Q298" s="4"/>
      <c r="R298" s="4"/>
      <c r="S298" s="4"/>
      <c r="T298" s="4"/>
      <c r="U298" s="4"/>
      <c r="V298" s="4"/>
      <c r="W298" s="4"/>
      <c r="X298" s="4"/>
      <c r="Y298" s="4"/>
      <c r="Z298" s="4"/>
      <c r="AA298" s="4"/>
    </row>
    <row r="299">
      <c r="A299" s="48"/>
      <c r="B299" s="48"/>
      <c r="C299" s="4"/>
      <c r="D299" s="4"/>
      <c r="E299" s="4"/>
      <c r="F299" s="48"/>
      <c r="G299" s="48"/>
      <c r="H299" s="48"/>
      <c r="I299" s="48"/>
      <c r="J299" s="48"/>
      <c r="K299" s="48"/>
      <c r="L299" s="48"/>
      <c r="M299" s="48"/>
      <c r="N299" s="48"/>
      <c r="O299" s="48"/>
      <c r="P299" s="4"/>
      <c r="Q299" s="4"/>
      <c r="R299" s="4"/>
      <c r="S299" s="4"/>
      <c r="T299" s="4"/>
      <c r="U299" s="4"/>
      <c r="V299" s="4"/>
      <c r="W299" s="4"/>
      <c r="X299" s="4"/>
      <c r="Y299" s="4"/>
      <c r="Z299" s="4"/>
      <c r="AA299" s="4"/>
    </row>
    <row r="300">
      <c r="A300" s="48"/>
      <c r="B300" s="48"/>
      <c r="C300" s="4"/>
      <c r="D300" s="4"/>
      <c r="E300" s="4"/>
      <c r="F300" s="48"/>
      <c r="G300" s="48"/>
      <c r="H300" s="48"/>
      <c r="I300" s="48"/>
      <c r="J300" s="48"/>
      <c r="K300" s="48"/>
      <c r="L300" s="48"/>
      <c r="M300" s="48"/>
      <c r="N300" s="48"/>
      <c r="O300" s="48"/>
      <c r="P300" s="4"/>
      <c r="Q300" s="4"/>
      <c r="R300" s="4"/>
      <c r="S300" s="4"/>
      <c r="T300" s="4"/>
      <c r="U300" s="4"/>
      <c r="V300" s="4"/>
      <c r="W300" s="4"/>
      <c r="X300" s="4"/>
      <c r="Y300" s="4"/>
      <c r="Z300" s="4"/>
      <c r="AA300" s="4"/>
    </row>
    <row r="301">
      <c r="A301" s="48"/>
      <c r="B301" s="48"/>
      <c r="C301" s="4"/>
      <c r="D301" s="4"/>
      <c r="E301" s="4"/>
      <c r="F301" s="48"/>
      <c r="G301" s="48"/>
      <c r="H301" s="48"/>
      <c r="I301" s="48"/>
      <c r="J301" s="48"/>
      <c r="K301" s="48"/>
      <c r="L301" s="48"/>
      <c r="M301" s="48"/>
      <c r="N301" s="48"/>
      <c r="O301" s="48"/>
      <c r="P301" s="4"/>
      <c r="Q301" s="4"/>
      <c r="R301" s="4"/>
      <c r="S301" s="4"/>
      <c r="T301" s="4"/>
      <c r="U301" s="4"/>
      <c r="V301" s="4"/>
      <c r="W301" s="4"/>
      <c r="X301" s="4"/>
      <c r="Y301" s="4"/>
      <c r="Z301" s="4"/>
      <c r="AA301" s="4"/>
    </row>
    <row r="302">
      <c r="A302" s="48"/>
      <c r="B302" s="48"/>
      <c r="C302" s="4"/>
      <c r="D302" s="4"/>
      <c r="E302" s="4"/>
      <c r="F302" s="48"/>
      <c r="G302" s="48"/>
      <c r="H302" s="48"/>
      <c r="I302" s="48"/>
      <c r="J302" s="48"/>
      <c r="K302" s="48"/>
      <c r="L302" s="48"/>
      <c r="M302" s="48"/>
      <c r="N302" s="48"/>
      <c r="O302" s="48"/>
      <c r="P302" s="4"/>
      <c r="Q302" s="4"/>
      <c r="R302" s="4"/>
      <c r="S302" s="4"/>
      <c r="T302" s="4"/>
      <c r="U302" s="4"/>
      <c r="V302" s="4"/>
      <c r="W302" s="4"/>
      <c r="X302" s="4"/>
      <c r="Y302" s="4"/>
      <c r="Z302" s="4"/>
      <c r="AA302" s="4"/>
    </row>
    <row r="303">
      <c r="A303" s="48"/>
      <c r="B303" s="48"/>
      <c r="C303" s="4"/>
      <c r="D303" s="4"/>
      <c r="E303" s="4"/>
      <c r="F303" s="48"/>
      <c r="G303" s="48"/>
      <c r="H303" s="48"/>
      <c r="I303" s="48"/>
      <c r="J303" s="48"/>
      <c r="K303" s="48"/>
      <c r="L303" s="48"/>
      <c r="M303" s="48"/>
      <c r="N303" s="48"/>
      <c r="O303" s="48"/>
      <c r="P303" s="4"/>
      <c r="Q303" s="4"/>
      <c r="R303" s="4"/>
      <c r="S303" s="4"/>
      <c r="T303" s="4"/>
      <c r="U303" s="4"/>
      <c r="V303" s="4"/>
      <c r="W303" s="4"/>
      <c r="X303" s="4"/>
      <c r="Y303" s="4"/>
      <c r="Z303" s="4"/>
      <c r="AA303" s="4"/>
    </row>
    <row r="304">
      <c r="A304" s="48"/>
      <c r="B304" s="48"/>
      <c r="C304" s="4"/>
      <c r="D304" s="4"/>
      <c r="E304" s="4"/>
      <c r="F304" s="48"/>
      <c r="G304" s="48"/>
      <c r="H304" s="48"/>
      <c r="I304" s="48"/>
      <c r="J304" s="48"/>
      <c r="K304" s="48"/>
      <c r="L304" s="48"/>
      <c r="M304" s="48"/>
      <c r="N304" s="48"/>
      <c r="O304" s="48"/>
      <c r="P304" s="4"/>
      <c r="Q304" s="4"/>
      <c r="R304" s="4"/>
      <c r="S304" s="4"/>
      <c r="T304" s="4"/>
      <c r="U304" s="4"/>
      <c r="V304" s="4"/>
      <c r="W304" s="4"/>
      <c r="X304" s="4"/>
      <c r="Y304" s="4"/>
      <c r="Z304" s="4"/>
      <c r="AA304" s="4"/>
    </row>
    <row r="305">
      <c r="A305" s="48"/>
      <c r="B305" s="48"/>
      <c r="C305" s="4"/>
      <c r="D305" s="4"/>
      <c r="E305" s="4"/>
      <c r="F305" s="48"/>
      <c r="G305" s="48"/>
      <c r="H305" s="48"/>
      <c r="I305" s="48"/>
      <c r="J305" s="48"/>
      <c r="K305" s="48"/>
      <c r="L305" s="48"/>
      <c r="M305" s="48"/>
      <c r="N305" s="48"/>
      <c r="O305" s="48"/>
      <c r="P305" s="4"/>
      <c r="Q305" s="4"/>
      <c r="R305" s="4"/>
      <c r="S305" s="4"/>
      <c r="T305" s="4"/>
      <c r="U305" s="4"/>
      <c r="V305" s="4"/>
      <c r="W305" s="4"/>
      <c r="X305" s="4"/>
      <c r="Y305" s="4"/>
      <c r="Z305" s="4"/>
      <c r="AA305" s="4"/>
    </row>
    <row r="306">
      <c r="A306" s="48"/>
      <c r="B306" s="48"/>
      <c r="C306" s="4"/>
      <c r="D306" s="4"/>
      <c r="E306" s="4"/>
      <c r="F306" s="48"/>
      <c r="G306" s="48"/>
      <c r="H306" s="48"/>
      <c r="I306" s="48"/>
      <c r="J306" s="48"/>
      <c r="K306" s="48"/>
      <c r="L306" s="48"/>
      <c r="M306" s="48"/>
      <c r="N306" s="48"/>
      <c r="O306" s="48"/>
      <c r="P306" s="4"/>
      <c r="Q306" s="4"/>
      <c r="R306" s="4"/>
      <c r="S306" s="4"/>
      <c r="T306" s="4"/>
      <c r="U306" s="4"/>
      <c r="V306" s="4"/>
      <c r="W306" s="4"/>
      <c r="X306" s="4"/>
      <c r="Y306" s="4"/>
      <c r="Z306" s="4"/>
      <c r="AA306" s="4"/>
    </row>
    <row r="307">
      <c r="A307" s="48"/>
      <c r="B307" s="48"/>
      <c r="C307" s="4"/>
      <c r="D307" s="4"/>
      <c r="E307" s="4"/>
      <c r="F307" s="48"/>
      <c r="G307" s="48"/>
      <c r="H307" s="48"/>
      <c r="I307" s="48"/>
      <c r="J307" s="48"/>
      <c r="K307" s="48"/>
      <c r="L307" s="48"/>
      <c r="M307" s="48"/>
      <c r="N307" s="48"/>
      <c r="O307" s="48"/>
      <c r="P307" s="4"/>
      <c r="Q307" s="4"/>
      <c r="R307" s="4"/>
      <c r="S307" s="4"/>
      <c r="T307" s="4"/>
      <c r="U307" s="4"/>
      <c r="V307" s="4"/>
      <c r="W307" s="4"/>
      <c r="X307" s="4"/>
      <c r="Y307" s="4"/>
      <c r="Z307" s="4"/>
      <c r="AA307" s="4"/>
    </row>
    <row r="308">
      <c r="A308" s="48"/>
      <c r="B308" s="48"/>
      <c r="C308" s="4"/>
      <c r="D308" s="4"/>
      <c r="E308" s="4"/>
      <c r="F308" s="48"/>
      <c r="G308" s="48"/>
      <c r="H308" s="48"/>
      <c r="I308" s="48"/>
      <c r="J308" s="48"/>
      <c r="K308" s="48"/>
      <c r="L308" s="48"/>
      <c r="M308" s="48"/>
      <c r="N308" s="48"/>
      <c r="O308" s="48"/>
      <c r="P308" s="4"/>
      <c r="Q308" s="4"/>
      <c r="R308" s="4"/>
      <c r="S308" s="4"/>
      <c r="T308" s="4"/>
      <c r="U308" s="4"/>
      <c r="V308" s="4"/>
      <c r="W308" s="4"/>
      <c r="X308" s="4"/>
      <c r="Y308" s="4"/>
      <c r="Z308" s="4"/>
      <c r="AA308" s="4"/>
    </row>
    <row r="309">
      <c r="A309" s="48"/>
      <c r="B309" s="48"/>
      <c r="C309" s="4"/>
      <c r="D309" s="4"/>
      <c r="E309" s="4"/>
      <c r="F309" s="48"/>
      <c r="G309" s="48"/>
      <c r="H309" s="48"/>
      <c r="I309" s="48"/>
      <c r="J309" s="48"/>
      <c r="K309" s="48"/>
      <c r="L309" s="48"/>
      <c r="M309" s="48"/>
      <c r="N309" s="48"/>
      <c r="O309" s="48"/>
      <c r="P309" s="4"/>
      <c r="Q309" s="4"/>
      <c r="R309" s="4"/>
      <c r="S309" s="4"/>
      <c r="T309" s="4"/>
      <c r="U309" s="4"/>
      <c r="V309" s="4"/>
      <c r="W309" s="4"/>
      <c r="X309" s="4"/>
      <c r="Y309" s="4"/>
      <c r="Z309" s="4"/>
      <c r="AA309" s="4"/>
    </row>
    <row r="310">
      <c r="A310" s="48"/>
      <c r="B310" s="48"/>
      <c r="C310" s="4"/>
      <c r="D310" s="4"/>
      <c r="E310" s="4"/>
      <c r="F310" s="48"/>
      <c r="G310" s="48"/>
      <c r="H310" s="48"/>
      <c r="I310" s="48"/>
      <c r="J310" s="48"/>
      <c r="K310" s="48"/>
      <c r="L310" s="48"/>
      <c r="M310" s="48"/>
      <c r="N310" s="48"/>
      <c r="O310" s="48"/>
      <c r="P310" s="4"/>
      <c r="Q310" s="4"/>
      <c r="R310" s="4"/>
      <c r="S310" s="4"/>
      <c r="T310" s="4"/>
      <c r="U310" s="4"/>
      <c r="V310" s="4"/>
      <c r="W310" s="4"/>
      <c r="X310" s="4"/>
      <c r="Y310" s="4"/>
      <c r="Z310" s="4"/>
      <c r="AA310" s="4"/>
    </row>
    <row r="311">
      <c r="A311" s="48"/>
      <c r="B311" s="48"/>
      <c r="C311" s="4"/>
      <c r="D311" s="4"/>
      <c r="E311" s="4"/>
      <c r="F311" s="48"/>
      <c r="G311" s="48"/>
      <c r="H311" s="48"/>
      <c r="I311" s="48"/>
      <c r="J311" s="48"/>
      <c r="K311" s="48"/>
      <c r="L311" s="48"/>
      <c r="M311" s="48"/>
      <c r="N311" s="48"/>
      <c r="O311" s="48"/>
      <c r="P311" s="4"/>
      <c r="Q311" s="4"/>
      <c r="R311" s="4"/>
      <c r="S311" s="4"/>
      <c r="T311" s="4"/>
      <c r="U311" s="4"/>
      <c r="V311" s="4"/>
      <c r="W311" s="4"/>
      <c r="X311" s="4"/>
      <c r="Y311" s="4"/>
      <c r="Z311" s="4"/>
      <c r="AA311" s="4"/>
    </row>
    <row r="312">
      <c r="A312" s="48"/>
      <c r="B312" s="48"/>
      <c r="C312" s="4"/>
      <c r="D312" s="4"/>
      <c r="E312" s="4"/>
      <c r="F312" s="48"/>
      <c r="G312" s="48"/>
      <c r="H312" s="48"/>
      <c r="I312" s="48"/>
      <c r="J312" s="48"/>
      <c r="K312" s="48"/>
      <c r="L312" s="48"/>
      <c r="M312" s="48"/>
      <c r="N312" s="48"/>
      <c r="O312" s="48"/>
      <c r="P312" s="4"/>
      <c r="Q312" s="4"/>
      <c r="R312" s="4"/>
      <c r="S312" s="4"/>
      <c r="T312" s="4"/>
      <c r="U312" s="4"/>
      <c r="V312" s="4"/>
      <c r="W312" s="4"/>
      <c r="X312" s="4"/>
      <c r="Y312" s="4"/>
      <c r="Z312" s="4"/>
      <c r="AA312" s="4"/>
    </row>
    <row r="313">
      <c r="A313" s="48"/>
      <c r="B313" s="48"/>
      <c r="C313" s="4"/>
      <c r="D313" s="4"/>
      <c r="E313" s="4"/>
      <c r="F313" s="48"/>
      <c r="G313" s="48"/>
      <c r="H313" s="48"/>
      <c r="I313" s="48"/>
      <c r="J313" s="48"/>
      <c r="K313" s="48"/>
      <c r="L313" s="48"/>
      <c r="M313" s="48"/>
      <c r="N313" s="48"/>
      <c r="O313" s="48"/>
      <c r="P313" s="4"/>
      <c r="Q313" s="4"/>
      <c r="R313" s="4"/>
      <c r="S313" s="4"/>
      <c r="T313" s="4"/>
      <c r="U313" s="4"/>
      <c r="V313" s="4"/>
      <c r="W313" s="4"/>
      <c r="X313" s="4"/>
      <c r="Y313" s="4"/>
      <c r="Z313" s="4"/>
      <c r="AA313" s="4"/>
    </row>
    <row r="314">
      <c r="A314" s="48"/>
      <c r="B314" s="48"/>
      <c r="C314" s="4"/>
      <c r="D314" s="4"/>
      <c r="E314" s="4"/>
      <c r="F314" s="48"/>
      <c r="G314" s="48"/>
      <c r="H314" s="48"/>
      <c r="I314" s="48"/>
      <c r="J314" s="48"/>
      <c r="K314" s="48"/>
      <c r="L314" s="48"/>
      <c r="M314" s="48"/>
      <c r="N314" s="48"/>
      <c r="O314" s="48"/>
      <c r="P314" s="4"/>
      <c r="Q314" s="4"/>
      <c r="R314" s="4"/>
      <c r="S314" s="4"/>
      <c r="T314" s="4"/>
      <c r="U314" s="4"/>
      <c r="V314" s="4"/>
      <c r="W314" s="4"/>
      <c r="X314" s="4"/>
      <c r="Y314" s="4"/>
      <c r="Z314" s="4"/>
      <c r="AA314" s="4"/>
    </row>
    <row r="315">
      <c r="A315" s="48"/>
      <c r="B315" s="48"/>
      <c r="C315" s="4"/>
      <c r="D315" s="4"/>
      <c r="E315" s="4"/>
      <c r="F315" s="48"/>
      <c r="G315" s="48"/>
      <c r="H315" s="48"/>
      <c r="I315" s="48"/>
      <c r="J315" s="48"/>
      <c r="K315" s="48"/>
      <c r="L315" s="48"/>
      <c r="M315" s="48"/>
      <c r="N315" s="48"/>
      <c r="O315" s="48"/>
      <c r="P315" s="4"/>
      <c r="Q315" s="4"/>
      <c r="R315" s="4"/>
      <c r="S315" s="4"/>
      <c r="T315" s="4"/>
      <c r="U315" s="4"/>
      <c r="V315" s="4"/>
      <c r="W315" s="4"/>
      <c r="X315" s="4"/>
      <c r="Y315" s="4"/>
      <c r="Z315" s="4"/>
      <c r="AA315" s="4"/>
    </row>
    <row r="316">
      <c r="A316" s="48"/>
      <c r="B316" s="48"/>
      <c r="C316" s="4"/>
      <c r="D316" s="4"/>
      <c r="E316" s="4"/>
      <c r="F316" s="48"/>
      <c r="G316" s="48"/>
      <c r="H316" s="48"/>
      <c r="I316" s="48"/>
      <c r="J316" s="48"/>
      <c r="K316" s="48"/>
      <c r="L316" s="48"/>
      <c r="M316" s="48"/>
      <c r="N316" s="48"/>
      <c r="O316" s="48"/>
      <c r="P316" s="4"/>
      <c r="Q316" s="4"/>
      <c r="R316" s="4"/>
      <c r="S316" s="4"/>
      <c r="T316" s="4"/>
      <c r="U316" s="4"/>
      <c r="V316" s="4"/>
      <c r="W316" s="4"/>
      <c r="X316" s="4"/>
      <c r="Y316" s="4"/>
      <c r="Z316" s="4"/>
      <c r="AA316" s="4"/>
    </row>
    <row r="317">
      <c r="A317" s="48"/>
      <c r="B317" s="48"/>
      <c r="C317" s="4"/>
      <c r="D317" s="4"/>
      <c r="E317" s="4"/>
      <c r="F317" s="48"/>
      <c r="G317" s="48"/>
      <c r="H317" s="48"/>
      <c r="I317" s="48"/>
      <c r="J317" s="48"/>
      <c r="K317" s="48"/>
      <c r="L317" s="48"/>
      <c r="M317" s="48"/>
      <c r="N317" s="48"/>
      <c r="O317" s="48"/>
      <c r="P317" s="4"/>
      <c r="Q317" s="4"/>
      <c r="R317" s="4"/>
      <c r="S317" s="4"/>
      <c r="T317" s="4"/>
      <c r="U317" s="4"/>
      <c r="V317" s="4"/>
      <c r="W317" s="4"/>
      <c r="X317" s="4"/>
      <c r="Y317" s="4"/>
      <c r="Z317" s="4"/>
      <c r="AA317" s="4"/>
    </row>
    <row r="318">
      <c r="A318" s="48"/>
      <c r="B318" s="48"/>
      <c r="C318" s="4"/>
      <c r="D318" s="4"/>
      <c r="E318" s="4"/>
      <c r="F318" s="48"/>
      <c r="G318" s="48"/>
      <c r="H318" s="48"/>
      <c r="I318" s="48"/>
      <c r="J318" s="48"/>
      <c r="K318" s="48"/>
      <c r="L318" s="48"/>
      <c r="M318" s="48"/>
      <c r="N318" s="48"/>
      <c r="O318" s="48"/>
      <c r="P318" s="4"/>
      <c r="Q318" s="4"/>
      <c r="R318" s="4"/>
      <c r="S318" s="4"/>
      <c r="T318" s="4"/>
      <c r="U318" s="4"/>
      <c r="V318" s="4"/>
      <c r="W318" s="4"/>
      <c r="X318" s="4"/>
      <c r="Y318" s="4"/>
      <c r="Z318" s="4"/>
      <c r="AA318" s="4"/>
    </row>
    <row r="319">
      <c r="A319" s="48"/>
      <c r="B319" s="48"/>
      <c r="C319" s="4"/>
      <c r="D319" s="4"/>
      <c r="E319" s="4"/>
      <c r="F319" s="48"/>
      <c r="G319" s="48"/>
      <c r="H319" s="48"/>
      <c r="I319" s="48"/>
      <c r="J319" s="48"/>
      <c r="K319" s="48"/>
      <c r="L319" s="48"/>
      <c r="M319" s="48"/>
      <c r="N319" s="48"/>
      <c r="O319" s="48"/>
      <c r="P319" s="4"/>
      <c r="Q319" s="4"/>
      <c r="R319" s="4"/>
      <c r="S319" s="4"/>
      <c r="T319" s="4"/>
      <c r="U319" s="4"/>
      <c r="V319" s="4"/>
      <c r="W319" s="4"/>
      <c r="X319" s="4"/>
      <c r="Y319" s="4"/>
      <c r="Z319" s="4"/>
      <c r="AA319" s="4"/>
    </row>
    <row r="320">
      <c r="A320" s="48"/>
      <c r="B320" s="48"/>
      <c r="C320" s="4"/>
      <c r="D320" s="4"/>
      <c r="E320" s="4"/>
      <c r="F320" s="48"/>
      <c r="G320" s="48"/>
      <c r="H320" s="48"/>
      <c r="I320" s="48"/>
      <c r="J320" s="48"/>
      <c r="K320" s="48"/>
      <c r="L320" s="48"/>
      <c r="M320" s="48"/>
      <c r="N320" s="48"/>
      <c r="O320" s="48"/>
      <c r="P320" s="4"/>
      <c r="Q320" s="4"/>
      <c r="R320" s="4"/>
      <c r="S320" s="4"/>
      <c r="T320" s="4"/>
      <c r="U320" s="4"/>
      <c r="V320" s="4"/>
      <c r="W320" s="4"/>
      <c r="X320" s="4"/>
      <c r="Y320" s="4"/>
      <c r="Z320" s="4"/>
      <c r="AA320" s="4"/>
    </row>
    <row r="321">
      <c r="A321" s="48"/>
      <c r="B321" s="48"/>
      <c r="C321" s="4"/>
      <c r="D321" s="4"/>
      <c r="E321" s="4"/>
      <c r="F321" s="48"/>
      <c r="G321" s="48"/>
      <c r="H321" s="48"/>
      <c r="I321" s="48"/>
      <c r="J321" s="48"/>
      <c r="K321" s="48"/>
      <c r="L321" s="48"/>
      <c r="M321" s="48"/>
      <c r="N321" s="48"/>
      <c r="O321" s="48"/>
      <c r="P321" s="4"/>
      <c r="Q321" s="4"/>
      <c r="R321" s="4"/>
      <c r="S321" s="4"/>
      <c r="T321" s="4"/>
      <c r="U321" s="4"/>
      <c r="V321" s="4"/>
      <c r="W321" s="4"/>
      <c r="X321" s="4"/>
      <c r="Y321" s="4"/>
      <c r="Z321" s="4"/>
      <c r="AA321" s="4"/>
    </row>
    <row r="322">
      <c r="A322" s="48"/>
      <c r="B322" s="48"/>
      <c r="C322" s="4"/>
      <c r="D322" s="4"/>
      <c r="E322" s="4"/>
      <c r="F322" s="48"/>
      <c r="G322" s="48"/>
      <c r="H322" s="48"/>
      <c r="I322" s="48"/>
      <c r="J322" s="48"/>
      <c r="K322" s="48"/>
      <c r="L322" s="48"/>
      <c r="M322" s="48"/>
      <c r="N322" s="48"/>
      <c r="O322" s="48"/>
      <c r="P322" s="4"/>
      <c r="Q322" s="4"/>
      <c r="R322" s="4"/>
      <c r="S322" s="4"/>
      <c r="T322" s="4"/>
      <c r="U322" s="4"/>
      <c r="V322" s="4"/>
      <c r="W322" s="4"/>
      <c r="X322" s="4"/>
      <c r="Y322" s="4"/>
      <c r="Z322" s="4"/>
      <c r="AA322" s="4"/>
    </row>
    <row r="323">
      <c r="A323" s="48"/>
      <c r="B323" s="48"/>
      <c r="C323" s="4"/>
      <c r="D323" s="4"/>
      <c r="E323" s="4"/>
      <c r="F323" s="48"/>
      <c r="G323" s="48"/>
      <c r="H323" s="48"/>
      <c r="I323" s="48"/>
      <c r="J323" s="48"/>
      <c r="K323" s="48"/>
      <c r="L323" s="48"/>
      <c r="M323" s="48"/>
      <c r="N323" s="48"/>
      <c r="O323" s="48"/>
      <c r="P323" s="4"/>
      <c r="Q323" s="4"/>
      <c r="R323" s="4"/>
      <c r="S323" s="4"/>
      <c r="T323" s="4"/>
      <c r="U323" s="4"/>
      <c r="V323" s="4"/>
      <c r="W323" s="4"/>
      <c r="X323" s="4"/>
      <c r="Y323" s="4"/>
      <c r="Z323" s="4"/>
      <c r="AA323" s="4"/>
    </row>
    <row r="324">
      <c r="A324" s="48"/>
      <c r="B324" s="48"/>
      <c r="C324" s="4"/>
      <c r="D324" s="4"/>
      <c r="E324" s="4"/>
      <c r="F324" s="48"/>
      <c r="G324" s="48"/>
      <c r="H324" s="48"/>
      <c r="I324" s="48"/>
      <c r="J324" s="48"/>
      <c r="K324" s="48"/>
      <c r="L324" s="48"/>
      <c r="M324" s="48"/>
      <c r="N324" s="48"/>
      <c r="O324" s="48"/>
      <c r="P324" s="4"/>
      <c r="Q324" s="4"/>
      <c r="R324" s="4"/>
      <c r="S324" s="4"/>
      <c r="T324" s="4"/>
      <c r="U324" s="4"/>
      <c r="V324" s="4"/>
      <c r="W324" s="4"/>
      <c r="X324" s="4"/>
      <c r="Y324" s="4"/>
      <c r="Z324" s="4"/>
      <c r="AA324" s="4"/>
    </row>
    <row r="325">
      <c r="A325" s="48"/>
      <c r="B325" s="48"/>
      <c r="C325" s="4"/>
      <c r="D325" s="4"/>
      <c r="E325" s="4"/>
      <c r="F325" s="48"/>
      <c r="G325" s="48"/>
      <c r="H325" s="48"/>
      <c r="I325" s="48"/>
      <c r="J325" s="48"/>
      <c r="K325" s="48"/>
      <c r="L325" s="48"/>
      <c r="M325" s="48"/>
      <c r="N325" s="48"/>
      <c r="O325" s="48"/>
      <c r="P325" s="4"/>
      <c r="Q325" s="4"/>
      <c r="R325" s="4"/>
      <c r="S325" s="4"/>
      <c r="T325" s="4"/>
      <c r="U325" s="4"/>
      <c r="V325" s="4"/>
      <c r="W325" s="4"/>
      <c r="X325" s="4"/>
      <c r="Y325" s="4"/>
      <c r="Z325" s="4"/>
      <c r="AA325" s="4"/>
    </row>
    <row r="326">
      <c r="A326" s="48"/>
      <c r="B326" s="48"/>
      <c r="C326" s="4"/>
      <c r="D326" s="4"/>
      <c r="E326" s="4"/>
      <c r="F326" s="48"/>
      <c r="G326" s="48"/>
      <c r="H326" s="48"/>
      <c r="I326" s="48"/>
      <c r="J326" s="48"/>
      <c r="K326" s="48"/>
      <c r="L326" s="48"/>
      <c r="M326" s="48"/>
      <c r="N326" s="48"/>
      <c r="O326" s="48"/>
      <c r="P326" s="4"/>
      <c r="Q326" s="4"/>
      <c r="R326" s="4"/>
      <c r="S326" s="4"/>
      <c r="T326" s="4"/>
      <c r="U326" s="4"/>
      <c r="V326" s="4"/>
      <c r="W326" s="4"/>
      <c r="X326" s="4"/>
      <c r="Y326" s="4"/>
      <c r="Z326" s="4"/>
      <c r="AA326" s="4"/>
    </row>
    <row r="327">
      <c r="A327" s="48"/>
      <c r="B327" s="48"/>
      <c r="C327" s="4"/>
      <c r="D327" s="4"/>
      <c r="E327" s="4"/>
      <c r="F327" s="48"/>
      <c r="G327" s="48"/>
      <c r="H327" s="48"/>
      <c r="I327" s="48"/>
      <c r="J327" s="48"/>
      <c r="K327" s="48"/>
      <c r="L327" s="48"/>
      <c r="M327" s="48"/>
      <c r="N327" s="48"/>
      <c r="O327" s="48"/>
      <c r="P327" s="4"/>
      <c r="Q327" s="4"/>
      <c r="R327" s="4"/>
      <c r="S327" s="4"/>
      <c r="T327" s="4"/>
      <c r="U327" s="4"/>
      <c r="V327" s="4"/>
      <c r="W327" s="4"/>
      <c r="X327" s="4"/>
      <c r="Y327" s="4"/>
      <c r="Z327" s="4"/>
      <c r="AA327" s="4"/>
    </row>
    <row r="328">
      <c r="A328" s="48"/>
      <c r="B328" s="48"/>
      <c r="C328" s="4"/>
      <c r="D328" s="4"/>
      <c r="E328" s="4"/>
      <c r="F328" s="48"/>
      <c r="G328" s="48"/>
      <c r="H328" s="48"/>
      <c r="I328" s="48"/>
      <c r="J328" s="48"/>
      <c r="K328" s="48"/>
      <c r="L328" s="48"/>
      <c r="M328" s="48"/>
      <c r="N328" s="48"/>
      <c r="O328" s="48"/>
      <c r="P328" s="4"/>
      <c r="Q328" s="4"/>
      <c r="R328" s="4"/>
      <c r="S328" s="4"/>
      <c r="T328" s="4"/>
      <c r="U328" s="4"/>
      <c r="V328" s="4"/>
      <c r="W328" s="4"/>
      <c r="X328" s="4"/>
      <c r="Y328" s="4"/>
      <c r="Z328" s="4"/>
      <c r="AA328" s="4"/>
    </row>
    <row r="329">
      <c r="A329" s="48"/>
      <c r="B329" s="48"/>
      <c r="C329" s="4"/>
      <c r="D329" s="4"/>
      <c r="E329" s="4"/>
      <c r="F329" s="48"/>
      <c r="G329" s="48"/>
      <c r="H329" s="48"/>
      <c r="I329" s="48"/>
      <c r="J329" s="48"/>
      <c r="K329" s="48"/>
      <c r="L329" s="48"/>
      <c r="M329" s="48"/>
      <c r="N329" s="48"/>
      <c r="O329" s="48"/>
      <c r="P329" s="4"/>
      <c r="Q329" s="4"/>
      <c r="R329" s="4"/>
      <c r="S329" s="4"/>
      <c r="T329" s="4"/>
      <c r="U329" s="4"/>
      <c r="V329" s="4"/>
      <c r="W329" s="4"/>
      <c r="X329" s="4"/>
      <c r="Y329" s="4"/>
      <c r="Z329" s="4"/>
      <c r="AA329" s="4"/>
    </row>
    <row r="330">
      <c r="A330" s="48"/>
      <c r="B330" s="48"/>
      <c r="C330" s="4"/>
      <c r="D330" s="4"/>
      <c r="E330" s="4"/>
      <c r="F330" s="48"/>
      <c r="G330" s="48"/>
      <c r="H330" s="48"/>
      <c r="I330" s="48"/>
      <c r="J330" s="48"/>
      <c r="K330" s="48"/>
      <c r="L330" s="48"/>
      <c r="M330" s="48"/>
      <c r="N330" s="48"/>
      <c r="O330" s="48"/>
      <c r="P330" s="4"/>
      <c r="Q330" s="4"/>
      <c r="R330" s="4"/>
      <c r="S330" s="4"/>
      <c r="T330" s="4"/>
      <c r="U330" s="4"/>
      <c r="V330" s="4"/>
      <c r="W330" s="4"/>
      <c r="X330" s="4"/>
      <c r="Y330" s="4"/>
      <c r="Z330" s="4"/>
      <c r="AA330" s="4"/>
    </row>
    <row r="331">
      <c r="A331" s="48"/>
      <c r="B331" s="48"/>
      <c r="C331" s="4"/>
      <c r="D331" s="4"/>
      <c r="E331" s="4"/>
      <c r="F331" s="48"/>
      <c r="G331" s="48"/>
      <c r="H331" s="48"/>
      <c r="I331" s="48"/>
      <c r="J331" s="48"/>
      <c r="K331" s="48"/>
      <c r="L331" s="48"/>
      <c r="M331" s="48"/>
      <c r="N331" s="48"/>
      <c r="O331" s="48"/>
      <c r="P331" s="4"/>
      <c r="Q331" s="4"/>
      <c r="R331" s="4"/>
      <c r="S331" s="4"/>
      <c r="T331" s="4"/>
      <c r="U331" s="4"/>
      <c r="V331" s="4"/>
      <c r="W331" s="4"/>
      <c r="X331" s="4"/>
      <c r="Y331" s="4"/>
      <c r="Z331" s="4"/>
      <c r="AA331" s="4"/>
    </row>
    <row r="332">
      <c r="A332" s="48"/>
      <c r="B332" s="48"/>
      <c r="C332" s="4"/>
      <c r="D332" s="4"/>
      <c r="E332" s="4"/>
      <c r="F332" s="48"/>
      <c r="G332" s="48"/>
      <c r="H332" s="48"/>
      <c r="I332" s="48"/>
      <c r="J332" s="48"/>
      <c r="K332" s="48"/>
      <c r="L332" s="48"/>
      <c r="M332" s="48"/>
      <c r="N332" s="48"/>
      <c r="O332" s="48"/>
      <c r="P332" s="4"/>
      <c r="Q332" s="4"/>
      <c r="R332" s="4"/>
      <c r="S332" s="4"/>
      <c r="T332" s="4"/>
      <c r="U332" s="4"/>
      <c r="V332" s="4"/>
      <c r="W332" s="4"/>
      <c r="X332" s="4"/>
      <c r="Y332" s="4"/>
      <c r="Z332" s="4"/>
      <c r="AA332" s="4"/>
    </row>
    <row r="333">
      <c r="A333" s="48"/>
      <c r="B333" s="48"/>
      <c r="C333" s="4"/>
      <c r="D333" s="4"/>
      <c r="E333" s="4"/>
      <c r="F333" s="48"/>
      <c r="G333" s="48"/>
      <c r="H333" s="48"/>
      <c r="I333" s="48"/>
      <c r="J333" s="48"/>
      <c r="K333" s="48"/>
      <c r="L333" s="48"/>
      <c r="M333" s="48"/>
      <c r="N333" s="48"/>
      <c r="O333" s="48"/>
      <c r="P333" s="4"/>
      <c r="Q333" s="4"/>
      <c r="R333" s="4"/>
      <c r="S333" s="4"/>
      <c r="T333" s="4"/>
      <c r="U333" s="4"/>
      <c r="V333" s="4"/>
      <c r="W333" s="4"/>
      <c r="X333" s="4"/>
      <c r="Y333" s="4"/>
      <c r="Z333" s="4"/>
      <c r="AA333" s="4"/>
    </row>
    <row r="334">
      <c r="A334" s="48"/>
      <c r="B334" s="48"/>
      <c r="C334" s="4"/>
      <c r="D334" s="4"/>
      <c r="E334" s="4"/>
      <c r="F334" s="48"/>
      <c r="G334" s="48"/>
      <c r="H334" s="48"/>
      <c r="I334" s="48"/>
      <c r="J334" s="48"/>
      <c r="K334" s="48"/>
      <c r="L334" s="48"/>
      <c r="M334" s="48"/>
      <c r="N334" s="48"/>
      <c r="O334" s="48"/>
      <c r="P334" s="4"/>
      <c r="Q334" s="4"/>
      <c r="R334" s="4"/>
      <c r="S334" s="4"/>
      <c r="T334" s="4"/>
      <c r="U334" s="4"/>
      <c r="V334" s="4"/>
      <c r="W334" s="4"/>
      <c r="X334" s="4"/>
      <c r="Y334" s="4"/>
      <c r="Z334" s="4"/>
      <c r="AA334" s="4"/>
    </row>
    <row r="335">
      <c r="A335" s="48"/>
      <c r="B335" s="48"/>
      <c r="C335" s="4"/>
      <c r="D335" s="4"/>
      <c r="E335" s="4"/>
      <c r="F335" s="48"/>
      <c r="G335" s="48"/>
      <c r="H335" s="48"/>
      <c r="I335" s="48"/>
      <c r="J335" s="48"/>
      <c r="K335" s="48"/>
      <c r="L335" s="48"/>
      <c r="M335" s="48"/>
      <c r="N335" s="48"/>
      <c r="O335" s="48"/>
      <c r="P335" s="4"/>
      <c r="Q335" s="4"/>
      <c r="R335" s="4"/>
      <c r="S335" s="4"/>
      <c r="T335" s="4"/>
      <c r="U335" s="4"/>
      <c r="V335" s="4"/>
      <c r="W335" s="4"/>
      <c r="X335" s="4"/>
      <c r="Y335" s="4"/>
      <c r="Z335" s="4"/>
      <c r="AA335" s="4"/>
    </row>
    <row r="336">
      <c r="A336" s="48"/>
      <c r="B336" s="48"/>
      <c r="C336" s="4"/>
      <c r="D336" s="4"/>
      <c r="E336" s="4"/>
      <c r="F336" s="48"/>
      <c r="G336" s="48"/>
      <c r="H336" s="48"/>
      <c r="I336" s="48"/>
      <c r="J336" s="48"/>
      <c r="K336" s="48"/>
      <c r="L336" s="48"/>
      <c r="M336" s="48"/>
      <c r="N336" s="48"/>
      <c r="O336" s="48"/>
      <c r="P336" s="4"/>
      <c r="Q336" s="4"/>
      <c r="R336" s="4"/>
      <c r="S336" s="4"/>
      <c r="T336" s="4"/>
      <c r="U336" s="4"/>
      <c r="V336" s="4"/>
      <c r="W336" s="4"/>
      <c r="X336" s="4"/>
      <c r="Y336" s="4"/>
      <c r="Z336" s="4"/>
      <c r="AA336" s="4"/>
    </row>
    <row r="337">
      <c r="A337" s="48"/>
      <c r="B337" s="48"/>
      <c r="C337" s="4"/>
      <c r="D337" s="4"/>
      <c r="E337" s="4"/>
      <c r="F337" s="48"/>
      <c r="G337" s="48"/>
      <c r="H337" s="48"/>
      <c r="I337" s="48"/>
      <c r="J337" s="48"/>
      <c r="K337" s="48"/>
      <c r="L337" s="48"/>
      <c r="M337" s="48"/>
      <c r="N337" s="48"/>
      <c r="O337" s="48"/>
      <c r="P337" s="4"/>
      <c r="Q337" s="4"/>
      <c r="R337" s="4"/>
      <c r="S337" s="4"/>
      <c r="T337" s="4"/>
      <c r="U337" s="4"/>
      <c r="V337" s="4"/>
      <c r="W337" s="4"/>
      <c r="X337" s="4"/>
      <c r="Y337" s="4"/>
      <c r="Z337" s="4"/>
      <c r="AA337" s="4"/>
    </row>
    <row r="338">
      <c r="A338" s="48"/>
      <c r="B338" s="48"/>
      <c r="C338" s="4"/>
      <c r="D338" s="4"/>
      <c r="E338" s="4"/>
      <c r="F338" s="48"/>
      <c r="G338" s="48"/>
      <c r="H338" s="48"/>
      <c r="I338" s="48"/>
      <c r="J338" s="48"/>
      <c r="K338" s="48"/>
      <c r="L338" s="48"/>
      <c r="M338" s="48"/>
      <c r="N338" s="48"/>
      <c r="O338" s="48"/>
      <c r="P338" s="4"/>
      <c r="Q338" s="4"/>
      <c r="R338" s="4"/>
      <c r="S338" s="4"/>
      <c r="T338" s="4"/>
      <c r="U338" s="4"/>
      <c r="V338" s="4"/>
      <c r="W338" s="4"/>
      <c r="X338" s="4"/>
      <c r="Y338" s="4"/>
      <c r="Z338" s="4"/>
      <c r="AA338" s="4"/>
    </row>
    <row r="339">
      <c r="A339" s="48"/>
      <c r="B339" s="48"/>
      <c r="C339" s="4"/>
      <c r="D339" s="4"/>
      <c r="E339" s="4"/>
      <c r="F339" s="48"/>
      <c r="G339" s="48"/>
      <c r="H339" s="48"/>
      <c r="I339" s="48"/>
      <c r="J339" s="48"/>
      <c r="K339" s="48"/>
      <c r="L339" s="48"/>
      <c r="M339" s="48"/>
      <c r="N339" s="48"/>
      <c r="O339" s="48"/>
      <c r="P339" s="4"/>
      <c r="Q339" s="4"/>
      <c r="R339" s="4"/>
      <c r="S339" s="4"/>
      <c r="T339" s="4"/>
      <c r="U339" s="4"/>
      <c r="V339" s="4"/>
      <c r="W339" s="4"/>
      <c r="X339" s="4"/>
      <c r="Y339" s="4"/>
      <c r="Z339" s="4"/>
      <c r="AA339" s="4"/>
    </row>
    <row r="340">
      <c r="A340" s="48"/>
      <c r="B340" s="48"/>
      <c r="C340" s="4"/>
      <c r="D340" s="4"/>
      <c r="E340" s="4"/>
      <c r="F340" s="48"/>
      <c r="G340" s="48"/>
      <c r="H340" s="48"/>
      <c r="I340" s="48"/>
      <c r="J340" s="48"/>
      <c r="K340" s="48"/>
      <c r="L340" s="48"/>
      <c r="M340" s="48"/>
      <c r="N340" s="48"/>
      <c r="O340" s="48"/>
      <c r="P340" s="4"/>
      <c r="Q340" s="4"/>
      <c r="R340" s="4"/>
      <c r="S340" s="4"/>
      <c r="T340" s="4"/>
      <c r="U340" s="4"/>
      <c r="V340" s="4"/>
      <c r="W340" s="4"/>
      <c r="X340" s="4"/>
      <c r="Y340" s="4"/>
      <c r="Z340" s="4"/>
      <c r="AA340" s="4"/>
    </row>
    <row r="341">
      <c r="A341" s="48"/>
      <c r="B341" s="48"/>
      <c r="C341" s="4"/>
      <c r="D341" s="4"/>
      <c r="E341" s="4"/>
      <c r="F341" s="48"/>
      <c r="G341" s="48"/>
      <c r="H341" s="48"/>
      <c r="I341" s="48"/>
      <c r="J341" s="48"/>
      <c r="K341" s="48"/>
      <c r="L341" s="48"/>
      <c r="M341" s="48"/>
      <c r="N341" s="48"/>
      <c r="O341" s="48"/>
      <c r="P341" s="4"/>
      <c r="Q341" s="4"/>
      <c r="R341" s="4"/>
      <c r="S341" s="4"/>
      <c r="T341" s="4"/>
      <c r="U341" s="4"/>
      <c r="V341" s="4"/>
      <c r="W341" s="4"/>
      <c r="X341" s="4"/>
      <c r="Y341" s="4"/>
      <c r="Z341" s="4"/>
      <c r="AA341" s="4"/>
    </row>
    <row r="342">
      <c r="A342" s="48"/>
      <c r="B342" s="48"/>
      <c r="C342" s="4"/>
      <c r="D342" s="4"/>
      <c r="E342" s="4"/>
      <c r="F342" s="48"/>
      <c r="G342" s="48"/>
      <c r="H342" s="48"/>
      <c r="I342" s="48"/>
      <c r="J342" s="48"/>
      <c r="K342" s="48"/>
      <c r="L342" s="48"/>
      <c r="M342" s="48"/>
      <c r="N342" s="48"/>
      <c r="O342" s="48"/>
      <c r="P342" s="4"/>
      <c r="Q342" s="4"/>
      <c r="R342" s="4"/>
      <c r="S342" s="4"/>
      <c r="T342" s="4"/>
      <c r="U342" s="4"/>
      <c r="V342" s="4"/>
      <c r="W342" s="4"/>
      <c r="X342" s="4"/>
      <c r="Y342" s="4"/>
      <c r="Z342" s="4"/>
      <c r="AA342" s="4"/>
    </row>
    <row r="343">
      <c r="A343" s="48"/>
      <c r="B343" s="48"/>
      <c r="C343" s="4"/>
      <c r="D343" s="4"/>
      <c r="E343" s="4"/>
      <c r="F343" s="48"/>
      <c r="G343" s="48"/>
      <c r="H343" s="48"/>
      <c r="I343" s="48"/>
      <c r="J343" s="48"/>
      <c r="K343" s="48"/>
      <c r="L343" s="48"/>
      <c r="M343" s="48"/>
      <c r="N343" s="48"/>
      <c r="O343" s="48"/>
      <c r="P343" s="4"/>
      <c r="Q343" s="4"/>
      <c r="R343" s="4"/>
      <c r="S343" s="4"/>
      <c r="T343" s="4"/>
      <c r="U343" s="4"/>
      <c r="V343" s="4"/>
      <c r="W343" s="4"/>
      <c r="X343" s="4"/>
      <c r="Y343" s="4"/>
      <c r="Z343" s="4"/>
      <c r="AA343" s="4"/>
    </row>
    <row r="344">
      <c r="A344" s="48"/>
      <c r="B344" s="48"/>
      <c r="C344" s="4"/>
      <c r="D344" s="4"/>
      <c r="E344" s="4"/>
      <c r="F344" s="48"/>
      <c r="G344" s="48"/>
      <c r="H344" s="48"/>
      <c r="I344" s="48"/>
      <c r="J344" s="48"/>
      <c r="K344" s="48"/>
      <c r="L344" s="48"/>
      <c r="M344" s="48"/>
      <c r="N344" s="48"/>
      <c r="O344" s="48"/>
      <c r="P344" s="4"/>
      <c r="Q344" s="4"/>
      <c r="R344" s="4"/>
      <c r="S344" s="4"/>
      <c r="T344" s="4"/>
      <c r="U344" s="4"/>
      <c r="V344" s="4"/>
      <c r="W344" s="4"/>
      <c r="X344" s="4"/>
      <c r="Y344" s="4"/>
      <c r="Z344" s="4"/>
      <c r="AA344" s="4"/>
    </row>
    <row r="345">
      <c r="A345" s="48"/>
      <c r="B345" s="48"/>
      <c r="C345" s="4"/>
      <c r="D345" s="4"/>
      <c r="E345" s="4"/>
      <c r="F345" s="48"/>
      <c r="G345" s="48"/>
      <c r="H345" s="48"/>
      <c r="I345" s="48"/>
      <c r="J345" s="48"/>
      <c r="K345" s="48"/>
      <c r="L345" s="48"/>
      <c r="M345" s="48"/>
      <c r="N345" s="48"/>
      <c r="O345" s="48"/>
      <c r="P345" s="4"/>
      <c r="Q345" s="4"/>
      <c r="R345" s="4"/>
      <c r="S345" s="4"/>
      <c r="T345" s="4"/>
      <c r="U345" s="4"/>
      <c r="V345" s="4"/>
      <c r="W345" s="4"/>
      <c r="X345" s="4"/>
      <c r="Y345" s="4"/>
      <c r="Z345" s="4"/>
      <c r="AA345" s="4"/>
    </row>
    <row r="346">
      <c r="A346" s="48"/>
      <c r="B346" s="48"/>
      <c r="C346" s="4"/>
      <c r="D346" s="4"/>
      <c r="E346" s="4"/>
      <c r="F346" s="48"/>
      <c r="G346" s="48"/>
      <c r="H346" s="48"/>
      <c r="I346" s="48"/>
      <c r="J346" s="48"/>
      <c r="K346" s="48"/>
      <c r="L346" s="48"/>
      <c r="M346" s="48"/>
      <c r="N346" s="48"/>
      <c r="O346" s="48"/>
      <c r="P346" s="4"/>
      <c r="Q346" s="4"/>
      <c r="R346" s="4"/>
      <c r="S346" s="4"/>
      <c r="T346" s="4"/>
      <c r="U346" s="4"/>
      <c r="V346" s="4"/>
      <c r="W346" s="4"/>
      <c r="X346" s="4"/>
      <c r="Y346" s="4"/>
      <c r="Z346" s="4"/>
      <c r="AA346" s="4"/>
    </row>
    <row r="347">
      <c r="A347" s="48"/>
      <c r="B347" s="48"/>
      <c r="C347" s="4"/>
      <c r="D347" s="4"/>
      <c r="E347" s="4"/>
      <c r="F347" s="48"/>
      <c r="G347" s="48"/>
      <c r="H347" s="48"/>
      <c r="I347" s="48"/>
      <c r="J347" s="48"/>
      <c r="K347" s="48"/>
      <c r="L347" s="48"/>
      <c r="M347" s="48"/>
      <c r="N347" s="48"/>
      <c r="O347" s="48"/>
      <c r="P347" s="4"/>
      <c r="Q347" s="4"/>
      <c r="R347" s="4"/>
      <c r="S347" s="4"/>
      <c r="T347" s="4"/>
      <c r="U347" s="4"/>
      <c r="V347" s="4"/>
      <c r="W347" s="4"/>
      <c r="X347" s="4"/>
      <c r="Y347" s="4"/>
      <c r="Z347" s="4"/>
      <c r="AA347" s="4"/>
    </row>
    <row r="348">
      <c r="A348" s="48"/>
      <c r="B348" s="48"/>
      <c r="C348" s="4"/>
      <c r="D348" s="4"/>
      <c r="E348" s="4"/>
      <c r="F348" s="48"/>
      <c r="G348" s="48"/>
      <c r="H348" s="48"/>
      <c r="I348" s="48"/>
      <c r="J348" s="48"/>
      <c r="K348" s="48"/>
      <c r="L348" s="48"/>
      <c r="M348" s="48"/>
      <c r="N348" s="48"/>
      <c r="O348" s="48"/>
      <c r="P348" s="4"/>
      <c r="Q348" s="4"/>
      <c r="R348" s="4"/>
      <c r="S348" s="4"/>
      <c r="T348" s="4"/>
      <c r="U348" s="4"/>
      <c r="V348" s="4"/>
      <c r="W348" s="4"/>
      <c r="X348" s="4"/>
      <c r="Y348" s="4"/>
      <c r="Z348" s="4"/>
      <c r="AA348" s="4"/>
    </row>
    <row r="349">
      <c r="A349" s="48"/>
      <c r="B349" s="48"/>
      <c r="C349" s="4"/>
      <c r="D349" s="4"/>
      <c r="E349" s="4"/>
      <c r="F349" s="48"/>
      <c r="G349" s="48"/>
      <c r="H349" s="48"/>
      <c r="I349" s="48"/>
      <c r="J349" s="48"/>
      <c r="K349" s="48"/>
      <c r="L349" s="48"/>
      <c r="M349" s="48"/>
      <c r="N349" s="48"/>
      <c r="O349" s="48"/>
      <c r="P349" s="4"/>
      <c r="Q349" s="4"/>
      <c r="R349" s="4"/>
      <c r="S349" s="4"/>
      <c r="T349" s="4"/>
      <c r="U349" s="4"/>
      <c r="V349" s="4"/>
      <c r="W349" s="4"/>
      <c r="X349" s="4"/>
      <c r="Y349" s="4"/>
      <c r="Z349" s="4"/>
      <c r="AA349" s="4"/>
    </row>
    <row r="350">
      <c r="A350" s="48"/>
      <c r="B350" s="48"/>
      <c r="C350" s="4"/>
      <c r="D350" s="4"/>
      <c r="E350" s="4"/>
      <c r="F350" s="48"/>
      <c r="G350" s="48"/>
      <c r="H350" s="48"/>
      <c r="I350" s="48"/>
      <c r="J350" s="48"/>
      <c r="K350" s="48"/>
      <c r="L350" s="48"/>
      <c r="M350" s="48"/>
      <c r="N350" s="48"/>
      <c r="O350" s="48"/>
      <c r="P350" s="4"/>
      <c r="Q350" s="4"/>
      <c r="R350" s="4"/>
      <c r="S350" s="4"/>
      <c r="T350" s="4"/>
      <c r="U350" s="4"/>
      <c r="V350" s="4"/>
      <c r="W350" s="4"/>
      <c r="X350" s="4"/>
      <c r="Y350" s="4"/>
      <c r="Z350" s="4"/>
      <c r="AA350" s="4"/>
    </row>
    <row r="351">
      <c r="A351" s="48"/>
      <c r="B351" s="48"/>
      <c r="C351" s="4"/>
      <c r="D351" s="4"/>
      <c r="E351" s="4"/>
      <c r="F351" s="48"/>
      <c r="G351" s="48"/>
      <c r="H351" s="48"/>
      <c r="I351" s="48"/>
      <c r="J351" s="48"/>
      <c r="K351" s="48"/>
      <c r="L351" s="48"/>
      <c r="M351" s="48"/>
      <c r="N351" s="48"/>
      <c r="O351" s="48"/>
      <c r="P351" s="4"/>
      <c r="Q351" s="4"/>
      <c r="R351" s="4"/>
      <c r="S351" s="4"/>
      <c r="T351" s="4"/>
      <c r="U351" s="4"/>
      <c r="V351" s="4"/>
      <c r="W351" s="4"/>
      <c r="X351" s="4"/>
      <c r="Y351" s="4"/>
      <c r="Z351" s="4"/>
      <c r="AA351" s="4"/>
    </row>
    <row r="352">
      <c r="A352" s="48"/>
      <c r="B352" s="48"/>
      <c r="C352" s="4"/>
      <c r="D352" s="4"/>
      <c r="E352" s="4"/>
      <c r="F352" s="48"/>
      <c r="G352" s="48"/>
      <c r="H352" s="48"/>
      <c r="I352" s="48"/>
      <c r="J352" s="48"/>
      <c r="K352" s="48"/>
      <c r="L352" s="48"/>
      <c r="M352" s="48"/>
      <c r="N352" s="48"/>
      <c r="O352" s="48"/>
      <c r="P352" s="4"/>
      <c r="Q352" s="4"/>
      <c r="R352" s="4"/>
      <c r="S352" s="4"/>
      <c r="T352" s="4"/>
      <c r="U352" s="4"/>
      <c r="V352" s="4"/>
      <c r="W352" s="4"/>
      <c r="X352" s="4"/>
      <c r="Y352" s="4"/>
      <c r="Z352" s="4"/>
      <c r="AA352" s="4"/>
    </row>
    <row r="353">
      <c r="A353" s="48"/>
      <c r="B353" s="48"/>
      <c r="C353" s="4"/>
      <c r="D353" s="4"/>
      <c r="E353" s="4"/>
      <c r="F353" s="48"/>
      <c r="G353" s="48"/>
      <c r="H353" s="48"/>
      <c r="I353" s="48"/>
      <c r="J353" s="48"/>
      <c r="K353" s="48"/>
      <c r="L353" s="48"/>
      <c r="M353" s="48"/>
      <c r="N353" s="48"/>
      <c r="O353" s="48"/>
      <c r="P353" s="4"/>
      <c r="Q353" s="4"/>
      <c r="R353" s="4"/>
      <c r="S353" s="4"/>
      <c r="T353" s="4"/>
      <c r="U353" s="4"/>
      <c r="V353" s="4"/>
      <c r="W353" s="4"/>
      <c r="X353" s="4"/>
      <c r="Y353" s="4"/>
      <c r="Z353" s="4"/>
      <c r="AA353" s="4"/>
    </row>
    <row r="354">
      <c r="A354" s="48"/>
      <c r="B354" s="48"/>
      <c r="C354" s="4"/>
      <c r="D354" s="4"/>
      <c r="E354" s="4"/>
      <c r="F354" s="48"/>
      <c r="G354" s="48"/>
      <c r="H354" s="48"/>
      <c r="I354" s="48"/>
      <c r="J354" s="48"/>
      <c r="K354" s="48"/>
      <c r="L354" s="48"/>
      <c r="M354" s="48"/>
      <c r="N354" s="48"/>
      <c r="O354" s="48"/>
      <c r="P354" s="4"/>
      <c r="Q354" s="4"/>
      <c r="R354" s="4"/>
      <c r="S354" s="4"/>
      <c r="T354" s="4"/>
      <c r="U354" s="4"/>
      <c r="V354" s="4"/>
      <c r="W354" s="4"/>
      <c r="X354" s="4"/>
      <c r="Y354" s="4"/>
      <c r="Z354" s="4"/>
      <c r="AA354" s="4"/>
    </row>
    <row r="355">
      <c r="A355" s="48"/>
      <c r="B355" s="48"/>
      <c r="C355" s="4"/>
      <c r="D355" s="4"/>
      <c r="E355" s="4"/>
      <c r="F355" s="48"/>
      <c r="G355" s="48"/>
      <c r="H355" s="48"/>
      <c r="I355" s="48"/>
      <c r="J355" s="48"/>
      <c r="K355" s="48"/>
      <c r="L355" s="48"/>
      <c r="M355" s="48"/>
      <c r="N355" s="48"/>
      <c r="O355" s="48"/>
      <c r="P355" s="4"/>
      <c r="Q355" s="4"/>
      <c r="R355" s="4"/>
      <c r="S355" s="4"/>
      <c r="T355" s="4"/>
      <c r="U355" s="4"/>
      <c r="V355" s="4"/>
      <c r="W355" s="4"/>
      <c r="X355" s="4"/>
      <c r="Y355" s="4"/>
      <c r="Z355" s="4"/>
      <c r="AA355" s="4"/>
    </row>
    <row r="356">
      <c r="A356" s="48"/>
      <c r="B356" s="48"/>
      <c r="C356" s="4"/>
      <c r="D356" s="4"/>
      <c r="E356" s="4"/>
      <c r="F356" s="48"/>
      <c r="G356" s="48"/>
      <c r="H356" s="48"/>
      <c r="I356" s="48"/>
      <c r="J356" s="48"/>
      <c r="K356" s="48"/>
      <c r="L356" s="48"/>
      <c r="M356" s="48"/>
      <c r="N356" s="48"/>
      <c r="O356" s="48"/>
      <c r="P356" s="4"/>
      <c r="Q356" s="4"/>
      <c r="R356" s="4"/>
      <c r="S356" s="4"/>
      <c r="T356" s="4"/>
      <c r="U356" s="4"/>
      <c r="V356" s="4"/>
      <c r="W356" s="4"/>
      <c r="X356" s="4"/>
      <c r="Y356" s="4"/>
      <c r="Z356" s="4"/>
      <c r="AA356" s="4"/>
    </row>
    <row r="357">
      <c r="A357" s="48"/>
      <c r="B357" s="48"/>
      <c r="C357" s="4"/>
      <c r="D357" s="4"/>
      <c r="E357" s="4"/>
      <c r="F357" s="48"/>
      <c r="G357" s="48"/>
      <c r="H357" s="48"/>
      <c r="I357" s="48"/>
      <c r="J357" s="48"/>
      <c r="K357" s="48"/>
      <c r="L357" s="48"/>
      <c r="M357" s="48"/>
      <c r="N357" s="48"/>
      <c r="O357" s="48"/>
      <c r="P357" s="4"/>
      <c r="Q357" s="4"/>
      <c r="R357" s="4"/>
      <c r="S357" s="4"/>
      <c r="T357" s="4"/>
      <c r="U357" s="4"/>
      <c r="V357" s="4"/>
      <c r="W357" s="4"/>
      <c r="X357" s="4"/>
      <c r="Y357" s="4"/>
      <c r="Z357" s="4"/>
      <c r="AA357" s="4"/>
    </row>
    <row r="358">
      <c r="A358" s="48"/>
      <c r="B358" s="48"/>
      <c r="C358" s="4"/>
      <c r="D358" s="4"/>
      <c r="E358" s="4"/>
      <c r="F358" s="48"/>
      <c r="G358" s="48"/>
      <c r="H358" s="48"/>
      <c r="I358" s="48"/>
      <c r="J358" s="48"/>
      <c r="K358" s="48"/>
      <c r="L358" s="48"/>
      <c r="M358" s="48"/>
      <c r="N358" s="48"/>
      <c r="O358" s="48"/>
      <c r="P358" s="4"/>
      <c r="Q358" s="4"/>
      <c r="R358" s="4"/>
      <c r="S358" s="4"/>
      <c r="T358" s="4"/>
      <c r="U358" s="4"/>
      <c r="V358" s="4"/>
      <c r="W358" s="4"/>
      <c r="X358" s="4"/>
      <c r="Y358" s="4"/>
      <c r="Z358" s="4"/>
      <c r="AA358" s="4"/>
    </row>
    <row r="359">
      <c r="A359" s="48"/>
      <c r="B359" s="48"/>
      <c r="C359" s="4"/>
      <c r="D359" s="4"/>
      <c r="E359" s="4"/>
      <c r="F359" s="48"/>
      <c r="G359" s="48"/>
      <c r="H359" s="48"/>
      <c r="I359" s="48"/>
      <c r="J359" s="48"/>
      <c r="K359" s="48"/>
      <c r="L359" s="48"/>
      <c r="M359" s="48"/>
      <c r="N359" s="48"/>
      <c r="O359" s="48"/>
      <c r="P359" s="4"/>
      <c r="Q359" s="4"/>
      <c r="R359" s="4"/>
      <c r="S359" s="4"/>
      <c r="T359" s="4"/>
      <c r="U359" s="4"/>
      <c r="V359" s="4"/>
      <c r="W359" s="4"/>
      <c r="X359" s="4"/>
      <c r="Y359" s="4"/>
      <c r="Z359" s="4"/>
      <c r="AA359" s="4"/>
    </row>
    <row r="360">
      <c r="A360" s="48"/>
      <c r="B360" s="48"/>
      <c r="C360" s="4"/>
      <c r="D360" s="4"/>
      <c r="E360" s="4"/>
      <c r="F360" s="48"/>
      <c r="G360" s="48"/>
      <c r="H360" s="48"/>
      <c r="I360" s="48"/>
      <c r="J360" s="48"/>
      <c r="K360" s="48"/>
      <c r="L360" s="48"/>
      <c r="M360" s="48"/>
      <c r="N360" s="48"/>
      <c r="O360" s="48"/>
      <c r="P360" s="4"/>
      <c r="Q360" s="4"/>
      <c r="R360" s="4"/>
      <c r="S360" s="4"/>
      <c r="T360" s="4"/>
      <c r="U360" s="4"/>
      <c r="V360" s="4"/>
      <c r="W360" s="4"/>
      <c r="X360" s="4"/>
      <c r="Y360" s="4"/>
      <c r="Z360" s="4"/>
      <c r="AA360" s="4"/>
    </row>
    <row r="361">
      <c r="A361" s="48"/>
      <c r="B361" s="48"/>
      <c r="C361" s="4"/>
      <c r="D361" s="4"/>
      <c r="E361" s="4"/>
      <c r="F361" s="48"/>
      <c r="G361" s="48"/>
      <c r="H361" s="48"/>
      <c r="I361" s="48"/>
      <c r="J361" s="48"/>
      <c r="K361" s="48"/>
      <c r="L361" s="48"/>
      <c r="M361" s="48"/>
      <c r="N361" s="48"/>
      <c r="O361" s="48"/>
      <c r="P361" s="4"/>
      <c r="Q361" s="4"/>
      <c r="R361" s="4"/>
      <c r="S361" s="4"/>
      <c r="T361" s="4"/>
      <c r="U361" s="4"/>
      <c r="V361" s="4"/>
      <c r="W361" s="4"/>
      <c r="X361" s="4"/>
      <c r="Y361" s="4"/>
      <c r="Z361" s="4"/>
      <c r="AA361" s="4"/>
    </row>
    <row r="362">
      <c r="A362" s="48"/>
      <c r="B362" s="48"/>
      <c r="C362" s="4"/>
      <c r="D362" s="4"/>
      <c r="E362" s="4"/>
      <c r="F362" s="48"/>
      <c r="G362" s="48"/>
      <c r="H362" s="48"/>
      <c r="I362" s="48"/>
      <c r="J362" s="48"/>
      <c r="K362" s="48"/>
      <c r="L362" s="48"/>
      <c r="M362" s="48"/>
      <c r="N362" s="48"/>
      <c r="O362" s="48"/>
      <c r="P362" s="4"/>
      <c r="Q362" s="4"/>
      <c r="R362" s="4"/>
      <c r="S362" s="4"/>
      <c r="T362" s="4"/>
      <c r="U362" s="4"/>
      <c r="V362" s="4"/>
      <c r="W362" s="4"/>
      <c r="X362" s="4"/>
      <c r="Y362" s="4"/>
      <c r="Z362" s="4"/>
      <c r="AA362" s="4"/>
    </row>
    <row r="363">
      <c r="A363" s="48"/>
      <c r="B363" s="48"/>
      <c r="C363" s="4"/>
      <c r="D363" s="4"/>
      <c r="E363" s="4"/>
      <c r="F363" s="48"/>
      <c r="G363" s="48"/>
      <c r="H363" s="48"/>
      <c r="I363" s="48"/>
      <c r="J363" s="48"/>
      <c r="K363" s="48"/>
      <c r="L363" s="48"/>
      <c r="M363" s="48"/>
      <c r="N363" s="48"/>
      <c r="O363" s="48"/>
      <c r="P363" s="4"/>
      <c r="Q363" s="4"/>
      <c r="R363" s="4"/>
      <c r="S363" s="4"/>
      <c r="T363" s="4"/>
      <c r="U363" s="4"/>
      <c r="V363" s="4"/>
      <c r="W363" s="4"/>
      <c r="X363" s="4"/>
      <c r="Y363" s="4"/>
      <c r="Z363" s="4"/>
      <c r="AA363" s="4"/>
    </row>
    <row r="364">
      <c r="A364" s="48"/>
      <c r="B364" s="48"/>
      <c r="C364" s="4"/>
      <c r="D364" s="4"/>
      <c r="E364" s="4"/>
      <c r="F364" s="48"/>
      <c r="G364" s="48"/>
      <c r="H364" s="48"/>
      <c r="I364" s="48"/>
      <c r="J364" s="48"/>
      <c r="K364" s="48"/>
      <c r="L364" s="48"/>
      <c r="M364" s="48"/>
      <c r="N364" s="48"/>
      <c r="O364" s="48"/>
      <c r="P364" s="4"/>
      <c r="Q364" s="4"/>
      <c r="R364" s="4"/>
      <c r="S364" s="4"/>
      <c r="T364" s="4"/>
      <c r="U364" s="4"/>
      <c r="V364" s="4"/>
      <c r="W364" s="4"/>
      <c r="X364" s="4"/>
      <c r="Y364" s="4"/>
      <c r="Z364" s="4"/>
      <c r="AA364" s="4"/>
    </row>
    <row r="365">
      <c r="A365" s="48"/>
      <c r="B365" s="48"/>
      <c r="C365" s="4"/>
      <c r="D365" s="4"/>
      <c r="E365" s="4"/>
      <c r="F365" s="48"/>
      <c r="G365" s="48"/>
      <c r="H365" s="48"/>
      <c r="I365" s="48"/>
      <c r="J365" s="48"/>
      <c r="K365" s="48"/>
      <c r="L365" s="48"/>
      <c r="M365" s="48"/>
      <c r="N365" s="48"/>
      <c r="O365" s="48"/>
      <c r="P365" s="4"/>
      <c r="Q365" s="4"/>
      <c r="R365" s="4"/>
      <c r="S365" s="4"/>
      <c r="T365" s="4"/>
      <c r="U365" s="4"/>
      <c r="V365" s="4"/>
      <c r="W365" s="4"/>
      <c r="X365" s="4"/>
      <c r="Y365" s="4"/>
      <c r="Z365" s="4"/>
      <c r="AA365" s="4"/>
    </row>
    <row r="366">
      <c r="A366" s="48"/>
      <c r="B366" s="48"/>
      <c r="C366" s="4"/>
      <c r="D366" s="4"/>
      <c r="E366" s="4"/>
      <c r="F366" s="48"/>
      <c r="G366" s="48"/>
      <c r="H366" s="48"/>
      <c r="I366" s="48"/>
      <c r="J366" s="48"/>
      <c r="K366" s="48"/>
      <c r="L366" s="48"/>
      <c r="M366" s="48"/>
      <c r="N366" s="48"/>
      <c r="O366" s="48"/>
      <c r="P366" s="4"/>
      <c r="Q366" s="4"/>
      <c r="R366" s="4"/>
      <c r="S366" s="4"/>
      <c r="T366" s="4"/>
      <c r="U366" s="4"/>
      <c r="V366" s="4"/>
      <c r="W366" s="4"/>
      <c r="X366" s="4"/>
      <c r="Y366" s="4"/>
      <c r="Z366" s="4"/>
      <c r="AA366" s="4"/>
    </row>
    <row r="367">
      <c r="A367" s="48"/>
      <c r="B367" s="48"/>
      <c r="C367" s="4"/>
      <c r="D367" s="4"/>
      <c r="E367" s="4"/>
      <c r="F367" s="48"/>
      <c r="G367" s="48"/>
      <c r="H367" s="48"/>
      <c r="I367" s="48"/>
      <c r="J367" s="48"/>
      <c r="K367" s="48"/>
      <c r="L367" s="48"/>
      <c r="M367" s="48"/>
      <c r="N367" s="48"/>
      <c r="O367" s="48"/>
      <c r="P367" s="4"/>
      <c r="Q367" s="4"/>
      <c r="R367" s="4"/>
      <c r="S367" s="4"/>
      <c r="T367" s="4"/>
      <c r="U367" s="4"/>
      <c r="V367" s="4"/>
      <c r="W367" s="4"/>
      <c r="X367" s="4"/>
      <c r="Y367" s="4"/>
      <c r="Z367" s="4"/>
      <c r="AA367" s="4"/>
    </row>
    <row r="368">
      <c r="A368" s="48"/>
      <c r="B368" s="48"/>
      <c r="C368" s="4"/>
      <c r="D368" s="4"/>
      <c r="E368" s="4"/>
      <c r="F368" s="48"/>
      <c r="G368" s="48"/>
      <c r="H368" s="48"/>
      <c r="I368" s="48"/>
      <c r="J368" s="48"/>
      <c r="K368" s="48"/>
      <c r="L368" s="48"/>
      <c r="M368" s="48"/>
      <c r="N368" s="48"/>
      <c r="O368" s="48"/>
      <c r="P368" s="4"/>
      <c r="Q368" s="4"/>
      <c r="R368" s="4"/>
      <c r="S368" s="4"/>
      <c r="T368" s="4"/>
      <c r="U368" s="4"/>
      <c r="V368" s="4"/>
      <c r="W368" s="4"/>
      <c r="X368" s="4"/>
      <c r="Y368" s="4"/>
      <c r="Z368" s="4"/>
      <c r="AA368" s="4"/>
    </row>
    <row r="369">
      <c r="A369" s="48"/>
      <c r="B369" s="48"/>
      <c r="C369" s="4"/>
      <c r="D369" s="4"/>
      <c r="E369" s="4"/>
      <c r="F369" s="48"/>
      <c r="G369" s="48"/>
      <c r="H369" s="48"/>
      <c r="I369" s="48"/>
      <c r="J369" s="48"/>
      <c r="K369" s="48"/>
      <c r="L369" s="48"/>
      <c r="M369" s="48"/>
      <c r="N369" s="48"/>
      <c r="O369" s="48"/>
      <c r="P369" s="4"/>
      <c r="Q369" s="4"/>
      <c r="R369" s="4"/>
      <c r="S369" s="4"/>
      <c r="T369" s="4"/>
      <c r="U369" s="4"/>
      <c r="V369" s="4"/>
      <c r="W369" s="4"/>
      <c r="X369" s="4"/>
      <c r="Y369" s="4"/>
      <c r="Z369" s="4"/>
      <c r="AA369" s="4"/>
    </row>
    <row r="370">
      <c r="A370" s="48"/>
      <c r="B370" s="48"/>
      <c r="C370" s="4"/>
      <c r="D370" s="4"/>
      <c r="E370" s="4"/>
      <c r="F370" s="48"/>
      <c r="G370" s="48"/>
      <c r="H370" s="48"/>
      <c r="I370" s="48"/>
      <c r="J370" s="48"/>
      <c r="K370" s="48"/>
      <c r="L370" s="48"/>
      <c r="M370" s="48"/>
      <c r="N370" s="48"/>
      <c r="O370" s="48"/>
      <c r="P370" s="4"/>
      <c r="Q370" s="4"/>
      <c r="R370" s="4"/>
      <c r="S370" s="4"/>
      <c r="T370" s="4"/>
      <c r="U370" s="4"/>
      <c r="V370" s="4"/>
      <c r="W370" s="4"/>
      <c r="X370" s="4"/>
      <c r="Y370" s="4"/>
      <c r="Z370" s="4"/>
      <c r="AA370" s="4"/>
    </row>
    <row r="371">
      <c r="A371" s="48"/>
      <c r="B371" s="48"/>
      <c r="C371" s="4"/>
      <c r="D371" s="4"/>
      <c r="E371" s="4"/>
      <c r="F371" s="48"/>
      <c r="G371" s="48"/>
      <c r="H371" s="48"/>
      <c r="I371" s="48"/>
      <c r="J371" s="48"/>
      <c r="K371" s="48"/>
      <c r="L371" s="48"/>
      <c r="M371" s="48"/>
      <c r="N371" s="48"/>
      <c r="O371" s="48"/>
      <c r="P371" s="4"/>
      <c r="Q371" s="4"/>
      <c r="R371" s="4"/>
      <c r="S371" s="4"/>
      <c r="T371" s="4"/>
      <c r="U371" s="4"/>
      <c r="V371" s="4"/>
      <c r="W371" s="4"/>
      <c r="X371" s="4"/>
      <c r="Y371" s="4"/>
      <c r="Z371" s="4"/>
      <c r="AA371" s="4"/>
    </row>
    <row r="372">
      <c r="A372" s="48"/>
      <c r="B372" s="48"/>
      <c r="C372" s="4"/>
      <c r="D372" s="4"/>
      <c r="E372" s="4"/>
      <c r="F372" s="48"/>
      <c r="G372" s="48"/>
      <c r="H372" s="48"/>
      <c r="I372" s="48"/>
      <c r="J372" s="48"/>
      <c r="K372" s="48"/>
      <c r="L372" s="48"/>
      <c r="M372" s="48"/>
      <c r="N372" s="48"/>
      <c r="O372" s="48"/>
      <c r="P372" s="4"/>
      <c r="Q372" s="4"/>
      <c r="R372" s="4"/>
      <c r="S372" s="4"/>
      <c r="T372" s="4"/>
      <c r="U372" s="4"/>
      <c r="V372" s="4"/>
      <c r="W372" s="4"/>
      <c r="X372" s="4"/>
      <c r="Y372" s="4"/>
      <c r="Z372" s="4"/>
      <c r="AA372" s="4"/>
    </row>
    <row r="373">
      <c r="A373" s="48"/>
      <c r="B373" s="48"/>
      <c r="C373" s="4"/>
      <c r="D373" s="4"/>
      <c r="E373" s="4"/>
      <c r="F373" s="48"/>
      <c r="G373" s="48"/>
      <c r="H373" s="48"/>
      <c r="I373" s="48"/>
      <c r="J373" s="48"/>
      <c r="K373" s="48"/>
      <c r="L373" s="48"/>
      <c r="M373" s="48"/>
      <c r="N373" s="48"/>
      <c r="O373" s="48"/>
      <c r="P373" s="4"/>
      <c r="Q373" s="4"/>
      <c r="R373" s="4"/>
      <c r="S373" s="4"/>
      <c r="T373" s="4"/>
      <c r="U373" s="4"/>
      <c r="V373" s="4"/>
      <c r="W373" s="4"/>
      <c r="X373" s="4"/>
      <c r="Y373" s="4"/>
      <c r="Z373" s="4"/>
      <c r="AA373" s="4"/>
    </row>
    <row r="374">
      <c r="A374" s="48"/>
      <c r="B374" s="48"/>
      <c r="C374" s="4"/>
      <c r="D374" s="4"/>
      <c r="E374" s="4"/>
      <c r="F374" s="48"/>
      <c r="G374" s="48"/>
      <c r="H374" s="48"/>
      <c r="I374" s="48"/>
      <c r="J374" s="48"/>
      <c r="K374" s="48"/>
      <c r="L374" s="48"/>
      <c r="M374" s="48"/>
      <c r="N374" s="48"/>
      <c r="O374" s="48"/>
      <c r="P374" s="4"/>
      <c r="Q374" s="4"/>
      <c r="R374" s="4"/>
      <c r="S374" s="4"/>
      <c r="T374" s="4"/>
      <c r="U374" s="4"/>
      <c r="V374" s="4"/>
      <c r="W374" s="4"/>
      <c r="X374" s="4"/>
      <c r="Y374" s="4"/>
      <c r="Z374" s="4"/>
      <c r="AA374" s="4"/>
    </row>
    <row r="375">
      <c r="A375" s="48"/>
      <c r="B375" s="48"/>
      <c r="C375" s="4"/>
      <c r="D375" s="4"/>
      <c r="E375" s="4"/>
      <c r="F375" s="48"/>
      <c r="G375" s="48"/>
      <c r="H375" s="48"/>
      <c r="I375" s="48"/>
      <c r="J375" s="48"/>
      <c r="K375" s="48"/>
      <c r="L375" s="48"/>
      <c r="M375" s="48"/>
      <c r="N375" s="48"/>
      <c r="O375" s="48"/>
      <c r="P375" s="4"/>
      <c r="Q375" s="4"/>
      <c r="R375" s="4"/>
      <c r="S375" s="4"/>
      <c r="T375" s="4"/>
      <c r="U375" s="4"/>
      <c r="V375" s="4"/>
      <c r="W375" s="4"/>
      <c r="X375" s="4"/>
      <c r="Y375" s="4"/>
      <c r="Z375" s="4"/>
      <c r="AA375" s="4"/>
    </row>
    <row r="376">
      <c r="A376" s="48"/>
      <c r="B376" s="48"/>
      <c r="C376" s="4"/>
      <c r="D376" s="4"/>
      <c r="E376" s="4"/>
      <c r="F376" s="48"/>
      <c r="G376" s="48"/>
      <c r="H376" s="48"/>
      <c r="I376" s="48"/>
      <c r="J376" s="48"/>
      <c r="K376" s="48"/>
      <c r="L376" s="48"/>
      <c r="M376" s="48"/>
      <c r="N376" s="48"/>
      <c r="O376" s="48"/>
      <c r="P376" s="4"/>
      <c r="Q376" s="4"/>
      <c r="R376" s="4"/>
      <c r="S376" s="4"/>
      <c r="T376" s="4"/>
      <c r="U376" s="4"/>
      <c r="V376" s="4"/>
      <c r="W376" s="4"/>
      <c r="X376" s="4"/>
      <c r="Y376" s="4"/>
      <c r="Z376" s="4"/>
      <c r="AA376" s="4"/>
    </row>
    <row r="377">
      <c r="A377" s="48"/>
      <c r="B377" s="48"/>
      <c r="C377" s="4"/>
      <c r="D377" s="4"/>
      <c r="E377" s="4"/>
      <c r="F377" s="48"/>
      <c r="G377" s="48"/>
      <c r="H377" s="48"/>
      <c r="I377" s="48"/>
      <c r="J377" s="48"/>
      <c r="K377" s="48"/>
      <c r="L377" s="48"/>
      <c r="M377" s="48"/>
      <c r="N377" s="48"/>
      <c r="O377" s="48"/>
      <c r="P377" s="4"/>
      <c r="Q377" s="4"/>
      <c r="R377" s="4"/>
      <c r="S377" s="4"/>
      <c r="T377" s="4"/>
      <c r="U377" s="4"/>
      <c r="V377" s="4"/>
      <c r="W377" s="4"/>
      <c r="X377" s="4"/>
      <c r="Y377" s="4"/>
      <c r="Z377" s="4"/>
      <c r="AA377" s="4"/>
    </row>
    <row r="378">
      <c r="A378" s="48"/>
      <c r="B378" s="48"/>
      <c r="C378" s="4"/>
      <c r="D378" s="4"/>
      <c r="E378" s="4"/>
      <c r="F378" s="48"/>
      <c r="G378" s="48"/>
      <c r="H378" s="48"/>
      <c r="I378" s="48"/>
      <c r="J378" s="48"/>
      <c r="K378" s="48"/>
      <c r="L378" s="48"/>
      <c r="M378" s="48"/>
      <c r="N378" s="48"/>
      <c r="O378" s="48"/>
      <c r="P378" s="4"/>
      <c r="Q378" s="4"/>
      <c r="R378" s="4"/>
      <c r="S378" s="4"/>
      <c r="T378" s="4"/>
      <c r="U378" s="4"/>
      <c r="V378" s="4"/>
      <c r="W378" s="4"/>
      <c r="X378" s="4"/>
      <c r="Y378" s="4"/>
      <c r="Z378" s="4"/>
      <c r="AA378" s="4"/>
    </row>
    <row r="379">
      <c r="A379" s="48"/>
      <c r="B379" s="48"/>
      <c r="C379" s="4"/>
      <c r="D379" s="4"/>
      <c r="E379" s="4"/>
      <c r="F379" s="48"/>
      <c r="G379" s="48"/>
      <c r="H379" s="48"/>
      <c r="I379" s="48"/>
      <c r="J379" s="48"/>
      <c r="K379" s="48"/>
      <c r="L379" s="48"/>
      <c r="M379" s="48"/>
      <c r="N379" s="48"/>
      <c r="O379" s="48"/>
      <c r="P379" s="4"/>
      <c r="Q379" s="4"/>
      <c r="R379" s="4"/>
      <c r="S379" s="4"/>
      <c r="T379" s="4"/>
      <c r="U379" s="4"/>
      <c r="V379" s="4"/>
      <c r="W379" s="4"/>
      <c r="X379" s="4"/>
      <c r="Y379" s="4"/>
      <c r="Z379" s="4"/>
      <c r="AA379" s="4"/>
    </row>
    <row r="380">
      <c r="A380" s="48"/>
      <c r="B380" s="48"/>
      <c r="C380" s="4"/>
      <c r="D380" s="4"/>
      <c r="E380" s="4"/>
      <c r="F380" s="48"/>
      <c r="G380" s="48"/>
      <c r="H380" s="48"/>
      <c r="I380" s="48"/>
      <c r="J380" s="48"/>
      <c r="K380" s="48"/>
      <c r="L380" s="48"/>
      <c r="M380" s="48"/>
      <c r="N380" s="48"/>
      <c r="O380" s="48"/>
      <c r="P380" s="4"/>
      <c r="Q380" s="4"/>
      <c r="R380" s="4"/>
      <c r="S380" s="4"/>
      <c r="T380" s="4"/>
      <c r="U380" s="4"/>
      <c r="V380" s="4"/>
      <c r="W380" s="4"/>
      <c r="X380" s="4"/>
      <c r="Y380" s="4"/>
      <c r="Z380" s="4"/>
      <c r="AA380" s="4"/>
    </row>
    <row r="381">
      <c r="A381" s="48"/>
      <c r="B381" s="48"/>
      <c r="C381" s="4"/>
      <c r="D381" s="4"/>
      <c r="E381" s="4"/>
      <c r="F381" s="48"/>
      <c r="G381" s="48"/>
      <c r="H381" s="48"/>
      <c r="I381" s="48"/>
      <c r="J381" s="48"/>
      <c r="K381" s="48"/>
      <c r="L381" s="48"/>
      <c r="M381" s="48"/>
      <c r="N381" s="48"/>
      <c r="O381" s="48"/>
      <c r="P381" s="4"/>
      <c r="Q381" s="4"/>
      <c r="R381" s="4"/>
      <c r="S381" s="4"/>
      <c r="T381" s="4"/>
      <c r="U381" s="4"/>
      <c r="V381" s="4"/>
      <c r="W381" s="4"/>
      <c r="X381" s="4"/>
      <c r="Y381" s="4"/>
      <c r="Z381" s="4"/>
      <c r="AA381" s="4"/>
    </row>
    <row r="382">
      <c r="A382" s="48"/>
      <c r="B382" s="48"/>
      <c r="C382" s="4"/>
      <c r="D382" s="4"/>
      <c r="E382" s="4"/>
      <c r="F382" s="48"/>
      <c r="G382" s="48"/>
      <c r="H382" s="48"/>
      <c r="I382" s="48"/>
      <c r="J382" s="48"/>
      <c r="K382" s="48"/>
      <c r="L382" s="48"/>
      <c r="M382" s="48"/>
      <c r="N382" s="48"/>
      <c r="O382" s="48"/>
      <c r="P382" s="4"/>
      <c r="Q382" s="4"/>
      <c r="R382" s="4"/>
      <c r="S382" s="4"/>
      <c r="T382" s="4"/>
      <c r="U382" s="4"/>
      <c r="V382" s="4"/>
      <c r="W382" s="4"/>
      <c r="X382" s="4"/>
      <c r="Y382" s="4"/>
      <c r="Z382" s="4"/>
      <c r="AA382" s="4"/>
    </row>
    <row r="383">
      <c r="A383" s="48"/>
      <c r="B383" s="48"/>
      <c r="C383" s="4"/>
      <c r="D383" s="4"/>
      <c r="E383" s="4"/>
      <c r="F383" s="48"/>
      <c r="G383" s="48"/>
      <c r="H383" s="48"/>
      <c r="I383" s="48"/>
      <c r="J383" s="48"/>
      <c r="K383" s="48"/>
      <c r="L383" s="48"/>
      <c r="M383" s="48"/>
      <c r="N383" s="48"/>
      <c r="O383" s="48"/>
      <c r="P383" s="4"/>
      <c r="Q383" s="4"/>
      <c r="R383" s="4"/>
      <c r="S383" s="4"/>
      <c r="T383" s="4"/>
      <c r="U383" s="4"/>
      <c r="V383" s="4"/>
      <c r="W383" s="4"/>
      <c r="X383" s="4"/>
      <c r="Y383" s="4"/>
      <c r="Z383" s="4"/>
      <c r="AA383" s="4"/>
    </row>
    <row r="384">
      <c r="A384" s="48"/>
      <c r="B384" s="48"/>
      <c r="C384" s="4"/>
      <c r="D384" s="4"/>
      <c r="E384" s="4"/>
      <c r="F384" s="48"/>
      <c r="G384" s="48"/>
      <c r="H384" s="48"/>
      <c r="I384" s="48"/>
      <c r="J384" s="48"/>
      <c r="K384" s="48"/>
      <c r="L384" s="48"/>
      <c r="M384" s="48"/>
      <c r="N384" s="48"/>
      <c r="O384" s="48"/>
      <c r="P384" s="4"/>
      <c r="Q384" s="4"/>
      <c r="R384" s="4"/>
      <c r="S384" s="4"/>
      <c r="T384" s="4"/>
      <c r="U384" s="4"/>
      <c r="V384" s="4"/>
      <c r="W384" s="4"/>
      <c r="X384" s="4"/>
      <c r="Y384" s="4"/>
      <c r="Z384" s="4"/>
      <c r="AA384" s="4"/>
    </row>
    <row r="385">
      <c r="A385" s="48"/>
      <c r="B385" s="48"/>
      <c r="C385" s="4"/>
      <c r="D385" s="4"/>
      <c r="E385" s="4"/>
      <c r="F385" s="48"/>
      <c r="G385" s="48"/>
      <c r="H385" s="48"/>
      <c r="I385" s="48"/>
      <c r="J385" s="48"/>
      <c r="K385" s="48"/>
      <c r="L385" s="48"/>
      <c r="M385" s="48"/>
      <c r="N385" s="48"/>
      <c r="O385" s="48"/>
      <c r="P385" s="4"/>
      <c r="Q385" s="4"/>
      <c r="R385" s="4"/>
      <c r="S385" s="4"/>
      <c r="T385" s="4"/>
      <c r="U385" s="4"/>
      <c r="V385" s="4"/>
      <c r="W385" s="4"/>
      <c r="X385" s="4"/>
      <c r="Y385" s="4"/>
      <c r="Z385" s="4"/>
      <c r="AA385" s="4"/>
    </row>
    <row r="386">
      <c r="A386" s="48"/>
      <c r="B386" s="48"/>
      <c r="C386" s="4"/>
      <c r="D386" s="4"/>
      <c r="E386" s="4"/>
      <c r="F386" s="48"/>
      <c r="G386" s="48"/>
      <c r="H386" s="48"/>
      <c r="I386" s="48"/>
      <c r="J386" s="48"/>
      <c r="K386" s="48"/>
      <c r="L386" s="48"/>
      <c r="M386" s="48"/>
      <c r="N386" s="48"/>
      <c r="O386" s="48"/>
      <c r="P386" s="4"/>
      <c r="Q386" s="4"/>
      <c r="R386" s="4"/>
      <c r="S386" s="4"/>
      <c r="T386" s="4"/>
      <c r="U386" s="4"/>
      <c r="V386" s="4"/>
      <c r="W386" s="4"/>
      <c r="X386" s="4"/>
      <c r="Y386" s="4"/>
      <c r="Z386" s="4"/>
      <c r="AA386" s="4"/>
    </row>
    <row r="387">
      <c r="A387" s="48"/>
      <c r="B387" s="48"/>
      <c r="C387" s="4"/>
      <c r="D387" s="4"/>
      <c r="E387" s="4"/>
      <c r="F387" s="48"/>
      <c r="G387" s="48"/>
      <c r="H387" s="48"/>
      <c r="I387" s="48"/>
      <c r="J387" s="48"/>
      <c r="K387" s="48"/>
      <c r="L387" s="48"/>
      <c r="M387" s="48"/>
      <c r="N387" s="48"/>
      <c r="O387" s="48"/>
      <c r="P387" s="4"/>
      <c r="Q387" s="4"/>
      <c r="R387" s="4"/>
      <c r="S387" s="4"/>
      <c r="T387" s="4"/>
      <c r="U387" s="4"/>
      <c r="V387" s="4"/>
      <c r="W387" s="4"/>
      <c r="X387" s="4"/>
      <c r="Y387" s="4"/>
      <c r="Z387" s="4"/>
      <c r="AA387" s="4"/>
    </row>
    <row r="388">
      <c r="A388" s="48"/>
      <c r="B388" s="48"/>
      <c r="C388" s="4"/>
      <c r="D388" s="4"/>
      <c r="E388" s="4"/>
      <c r="F388" s="48"/>
      <c r="G388" s="48"/>
      <c r="H388" s="48"/>
      <c r="I388" s="48"/>
      <c r="J388" s="48"/>
      <c r="K388" s="48"/>
      <c r="L388" s="48"/>
      <c r="M388" s="48"/>
      <c r="N388" s="48"/>
      <c r="O388" s="48"/>
      <c r="P388" s="4"/>
      <c r="Q388" s="4"/>
      <c r="R388" s="4"/>
      <c r="S388" s="4"/>
      <c r="T388" s="4"/>
      <c r="U388" s="4"/>
      <c r="V388" s="4"/>
      <c r="W388" s="4"/>
      <c r="X388" s="4"/>
      <c r="Y388" s="4"/>
      <c r="Z388" s="4"/>
      <c r="AA388" s="4"/>
    </row>
    <row r="389">
      <c r="A389" s="48"/>
      <c r="B389" s="48"/>
      <c r="C389" s="4"/>
      <c r="D389" s="4"/>
      <c r="E389" s="4"/>
      <c r="F389" s="48"/>
      <c r="G389" s="48"/>
      <c r="H389" s="48"/>
      <c r="I389" s="48"/>
      <c r="J389" s="48"/>
      <c r="K389" s="48"/>
      <c r="L389" s="48"/>
      <c r="M389" s="48"/>
      <c r="N389" s="48"/>
      <c r="O389" s="48"/>
      <c r="P389" s="4"/>
      <c r="Q389" s="4"/>
      <c r="R389" s="4"/>
      <c r="S389" s="4"/>
      <c r="T389" s="4"/>
      <c r="U389" s="4"/>
      <c r="V389" s="4"/>
      <c r="W389" s="4"/>
      <c r="X389" s="4"/>
      <c r="Y389" s="4"/>
      <c r="Z389" s="4"/>
      <c r="AA389" s="4"/>
    </row>
    <row r="390">
      <c r="A390" s="48"/>
      <c r="B390" s="48"/>
      <c r="C390" s="4"/>
      <c r="D390" s="4"/>
      <c r="E390" s="4"/>
      <c r="F390" s="48"/>
      <c r="G390" s="48"/>
      <c r="H390" s="48"/>
      <c r="I390" s="48"/>
      <c r="J390" s="48"/>
      <c r="K390" s="48"/>
      <c r="L390" s="48"/>
      <c r="M390" s="48"/>
      <c r="N390" s="48"/>
      <c r="O390" s="48"/>
      <c r="P390" s="4"/>
      <c r="Q390" s="4"/>
      <c r="R390" s="4"/>
      <c r="S390" s="4"/>
      <c r="T390" s="4"/>
      <c r="U390" s="4"/>
      <c r="V390" s="4"/>
      <c r="W390" s="4"/>
      <c r="X390" s="4"/>
      <c r="Y390" s="4"/>
      <c r="Z390" s="4"/>
      <c r="AA390" s="4"/>
    </row>
    <row r="391">
      <c r="A391" s="48"/>
      <c r="B391" s="48"/>
      <c r="C391" s="4"/>
      <c r="D391" s="4"/>
      <c r="E391" s="4"/>
      <c r="F391" s="48"/>
      <c r="G391" s="48"/>
      <c r="H391" s="48"/>
      <c r="I391" s="48"/>
      <c r="J391" s="48"/>
      <c r="K391" s="48"/>
      <c r="L391" s="48"/>
      <c r="M391" s="48"/>
      <c r="N391" s="48"/>
      <c r="O391" s="48"/>
      <c r="P391" s="4"/>
      <c r="Q391" s="4"/>
      <c r="R391" s="4"/>
      <c r="S391" s="4"/>
      <c r="T391" s="4"/>
      <c r="U391" s="4"/>
      <c r="V391" s="4"/>
      <c r="W391" s="4"/>
      <c r="X391" s="4"/>
      <c r="Y391" s="4"/>
      <c r="Z391" s="4"/>
      <c r="AA391" s="4"/>
    </row>
    <row r="392">
      <c r="A392" s="48"/>
      <c r="B392" s="48"/>
      <c r="C392" s="4"/>
      <c r="D392" s="4"/>
      <c r="E392" s="4"/>
      <c r="F392" s="48"/>
      <c r="G392" s="48"/>
      <c r="H392" s="48"/>
      <c r="I392" s="48"/>
      <c r="J392" s="48"/>
      <c r="K392" s="48"/>
      <c r="L392" s="48"/>
      <c r="M392" s="48"/>
      <c r="N392" s="48"/>
      <c r="O392" s="48"/>
      <c r="P392" s="4"/>
      <c r="Q392" s="4"/>
      <c r="R392" s="4"/>
      <c r="S392" s="4"/>
      <c r="T392" s="4"/>
      <c r="U392" s="4"/>
      <c r="V392" s="4"/>
      <c r="W392" s="4"/>
      <c r="X392" s="4"/>
      <c r="Y392" s="4"/>
      <c r="Z392" s="4"/>
      <c r="AA392" s="4"/>
    </row>
    <row r="393">
      <c r="A393" s="48"/>
      <c r="B393" s="48"/>
      <c r="C393" s="4"/>
      <c r="D393" s="4"/>
      <c r="E393" s="4"/>
      <c r="F393" s="48"/>
      <c r="G393" s="48"/>
      <c r="H393" s="48"/>
      <c r="I393" s="48"/>
      <c r="J393" s="48"/>
      <c r="K393" s="48"/>
      <c r="L393" s="48"/>
      <c r="M393" s="48"/>
      <c r="N393" s="48"/>
      <c r="O393" s="48"/>
      <c r="P393" s="4"/>
      <c r="Q393" s="4"/>
      <c r="R393" s="4"/>
      <c r="S393" s="4"/>
      <c r="T393" s="4"/>
      <c r="U393" s="4"/>
      <c r="V393" s="4"/>
      <c r="W393" s="4"/>
      <c r="X393" s="4"/>
      <c r="Y393" s="4"/>
      <c r="Z393" s="4"/>
      <c r="AA393" s="4"/>
    </row>
    <row r="394">
      <c r="A394" s="48"/>
      <c r="B394" s="48"/>
      <c r="C394" s="4"/>
      <c r="D394" s="4"/>
      <c r="E394" s="4"/>
      <c r="F394" s="48"/>
      <c r="G394" s="48"/>
      <c r="H394" s="48"/>
      <c r="I394" s="48"/>
      <c r="J394" s="48"/>
      <c r="K394" s="48"/>
      <c r="L394" s="48"/>
      <c r="M394" s="48"/>
      <c r="N394" s="48"/>
      <c r="O394" s="48"/>
      <c r="P394" s="4"/>
      <c r="Q394" s="4"/>
      <c r="R394" s="4"/>
      <c r="S394" s="4"/>
      <c r="T394" s="4"/>
      <c r="U394" s="4"/>
      <c r="V394" s="4"/>
      <c r="W394" s="4"/>
      <c r="X394" s="4"/>
      <c r="Y394" s="4"/>
      <c r="Z394" s="4"/>
      <c r="AA394" s="4"/>
    </row>
    <row r="395">
      <c r="A395" s="48"/>
      <c r="B395" s="48"/>
      <c r="C395" s="4"/>
      <c r="D395" s="4"/>
      <c r="E395" s="4"/>
      <c r="F395" s="48"/>
      <c r="G395" s="48"/>
      <c r="H395" s="48"/>
      <c r="I395" s="48"/>
      <c r="J395" s="48"/>
      <c r="K395" s="48"/>
      <c r="L395" s="48"/>
      <c r="M395" s="48"/>
      <c r="N395" s="48"/>
      <c r="O395" s="48"/>
      <c r="P395" s="4"/>
      <c r="Q395" s="4"/>
      <c r="R395" s="4"/>
      <c r="S395" s="4"/>
      <c r="T395" s="4"/>
      <c r="U395" s="4"/>
      <c r="V395" s="4"/>
      <c r="W395" s="4"/>
      <c r="X395" s="4"/>
      <c r="Y395" s="4"/>
      <c r="Z395" s="4"/>
      <c r="AA395" s="4"/>
    </row>
    <row r="396">
      <c r="A396" s="48"/>
      <c r="B396" s="48"/>
      <c r="C396" s="4"/>
      <c r="D396" s="4"/>
      <c r="E396" s="4"/>
      <c r="F396" s="48"/>
      <c r="G396" s="48"/>
      <c r="H396" s="48"/>
      <c r="I396" s="48"/>
      <c r="J396" s="48"/>
      <c r="K396" s="48"/>
      <c r="L396" s="48"/>
      <c r="M396" s="48"/>
      <c r="N396" s="48"/>
      <c r="O396" s="48"/>
      <c r="P396" s="4"/>
      <c r="Q396" s="4"/>
      <c r="R396" s="4"/>
      <c r="S396" s="4"/>
      <c r="T396" s="4"/>
      <c r="U396" s="4"/>
      <c r="V396" s="4"/>
      <c r="W396" s="4"/>
      <c r="X396" s="4"/>
      <c r="Y396" s="4"/>
      <c r="Z396" s="4"/>
      <c r="AA396" s="4"/>
    </row>
    <row r="397">
      <c r="A397" s="48"/>
      <c r="B397" s="48"/>
      <c r="C397" s="4"/>
      <c r="D397" s="4"/>
      <c r="E397" s="4"/>
      <c r="F397" s="48"/>
      <c r="G397" s="48"/>
      <c r="H397" s="48"/>
      <c r="I397" s="48"/>
      <c r="J397" s="48"/>
      <c r="K397" s="48"/>
      <c r="L397" s="48"/>
      <c r="M397" s="48"/>
      <c r="N397" s="48"/>
      <c r="O397" s="48"/>
      <c r="P397" s="4"/>
      <c r="Q397" s="4"/>
      <c r="R397" s="4"/>
      <c r="S397" s="4"/>
      <c r="T397" s="4"/>
      <c r="U397" s="4"/>
      <c r="V397" s="4"/>
      <c r="W397" s="4"/>
      <c r="X397" s="4"/>
      <c r="Y397" s="4"/>
      <c r="Z397" s="4"/>
      <c r="AA397" s="4"/>
    </row>
    <row r="398">
      <c r="A398" s="48"/>
      <c r="B398" s="48"/>
      <c r="C398" s="4"/>
      <c r="D398" s="4"/>
      <c r="E398" s="4"/>
      <c r="F398" s="48"/>
      <c r="G398" s="48"/>
      <c r="H398" s="48"/>
      <c r="I398" s="48"/>
      <c r="J398" s="48"/>
      <c r="K398" s="48"/>
      <c r="L398" s="48"/>
      <c r="M398" s="48"/>
      <c r="N398" s="48"/>
      <c r="O398" s="48"/>
      <c r="P398" s="4"/>
      <c r="Q398" s="4"/>
      <c r="R398" s="4"/>
      <c r="S398" s="4"/>
      <c r="T398" s="4"/>
      <c r="U398" s="4"/>
      <c r="V398" s="4"/>
      <c r="W398" s="4"/>
      <c r="X398" s="4"/>
      <c r="Y398" s="4"/>
      <c r="Z398" s="4"/>
      <c r="AA398" s="4"/>
    </row>
    <row r="399">
      <c r="A399" s="48"/>
      <c r="B399" s="48"/>
      <c r="C399" s="4"/>
      <c r="D399" s="4"/>
      <c r="E399" s="4"/>
      <c r="F399" s="48"/>
      <c r="G399" s="48"/>
      <c r="H399" s="48"/>
      <c r="I399" s="48"/>
      <c r="J399" s="48"/>
      <c r="K399" s="48"/>
      <c r="L399" s="48"/>
      <c r="M399" s="48"/>
      <c r="N399" s="48"/>
      <c r="O399" s="48"/>
      <c r="P399" s="4"/>
      <c r="Q399" s="4"/>
      <c r="R399" s="4"/>
      <c r="S399" s="4"/>
      <c r="T399" s="4"/>
      <c r="U399" s="4"/>
      <c r="V399" s="4"/>
      <c r="W399" s="4"/>
      <c r="X399" s="4"/>
      <c r="Y399" s="4"/>
      <c r="Z399" s="4"/>
      <c r="AA399" s="4"/>
    </row>
    <row r="400">
      <c r="A400" s="48"/>
      <c r="B400" s="48"/>
      <c r="C400" s="4"/>
      <c r="D400" s="4"/>
      <c r="E400" s="4"/>
      <c r="F400" s="48"/>
      <c r="G400" s="48"/>
      <c r="H400" s="48"/>
      <c r="I400" s="48"/>
      <c r="J400" s="48"/>
      <c r="K400" s="48"/>
      <c r="L400" s="48"/>
      <c r="M400" s="48"/>
      <c r="N400" s="48"/>
      <c r="O400" s="48"/>
      <c r="P400" s="4"/>
      <c r="Q400" s="4"/>
      <c r="R400" s="4"/>
      <c r="S400" s="4"/>
      <c r="T400" s="4"/>
      <c r="U400" s="4"/>
      <c r="V400" s="4"/>
      <c r="W400" s="4"/>
      <c r="X400" s="4"/>
      <c r="Y400" s="4"/>
      <c r="Z400" s="4"/>
      <c r="AA400" s="4"/>
    </row>
    <row r="401">
      <c r="A401" s="48"/>
      <c r="B401" s="48"/>
      <c r="C401" s="4"/>
      <c r="D401" s="4"/>
      <c r="E401" s="4"/>
      <c r="F401" s="48"/>
      <c r="G401" s="48"/>
      <c r="H401" s="48"/>
      <c r="I401" s="48"/>
      <c r="J401" s="48"/>
      <c r="K401" s="48"/>
      <c r="L401" s="48"/>
      <c r="M401" s="48"/>
      <c r="N401" s="48"/>
      <c r="O401" s="48"/>
      <c r="P401" s="4"/>
      <c r="Q401" s="4"/>
      <c r="R401" s="4"/>
      <c r="S401" s="4"/>
      <c r="T401" s="4"/>
      <c r="U401" s="4"/>
      <c r="V401" s="4"/>
      <c r="W401" s="4"/>
      <c r="X401" s="4"/>
      <c r="Y401" s="4"/>
      <c r="Z401" s="4"/>
      <c r="AA401" s="4"/>
    </row>
    <row r="402">
      <c r="A402" s="48"/>
      <c r="B402" s="48"/>
      <c r="C402" s="4"/>
      <c r="D402" s="4"/>
      <c r="E402" s="4"/>
      <c r="F402" s="48"/>
      <c r="G402" s="48"/>
      <c r="H402" s="48"/>
      <c r="I402" s="48"/>
      <c r="J402" s="48"/>
      <c r="K402" s="48"/>
      <c r="L402" s="48"/>
      <c r="M402" s="48"/>
      <c r="N402" s="48"/>
      <c r="O402" s="48"/>
      <c r="P402" s="4"/>
      <c r="Q402" s="4"/>
      <c r="R402" s="4"/>
      <c r="S402" s="4"/>
      <c r="T402" s="4"/>
      <c r="U402" s="4"/>
      <c r="V402" s="4"/>
      <c r="W402" s="4"/>
      <c r="X402" s="4"/>
      <c r="Y402" s="4"/>
      <c r="Z402" s="4"/>
      <c r="AA402" s="4"/>
    </row>
    <row r="403">
      <c r="A403" s="48"/>
      <c r="B403" s="48"/>
      <c r="C403" s="4"/>
      <c r="D403" s="4"/>
      <c r="E403" s="4"/>
      <c r="F403" s="48"/>
      <c r="G403" s="48"/>
      <c r="H403" s="48"/>
      <c r="I403" s="48"/>
      <c r="J403" s="48"/>
      <c r="K403" s="48"/>
      <c r="L403" s="48"/>
      <c r="M403" s="48"/>
      <c r="N403" s="48"/>
      <c r="O403" s="48"/>
      <c r="P403" s="4"/>
      <c r="Q403" s="4"/>
      <c r="R403" s="4"/>
      <c r="S403" s="4"/>
      <c r="T403" s="4"/>
      <c r="U403" s="4"/>
      <c r="V403" s="4"/>
      <c r="W403" s="4"/>
      <c r="X403" s="4"/>
      <c r="Y403" s="4"/>
      <c r="Z403" s="4"/>
      <c r="AA403" s="4"/>
    </row>
    <row r="404">
      <c r="A404" s="48"/>
      <c r="B404" s="48"/>
      <c r="C404" s="4"/>
      <c r="D404" s="4"/>
      <c r="E404" s="4"/>
      <c r="F404" s="48"/>
      <c r="G404" s="48"/>
      <c r="H404" s="48"/>
      <c r="I404" s="48"/>
      <c r="J404" s="48"/>
      <c r="K404" s="48"/>
      <c r="L404" s="48"/>
      <c r="M404" s="48"/>
      <c r="N404" s="48"/>
      <c r="O404" s="48"/>
      <c r="P404" s="4"/>
      <c r="Q404" s="4"/>
      <c r="R404" s="4"/>
      <c r="S404" s="4"/>
      <c r="T404" s="4"/>
      <c r="U404" s="4"/>
      <c r="V404" s="4"/>
      <c r="W404" s="4"/>
      <c r="X404" s="4"/>
      <c r="Y404" s="4"/>
      <c r="Z404" s="4"/>
      <c r="AA404" s="4"/>
    </row>
    <row r="405">
      <c r="A405" s="48"/>
      <c r="B405" s="48"/>
      <c r="C405" s="4"/>
      <c r="D405" s="4"/>
      <c r="E405" s="4"/>
      <c r="F405" s="48"/>
      <c r="G405" s="48"/>
      <c r="H405" s="48"/>
      <c r="I405" s="48"/>
      <c r="J405" s="48"/>
      <c r="K405" s="48"/>
      <c r="L405" s="48"/>
      <c r="M405" s="48"/>
      <c r="N405" s="48"/>
      <c r="O405" s="48"/>
      <c r="P405" s="4"/>
      <c r="Q405" s="4"/>
      <c r="R405" s="4"/>
      <c r="S405" s="4"/>
      <c r="T405" s="4"/>
      <c r="U405" s="4"/>
      <c r="V405" s="4"/>
      <c r="W405" s="4"/>
      <c r="X405" s="4"/>
      <c r="Y405" s="4"/>
      <c r="Z405" s="4"/>
      <c r="AA405" s="4"/>
    </row>
    <row r="406">
      <c r="A406" s="48"/>
      <c r="B406" s="48"/>
      <c r="C406" s="4"/>
      <c r="D406" s="4"/>
      <c r="E406" s="4"/>
      <c r="F406" s="48"/>
      <c r="G406" s="48"/>
      <c r="H406" s="48"/>
      <c r="I406" s="48"/>
      <c r="J406" s="48"/>
      <c r="K406" s="48"/>
      <c r="L406" s="48"/>
      <c r="M406" s="48"/>
      <c r="N406" s="48"/>
      <c r="O406" s="48"/>
      <c r="P406" s="4"/>
      <c r="Q406" s="4"/>
      <c r="R406" s="4"/>
      <c r="S406" s="4"/>
      <c r="T406" s="4"/>
      <c r="U406" s="4"/>
      <c r="V406" s="4"/>
      <c r="W406" s="4"/>
      <c r="X406" s="4"/>
      <c r="Y406" s="4"/>
      <c r="Z406" s="4"/>
      <c r="AA406" s="4"/>
    </row>
    <row r="407">
      <c r="A407" s="48"/>
      <c r="B407" s="48"/>
      <c r="C407" s="4"/>
      <c r="D407" s="4"/>
      <c r="E407" s="4"/>
      <c r="F407" s="48"/>
      <c r="G407" s="48"/>
      <c r="H407" s="48"/>
      <c r="I407" s="48"/>
      <c r="J407" s="48"/>
      <c r="K407" s="48"/>
      <c r="L407" s="48"/>
      <c r="M407" s="48"/>
      <c r="N407" s="48"/>
      <c r="O407" s="48"/>
      <c r="P407" s="4"/>
      <c r="Q407" s="4"/>
      <c r="R407" s="4"/>
      <c r="S407" s="4"/>
      <c r="T407" s="4"/>
      <c r="U407" s="4"/>
      <c r="V407" s="4"/>
      <c r="W407" s="4"/>
      <c r="X407" s="4"/>
      <c r="Y407" s="4"/>
      <c r="Z407" s="4"/>
      <c r="AA407" s="4"/>
    </row>
    <row r="408">
      <c r="A408" s="48"/>
      <c r="B408" s="48"/>
      <c r="C408" s="4"/>
      <c r="D408" s="4"/>
      <c r="E408" s="4"/>
      <c r="F408" s="48"/>
      <c r="G408" s="48"/>
      <c r="H408" s="48"/>
      <c r="I408" s="48"/>
      <c r="J408" s="48"/>
      <c r="K408" s="48"/>
      <c r="L408" s="48"/>
      <c r="M408" s="48"/>
      <c r="N408" s="48"/>
      <c r="O408" s="48"/>
      <c r="P408" s="4"/>
      <c r="Q408" s="4"/>
      <c r="R408" s="4"/>
      <c r="S408" s="4"/>
      <c r="T408" s="4"/>
      <c r="U408" s="4"/>
      <c r="V408" s="4"/>
      <c r="W408" s="4"/>
      <c r="X408" s="4"/>
      <c r="Y408" s="4"/>
      <c r="Z408" s="4"/>
      <c r="AA408" s="4"/>
    </row>
    <row r="409">
      <c r="A409" s="48"/>
      <c r="B409" s="48"/>
      <c r="C409" s="4"/>
      <c r="D409" s="4"/>
      <c r="E409" s="4"/>
      <c r="F409" s="48"/>
      <c r="G409" s="48"/>
      <c r="H409" s="48"/>
      <c r="I409" s="48"/>
      <c r="J409" s="48"/>
      <c r="K409" s="48"/>
      <c r="L409" s="48"/>
      <c r="M409" s="48"/>
      <c r="N409" s="48"/>
      <c r="O409" s="48"/>
      <c r="P409" s="4"/>
      <c r="Q409" s="4"/>
      <c r="R409" s="4"/>
      <c r="S409" s="4"/>
      <c r="T409" s="4"/>
      <c r="U409" s="4"/>
      <c r="V409" s="4"/>
      <c r="W409" s="4"/>
      <c r="X409" s="4"/>
      <c r="Y409" s="4"/>
      <c r="Z409" s="4"/>
      <c r="AA409" s="4"/>
    </row>
    <row r="410">
      <c r="A410" s="48"/>
      <c r="B410" s="48"/>
      <c r="C410" s="4"/>
      <c r="D410" s="4"/>
      <c r="E410" s="4"/>
      <c r="F410" s="48"/>
      <c r="G410" s="48"/>
      <c r="H410" s="48"/>
      <c r="I410" s="48"/>
      <c r="J410" s="48"/>
      <c r="K410" s="48"/>
      <c r="L410" s="48"/>
      <c r="M410" s="48"/>
      <c r="N410" s="48"/>
      <c r="O410" s="48"/>
      <c r="P410" s="4"/>
      <c r="Q410" s="4"/>
      <c r="R410" s="4"/>
      <c r="S410" s="4"/>
      <c r="T410" s="4"/>
      <c r="U410" s="4"/>
      <c r="V410" s="4"/>
      <c r="W410" s="4"/>
      <c r="X410" s="4"/>
      <c r="Y410" s="4"/>
      <c r="Z410" s="4"/>
      <c r="AA410" s="4"/>
    </row>
    <row r="411">
      <c r="A411" s="48"/>
      <c r="B411" s="48"/>
      <c r="C411" s="4"/>
      <c r="D411" s="4"/>
      <c r="E411" s="4"/>
      <c r="F411" s="48"/>
      <c r="G411" s="48"/>
      <c r="H411" s="48"/>
      <c r="I411" s="48"/>
      <c r="J411" s="48"/>
      <c r="K411" s="48"/>
      <c r="L411" s="48"/>
      <c r="M411" s="48"/>
      <c r="N411" s="48"/>
      <c r="O411" s="48"/>
      <c r="P411" s="4"/>
      <c r="Q411" s="4"/>
      <c r="R411" s="4"/>
      <c r="S411" s="4"/>
      <c r="T411" s="4"/>
      <c r="U411" s="4"/>
      <c r="V411" s="4"/>
      <c r="W411" s="4"/>
      <c r="X411" s="4"/>
      <c r="Y411" s="4"/>
      <c r="Z411" s="4"/>
      <c r="AA411" s="4"/>
    </row>
    <row r="412">
      <c r="A412" s="48"/>
      <c r="B412" s="48"/>
      <c r="C412" s="4"/>
      <c r="D412" s="4"/>
      <c r="E412" s="4"/>
      <c r="F412" s="48"/>
      <c r="G412" s="48"/>
      <c r="H412" s="48"/>
      <c r="I412" s="48"/>
      <c r="J412" s="48"/>
      <c r="K412" s="48"/>
      <c r="L412" s="48"/>
      <c r="M412" s="48"/>
      <c r="N412" s="48"/>
      <c r="O412" s="48"/>
      <c r="P412" s="4"/>
      <c r="Q412" s="4"/>
      <c r="R412" s="4"/>
      <c r="S412" s="4"/>
      <c r="T412" s="4"/>
      <c r="U412" s="4"/>
      <c r="V412" s="4"/>
      <c r="W412" s="4"/>
      <c r="X412" s="4"/>
      <c r="Y412" s="4"/>
      <c r="Z412" s="4"/>
      <c r="AA412" s="4"/>
    </row>
    <row r="413">
      <c r="A413" s="48"/>
      <c r="B413" s="48"/>
      <c r="C413" s="4"/>
      <c r="D413" s="4"/>
      <c r="E413" s="4"/>
      <c r="F413" s="48"/>
      <c r="G413" s="48"/>
      <c r="H413" s="48"/>
      <c r="I413" s="48"/>
      <c r="J413" s="48"/>
      <c r="K413" s="48"/>
      <c r="L413" s="48"/>
      <c r="M413" s="48"/>
      <c r="N413" s="48"/>
      <c r="O413" s="48"/>
      <c r="P413" s="4"/>
      <c r="Q413" s="4"/>
      <c r="R413" s="4"/>
      <c r="S413" s="4"/>
      <c r="T413" s="4"/>
      <c r="U413" s="4"/>
      <c r="V413" s="4"/>
      <c r="W413" s="4"/>
      <c r="X413" s="4"/>
      <c r="Y413" s="4"/>
      <c r="Z413" s="4"/>
      <c r="AA413" s="4"/>
    </row>
    <row r="414">
      <c r="A414" s="48"/>
      <c r="B414" s="48"/>
      <c r="C414" s="4"/>
      <c r="D414" s="4"/>
      <c r="E414" s="4"/>
      <c r="F414" s="48"/>
      <c r="G414" s="48"/>
      <c r="H414" s="48"/>
      <c r="I414" s="48"/>
      <c r="J414" s="48"/>
      <c r="K414" s="48"/>
      <c r="L414" s="48"/>
      <c r="M414" s="48"/>
      <c r="N414" s="48"/>
      <c r="O414" s="48"/>
      <c r="P414" s="4"/>
      <c r="Q414" s="4"/>
      <c r="R414" s="4"/>
      <c r="S414" s="4"/>
      <c r="T414" s="4"/>
      <c r="U414" s="4"/>
      <c r="V414" s="4"/>
      <c r="W414" s="4"/>
      <c r="X414" s="4"/>
      <c r="Y414" s="4"/>
      <c r="Z414" s="4"/>
      <c r="AA414" s="4"/>
    </row>
    <row r="415">
      <c r="A415" s="48"/>
      <c r="B415" s="48"/>
      <c r="C415" s="4"/>
      <c r="D415" s="4"/>
      <c r="E415" s="4"/>
      <c r="F415" s="48"/>
      <c r="G415" s="48"/>
      <c r="H415" s="48"/>
      <c r="I415" s="48"/>
      <c r="J415" s="48"/>
      <c r="K415" s="48"/>
      <c r="L415" s="48"/>
      <c r="M415" s="48"/>
      <c r="N415" s="48"/>
      <c r="O415" s="48"/>
      <c r="P415" s="4"/>
      <c r="Q415" s="4"/>
      <c r="R415" s="4"/>
      <c r="S415" s="4"/>
      <c r="T415" s="4"/>
      <c r="U415" s="4"/>
      <c r="V415" s="4"/>
      <c r="W415" s="4"/>
      <c r="X415" s="4"/>
      <c r="Y415" s="4"/>
      <c r="Z415" s="4"/>
      <c r="AA415" s="4"/>
    </row>
    <row r="416">
      <c r="A416" s="48"/>
      <c r="B416" s="48"/>
      <c r="C416" s="4"/>
      <c r="D416" s="4"/>
      <c r="E416" s="4"/>
      <c r="F416" s="48"/>
      <c r="G416" s="48"/>
      <c r="H416" s="48"/>
      <c r="I416" s="48"/>
      <c r="J416" s="48"/>
      <c r="K416" s="48"/>
      <c r="L416" s="48"/>
      <c r="M416" s="48"/>
      <c r="N416" s="48"/>
      <c r="O416" s="48"/>
      <c r="P416" s="4"/>
      <c r="Q416" s="4"/>
      <c r="R416" s="4"/>
      <c r="S416" s="4"/>
      <c r="T416" s="4"/>
      <c r="U416" s="4"/>
      <c r="V416" s="4"/>
      <c r="W416" s="4"/>
      <c r="X416" s="4"/>
      <c r="Y416" s="4"/>
      <c r="Z416" s="4"/>
      <c r="AA416" s="4"/>
    </row>
    <row r="417">
      <c r="A417" s="48"/>
      <c r="B417" s="48"/>
      <c r="C417" s="4"/>
      <c r="D417" s="4"/>
      <c r="E417" s="4"/>
      <c r="F417" s="48"/>
      <c r="G417" s="48"/>
      <c r="H417" s="48"/>
      <c r="I417" s="48"/>
      <c r="J417" s="48"/>
      <c r="K417" s="48"/>
      <c r="L417" s="48"/>
      <c r="M417" s="48"/>
      <c r="N417" s="48"/>
      <c r="O417" s="48"/>
      <c r="P417" s="4"/>
      <c r="Q417" s="4"/>
      <c r="R417" s="4"/>
      <c r="S417" s="4"/>
      <c r="T417" s="4"/>
      <c r="U417" s="4"/>
      <c r="V417" s="4"/>
      <c r="W417" s="4"/>
      <c r="X417" s="4"/>
      <c r="Y417" s="4"/>
      <c r="Z417" s="4"/>
      <c r="AA417" s="4"/>
    </row>
    <row r="418">
      <c r="A418" s="48"/>
      <c r="B418" s="48"/>
      <c r="C418" s="4"/>
      <c r="D418" s="4"/>
      <c r="E418" s="4"/>
      <c r="F418" s="48"/>
      <c r="G418" s="48"/>
      <c r="H418" s="48"/>
      <c r="I418" s="48"/>
      <c r="J418" s="48"/>
      <c r="K418" s="48"/>
      <c r="L418" s="48"/>
      <c r="M418" s="48"/>
      <c r="N418" s="48"/>
      <c r="O418" s="48"/>
      <c r="P418" s="4"/>
      <c r="Q418" s="4"/>
      <c r="R418" s="4"/>
      <c r="S418" s="4"/>
      <c r="T418" s="4"/>
      <c r="U418" s="4"/>
      <c r="V418" s="4"/>
      <c r="W418" s="4"/>
      <c r="X418" s="4"/>
      <c r="Y418" s="4"/>
      <c r="Z418" s="4"/>
      <c r="AA418" s="4"/>
    </row>
    <row r="419">
      <c r="A419" s="48"/>
      <c r="B419" s="48"/>
      <c r="C419" s="4"/>
      <c r="D419" s="4"/>
      <c r="E419" s="4"/>
      <c r="F419" s="48"/>
      <c r="G419" s="48"/>
      <c r="H419" s="48"/>
      <c r="I419" s="48"/>
      <c r="J419" s="48"/>
      <c r="K419" s="48"/>
      <c r="L419" s="48"/>
      <c r="M419" s="48"/>
      <c r="N419" s="48"/>
      <c r="O419" s="48"/>
      <c r="P419" s="4"/>
      <c r="Q419" s="4"/>
      <c r="R419" s="4"/>
      <c r="S419" s="4"/>
      <c r="T419" s="4"/>
      <c r="U419" s="4"/>
      <c r="V419" s="4"/>
      <c r="W419" s="4"/>
      <c r="X419" s="4"/>
      <c r="Y419" s="4"/>
      <c r="Z419" s="4"/>
      <c r="AA419" s="4"/>
    </row>
    <row r="420">
      <c r="A420" s="48"/>
      <c r="B420" s="48"/>
      <c r="C420" s="4"/>
      <c r="D420" s="4"/>
      <c r="E420" s="4"/>
      <c r="F420" s="48"/>
      <c r="G420" s="48"/>
      <c r="H420" s="48"/>
      <c r="I420" s="48"/>
      <c r="J420" s="48"/>
      <c r="K420" s="48"/>
      <c r="L420" s="48"/>
      <c r="M420" s="48"/>
      <c r="N420" s="48"/>
      <c r="O420" s="48"/>
      <c r="P420" s="4"/>
      <c r="Q420" s="4"/>
      <c r="R420" s="4"/>
      <c r="S420" s="4"/>
      <c r="T420" s="4"/>
      <c r="U420" s="4"/>
      <c r="V420" s="4"/>
      <c r="W420" s="4"/>
      <c r="X420" s="4"/>
      <c r="Y420" s="4"/>
      <c r="Z420" s="4"/>
      <c r="AA420" s="4"/>
    </row>
    <row r="421">
      <c r="A421" s="48"/>
      <c r="B421" s="48"/>
      <c r="C421" s="4"/>
      <c r="D421" s="4"/>
      <c r="E421" s="4"/>
      <c r="F421" s="48"/>
      <c r="G421" s="48"/>
      <c r="H421" s="48"/>
      <c r="I421" s="48"/>
      <c r="J421" s="48"/>
      <c r="K421" s="48"/>
      <c r="L421" s="48"/>
      <c r="M421" s="48"/>
      <c r="N421" s="48"/>
      <c r="O421" s="48"/>
      <c r="P421" s="4"/>
      <c r="Q421" s="4"/>
      <c r="R421" s="4"/>
      <c r="S421" s="4"/>
      <c r="T421" s="4"/>
      <c r="U421" s="4"/>
      <c r="V421" s="4"/>
      <c r="W421" s="4"/>
      <c r="X421" s="4"/>
      <c r="Y421" s="4"/>
      <c r="Z421" s="4"/>
      <c r="AA421" s="4"/>
    </row>
    <row r="422">
      <c r="A422" s="48"/>
      <c r="B422" s="48"/>
      <c r="C422" s="4"/>
      <c r="D422" s="4"/>
      <c r="E422" s="4"/>
      <c r="F422" s="48"/>
      <c r="G422" s="48"/>
      <c r="H422" s="48"/>
      <c r="I422" s="48"/>
      <c r="J422" s="48"/>
      <c r="K422" s="48"/>
      <c r="L422" s="48"/>
      <c r="M422" s="48"/>
      <c r="N422" s="48"/>
      <c r="O422" s="48"/>
      <c r="P422" s="4"/>
      <c r="Q422" s="4"/>
      <c r="R422" s="4"/>
      <c r="S422" s="4"/>
      <c r="T422" s="4"/>
      <c r="U422" s="4"/>
      <c r="V422" s="4"/>
      <c r="W422" s="4"/>
      <c r="X422" s="4"/>
      <c r="Y422" s="4"/>
      <c r="Z422" s="4"/>
      <c r="AA422" s="4"/>
    </row>
    <row r="423">
      <c r="A423" s="48"/>
      <c r="B423" s="48"/>
      <c r="C423" s="4"/>
      <c r="D423" s="4"/>
      <c r="E423" s="4"/>
      <c r="F423" s="48"/>
      <c r="G423" s="48"/>
      <c r="H423" s="48"/>
      <c r="I423" s="48"/>
      <c r="J423" s="48"/>
      <c r="K423" s="48"/>
      <c r="L423" s="48"/>
      <c r="M423" s="48"/>
      <c r="N423" s="48"/>
      <c r="O423" s="48"/>
      <c r="P423" s="4"/>
      <c r="Q423" s="4"/>
      <c r="R423" s="4"/>
      <c r="S423" s="4"/>
      <c r="T423" s="4"/>
      <c r="U423" s="4"/>
      <c r="V423" s="4"/>
      <c r="W423" s="4"/>
      <c r="X423" s="4"/>
      <c r="Y423" s="4"/>
      <c r="Z423" s="4"/>
      <c r="AA423" s="4"/>
    </row>
    <row r="424">
      <c r="A424" s="48"/>
      <c r="B424" s="48"/>
      <c r="C424" s="4"/>
      <c r="D424" s="4"/>
      <c r="E424" s="4"/>
      <c r="F424" s="48"/>
      <c r="G424" s="48"/>
      <c r="H424" s="48"/>
      <c r="I424" s="48"/>
      <c r="J424" s="48"/>
      <c r="K424" s="48"/>
      <c r="L424" s="48"/>
      <c r="M424" s="48"/>
      <c r="N424" s="48"/>
      <c r="O424" s="48"/>
      <c r="P424" s="4"/>
      <c r="Q424" s="4"/>
      <c r="R424" s="4"/>
      <c r="S424" s="4"/>
      <c r="T424" s="4"/>
      <c r="U424" s="4"/>
      <c r="V424" s="4"/>
      <c r="W424" s="4"/>
      <c r="X424" s="4"/>
      <c r="Y424" s="4"/>
      <c r="Z424" s="4"/>
      <c r="AA424" s="4"/>
    </row>
    <row r="425">
      <c r="A425" s="48"/>
      <c r="B425" s="48"/>
      <c r="C425" s="4"/>
      <c r="D425" s="4"/>
      <c r="E425" s="4"/>
      <c r="F425" s="48"/>
      <c r="G425" s="48"/>
      <c r="H425" s="48"/>
      <c r="I425" s="48"/>
      <c r="J425" s="48"/>
      <c r="K425" s="48"/>
      <c r="L425" s="48"/>
      <c r="M425" s="48"/>
      <c r="N425" s="48"/>
      <c r="O425" s="48"/>
      <c r="P425" s="4"/>
      <c r="Q425" s="4"/>
      <c r="R425" s="4"/>
      <c r="S425" s="4"/>
      <c r="T425" s="4"/>
      <c r="U425" s="4"/>
      <c r="V425" s="4"/>
      <c r="W425" s="4"/>
      <c r="X425" s="4"/>
      <c r="Y425" s="4"/>
      <c r="Z425" s="4"/>
      <c r="AA425" s="4"/>
    </row>
    <row r="426">
      <c r="A426" s="48"/>
      <c r="B426" s="48"/>
      <c r="C426" s="4"/>
      <c r="D426" s="4"/>
      <c r="E426" s="4"/>
      <c r="F426" s="48"/>
      <c r="G426" s="48"/>
      <c r="H426" s="48"/>
      <c r="I426" s="48"/>
      <c r="J426" s="48"/>
      <c r="K426" s="48"/>
      <c r="L426" s="48"/>
      <c r="M426" s="48"/>
      <c r="N426" s="48"/>
      <c r="O426" s="48"/>
      <c r="P426" s="4"/>
      <c r="Q426" s="4"/>
      <c r="R426" s="4"/>
      <c r="S426" s="4"/>
      <c r="T426" s="4"/>
      <c r="U426" s="4"/>
      <c r="V426" s="4"/>
      <c r="W426" s="4"/>
      <c r="X426" s="4"/>
      <c r="Y426" s="4"/>
      <c r="Z426" s="4"/>
      <c r="AA426" s="4"/>
    </row>
    <row r="427">
      <c r="A427" s="48"/>
      <c r="B427" s="48"/>
      <c r="C427" s="4"/>
      <c r="D427" s="4"/>
      <c r="E427" s="4"/>
      <c r="F427" s="48"/>
      <c r="G427" s="48"/>
      <c r="H427" s="48"/>
      <c r="I427" s="48"/>
      <c r="J427" s="48"/>
      <c r="K427" s="48"/>
      <c r="L427" s="48"/>
      <c r="M427" s="48"/>
      <c r="N427" s="48"/>
      <c r="O427" s="48"/>
      <c r="P427" s="4"/>
      <c r="Q427" s="4"/>
      <c r="R427" s="4"/>
      <c r="S427" s="4"/>
      <c r="T427" s="4"/>
      <c r="U427" s="4"/>
      <c r="V427" s="4"/>
      <c r="W427" s="4"/>
      <c r="X427" s="4"/>
      <c r="Y427" s="4"/>
      <c r="Z427" s="4"/>
      <c r="AA427" s="4"/>
    </row>
    <row r="428">
      <c r="A428" s="48"/>
      <c r="B428" s="48"/>
      <c r="C428" s="4"/>
      <c r="D428" s="4"/>
      <c r="E428" s="4"/>
      <c r="F428" s="48"/>
      <c r="G428" s="48"/>
      <c r="H428" s="48"/>
      <c r="I428" s="48"/>
      <c r="J428" s="48"/>
      <c r="K428" s="48"/>
      <c r="L428" s="48"/>
      <c r="M428" s="48"/>
      <c r="N428" s="48"/>
      <c r="O428" s="48"/>
      <c r="P428" s="4"/>
      <c r="Q428" s="4"/>
      <c r="R428" s="4"/>
      <c r="S428" s="4"/>
      <c r="T428" s="4"/>
      <c r="U428" s="4"/>
      <c r="V428" s="4"/>
      <c r="W428" s="4"/>
      <c r="X428" s="4"/>
      <c r="Y428" s="4"/>
      <c r="Z428" s="4"/>
      <c r="AA428" s="4"/>
    </row>
    <row r="429">
      <c r="A429" s="48"/>
      <c r="B429" s="48"/>
      <c r="C429" s="4"/>
      <c r="D429" s="4"/>
      <c r="E429" s="4"/>
      <c r="F429" s="48"/>
      <c r="G429" s="48"/>
      <c r="H429" s="48"/>
      <c r="I429" s="48"/>
      <c r="J429" s="48"/>
      <c r="K429" s="48"/>
      <c r="L429" s="48"/>
      <c r="M429" s="48"/>
      <c r="N429" s="48"/>
      <c r="O429" s="48"/>
      <c r="P429" s="4"/>
      <c r="Q429" s="4"/>
      <c r="R429" s="4"/>
      <c r="S429" s="4"/>
      <c r="T429" s="4"/>
      <c r="U429" s="4"/>
      <c r="V429" s="4"/>
      <c r="W429" s="4"/>
      <c r="X429" s="4"/>
      <c r="Y429" s="4"/>
      <c r="Z429" s="4"/>
      <c r="AA429" s="4"/>
    </row>
    <row r="430">
      <c r="A430" s="48"/>
      <c r="B430" s="48"/>
      <c r="C430" s="4"/>
      <c r="D430" s="4"/>
      <c r="E430" s="4"/>
      <c r="F430" s="48"/>
      <c r="G430" s="48"/>
      <c r="H430" s="48"/>
      <c r="I430" s="48"/>
      <c r="J430" s="48"/>
      <c r="K430" s="48"/>
      <c r="L430" s="48"/>
      <c r="M430" s="48"/>
      <c r="N430" s="48"/>
      <c r="O430" s="48"/>
      <c r="P430" s="4"/>
      <c r="Q430" s="4"/>
      <c r="R430" s="4"/>
      <c r="S430" s="4"/>
      <c r="T430" s="4"/>
      <c r="U430" s="4"/>
      <c r="V430" s="4"/>
      <c r="W430" s="4"/>
      <c r="X430" s="4"/>
      <c r="Y430" s="4"/>
      <c r="Z430" s="4"/>
      <c r="AA430" s="4"/>
    </row>
    <row r="431">
      <c r="A431" s="48"/>
      <c r="B431" s="48"/>
      <c r="C431" s="4"/>
      <c r="D431" s="4"/>
      <c r="E431" s="4"/>
      <c r="F431" s="48"/>
      <c r="G431" s="48"/>
      <c r="H431" s="48"/>
      <c r="I431" s="48"/>
      <c r="J431" s="48"/>
      <c r="K431" s="48"/>
      <c r="L431" s="48"/>
      <c r="M431" s="48"/>
      <c r="N431" s="48"/>
      <c r="O431" s="48"/>
      <c r="P431" s="4"/>
      <c r="Q431" s="4"/>
      <c r="R431" s="4"/>
      <c r="S431" s="4"/>
      <c r="T431" s="4"/>
      <c r="U431" s="4"/>
      <c r="V431" s="4"/>
      <c r="W431" s="4"/>
      <c r="X431" s="4"/>
      <c r="Y431" s="4"/>
      <c r="Z431" s="4"/>
      <c r="AA431" s="4"/>
    </row>
    <row r="432">
      <c r="A432" s="48"/>
      <c r="B432" s="48"/>
      <c r="C432" s="4"/>
      <c r="D432" s="4"/>
      <c r="E432" s="4"/>
      <c r="F432" s="48"/>
      <c r="G432" s="48"/>
      <c r="H432" s="48"/>
      <c r="I432" s="48"/>
      <c r="J432" s="48"/>
      <c r="K432" s="48"/>
      <c r="L432" s="48"/>
      <c r="M432" s="48"/>
      <c r="N432" s="48"/>
      <c r="O432" s="48"/>
      <c r="P432" s="4"/>
      <c r="Q432" s="4"/>
      <c r="R432" s="4"/>
      <c r="S432" s="4"/>
      <c r="T432" s="4"/>
      <c r="U432" s="4"/>
      <c r="V432" s="4"/>
      <c r="W432" s="4"/>
      <c r="X432" s="4"/>
      <c r="Y432" s="4"/>
      <c r="Z432" s="4"/>
      <c r="AA432" s="4"/>
    </row>
    <row r="433">
      <c r="A433" s="48"/>
      <c r="B433" s="48"/>
      <c r="C433" s="4"/>
      <c r="D433" s="4"/>
      <c r="E433" s="4"/>
      <c r="F433" s="48"/>
      <c r="G433" s="48"/>
      <c r="H433" s="48"/>
      <c r="I433" s="48"/>
      <c r="J433" s="48"/>
      <c r="K433" s="48"/>
      <c r="L433" s="48"/>
      <c r="M433" s="48"/>
      <c r="N433" s="48"/>
      <c r="O433" s="48"/>
      <c r="P433" s="4"/>
      <c r="Q433" s="4"/>
      <c r="R433" s="4"/>
      <c r="S433" s="4"/>
      <c r="T433" s="4"/>
      <c r="U433" s="4"/>
      <c r="V433" s="4"/>
      <c r="W433" s="4"/>
      <c r="X433" s="4"/>
      <c r="Y433" s="4"/>
      <c r="Z433" s="4"/>
      <c r="AA433" s="4"/>
    </row>
    <row r="434">
      <c r="A434" s="48"/>
      <c r="B434" s="48"/>
      <c r="C434" s="4"/>
      <c r="D434" s="4"/>
      <c r="E434" s="4"/>
      <c r="F434" s="48"/>
      <c r="G434" s="48"/>
      <c r="H434" s="48"/>
      <c r="I434" s="48"/>
      <c r="J434" s="48"/>
      <c r="K434" s="48"/>
      <c r="L434" s="48"/>
      <c r="M434" s="48"/>
      <c r="N434" s="48"/>
      <c r="O434" s="48"/>
      <c r="P434" s="4"/>
      <c r="Q434" s="4"/>
      <c r="R434" s="4"/>
      <c r="S434" s="4"/>
      <c r="T434" s="4"/>
      <c r="U434" s="4"/>
      <c r="V434" s="4"/>
      <c r="W434" s="4"/>
      <c r="X434" s="4"/>
      <c r="Y434" s="4"/>
      <c r="Z434" s="4"/>
      <c r="AA434" s="4"/>
    </row>
    <row r="435">
      <c r="A435" s="48"/>
      <c r="B435" s="48"/>
      <c r="C435" s="4"/>
      <c r="D435" s="4"/>
      <c r="E435" s="4"/>
      <c r="F435" s="48"/>
      <c r="G435" s="48"/>
      <c r="H435" s="48"/>
      <c r="I435" s="48"/>
      <c r="J435" s="48"/>
      <c r="K435" s="48"/>
      <c r="L435" s="48"/>
      <c r="M435" s="48"/>
      <c r="N435" s="48"/>
      <c r="O435" s="48"/>
      <c r="P435" s="4"/>
      <c r="Q435" s="4"/>
      <c r="R435" s="4"/>
      <c r="S435" s="4"/>
      <c r="T435" s="4"/>
      <c r="U435" s="4"/>
      <c r="V435" s="4"/>
      <c r="W435" s="4"/>
      <c r="X435" s="4"/>
      <c r="Y435" s="4"/>
      <c r="Z435" s="4"/>
      <c r="AA435" s="4"/>
    </row>
    <row r="436">
      <c r="A436" s="48"/>
      <c r="B436" s="48"/>
      <c r="C436" s="4"/>
      <c r="D436" s="4"/>
      <c r="E436" s="4"/>
      <c r="F436" s="48"/>
      <c r="G436" s="48"/>
      <c r="H436" s="48"/>
      <c r="I436" s="48"/>
      <c r="J436" s="48"/>
      <c r="K436" s="48"/>
      <c r="L436" s="48"/>
      <c r="M436" s="48"/>
      <c r="N436" s="48"/>
      <c r="O436" s="48"/>
      <c r="P436" s="4"/>
      <c r="Q436" s="4"/>
      <c r="R436" s="4"/>
      <c r="S436" s="4"/>
      <c r="T436" s="4"/>
      <c r="U436" s="4"/>
      <c r="V436" s="4"/>
      <c r="W436" s="4"/>
      <c r="X436" s="4"/>
      <c r="Y436" s="4"/>
      <c r="Z436" s="4"/>
      <c r="AA436" s="4"/>
    </row>
    <row r="437">
      <c r="A437" s="48"/>
      <c r="B437" s="48"/>
      <c r="C437" s="4"/>
      <c r="D437" s="4"/>
      <c r="E437" s="4"/>
      <c r="F437" s="48"/>
      <c r="G437" s="48"/>
      <c r="H437" s="48"/>
      <c r="I437" s="48"/>
      <c r="J437" s="48"/>
      <c r="K437" s="48"/>
      <c r="L437" s="48"/>
      <c r="M437" s="48"/>
      <c r="N437" s="48"/>
      <c r="O437" s="48"/>
      <c r="P437" s="4"/>
      <c r="Q437" s="4"/>
      <c r="R437" s="4"/>
      <c r="S437" s="4"/>
      <c r="T437" s="4"/>
      <c r="U437" s="4"/>
      <c r="V437" s="4"/>
      <c r="W437" s="4"/>
      <c r="X437" s="4"/>
      <c r="Y437" s="4"/>
      <c r="Z437" s="4"/>
      <c r="AA437" s="4"/>
    </row>
    <row r="438">
      <c r="A438" s="48"/>
      <c r="B438" s="48"/>
      <c r="C438" s="4"/>
      <c r="D438" s="4"/>
      <c r="E438" s="4"/>
      <c r="F438" s="48"/>
      <c r="G438" s="48"/>
      <c r="H438" s="48"/>
      <c r="I438" s="48"/>
      <c r="J438" s="48"/>
      <c r="K438" s="48"/>
      <c r="L438" s="48"/>
      <c r="M438" s="48"/>
      <c r="N438" s="48"/>
      <c r="O438" s="48"/>
      <c r="P438" s="4"/>
      <c r="Q438" s="4"/>
      <c r="R438" s="4"/>
      <c r="S438" s="4"/>
      <c r="T438" s="4"/>
      <c r="U438" s="4"/>
      <c r="V438" s="4"/>
      <c r="W438" s="4"/>
      <c r="X438" s="4"/>
      <c r="Y438" s="4"/>
      <c r="Z438" s="4"/>
      <c r="AA438" s="4"/>
    </row>
    <row r="439">
      <c r="A439" s="48"/>
      <c r="B439" s="48"/>
      <c r="C439" s="4"/>
      <c r="D439" s="4"/>
      <c r="E439" s="4"/>
      <c r="F439" s="48"/>
      <c r="G439" s="48"/>
      <c r="H439" s="48"/>
      <c r="I439" s="48"/>
      <c r="J439" s="48"/>
      <c r="K439" s="48"/>
      <c r="L439" s="48"/>
      <c r="M439" s="48"/>
      <c r="N439" s="48"/>
      <c r="O439" s="48"/>
      <c r="P439" s="4"/>
      <c r="Q439" s="4"/>
      <c r="R439" s="4"/>
      <c r="S439" s="4"/>
      <c r="T439" s="4"/>
      <c r="U439" s="4"/>
      <c r="V439" s="4"/>
      <c r="W439" s="4"/>
      <c r="X439" s="4"/>
      <c r="Y439" s="4"/>
      <c r="Z439" s="4"/>
      <c r="AA439" s="4"/>
    </row>
    <row r="440">
      <c r="A440" s="48"/>
      <c r="B440" s="48"/>
      <c r="C440" s="4"/>
      <c r="D440" s="4"/>
      <c r="E440" s="4"/>
      <c r="F440" s="48"/>
      <c r="G440" s="48"/>
      <c r="H440" s="48"/>
      <c r="I440" s="48"/>
      <c r="J440" s="48"/>
      <c r="K440" s="48"/>
      <c r="L440" s="48"/>
      <c r="M440" s="48"/>
      <c r="N440" s="48"/>
      <c r="O440" s="48"/>
      <c r="P440" s="4"/>
      <c r="Q440" s="4"/>
      <c r="R440" s="4"/>
      <c r="S440" s="4"/>
      <c r="T440" s="4"/>
      <c r="U440" s="4"/>
      <c r="V440" s="4"/>
      <c r="W440" s="4"/>
      <c r="X440" s="4"/>
      <c r="Y440" s="4"/>
      <c r="Z440" s="4"/>
      <c r="AA440" s="4"/>
    </row>
    <row r="441">
      <c r="A441" s="48"/>
      <c r="B441" s="48"/>
      <c r="C441" s="4"/>
      <c r="D441" s="4"/>
      <c r="E441" s="4"/>
      <c r="F441" s="48"/>
      <c r="G441" s="48"/>
      <c r="H441" s="48"/>
      <c r="I441" s="48"/>
      <c r="J441" s="48"/>
      <c r="K441" s="48"/>
      <c r="L441" s="48"/>
      <c r="M441" s="48"/>
      <c r="N441" s="48"/>
      <c r="O441" s="48"/>
      <c r="P441" s="4"/>
      <c r="Q441" s="4"/>
      <c r="R441" s="4"/>
      <c r="S441" s="4"/>
      <c r="T441" s="4"/>
      <c r="U441" s="4"/>
      <c r="V441" s="4"/>
      <c r="W441" s="4"/>
      <c r="X441" s="4"/>
      <c r="Y441" s="4"/>
      <c r="Z441" s="4"/>
      <c r="AA441" s="4"/>
    </row>
    <row r="442">
      <c r="A442" s="48"/>
      <c r="B442" s="48"/>
      <c r="C442" s="4"/>
      <c r="D442" s="4"/>
      <c r="E442" s="4"/>
      <c r="F442" s="48"/>
      <c r="G442" s="48"/>
      <c r="H442" s="48"/>
      <c r="I442" s="48"/>
      <c r="J442" s="48"/>
      <c r="K442" s="48"/>
      <c r="L442" s="48"/>
      <c r="M442" s="48"/>
      <c r="N442" s="48"/>
      <c r="O442" s="48"/>
      <c r="P442" s="4"/>
      <c r="Q442" s="4"/>
      <c r="R442" s="4"/>
      <c r="S442" s="4"/>
      <c r="T442" s="4"/>
      <c r="U442" s="4"/>
      <c r="V442" s="4"/>
      <c r="W442" s="4"/>
      <c r="X442" s="4"/>
      <c r="Y442" s="4"/>
      <c r="Z442" s="4"/>
      <c r="AA442" s="4"/>
    </row>
    <row r="443">
      <c r="A443" s="48"/>
      <c r="B443" s="48"/>
      <c r="C443" s="4"/>
      <c r="D443" s="4"/>
      <c r="E443" s="4"/>
      <c r="F443" s="48"/>
      <c r="G443" s="48"/>
      <c r="H443" s="48"/>
      <c r="I443" s="48"/>
      <c r="J443" s="48"/>
      <c r="K443" s="48"/>
      <c r="L443" s="48"/>
      <c r="M443" s="48"/>
      <c r="N443" s="48"/>
      <c r="O443" s="48"/>
      <c r="P443" s="4"/>
      <c r="Q443" s="4"/>
      <c r="R443" s="4"/>
      <c r="S443" s="4"/>
      <c r="T443" s="4"/>
      <c r="U443" s="4"/>
      <c r="V443" s="4"/>
      <c r="W443" s="4"/>
      <c r="X443" s="4"/>
      <c r="Y443" s="4"/>
      <c r="Z443" s="4"/>
      <c r="AA443" s="4"/>
    </row>
    <row r="444">
      <c r="A444" s="48"/>
      <c r="B444" s="48"/>
      <c r="C444" s="4"/>
      <c r="D444" s="4"/>
      <c r="E444" s="4"/>
      <c r="F444" s="48"/>
      <c r="G444" s="48"/>
      <c r="H444" s="48"/>
      <c r="I444" s="48"/>
      <c r="J444" s="48"/>
      <c r="K444" s="48"/>
      <c r="L444" s="48"/>
      <c r="M444" s="48"/>
      <c r="N444" s="48"/>
      <c r="O444" s="48"/>
      <c r="P444" s="4"/>
      <c r="Q444" s="4"/>
      <c r="R444" s="4"/>
      <c r="S444" s="4"/>
      <c r="T444" s="4"/>
      <c r="U444" s="4"/>
      <c r="V444" s="4"/>
      <c r="W444" s="4"/>
      <c r="X444" s="4"/>
      <c r="Y444" s="4"/>
      <c r="Z444" s="4"/>
      <c r="AA444" s="4"/>
    </row>
    <row r="445">
      <c r="A445" s="48"/>
      <c r="B445" s="48"/>
      <c r="C445" s="4"/>
      <c r="D445" s="4"/>
      <c r="E445" s="4"/>
      <c r="F445" s="48"/>
      <c r="G445" s="48"/>
      <c r="H445" s="48"/>
      <c r="I445" s="48"/>
      <c r="J445" s="48"/>
      <c r="K445" s="48"/>
      <c r="L445" s="48"/>
      <c r="M445" s="48"/>
      <c r="N445" s="48"/>
      <c r="O445" s="48"/>
      <c r="P445" s="4"/>
      <c r="Q445" s="4"/>
      <c r="R445" s="4"/>
      <c r="S445" s="4"/>
      <c r="T445" s="4"/>
      <c r="U445" s="4"/>
      <c r="V445" s="4"/>
      <c r="W445" s="4"/>
      <c r="X445" s="4"/>
      <c r="Y445" s="4"/>
      <c r="Z445" s="4"/>
      <c r="AA445" s="4"/>
    </row>
    <row r="446">
      <c r="A446" s="48"/>
      <c r="B446" s="48"/>
      <c r="C446" s="4"/>
      <c r="D446" s="4"/>
      <c r="E446" s="4"/>
      <c r="F446" s="48"/>
      <c r="G446" s="48"/>
      <c r="H446" s="48"/>
      <c r="I446" s="48"/>
      <c r="J446" s="48"/>
      <c r="K446" s="48"/>
      <c r="L446" s="48"/>
      <c r="M446" s="48"/>
      <c r="N446" s="48"/>
      <c r="O446" s="48"/>
      <c r="P446" s="4"/>
      <c r="Q446" s="4"/>
      <c r="R446" s="4"/>
      <c r="S446" s="4"/>
      <c r="T446" s="4"/>
      <c r="U446" s="4"/>
      <c r="V446" s="4"/>
      <c r="W446" s="4"/>
      <c r="X446" s="4"/>
      <c r="Y446" s="4"/>
      <c r="Z446" s="4"/>
      <c r="AA446" s="4"/>
    </row>
    <row r="447">
      <c r="A447" s="48"/>
      <c r="B447" s="48"/>
      <c r="C447" s="4"/>
      <c r="D447" s="4"/>
      <c r="E447" s="4"/>
      <c r="F447" s="48"/>
      <c r="G447" s="48"/>
      <c r="H447" s="48"/>
      <c r="I447" s="48"/>
      <c r="J447" s="48"/>
      <c r="K447" s="48"/>
      <c r="L447" s="48"/>
      <c r="M447" s="48"/>
      <c r="N447" s="48"/>
      <c r="O447" s="48"/>
      <c r="P447" s="4"/>
      <c r="Q447" s="4"/>
      <c r="R447" s="4"/>
      <c r="S447" s="4"/>
      <c r="T447" s="4"/>
      <c r="U447" s="4"/>
      <c r="V447" s="4"/>
      <c r="W447" s="4"/>
      <c r="X447" s="4"/>
      <c r="Y447" s="4"/>
      <c r="Z447" s="4"/>
      <c r="AA447" s="4"/>
    </row>
    <row r="448">
      <c r="A448" s="48"/>
      <c r="B448" s="48"/>
      <c r="C448" s="4"/>
      <c r="D448" s="4"/>
      <c r="E448" s="4"/>
      <c r="F448" s="48"/>
      <c r="G448" s="48"/>
      <c r="H448" s="48"/>
      <c r="I448" s="48"/>
      <c r="J448" s="48"/>
      <c r="K448" s="48"/>
      <c r="L448" s="48"/>
      <c r="M448" s="48"/>
      <c r="N448" s="48"/>
      <c r="O448" s="48"/>
      <c r="P448" s="4"/>
      <c r="Q448" s="4"/>
      <c r="R448" s="4"/>
      <c r="S448" s="4"/>
      <c r="T448" s="4"/>
      <c r="U448" s="4"/>
      <c r="V448" s="4"/>
      <c r="W448" s="4"/>
      <c r="X448" s="4"/>
      <c r="Y448" s="4"/>
      <c r="Z448" s="4"/>
      <c r="AA448" s="4"/>
    </row>
    <row r="449">
      <c r="A449" s="48"/>
      <c r="B449" s="48"/>
      <c r="C449" s="4"/>
      <c r="D449" s="4"/>
      <c r="E449" s="4"/>
      <c r="F449" s="48"/>
      <c r="G449" s="48"/>
      <c r="H449" s="48"/>
      <c r="I449" s="48"/>
      <c r="J449" s="48"/>
      <c r="K449" s="48"/>
      <c r="L449" s="48"/>
      <c r="M449" s="48"/>
      <c r="N449" s="48"/>
      <c r="O449" s="48"/>
      <c r="P449" s="4"/>
      <c r="Q449" s="4"/>
      <c r="R449" s="4"/>
      <c r="S449" s="4"/>
      <c r="T449" s="4"/>
      <c r="U449" s="4"/>
      <c r="V449" s="4"/>
      <c r="W449" s="4"/>
      <c r="X449" s="4"/>
      <c r="Y449" s="4"/>
      <c r="Z449" s="4"/>
      <c r="AA449" s="4"/>
    </row>
    <row r="450">
      <c r="A450" s="48"/>
      <c r="B450" s="48"/>
      <c r="C450" s="4"/>
      <c r="D450" s="4"/>
      <c r="E450" s="4"/>
      <c r="F450" s="48"/>
      <c r="G450" s="48"/>
      <c r="H450" s="48"/>
      <c r="I450" s="48"/>
      <c r="J450" s="48"/>
      <c r="K450" s="48"/>
      <c r="L450" s="48"/>
      <c r="M450" s="48"/>
      <c r="N450" s="48"/>
      <c r="O450" s="48"/>
      <c r="P450" s="4"/>
      <c r="Q450" s="4"/>
      <c r="R450" s="4"/>
      <c r="S450" s="4"/>
      <c r="T450" s="4"/>
      <c r="U450" s="4"/>
      <c r="V450" s="4"/>
      <c r="W450" s="4"/>
      <c r="X450" s="4"/>
      <c r="Y450" s="4"/>
      <c r="Z450" s="4"/>
      <c r="AA450" s="4"/>
    </row>
    <row r="451">
      <c r="A451" s="48"/>
      <c r="B451" s="48"/>
      <c r="C451" s="4"/>
      <c r="D451" s="4"/>
      <c r="E451" s="4"/>
      <c r="F451" s="48"/>
      <c r="G451" s="48"/>
      <c r="H451" s="48"/>
      <c r="I451" s="48"/>
      <c r="J451" s="48"/>
      <c r="K451" s="48"/>
      <c r="L451" s="48"/>
      <c r="M451" s="48"/>
      <c r="N451" s="48"/>
      <c r="O451" s="48"/>
      <c r="P451" s="4"/>
      <c r="Q451" s="4"/>
      <c r="R451" s="4"/>
      <c r="S451" s="4"/>
      <c r="T451" s="4"/>
      <c r="U451" s="4"/>
      <c r="V451" s="4"/>
      <c r="W451" s="4"/>
      <c r="X451" s="4"/>
      <c r="Y451" s="4"/>
      <c r="Z451" s="4"/>
      <c r="AA451" s="4"/>
    </row>
    <row r="452">
      <c r="A452" s="48"/>
      <c r="B452" s="48"/>
      <c r="C452" s="4"/>
      <c r="D452" s="4"/>
      <c r="E452" s="4"/>
      <c r="F452" s="48"/>
      <c r="G452" s="48"/>
      <c r="H452" s="48"/>
      <c r="I452" s="48"/>
      <c r="J452" s="48"/>
      <c r="K452" s="48"/>
      <c r="L452" s="48"/>
      <c r="M452" s="48"/>
      <c r="N452" s="48"/>
      <c r="O452" s="48"/>
      <c r="P452" s="4"/>
      <c r="Q452" s="4"/>
      <c r="R452" s="4"/>
      <c r="S452" s="4"/>
      <c r="T452" s="4"/>
      <c r="U452" s="4"/>
      <c r="V452" s="4"/>
      <c r="W452" s="4"/>
      <c r="X452" s="4"/>
      <c r="Y452" s="4"/>
      <c r="Z452" s="4"/>
      <c r="AA452" s="4"/>
    </row>
    <row r="453">
      <c r="A453" s="48"/>
      <c r="B453" s="48"/>
      <c r="C453" s="4"/>
      <c r="D453" s="4"/>
      <c r="E453" s="4"/>
      <c r="F453" s="48"/>
      <c r="G453" s="48"/>
      <c r="H453" s="48"/>
      <c r="I453" s="48"/>
      <c r="J453" s="48"/>
      <c r="K453" s="48"/>
      <c r="L453" s="48"/>
      <c r="M453" s="48"/>
      <c r="N453" s="48"/>
      <c r="O453" s="48"/>
      <c r="P453" s="4"/>
      <c r="Q453" s="4"/>
      <c r="R453" s="4"/>
      <c r="S453" s="4"/>
      <c r="T453" s="4"/>
      <c r="U453" s="4"/>
      <c r="V453" s="4"/>
      <c r="W453" s="4"/>
      <c r="X453" s="4"/>
      <c r="Y453" s="4"/>
      <c r="Z453" s="4"/>
      <c r="AA453" s="4"/>
    </row>
    <row r="454">
      <c r="A454" s="48"/>
      <c r="B454" s="48"/>
      <c r="C454" s="4"/>
      <c r="D454" s="4"/>
      <c r="E454" s="4"/>
      <c r="F454" s="48"/>
      <c r="G454" s="48"/>
      <c r="H454" s="48"/>
      <c r="I454" s="48"/>
      <c r="J454" s="48"/>
      <c r="K454" s="48"/>
      <c r="L454" s="48"/>
      <c r="M454" s="48"/>
      <c r="N454" s="48"/>
      <c r="O454" s="48"/>
      <c r="P454" s="4"/>
      <c r="Q454" s="4"/>
      <c r="R454" s="4"/>
      <c r="S454" s="4"/>
      <c r="T454" s="4"/>
      <c r="U454" s="4"/>
      <c r="V454" s="4"/>
      <c r="W454" s="4"/>
      <c r="X454" s="4"/>
      <c r="Y454" s="4"/>
      <c r="Z454" s="4"/>
      <c r="AA454" s="4"/>
    </row>
    <row r="455">
      <c r="A455" s="48"/>
      <c r="B455" s="48"/>
      <c r="C455" s="4"/>
      <c r="D455" s="4"/>
      <c r="E455" s="4"/>
      <c r="F455" s="48"/>
      <c r="G455" s="48"/>
      <c r="H455" s="48"/>
      <c r="I455" s="48"/>
      <c r="J455" s="48"/>
      <c r="K455" s="48"/>
      <c r="L455" s="48"/>
      <c r="M455" s="48"/>
      <c r="N455" s="48"/>
      <c r="O455" s="48"/>
      <c r="P455" s="4"/>
      <c r="Q455" s="4"/>
      <c r="R455" s="4"/>
      <c r="S455" s="4"/>
      <c r="T455" s="4"/>
      <c r="U455" s="4"/>
      <c r="V455" s="4"/>
      <c r="W455" s="4"/>
      <c r="X455" s="4"/>
      <c r="Y455" s="4"/>
      <c r="Z455" s="4"/>
      <c r="AA455" s="4"/>
    </row>
    <row r="456">
      <c r="A456" s="48"/>
      <c r="B456" s="48"/>
      <c r="C456" s="4"/>
      <c r="D456" s="4"/>
      <c r="E456" s="4"/>
      <c r="F456" s="48"/>
      <c r="G456" s="48"/>
      <c r="H456" s="48"/>
      <c r="I456" s="48"/>
      <c r="J456" s="48"/>
      <c r="K456" s="48"/>
      <c r="L456" s="48"/>
      <c r="M456" s="48"/>
      <c r="N456" s="48"/>
      <c r="O456" s="48"/>
      <c r="P456" s="4"/>
      <c r="Q456" s="4"/>
      <c r="R456" s="4"/>
      <c r="S456" s="4"/>
      <c r="T456" s="4"/>
      <c r="U456" s="4"/>
      <c r="V456" s="4"/>
      <c r="W456" s="4"/>
      <c r="X456" s="4"/>
      <c r="Y456" s="4"/>
      <c r="Z456" s="4"/>
      <c r="AA456" s="4"/>
    </row>
    <row r="457">
      <c r="A457" s="48"/>
      <c r="B457" s="48"/>
      <c r="C457" s="4"/>
      <c r="D457" s="4"/>
      <c r="E457" s="4"/>
      <c r="F457" s="48"/>
      <c r="G457" s="48"/>
      <c r="H457" s="48"/>
      <c r="I457" s="48"/>
      <c r="J457" s="48"/>
      <c r="K457" s="48"/>
      <c r="L457" s="48"/>
      <c r="M457" s="48"/>
      <c r="N457" s="48"/>
      <c r="O457" s="48"/>
      <c r="P457" s="4"/>
      <c r="Q457" s="4"/>
      <c r="R457" s="4"/>
      <c r="S457" s="4"/>
      <c r="T457" s="4"/>
      <c r="U457" s="4"/>
      <c r="V457" s="4"/>
      <c r="W457" s="4"/>
      <c r="X457" s="4"/>
      <c r="Y457" s="4"/>
      <c r="Z457" s="4"/>
      <c r="AA457" s="4"/>
    </row>
    <row r="458">
      <c r="A458" s="48"/>
      <c r="B458" s="48"/>
      <c r="C458" s="4"/>
      <c r="D458" s="4"/>
      <c r="E458" s="4"/>
      <c r="F458" s="48"/>
      <c r="G458" s="48"/>
      <c r="H458" s="48"/>
      <c r="I458" s="48"/>
      <c r="J458" s="48"/>
      <c r="K458" s="48"/>
      <c r="L458" s="48"/>
      <c r="M458" s="48"/>
      <c r="N458" s="48"/>
      <c r="O458" s="48"/>
      <c r="P458" s="4"/>
      <c r="Q458" s="4"/>
      <c r="R458" s="4"/>
      <c r="S458" s="4"/>
      <c r="T458" s="4"/>
      <c r="U458" s="4"/>
      <c r="V458" s="4"/>
      <c r="W458" s="4"/>
      <c r="X458" s="4"/>
      <c r="Y458" s="4"/>
      <c r="Z458" s="4"/>
      <c r="AA458" s="4"/>
    </row>
    <row r="459">
      <c r="A459" s="48"/>
      <c r="B459" s="48"/>
      <c r="C459" s="4"/>
      <c r="D459" s="4"/>
      <c r="E459" s="4"/>
      <c r="F459" s="48"/>
      <c r="G459" s="48"/>
      <c r="H459" s="48"/>
      <c r="I459" s="48"/>
      <c r="J459" s="48"/>
      <c r="K459" s="48"/>
      <c r="L459" s="48"/>
      <c r="M459" s="48"/>
      <c r="N459" s="48"/>
      <c r="O459" s="48"/>
      <c r="P459" s="4"/>
      <c r="Q459" s="4"/>
      <c r="R459" s="4"/>
      <c r="S459" s="4"/>
      <c r="T459" s="4"/>
      <c r="U459" s="4"/>
      <c r="V459" s="4"/>
      <c r="W459" s="4"/>
      <c r="X459" s="4"/>
      <c r="Y459" s="4"/>
      <c r="Z459" s="4"/>
      <c r="AA459" s="4"/>
    </row>
    <row r="460">
      <c r="A460" s="48"/>
      <c r="B460" s="48"/>
      <c r="C460" s="4"/>
      <c r="D460" s="4"/>
      <c r="E460" s="4"/>
      <c r="F460" s="48"/>
      <c r="G460" s="48"/>
      <c r="H460" s="48"/>
      <c r="I460" s="48"/>
      <c r="J460" s="48"/>
      <c r="K460" s="48"/>
      <c r="L460" s="48"/>
      <c r="M460" s="48"/>
      <c r="N460" s="48"/>
      <c r="O460" s="48"/>
      <c r="P460" s="4"/>
      <c r="Q460" s="4"/>
      <c r="R460" s="4"/>
      <c r="S460" s="4"/>
      <c r="T460" s="4"/>
      <c r="U460" s="4"/>
      <c r="V460" s="4"/>
      <c r="W460" s="4"/>
      <c r="X460" s="4"/>
      <c r="Y460" s="4"/>
      <c r="Z460" s="4"/>
      <c r="AA460" s="4"/>
    </row>
    <row r="461">
      <c r="A461" s="48"/>
      <c r="B461" s="48"/>
      <c r="C461" s="4"/>
      <c r="D461" s="4"/>
      <c r="E461" s="4"/>
      <c r="F461" s="48"/>
      <c r="G461" s="48"/>
      <c r="H461" s="48"/>
      <c r="I461" s="48"/>
      <c r="J461" s="48"/>
      <c r="K461" s="48"/>
      <c r="L461" s="48"/>
      <c r="M461" s="48"/>
      <c r="N461" s="48"/>
      <c r="O461" s="48"/>
      <c r="P461" s="4"/>
      <c r="Q461" s="4"/>
      <c r="R461" s="4"/>
      <c r="S461" s="4"/>
      <c r="T461" s="4"/>
      <c r="U461" s="4"/>
      <c r="V461" s="4"/>
      <c r="W461" s="4"/>
      <c r="X461" s="4"/>
      <c r="Y461" s="4"/>
      <c r="Z461" s="4"/>
      <c r="AA461" s="4"/>
    </row>
    <row r="462">
      <c r="A462" s="48"/>
      <c r="B462" s="48"/>
      <c r="C462" s="4"/>
      <c r="D462" s="4"/>
      <c r="E462" s="4"/>
      <c r="F462" s="48"/>
      <c r="G462" s="48"/>
      <c r="H462" s="48"/>
      <c r="I462" s="48"/>
      <c r="J462" s="48"/>
      <c r="K462" s="48"/>
      <c r="L462" s="48"/>
      <c r="M462" s="48"/>
      <c r="N462" s="48"/>
      <c r="O462" s="48"/>
      <c r="P462" s="4"/>
      <c r="Q462" s="4"/>
      <c r="R462" s="4"/>
      <c r="S462" s="4"/>
      <c r="T462" s="4"/>
      <c r="U462" s="4"/>
      <c r="V462" s="4"/>
      <c r="W462" s="4"/>
      <c r="X462" s="4"/>
      <c r="Y462" s="4"/>
      <c r="Z462" s="4"/>
      <c r="AA462" s="4"/>
    </row>
    <row r="463">
      <c r="A463" s="48"/>
      <c r="B463" s="48"/>
      <c r="C463" s="4"/>
      <c r="D463" s="4"/>
      <c r="E463" s="4"/>
      <c r="F463" s="48"/>
      <c r="G463" s="48"/>
      <c r="H463" s="48"/>
      <c r="I463" s="48"/>
      <c r="J463" s="48"/>
      <c r="K463" s="48"/>
      <c r="L463" s="48"/>
      <c r="M463" s="48"/>
      <c r="N463" s="48"/>
      <c r="O463" s="48"/>
      <c r="P463" s="4"/>
      <c r="Q463" s="4"/>
      <c r="R463" s="4"/>
      <c r="S463" s="4"/>
      <c r="T463" s="4"/>
      <c r="U463" s="4"/>
      <c r="V463" s="4"/>
      <c r="W463" s="4"/>
      <c r="X463" s="4"/>
      <c r="Y463" s="4"/>
      <c r="Z463" s="4"/>
      <c r="AA463" s="4"/>
    </row>
    <row r="464">
      <c r="A464" s="48"/>
      <c r="B464" s="48"/>
      <c r="C464" s="4"/>
      <c r="D464" s="4"/>
      <c r="E464" s="4"/>
      <c r="F464" s="48"/>
      <c r="G464" s="48"/>
      <c r="H464" s="48"/>
      <c r="I464" s="48"/>
      <c r="J464" s="48"/>
      <c r="K464" s="48"/>
      <c r="L464" s="48"/>
      <c r="M464" s="48"/>
      <c r="N464" s="48"/>
      <c r="O464" s="48"/>
      <c r="P464" s="4"/>
      <c r="Q464" s="4"/>
      <c r="R464" s="4"/>
      <c r="S464" s="4"/>
      <c r="T464" s="4"/>
      <c r="U464" s="4"/>
      <c r="V464" s="4"/>
      <c r="W464" s="4"/>
      <c r="X464" s="4"/>
      <c r="Y464" s="4"/>
      <c r="Z464" s="4"/>
      <c r="AA464" s="4"/>
    </row>
    <row r="465">
      <c r="A465" s="48"/>
      <c r="B465" s="48"/>
      <c r="C465" s="4"/>
      <c r="D465" s="4"/>
      <c r="E465" s="4"/>
      <c r="F465" s="48"/>
      <c r="G465" s="48"/>
      <c r="H465" s="48"/>
      <c r="I465" s="48"/>
      <c r="J465" s="48"/>
      <c r="K465" s="48"/>
      <c r="L465" s="48"/>
      <c r="M465" s="48"/>
      <c r="N465" s="48"/>
      <c r="O465" s="48"/>
      <c r="P465" s="4"/>
      <c r="Q465" s="4"/>
      <c r="R465" s="4"/>
      <c r="S465" s="4"/>
      <c r="T465" s="4"/>
      <c r="U465" s="4"/>
      <c r="V465" s="4"/>
      <c r="W465" s="4"/>
      <c r="X465" s="4"/>
      <c r="Y465" s="4"/>
      <c r="Z465" s="4"/>
      <c r="AA465" s="4"/>
    </row>
    <row r="466">
      <c r="A466" s="48"/>
      <c r="B466" s="48"/>
      <c r="C466" s="4"/>
      <c r="D466" s="4"/>
      <c r="E466" s="4"/>
      <c r="F466" s="48"/>
      <c r="G466" s="48"/>
      <c r="H466" s="48"/>
      <c r="I466" s="48"/>
      <c r="J466" s="48"/>
      <c r="K466" s="48"/>
      <c r="L466" s="48"/>
      <c r="M466" s="48"/>
      <c r="N466" s="48"/>
      <c r="O466" s="48"/>
      <c r="P466" s="4"/>
      <c r="Q466" s="4"/>
      <c r="R466" s="4"/>
      <c r="S466" s="4"/>
      <c r="T466" s="4"/>
      <c r="U466" s="4"/>
      <c r="V466" s="4"/>
      <c r="W466" s="4"/>
      <c r="X466" s="4"/>
      <c r="Y466" s="4"/>
      <c r="Z466" s="4"/>
      <c r="AA466" s="4"/>
    </row>
    <row r="467">
      <c r="A467" s="48"/>
      <c r="B467" s="48"/>
      <c r="C467" s="4"/>
      <c r="D467" s="4"/>
      <c r="E467" s="4"/>
      <c r="F467" s="48"/>
      <c r="G467" s="48"/>
      <c r="H467" s="48"/>
      <c r="I467" s="48"/>
      <c r="J467" s="48"/>
      <c r="K467" s="48"/>
      <c r="L467" s="48"/>
      <c r="M467" s="48"/>
      <c r="N467" s="48"/>
      <c r="O467" s="48"/>
      <c r="P467" s="4"/>
      <c r="Q467" s="4"/>
      <c r="R467" s="4"/>
      <c r="S467" s="4"/>
      <c r="T467" s="4"/>
      <c r="U467" s="4"/>
      <c r="V467" s="4"/>
      <c r="W467" s="4"/>
      <c r="X467" s="4"/>
      <c r="Y467" s="4"/>
      <c r="Z467" s="4"/>
      <c r="AA467" s="4"/>
    </row>
    <row r="468">
      <c r="A468" s="48"/>
      <c r="B468" s="48"/>
      <c r="C468" s="4"/>
      <c r="D468" s="4"/>
      <c r="E468" s="4"/>
      <c r="F468" s="48"/>
      <c r="G468" s="48"/>
      <c r="H468" s="48"/>
      <c r="I468" s="48"/>
      <c r="J468" s="48"/>
      <c r="K468" s="48"/>
      <c r="L468" s="48"/>
      <c r="M468" s="48"/>
      <c r="N468" s="48"/>
      <c r="O468" s="48"/>
      <c r="P468" s="4"/>
      <c r="Q468" s="4"/>
      <c r="R468" s="4"/>
      <c r="S468" s="4"/>
      <c r="T468" s="4"/>
      <c r="U468" s="4"/>
      <c r="V468" s="4"/>
      <c r="W468" s="4"/>
      <c r="X468" s="4"/>
      <c r="Y468" s="4"/>
      <c r="Z468" s="4"/>
      <c r="AA468" s="4"/>
    </row>
    <row r="469">
      <c r="A469" s="48"/>
      <c r="B469" s="48"/>
      <c r="C469" s="4"/>
      <c r="D469" s="4"/>
      <c r="E469" s="4"/>
      <c r="F469" s="48"/>
      <c r="G469" s="48"/>
      <c r="H469" s="48"/>
      <c r="I469" s="48"/>
      <c r="J469" s="48"/>
      <c r="K469" s="48"/>
      <c r="L469" s="48"/>
      <c r="M469" s="48"/>
      <c r="N469" s="48"/>
      <c r="O469" s="48"/>
      <c r="P469" s="4"/>
      <c r="Q469" s="4"/>
      <c r="R469" s="4"/>
      <c r="S469" s="4"/>
      <c r="T469" s="4"/>
      <c r="U469" s="4"/>
      <c r="V469" s="4"/>
      <c r="W469" s="4"/>
      <c r="X469" s="4"/>
      <c r="Y469" s="4"/>
      <c r="Z469" s="4"/>
      <c r="AA469" s="4"/>
    </row>
    <row r="470">
      <c r="A470" s="48"/>
      <c r="B470" s="48"/>
      <c r="C470" s="4"/>
      <c r="D470" s="4"/>
      <c r="E470" s="4"/>
      <c r="F470" s="48"/>
      <c r="G470" s="48"/>
      <c r="H470" s="48"/>
      <c r="I470" s="48"/>
      <c r="J470" s="48"/>
      <c r="K470" s="48"/>
      <c r="L470" s="48"/>
      <c r="M470" s="48"/>
      <c r="N470" s="48"/>
      <c r="O470" s="48"/>
      <c r="P470" s="4"/>
      <c r="Q470" s="4"/>
      <c r="R470" s="4"/>
      <c r="S470" s="4"/>
      <c r="T470" s="4"/>
      <c r="U470" s="4"/>
      <c r="V470" s="4"/>
      <c r="W470" s="4"/>
      <c r="X470" s="4"/>
      <c r="Y470" s="4"/>
      <c r="Z470" s="4"/>
      <c r="AA470" s="4"/>
    </row>
    <row r="471">
      <c r="A471" s="48"/>
      <c r="B471" s="48"/>
      <c r="C471" s="4"/>
      <c r="D471" s="4"/>
      <c r="E471" s="4"/>
      <c r="F471" s="48"/>
      <c r="G471" s="48"/>
      <c r="H471" s="48"/>
      <c r="I471" s="48"/>
      <c r="J471" s="48"/>
      <c r="K471" s="48"/>
      <c r="L471" s="48"/>
      <c r="M471" s="48"/>
      <c r="N471" s="48"/>
      <c r="O471" s="48"/>
      <c r="P471" s="4"/>
      <c r="Q471" s="4"/>
      <c r="R471" s="4"/>
      <c r="S471" s="4"/>
      <c r="T471" s="4"/>
      <c r="U471" s="4"/>
      <c r="V471" s="4"/>
      <c r="W471" s="4"/>
      <c r="X471" s="4"/>
      <c r="Y471" s="4"/>
      <c r="Z471" s="4"/>
      <c r="AA471" s="4"/>
    </row>
    <row r="472">
      <c r="A472" s="48"/>
      <c r="B472" s="48"/>
      <c r="C472" s="4"/>
      <c r="D472" s="4"/>
      <c r="E472" s="4"/>
      <c r="F472" s="48"/>
      <c r="G472" s="48"/>
      <c r="H472" s="48"/>
      <c r="I472" s="48"/>
      <c r="J472" s="48"/>
      <c r="K472" s="48"/>
      <c r="L472" s="48"/>
      <c r="M472" s="48"/>
      <c r="N472" s="48"/>
      <c r="O472" s="48"/>
      <c r="P472" s="4"/>
      <c r="Q472" s="4"/>
      <c r="R472" s="4"/>
      <c r="S472" s="4"/>
      <c r="T472" s="4"/>
      <c r="U472" s="4"/>
      <c r="V472" s="4"/>
      <c r="W472" s="4"/>
      <c r="X472" s="4"/>
      <c r="Y472" s="4"/>
      <c r="Z472" s="4"/>
      <c r="AA472" s="4"/>
    </row>
    <row r="473">
      <c r="A473" s="48"/>
      <c r="B473" s="48"/>
      <c r="C473" s="4"/>
      <c r="D473" s="4"/>
      <c r="E473" s="4"/>
      <c r="F473" s="48"/>
      <c r="G473" s="48"/>
      <c r="H473" s="48"/>
      <c r="I473" s="48"/>
      <c r="J473" s="48"/>
      <c r="K473" s="48"/>
      <c r="L473" s="48"/>
      <c r="M473" s="48"/>
      <c r="N473" s="48"/>
      <c r="O473" s="48"/>
      <c r="P473" s="4"/>
      <c r="Q473" s="4"/>
      <c r="R473" s="4"/>
      <c r="S473" s="4"/>
      <c r="T473" s="4"/>
      <c r="U473" s="4"/>
      <c r="V473" s="4"/>
      <c r="W473" s="4"/>
      <c r="X473" s="4"/>
      <c r="Y473" s="4"/>
      <c r="Z473" s="4"/>
      <c r="AA473" s="4"/>
    </row>
    <row r="474">
      <c r="A474" s="48"/>
      <c r="B474" s="48"/>
      <c r="C474" s="4"/>
      <c r="D474" s="4"/>
      <c r="E474" s="4"/>
      <c r="F474" s="48"/>
      <c r="G474" s="48"/>
      <c r="H474" s="48"/>
      <c r="I474" s="48"/>
      <c r="J474" s="48"/>
      <c r="K474" s="48"/>
      <c r="L474" s="48"/>
      <c r="M474" s="48"/>
      <c r="N474" s="48"/>
      <c r="O474" s="48"/>
      <c r="P474" s="4"/>
      <c r="Q474" s="4"/>
      <c r="R474" s="4"/>
      <c r="S474" s="4"/>
      <c r="T474" s="4"/>
      <c r="U474" s="4"/>
      <c r="V474" s="4"/>
      <c r="W474" s="4"/>
      <c r="X474" s="4"/>
      <c r="Y474" s="4"/>
      <c r="Z474" s="4"/>
      <c r="AA474" s="4"/>
    </row>
    <row r="475">
      <c r="A475" s="48"/>
      <c r="B475" s="48"/>
      <c r="C475" s="4"/>
      <c r="D475" s="4"/>
      <c r="E475" s="4"/>
      <c r="F475" s="48"/>
      <c r="G475" s="48"/>
      <c r="H475" s="48"/>
      <c r="I475" s="48"/>
      <c r="J475" s="48"/>
      <c r="K475" s="48"/>
      <c r="L475" s="48"/>
      <c r="M475" s="48"/>
      <c r="N475" s="48"/>
      <c r="O475" s="48"/>
      <c r="P475" s="4"/>
      <c r="Q475" s="4"/>
      <c r="R475" s="4"/>
      <c r="S475" s="4"/>
      <c r="T475" s="4"/>
      <c r="U475" s="4"/>
      <c r="V475" s="4"/>
      <c r="W475" s="4"/>
      <c r="X475" s="4"/>
      <c r="Y475" s="4"/>
      <c r="Z475" s="4"/>
      <c r="AA475" s="4"/>
    </row>
    <row r="476">
      <c r="A476" s="48"/>
      <c r="B476" s="48"/>
      <c r="C476" s="4"/>
      <c r="D476" s="4"/>
      <c r="E476" s="4"/>
      <c r="F476" s="48"/>
      <c r="G476" s="48"/>
      <c r="H476" s="48"/>
      <c r="I476" s="48"/>
      <c r="J476" s="48"/>
      <c r="K476" s="48"/>
      <c r="L476" s="48"/>
      <c r="M476" s="48"/>
      <c r="N476" s="48"/>
      <c r="O476" s="48"/>
      <c r="P476" s="4"/>
      <c r="Q476" s="4"/>
      <c r="R476" s="4"/>
      <c r="S476" s="4"/>
      <c r="T476" s="4"/>
      <c r="U476" s="4"/>
      <c r="V476" s="4"/>
      <c r="W476" s="4"/>
      <c r="X476" s="4"/>
      <c r="Y476" s="4"/>
      <c r="Z476" s="4"/>
      <c r="AA476" s="4"/>
    </row>
    <row r="477">
      <c r="A477" s="48"/>
      <c r="B477" s="48"/>
      <c r="C477" s="4"/>
      <c r="D477" s="4"/>
      <c r="E477" s="4"/>
      <c r="F477" s="48"/>
      <c r="G477" s="48"/>
      <c r="H477" s="48"/>
      <c r="I477" s="48"/>
      <c r="J477" s="48"/>
      <c r="K477" s="48"/>
      <c r="L477" s="48"/>
      <c r="M477" s="48"/>
      <c r="N477" s="48"/>
      <c r="O477" s="48"/>
      <c r="P477" s="4"/>
      <c r="Q477" s="4"/>
      <c r="R477" s="4"/>
      <c r="S477" s="4"/>
      <c r="T477" s="4"/>
      <c r="U477" s="4"/>
      <c r="V477" s="4"/>
      <c r="W477" s="4"/>
      <c r="X477" s="4"/>
      <c r="Y477" s="4"/>
      <c r="Z477" s="4"/>
      <c r="AA477" s="4"/>
    </row>
    <row r="478">
      <c r="A478" s="48"/>
      <c r="B478" s="48"/>
      <c r="C478" s="4"/>
      <c r="D478" s="4"/>
      <c r="E478" s="4"/>
      <c r="F478" s="48"/>
      <c r="G478" s="48"/>
      <c r="H478" s="48"/>
      <c r="I478" s="48"/>
      <c r="J478" s="48"/>
      <c r="K478" s="48"/>
      <c r="L478" s="48"/>
      <c r="M478" s="48"/>
      <c r="N478" s="48"/>
      <c r="O478" s="48"/>
      <c r="P478" s="4"/>
      <c r="Q478" s="4"/>
      <c r="R478" s="4"/>
      <c r="S478" s="4"/>
      <c r="T478" s="4"/>
      <c r="U478" s="4"/>
      <c r="V478" s="4"/>
      <c r="W478" s="4"/>
      <c r="X478" s="4"/>
      <c r="Y478" s="4"/>
      <c r="Z478" s="4"/>
      <c r="AA478" s="4"/>
    </row>
    <row r="479">
      <c r="A479" s="48"/>
      <c r="B479" s="48"/>
      <c r="C479" s="4"/>
      <c r="D479" s="4"/>
      <c r="E479" s="4"/>
      <c r="F479" s="48"/>
      <c r="G479" s="48"/>
      <c r="H479" s="48"/>
      <c r="I479" s="48"/>
      <c r="J479" s="48"/>
      <c r="K479" s="48"/>
      <c r="L479" s="48"/>
      <c r="M479" s="48"/>
      <c r="N479" s="48"/>
      <c r="O479" s="48"/>
      <c r="P479" s="4"/>
      <c r="Q479" s="4"/>
      <c r="R479" s="4"/>
      <c r="S479" s="4"/>
      <c r="T479" s="4"/>
      <c r="U479" s="4"/>
      <c r="V479" s="4"/>
      <c r="W479" s="4"/>
      <c r="X479" s="4"/>
      <c r="Y479" s="4"/>
      <c r="Z479" s="4"/>
      <c r="AA479" s="4"/>
    </row>
    <row r="480">
      <c r="A480" s="48"/>
      <c r="B480" s="48"/>
      <c r="C480" s="4"/>
      <c r="D480" s="4"/>
      <c r="E480" s="4"/>
      <c r="F480" s="48"/>
      <c r="G480" s="48"/>
      <c r="H480" s="48"/>
      <c r="I480" s="48"/>
      <c r="J480" s="48"/>
      <c r="K480" s="48"/>
      <c r="L480" s="48"/>
      <c r="M480" s="48"/>
      <c r="N480" s="48"/>
      <c r="O480" s="48"/>
      <c r="P480" s="4"/>
      <c r="Q480" s="4"/>
      <c r="R480" s="4"/>
      <c r="S480" s="4"/>
      <c r="T480" s="4"/>
      <c r="U480" s="4"/>
      <c r="V480" s="4"/>
      <c r="W480" s="4"/>
      <c r="X480" s="4"/>
      <c r="Y480" s="4"/>
      <c r="Z480" s="4"/>
      <c r="AA480" s="4"/>
    </row>
    <row r="481">
      <c r="A481" s="48"/>
      <c r="B481" s="48"/>
      <c r="C481" s="4"/>
      <c r="D481" s="4"/>
      <c r="E481" s="4"/>
      <c r="F481" s="48"/>
      <c r="G481" s="48"/>
      <c r="H481" s="48"/>
      <c r="I481" s="48"/>
      <c r="J481" s="48"/>
      <c r="K481" s="48"/>
      <c r="L481" s="48"/>
      <c r="M481" s="48"/>
      <c r="N481" s="48"/>
      <c r="O481" s="48"/>
      <c r="P481" s="4"/>
      <c r="Q481" s="4"/>
      <c r="R481" s="4"/>
      <c r="S481" s="4"/>
      <c r="T481" s="4"/>
      <c r="U481" s="4"/>
      <c r="V481" s="4"/>
      <c r="W481" s="4"/>
      <c r="X481" s="4"/>
      <c r="Y481" s="4"/>
      <c r="Z481" s="4"/>
      <c r="AA481" s="4"/>
    </row>
    <row r="482">
      <c r="A482" s="48"/>
      <c r="B482" s="48"/>
      <c r="C482" s="4"/>
      <c r="D482" s="4"/>
      <c r="E482" s="4"/>
      <c r="F482" s="48"/>
      <c r="G482" s="48"/>
      <c r="H482" s="48"/>
      <c r="I482" s="48"/>
      <c r="J482" s="48"/>
      <c r="K482" s="48"/>
      <c r="L482" s="48"/>
      <c r="M482" s="48"/>
      <c r="N482" s="48"/>
      <c r="O482" s="48"/>
      <c r="P482" s="4"/>
      <c r="Q482" s="4"/>
      <c r="R482" s="4"/>
      <c r="S482" s="4"/>
      <c r="T482" s="4"/>
      <c r="U482" s="4"/>
      <c r="V482" s="4"/>
      <c r="W482" s="4"/>
      <c r="X482" s="4"/>
      <c r="Y482" s="4"/>
      <c r="Z482" s="4"/>
      <c r="AA482" s="4"/>
    </row>
    <row r="483">
      <c r="A483" s="48"/>
      <c r="B483" s="48"/>
      <c r="C483" s="4"/>
      <c r="D483" s="4"/>
      <c r="E483" s="4"/>
      <c r="F483" s="48"/>
      <c r="G483" s="48"/>
      <c r="H483" s="48"/>
      <c r="I483" s="48"/>
      <c r="J483" s="48"/>
      <c r="K483" s="48"/>
      <c r="L483" s="48"/>
      <c r="M483" s="48"/>
      <c r="N483" s="48"/>
      <c r="O483" s="48"/>
      <c r="P483" s="4"/>
      <c r="Q483" s="4"/>
      <c r="R483" s="4"/>
      <c r="S483" s="4"/>
      <c r="T483" s="4"/>
      <c r="U483" s="4"/>
      <c r="V483" s="4"/>
      <c r="W483" s="4"/>
      <c r="X483" s="4"/>
      <c r="Y483" s="4"/>
      <c r="Z483" s="4"/>
      <c r="AA483" s="4"/>
    </row>
    <row r="484">
      <c r="A484" s="48"/>
      <c r="B484" s="48"/>
      <c r="C484" s="4"/>
      <c r="D484" s="4"/>
      <c r="E484" s="4"/>
      <c r="F484" s="48"/>
      <c r="G484" s="48"/>
      <c r="H484" s="48"/>
      <c r="I484" s="48"/>
      <c r="J484" s="48"/>
      <c r="K484" s="48"/>
      <c r="L484" s="48"/>
      <c r="M484" s="48"/>
      <c r="N484" s="48"/>
      <c r="O484" s="48"/>
      <c r="P484" s="4"/>
      <c r="Q484" s="4"/>
      <c r="R484" s="4"/>
      <c r="S484" s="4"/>
      <c r="T484" s="4"/>
      <c r="U484" s="4"/>
      <c r="V484" s="4"/>
      <c r="W484" s="4"/>
      <c r="X484" s="4"/>
      <c r="Y484" s="4"/>
      <c r="Z484" s="4"/>
      <c r="AA484" s="4"/>
    </row>
    <row r="485">
      <c r="A485" s="48"/>
      <c r="B485" s="48"/>
      <c r="C485" s="4"/>
      <c r="D485" s="4"/>
      <c r="E485" s="4"/>
      <c r="F485" s="48"/>
      <c r="G485" s="48"/>
      <c r="H485" s="48"/>
      <c r="I485" s="48"/>
      <c r="J485" s="48"/>
      <c r="K485" s="48"/>
      <c r="L485" s="48"/>
      <c r="M485" s="48"/>
      <c r="N485" s="48"/>
      <c r="O485" s="48"/>
      <c r="P485" s="4"/>
      <c r="Q485" s="4"/>
      <c r="R485" s="4"/>
      <c r="S485" s="4"/>
      <c r="T485" s="4"/>
      <c r="U485" s="4"/>
      <c r="V485" s="4"/>
      <c r="W485" s="4"/>
      <c r="X485" s="4"/>
      <c r="Y485" s="4"/>
      <c r="Z485" s="4"/>
      <c r="AA485" s="4"/>
    </row>
    <row r="486">
      <c r="A486" s="48"/>
      <c r="B486" s="48"/>
      <c r="C486" s="4"/>
      <c r="D486" s="4"/>
      <c r="E486" s="4"/>
      <c r="F486" s="48"/>
      <c r="G486" s="48"/>
      <c r="H486" s="48"/>
      <c r="I486" s="48"/>
      <c r="J486" s="48"/>
      <c r="K486" s="48"/>
      <c r="L486" s="48"/>
      <c r="M486" s="48"/>
      <c r="N486" s="48"/>
      <c r="O486" s="48"/>
      <c r="P486" s="4"/>
      <c r="Q486" s="4"/>
      <c r="R486" s="4"/>
      <c r="S486" s="4"/>
      <c r="T486" s="4"/>
      <c r="U486" s="4"/>
      <c r="V486" s="4"/>
      <c r="W486" s="4"/>
      <c r="X486" s="4"/>
      <c r="Y486" s="4"/>
      <c r="Z486" s="4"/>
      <c r="AA486" s="4"/>
    </row>
    <row r="487">
      <c r="A487" s="48"/>
      <c r="B487" s="48"/>
      <c r="C487" s="4"/>
      <c r="D487" s="4"/>
      <c r="E487" s="4"/>
      <c r="F487" s="48"/>
      <c r="G487" s="48"/>
      <c r="H487" s="48"/>
      <c r="I487" s="48"/>
      <c r="J487" s="48"/>
      <c r="K487" s="48"/>
      <c r="L487" s="48"/>
      <c r="M487" s="48"/>
      <c r="N487" s="48"/>
      <c r="O487" s="48"/>
      <c r="P487" s="4"/>
      <c r="Q487" s="4"/>
      <c r="R487" s="4"/>
      <c r="S487" s="4"/>
      <c r="T487" s="4"/>
      <c r="U487" s="4"/>
      <c r="V487" s="4"/>
      <c r="W487" s="4"/>
      <c r="X487" s="4"/>
      <c r="Y487" s="4"/>
      <c r="Z487" s="4"/>
      <c r="AA487" s="4"/>
    </row>
    <row r="488">
      <c r="A488" s="48"/>
      <c r="B488" s="48"/>
      <c r="C488" s="4"/>
      <c r="D488" s="4"/>
      <c r="E488" s="4"/>
      <c r="F488" s="48"/>
      <c r="G488" s="48"/>
      <c r="H488" s="48"/>
      <c r="I488" s="48"/>
      <c r="J488" s="48"/>
      <c r="K488" s="48"/>
      <c r="L488" s="48"/>
      <c r="M488" s="48"/>
      <c r="N488" s="48"/>
      <c r="O488" s="48"/>
      <c r="P488" s="4"/>
      <c r="Q488" s="4"/>
      <c r="R488" s="4"/>
      <c r="S488" s="4"/>
      <c r="T488" s="4"/>
      <c r="U488" s="4"/>
      <c r="V488" s="4"/>
      <c r="W488" s="4"/>
      <c r="X488" s="4"/>
      <c r="Y488" s="4"/>
      <c r="Z488" s="4"/>
      <c r="AA488" s="4"/>
    </row>
    <row r="489">
      <c r="A489" s="48"/>
      <c r="B489" s="48"/>
      <c r="C489" s="4"/>
      <c r="D489" s="4"/>
      <c r="E489" s="4"/>
      <c r="F489" s="48"/>
      <c r="G489" s="48"/>
      <c r="H489" s="48"/>
      <c r="I489" s="48"/>
      <c r="J489" s="48"/>
      <c r="K489" s="48"/>
      <c r="L489" s="48"/>
      <c r="M489" s="48"/>
      <c r="N489" s="48"/>
      <c r="O489" s="48"/>
      <c r="P489" s="4"/>
      <c r="Q489" s="4"/>
      <c r="R489" s="4"/>
      <c r="S489" s="4"/>
      <c r="T489" s="4"/>
      <c r="U489" s="4"/>
      <c r="V489" s="4"/>
      <c r="W489" s="4"/>
      <c r="X489" s="4"/>
      <c r="Y489" s="4"/>
      <c r="Z489" s="4"/>
      <c r="AA489" s="4"/>
    </row>
    <row r="490">
      <c r="A490" s="48"/>
      <c r="B490" s="48"/>
      <c r="C490" s="4"/>
      <c r="D490" s="4"/>
      <c r="E490" s="4"/>
      <c r="F490" s="48"/>
      <c r="G490" s="48"/>
      <c r="H490" s="48"/>
      <c r="I490" s="48"/>
      <c r="J490" s="48"/>
      <c r="K490" s="48"/>
      <c r="L490" s="48"/>
      <c r="M490" s="48"/>
      <c r="N490" s="48"/>
      <c r="O490" s="48"/>
      <c r="P490" s="4"/>
      <c r="Q490" s="4"/>
      <c r="R490" s="4"/>
      <c r="S490" s="4"/>
      <c r="T490" s="4"/>
      <c r="U490" s="4"/>
      <c r="V490" s="4"/>
      <c r="W490" s="4"/>
      <c r="X490" s="4"/>
      <c r="Y490" s="4"/>
      <c r="Z490" s="4"/>
      <c r="AA490" s="4"/>
    </row>
    <row r="491">
      <c r="A491" s="48"/>
      <c r="B491" s="48"/>
      <c r="C491" s="4"/>
      <c r="D491" s="4"/>
      <c r="E491" s="4"/>
      <c r="F491" s="48"/>
      <c r="G491" s="48"/>
      <c r="H491" s="48"/>
      <c r="I491" s="48"/>
      <c r="J491" s="48"/>
      <c r="K491" s="48"/>
      <c r="L491" s="48"/>
      <c r="M491" s="48"/>
      <c r="N491" s="48"/>
      <c r="O491" s="48"/>
      <c r="P491" s="4"/>
      <c r="Q491" s="4"/>
      <c r="R491" s="4"/>
      <c r="S491" s="4"/>
      <c r="T491" s="4"/>
      <c r="U491" s="4"/>
      <c r="V491" s="4"/>
      <c r="W491" s="4"/>
      <c r="X491" s="4"/>
      <c r="Y491" s="4"/>
      <c r="Z491" s="4"/>
      <c r="AA491" s="4"/>
    </row>
    <row r="492">
      <c r="A492" s="48"/>
      <c r="B492" s="48"/>
      <c r="C492" s="4"/>
      <c r="D492" s="4"/>
      <c r="E492" s="4"/>
      <c r="F492" s="48"/>
      <c r="G492" s="48"/>
      <c r="H492" s="48"/>
      <c r="I492" s="48"/>
      <c r="J492" s="48"/>
      <c r="K492" s="48"/>
      <c r="L492" s="48"/>
      <c r="M492" s="48"/>
      <c r="N492" s="48"/>
      <c r="O492" s="48"/>
      <c r="P492" s="4"/>
      <c r="Q492" s="4"/>
      <c r="R492" s="4"/>
      <c r="S492" s="4"/>
      <c r="T492" s="4"/>
      <c r="U492" s="4"/>
      <c r="V492" s="4"/>
      <c r="W492" s="4"/>
      <c r="X492" s="4"/>
      <c r="Y492" s="4"/>
      <c r="Z492" s="4"/>
      <c r="AA492" s="4"/>
    </row>
    <row r="493">
      <c r="A493" s="48"/>
      <c r="B493" s="48"/>
      <c r="C493" s="4"/>
      <c r="D493" s="4"/>
      <c r="E493" s="4"/>
      <c r="F493" s="48"/>
      <c r="G493" s="48"/>
      <c r="H493" s="48"/>
      <c r="I493" s="48"/>
      <c r="J493" s="48"/>
      <c r="K493" s="48"/>
      <c r="L493" s="48"/>
      <c r="M493" s="48"/>
      <c r="N493" s="48"/>
      <c r="O493" s="48"/>
      <c r="P493" s="4"/>
      <c r="Q493" s="4"/>
      <c r="R493" s="4"/>
      <c r="S493" s="4"/>
      <c r="T493" s="4"/>
      <c r="U493" s="4"/>
      <c r="V493" s="4"/>
      <c r="W493" s="4"/>
      <c r="X493" s="4"/>
      <c r="Y493" s="4"/>
      <c r="Z493" s="4"/>
      <c r="AA493" s="4"/>
    </row>
    <row r="494">
      <c r="A494" s="48"/>
      <c r="B494" s="48"/>
      <c r="C494" s="4"/>
      <c r="D494" s="4"/>
      <c r="E494" s="4"/>
      <c r="F494" s="48"/>
      <c r="G494" s="48"/>
      <c r="H494" s="48"/>
      <c r="I494" s="48"/>
      <c r="J494" s="48"/>
      <c r="K494" s="48"/>
      <c r="L494" s="48"/>
      <c r="M494" s="48"/>
      <c r="N494" s="48"/>
      <c r="O494" s="48"/>
      <c r="P494" s="4"/>
      <c r="Q494" s="4"/>
      <c r="R494" s="4"/>
      <c r="S494" s="4"/>
      <c r="T494" s="4"/>
      <c r="U494" s="4"/>
      <c r="V494" s="4"/>
      <c r="W494" s="4"/>
      <c r="X494" s="4"/>
      <c r="Y494" s="4"/>
      <c r="Z494" s="4"/>
      <c r="AA494" s="4"/>
    </row>
    <row r="495">
      <c r="A495" s="48"/>
      <c r="B495" s="48"/>
      <c r="C495" s="4"/>
      <c r="D495" s="4"/>
      <c r="E495" s="4"/>
      <c r="F495" s="48"/>
      <c r="G495" s="48"/>
      <c r="H495" s="48"/>
      <c r="I495" s="48"/>
      <c r="J495" s="48"/>
      <c r="K495" s="48"/>
      <c r="L495" s="48"/>
      <c r="M495" s="48"/>
      <c r="N495" s="48"/>
      <c r="O495" s="48"/>
      <c r="P495" s="4"/>
      <c r="Q495" s="4"/>
      <c r="R495" s="4"/>
      <c r="S495" s="4"/>
      <c r="T495" s="4"/>
      <c r="U495" s="4"/>
      <c r="V495" s="4"/>
      <c r="W495" s="4"/>
      <c r="X495" s="4"/>
      <c r="Y495" s="4"/>
      <c r="Z495" s="4"/>
      <c r="AA495" s="4"/>
    </row>
    <row r="496">
      <c r="A496" s="48"/>
      <c r="B496" s="48"/>
      <c r="C496" s="4"/>
      <c r="D496" s="4"/>
      <c r="E496" s="4"/>
      <c r="F496" s="48"/>
      <c r="G496" s="48"/>
      <c r="H496" s="48"/>
      <c r="I496" s="48"/>
      <c r="J496" s="48"/>
      <c r="K496" s="48"/>
      <c r="L496" s="48"/>
      <c r="M496" s="48"/>
      <c r="N496" s="48"/>
      <c r="O496" s="48"/>
      <c r="P496" s="4"/>
      <c r="Q496" s="4"/>
      <c r="R496" s="4"/>
      <c r="S496" s="4"/>
      <c r="T496" s="4"/>
      <c r="U496" s="4"/>
      <c r="V496" s="4"/>
      <c r="W496" s="4"/>
      <c r="X496" s="4"/>
      <c r="Y496" s="4"/>
      <c r="Z496" s="4"/>
      <c r="AA496" s="4"/>
    </row>
    <row r="497">
      <c r="A497" s="48"/>
      <c r="B497" s="48"/>
      <c r="C497" s="4"/>
      <c r="D497" s="4"/>
      <c r="E497" s="4"/>
      <c r="F497" s="48"/>
      <c r="G497" s="48"/>
      <c r="H497" s="48"/>
      <c r="I497" s="48"/>
      <c r="J497" s="48"/>
      <c r="K497" s="48"/>
      <c r="L497" s="48"/>
      <c r="M497" s="48"/>
      <c r="N497" s="48"/>
      <c r="O497" s="48"/>
      <c r="P497" s="4"/>
      <c r="Q497" s="4"/>
      <c r="R497" s="4"/>
      <c r="S497" s="4"/>
      <c r="T497" s="4"/>
      <c r="U497" s="4"/>
      <c r="V497" s="4"/>
      <c r="W497" s="4"/>
      <c r="X497" s="4"/>
      <c r="Y497" s="4"/>
      <c r="Z497" s="4"/>
      <c r="AA497" s="4"/>
    </row>
    <row r="498">
      <c r="A498" s="48"/>
      <c r="B498" s="48"/>
      <c r="C498" s="4"/>
      <c r="D498" s="4"/>
      <c r="E498" s="4"/>
      <c r="F498" s="48"/>
      <c r="G498" s="48"/>
      <c r="H498" s="48"/>
      <c r="I498" s="48"/>
      <c r="J498" s="48"/>
      <c r="K498" s="48"/>
      <c r="L498" s="48"/>
      <c r="M498" s="48"/>
      <c r="N498" s="48"/>
      <c r="O498" s="48"/>
      <c r="P498" s="4"/>
      <c r="Q498" s="4"/>
      <c r="R498" s="4"/>
      <c r="S498" s="4"/>
      <c r="T498" s="4"/>
      <c r="U498" s="4"/>
      <c r="V498" s="4"/>
      <c r="W498" s="4"/>
      <c r="X498" s="4"/>
      <c r="Y498" s="4"/>
      <c r="Z498" s="4"/>
      <c r="AA498" s="4"/>
    </row>
    <row r="499">
      <c r="A499" s="48"/>
      <c r="B499" s="48"/>
      <c r="C499" s="4"/>
      <c r="D499" s="4"/>
      <c r="E499" s="4"/>
      <c r="F499" s="48"/>
      <c r="G499" s="48"/>
      <c r="H499" s="48"/>
      <c r="I499" s="48"/>
      <c r="J499" s="48"/>
      <c r="K499" s="48"/>
      <c r="L499" s="48"/>
      <c r="M499" s="48"/>
      <c r="N499" s="48"/>
      <c r="O499" s="48"/>
      <c r="P499" s="4"/>
      <c r="Q499" s="4"/>
      <c r="R499" s="4"/>
      <c r="S499" s="4"/>
      <c r="T499" s="4"/>
      <c r="U499" s="4"/>
      <c r="V499" s="4"/>
      <c r="W499" s="4"/>
      <c r="X499" s="4"/>
      <c r="Y499" s="4"/>
      <c r="Z499" s="4"/>
      <c r="AA499" s="4"/>
    </row>
    <row r="500">
      <c r="A500" s="48"/>
      <c r="B500" s="48"/>
      <c r="C500" s="4"/>
      <c r="D500" s="4"/>
      <c r="E500" s="4"/>
      <c r="F500" s="48"/>
      <c r="G500" s="48"/>
      <c r="H500" s="48"/>
      <c r="I500" s="48"/>
      <c r="J500" s="48"/>
      <c r="K500" s="48"/>
      <c r="L500" s="48"/>
      <c r="M500" s="48"/>
      <c r="N500" s="48"/>
      <c r="O500" s="48"/>
      <c r="P500" s="4"/>
      <c r="Q500" s="4"/>
      <c r="R500" s="4"/>
      <c r="S500" s="4"/>
      <c r="T500" s="4"/>
      <c r="U500" s="4"/>
      <c r="V500" s="4"/>
      <c r="W500" s="4"/>
      <c r="X500" s="4"/>
      <c r="Y500" s="4"/>
      <c r="Z500" s="4"/>
      <c r="AA500" s="4"/>
    </row>
    <row r="501">
      <c r="A501" s="48"/>
      <c r="B501" s="48"/>
      <c r="C501" s="4"/>
      <c r="D501" s="4"/>
      <c r="E501" s="4"/>
      <c r="F501" s="48"/>
      <c r="G501" s="48"/>
      <c r="H501" s="48"/>
      <c r="I501" s="48"/>
      <c r="J501" s="48"/>
      <c r="K501" s="48"/>
      <c r="L501" s="48"/>
      <c r="M501" s="48"/>
      <c r="N501" s="48"/>
      <c r="O501" s="48"/>
      <c r="P501" s="4"/>
      <c r="Q501" s="4"/>
      <c r="R501" s="4"/>
      <c r="S501" s="4"/>
      <c r="T501" s="4"/>
      <c r="U501" s="4"/>
      <c r="V501" s="4"/>
      <c r="W501" s="4"/>
      <c r="X501" s="4"/>
      <c r="Y501" s="4"/>
      <c r="Z501" s="4"/>
      <c r="AA501" s="4"/>
    </row>
    <row r="502">
      <c r="A502" s="48"/>
      <c r="B502" s="48"/>
      <c r="C502" s="4"/>
      <c r="D502" s="4"/>
      <c r="E502" s="4"/>
      <c r="F502" s="48"/>
      <c r="G502" s="48"/>
      <c r="H502" s="48"/>
      <c r="I502" s="48"/>
      <c r="J502" s="48"/>
      <c r="K502" s="48"/>
      <c r="L502" s="48"/>
      <c r="M502" s="48"/>
      <c r="N502" s="48"/>
      <c r="O502" s="48"/>
      <c r="P502" s="4"/>
      <c r="Q502" s="4"/>
      <c r="R502" s="4"/>
      <c r="S502" s="4"/>
      <c r="T502" s="4"/>
      <c r="U502" s="4"/>
      <c r="V502" s="4"/>
      <c r="W502" s="4"/>
      <c r="X502" s="4"/>
      <c r="Y502" s="4"/>
      <c r="Z502" s="4"/>
      <c r="AA502" s="4"/>
    </row>
    <row r="503">
      <c r="A503" s="48"/>
      <c r="B503" s="48"/>
      <c r="C503" s="4"/>
      <c r="D503" s="4"/>
      <c r="E503" s="4"/>
      <c r="F503" s="48"/>
      <c r="G503" s="48"/>
      <c r="H503" s="48"/>
      <c r="I503" s="48"/>
      <c r="J503" s="48"/>
      <c r="K503" s="48"/>
      <c r="L503" s="48"/>
      <c r="M503" s="48"/>
      <c r="N503" s="48"/>
      <c r="O503" s="48"/>
      <c r="P503" s="4"/>
      <c r="Q503" s="4"/>
      <c r="R503" s="4"/>
      <c r="S503" s="4"/>
      <c r="T503" s="4"/>
      <c r="U503" s="4"/>
      <c r="V503" s="4"/>
      <c r="W503" s="4"/>
      <c r="X503" s="4"/>
      <c r="Y503" s="4"/>
      <c r="Z503" s="4"/>
      <c r="AA503" s="4"/>
    </row>
    <row r="504">
      <c r="A504" s="48"/>
      <c r="B504" s="48"/>
      <c r="C504" s="4"/>
      <c r="D504" s="4"/>
      <c r="E504" s="4"/>
      <c r="F504" s="48"/>
      <c r="G504" s="48"/>
      <c r="H504" s="48"/>
      <c r="I504" s="48"/>
      <c r="J504" s="48"/>
      <c r="K504" s="48"/>
      <c r="L504" s="48"/>
      <c r="M504" s="48"/>
      <c r="N504" s="48"/>
      <c r="O504" s="48"/>
      <c r="P504" s="4"/>
      <c r="Q504" s="4"/>
      <c r="R504" s="4"/>
      <c r="S504" s="4"/>
      <c r="T504" s="4"/>
      <c r="U504" s="4"/>
      <c r="V504" s="4"/>
      <c r="W504" s="4"/>
      <c r="X504" s="4"/>
      <c r="Y504" s="4"/>
      <c r="Z504" s="4"/>
      <c r="AA504" s="4"/>
    </row>
    <row r="505">
      <c r="A505" s="48"/>
      <c r="B505" s="48"/>
      <c r="C505" s="4"/>
      <c r="D505" s="4"/>
      <c r="E505" s="4"/>
      <c r="F505" s="48"/>
      <c r="G505" s="48"/>
      <c r="H505" s="48"/>
      <c r="I505" s="48"/>
      <c r="J505" s="48"/>
      <c r="K505" s="48"/>
      <c r="L505" s="48"/>
      <c r="M505" s="48"/>
      <c r="N505" s="48"/>
      <c r="O505" s="48"/>
      <c r="P505" s="4"/>
      <c r="Q505" s="4"/>
      <c r="R505" s="4"/>
      <c r="S505" s="4"/>
      <c r="T505" s="4"/>
      <c r="U505" s="4"/>
      <c r="V505" s="4"/>
      <c r="W505" s="4"/>
      <c r="X505" s="4"/>
      <c r="Y505" s="4"/>
      <c r="Z505" s="4"/>
      <c r="AA505" s="4"/>
    </row>
    <row r="506">
      <c r="A506" s="48"/>
      <c r="B506" s="48"/>
      <c r="C506" s="4"/>
      <c r="D506" s="4"/>
      <c r="E506" s="4"/>
      <c r="F506" s="48"/>
      <c r="G506" s="48"/>
      <c r="H506" s="48"/>
      <c r="I506" s="48"/>
      <c r="J506" s="48"/>
      <c r="K506" s="48"/>
      <c r="L506" s="48"/>
      <c r="M506" s="48"/>
      <c r="N506" s="48"/>
      <c r="O506" s="48"/>
      <c r="P506" s="4"/>
      <c r="Q506" s="4"/>
      <c r="R506" s="4"/>
      <c r="S506" s="4"/>
      <c r="T506" s="4"/>
      <c r="U506" s="4"/>
      <c r="V506" s="4"/>
      <c r="W506" s="4"/>
      <c r="X506" s="4"/>
      <c r="Y506" s="4"/>
      <c r="Z506" s="4"/>
      <c r="AA506" s="4"/>
    </row>
    <row r="507">
      <c r="A507" s="48"/>
      <c r="B507" s="48"/>
      <c r="C507" s="4"/>
      <c r="D507" s="4"/>
      <c r="E507" s="4"/>
      <c r="F507" s="48"/>
      <c r="G507" s="48"/>
      <c r="H507" s="48"/>
      <c r="I507" s="48"/>
      <c r="J507" s="48"/>
      <c r="K507" s="48"/>
      <c r="L507" s="48"/>
      <c r="M507" s="48"/>
      <c r="N507" s="48"/>
      <c r="O507" s="48"/>
      <c r="P507" s="4"/>
      <c r="Q507" s="4"/>
      <c r="R507" s="4"/>
      <c r="S507" s="4"/>
      <c r="T507" s="4"/>
      <c r="U507" s="4"/>
      <c r="V507" s="4"/>
      <c r="W507" s="4"/>
      <c r="X507" s="4"/>
      <c r="Y507" s="4"/>
      <c r="Z507" s="4"/>
      <c r="AA507" s="4"/>
    </row>
    <row r="508">
      <c r="A508" s="48"/>
      <c r="B508" s="48"/>
      <c r="C508" s="4"/>
      <c r="D508" s="4"/>
      <c r="E508" s="4"/>
      <c r="F508" s="48"/>
      <c r="G508" s="48"/>
      <c r="H508" s="48"/>
      <c r="I508" s="48"/>
      <c r="J508" s="48"/>
      <c r="K508" s="48"/>
      <c r="L508" s="48"/>
      <c r="M508" s="48"/>
      <c r="N508" s="48"/>
      <c r="O508" s="48"/>
      <c r="P508" s="4"/>
      <c r="Q508" s="4"/>
      <c r="R508" s="4"/>
      <c r="S508" s="4"/>
      <c r="T508" s="4"/>
      <c r="U508" s="4"/>
      <c r="V508" s="4"/>
      <c r="W508" s="4"/>
      <c r="X508" s="4"/>
      <c r="Y508" s="4"/>
      <c r="Z508" s="4"/>
      <c r="AA508" s="4"/>
    </row>
    <row r="509">
      <c r="A509" s="48"/>
      <c r="B509" s="48"/>
      <c r="C509" s="4"/>
      <c r="D509" s="4"/>
      <c r="E509" s="4"/>
      <c r="F509" s="48"/>
      <c r="G509" s="48"/>
      <c r="H509" s="48"/>
      <c r="I509" s="48"/>
      <c r="J509" s="48"/>
      <c r="K509" s="48"/>
      <c r="L509" s="48"/>
      <c r="M509" s="48"/>
      <c r="N509" s="48"/>
      <c r="O509" s="48"/>
      <c r="P509" s="4"/>
      <c r="Q509" s="4"/>
      <c r="R509" s="4"/>
      <c r="S509" s="4"/>
      <c r="T509" s="4"/>
      <c r="U509" s="4"/>
      <c r="V509" s="4"/>
      <c r="W509" s="4"/>
      <c r="X509" s="4"/>
      <c r="Y509" s="4"/>
      <c r="Z509" s="4"/>
      <c r="AA509" s="4"/>
    </row>
    <row r="510">
      <c r="A510" s="48"/>
      <c r="B510" s="48"/>
      <c r="C510" s="4"/>
      <c r="D510" s="4"/>
      <c r="E510" s="4"/>
      <c r="F510" s="48"/>
      <c r="G510" s="48"/>
      <c r="H510" s="48"/>
      <c r="I510" s="48"/>
      <c r="J510" s="48"/>
      <c r="K510" s="48"/>
      <c r="L510" s="48"/>
      <c r="M510" s="48"/>
      <c r="N510" s="48"/>
      <c r="O510" s="48"/>
      <c r="P510" s="4"/>
      <c r="Q510" s="4"/>
      <c r="R510" s="4"/>
      <c r="S510" s="4"/>
      <c r="T510" s="4"/>
      <c r="U510" s="4"/>
      <c r="V510" s="4"/>
      <c r="W510" s="4"/>
      <c r="X510" s="4"/>
      <c r="Y510" s="4"/>
      <c r="Z510" s="4"/>
      <c r="AA510" s="4"/>
    </row>
    <row r="511">
      <c r="A511" s="48"/>
      <c r="B511" s="48"/>
      <c r="C511" s="4"/>
      <c r="D511" s="4"/>
      <c r="E511" s="4"/>
      <c r="F511" s="48"/>
      <c r="G511" s="48"/>
      <c r="H511" s="48"/>
      <c r="I511" s="48"/>
      <c r="J511" s="48"/>
      <c r="K511" s="48"/>
      <c r="L511" s="48"/>
      <c r="M511" s="48"/>
      <c r="N511" s="48"/>
      <c r="O511" s="48"/>
      <c r="P511" s="4"/>
      <c r="Q511" s="4"/>
      <c r="R511" s="4"/>
      <c r="S511" s="4"/>
      <c r="T511" s="4"/>
      <c r="U511" s="4"/>
      <c r="V511" s="4"/>
      <c r="W511" s="4"/>
      <c r="X511" s="4"/>
      <c r="Y511" s="4"/>
      <c r="Z511" s="4"/>
      <c r="AA511" s="4"/>
    </row>
    <row r="512">
      <c r="A512" s="48"/>
      <c r="B512" s="48"/>
      <c r="C512" s="4"/>
      <c r="D512" s="4"/>
      <c r="E512" s="4"/>
      <c r="F512" s="48"/>
      <c r="G512" s="48"/>
      <c r="H512" s="48"/>
      <c r="I512" s="48"/>
      <c r="J512" s="48"/>
      <c r="K512" s="48"/>
      <c r="L512" s="48"/>
      <c r="M512" s="48"/>
      <c r="N512" s="48"/>
      <c r="O512" s="48"/>
      <c r="P512" s="4"/>
      <c r="Q512" s="4"/>
      <c r="R512" s="4"/>
      <c r="S512" s="4"/>
      <c r="T512" s="4"/>
      <c r="U512" s="4"/>
      <c r="V512" s="4"/>
      <c r="W512" s="4"/>
      <c r="X512" s="4"/>
      <c r="Y512" s="4"/>
      <c r="Z512" s="4"/>
      <c r="AA512" s="4"/>
    </row>
    <row r="513">
      <c r="A513" s="48"/>
      <c r="B513" s="48"/>
      <c r="C513" s="4"/>
      <c r="D513" s="4"/>
      <c r="E513" s="4"/>
      <c r="F513" s="48"/>
      <c r="G513" s="48"/>
      <c r="H513" s="48"/>
      <c r="I513" s="48"/>
      <c r="J513" s="48"/>
      <c r="K513" s="48"/>
      <c r="L513" s="48"/>
      <c r="M513" s="48"/>
      <c r="N513" s="48"/>
      <c r="O513" s="48"/>
      <c r="P513" s="4"/>
      <c r="Q513" s="4"/>
      <c r="R513" s="4"/>
      <c r="S513" s="4"/>
      <c r="T513" s="4"/>
      <c r="U513" s="4"/>
      <c r="V513" s="4"/>
      <c r="W513" s="4"/>
      <c r="X513" s="4"/>
      <c r="Y513" s="4"/>
      <c r="Z513" s="4"/>
      <c r="AA513" s="4"/>
    </row>
    <row r="514">
      <c r="A514" s="48"/>
      <c r="B514" s="48"/>
      <c r="C514" s="4"/>
      <c r="D514" s="4"/>
      <c r="E514" s="4"/>
      <c r="F514" s="48"/>
      <c r="G514" s="48"/>
      <c r="H514" s="48"/>
      <c r="I514" s="48"/>
      <c r="J514" s="48"/>
      <c r="K514" s="48"/>
      <c r="L514" s="48"/>
      <c r="M514" s="48"/>
      <c r="N514" s="48"/>
      <c r="O514" s="48"/>
      <c r="P514" s="4"/>
      <c r="Q514" s="4"/>
      <c r="R514" s="4"/>
      <c r="S514" s="4"/>
      <c r="T514" s="4"/>
      <c r="U514" s="4"/>
      <c r="V514" s="4"/>
      <c r="W514" s="4"/>
      <c r="X514" s="4"/>
      <c r="Y514" s="4"/>
      <c r="Z514" s="4"/>
      <c r="AA514" s="4"/>
    </row>
    <row r="515">
      <c r="A515" s="48"/>
      <c r="B515" s="48"/>
      <c r="C515" s="4"/>
      <c r="D515" s="4"/>
      <c r="E515" s="4"/>
      <c r="F515" s="48"/>
      <c r="G515" s="48"/>
      <c r="H515" s="48"/>
      <c r="I515" s="48"/>
      <c r="J515" s="48"/>
      <c r="K515" s="48"/>
      <c r="L515" s="48"/>
      <c r="M515" s="48"/>
      <c r="N515" s="48"/>
      <c r="O515" s="48"/>
      <c r="P515" s="4"/>
      <c r="Q515" s="4"/>
      <c r="R515" s="4"/>
      <c r="S515" s="4"/>
      <c r="T515" s="4"/>
      <c r="U515" s="4"/>
      <c r="V515" s="4"/>
      <c r="W515" s="4"/>
      <c r="X515" s="4"/>
      <c r="Y515" s="4"/>
      <c r="Z515" s="4"/>
      <c r="AA515" s="4"/>
    </row>
    <row r="516">
      <c r="A516" s="48"/>
      <c r="B516" s="48"/>
      <c r="C516" s="4"/>
      <c r="D516" s="4"/>
      <c r="E516" s="4"/>
      <c r="F516" s="48"/>
      <c r="G516" s="48"/>
      <c r="H516" s="48"/>
      <c r="I516" s="48"/>
      <c r="J516" s="48"/>
      <c r="K516" s="48"/>
      <c r="L516" s="48"/>
      <c r="M516" s="48"/>
      <c r="N516" s="48"/>
      <c r="O516" s="48"/>
      <c r="P516" s="4"/>
      <c r="Q516" s="4"/>
      <c r="R516" s="4"/>
      <c r="S516" s="4"/>
      <c r="T516" s="4"/>
      <c r="U516" s="4"/>
      <c r="V516" s="4"/>
      <c r="W516" s="4"/>
      <c r="X516" s="4"/>
      <c r="Y516" s="4"/>
      <c r="Z516" s="4"/>
      <c r="AA516" s="4"/>
    </row>
    <row r="517">
      <c r="A517" s="48"/>
      <c r="B517" s="48"/>
      <c r="C517" s="4"/>
      <c r="D517" s="4"/>
      <c r="E517" s="4"/>
      <c r="F517" s="48"/>
      <c r="G517" s="48"/>
      <c r="H517" s="48"/>
      <c r="I517" s="48"/>
      <c r="J517" s="48"/>
      <c r="K517" s="48"/>
      <c r="L517" s="48"/>
      <c r="M517" s="48"/>
      <c r="N517" s="48"/>
      <c r="O517" s="48"/>
      <c r="P517" s="4"/>
      <c r="Q517" s="4"/>
      <c r="R517" s="4"/>
      <c r="S517" s="4"/>
      <c r="T517" s="4"/>
      <c r="U517" s="4"/>
      <c r="V517" s="4"/>
      <c r="W517" s="4"/>
      <c r="X517" s="4"/>
      <c r="Y517" s="4"/>
      <c r="Z517" s="4"/>
      <c r="AA517" s="4"/>
    </row>
    <row r="518">
      <c r="A518" s="48"/>
      <c r="B518" s="48"/>
      <c r="C518" s="4"/>
      <c r="D518" s="4"/>
      <c r="E518" s="4"/>
      <c r="F518" s="48"/>
      <c r="G518" s="48"/>
      <c r="H518" s="48"/>
      <c r="I518" s="48"/>
      <c r="J518" s="48"/>
      <c r="K518" s="48"/>
      <c r="L518" s="48"/>
      <c r="M518" s="48"/>
      <c r="N518" s="48"/>
      <c r="O518" s="48"/>
      <c r="P518" s="4"/>
      <c r="Q518" s="4"/>
      <c r="R518" s="4"/>
      <c r="S518" s="4"/>
      <c r="T518" s="4"/>
      <c r="U518" s="4"/>
      <c r="V518" s="4"/>
      <c r="W518" s="4"/>
      <c r="X518" s="4"/>
      <c r="Y518" s="4"/>
      <c r="Z518" s="4"/>
      <c r="AA518" s="4"/>
    </row>
    <row r="519">
      <c r="A519" s="48"/>
      <c r="B519" s="48"/>
      <c r="C519" s="4"/>
      <c r="D519" s="4"/>
      <c r="E519" s="4"/>
      <c r="F519" s="48"/>
      <c r="G519" s="48"/>
      <c r="H519" s="48"/>
      <c r="I519" s="48"/>
      <c r="J519" s="48"/>
      <c r="K519" s="48"/>
      <c r="L519" s="48"/>
      <c r="M519" s="48"/>
      <c r="N519" s="48"/>
      <c r="O519" s="48"/>
      <c r="P519" s="4"/>
      <c r="Q519" s="4"/>
      <c r="R519" s="4"/>
      <c r="S519" s="4"/>
      <c r="T519" s="4"/>
      <c r="U519" s="4"/>
      <c r="V519" s="4"/>
      <c r="W519" s="4"/>
      <c r="X519" s="4"/>
      <c r="Y519" s="4"/>
      <c r="Z519" s="4"/>
      <c r="AA519" s="4"/>
    </row>
    <row r="520">
      <c r="A520" s="48"/>
      <c r="B520" s="48"/>
      <c r="C520" s="4"/>
      <c r="D520" s="4"/>
      <c r="E520" s="4"/>
      <c r="F520" s="48"/>
      <c r="G520" s="48"/>
      <c r="H520" s="48"/>
      <c r="I520" s="48"/>
      <c r="J520" s="48"/>
      <c r="K520" s="48"/>
      <c r="L520" s="48"/>
      <c r="M520" s="48"/>
      <c r="N520" s="48"/>
      <c r="O520" s="48"/>
      <c r="P520" s="4"/>
      <c r="Q520" s="4"/>
      <c r="R520" s="4"/>
      <c r="S520" s="4"/>
      <c r="T520" s="4"/>
      <c r="U520" s="4"/>
      <c r="V520" s="4"/>
      <c r="W520" s="4"/>
      <c r="X520" s="4"/>
      <c r="Y520" s="4"/>
      <c r="Z520" s="4"/>
      <c r="AA520" s="4"/>
    </row>
    <row r="521">
      <c r="A521" s="48"/>
      <c r="B521" s="48"/>
      <c r="C521" s="4"/>
      <c r="D521" s="4"/>
      <c r="E521" s="4"/>
      <c r="F521" s="48"/>
      <c r="G521" s="48"/>
      <c r="H521" s="48"/>
      <c r="I521" s="48"/>
      <c r="J521" s="48"/>
      <c r="K521" s="48"/>
      <c r="L521" s="48"/>
      <c r="M521" s="48"/>
      <c r="N521" s="48"/>
      <c r="O521" s="48"/>
      <c r="P521" s="4"/>
      <c r="Q521" s="4"/>
      <c r="R521" s="4"/>
      <c r="S521" s="4"/>
      <c r="T521" s="4"/>
      <c r="U521" s="4"/>
      <c r="V521" s="4"/>
      <c r="W521" s="4"/>
      <c r="X521" s="4"/>
      <c r="Y521" s="4"/>
      <c r="Z521" s="4"/>
      <c r="AA521" s="4"/>
    </row>
    <row r="522">
      <c r="A522" s="48"/>
      <c r="B522" s="48"/>
      <c r="C522" s="4"/>
      <c r="D522" s="4"/>
      <c r="E522" s="4"/>
      <c r="F522" s="48"/>
      <c r="G522" s="48"/>
      <c r="H522" s="48"/>
      <c r="I522" s="48"/>
      <c r="J522" s="48"/>
      <c r="K522" s="48"/>
      <c r="L522" s="48"/>
      <c r="M522" s="48"/>
      <c r="N522" s="48"/>
      <c r="O522" s="48"/>
      <c r="P522" s="4"/>
      <c r="Q522" s="4"/>
      <c r="R522" s="4"/>
      <c r="S522" s="4"/>
      <c r="T522" s="4"/>
      <c r="U522" s="4"/>
      <c r="V522" s="4"/>
      <c r="W522" s="4"/>
      <c r="X522" s="4"/>
      <c r="Y522" s="4"/>
      <c r="Z522" s="4"/>
      <c r="AA522" s="4"/>
    </row>
    <row r="523">
      <c r="A523" s="48"/>
      <c r="B523" s="48"/>
      <c r="C523" s="4"/>
      <c r="D523" s="4"/>
      <c r="E523" s="4"/>
      <c r="F523" s="48"/>
      <c r="G523" s="48"/>
      <c r="H523" s="48"/>
      <c r="I523" s="48"/>
      <c r="J523" s="48"/>
      <c r="K523" s="48"/>
      <c r="L523" s="48"/>
      <c r="M523" s="48"/>
      <c r="N523" s="48"/>
      <c r="O523" s="48"/>
      <c r="P523" s="4"/>
      <c r="Q523" s="4"/>
      <c r="R523" s="4"/>
      <c r="S523" s="4"/>
      <c r="T523" s="4"/>
      <c r="U523" s="4"/>
      <c r="V523" s="4"/>
      <c r="W523" s="4"/>
      <c r="X523" s="4"/>
      <c r="Y523" s="4"/>
      <c r="Z523" s="4"/>
      <c r="AA523" s="4"/>
    </row>
    <row r="524">
      <c r="A524" s="48"/>
      <c r="B524" s="48"/>
      <c r="C524" s="4"/>
      <c r="D524" s="4"/>
      <c r="E524" s="4"/>
      <c r="F524" s="48"/>
      <c r="G524" s="48"/>
      <c r="H524" s="48"/>
      <c r="I524" s="48"/>
      <c r="J524" s="48"/>
      <c r="K524" s="48"/>
      <c r="L524" s="48"/>
      <c r="M524" s="48"/>
      <c r="N524" s="48"/>
      <c r="O524" s="48"/>
      <c r="P524" s="4"/>
      <c r="Q524" s="4"/>
      <c r="R524" s="4"/>
      <c r="S524" s="4"/>
      <c r="T524" s="4"/>
      <c r="U524" s="4"/>
      <c r="V524" s="4"/>
      <c r="W524" s="4"/>
      <c r="X524" s="4"/>
      <c r="Y524" s="4"/>
      <c r="Z524" s="4"/>
      <c r="AA524" s="4"/>
    </row>
    <row r="525">
      <c r="A525" s="48"/>
      <c r="B525" s="48"/>
      <c r="C525" s="4"/>
      <c r="D525" s="4"/>
      <c r="E525" s="4"/>
      <c r="F525" s="48"/>
      <c r="G525" s="48"/>
      <c r="H525" s="48"/>
      <c r="I525" s="48"/>
      <c r="J525" s="48"/>
      <c r="K525" s="48"/>
      <c r="L525" s="48"/>
      <c r="M525" s="48"/>
      <c r="N525" s="48"/>
      <c r="O525" s="48"/>
      <c r="P525" s="4"/>
      <c r="Q525" s="4"/>
      <c r="R525" s="4"/>
      <c r="S525" s="4"/>
      <c r="T525" s="4"/>
      <c r="U525" s="4"/>
      <c r="V525" s="4"/>
      <c r="W525" s="4"/>
      <c r="X525" s="4"/>
      <c r="Y525" s="4"/>
      <c r="Z525" s="4"/>
      <c r="AA525" s="4"/>
    </row>
    <row r="526">
      <c r="A526" s="48"/>
      <c r="B526" s="48"/>
      <c r="C526" s="4"/>
      <c r="D526" s="4"/>
      <c r="E526" s="4"/>
      <c r="F526" s="48"/>
      <c r="G526" s="48"/>
      <c r="H526" s="48"/>
      <c r="I526" s="48"/>
      <c r="J526" s="48"/>
      <c r="K526" s="48"/>
      <c r="L526" s="48"/>
      <c r="M526" s="48"/>
      <c r="N526" s="48"/>
      <c r="O526" s="48"/>
      <c r="P526" s="4"/>
      <c r="Q526" s="4"/>
      <c r="R526" s="4"/>
      <c r="S526" s="4"/>
      <c r="T526" s="4"/>
      <c r="U526" s="4"/>
      <c r="V526" s="4"/>
      <c r="W526" s="4"/>
      <c r="X526" s="4"/>
      <c r="Y526" s="4"/>
      <c r="Z526" s="4"/>
      <c r="AA526" s="4"/>
    </row>
    <row r="527">
      <c r="A527" s="48"/>
      <c r="B527" s="48"/>
      <c r="C527" s="4"/>
      <c r="D527" s="4"/>
      <c r="E527" s="4"/>
      <c r="F527" s="48"/>
      <c r="G527" s="48"/>
      <c r="H527" s="48"/>
      <c r="I527" s="48"/>
      <c r="J527" s="48"/>
      <c r="K527" s="48"/>
      <c r="L527" s="48"/>
      <c r="M527" s="48"/>
      <c r="N527" s="48"/>
      <c r="O527" s="48"/>
      <c r="P527" s="4"/>
      <c r="Q527" s="4"/>
      <c r="R527" s="4"/>
      <c r="S527" s="4"/>
      <c r="T527" s="4"/>
      <c r="U527" s="4"/>
      <c r="V527" s="4"/>
      <c r="W527" s="4"/>
      <c r="X527" s="4"/>
      <c r="Y527" s="4"/>
      <c r="Z527" s="4"/>
      <c r="AA527" s="4"/>
    </row>
    <row r="528">
      <c r="A528" s="48"/>
      <c r="B528" s="48"/>
      <c r="C528" s="4"/>
      <c r="D528" s="4"/>
      <c r="E528" s="4"/>
      <c r="F528" s="48"/>
      <c r="G528" s="48"/>
      <c r="H528" s="48"/>
      <c r="I528" s="48"/>
      <c r="J528" s="48"/>
      <c r="K528" s="48"/>
      <c r="L528" s="48"/>
      <c r="M528" s="48"/>
      <c r="N528" s="48"/>
      <c r="O528" s="48"/>
      <c r="P528" s="4"/>
      <c r="Q528" s="4"/>
      <c r="R528" s="4"/>
      <c r="S528" s="4"/>
      <c r="T528" s="4"/>
      <c r="U528" s="4"/>
      <c r="V528" s="4"/>
      <c r="W528" s="4"/>
      <c r="X528" s="4"/>
      <c r="Y528" s="4"/>
      <c r="Z528" s="4"/>
      <c r="AA528" s="4"/>
    </row>
    <row r="529">
      <c r="A529" s="48"/>
      <c r="B529" s="48"/>
      <c r="C529" s="4"/>
      <c r="D529" s="4"/>
      <c r="E529" s="4"/>
      <c r="F529" s="48"/>
      <c r="G529" s="48"/>
      <c r="H529" s="48"/>
      <c r="I529" s="48"/>
      <c r="J529" s="48"/>
      <c r="K529" s="48"/>
      <c r="L529" s="48"/>
      <c r="M529" s="48"/>
      <c r="N529" s="48"/>
      <c r="O529" s="48"/>
      <c r="P529" s="4"/>
      <c r="Q529" s="4"/>
      <c r="R529" s="4"/>
      <c r="S529" s="4"/>
      <c r="T529" s="4"/>
      <c r="U529" s="4"/>
      <c r="V529" s="4"/>
      <c r="W529" s="4"/>
      <c r="X529" s="4"/>
      <c r="Y529" s="4"/>
      <c r="Z529" s="4"/>
      <c r="AA529" s="4"/>
    </row>
    <row r="530">
      <c r="A530" s="48"/>
      <c r="B530" s="48"/>
      <c r="C530" s="4"/>
      <c r="D530" s="4"/>
      <c r="E530" s="4"/>
      <c r="F530" s="48"/>
      <c r="G530" s="48"/>
      <c r="H530" s="48"/>
      <c r="I530" s="48"/>
      <c r="J530" s="48"/>
      <c r="K530" s="48"/>
      <c r="L530" s="48"/>
      <c r="M530" s="48"/>
      <c r="N530" s="48"/>
      <c r="O530" s="48"/>
      <c r="P530" s="4"/>
      <c r="Q530" s="4"/>
      <c r="R530" s="4"/>
      <c r="S530" s="4"/>
      <c r="T530" s="4"/>
      <c r="U530" s="4"/>
      <c r="V530" s="4"/>
      <c r="W530" s="4"/>
      <c r="X530" s="4"/>
      <c r="Y530" s="4"/>
      <c r="Z530" s="4"/>
      <c r="AA530" s="4"/>
    </row>
    <row r="531">
      <c r="A531" s="48"/>
      <c r="B531" s="48"/>
      <c r="C531" s="4"/>
      <c r="D531" s="4"/>
      <c r="E531" s="4"/>
      <c r="F531" s="48"/>
      <c r="G531" s="48"/>
      <c r="H531" s="48"/>
      <c r="I531" s="48"/>
      <c r="J531" s="48"/>
      <c r="K531" s="48"/>
      <c r="L531" s="48"/>
      <c r="M531" s="48"/>
      <c r="N531" s="48"/>
      <c r="O531" s="48"/>
      <c r="P531" s="4"/>
      <c r="Q531" s="4"/>
      <c r="R531" s="4"/>
      <c r="S531" s="4"/>
      <c r="T531" s="4"/>
      <c r="U531" s="4"/>
      <c r="V531" s="4"/>
      <c r="W531" s="4"/>
      <c r="X531" s="4"/>
      <c r="Y531" s="4"/>
      <c r="Z531" s="4"/>
      <c r="AA531" s="4"/>
    </row>
    <row r="532">
      <c r="A532" s="48"/>
      <c r="B532" s="48"/>
      <c r="C532" s="4"/>
      <c r="D532" s="4"/>
      <c r="E532" s="4"/>
      <c r="F532" s="48"/>
      <c r="G532" s="48"/>
      <c r="H532" s="48"/>
      <c r="I532" s="48"/>
      <c r="J532" s="48"/>
      <c r="K532" s="48"/>
      <c r="L532" s="48"/>
      <c r="M532" s="48"/>
      <c r="N532" s="48"/>
      <c r="O532" s="48"/>
      <c r="P532" s="4"/>
      <c r="Q532" s="4"/>
      <c r="R532" s="4"/>
      <c r="S532" s="4"/>
      <c r="T532" s="4"/>
      <c r="U532" s="4"/>
      <c r="V532" s="4"/>
      <c r="W532" s="4"/>
      <c r="X532" s="4"/>
      <c r="Y532" s="4"/>
      <c r="Z532" s="4"/>
      <c r="AA532" s="4"/>
    </row>
    <row r="533">
      <c r="A533" s="48"/>
      <c r="B533" s="48"/>
      <c r="C533" s="4"/>
      <c r="D533" s="4"/>
      <c r="E533" s="4"/>
      <c r="F533" s="48"/>
      <c r="G533" s="48"/>
      <c r="H533" s="48"/>
      <c r="I533" s="48"/>
      <c r="J533" s="48"/>
      <c r="K533" s="48"/>
      <c r="L533" s="48"/>
      <c r="M533" s="48"/>
      <c r="N533" s="48"/>
      <c r="O533" s="48"/>
      <c r="P533" s="4"/>
      <c r="Q533" s="4"/>
      <c r="R533" s="4"/>
      <c r="S533" s="4"/>
      <c r="T533" s="4"/>
      <c r="U533" s="4"/>
      <c r="V533" s="4"/>
      <c r="W533" s="4"/>
      <c r="X533" s="4"/>
      <c r="Y533" s="4"/>
      <c r="Z533" s="4"/>
      <c r="AA533" s="4"/>
    </row>
    <row r="534">
      <c r="A534" s="48"/>
      <c r="B534" s="48"/>
      <c r="C534" s="4"/>
      <c r="D534" s="4"/>
      <c r="E534" s="4"/>
      <c r="F534" s="48"/>
      <c r="G534" s="48"/>
      <c r="H534" s="48"/>
      <c r="I534" s="48"/>
      <c r="J534" s="48"/>
      <c r="K534" s="48"/>
      <c r="L534" s="48"/>
      <c r="M534" s="48"/>
      <c r="N534" s="48"/>
      <c r="O534" s="48"/>
      <c r="P534" s="4"/>
      <c r="Q534" s="4"/>
      <c r="R534" s="4"/>
      <c r="S534" s="4"/>
      <c r="T534" s="4"/>
      <c r="U534" s="4"/>
      <c r="V534" s="4"/>
      <c r="W534" s="4"/>
      <c r="X534" s="4"/>
      <c r="Y534" s="4"/>
      <c r="Z534" s="4"/>
      <c r="AA534" s="4"/>
    </row>
    <row r="535">
      <c r="A535" s="48"/>
      <c r="B535" s="48"/>
      <c r="C535" s="4"/>
      <c r="D535" s="4"/>
      <c r="E535" s="4"/>
      <c r="F535" s="48"/>
      <c r="G535" s="48"/>
      <c r="H535" s="48"/>
      <c r="I535" s="48"/>
      <c r="J535" s="48"/>
      <c r="K535" s="48"/>
      <c r="L535" s="48"/>
      <c r="M535" s="48"/>
      <c r="N535" s="48"/>
      <c r="O535" s="48"/>
      <c r="P535" s="4"/>
      <c r="Q535" s="4"/>
      <c r="R535" s="4"/>
      <c r="S535" s="4"/>
      <c r="T535" s="4"/>
      <c r="U535" s="4"/>
      <c r="V535" s="4"/>
      <c r="W535" s="4"/>
      <c r="X535" s="4"/>
      <c r="Y535" s="4"/>
      <c r="Z535" s="4"/>
      <c r="AA535" s="4"/>
    </row>
    <row r="536">
      <c r="A536" s="48"/>
      <c r="B536" s="48"/>
      <c r="C536" s="4"/>
      <c r="D536" s="4"/>
      <c r="E536" s="4"/>
      <c r="F536" s="48"/>
      <c r="G536" s="48"/>
      <c r="H536" s="48"/>
      <c r="I536" s="48"/>
      <c r="J536" s="48"/>
      <c r="K536" s="48"/>
      <c r="L536" s="48"/>
      <c r="M536" s="48"/>
      <c r="N536" s="48"/>
      <c r="O536" s="48"/>
      <c r="P536" s="4"/>
      <c r="Q536" s="4"/>
      <c r="R536" s="4"/>
      <c r="S536" s="4"/>
      <c r="T536" s="4"/>
      <c r="U536" s="4"/>
      <c r="V536" s="4"/>
      <c r="W536" s="4"/>
      <c r="X536" s="4"/>
      <c r="Y536" s="4"/>
      <c r="Z536" s="4"/>
      <c r="AA536" s="4"/>
    </row>
    <row r="537">
      <c r="A537" s="48"/>
      <c r="B537" s="48"/>
      <c r="C537" s="4"/>
      <c r="D537" s="4"/>
      <c r="E537" s="4"/>
      <c r="F537" s="48"/>
      <c r="G537" s="48"/>
      <c r="H537" s="48"/>
      <c r="I537" s="48"/>
      <c r="J537" s="48"/>
      <c r="K537" s="48"/>
      <c r="L537" s="48"/>
      <c r="M537" s="48"/>
      <c r="N537" s="48"/>
      <c r="O537" s="48"/>
      <c r="P537" s="4"/>
      <c r="Q537" s="4"/>
      <c r="R537" s="4"/>
      <c r="S537" s="4"/>
      <c r="T537" s="4"/>
      <c r="U537" s="4"/>
      <c r="V537" s="4"/>
      <c r="W537" s="4"/>
      <c r="X537" s="4"/>
      <c r="Y537" s="4"/>
      <c r="Z537" s="4"/>
      <c r="AA537" s="4"/>
    </row>
    <row r="538">
      <c r="A538" s="48"/>
      <c r="B538" s="48"/>
      <c r="C538" s="4"/>
      <c r="D538" s="4"/>
      <c r="E538" s="4"/>
      <c r="F538" s="48"/>
      <c r="G538" s="48"/>
      <c r="H538" s="48"/>
      <c r="I538" s="48"/>
      <c r="J538" s="48"/>
      <c r="K538" s="48"/>
      <c r="L538" s="48"/>
      <c r="M538" s="48"/>
      <c r="N538" s="48"/>
      <c r="O538" s="48"/>
      <c r="P538" s="4"/>
      <c r="Q538" s="4"/>
      <c r="R538" s="4"/>
      <c r="S538" s="4"/>
      <c r="T538" s="4"/>
      <c r="U538" s="4"/>
      <c r="V538" s="4"/>
      <c r="W538" s="4"/>
      <c r="X538" s="4"/>
      <c r="Y538" s="4"/>
      <c r="Z538" s="4"/>
      <c r="AA538" s="4"/>
    </row>
    <row r="539">
      <c r="A539" s="48"/>
      <c r="B539" s="48"/>
      <c r="C539" s="4"/>
      <c r="D539" s="4"/>
      <c r="E539" s="4"/>
      <c r="F539" s="48"/>
      <c r="G539" s="48"/>
      <c r="H539" s="48"/>
      <c r="I539" s="48"/>
      <c r="J539" s="48"/>
      <c r="K539" s="48"/>
      <c r="L539" s="48"/>
      <c r="M539" s="48"/>
      <c r="N539" s="48"/>
      <c r="O539" s="48"/>
      <c r="P539" s="4"/>
      <c r="Q539" s="4"/>
      <c r="R539" s="4"/>
      <c r="S539" s="4"/>
      <c r="T539" s="4"/>
      <c r="U539" s="4"/>
      <c r="V539" s="4"/>
      <c r="W539" s="4"/>
      <c r="X539" s="4"/>
      <c r="Y539" s="4"/>
      <c r="Z539" s="4"/>
      <c r="AA539" s="4"/>
    </row>
    <row r="540">
      <c r="A540" s="48"/>
      <c r="B540" s="48"/>
      <c r="C540" s="4"/>
      <c r="D540" s="4"/>
      <c r="E540" s="4"/>
      <c r="F540" s="48"/>
      <c r="G540" s="48"/>
      <c r="H540" s="48"/>
      <c r="I540" s="48"/>
      <c r="J540" s="48"/>
      <c r="K540" s="48"/>
      <c r="L540" s="48"/>
      <c r="M540" s="48"/>
      <c r="N540" s="48"/>
      <c r="O540" s="48"/>
      <c r="P540" s="4"/>
      <c r="Q540" s="4"/>
      <c r="R540" s="4"/>
      <c r="S540" s="4"/>
      <c r="T540" s="4"/>
      <c r="U540" s="4"/>
      <c r="V540" s="4"/>
      <c r="W540" s="4"/>
      <c r="X540" s="4"/>
      <c r="Y540" s="4"/>
      <c r="Z540" s="4"/>
      <c r="AA540" s="4"/>
    </row>
    <row r="541">
      <c r="A541" s="48"/>
      <c r="B541" s="48"/>
      <c r="C541" s="4"/>
      <c r="D541" s="4"/>
      <c r="E541" s="4"/>
      <c r="F541" s="48"/>
      <c r="G541" s="48"/>
      <c r="H541" s="48"/>
      <c r="I541" s="48"/>
      <c r="J541" s="48"/>
      <c r="K541" s="48"/>
      <c r="L541" s="48"/>
      <c r="M541" s="48"/>
      <c r="N541" s="48"/>
      <c r="O541" s="48"/>
      <c r="P541" s="4"/>
      <c r="Q541" s="4"/>
      <c r="R541" s="4"/>
      <c r="S541" s="4"/>
      <c r="T541" s="4"/>
      <c r="U541" s="4"/>
      <c r="V541" s="4"/>
      <c r="W541" s="4"/>
      <c r="X541" s="4"/>
      <c r="Y541" s="4"/>
      <c r="Z541" s="4"/>
      <c r="AA541" s="4"/>
    </row>
    <row r="542">
      <c r="A542" s="48"/>
      <c r="B542" s="48"/>
      <c r="C542" s="4"/>
      <c r="D542" s="4"/>
      <c r="E542" s="4"/>
      <c r="F542" s="48"/>
      <c r="G542" s="48"/>
      <c r="H542" s="48"/>
      <c r="I542" s="48"/>
      <c r="J542" s="48"/>
      <c r="K542" s="48"/>
      <c r="L542" s="48"/>
      <c r="M542" s="48"/>
      <c r="N542" s="48"/>
      <c r="O542" s="48"/>
      <c r="P542" s="4"/>
      <c r="Q542" s="4"/>
      <c r="R542" s="4"/>
      <c r="S542" s="4"/>
      <c r="T542" s="4"/>
      <c r="U542" s="4"/>
      <c r="V542" s="4"/>
      <c r="W542" s="4"/>
      <c r="X542" s="4"/>
      <c r="Y542" s="4"/>
      <c r="Z542" s="4"/>
      <c r="AA542" s="4"/>
    </row>
    <row r="543">
      <c r="A543" s="48"/>
      <c r="B543" s="48"/>
      <c r="C543" s="4"/>
      <c r="D543" s="4"/>
      <c r="E543" s="4"/>
      <c r="F543" s="48"/>
      <c r="G543" s="48"/>
      <c r="H543" s="48"/>
      <c r="I543" s="48"/>
      <c r="J543" s="48"/>
      <c r="K543" s="48"/>
      <c r="L543" s="48"/>
      <c r="M543" s="48"/>
      <c r="N543" s="48"/>
      <c r="O543" s="48"/>
      <c r="P543" s="4"/>
      <c r="Q543" s="4"/>
      <c r="R543" s="4"/>
      <c r="S543" s="4"/>
      <c r="T543" s="4"/>
      <c r="U543" s="4"/>
      <c r="V543" s="4"/>
      <c r="W543" s="4"/>
      <c r="X543" s="4"/>
      <c r="Y543" s="4"/>
      <c r="Z543" s="4"/>
      <c r="AA543" s="4"/>
    </row>
    <row r="544">
      <c r="A544" s="48"/>
      <c r="B544" s="48"/>
      <c r="C544" s="4"/>
      <c r="D544" s="4"/>
      <c r="E544" s="4"/>
      <c r="F544" s="48"/>
      <c r="G544" s="48"/>
      <c r="H544" s="48"/>
      <c r="I544" s="48"/>
      <c r="J544" s="48"/>
      <c r="K544" s="48"/>
      <c r="L544" s="48"/>
      <c r="M544" s="48"/>
      <c r="N544" s="48"/>
      <c r="O544" s="48"/>
      <c r="P544" s="4"/>
      <c r="Q544" s="4"/>
      <c r="R544" s="4"/>
      <c r="S544" s="4"/>
      <c r="T544" s="4"/>
      <c r="U544" s="4"/>
      <c r="V544" s="4"/>
      <c r="W544" s="4"/>
      <c r="X544" s="4"/>
      <c r="Y544" s="4"/>
      <c r="Z544" s="4"/>
      <c r="AA544" s="4"/>
    </row>
    <row r="545">
      <c r="A545" s="48"/>
      <c r="B545" s="48"/>
      <c r="C545" s="4"/>
      <c r="D545" s="4"/>
      <c r="E545" s="4"/>
      <c r="F545" s="48"/>
      <c r="G545" s="48"/>
      <c r="H545" s="48"/>
      <c r="I545" s="48"/>
      <c r="J545" s="48"/>
      <c r="K545" s="48"/>
      <c r="L545" s="48"/>
      <c r="M545" s="48"/>
      <c r="N545" s="48"/>
      <c r="O545" s="48"/>
      <c r="P545" s="4"/>
      <c r="Q545" s="4"/>
      <c r="R545" s="4"/>
      <c r="S545" s="4"/>
      <c r="T545" s="4"/>
      <c r="U545" s="4"/>
      <c r="V545" s="4"/>
      <c r="W545" s="4"/>
      <c r="X545" s="4"/>
      <c r="Y545" s="4"/>
      <c r="Z545" s="4"/>
      <c r="AA545" s="4"/>
    </row>
    <row r="546">
      <c r="A546" s="48"/>
      <c r="B546" s="48"/>
      <c r="C546" s="4"/>
      <c r="D546" s="4"/>
      <c r="E546" s="4"/>
      <c r="F546" s="48"/>
      <c r="G546" s="48"/>
      <c r="H546" s="48"/>
      <c r="I546" s="48"/>
      <c r="J546" s="48"/>
      <c r="K546" s="48"/>
      <c r="L546" s="48"/>
      <c r="M546" s="48"/>
      <c r="N546" s="48"/>
      <c r="O546" s="48"/>
      <c r="P546" s="4"/>
      <c r="Q546" s="4"/>
      <c r="R546" s="4"/>
      <c r="S546" s="4"/>
      <c r="T546" s="4"/>
      <c r="U546" s="4"/>
      <c r="V546" s="4"/>
      <c r="W546" s="4"/>
      <c r="X546" s="4"/>
      <c r="Y546" s="4"/>
      <c r="Z546" s="4"/>
      <c r="AA546" s="4"/>
    </row>
    <row r="547">
      <c r="A547" s="48"/>
      <c r="B547" s="48"/>
      <c r="C547" s="4"/>
      <c r="D547" s="4"/>
      <c r="E547" s="4"/>
      <c r="F547" s="48"/>
      <c r="G547" s="48"/>
      <c r="H547" s="48"/>
      <c r="I547" s="48"/>
      <c r="J547" s="48"/>
      <c r="K547" s="48"/>
      <c r="L547" s="48"/>
      <c r="M547" s="48"/>
      <c r="N547" s="48"/>
      <c r="O547" s="48"/>
      <c r="P547" s="4"/>
      <c r="Q547" s="4"/>
      <c r="R547" s="4"/>
      <c r="S547" s="4"/>
      <c r="T547" s="4"/>
      <c r="U547" s="4"/>
      <c r="V547" s="4"/>
      <c r="W547" s="4"/>
      <c r="X547" s="4"/>
      <c r="Y547" s="4"/>
      <c r="Z547" s="4"/>
      <c r="AA547" s="4"/>
    </row>
    <row r="548">
      <c r="A548" s="48"/>
      <c r="B548" s="48"/>
      <c r="C548" s="4"/>
      <c r="D548" s="4"/>
      <c r="E548" s="4"/>
      <c r="F548" s="48"/>
      <c r="G548" s="48"/>
      <c r="H548" s="48"/>
      <c r="I548" s="48"/>
      <c r="J548" s="48"/>
      <c r="K548" s="48"/>
      <c r="L548" s="48"/>
      <c r="M548" s="48"/>
      <c r="N548" s="48"/>
      <c r="O548" s="48"/>
      <c r="P548" s="4"/>
      <c r="Q548" s="4"/>
      <c r="R548" s="4"/>
      <c r="S548" s="4"/>
      <c r="T548" s="4"/>
      <c r="U548" s="4"/>
      <c r="V548" s="4"/>
      <c r="W548" s="4"/>
      <c r="X548" s="4"/>
      <c r="Y548" s="4"/>
      <c r="Z548" s="4"/>
      <c r="AA548" s="4"/>
    </row>
    <row r="549">
      <c r="A549" s="48"/>
      <c r="B549" s="48"/>
      <c r="C549" s="4"/>
      <c r="D549" s="4"/>
      <c r="E549" s="4"/>
      <c r="F549" s="48"/>
      <c r="G549" s="48"/>
      <c r="H549" s="48"/>
      <c r="I549" s="48"/>
      <c r="J549" s="48"/>
      <c r="K549" s="48"/>
      <c r="L549" s="48"/>
      <c r="M549" s="48"/>
      <c r="N549" s="48"/>
      <c r="O549" s="48"/>
      <c r="P549" s="4"/>
      <c r="Q549" s="4"/>
      <c r="R549" s="4"/>
      <c r="S549" s="4"/>
      <c r="T549" s="4"/>
      <c r="U549" s="4"/>
      <c r="V549" s="4"/>
      <c r="W549" s="4"/>
      <c r="X549" s="4"/>
      <c r="Y549" s="4"/>
      <c r="Z549" s="4"/>
      <c r="AA549" s="4"/>
    </row>
    <row r="550">
      <c r="A550" s="48"/>
      <c r="B550" s="48"/>
      <c r="C550" s="4"/>
      <c r="D550" s="4"/>
      <c r="E550" s="4"/>
      <c r="F550" s="48"/>
      <c r="G550" s="48"/>
      <c r="H550" s="48"/>
      <c r="I550" s="48"/>
      <c r="J550" s="48"/>
      <c r="K550" s="48"/>
      <c r="L550" s="48"/>
      <c r="M550" s="48"/>
      <c r="N550" s="48"/>
      <c r="O550" s="48"/>
      <c r="P550" s="4"/>
      <c r="Q550" s="4"/>
      <c r="R550" s="4"/>
      <c r="S550" s="4"/>
      <c r="T550" s="4"/>
      <c r="U550" s="4"/>
      <c r="V550" s="4"/>
      <c r="W550" s="4"/>
      <c r="X550" s="4"/>
      <c r="Y550" s="4"/>
      <c r="Z550" s="4"/>
      <c r="AA550" s="4"/>
    </row>
    <row r="551">
      <c r="A551" s="48"/>
      <c r="B551" s="48"/>
      <c r="C551" s="4"/>
      <c r="D551" s="4"/>
      <c r="E551" s="4"/>
      <c r="F551" s="48"/>
      <c r="G551" s="48"/>
      <c r="H551" s="48"/>
      <c r="I551" s="48"/>
      <c r="J551" s="48"/>
      <c r="K551" s="48"/>
      <c r="L551" s="48"/>
      <c r="M551" s="48"/>
      <c r="N551" s="48"/>
      <c r="O551" s="48"/>
      <c r="P551" s="4"/>
      <c r="Q551" s="4"/>
      <c r="R551" s="4"/>
      <c r="S551" s="4"/>
      <c r="T551" s="4"/>
      <c r="U551" s="4"/>
      <c r="V551" s="4"/>
      <c r="W551" s="4"/>
      <c r="X551" s="4"/>
      <c r="Y551" s="4"/>
      <c r="Z551" s="4"/>
      <c r="AA551" s="4"/>
    </row>
    <row r="552">
      <c r="A552" s="48"/>
      <c r="B552" s="48"/>
      <c r="C552" s="4"/>
      <c r="D552" s="4"/>
      <c r="E552" s="4"/>
      <c r="F552" s="48"/>
      <c r="G552" s="48"/>
      <c r="H552" s="48"/>
      <c r="I552" s="48"/>
      <c r="J552" s="48"/>
      <c r="K552" s="48"/>
      <c r="L552" s="48"/>
      <c r="M552" s="48"/>
      <c r="N552" s="48"/>
      <c r="O552" s="48"/>
      <c r="P552" s="4"/>
      <c r="Q552" s="4"/>
      <c r="R552" s="4"/>
      <c r="S552" s="4"/>
      <c r="T552" s="4"/>
      <c r="U552" s="4"/>
      <c r="V552" s="4"/>
      <c r="W552" s="4"/>
      <c r="X552" s="4"/>
      <c r="Y552" s="4"/>
      <c r="Z552" s="4"/>
      <c r="AA552" s="4"/>
    </row>
    <row r="553">
      <c r="A553" s="48"/>
      <c r="B553" s="48"/>
      <c r="C553" s="4"/>
      <c r="D553" s="4"/>
      <c r="E553" s="4"/>
      <c r="F553" s="48"/>
      <c r="G553" s="48"/>
      <c r="H553" s="48"/>
      <c r="I553" s="48"/>
      <c r="J553" s="48"/>
      <c r="K553" s="48"/>
      <c r="L553" s="48"/>
      <c r="M553" s="48"/>
      <c r="N553" s="48"/>
      <c r="O553" s="48"/>
      <c r="P553" s="4"/>
      <c r="Q553" s="4"/>
      <c r="R553" s="4"/>
      <c r="S553" s="4"/>
      <c r="T553" s="4"/>
      <c r="U553" s="4"/>
      <c r="V553" s="4"/>
      <c r="W553" s="4"/>
      <c r="X553" s="4"/>
      <c r="Y553" s="4"/>
      <c r="Z553" s="4"/>
      <c r="AA553" s="4"/>
    </row>
    <row r="554">
      <c r="A554" s="48"/>
      <c r="B554" s="48"/>
      <c r="C554" s="4"/>
      <c r="D554" s="4"/>
      <c r="E554" s="4"/>
      <c r="F554" s="48"/>
      <c r="G554" s="48"/>
      <c r="H554" s="48"/>
      <c r="I554" s="48"/>
      <c r="J554" s="48"/>
      <c r="K554" s="48"/>
      <c r="L554" s="48"/>
      <c r="M554" s="48"/>
      <c r="N554" s="48"/>
      <c r="O554" s="48"/>
      <c r="P554" s="4"/>
      <c r="Q554" s="4"/>
      <c r="R554" s="4"/>
      <c r="S554" s="4"/>
      <c r="T554" s="4"/>
      <c r="U554" s="4"/>
      <c r="V554" s="4"/>
      <c r="W554" s="4"/>
      <c r="X554" s="4"/>
      <c r="Y554" s="4"/>
      <c r="Z554" s="4"/>
      <c r="AA554" s="4"/>
    </row>
    <row r="555">
      <c r="A555" s="48"/>
      <c r="B555" s="48"/>
      <c r="C555" s="4"/>
      <c r="D555" s="4"/>
      <c r="E555" s="4"/>
      <c r="F555" s="48"/>
      <c r="G555" s="48"/>
      <c r="H555" s="48"/>
      <c r="I555" s="48"/>
      <c r="J555" s="48"/>
      <c r="K555" s="48"/>
      <c r="L555" s="48"/>
      <c r="M555" s="48"/>
      <c r="N555" s="48"/>
      <c r="O555" s="48"/>
      <c r="P555" s="4"/>
      <c r="Q555" s="4"/>
      <c r="R555" s="4"/>
      <c r="S555" s="4"/>
      <c r="T555" s="4"/>
      <c r="U555" s="4"/>
      <c r="V555" s="4"/>
      <c r="W555" s="4"/>
      <c r="X555" s="4"/>
      <c r="Y555" s="4"/>
      <c r="Z555" s="4"/>
      <c r="AA555" s="4"/>
    </row>
    <row r="556">
      <c r="A556" s="48"/>
      <c r="B556" s="48"/>
      <c r="C556" s="4"/>
      <c r="D556" s="4"/>
      <c r="E556" s="4"/>
      <c r="F556" s="48"/>
      <c r="G556" s="48"/>
      <c r="H556" s="48"/>
      <c r="I556" s="48"/>
      <c r="J556" s="48"/>
      <c r="K556" s="48"/>
      <c r="L556" s="48"/>
      <c r="M556" s="48"/>
      <c r="N556" s="48"/>
      <c r="O556" s="48"/>
      <c r="P556" s="4"/>
      <c r="Q556" s="4"/>
      <c r="R556" s="4"/>
      <c r="S556" s="4"/>
      <c r="T556" s="4"/>
      <c r="U556" s="4"/>
      <c r="V556" s="4"/>
      <c r="W556" s="4"/>
      <c r="X556" s="4"/>
      <c r="Y556" s="4"/>
      <c r="Z556" s="4"/>
      <c r="AA556" s="4"/>
    </row>
    <row r="557">
      <c r="A557" s="48"/>
      <c r="B557" s="48"/>
      <c r="C557" s="4"/>
      <c r="D557" s="4"/>
      <c r="E557" s="4"/>
      <c r="F557" s="48"/>
      <c r="G557" s="48"/>
      <c r="H557" s="48"/>
      <c r="I557" s="48"/>
      <c r="J557" s="48"/>
      <c r="K557" s="48"/>
      <c r="L557" s="48"/>
      <c r="M557" s="48"/>
      <c r="N557" s="48"/>
      <c r="O557" s="48"/>
      <c r="P557" s="4"/>
      <c r="Q557" s="4"/>
      <c r="R557" s="4"/>
      <c r="S557" s="4"/>
      <c r="T557" s="4"/>
      <c r="U557" s="4"/>
      <c r="V557" s="4"/>
      <c r="W557" s="4"/>
      <c r="X557" s="4"/>
      <c r="Y557" s="4"/>
      <c r="Z557" s="4"/>
      <c r="AA557" s="4"/>
    </row>
    <row r="558">
      <c r="A558" s="48"/>
      <c r="B558" s="48"/>
      <c r="C558" s="4"/>
      <c r="D558" s="4"/>
      <c r="E558" s="4"/>
      <c r="F558" s="48"/>
      <c r="G558" s="48"/>
      <c r="H558" s="48"/>
      <c r="I558" s="48"/>
      <c r="J558" s="48"/>
      <c r="K558" s="48"/>
      <c r="L558" s="48"/>
      <c r="M558" s="48"/>
      <c r="N558" s="48"/>
      <c r="O558" s="48"/>
      <c r="P558" s="4"/>
      <c r="Q558" s="4"/>
      <c r="R558" s="4"/>
      <c r="S558" s="4"/>
      <c r="T558" s="4"/>
      <c r="U558" s="4"/>
      <c r="V558" s="4"/>
      <c r="W558" s="4"/>
      <c r="X558" s="4"/>
      <c r="Y558" s="4"/>
      <c r="Z558" s="4"/>
      <c r="AA558" s="4"/>
    </row>
    <row r="559">
      <c r="A559" s="48"/>
      <c r="B559" s="48"/>
      <c r="C559" s="4"/>
      <c r="D559" s="4"/>
      <c r="E559" s="4"/>
      <c r="F559" s="48"/>
      <c r="G559" s="48"/>
      <c r="H559" s="48"/>
      <c r="I559" s="48"/>
      <c r="J559" s="48"/>
      <c r="K559" s="48"/>
      <c r="L559" s="48"/>
      <c r="M559" s="48"/>
      <c r="N559" s="48"/>
      <c r="O559" s="48"/>
      <c r="P559" s="4"/>
      <c r="Q559" s="4"/>
      <c r="R559" s="4"/>
      <c r="S559" s="4"/>
      <c r="T559" s="4"/>
      <c r="U559" s="4"/>
      <c r="V559" s="4"/>
      <c r="W559" s="4"/>
      <c r="X559" s="4"/>
      <c r="Y559" s="4"/>
      <c r="Z559" s="4"/>
      <c r="AA559" s="4"/>
    </row>
    <row r="560">
      <c r="A560" s="48"/>
      <c r="B560" s="48"/>
      <c r="C560" s="4"/>
      <c r="D560" s="4"/>
      <c r="E560" s="4"/>
      <c r="F560" s="48"/>
      <c r="G560" s="48"/>
      <c r="H560" s="48"/>
      <c r="I560" s="48"/>
      <c r="J560" s="48"/>
      <c r="K560" s="48"/>
      <c r="L560" s="48"/>
      <c r="M560" s="48"/>
      <c r="N560" s="48"/>
      <c r="O560" s="48"/>
      <c r="P560" s="4"/>
      <c r="Q560" s="4"/>
      <c r="R560" s="4"/>
      <c r="S560" s="4"/>
      <c r="T560" s="4"/>
      <c r="U560" s="4"/>
      <c r="V560" s="4"/>
      <c r="W560" s="4"/>
      <c r="X560" s="4"/>
      <c r="Y560" s="4"/>
      <c r="Z560" s="4"/>
      <c r="AA560" s="4"/>
    </row>
    <row r="561">
      <c r="A561" s="48"/>
      <c r="B561" s="48"/>
      <c r="C561" s="4"/>
      <c r="D561" s="4"/>
      <c r="E561" s="4"/>
      <c r="F561" s="48"/>
      <c r="G561" s="48"/>
      <c r="H561" s="48"/>
      <c r="I561" s="48"/>
      <c r="J561" s="48"/>
      <c r="K561" s="48"/>
      <c r="L561" s="48"/>
      <c r="M561" s="48"/>
      <c r="N561" s="48"/>
      <c r="O561" s="48"/>
      <c r="P561" s="4"/>
      <c r="Q561" s="4"/>
      <c r="R561" s="4"/>
      <c r="S561" s="4"/>
      <c r="T561" s="4"/>
      <c r="U561" s="4"/>
      <c r="V561" s="4"/>
      <c r="W561" s="4"/>
      <c r="X561" s="4"/>
      <c r="Y561" s="4"/>
      <c r="Z561" s="4"/>
      <c r="AA561" s="4"/>
    </row>
    <row r="562">
      <c r="A562" s="48"/>
      <c r="B562" s="48"/>
      <c r="C562" s="4"/>
      <c r="D562" s="4"/>
      <c r="E562" s="4"/>
      <c r="F562" s="48"/>
      <c r="G562" s="48"/>
      <c r="H562" s="48"/>
      <c r="I562" s="48"/>
      <c r="J562" s="48"/>
      <c r="K562" s="48"/>
      <c r="L562" s="48"/>
      <c r="M562" s="48"/>
      <c r="N562" s="48"/>
      <c r="O562" s="48"/>
      <c r="P562" s="4"/>
      <c r="Q562" s="4"/>
      <c r="R562" s="4"/>
      <c r="S562" s="4"/>
      <c r="T562" s="4"/>
      <c r="U562" s="4"/>
      <c r="V562" s="4"/>
      <c r="W562" s="4"/>
      <c r="X562" s="4"/>
      <c r="Y562" s="4"/>
      <c r="Z562" s="4"/>
      <c r="AA562" s="4"/>
    </row>
    <row r="563">
      <c r="A563" s="48"/>
      <c r="B563" s="48"/>
      <c r="C563" s="4"/>
      <c r="D563" s="4"/>
      <c r="E563" s="4"/>
      <c r="F563" s="48"/>
      <c r="G563" s="48"/>
      <c r="H563" s="48"/>
      <c r="I563" s="48"/>
      <c r="J563" s="48"/>
      <c r="K563" s="48"/>
      <c r="L563" s="48"/>
      <c r="M563" s="48"/>
      <c r="N563" s="48"/>
      <c r="O563" s="48"/>
      <c r="P563" s="4"/>
      <c r="Q563" s="4"/>
      <c r="R563" s="4"/>
      <c r="S563" s="4"/>
      <c r="T563" s="4"/>
      <c r="U563" s="4"/>
      <c r="V563" s="4"/>
      <c r="W563" s="4"/>
      <c r="X563" s="4"/>
      <c r="Y563" s="4"/>
      <c r="Z563" s="4"/>
      <c r="AA563" s="4"/>
    </row>
    <row r="564">
      <c r="A564" s="48"/>
      <c r="B564" s="48"/>
      <c r="C564" s="4"/>
      <c r="D564" s="4"/>
      <c r="E564" s="4"/>
      <c r="F564" s="48"/>
      <c r="G564" s="48"/>
      <c r="H564" s="48"/>
      <c r="I564" s="48"/>
      <c r="J564" s="48"/>
      <c r="K564" s="48"/>
      <c r="L564" s="48"/>
      <c r="M564" s="48"/>
      <c r="N564" s="48"/>
      <c r="O564" s="48"/>
      <c r="P564" s="4"/>
      <c r="Q564" s="4"/>
      <c r="R564" s="4"/>
      <c r="S564" s="4"/>
      <c r="T564" s="4"/>
      <c r="U564" s="4"/>
      <c r="V564" s="4"/>
      <c r="W564" s="4"/>
      <c r="X564" s="4"/>
      <c r="Y564" s="4"/>
      <c r="Z564" s="4"/>
      <c r="AA564" s="4"/>
    </row>
    <row r="565">
      <c r="A565" s="48"/>
      <c r="B565" s="48"/>
      <c r="C565" s="4"/>
      <c r="D565" s="4"/>
      <c r="E565" s="4"/>
      <c r="F565" s="48"/>
      <c r="G565" s="48"/>
      <c r="H565" s="48"/>
      <c r="I565" s="48"/>
      <c r="J565" s="48"/>
      <c r="K565" s="48"/>
      <c r="L565" s="48"/>
      <c r="M565" s="48"/>
      <c r="N565" s="48"/>
      <c r="O565" s="48"/>
      <c r="P565" s="4"/>
      <c r="Q565" s="4"/>
      <c r="R565" s="4"/>
      <c r="S565" s="4"/>
      <c r="T565" s="4"/>
      <c r="U565" s="4"/>
      <c r="V565" s="4"/>
      <c r="W565" s="4"/>
      <c r="X565" s="4"/>
      <c r="Y565" s="4"/>
      <c r="Z565" s="4"/>
      <c r="AA565" s="4"/>
    </row>
    <row r="566">
      <c r="A566" s="48"/>
      <c r="B566" s="48"/>
      <c r="C566" s="4"/>
      <c r="D566" s="4"/>
      <c r="E566" s="4"/>
      <c r="F566" s="48"/>
      <c r="G566" s="48"/>
      <c r="H566" s="48"/>
      <c r="I566" s="48"/>
      <c r="J566" s="48"/>
      <c r="K566" s="48"/>
      <c r="L566" s="48"/>
      <c r="M566" s="48"/>
      <c r="N566" s="48"/>
      <c r="O566" s="48"/>
      <c r="P566" s="4"/>
      <c r="Q566" s="4"/>
      <c r="R566" s="4"/>
      <c r="S566" s="4"/>
      <c r="T566" s="4"/>
      <c r="U566" s="4"/>
      <c r="V566" s="4"/>
      <c r="W566" s="4"/>
      <c r="X566" s="4"/>
      <c r="Y566" s="4"/>
      <c r="Z566" s="4"/>
      <c r="AA566" s="4"/>
    </row>
    <row r="567">
      <c r="A567" s="48"/>
      <c r="B567" s="48"/>
      <c r="C567" s="4"/>
      <c r="D567" s="4"/>
      <c r="E567" s="4"/>
      <c r="F567" s="48"/>
      <c r="G567" s="48"/>
      <c r="H567" s="48"/>
      <c r="I567" s="48"/>
      <c r="J567" s="48"/>
      <c r="K567" s="48"/>
      <c r="L567" s="48"/>
      <c r="M567" s="48"/>
      <c r="N567" s="48"/>
      <c r="O567" s="48"/>
      <c r="P567" s="4"/>
      <c r="Q567" s="4"/>
      <c r="R567" s="4"/>
      <c r="S567" s="4"/>
      <c r="T567" s="4"/>
      <c r="U567" s="4"/>
      <c r="V567" s="4"/>
      <c r="W567" s="4"/>
      <c r="X567" s="4"/>
      <c r="Y567" s="4"/>
      <c r="Z567" s="4"/>
      <c r="AA567" s="4"/>
    </row>
    <row r="568">
      <c r="A568" s="48"/>
      <c r="B568" s="48"/>
      <c r="C568" s="4"/>
      <c r="D568" s="4"/>
      <c r="E568" s="4"/>
      <c r="F568" s="48"/>
      <c r="G568" s="48"/>
      <c r="H568" s="48"/>
      <c r="I568" s="48"/>
      <c r="J568" s="48"/>
      <c r="K568" s="48"/>
      <c r="L568" s="48"/>
      <c r="M568" s="48"/>
      <c r="N568" s="48"/>
      <c r="O568" s="48"/>
      <c r="P568" s="4"/>
      <c r="Q568" s="4"/>
      <c r="R568" s="4"/>
      <c r="S568" s="4"/>
      <c r="T568" s="4"/>
      <c r="U568" s="4"/>
      <c r="V568" s="4"/>
      <c r="W568" s="4"/>
      <c r="X568" s="4"/>
      <c r="Y568" s="4"/>
      <c r="Z568" s="4"/>
      <c r="AA568" s="4"/>
    </row>
    <row r="569">
      <c r="A569" s="48"/>
      <c r="B569" s="48"/>
      <c r="C569" s="4"/>
      <c r="D569" s="4"/>
      <c r="E569" s="4"/>
      <c r="F569" s="48"/>
      <c r="G569" s="48"/>
      <c r="H569" s="48"/>
      <c r="I569" s="48"/>
      <c r="J569" s="48"/>
      <c r="K569" s="48"/>
      <c r="L569" s="48"/>
      <c r="M569" s="48"/>
      <c r="N569" s="48"/>
      <c r="O569" s="48"/>
      <c r="P569" s="4"/>
      <c r="Q569" s="4"/>
      <c r="R569" s="4"/>
      <c r="S569" s="4"/>
      <c r="T569" s="4"/>
      <c r="U569" s="4"/>
      <c r="V569" s="4"/>
      <c r="W569" s="4"/>
      <c r="X569" s="4"/>
      <c r="Y569" s="4"/>
      <c r="Z569" s="4"/>
      <c r="AA569" s="4"/>
    </row>
    <row r="570">
      <c r="A570" s="48"/>
      <c r="B570" s="48"/>
      <c r="C570" s="4"/>
      <c r="D570" s="4"/>
      <c r="E570" s="4"/>
      <c r="F570" s="48"/>
      <c r="G570" s="48"/>
      <c r="H570" s="48"/>
      <c r="I570" s="48"/>
      <c r="J570" s="48"/>
      <c r="K570" s="48"/>
      <c r="L570" s="48"/>
      <c r="M570" s="48"/>
      <c r="N570" s="48"/>
      <c r="O570" s="48"/>
      <c r="P570" s="4"/>
      <c r="Q570" s="4"/>
      <c r="R570" s="4"/>
      <c r="S570" s="4"/>
      <c r="T570" s="4"/>
      <c r="U570" s="4"/>
      <c r="V570" s="4"/>
      <c r="W570" s="4"/>
      <c r="X570" s="4"/>
      <c r="Y570" s="4"/>
      <c r="Z570" s="4"/>
      <c r="AA570" s="4"/>
    </row>
    <row r="571">
      <c r="A571" s="48"/>
      <c r="B571" s="48"/>
      <c r="C571" s="4"/>
      <c r="D571" s="4"/>
      <c r="E571" s="4"/>
      <c r="F571" s="48"/>
      <c r="G571" s="48"/>
      <c r="H571" s="48"/>
      <c r="I571" s="48"/>
      <c r="J571" s="48"/>
      <c r="K571" s="48"/>
      <c r="L571" s="48"/>
      <c r="M571" s="48"/>
      <c r="N571" s="48"/>
      <c r="O571" s="48"/>
      <c r="P571" s="4"/>
      <c r="Q571" s="4"/>
      <c r="R571" s="4"/>
      <c r="S571" s="4"/>
      <c r="T571" s="4"/>
      <c r="U571" s="4"/>
      <c r="V571" s="4"/>
      <c r="W571" s="4"/>
      <c r="X571" s="4"/>
      <c r="Y571" s="4"/>
      <c r="Z571" s="4"/>
      <c r="AA571" s="4"/>
    </row>
    <row r="572">
      <c r="A572" s="48"/>
      <c r="B572" s="48"/>
      <c r="C572" s="4"/>
      <c r="D572" s="4"/>
      <c r="E572" s="4"/>
      <c r="F572" s="48"/>
      <c r="G572" s="48"/>
      <c r="H572" s="48"/>
      <c r="I572" s="48"/>
      <c r="J572" s="48"/>
      <c r="K572" s="48"/>
      <c r="L572" s="48"/>
      <c r="M572" s="48"/>
      <c r="N572" s="48"/>
      <c r="O572" s="48"/>
      <c r="P572" s="4"/>
      <c r="Q572" s="4"/>
      <c r="R572" s="4"/>
      <c r="S572" s="4"/>
      <c r="T572" s="4"/>
      <c r="U572" s="4"/>
      <c r="V572" s="4"/>
      <c r="W572" s="4"/>
      <c r="X572" s="4"/>
      <c r="Y572" s="4"/>
      <c r="Z572" s="4"/>
      <c r="AA572" s="4"/>
    </row>
    <row r="573">
      <c r="A573" s="48"/>
      <c r="B573" s="48"/>
      <c r="C573" s="4"/>
      <c r="D573" s="4"/>
      <c r="E573" s="4"/>
      <c r="F573" s="48"/>
      <c r="G573" s="48"/>
      <c r="H573" s="48"/>
      <c r="I573" s="48"/>
      <c r="J573" s="48"/>
      <c r="K573" s="48"/>
      <c r="L573" s="48"/>
      <c r="M573" s="48"/>
      <c r="N573" s="48"/>
      <c r="O573" s="48"/>
      <c r="P573" s="4"/>
      <c r="Q573" s="4"/>
      <c r="R573" s="4"/>
      <c r="S573" s="4"/>
      <c r="T573" s="4"/>
      <c r="U573" s="4"/>
      <c r="V573" s="4"/>
      <c r="W573" s="4"/>
      <c r="X573" s="4"/>
      <c r="Y573" s="4"/>
      <c r="Z573" s="4"/>
      <c r="AA573" s="4"/>
    </row>
    <row r="574">
      <c r="A574" s="48"/>
      <c r="B574" s="48"/>
      <c r="C574" s="4"/>
      <c r="D574" s="4"/>
      <c r="E574" s="4"/>
      <c r="F574" s="48"/>
      <c r="G574" s="48"/>
      <c r="H574" s="48"/>
      <c r="I574" s="48"/>
      <c r="J574" s="48"/>
      <c r="K574" s="48"/>
      <c r="L574" s="48"/>
      <c r="M574" s="48"/>
      <c r="N574" s="48"/>
      <c r="O574" s="48"/>
      <c r="P574" s="4"/>
      <c r="Q574" s="4"/>
      <c r="R574" s="4"/>
      <c r="S574" s="4"/>
      <c r="T574" s="4"/>
      <c r="U574" s="4"/>
      <c r="V574" s="4"/>
      <c r="W574" s="4"/>
      <c r="X574" s="4"/>
      <c r="Y574" s="4"/>
      <c r="Z574" s="4"/>
      <c r="AA574" s="4"/>
    </row>
    <row r="575">
      <c r="A575" s="48"/>
      <c r="B575" s="48"/>
      <c r="C575" s="4"/>
      <c r="D575" s="4"/>
      <c r="E575" s="4"/>
      <c r="F575" s="48"/>
      <c r="G575" s="48"/>
      <c r="H575" s="48"/>
      <c r="I575" s="48"/>
      <c r="J575" s="48"/>
      <c r="K575" s="48"/>
      <c r="L575" s="48"/>
      <c r="M575" s="48"/>
      <c r="N575" s="48"/>
      <c r="O575" s="48"/>
      <c r="P575" s="4"/>
      <c r="Q575" s="4"/>
      <c r="R575" s="4"/>
      <c r="S575" s="4"/>
      <c r="T575" s="4"/>
      <c r="U575" s="4"/>
      <c r="V575" s="4"/>
      <c r="W575" s="4"/>
      <c r="X575" s="4"/>
      <c r="Y575" s="4"/>
      <c r="Z575" s="4"/>
      <c r="AA575" s="4"/>
    </row>
    <row r="576">
      <c r="A576" s="48"/>
      <c r="B576" s="48"/>
      <c r="C576" s="4"/>
      <c r="D576" s="4"/>
      <c r="E576" s="4"/>
      <c r="F576" s="48"/>
      <c r="G576" s="48"/>
      <c r="H576" s="48"/>
      <c r="I576" s="48"/>
      <c r="J576" s="48"/>
      <c r="K576" s="48"/>
      <c r="L576" s="48"/>
      <c r="M576" s="48"/>
      <c r="N576" s="48"/>
      <c r="O576" s="48"/>
      <c r="P576" s="4"/>
      <c r="Q576" s="4"/>
      <c r="R576" s="4"/>
      <c r="S576" s="4"/>
      <c r="T576" s="4"/>
      <c r="U576" s="4"/>
      <c r="V576" s="4"/>
      <c r="W576" s="4"/>
      <c r="X576" s="4"/>
      <c r="Y576" s="4"/>
      <c r="Z576" s="4"/>
      <c r="AA576" s="4"/>
    </row>
    <row r="577">
      <c r="A577" s="48"/>
      <c r="B577" s="48"/>
      <c r="C577" s="4"/>
      <c r="D577" s="4"/>
      <c r="E577" s="4"/>
      <c r="F577" s="48"/>
      <c r="G577" s="48"/>
      <c r="H577" s="48"/>
      <c r="I577" s="48"/>
      <c r="J577" s="48"/>
      <c r="K577" s="48"/>
      <c r="L577" s="48"/>
      <c r="M577" s="48"/>
      <c r="N577" s="48"/>
      <c r="O577" s="48"/>
      <c r="P577" s="4"/>
      <c r="Q577" s="4"/>
      <c r="R577" s="4"/>
      <c r="S577" s="4"/>
      <c r="T577" s="4"/>
      <c r="U577" s="4"/>
      <c r="V577" s="4"/>
      <c r="W577" s="4"/>
      <c r="X577" s="4"/>
      <c r="Y577" s="4"/>
      <c r="Z577" s="4"/>
      <c r="AA577" s="4"/>
    </row>
    <row r="578">
      <c r="A578" s="48"/>
      <c r="B578" s="48"/>
      <c r="C578" s="4"/>
      <c r="D578" s="4"/>
      <c r="E578" s="4"/>
      <c r="F578" s="48"/>
      <c r="G578" s="48"/>
      <c r="H578" s="48"/>
      <c r="I578" s="48"/>
      <c r="J578" s="48"/>
      <c r="K578" s="48"/>
      <c r="L578" s="48"/>
      <c r="M578" s="48"/>
      <c r="N578" s="48"/>
      <c r="O578" s="48"/>
      <c r="P578" s="4"/>
      <c r="Q578" s="4"/>
      <c r="R578" s="4"/>
      <c r="S578" s="4"/>
      <c r="T578" s="4"/>
      <c r="U578" s="4"/>
      <c r="V578" s="4"/>
      <c r="W578" s="4"/>
      <c r="X578" s="4"/>
      <c r="Y578" s="4"/>
      <c r="Z578" s="4"/>
      <c r="AA578" s="4"/>
    </row>
    <row r="579">
      <c r="A579" s="48"/>
      <c r="B579" s="48"/>
      <c r="C579" s="4"/>
      <c r="D579" s="4"/>
      <c r="E579" s="4"/>
      <c r="F579" s="48"/>
      <c r="G579" s="48"/>
      <c r="H579" s="48"/>
      <c r="I579" s="48"/>
      <c r="J579" s="48"/>
      <c r="K579" s="48"/>
      <c r="L579" s="48"/>
      <c r="M579" s="48"/>
      <c r="N579" s="48"/>
      <c r="O579" s="48"/>
      <c r="P579" s="4"/>
      <c r="Q579" s="4"/>
      <c r="R579" s="4"/>
      <c r="S579" s="4"/>
      <c r="T579" s="4"/>
      <c r="U579" s="4"/>
      <c r="V579" s="4"/>
      <c r="W579" s="4"/>
      <c r="X579" s="4"/>
      <c r="Y579" s="4"/>
      <c r="Z579" s="4"/>
      <c r="AA579" s="4"/>
    </row>
    <row r="580">
      <c r="A580" s="48"/>
      <c r="B580" s="48"/>
      <c r="C580" s="4"/>
      <c r="D580" s="4"/>
      <c r="E580" s="4"/>
      <c r="F580" s="48"/>
      <c r="G580" s="48"/>
      <c r="H580" s="48"/>
      <c r="I580" s="48"/>
      <c r="J580" s="48"/>
      <c r="K580" s="48"/>
      <c r="L580" s="48"/>
      <c r="M580" s="48"/>
      <c r="N580" s="48"/>
      <c r="O580" s="48"/>
      <c r="P580" s="4"/>
      <c r="Q580" s="4"/>
      <c r="R580" s="4"/>
      <c r="S580" s="4"/>
      <c r="T580" s="4"/>
      <c r="U580" s="4"/>
      <c r="V580" s="4"/>
      <c r="W580" s="4"/>
      <c r="X580" s="4"/>
      <c r="Y580" s="4"/>
      <c r="Z580" s="4"/>
      <c r="AA580" s="4"/>
    </row>
    <row r="581">
      <c r="A581" s="48"/>
      <c r="B581" s="48"/>
      <c r="C581" s="4"/>
      <c r="D581" s="4"/>
      <c r="E581" s="4"/>
      <c r="F581" s="48"/>
      <c r="G581" s="48"/>
      <c r="H581" s="48"/>
      <c r="I581" s="48"/>
      <c r="J581" s="48"/>
      <c r="K581" s="48"/>
      <c r="L581" s="48"/>
      <c r="M581" s="48"/>
      <c r="N581" s="48"/>
      <c r="O581" s="48"/>
      <c r="P581" s="4"/>
      <c r="Q581" s="4"/>
      <c r="R581" s="4"/>
      <c r="S581" s="4"/>
      <c r="T581" s="4"/>
      <c r="U581" s="4"/>
      <c r="V581" s="4"/>
      <c r="W581" s="4"/>
      <c r="X581" s="4"/>
      <c r="Y581" s="4"/>
      <c r="Z581" s="4"/>
      <c r="AA581" s="4"/>
    </row>
    <row r="582">
      <c r="A582" s="48"/>
      <c r="B582" s="48"/>
      <c r="C582" s="4"/>
      <c r="D582" s="4"/>
      <c r="E582" s="4"/>
      <c r="F582" s="48"/>
      <c r="G582" s="48"/>
      <c r="H582" s="48"/>
      <c r="I582" s="48"/>
      <c r="J582" s="48"/>
      <c r="K582" s="48"/>
      <c r="L582" s="48"/>
      <c r="M582" s="48"/>
      <c r="N582" s="48"/>
      <c r="O582" s="48"/>
      <c r="P582" s="4"/>
      <c r="Q582" s="4"/>
      <c r="R582" s="4"/>
      <c r="S582" s="4"/>
      <c r="T582" s="4"/>
      <c r="U582" s="4"/>
      <c r="V582" s="4"/>
      <c r="W582" s="4"/>
      <c r="X582" s="4"/>
      <c r="Y582" s="4"/>
      <c r="Z582" s="4"/>
      <c r="AA582" s="4"/>
    </row>
    <row r="583">
      <c r="A583" s="48"/>
      <c r="B583" s="48"/>
      <c r="C583" s="4"/>
      <c r="D583" s="4"/>
      <c r="E583" s="4"/>
      <c r="F583" s="48"/>
      <c r="G583" s="48"/>
      <c r="H583" s="48"/>
      <c r="I583" s="48"/>
      <c r="J583" s="48"/>
      <c r="K583" s="48"/>
      <c r="L583" s="48"/>
      <c r="M583" s="48"/>
      <c r="N583" s="48"/>
      <c r="O583" s="48"/>
      <c r="P583" s="4"/>
      <c r="Q583" s="4"/>
      <c r="R583" s="4"/>
      <c r="S583" s="4"/>
      <c r="T583" s="4"/>
      <c r="U583" s="4"/>
      <c r="V583" s="4"/>
      <c r="W583" s="4"/>
      <c r="X583" s="4"/>
      <c r="Y583" s="4"/>
      <c r="Z583" s="4"/>
      <c r="AA583" s="4"/>
    </row>
    <row r="584">
      <c r="A584" s="48"/>
      <c r="B584" s="48"/>
      <c r="C584" s="4"/>
      <c r="D584" s="4"/>
      <c r="E584" s="4"/>
      <c r="F584" s="48"/>
      <c r="G584" s="48"/>
      <c r="H584" s="48"/>
      <c r="I584" s="48"/>
      <c r="J584" s="48"/>
      <c r="K584" s="48"/>
      <c r="L584" s="48"/>
      <c r="M584" s="48"/>
      <c r="N584" s="48"/>
      <c r="O584" s="48"/>
      <c r="P584" s="4"/>
      <c r="Q584" s="4"/>
      <c r="R584" s="4"/>
      <c r="S584" s="4"/>
      <c r="T584" s="4"/>
      <c r="U584" s="4"/>
      <c r="V584" s="4"/>
      <c r="W584" s="4"/>
      <c r="X584" s="4"/>
      <c r="Y584" s="4"/>
      <c r="Z584" s="4"/>
      <c r="AA584" s="4"/>
    </row>
    <row r="585">
      <c r="A585" s="48"/>
      <c r="B585" s="48"/>
      <c r="C585" s="4"/>
      <c r="D585" s="4"/>
      <c r="E585" s="4"/>
      <c r="F585" s="48"/>
      <c r="G585" s="48"/>
      <c r="H585" s="48"/>
      <c r="I585" s="48"/>
      <c r="J585" s="48"/>
      <c r="K585" s="48"/>
      <c r="L585" s="48"/>
      <c r="M585" s="48"/>
      <c r="N585" s="48"/>
      <c r="O585" s="48"/>
      <c r="P585" s="4"/>
      <c r="Q585" s="4"/>
      <c r="R585" s="4"/>
      <c r="S585" s="4"/>
      <c r="T585" s="4"/>
      <c r="U585" s="4"/>
      <c r="V585" s="4"/>
      <c r="W585" s="4"/>
      <c r="X585" s="4"/>
      <c r="Y585" s="4"/>
      <c r="Z585" s="4"/>
      <c r="AA585" s="4"/>
    </row>
    <row r="586">
      <c r="A586" s="48"/>
      <c r="B586" s="48"/>
      <c r="C586" s="4"/>
      <c r="D586" s="4"/>
      <c r="E586" s="4"/>
      <c r="F586" s="48"/>
      <c r="G586" s="48"/>
      <c r="H586" s="48"/>
      <c r="I586" s="48"/>
      <c r="J586" s="48"/>
      <c r="K586" s="48"/>
      <c r="L586" s="48"/>
      <c r="M586" s="48"/>
      <c r="N586" s="48"/>
      <c r="O586" s="48"/>
      <c r="P586" s="4"/>
      <c r="Q586" s="4"/>
      <c r="R586" s="4"/>
      <c r="S586" s="4"/>
      <c r="T586" s="4"/>
      <c r="U586" s="4"/>
      <c r="V586" s="4"/>
      <c r="W586" s="4"/>
      <c r="X586" s="4"/>
      <c r="Y586" s="4"/>
      <c r="Z586" s="4"/>
      <c r="AA586" s="4"/>
    </row>
    <row r="587">
      <c r="A587" s="48"/>
      <c r="B587" s="48"/>
      <c r="C587" s="4"/>
      <c r="D587" s="4"/>
      <c r="E587" s="4"/>
      <c r="F587" s="48"/>
      <c r="G587" s="48"/>
      <c r="H587" s="48"/>
      <c r="I587" s="48"/>
      <c r="J587" s="48"/>
      <c r="K587" s="48"/>
      <c r="L587" s="48"/>
      <c r="M587" s="48"/>
      <c r="N587" s="48"/>
      <c r="O587" s="48"/>
      <c r="P587" s="4"/>
      <c r="Q587" s="4"/>
      <c r="R587" s="4"/>
      <c r="S587" s="4"/>
      <c r="T587" s="4"/>
      <c r="U587" s="4"/>
      <c r="V587" s="4"/>
      <c r="W587" s="4"/>
      <c r="X587" s="4"/>
      <c r="Y587" s="4"/>
      <c r="Z587" s="4"/>
      <c r="AA587" s="4"/>
    </row>
    <row r="588">
      <c r="A588" s="48"/>
      <c r="B588" s="48"/>
      <c r="C588" s="4"/>
      <c r="D588" s="4"/>
      <c r="E588" s="4"/>
      <c r="F588" s="48"/>
      <c r="G588" s="48"/>
      <c r="H588" s="48"/>
      <c r="I588" s="48"/>
      <c r="J588" s="48"/>
      <c r="K588" s="48"/>
      <c r="L588" s="48"/>
      <c r="M588" s="48"/>
      <c r="N588" s="48"/>
      <c r="O588" s="48"/>
      <c r="P588" s="4"/>
      <c r="Q588" s="4"/>
      <c r="R588" s="4"/>
      <c r="S588" s="4"/>
      <c r="T588" s="4"/>
      <c r="U588" s="4"/>
      <c r="V588" s="4"/>
      <c r="W588" s="4"/>
      <c r="X588" s="4"/>
      <c r="Y588" s="4"/>
      <c r="Z588" s="4"/>
      <c r="AA588" s="4"/>
    </row>
    <row r="589">
      <c r="A589" s="48"/>
      <c r="B589" s="48"/>
      <c r="C589" s="4"/>
      <c r="D589" s="4"/>
      <c r="E589" s="4"/>
      <c r="F589" s="48"/>
      <c r="G589" s="48"/>
      <c r="H589" s="48"/>
      <c r="I589" s="48"/>
      <c r="J589" s="48"/>
      <c r="K589" s="48"/>
      <c r="L589" s="48"/>
      <c r="M589" s="48"/>
      <c r="N589" s="48"/>
      <c r="O589" s="48"/>
      <c r="P589" s="4"/>
      <c r="Q589" s="4"/>
      <c r="R589" s="4"/>
      <c r="S589" s="4"/>
      <c r="T589" s="4"/>
      <c r="U589" s="4"/>
      <c r="V589" s="4"/>
      <c r="W589" s="4"/>
      <c r="X589" s="4"/>
      <c r="Y589" s="4"/>
      <c r="Z589" s="4"/>
      <c r="AA589" s="4"/>
    </row>
    <row r="590">
      <c r="A590" s="48"/>
      <c r="B590" s="48"/>
      <c r="C590" s="4"/>
      <c r="D590" s="4"/>
      <c r="E590" s="4"/>
      <c r="F590" s="48"/>
      <c r="G590" s="48"/>
      <c r="H590" s="48"/>
      <c r="I590" s="48"/>
      <c r="J590" s="48"/>
      <c r="K590" s="48"/>
      <c r="L590" s="48"/>
      <c r="M590" s="48"/>
      <c r="N590" s="48"/>
      <c r="O590" s="48"/>
      <c r="P590" s="4"/>
      <c r="Q590" s="4"/>
      <c r="R590" s="4"/>
      <c r="S590" s="4"/>
      <c r="T590" s="4"/>
      <c r="U590" s="4"/>
      <c r="V590" s="4"/>
      <c r="W590" s="4"/>
      <c r="X590" s="4"/>
      <c r="Y590" s="4"/>
      <c r="Z590" s="4"/>
      <c r="AA590" s="4"/>
    </row>
    <row r="591">
      <c r="A591" s="48"/>
      <c r="B591" s="48"/>
      <c r="C591" s="4"/>
      <c r="D591" s="4"/>
      <c r="E591" s="4"/>
      <c r="F591" s="48"/>
      <c r="G591" s="48"/>
      <c r="H591" s="48"/>
      <c r="I591" s="48"/>
      <c r="J591" s="48"/>
      <c r="K591" s="48"/>
      <c r="L591" s="48"/>
      <c r="M591" s="48"/>
      <c r="N591" s="48"/>
      <c r="O591" s="48"/>
      <c r="P591" s="4"/>
      <c r="Q591" s="4"/>
      <c r="R591" s="4"/>
      <c r="S591" s="4"/>
      <c r="T591" s="4"/>
      <c r="U591" s="4"/>
      <c r="V591" s="4"/>
      <c r="W591" s="4"/>
      <c r="X591" s="4"/>
      <c r="Y591" s="4"/>
      <c r="Z591" s="4"/>
      <c r="AA591" s="4"/>
    </row>
    <row r="592">
      <c r="A592" s="48"/>
      <c r="B592" s="48"/>
      <c r="C592" s="4"/>
      <c r="D592" s="4"/>
      <c r="E592" s="4"/>
      <c r="F592" s="48"/>
      <c r="G592" s="48"/>
      <c r="H592" s="48"/>
      <c r="I592" s="48"/>
      <c r="J592" s="48"/>
      <c r="K592" s="48"/>
      <c r="L592" s="48"/>
      <c r="M592" s="48"/>
      <c r="N592" s="48"/>
      <c r="O592" s="48"/>
      <c r="P592" s="4"/>
      <c r="Q592" s="4"/>
      <c r="R592" s="4"/>
      <c r="S592" s="4"/>
      <c r="T592" s="4"/>
      <c r="U592" s="4"/>
      <c r="V592" s="4"/>
      <c r="W592" s="4"/>
      <c r="X592" s="4"/>
      <c r="Y592" s="4"/>
      <c r="Z592" s="4"/>
      <c r="AA592" s="4"/>
    </row>
    <row r="593">
      <c r="A593" s="48"/>
      <c r="B593" s="48"/>
      <c r="C593" s="4"/>
      <c r="D593" s="4"/>
      <c r="E593" s="4"/>
      <c r="F593" s="48"/>
      <c r="G593" s="48"/>
      <c r="H593" s="48"/>
      <c r="I593" s="48"/>
      <c r="J593" s="48"/>
      <c r="K593" s="48"/>
      <c r="L593" s="48"/>
      <c r="M593" s="48"/>
      <c r="N593" s="48"/>
      <c r="O593" s="48"/>
      <c r="P593" s="4"/>
      <c r="Q593" s="4"/>
      <c r="R593" s="4"/>
      <c r="S593" s="4"/>
      <c r="T593" s="4"/>
      <c r="U593" s="4"/>
      <c r="V593" s="4"/>
      <c r="W593" s="4"/>
      <c r="X593" s="4"/>
      <c r="Y593" s="4"/>
      <c r="Z593" s="4"/>
      <c r="AA593" s="4"/>
    </row>
    <row r="594">
      <c r="A594" s="48"/>
      <c r="B594" s="48"/>
      <c r="C594" s="4"/>
      <c r="D594" s="4"/>
      <c r="E594" s="4"/>
      <c r="F594" s="48"/>
      <c r="G594" s="48"/>
      <c r="H594" s="48"/>
      <c r="I594" s="48"/>
      <c r="J594" s="48"/>
      <c r="K594" s="48"/>
      <c r="L594" s="48"/>
      <c r="M594" s="48"/>
      <c r="N594" s="48"/>
      <c r="O594" s="48"/>
      <c r="P594" s="4"/>
      <c r="Q594" s="4"/>
      <c r="R594" s="4"/>
      <c r="S594" s="4"/>
      <c r="T594" s="4"/>
      <c r="U594" s="4"/>
      <c r="V594" s="4"/>
      <c r="W594" s="4"/>
      <c r="X594" s="4"/>
      <c r="Y594" s="4"/>
      <c r="Z594" s="4"/>
      <c r="AA594" s="4"/>
    </row>
    <row r="595">
      <c r="A595" s="48"/>
      <c r="B595" s="48"/>
      <c r="C595" s="4"/>
      <c r="D595" s="4"/>
      <c r="E595" s="4"/>
      <c r="F595" s="48"/>
      <c r="G595" s="48"/>
      <c r="H595" s="48"/>
      <c r="I595" s="48"/>
      <c r="J595" s="48"/>
      <c r="K595" s="48"/>
      <c r="L595" s="48"/>
      <c r="M595" s="48"/>
      <c r="N595" s="48"/>
      <c r="O595" s="48"/>
      <c r="P595" s="4"/>
      <c r="Q595" s="4"/>
      <c r="R595" s="4"/>
      <c r="S595" s="4"/>
      <c r="T595" s="4"/>
      <c r="U595" s="4"/>
      <c r="V595" s="4"/>
      <c r="W595" s="4"/>
      <c r="X595" s="4"/>
      <c r="Y595" s="4"/>
      <c r="Z595" s="4"/>
      <c r="AA595" s="4"/>
    </row>
    <row r="596">
      <c r="A596" s="48"/>
      <c r="B596" s="48"/>
      <c r="C596" s="4"/>
      <c r="D596" s="4"/>
      <c r="E596" s="4"/>
      <c r="F596" s="48"/>
      <c r="G596" s="48"/>
      <c r="H596" s="48"/>
      <c r="I596" s="48"/>
      <c r="J596" s="48"/>
      <c r="K596" s="48"/>
      <c r="L596" s="48"/>
      <c r="M596" s="48"/>
      <c r="N596" s="48"/>
      <c r="O596" s="48"/>
      <c r="P596" s="4"/>
      <c r="Q596" s="4"/>
      <c r="R596" s="4"/>
      <c r="S596" s="4"/>
      <c r="T596" s="4"/>
      <c r="U596" s="4"/>
      <c r="V596" s="4"/>
      <c r="W596" s="4"/>
      <c r="X596" s="4"/>
      <c r="Y596" s="4"/>
      <c r="Z596" s="4"/>
      <c r="AA596" s="4"/>
    </row>
    <row r="597">
      <c r="A597" s="48"/>
      <c r="B597" s="48"/>
      <c r="C597" s="4"/>
      <c r="D597" s="4"/>
      <c r="E597" s="4"/>
      <c r="F597" s="48"/>
      <c r="G597" s="48"/>
      <c r="H597" s="48"/>
      <c r="I597" s="48"/>
      <c r="J597" s="48"/>
      <c r="K597" s="48"/>
      <c r="L597" s="48"/>
      <c r="M597" s="48"/>
      <c r="N597" s="48"/>
      <c r="O597" s="48"/>
      <c r="P597" s="4"/>
      <c r="Q597" s="4"/>
      <c r="R597" s="4"/>
      <c r="S597" s="4"/>
      <c r="T597" s="4"/>
      <c r="U597" s="4"/>
      <c r="V597" s="4"/>
      <c r="W597" s="4"/>
      <c r="X597" s="4"/>
      <c r="Y597" s="4"/>
      <c r="Z597" s="4"/>
      <c r="AA597" s="4"/>
    </row>
    <row r="598">
      <c r="A598" s="48"/>
      <c r="B598" s="48"/>
      <c r="C598" s="4"/>
      <c r="D598" s="4"/>
      <c r="E598" s="4"/>
      <c r="F598" s="48"/>
      <c r="G598" s="48"/>
      <c r="H598" s="48"/>
      <c r="I598" s="48"/>
      <c r="J598" s="48"/>
      <c r="K598" s="48"/>
      <c r="L598" s="48"/>
      <c r="M598" s="48"/>
      <c r="N598" s="48"/>
      <c r="O598" s="48"/>
      <c r="P598" s="4"/>
      <c r="Q598" s="4"/>
      <c r="R598" s="4"/>
      <c r="S598" s="4"/>
      <c r="T598" s="4"/>
      <c r="U598" s="4"/>
      <c r="V598" s="4"/>
      <c r="W598" s="4"/>
      <c r="X598" s="4"/>
      <c r="Y598" s="4"/>
      <c r="Z598" s="4"/>
      <c r="AA598" s="4"/>
    </row>
    <row r="599">
      <c r="A599" s="48"/>
      <c r="B599" s="48"/>
      <c r="C599" s="4"/>
      <c r="D599" s="4"/>
      <c r="E599" s="4"/>
      <c r="F599" s="48"/>
      <c r="G599" s="48"/>
      <c r="H599" s="48"/>
      <c r="I599" s="48"/>
      <c r="J599" s="48"/>
      <c r="K599" s="48"/>
      <c r="L599" s="48"/>
      <c r="M599" s="48"/>
      <c r="N599" s="48"/>
      <c r="O599" s="48"/>
      <c r="P599" s="4"/>
      <c r="Q599" s="4"/>
      <c r="R599" s="4"/>
      <c r="S599" s="4"/>
      <c r="T599" s="4"/>
      <c r="U599" s="4"/>
      <c r="V599" s="4"/>
      <c r="W599" s="4"/>
      <c r="X599" s="4"/>
      <c r="Y599" s="4"/>
      <c r="Z599" s="4"/>
      <c r="AA599" s="4"/>
    </row>
    <row r="600">
      <c r="A600" s="48"/>
      <c r="B600" s="48"/>
      <c r="C600" s="4"/>
      <c r="D600" s="4"/>
      <c r="E600" s="4"/>
      <c r="F600" s="48"/>
      <c r="G600" s="48"/>
      <c r="H600" s="48"/>
      <c r="I600" s="48"/>
      <c r="J600" s="48"/>
      <c r="K600" s="48"/>
      <c r="L600" s="48"/>
      <c r="M600" s="48"/>
      <c r="N600" s="48"/>
      <c r="O600" s="48"/>
      <c r="P600" s="4"/>
      <c r="Q600" s="4"/>
      <c r="R600" s="4"/>
      <c r="S600" s="4"/>
      <c r="T600" s="4"/>
      <c r="U600" s="4"/>
      <c r="V600" s="4"/>
      <c r="W600" s="4"/>
      <c r="X600" s="4"/>
      <c r="Y600" s="4"/>
      <c r="Z600" s="4"/>
      <c r="AA600" s="4"/>
    </row>
    <row r="601">
      <c r="A601" s="48"/>
      <c r="B601" s="48"/>
      <c r="C601" s="4"/>
      <c r="D601" s="4"/>
      <c r="E601" s="4"/>
      <c r="F601" s="48"/>
      <c r="G601" s="48"/>
      <c r="H601" s="48"/>
      <c r="I601" s="48"/>
      <c r="J601" s="48"/>
      <c r="K601" s="48"/>
      <c r="L601" s="48"/>
      <c r="M601" s="48"/>
      <c r="N601" s="48"/>
      <c r="O601" s="48"/>
      <c r="P601" s="4"/>
      <c r="Q601" s="4"/>
      <c r="R601" s="4"/>
      <c r="S601" s="4"/>
      <c r="T601" s="4"/>
      <c r="U601" s="4"/>
      <c r="V601" s="4"/>
      <c r="W601" s="4"/>
      <c r="X601" s="4"/>
      <c r="Y601" s="4"/>
      <c r="Z601" s="4"/>
      <c r="AA601" s="4"/>
    </row>
    <row r="602">
      <c r="A602" s="48"/>
      <c r="B602" s="48"/>
      <c r="C602" s="4"/>
      <c r="D602" s="4"/>
      <c r="E602" s="4"/>
      <c r="F602" s="48"/>
      <c r="G602" s="48"/>
      <c r="H602" s="48"/>
      <c r="I602" s="48"/>
      <c r="J602" s="48"/>
      <c r="K602" s="48"/>
      <c r="L602" s="48"/>
      <c r="M602" s="48"/>
      <c r="N602" s="48"/>
      <c r="O602" s="48"/>
      <c r="P602" s="4"/>
      <c r="Q602" s="4"/>
      <c r="R602" s="4"/>
      <c r="S602" s="4"/>
      <c r="T602" s="4"/>
      <c r="U602" s="4"/>
      <c r="V602" s="4"/>
      <c r="W602" s="4"/>
      <c r="X602" s="4"/>
      <c r="Y602" s="4"/>
      <c r="Z602" s="4"/>
      <c r="AA602" s="4"/>
    </row>
    <row r="603">
      <c r="A603" s="48"/>
      <c r="B603" s="48"/>
      <c r="C603" s="4"/>
      <c r="D603" s="4"/>
      <c r="E603" s="4"/>
      <c r="F603" s="48"/>
      <c r="G603" s="48"/>
      <c r="H603" s="48"/>
      <c r="I603" s="48"/>
      <c r="J603" s="48"/>
      <c r="K603" s="48"/>
      <c r="L603" s="48"/>
      <c r="M603" s="48"/>
      <c r="N603" s="48"/>
      <c r="O603" s="48"/>
      <c r="P603" s="4"/>
      <c r="Q603" s="4"/>
      <c r="R603" s="4"/>
      <c r="S603" s="4"/>
      <c r="T603" s="4"/>
      <c r="U603" s="4"/>
      <c r="V603" s="4"/>
      <c r="W603" s="4"/>
      <c r="X603" s="4"/>
      <c r="Y603" s="4"/>
      <c r="Z603" s="4"/>
      <c r="AA603" s="4"/>
    </row>
    <row r="604">
      <c r="A604" s="48"/>
      <c r="B604" s="48"/>
      <c r="C604" s="4"/>
      <c r="D604" s="4"/>
      <c r="E604" s="4"/>
      <c r="F604" s="48"/>
      <c r="G604" s="48"/>
      <c r="H604" s="48"/>
      <c r="I604" s="48"/>
      <c r="J604" s="48"/>
      <c r="K604" s="48"/>
      <c r="L604" s="48"/>
      <c r="M604" s="48"/>
      <c r="N604" s="48"/>
      <c r="O604" s="48"/>
      <c r="P604" s="4"/>
      <c r="Q604" s="4"/>
      <c r="R604" s="4"/>
      <c r="S604" s="4"/>
      <c r="T604" s="4"/>
      <c r="U604" s="4"/>
      <c r="V604" s="4"/>
      <c r="W604" s="4"/>
      <c r="X604" s="4"/>
      <c r="Y604" s="4"/>
      <c r="Z604" s="4"/>
      <c r="AA604" s="4"/>
    </row>
    <row r="605">
      <c r="A605" s="48"/>
      <c r="B605" s="48"/>
      <c r="C605" s="4"/>
      <c r="D605" s="4"/>
      <c r="E605" s="4"/>
      <c r="F605" s="48"/>
      <c r="G605" s="48"/>
      <c r="H605" s="48"/>
      <c r="I605" s="48"/>
      <c r="J605" s="48"/>
      <c r="K605" s="48"/>
      <c r="L605" s="48"/>
      <c r="M605" s="48"/>
      <c r="N605" s="48"/>
      <c r="O605" s="48"/>
      <c r="P605" s="4"/>
      <c r="Q605" s="4"/>
      <c r="R605" s="4"/>
      <c r="S605" s="4"/>
      <c r="T605" s="4"/>
      <c r="U605" s="4"/>
      <c r="V605" s="4"/>
      <c r="W605" s="4"/>
      <c r="X605" s="4"/>
      <c r="Y605" s="4"/>
      <c r="Z605" s="4"/>
      <c r="AA605" s="4"/>
    </row>
    <row r="606">
      <c r="A606" s="48"/>
      <c r="B606" s="48"/>
      <c r="C606" s="4"/>
      <c r="D606" s="4"/>
      <c r="E606" s="4"/>
      <c r="F606" s="48"/>
      <c r="G606" s="48"/>
      <c r="H606" s="48"/>
      <c r="I606" s="48"/>
      <c r="J606" s="48"/>
      <c r="K606" s="48"/>
      <c r="L606" s="48"/>
      <c r="M606" s="48"/>
      <c r="N606" s="48"/>
      <c r="O606" s="48"/>
      <c r="P606" s="4"/>
      <c r="Q606" s="4"/>
      <c r="R606" s="4"/>
      <c r="S606" s="4"/>
      <c r="T606" s="4"/>
      <c r="U606" s="4"/>
      <c r="V606" s="4"/>
      <c r="W606" s="4"/>
      <c r="X606" s="4"/>
      <c r="Y606" s="4"/>
      <c r="Z606" s="4"/>
      <c r="AA606" s="4"/>
    </row>
    <row r="607">
      <c r="A607" s="48"/>
      <c r="B607" s="48"/>
      <c r="C607" s="4"/>
      <c r="D607" s="4"/>
      <c r="E607" s="4"/>
      <c r="F607" s="48"/>
      <c r="G607" s="48"/>
      <c r="H607" s="48"/>
      <c r="I607" s="48"/>
      <c r="J607" s="48"/>
      <c r="K607" s="48"/>
      <c r="L607" s="48"/>
      <c r="M607" s="48"/>
      <c r="N607" s="48"/>
      <c r="O607" s="48"/>
      <c r="P607" s="4"/>
      <c r="Q607" s="4"/>
      <c r="R607" s="4"/>
      <c r="S607" s="4"/>
      <c r="T607" s="4"/>
      <c r="U607" s="4"/>
      <c r="V607" s="4"/>
      <c r="W607" s="4"/>
      <c r="X607" s="4"/>
      <c r="Y607" s="4"/>
      <c r="Z607" s="4"/>
      <c r="AA607" s="4"/>
    </row>
    <row r="608">
      <c r="A608" s="48"/>
      <c r="B608" s="48"/>
      <c r="C608" s="4"/>
      <c r="D608" s="4"/>
      <c r="E608" s="4"/>
      <c r="F608" s="48"/>
      <c r="G608" s="48"/>
      <c r="H608" s="48"/>
      <c r="I608" s="48"/>
      <c r="J608" s="48"/>
      <c r="K608" s="48"/>
      <c r="L608" s="48"/>
      <c r="M608" s="48"/>
      <c r="N608" s="48"/>
      <c r="O608" s="48"/>
      <c r="P608" s="4"/>
      <c r="Q608" s="4"/>
      <c r="R608" s="4"/>
      <c r="S608" s="4"/>
      <c r="T608" s="4"/>
      <c r="U608" s="4"/>
      <c r="V608" s="4"/>
      <c r="W608" s="4"/>
      <c r="X608" s="4"/>
      <c r="Y608" s="4"/>
      <c r="Z608" s="4"/>
      <c r="AA608" s="4"/>
    </row>
    <row r="609">
      <c r="A609" s="48"/>
      <c r="B609" s="48"/>
      <c r="C609" s="4"/>
      <c r="D609" s="4"/>
      <c r="E609" s="4"/>
      <c r="F609" s="48"/>
      <c r="G609" s="48"/>
      <c r="H609" s="48"/>
      <c r="I609" s="48"/>
      <c r="J609" s="48"/>
      <c r="K609" s="48"/>
      <c r="L609" s="48"/>
      <c r="M609" s="48"/>
      <c r="N609" s="48"/>
      <c r="O609" s="48"/>
      <c r="P609" s="4"/>
      <c r="Q609" s="4"/>
      <c r="R609" s="4"/>
      <c r="S609" s="4"/>
      <c r="T609" s="4"/>
      <c r="U609" s="4"/>
      <c r="V609" s="4"/>
      <c r="W609" s="4"/>
      <c r="X609" s="4"/>
      <c r="Y609" s="4"/>
      <c r="Z609" s="4"/>
      <c r="AA609" s="4"/>
    </row>
    <row r="610">
      <c r="A610" s="48"/>
      <c r="B610" s="48"/>
      <c r="C610" s="4"/>
      <c r="D610" s="4"/>
      <c r="E610" s="4"/>
      <c r="F610" s="48"/>
      <c r="G610" s="48"/>
      <c r="H610" s="48"/>
      <c r="I610" s="48"/>
      <c r="J610" s="48"/>
      <c r="K610" s="48"/>
      <c r="L610" s="48"/>
      <c r="M610" s="48"/>
      <c r="N610" s="48"/>
      <c r="O610" s="48"/>
      <c r="P610" s="4"/>
      <c r="Q610" s="4"/>
      <c r="R610" s="4"/>
      <c r="S610" s="4"/>
      <c r="T610" s="4"/>
      <c r="U610" s="4"/>
      <c r="V610" s="4"/>
      <c r="W610" s="4"/>
      <c r="X610" s="4"/>
      <c r="Y610" s="4"/>
      <c r="Z610" s="4"/>
      <c r="AA610" s="4"/>
    </row>
    <row r="611">
      <c r="A611" s="48"/>
      <c r="B611" s="48"/>
      <c r="C611" s="4"/>
      <c r="D611" s="4"/>
      <c r="E611" s="4"/>
      <c r="F611" s="48"/>
      <c r="G611" s="48"/>
      <c r="H611" s="48"/>
      <c r="I611" s="48"/>
      <c r="J611" s="48"/>
      <c r="K611" s="48"/>
      <c r="L611" s="48"/>
      <c r="M611" s="48"/>
      <c r="N611" s="48"/>
      <c r="O611" s="48"/>
      <c r="P611" s="4"/>
      <c r="Q611" s="4"/>
      <c r="R611" s="4"/>
      <c r="S611" s="4"/>
      <c r="T611" s="4"/>
      <c r="U611" s="4"/>
      <c r="V611" s="4"/>
      <c r="W611" s="4"/>
      <c r="X611" s="4"/>
      <c r="Y611" s="4"/>
      <c r="Z611" s="4"/>
      <c r="AA611" s="4"/>
    </row>
    <row r="612">
      <c r="A612" s="48"/>
      <c r="B612" s="48"/>
      <c r="C612" s="4"/>
      <c r="D612" s="4"/>
      <c r="E612" s="4"/>
      <c r="F612" s="48"/>
      <c r="G612" s="48"/>
      <c r="H612" s="48"/>
      <c r="I612" s="48"/>
      <c r="J612" s="48"/>
      <c r="K612" s="48"/>
      <c r="L612" s="48"/>
      <c r="M612" s="48"/>
      <c r="N612" s="48"/>
      <c r="O612" s="48"/>
      <c r="P612" s="4"/>
      <c r="Q612" s="4"/>
      <c r="R612" s="4"/>
      <c r="S612" s="4"/>
      <c r="T612" s="4"/>
      <c r="U612" s="4"/>
      <c r="V612" s="4"/>
      <c r="W612" s="4"/>
      <c r="X612" s="4"/>
      <c r="Y612" s="4"/>
      <c r="Z612" s="4"/>
      <c r="AA612" s="4"/>
    </row>
    <row r="613">
      <c r="A613" s="48"/>
      <c r="B613" s="48"/>
      <c r="C613" s="4"/>
      <c r="D613" s="4"/>
      <c r="E613" s="4"/>
      <c r="F613" s="48"/>
      <c r="G613" s="48"/>
      <c r="H613" s="48"/>
      <c r="I613" s="48"/>
      <c r="J613" s="48"/>
      <c r="K613" s="48"/>
      <c r="L613" s="48"/>
      <c r="M613" s="48"/>
      <c r="N613" s="48"/>
      <c r="O613" s="48"/>
      <c r="P613" s="4"/>
      <c r="Q613" s="4"/>
      <c r="R613" s="4"/>
      <c r="S613" s="4"/>
      <c r="T613" s="4"/>
      <c r="U613" s="4"/>
      <c r="V613" s="4"/>
      <c r="W613" s="4"/>
      <c r="X613" s="4"/>
      <c r="Y613" s="4"/>
      <c r="Z613" s="4"/>
      <c r="AA613" s="4"/>
    </row>
    <row r="614">
      <c r="A614" s="48"/>
      <c r="B614" s="48"/>
      <c r="C614" s="4"/>
      <c r="D614" s="4"/>
      <c r="E614" s="4"/>
      <c r="F614" s="48"/>
      <c r="G614" s="48"/>
      <c r="H614" s="48"/>
      <c r="I614" s="48"/>
      <c r="J614" s="48"/>
      <c r="K614" s="48"/>
      <c r="L614" s="48"/>
      <c r="M614" s="48"/>
      <c r="N614" s="48"/>
      <c r="O614" s="48"/>
      <c r="P614" s="4"/>
      <c r="Q614" s="4"/>
      <c r="R614" s="4"/>
      <c r="S614" s="4"/>
      <c r="T614" s="4"/>
      <c r="U614" s="4"/>
      <c r="V614" s="4"/>
      <c r="W614" s="4"/>
      <c r="X614" s="4"/>
      <c r="Y614" s="4"/>
      <c r="Z614" s="4"/>
      <c r="AA614" s="4"/>
    </row>
    <row r="615">
      <c r="A615" s="48"/>
      <c r="B615" s="48"/>
      <c r="C615" s="4"/>
      <c r="D615" s="4"/>
      <c r="E615" s="4"/>
      <c r="F615" s="48"/>
      <c r="G615" s="48"/>
      <c r="H615" s="48"/>
      <c r="I615" s="48"/>
      <c r="J615" s="48"/>
      <c r="K615" s="48"/>
      <c r="L615" s="48"/>
      <c r="M615" s="48"/>
      <c r="N615" s="48"/>
      <c r="O615" s="48"/>
      <c r="P615" s="4"/>
      <c r="Q615" s="4"/>
      <c r="R615" s="4"/>
      <c r="S615" s="4"/>
      <c r="T615" s="4"/>
      <c r="U615" s="4"/>
      <c r="V615" s="4"/>
      <c r="W615" s="4"/>
      <c r="X615" s="4"/>
      <c r="Y615" s="4"/>
      <c r="Z615" s="4"/>
      <c r="AA615" s="4"/>
    </row>
    <row r="616">
      <c r="A616" s="48"/>
      <c r="B616" s="48"/>
      <c r="C616" s="4"/>
      <c r="D616" s="4"/>
      <c r="E616" s="4"/>
      <c r="F616" s="48"/>
      <c r="G616" s="48"/>
      <c r="H616" s="48"/>
      <c r="I616" s="48"/>
      <c r="J616" s="48"/>
      <c r="K616" s="48"/>
      <c r="L616" s="48"/>
      <c r="M616" s="48"/>
      <c r="N616" s="48"/>
      <c r="O616" s="48"/>
      <c r="P616" s="4"/>
      <c r="Q616" s="4"/>
      <c r="R616" s="4"/>
      <c r="S616" s="4"/>
      <c r="T616" s="4"/>
      <c r="U616" s="4"/>
      <c r="V616" s="4"/>
      <c r="W616" s="4"/>
      <c r="X616" s="4"/>
      <c r="Y616" s="4"/>
      <c r="Z616" s="4"/>
      <c r="AA616" s="4"/>
    </row>
    <row r="617">
      <c r="A617" s="48"/>
      <c r="B617" s="48"/>
      <c r="C617" s="4"/>
      <c r="D617" s="4"/>
      <c r="E617" s="4"/>
      <c r="F617" s="48"/>
      <c r="G617" s="48"/>
      <c r="H617" s="48"/>
      <c r="I617" s="48"/>
      <c r="J617" s="48"/>
      <c r="K617" s="48"/>
      <c r="L617" s="48"/>
      <c r="M617" s="48"/>
      <c r="N617" s="48"/>
      <c r="O617" s="48"/>
      <c r="P617" s="4"/>
      <c r="Q617" s="4"/>
      <c r="R617" s="4"/>
      <c r="S617" s="4"/>
      <c r="T617" s="4"/>
      <c r="U617" s="4"/>
      <c r="V617" s="4"/>
      <c r="W617" s="4"/>
      <c r="X617" s="4"/>
      <c r="Y617" s="4"/>
      <c r="Z617" s="4"/>
      <c r="AA617" s="4"/>
    </row>
    <row r="618">
      <c r="A618" s="48"/>
      <c r="B618" s="48"/>
      <c r="C618" s="4"/>
      <c r="D618" s="4"/>
      <c r="E618" s="4"/>
      <c r="F618" s="48"/>
      <c r="G618" s="48"/>
      <c r="H618" s="48"/>
      <c r="I618" s="48"/>
      <c r="J618" s="48"/>
      <c r="K618" s="48"/>
      <c r="L618" s="48"/>
      <c r="M618" s="48"/>
      <c r="N618" s="48"/>
      <c r="O618" s="48"/>
      <c r="P618" s="4"/>
      <c r="Q618" s="4"/>
      <c r="R618" s="4"/>
      <c r="S618" s="4"/>
      <c r="T618" s="4"/>
      <c r="U618" s="4"/>
      <c r="V618" s="4"/>
      <c r="W618" s="4"/>
      <c r="X618" s="4"/>
      <c r="Y618" s="4"/>
      <c r="Z618" s="4"/>
      <c r="AA618" s="4"/>
    </row>
    <row r="619">
      <c r="A619" s="48"/>
      <c r="B619" s="48"/>
      <c r="C619" s="4"/>
      <c r="D619" s="4"/>
      <c r="E619" s="4"/>
      <c r="F619" s="48"/>
      <c r="G619" s="48"/>
      <c r="H619" s="48"/>
      <c r="I619" s="48"/>
      <c r="J619" s="48"/>
      <c r="K619" s="48"/>
      <c r="L619" s="48"/>
      <c r="M619" s="48"/>
      <c r="N619" s="48"/>
      <c r="O619" s="48"/>
      <c r="P619" s="4"/>
      <c r="Q619" s="4"/>
      <c r="R619" s="4"/>
      <c r="S619" s="4"/>
      <c r="T619" s="4"/>
      <c r="U619" s="4"/>
      <c r="V619" s="4"/>
      <c r="W619" s="4"/>
      <c r="X619" s="4"/>
      <c r="Y619" s="4"/>
      <c r="Z619" s="4"/>
      <c r="AA619" s="4"/>
    </row>
    <row r="620">
      <c r="A620" s="48"/>
      <c r="B620" s="48"/>
      <c r="C620" s="4"/>
      <c r="D620" s="4"/>
      <c r="E620" s="4"/>
      <c r="F620" s="48"/>
      <c r="G620" s="48"/>
      <c r="H620" s="48"/>
      <c r="I620" s="48"/>
      <c r="J620" s="48"/>
      <c r="K620" s="48"/>
      <c r="L620" s="48"/>
      <c r="M620" s="48"/>
      <c r="N620" s="48"/>
      <c r="O620" s="48"/>
      <c r="P620" s="4"/>
      <c r="Q620" s="4"/>
      <c r="R620" s="4"/>
      <c r="S620" s="4"/>
      <c r="T620" s="4"/>
      <c r="U620" s="4"/>
      <c r="V620" s="4"/>
      <c r="W620" s="4"/>
      <c r="X620" s="4"/>
      <c r="Y620" s="4"/>
      <c r="Z620" s="4"/>
      <c r="AA620" s="4"/>
    </row>
    <row r="621">
      <c r="A621" s="48"/>
      <c r="B621" s="48"/>
      <c r="C621" s="4"/>
      <c r="D621" s="4"/>
      <c r="E621" s="4"/>
      <c r="F621" s="48"/>
      <c r="G621" s="48"/>
      <c r="H621" s="48"/>
      <c r="I621" s="48"/>
      <c r="J621" s="48"/>
      <c r="K621" s="48"/>
      <c r="L621" s="48"/>
      <c r="M621" s="48"/>
      <c r="N621" s="48"/>
      <c r="O621" s="48"/>
      <c r="P621" s="4"/>
      <c r="Q621" s="4"/>
      <c r="R621" s="4"/>
      <c r="S621" s="4"/>
      <c r="T621" s="4"/>
      <c r="U621" s="4"/>
      <c r="V621" s="4"/>
      <c r="W621" s="4"/>
      <c r="X621" s="4"/>
      <c r="Y621" s="4"/>
      <c r="Z621" s="4"/>
      <c r="AA621" s="4"/>
    </row>
    <row r="622">
      <c r="A622" s="48"/>
      <c r="B622" s="48"/>
      <c r="C622" s="4"/>
      <c r="D622" s="4"/>
      <c r="E622" s="4"/>
      <c r="F622" s="48"/>
      <c r="G622" s="48"/>
      <c r="H622" s="48"/>
      <c r="I622" s="48"/>
      <c r="J622" s="48"/>
      <c r="K622" s="48"/>
      <c r="L622" s="48"/>
      <c r="M622" s="48"/>
      <c r="N622" s="48"/>
      <c r="O622" s="48"/>
      <c r="P622" s="4"/>
      <c r="Q622" s="4"/>
      <c r="R622" s="4"/>
      <c r="S622" s="4"/>
      <c r="T622" s="4"/>
      <c r="U622" s="4"/>
      <c r="V622" s="4"/>
      <c r="W622" s="4"/>
      <c r="X622" s="4"/>
      <c r="Y622" s="4"/>
      <c r="Z622" s="4"/>
      <c r="AA622" s="4"/>
    </row>
    <row r="623">
      <c r="A623" s="48"/>
      <c r="B623" s="48"/>
      <c r="C623" s="4"/>
      <c r="D623" s="4"/>
      <c r="E623" s="4"/>
      <c r="F623" s="48"/>
      <c r="G623" s="48"/>
      <c r="H623" s="48"/>
      <c r="I623" s="48"/>
      <c r="J623" s="48"/>
      <c r="K623" s="48"/>
      <c r="L623" s="48"/>
      <c r="M623" s="48"/>
      <c r="N623" s="48"/>
      <c r="O623" s="48"/>
      <c r="P623" s="4"/>
      <c r="Q623" s="4"/>
      <c r="R623" s="4"/>
      <c r="S623" s="4"/>
      <c r="T623" s="4"/>
      <c r="U623" s="4"/>
      <c r="V623" s="4"/>
      <c r="W623" s="4"/>
      <c r="X623" s="4"/>
      <c r="Y623" s="4"/>
      <c r="Z623" s="4"/>
      <c r="AA623" s="4"/>
    </row>
    <row r="624">
      <c r="A624" s="48"/>
      <c r="B624" s="48"/>
      <c r="C624" s="4"/>
      <c r="D624" s="4"/>
      <c r="E624" s="4"/>
      <c r="F624" s="48"/>
      <c r="G624" s="48"/>
      <c r="H624" s="48"/>
      <c r="I624" s="48"/>
      <c r="J624" s="48"/>
      <c r="K624" s="48"/>
      <c r="L624" s="48"/>
      <c r="M624" s="48"/>
      <c r="N624" s="48"/>
      <c r="O624" s="48"/>
      <c r="P624" s="4"/>
      <c r="Q624" s="4"/>
      <c r="R624" s="4"/>
      <c r="S624" s="4"/>
      <c r="T624" s="4"/>
      <c r="U624" s="4"/>
      <c r="V624" s="4"/>
      <c r="W624" s="4"/>
      <c r="X624" s="4"/>
      <c r="Y624" s="4"/>
      <c r="Z624" s="4"/>
      <c r="AA624" s="4"/>
    </row>
    <row r="625">
      <c r="A625" s="48"/>
      <c r="B625" s="48"/>
      <c r="C625" s="4"/>
      <c r="D625" s="4"/>
      <c r="E625" s="4"/>
      <c r="F625" s="48"/>
      <c r="G625" s="48"/>
      <c r="H625" s="48"/>
      <c r="I625" s="48"/>
      <c r="J625" s="48"/>
      <c r="K625" s="48"/>
      <c r="L625" s="48"/>
      <c r="M625" s="48"/>
      <c r="N625" s="48"/>
      <c r="O625" s="48"/>
      <c r="P625" s="4"/>
      <c r="Q625" s="4"/>
      <c r="R625" s="4"/>
      <c r="S625" s="4"/>
      <c r="T625" s="4"/>
      <c r="U625" s="4"/>
      <c r="V625" s="4"/>
      <c r="W625" s="4"/>
      <c r="X625" s="4"/>
      <c r="Y625" s="4"/>
      <c r="Z625" s="4"/>
      <c r="AA625" s="4"/>
    </row>
    <row r="626">
      <c r="A626" s="48"/>
      <c r="B626" s="48"/>
      <c r="C626" s="4"/>
      <c r="D626" s="4"/>
      <c r="E626" s="4"/>
      <c r="F626" s="48"/>
      <c r="G626" s="48"/>
      <c r="H626" s="48"/>
      <c r="I626" s="48"/>
      <c r="J626" s="48"/>
      <c r="K626" s="48"/>
      <c r="L626" s="48"/>
      <c r="M626" s="48"/>
      <c r="N626" s="48"/>
      <c r="O626" s="48"/>
      <c r="P626" s="4"/>
      <c r="Q626" s="4"/>
      <c r="R626" s="4"/>
      <c r="S626" s="4"/>
      <c r="T626" s="4"/>
      <c r="U626" s="4"/>
      <c r="V626" s="4"/>
      <c r="W626" s="4"/>
      <c r="X626" s="4"/>
      <c r="Y626" s="4"/>
      <c r="Z626" s="4"/>
      <c r="AA626" s="4"/>
    </row>
    <row r="627">
      <c r="A627" s="48"/>
      <c r="B627" s="48"/>
      <c r="C627" s="4"/>
      <c r="D627" s="4"/>
      <c r="E627" s="4"/>
      <c r="F627" s="48"/>
      <c r="G627" s="48"/>
      <c r="H627" s="48"/>
      <c r="I627" s="48"/>
      <c r="J627" s="48"/>
      <c r="K627" s="48"/>
      <c r="L627" s="48"/>
      <c r="M627" s="48"/>
      <c r="N627" s="48"/>
      <c r="O627" s="48"/>
      <c r="P627" s="4"/>
      <c r="Q627" s="4"/>
      <c r="R627" s="4"/>
      <c r="S627" s="4"/>
      <c r="T627" s="4"/>
      <c r="U627" s="4"/>
      <c r="V627" s="4"/>
      <c r="W627" s="4"/>
      <c r="X627" s="4"/>
      <c r="Y627" s="4"/>
      <c r="Z627" s="4"/>
      <c r="AA627" s="4"/>
    </row>
    <row r="628">
      <c r="A628" s="48"/>
      <c r="B628" s="48"/>
      <c r="C628" s="4"/>
      <c r="D628" s="4"/>
      <c r="E628" s="4"/>
      <c r="F628" s="48"/>
      <c r="G628" s="48"/>
      <c r="H628" s="48"/>
      <c r="I628" s="48"/>
      <c r="J628" s="48"/>
      <c r="K628" s="48"/>
      <c r="L628" s="48"/>
      <c r="M628" s="48"/>
      <c r="N628" s="48"/>
      <c r="O628" s="48"/>
      <c r="P628" s="4"/>
      <c r="Q628" s="4"/>
      <c r="R628" s="4"/>
      <c r="S628" s="4"/>
      <c r="T628" s="4"/>
      <c r="U628" s="4"/>
      <c r="V628" s="4"/>
      <c r="W628" s="4"/>
      <c r="X628" s="4"/>
      <c r="Y628" s="4"/>
      <c r="Z628" s="4"/>
      <c r="AA628" s="4"/>
    </row>
    <row r="629">
      <c r="A629" s="48"/>
      <c r="B629" s="48"/>
      <c r="C629" s="4"/>
      <c r="D629" s="4"/>
      <c r="E629" s="4"/>
      <c r="F629" s="48"/>
      <c r="G629" s="48"/>
      <c r="H629" s="48"/>
      <c r="I629" s="48"/>
      <c r="J629" s="48"/>
      <c r="K629" s="48"/>
      <c r="L629" s="48"/>
      <c r="M629" s="48"/>
      <c r="N629" s="48"/>
      <c r="O629" s="48"/>
      <c r="P629" s="4"/>
      <c r="Q629" s="4"/>
      <c r="R629" s="4"/>
      <c r="S629" s="4"/>
      <c r="T629" s="4"/>
      <c r="U629" s="4"/>
      <c r="V629" s="4"/>
      <c r="W629" s="4"/>
      <c r="X629" s="4"/>
      <c r="Y629" s="4"/>
      <c r="Z629" s="4"/>
      <c r="AA629" s="4"/>
    </row>
    <row r="630">
      <c r="A630" s="48"/>
      <c r="B630" s="48"/>
      <c r="C630" s="4"/>
      <c r="D630" s="4"/>
      <c r="E630" s="4"/>
      <c r="F630" s="48"/>
      <c r="G630" s="48"/>
      <c r="H630" s="48"/>
      <c r="I630" s="48"/>
      <c r="J630" s="48"/>
      <c r="K630" s="48"/>
      <c r="L630" s="48"/>
      <c r="M630" s="48"/>
      <c r="N630" s="48"/>
      <c r="O630" s="48"/>
      <c r="P630" s="4"/>
      <c r="Q630" s="4"/>
      <c r="R630" s="4"/>
      <c r="S630" s="4"/>
      <c r="T630" s="4"/>
      <c r="U630" s="4"/>
      <c r="V630" s="4"/>
      <c r="W630" s="4"/>
      <c r="X630" s="4"/>
      <c r="Y630" s="4"/>
      <c r="Z630" s="4"/>
      <c r="AA630" s="4"/>
    </row>
    <row r="631">
      <c r="A631" s="48"/>
      <c r="B631" s="48"/>
      <c r="C631" s="4"/>
      <c r="D631" s="4"/>
      <c r="E631" s="4"/>
      <c r="F631" s="48"/>
      <c r="G631" s="48"/>
      <c r="H631" s="48"/>
      <c r="I631" s="48"/>
      <c r="J631" s="48"/>
      <c r="K631" s="48"/>
      <c r="L631" s="48"/>
      <c r="M631" s="48"/>
      <c r="N631" s="48"/>
      <c r="O631" s="48"/>
      <c r="P631" s="4"/>
      <c r="Q631" s="4"/>
      <c r="R631" s="4"/>
      <c r="S631" s="4"/>
      <c r="T631" s="4"/>
      <c r="U631" s="4"/>
      <c r="V631" s="4"/>
      <c r="W631" s="4"/>
      <c r="X631" s="4"/>
      <c r="Y631" s="4"/>
      <c r="Z631" s="4"/>
      <c r="AA631" s="4"/>
    </row>
    <row r="632">
      <c r="A632" s="48"/>
      <c r="B632" s="48"/>
      <c r="C632" s="4"/>
      <c r="D632" s="4"/>
      <c r="E632" s="4"/>
      <c r="F632" s="48"/>
      <c r="G632" s="48"/>
      <c r="H632" s="48"/>
      <c r="I632" s="48"/>
      <c r="J632" s="48"/>
      <c r="K632" s="48"/>
      <c r="L632" s="48"/>
      <c r="M632" s="48"/>
      <c r="N632" s="48"/>
      <c r="O632" s="48"/>
      <c r="P632" s="4"/>
      <c r="Q632" s="4"/>
      <c r="R632" s="4"/>
      <c r="S632" s="4"/>
      <c r="T632" s="4"/>
      <c r="U632" s="4"/>
      <c r="V632" s="4"/>
      <c r="W632" s="4"/>
      <c r="X632" s="4"/>
      <c r="Y632" s="4"/>
      <c r="Z632" s="4"/>
      <c r="AA632" s="4"/>
    </row>
    <row r="633">
      <c r="A633" s="48"/>
      <c r="B633" s="48"/>
      <c r="C633" s="4"/>
      <c r="D633" s="4"/>
      <c r="E633" s="4"/>
      <c r="F633" s="48"/>
      <c r="G633" s="48"/>
      <c r="H633" s="48"/>
      <c r="I633" s="48"/>
      <c r="J633" s="48"/>
      <c r="K633" s="48"/>
      <c r="L633" s="48"/>
      <c r="M633" s="48"/>
      <c r="N633" s="48"/>
      <c r="O633" s="48"/>
      <c r="P633" s="4"/>
      <c r="Q633" s="4"/>
      <c r="R633" s="4"/>
      <c r="S633" s="4"/>
      <c r="T633" s="4"/>
      <c r="U633" s="4"/>
      <c r="V633" s="4"/>
      <c r="W633" s="4"/>
      <c r="X633" s="4"/>
      <c r="Y633" s="4"/>
      <c r="Z633" s="4"/>
      <c r="AA633" s="4"/>
    </row>
    <row r="634">
      <c r="A634" s="48"/>
      <c r="B634" s="48"/>
      <c r="C634" s="4"/>
      <c r="D634" s="4"/>
      <c r="E634" s="4"/>
      <c r="F634" s="48"/>
      <c r="G634" s="48"/>
      <c r="H634" s="48"/>
      <c r="I634" s="48"/>
      <c r="J634" s="48"/>
      <c r="K634" s="48"/>
      <c r="L634" s="48"/>
      <c r="M634" s="48"/>
      <c r="N634" s="48"/>
      <c r="O634" s="48"/>
      <c r="P634" s="4"/>
      <c r="Q634" s="4"/>
      <c r="R634" s="4"/>
      <c r="S634" s="4"/>
      <c r="T634" s="4"/>
      <c r="U634" s="4"/>
      <c r="V634" s="4"/>
      <c r="W634" s="4"/>
      <c r="X634" s="4"/>
      <c r="Y634" s="4"/>
      <c r="Z634" s="4"/>
      <c r="AA634" s="4"/>
    </row>
    <row r="635">
      <c r="A635" s="48"/>
      <c r="B635" s="48"/>
      <c r="C635" s="4"/>
      <c r="D635" s="4"/>
      <c r="E635" s="4"/>
      <c r="F635" s="48"/>
      <c r="G635" s="48"/>
      <c r="H635" s="48"/>
      <c r="I635" s="48"/>
      <c r="J635" s="48"/>
      <c r="K635" s="48"/>
      <c r="L635" s="48"/>
      <c r="M635" s="48"/>
      <c r="N635" s="48"/>
      <c r="O635" s="48"/>
      <c r="P635" s="4"/>
      <c r="Q635" s="4"/>
      <c r="R635" s="4"/>
      <c r="S635" s="4"/>
      <c r="T635" s="4"/>
      <c r="U635" s="4"/>
      <c r="V635" s="4"/>
      <c r="W635" s="4"/>
      <c r="X635" s="4"/>
      <c r="Y635" s="4"/>
      <c r="Z635" s="4"/>
      <c r="AA635" s="4"/>
    </row>
    <row r="636">
      <c r="A636" s="48"/>
      <c r="B636" s="48"/>
      <c r="C636" s="4"/>
      <c r="D636" s="4"/>
      <c r="E636" s="4"/>
      <c r="F636" s="48"/>
      <c r="G636" s="48"/>
      <c r="H636" s="48"/>
      <c r="I636" s="48"/>
      <c r="J636" s="48"/>
      <c r="K636" s="48"/>
      <c r="L636" s="48"/>
      <c r="M636" s="48"/>
      <c r="N636" s="48"/>
      <c r="O636" s="48"/>
      <c r="P636" s="4"/>
      <c r="Q636" s="4"/>
      <c r="R636" s="4"/>
      <c r="S636" s="4"/>
      <c r="T636" s="4"/>
      <c r="U636" s="4"/>
      <c r="V636" s="4"/>
      <c r="W636" s="4"/>
      <c r="X636" s="4"/>
      <c r="Y636" s="4"/>
      <c r="Z636" s="4"/>
      <c r="AA636" s="4"/>
    </row>
    <row r="637">
      <c r="A637" s="48"/>
      <c r="B637" s="48"/>
      <c r="C637" s="4"/>
      <c r="D637" s="4"/>
      <c r="E637" s="4"/>
      <c r="F637" s="48"/>
      <c r="G637" s="48"/>
      <c r="H637" s="48"/>
      <c r="I637" s="48"/>
      <c r="J637" s="48"/>
      <c r="K637" s="48"/>
      <c r="L637" s="48"/>
      <c r="M637" s="48"/>
      <c r="N637" s="48"/>
      <c r="O637" s="48"/>
      <c r="P637" s="4"/>
      <c r="Q637" s="4"/>
      <c r="R637" s="4"/>
      <c r="S637" s="4"/>
      <c r="T637" s="4"/>
      <c r="U637" s="4"/>
      <c r="V637" s="4"/>
      <c r="W637" s="4"/>
      <c r="X637" s="4"/>
      <c r="Y637" s="4"/>
      <c r="Z637" s="4"/>
      <c r="AA637" s="4"/>
    </row>
    <row r="638">
      <c r="A638" s="48"/>
      <c r="B638" s="48"/>
      <c r="C638" s="4"/>
      <c r="D638" s="4"/>
      <c r="E638" s="4"/>
      <c r="F638" s="48"/>
      <c r="G638" s="48"/>
      <c r="H638" s="48"/>
      <c r="I638" s="48"/>
      <c r="J638" s="48"/>
      <c r="K638" s="48"/>
      <c r="L638" s="48"/>
      <c r="M638" s="48"/>
      <c r="N638" s="48"/>
      <c r="O638" s="48"/>
      <c r="P638" s="4"/>
      <c r="Q638" s="4"/>
      <c r="R638" s="4"/>
      <c r="S638" s="4"/>
      <c r="T638" s="4"/>
      <c r="U638" s="4"/>
      <c r="V638" s="4"/>
      <c r="W638" s="4"/>
      <c r="X638" s="4"/>
      <c r="Y638" s="4"/>
      <c r="Z638" s="4"/>
      <c r="AA638" s="4"/>
    </row>
    <row r="639">
      <c r="A639" s="48"/>
      <c r="B639" s="48"/>
      <c r="C639" s="4"/>
      <c r="D639" s="4"/>
      <c r="E639" s="4"/>
      <c r="F639" s="48"/>
      <c r="G639" s="48"/>
      <c r="H639" s="48"/>
      <c r="I639" s="48"/>
      <c r="J639" s="48"/>
      <c r="K639" s="48"/>
      <c r="L639" s="48"/>
      <c r="M639" s="48"/>
      <c r="N639" s="48"/>
      <c r="O639" s="48"/>
      <c r="P639" s="4"/>
      <c r="Q639" s="4"/>
      <c r="R639" s="4"/>
      <c r="S639" s="4"/>
      <c r="T639" s="4"/>
      <c r="U639" s="4"/>
      <c r="V639" s="4"/>
      <c r="W639" s="4"/>
      <c r="X639" s="4"/>
      <c r="Y639" s="4"/>
      <c r="Z639" s="4"/>
      <c r="AA639" s="4"/>
    </row>
    <row r="640">
      <c r="A640" s="48"/>
      <c r="B640" s="48"/>
      <c r="C640" s="4"/>
      <c r="D640" s="4"/>
      <c r="E640" s="4"/>
      <c r="F640" s="48"/>
      <c r="G640" s="48"/>
      <c r="H640" s="48"/>
      <c r="I640" s="48"/>
      <c r="J640" s="48"/>
      <c r="K640" s="48"/>
      <c r="L640" s="48"/>
      <c r="M640" s="48"/>
      <c r="N640" s="48"/>
      <c r="O640" s="48"/>
      <c r="P640" s="4"/>
      <c r="Q640" s="4"/>
      <c r="R640" s="4"/>
      <c r="S640" s="4"/>
      <c r="T640" s="4"/>
      <c r="U640" s="4"/>
      <c r="V640" s="4"/>
      <c r="W640" s="4"/>
      <c r="X640" s="4"/>
      <c r="Y640" s="4"/>
      <c r="Z640" s="4"/>
      <c r="AA640" s="4"/>
    </row>
    <row r="641">
      <c r="A641" s="48"/>
      <c r="B641" s="48"/>
      <c r="C641" s="4"/>
      <c r="D641" s="4"/>
      <c r="E641" s="4"/>
      <c r="F641" s="48"/>
      <c r="G641" s="48"/>
      <c r="H641" s="48"/>
      <c r="I641" s="48"/>
      <c r="J641" s="48"/>
      <c r="K641" s="48"/>
      <c r="L641" s="48"/>
      <c r="M641" s="48"/>
      <c r="N641" s="48"/>
      <c r="O641" s="48"/>
      <c r="P641" s="4"/>
      <c r="Q641" s="4"/>
      <c r="R641" s="4"/>
      <c r="S641" s="4"/>
      <c r="T641" s="4"/>
      <c r="U641" s="4"/>
      <c r="V641" s="4"/>
      <c r="W641" s="4"/>
      <c r="X641" s="4"/>
      <c r="Y641" s="4"/>
      <c r="Z641" s="4"/>
      <c r="AA641" s="4"/>
    </row>
    <row r="642">
      <c r="A642" s="48"/>
      <c r="B642" s="48"/>
      <c r="C642" s="4"/>
      <c r="D642" s="4"/>
      <c r="E642" s="4"/>
      <c r="F642" s="48"/>
      <c r="G642" s="48"/>
      <c r="H642" s="48"/>
      <c r="I642" s="48"/>
      <c r="J642" s="48"/>
      <c r="K642" s="48"/>
      <c r="L642" s="48"/>
      <c r="M642" s="48"/>
      <c r="N642" s="48"/>
      <c r="O642" s="48"/>
      <c r="P642" s="4"/>
      <c r="Q642" s="4"/>
      <c r="R642" s="4"/>
      <c r="S642" s="4"/>
      <c r="T642" s="4"/>
      <c r="U642" s="4"/>
      <c r="V642" s="4"/>
      <c r="W642" s="4"/>
      <c r="X642" s="4"/>
      <c r="Y642" s="4"/>
      <c r="Z642" s="4"/>
      <c r="AA642" s="4"/>
    </row>
    <row r="643">
      <c r="A643" s="48"/>
      <c r="B643" s="48"/>
      <c r="C643" s="4"/>
      <c r="D643" s="4"/>
      <c r="E643" s="4"/>
      <c r="F643" s="48"/>
      <c r="G643" s="48"/>
      <c r="H643" s="48"/>
      <c r="I643" s="48"/>
      <c r="J643" s="48"/>
      <c r="K643" s="48"/>
      <c r="L643" s="48"/>
      <c r="M643" s="48"/>
      <c r="N643" s="48"/>
      <c r="O643" s="48"/>
      <c r="P643" s="4"/>
      <c r="Q643" s="4"/>
      <c r="R643" s="4"/>
      <c r="S643" s="4"/>
      <c r="T643" s="4"/>
      <c r="U643" s="4"/>
      <c r="V643" s="4"/>
      <c r="W643" s="4"/>
      <c r="X643" s="4"/>
      <c r="Y643" s="4"/>
      <c r="Z643" s="4"/>
      <c r="AA643" s="4"/>
    </row>
    <row r="644">
      <c r="A644" s="48"/>
      <c r="B644" s="48"/>
      <c r="C644" s="4"/>
      <c r="D644" s="4"/>
      <c r="E644" s="4"/>
      <c r="F644" s="48"/>
      <c r="G644" s="48"/>
      <c r="H644" s="48"/>
      <c r="I644" s="48"/>
      <c r="J644" s="48"/>
      <c r="K644" s="48"/>
      <c r="L644" s="48"/>
      <c r="M644" s="48"/>
      <c r="N644" s="48"/>
      <c r="O644" s="48"/>
      <c r="P644" s="4"/>
      <c r="Q644" s="4"/>
      <c r="R644" s="4"/>
      <c r="S644" s="4"/>
      <c r="T644" s="4"/>
      <c r="U644" s="4"/>
      <c r="V644" s="4"/>
      <c r="W644" s="4"/>
      <c r="X644" s="4"/>
      <c r="Y644" s="4"/>
      <c r="Z644" s="4"/>
      <c r="AA644" s="4"/>
    </row>
    <row r="645">
      <c r="A645" s="48"/>
      <c r="B645" s="48"/>
      <c r="C645" s="4"/>
      <c r="D645" s="4"/>
      <c r="E645" s="4"/>
      <c r="F645" s="48"/>
      <c r="G645" s="48"/>
      <c r="H645" s="48"/>
      <c r="I645" s="48"/>
      <c r="J645" s="48"/>
      <c r="K645" s="48"/>
      <c r="L645" s="48"/>
      <c r="M645" s="48"/>
      <c r="N645" s="48"/>
      <c r="O645" s="48"/>
      <c r="P645" s="4"/>
      <c r="Q645" s="4"/>
      <c r="R645" s="4"/>
      <c r="S645" s="4"/>
      <c r="T645" s="4"/>
      <c r="U645" s="4"/>
      <c r="V645" s="4"/>
      <c r="W645" s="4"/>
      <c r="X645" s="4"/>
      <c r="Y645" s="4"/>
      <c r="Z645" s="4"/>
      <c r="AA645" s="4"/>
    </row>
    <row r="646">
      <c r="A646" s="48"/>
      <c r="B646" s="48"/>
      <c r="C646" s="4"/>
      <c r="D646" s="4"/>
      <c r="E646" s="4"/>
      <c r="F646" s="48"/>
      <c r="G646" s="48"/>
      <c r="H646" s="48"/>
      <c r="I646" s="48"/>
      <c r="J646" s="48"/>
      <c r="K646" s="48"/>
      <c r="L646" s="48"/>
      <c r="M646" s="48"/>
      <c r="N646" s="48"/>
      <c r="O646" s="48"/>
      <c r="P646" s="4"/>
      <c r="Q646" s="4"/>
      <c r="R646" s="4"/>
      <c r="S646" s="4"/>
      <c r="T646" s="4"/>
      <c r="U646" s="4"/>
      <c r="V646" s="4"/>
      <c r="W646" s="4"/>
      <c r="X646" s="4"/>
      <c r="Y646" s="4"/>
      <c r="Z646" s="4"/>
      <c r="AA646" s="4"/>
    </row>
    <row r="647">
      <c r="A647" s="48"/>
      <c r="B647" s="48"/>
      <c r="C647" s="4"/>
      <c r="D647" s="4"/>
      <c r="E647" s="4"/>
      <c r="F647" s="48"/>
      <c r="G647" s="48"/>
      <c r="H647" s="48"/>
      <c r="I647" s="48"/>
      <c r="J647" s="48"/>
      <c r="K647" s="48"/>
      <c r="L647" s="48"/>
      <c r="M647" s="48"/>
      <c r="N647" s="48"/>
      <c r="O647" s="48"/>
      <c r="P647" s="4"/>
      <c r="Q647" s="4"/>
      <c r="R647" s="4"/>
      <c r="S647" s="4"/>
      <c r="T647" s="4"/>
      <c r="U647" s="4"/>
      <c r="V647" s="4"/>
      <c r="W647" s="4"/>
      <c r="X647" s="4"/>
      <c r="Y647" s="4"/>
      <c r="Z647" s="4"/>
      <c r="AA647" s="4"/>
    </row>
    <row r="648">
      <c r="A648" s="48"/>
      <c r="B648" s="48"/>
      <c r="C648" s="4"/>
      <c r="D648" s="4"/>
      <c r="E648" s="4"/>
      <c r="F648" s="48"/>
      <c r="G648" s="48"/>
      <c r="H648" s="48"/>
      <c r="I648" s="48"/>
      <c r="J648" s="48"/>
      <c r="K648" s="48"/>
      <c r="L648" s="48"/>
      <c r="M648" s="48"/>
      <c r="N648" s="48"/>
      <c r="O648" s="48"/>
      <c r="P648" s="4"/>
      <c r="Q648" s="4"/>
      <c r="R648" s="4"/>
      <c r="S648" s="4"/>
      <c r="T648" s="4"/>
      <c r="U648" s="4"/>
      <c r="V648" s="4"/>
      <c r="W648" s="4"/>
      <c r="X648" s="4"/>
      <c r="Y648" s="4"/>
      <c r="Z648" s="4"/>
      <c r="AA648" s="4"/>
    </row>
    <row r="649">
      <c r="A649" s="48"/>
      <c r="B649" s="48"/>
      <c r="C649" s="4"/>
      <c r="D649" s="4"/>
      <c r="E649" s="4"/>
      <c r="F649" s="48"/>
      <c r="G649" s="48"/>
      <c r="H649" s="48"/>
      <c r="I649" s="48"/>
      <c r="J649" s="48"/>
      <c r="K649" s="48"/>
      <c r="L649" s="48"/>
      <c r="M649" s="48"/>
      <c r="N649" s="48"/>
      <c r="O649" s="48"/>
      <c r="P649" s="4"/>
      <c r="Q649" s="4"/>
      <c r="R649" s="4"/>
      <c r="S649" s="4"/>
      <c r="T649" s="4"/>
      <c r="U649" s="4"/>
      <c r="V649" s="4"/>
      <c r="W649" s="4"/>
      <c r="X649" s="4"/>
      <c r="Y649" s="4"/>
      <c r="Z649" s="4"/>
      <c r="AA649" s="4"/>
    </row>
    <row r="650">
      <c r="A650" s="48"/>
      <c r="B650" s="48"/>
      <c r="C650" s="4"/>
      <c r="D650" s="4"/>
      <c r="E650" s="4"/>
      <c r="F650" s="48"/>
      <c r="G650" s="48"/>
      <c r="H650" s="48"/>
      <c r="I650" s="48"/>
      <c r="J650" s="48"/>
      <c r="K650" s="48"/>
      <c r="L650" s="48"/>
      <c r="M650" s="48"/>
      <c r="N650" s="48"/>
      <c r="O650" s="48"/>
      <c r="P650" s="4"/>
      <c r="Q650" s="4"/>
      <c r="R650" s="4"/>
      <c r="S650" s="4"/>
      <c r="T650" s="4"/>
      <c r="U650" s="4"/>
      <c r="V650" s="4"/>
      <c r="W650" s="4"/>
      <c r="X650" s="4"/>
      <c r="Y650" s="4"/>
      <c r="Z650" s="4"/>
      <c r="AA650" s="4"/>
    </row>
    <row r="651">
      <c r="A651" s="48"/>
      <c r="B651" s="48"/>
      <c r="C651" s="4"/>
      <c r="D651" s="4"/>
      <c r="E651" s="4"/>
      <c r="F651" s="48"/>
      <c r="G651" s="48"/>
      <c r="H651" s="48"/>
      <c r="I651" s="48"/>
      <c r="J651" s="48"/>
      <c r="K651" s="48"/>
      <c r="L651" s="48"/>
      <c r="M651" s="48"/>
      <c r="N651" s="48"/>
      <c r="O651" s="48"/>
      <c r="P651" s="4"/>
      <c r="Q651" s="4"/>
      <c r="R651" s="4"/>
      <c r="S651" s="4"/>
      <c r="T651" s="4"/>
      <c r="U651" s="4"/>
      <c r="V651" s="4"/>
      <c r="W651" s="4"/>
      <c r="X651" s="4"/>
      <c r="Y651" s="4"/>
      <c r="Z651" s="4"/>
      <c r="AA651" s="4"/>
    </row>
    <row r="652">
      <c r="A652" s="48"/>
      <c r="B652" s="48"/>
      <c r="C652" s="4"/>
      <c r="D652" s="4"/>
      <c r="E652" s="4"/>
      <c r="F652" s="48"/>
      <c r="G652" s="48"/>
      <c r="H652" s="48"/>
      <c r="I652" s="48"/>
      <c r="J652" s="48"/>
      <c r="K652" s="48"/>
      <c r="L652" s="48"/>
      <c r="M652" s="48"/>
      <c r="N652" s="48"/>
      <c r="O652" s="48"/>
      <c r="P652" s="4"/>
      <c r="Q652" s="4"/>
      <c r="R652" s="4"/>
      <c r="S652" s="4"/>
      <c r="T652" s="4"/>
      <c r="U652" s="4"/>
      <c r="V652" s="4"/>
      <c r="W652" s="4"/>
      <c r="X652" s="4"/>
      <c r="Y652" s="4"/>
      <c r="Z652" s="4"/>
      <c r="AA652" s="4"/>
    </row>
    <row r="653">
      <c r="A653" s="48"/>
      <c r="B653" s="48"/>
      <c r="C653" s="4"/>
      <c r="D653" s="4"/>
      <c r="E653" s="4"/>
      <c r="F653" s="48"/>
      <c r="G653" s="48"/>
      <c r="H653" s="48"/>
      <c r="I653" s="48"/>
      <c r="J653" s="48"/>
      <c r="K653" s="48"/>
      <c r="L653" s="48"/>
      <c r="M653" s="48"/>
      <c r="N653" s="48"/>
      <c r="O653" s="48"/>
      <c r="P653" s="4"/>
      <c r="Q653" s="4"/>
      <c r="R653" s="4"/>
      <c r="S653" s="4"/>
      <c r="T653" s="4"/>
      <c r="U653" s="4"/>
      <c r="V653" s="4"/>
      <c r="W653" s="4"/>
      <c r="X653" s="4"/>
      <c r="Y653" s="4"/>
      <c r="Z653" s="4"/>
      <c r="AA653" s="4"/>
    </row>
    <row r="654">
      <c r="A654" s="48"/>
      <c r="B654" s="48"/>
      <c r="C654" s="4"/>
      <c r="D654" s="4"/>
      <c r="E654" s="4"/>
      <c r="F654" s="48"/>
      <c r="G654" s="48"/>
      <c r="H654" s="48"/>
      <c r="I654" s="48"/>
      <c r="J654" s="48"/>
      <c r="K654" s="48"/>
      <c r="L654" s="48"/>
      <c r="M654" s="48"/>
      <c r="N654" s="48"/>
      <c r="O654" s="48"/>
      <c r="P654" s="4"/>
      <c r="Q654" s="4"/>
      <c r="R654" s="4"/>
      <c r="S654" s="4"/>
      <c r="T654" s="4"/>
      <c r="U654" s="4"/>
      <c r="V654" s="4"/>
      <c r="W654" s="4"/>
      <c r="X654" s="4"/>
      <c r="Y654" s="4"/>
      <c r="Z654" s="4"/>
      <c r="AA654" s="4"/>
    </row>
    <row r="655">
      <c r="A655" s="48"/>
      <c r="B655" s="48"/>
      <c r="C655" s="4"/>
      <c r="D655" s="4"/>
      <c r="E655" s="4"/>
      <c r="F655" s="48"/>
      <c r="G655" s="48"/>
      <c r="H655" s="48"/>
      <c r="I655" s="48"/>
      <c r="J655" s="48"/>
      <c r="K655" s="48"/>
      <c r="L655" s="48"/>
      <c r="M655" s="48"/>
      <c r="N655" s="48"/>
      <c r="O655" s="48"/>
      <c r="P655" s="4"/>
      <c r="Q655" s="4"/>
      <c r="R655" s="4"/>
      <c r="S655" s="4"/>
      <c r="T655" s="4"/>
      <c r="U655" s="4"/>
      <c r="V655" s="4"/>
      <c r="W655" s="4"/>
      <c r="X655" s="4"/>
      <c r="Y655" s="4"/>
      <c r="Z655" s="4"/>
      <c r="AA655" s="4"/>
    </row>
    <row r="656">
      <c r="A656" s="48"/>
      <c r="B656" s="48"/>
      <c r="C656" s="4"/>
      <c r="D656" s="4"/>
      <c r="E656" s="4"/>
      <c r="F656" s="48"/>
      <c r="G656" s="48"/>
      <c r="H656" s="48"/>
      <c r="I656" s="48"/>
      <c r="J656" s="48"/>
      <c r="K656" s="48"/>
      <c r="L656" s="48"/>
      <c r="M656" s="48"/>
      <c r="N656" s="48"/>
      <c r="O656" s="48"/>
      <c r="P656" s="4"/>
      <c r="Q656" s="4"/>
      <c r="R656" s="4"/>
      <c r="S656" s="4"/>
      <c r="T656" s="4"/>
      <c r="U656" s="4"/>
      <c r="V656" s="4"/>
      <c r="W656" s="4"/>
      <c r="X656" s="4"/>
      <c r="Y656" s="4"/>
      <c r="Z656" s="4"/>
      <c r="AA656" s="4"/>
    </row>
    <row r="657">
      <c r="A657" s="48"/>
      <c r="B657" s="48"/>
      <c r="C657" s="4"/>
      <c r="D657" s="4"/>
      <c r="E657" s="4"/>
      <c r="F657" s="48"/>
      <c r="G657" s="48"/>
      <c r="H657" s="48"/>
      <c r="I657" s="48"/>
      <c r="J657" s="48"/>
      <c r="K657" s="48"/>
      <c r="L657" s="48"/>
      <c r="M657" s="48"/>
      <c r="N657" s="48"/>
      <c r="O657" s="48"/>
      <c r="P657" s="4"/>
      <c r="Q657" s="4"/>
      <c r="R657" s="4"/>
      <c r="S657" s="4"/>
      <c r="T657" s="4"/>
      <c r="U657" s="4"/>
      <c r="V657" s="4"/>
      <c r="W657" s="4"/>
      <c r="X657" s="4"/>
      <c r="Y657" s="4"/>
      <c r="Z657" s="4"/>
      <c r="AA657" s="4"/>
    </row>
    <row r="658">
      <c r="A658" s="48"/>
      <c r="B658" s="48"/>
      <c r="C658" s="4"/>
      <c r="D658" s="4"/>
      <c r="E658" s="4"/>
      <c r="F658" s="48"/>
      <c r="G658" s="48"/>
      <c r="H658" s="48"/>
      <c r="I658" s="48"/>
      <c r="J658" s="48"/>
      <c r="K658" s="48"/>
      <c r="L658" s="48"/>
      <c r="M658" s="48"/>
      <c r="N658" s="48"/>
      <c r="O658" s="48"/>
      <c r="P658" s="4"/>
      <c r="Q658" s="4"/>
      <c r="R658" s="4"/>
      <c r="S658" s="4"/>
      <c r="T658" s="4"/>
      <c r="U658" s="4"/>
      <c r="V658" s="4"/>
      <c r="W658" s="4"/>
      <c r="X658" s="4"/>
      <c r="Y658" s="4"/>
      <c r="Z658" s="4"/>
      <c r="AA658" s="4"/>
    </row>
    <row r="659">
      <c r="A659" s="48"/>
      <c r="B659" s="48"/>
      <c r="C659" s="4"/>
      <c r="D659" s="4"/>
      <c r="E659" s="4"/>
      <c r="F659" s="48"/>
      <c r="G659" s="48"/>
      <c r="H659" s="48"/>
      <c r="I659" s="48"/>
      <c r="J659" s="48"/>
      <c r="K659" s="48"/>
      <c r="L659" s="48"/>
      <c r="M659" s="48"/>
      <c r="N659" s="48"/>
      <c r="O659" s="48"/>
      <c r="P659" s="4"/>
      <c r="Q659" s="4"/>
      <c r="R659" s="4"/>
      <c r="S659" s="4"/>
      <c r="T659" s="4"/>
      <c r="U659" s="4"/>
      <c r="V659" s="4"/>
      <c r="W659" s="4"/>
      <c r="X659" s="4"/>
      <c r="Y659" s="4"/>
      <c r="Z659" s="4"/>
      <c r="AA659" s="4"/>
    </row>
    <row r="660">
      <c r="A660" s="48"/>
      <c r="B660" s="48"/>
      <c r="C660" s="4"/>
      <c r="D660" s="4"/>
      <c r="E660" s="4"/>
      <c r="F660" s="48"/>
      <c r="G660" s="48"/>
      <c r="H660" s="48"/>
      <c r="I660" s="48"/>
      <c r="J660" s="48"/>
      <c r="K660" s="48"/>
      <c r="L660" s="48"/>
      <c r="M660" s="48"/>
      <c r="N660" s="48"/>
      <c r="O660" s="48"/>
      <c r="P660" s="4"/>
      <c r="Q660" s="4"/>
      <c r="R660" s="4"/>
      <c r="S660" s="4"/>
      <c r="T660" s="4"/>
      <c r="U660" s="4"/>
      <c r="V660" s="4"/>
      <c r="W660" s="4"/>
      <c r="X660" s="4"/>
      <c r="Y660" s="4"/>
      <c r="Z660" s="4"/>
      <c r="AA660" s="4"/>
    </row>
    <row r="661">
      <c r="A661" s="48"/>
      <c r="B661" s="48"/>
      <c r="C661" s="4"/>
      <c r="D661" s="4"/>
      <c r="E661" s="4"/>
      <c r="F661" s="48"/>
      <c r="G661" s="48"/>
      <c r="H661" s="48"/>
      <c r="I661" s="48"/>
      <c r="J661" s="48"/>
      <c r="K661" s="48"/>
      <c r="L661" s="48"/>
      <c r="M661" s="48"/>
      <c r="N661" s="48"/>
      <c r="O661" s="48"/>
      <c r="P661" s="4"/>
      <c r="Q661" s="4"/>
      <c r="R661" s="4"/>
      <c r="S661" s="4"/>
      <c r="T661" s="4"/>
      <c r="U661" s="4"/>
      <c r="V661" s="4"/>
      <c r="W661" s="4"/>
      <c r="X661" s="4"/>
      <c r="Y661" s="4"/>
      <c r="Z661" s="4"/>
      <c r="AA661" s="4"/>
    </row>
    <row r="662">
      <c r="A662" s="48"/>
      <c r="B662" s="48"/>
      <c r="C662" s="4"/>
      <c r="D662" s="4"/>
      <c r="E662" s="4"/>
      <c r="F662" s="48"/>
      <c r="G662" s="48"/>
      <c r="H662" s="48"/>
      <c r="I662" s="48"/>
      <c r="J662" s="48"/>
      <c r="K662" s="48"/>
      <c r="L662" s="48"/>
      <c r="M662" s="48"/>
      <c r="N662" s="48"/>
      <c r="O662" s="48"/>
      <c r="P662" s="4"/>
      <c r="Q662" s="4"/>
      <c r="R662" s="4"/>
      <c r="S662" s="4"/>
      <c r="T662" s="4"/>
      <c r="U662" s="4"/>
      <c r="V662" s="4"/>
      <c r="W662" s="4"/>
      <c r="X662" s="4"/>
      <c r="Y662" s="4"/>
      <c r="Z662" s="4"/>
      <c r="AA662" s="4"/>
    </row>
    <row r="663">
      <c r="A663" s="48"/>
      <c r="B663" s="48"/>
      <c r="C663" s="4"/>
      <c r="D663" s="4"/>
      <c r="E663" s="4"/>
      <c r="F663" s="48"/>
      <c r="G663" s="48"/>
      <c r="H663" s="48"/>
      <c r="I663" s="48"/>
      <c r="J663" s="48"/>
      <c r="K663" s="48"/>
      <c r="L663" s="48"/>
      <c r="M663" s="48"/>
      <c r="N663" s="48"/>
      <c r="O663" s="48"/>
      <c r="P663" s="4"/>
      <c r="Q663" s="4"/>
      <c r="R663" s="4"/>
      <c r="S663" s="4"/>
      <c r="T663" s="4"/>
      <c r="U663" s="4"/>
      <c r="V663" s="4"/>
      <c r="W663" s="4"/>
      <c r="X663" s="4"/>
      <c r="Y663" s="4"/>
      <c r="Z663" s="4"/>
      <c r="AA663" s="4"/>
    </row>
    <row r="664">
      <c r="A664" s="48"/>
      <c r="B664" s="48"/>
      <c r="C664" s="4"/>
      <c r="D664" s="4"/>
      <c r="E664" s="4"/>
      <c r="F664" s="48"/>
      <c r="G664" s="48"/>
      <c r="H664" s="48"/>
      <c r="I664" s="48"/>
      <c r="J664" s="48"/>
      <c r="K664" s="48"/>
      <c r="L664" s="48"/>
      <c r="M664" s="48"/>
      <c r="N664" s="48"/>
      <c r="O664" s="48"/>
      <c r="P664" s="4"/>
      <c r="Q664" s="4"/>
      <c r="R664" s="4"/>
      <c r="S664" s="4"/>
      <c r="T664" s="4"/>
      <c r="U664" s="4"/>
      <c r="V664" s="4"/>
      <c r="W664" s="4"/>
      <c r="X664" s="4"/>
      <c r="Y664" s="4"/>
      <c r="Z664" s="4"/>
      <c r="AA664" s="4"/>
    </row>
    <row r="665">
      <c r="A665" s="48"/>
      <c r="B665" s="48"/>
      <c r="C665" s="4"/>
      <c r="D665" s="4"/>
      <c r="E665" s="4"/>
      <c r="F665" s="48"/>
      <c r="G665" s="48"/>
      <c r="H665" s="48"/>
      <c r="I665" s="48"/>
      <c r="J665" s="48"/>
      <c r="K665" s="48"/>
      <c r="L665" s="48"/>
      <c r="M665" s="48"/>
      <c r="N665" s="48"/>
      <c r="O665" s="48"/>
      <c r="P665" s="4"/>
      <c r="Q665" s="4"/>
      <c r="R665" s="4"/>
      <c r="S665" s="4"/>
      <c r="T665" s="4"/>
      <c r="U665" s="4"/>
      <c r="V665" s="4"/>
      <c r="W665" s="4"/>
      <c r="X665" s="4"/>
      <c r="Y665" s="4"/>
      <c r="Z665" s="4"/>
      <c r="AA665" s="4"/>
    </row>
    <row r="666">
      <c r="A666" s="48"/>
      <c r="B666" s="48"/>
      <c r="C666" s="4"/>
      <c r="D666" s="4"/>
      <c r="E666" s="4"/>
      <c r="F666" s="48"/>
      <c r="G666" s="48"/>
      <c r="H666" s="48"/>
      <c r="I666" s="48"/>
      <c r="J666" s="48"/>
      <c r="K666" s="48"/>
      <c r="L666" s="48"/>
      <c r="M666" s="48"/>
      <c r="N666" s="48"/>
      <c r="O666" s="48"/>
      <c r="P666" s="4"/>
      <c r="Q666" s="4"/>
      <c r="R666" s="4"/>
      <c r="S666" s="4"/>
      <c r="T666" s="4"/>
      <c r="U666" s="4"/>
      <c r="V666" s="4"/>
      <c r="W666" s="4"/>
      <c r="X666" s="4"/>
      <c r="Y666" s="4"/>
      <c r="Z666" s="4"/>
      <c r="AA666" s="4"/>
    </row>
    <row r="667">
      <c r="A667" s="48"/>
      <c r="B667" s="48"/>
      <c r="C667" s="4"/>
      <c r="D667" s="4"/>
      <c r="E667" s="4"/>
      <c r="F667" s="48"/>
      <c r="G667" s="48"/>
      <c r="H667" s="48"/>
      <c r="I667" s="48"/>
      <c r="J667" s="48"/>
      <c r="K667" s="48"/>
      <c r="L667" s="48"/>
      <c r="M667" s="48"/>
      <c r="N667" s="48"/>
      <c r="O667" s="48"/>
      <c r="P667" s="4"/>
      <c r="Q667" s="4"/>
      <c r="R667" s="4"/>
      <c r="S667" s="4"/>
      <c r="T667" s="4"/>
      <c r="U667" s="4"/>
      <c r="V667" s="4"/>
      <c r="W667" s="4"/>
      <c r="X667" s="4"/>
      <c r="Y667" s="4"/>
      <c r="Z667" s="4"/>
      <c r="AA667" s="4"/>
    </row>
    <row r="668">
      <c r="A668" s="48"/>
      <c r="B668" s="48"/>
      <c r="C668" s="4"/>
      <c r="D668" s="4"/>
      <c r="E668" s="4"/>
      <c r="F668" s="48"/>
      <c r="G668" s="48"/>
      <c r="H668" s="48"/>
      <c r="I668" s="48"/>
      <c r="J668" s="48"/>
      <c r="K668" s="48"/>
      <c r="L668" s="48"/>
      <c r="M668" s="48"/>
      <c r="N668" s="48"/>
      <c r="O668" s="48"/>
      <c r="P668" s="4"/>
      <c r="Q668" s="4"/>
      <c r="R668" s="4"/>
      <c r="S668" s="4"/>
      <c r="T668" s="4"/>
      <c r="U668" s="4"/>
      <c r="V668" s="4"/>
      <c r="W668" s="4"/>
      <c r="X668" s="4"/>
      <c r="Y668" s="4"/>
      <c r="Z668" s="4"/>
      <c r="AA668" s="4"/>
    </row>
    <row r="669">
      <c r="A669" s="48"/>
      <c r="B669" s="48"/>
      <c r="C669" s="4"/>
      <c r="D669" s="4"/>
      <c r="E669" s="4"/>
      <c r="F669" s="48"/>
      <c r="G669" s="48"/>
      <c r="H669" s="48"/>
      <c r="I669" s="48"/>
      <c r="J669" s="48"/>
      <c r="K669" s="48"/>
      <c r="L669" s="48"/>
      <c r="M669" s="48"/>
      <c r="N669" s="48"/>
      <c r="O669" s="48"/>
      <c r="P669" s="4"/>
      <c r="Q669" s="4"/>
      <c r="R669" s="4"/>
      <c r="S669" s="4"/>
      <c r="T669" s="4"/>
      <c r="U669" s="4"/>
      <c r="V669" s="4"/>
      <c r="W669" s="4"/>
      <c r="X669" s="4"/>
      <c r="Y669" s="4"/>
      <c r="Z669" s="4"/>
      <c r="AA669" s="4"/>
    </row>
    <row r="670">
      <c r="A670" s="48"/>
      <c r="B670" s="48"/>
      <c r="C670" s="4"/>
      <c r="D670" s="4"/>
      <c r="E670" s="4"/>
      <c r="F670" s="48"/>
      <c r="G670" s="48"/>
      <c r="H670" s="48"/>
      <c r="I670" s="48"/>
      <c r="J670" s="48"/>
      <c r="K670" s="48"/>
      <c r="L670" s="48"/>
      <c r="M670" s="48"/>
      <c r="N670" s="48"/>
      <c r="O670" s="48"/>
      <c r="P670" s="4"/>
      <c r="Q670" s="4"/>
      <c r="R670" s="4"/>
      <c r="S670" s="4"/>
      <c r="T670" s="4"/>
      <c r="U670" s="4"/>
      <c r="V670" s="4"/>
      <c r="W670" s="4"/>
      <c r="X670" s="4"/>
      <c r="Y670" s="4"/>
      <c r="Z670" s="4"/>
      <c r="AA670" s="4"/>
    </row>
    <row r="671">
      <c r="A671" s="48"/>
      <c r="B671" s="48"/>
      <c r="C671" s="4"/>
      <c r="D671" s="4"/>
      <c r="E671" s="4"/>
      <c r="F671" s="48"/>
      <c r="G671" s="48"/>
      <c r="H671" s="48"/>
      <c r="I671" s="48"/>
      <c r="J671" s="48"/>
      <c r="K671" s="48"/>
      <c r="L671" s="48"/>
      <c r="M671" s="48"/>
      <c r="N671" s="48"/>
      <c r="O671" s="48"/>
      <c r="P671" s="4"/>
      <c r="Q671" s="4"/>
      <c r="R671" s="4"/>
      <c r="S671" s="4"/>
      <c r="T671" s="4"/>
      <c r="U671" s="4"/>
      <c r="V671" s="4"/>
      <c r="W671" s="4"/>
      <c r="X671" s="4"/>
      <c r="Y671" s="4"/>
      <c r="Z671" s="4"/>
      <c r="AA671" s="4"/>
    </row>
    <row r="672">
      <c r="A672" s="48"/>
      <c r="B672" s="48"/>
      <c r="C672" s="4"/>
      <c r="D672" s="4"/>
      <c r="E672" s="4"/>
      <c r="F672" s="48"/>
      <c r="G672" s="48"/>
      <c r="H672" s="48"/>
      <c r="I672" s="48"/>
      <c r="J672" s="48"/>
      <c r="K672" s="48"/>
      <c r="L672" s="48"/>
      <c r="M672" s="48"/>
      <c r="N672" s="48"/>
      <c r="O672" s="48"/>
      <c r="P672" s="4"/>
      <c r="Q672" s="4"/>
      <c r="R672" s="4"/>
      <c r="S672" s="4"/>
      <c r="T672" s="4"/>
      <c r="U672" s="4"/>
      <c r="V672" s="4"/>
      <c r="W672" s="4"/>
      <c r="X672" s="4"/>
      <c r="Y672" s="4"/>
      <c r="Z672" s="4"/>
      <c r="AA672" s="4"/>
    </row>
    <row r="673">
      <c r="A673" s="48"/>
      <c r="B673" s="48"/>
      <c r="C673" s="4"/>
      <c r="D673" s="4"/>
      <c r="E673" s="4"/>
      <c r="F673" s="48"/>
      <c r="G673" s="48"/>
      <c r="H673" s="48"/>
      <c r="I673" s="48"/>
      <c r="J673" s="48"/>
      <c r="K673" s="48"/>
      <c r="L673" s="48"/>
      <c r="M673" s="48"/>
      <c r="N673" s="48"/>
      <c r="O673" s="48"/>
      <c r="P673" s="4"/>
      <c r="Q673" s="4"/>
      <c r="R673" s="4"/>
      <c r="S673" s="4"/>
      <c r="T673" s="4"/>
      <c r="U673" s="4"/>
      <c r="V673" s="4"/>
      <c r="W673" s="4"/>
      <c r="X673" s="4"/>
      <c r="Y673" s="4"/>
      <c r="Z673" s="4"/>
      <c r="AA673" s="4"/>
    </row>
    <row r="674">
      <c r="A674" s="48"/>
      <c r="B674" s="48"/>
      <c r="C674" s="4"/>
      <c r="D674" s="4"/>
      <c r="E674" s="4"/>
      <c r="F674" s="48"/>
      <c r="G674" s="48"/>
      <c r="H674" s="48"/>
      <c r="I674" s="48"/>
      <c r="J674" s="48"/>
      <c r="K674" s="48"/>
      <c r="L674" s="48"/>
      <c r="M674" s="48"/>
      <c r="N674" s="48"/>
      <c r="O674" s="48"/>
      <c r="P674" s="4"/>
      <c r="Q674" s="4"/>
      <c r="R674" s="4"/>
      <c r="S674" s="4"/>
      <c r="T674" s="4"/>
      <c r="U674" s="4"/>
      <c r="V674" s="4"/>
      <c r="W674" s="4"/>
      <c r="X674" s="4"/>
      <c r="Y674" s="4"/>
      <c r="Z674" s="4"/>
      <c r="AA674" s="4"/>
    </row>
    <row r="675">
      <c r="A675" s="48"/>
      <c r="B675" s="48"/>
      <c r="C675" s="4"/>
      <c r="D675" s="4"/>
      <c r="E675" s="4"/>
      <c r="F675" s="48"/>
      <c r="G675" s="48"/>
      <c r="H675" s="48"/>
      <c r="I675" s="48"/>
      <c r="J675" s="48"/>
      <c r="K675" s="48"/>
      <c r="L675" s="48"/>
      <c r="M675" s="48"/>
      <c r="N675" s="48"/>
      <c r="O675" s="48"/>
      <c r="P675" s="4"/>
      <c r="Q675" s="4"/>
      <c r="R675" s="4"/>
      <c r="S675" s="4"/>
      <c r="T675" s="4"/>
      <c r="U675" s="4"/>
      <c r="V675" s="4"/>
      <c r="W675" s="4"/>
      <c r="X675" s="4"/>
      <c r="Y675" s="4"/>
      <c r="Z675" s="4"/>
      <c r="AA675" s="4"/>
    </row>
    <row r="676">
      <c r="A676" s="48"/>
      <c r="B676" s="48"/>
      <c r="C676" s="4"/>
      <c r="D676" s="4"/>
      <c r="E676" s="4"/>
      <c r="F676" s="48"/>
      <c r="G676" s="48"/>
      <c r="H676" s="48"/>
      <c r="I676" s="48"/>
      <c r="J676" s="48"/>
      <c r="K676" s="48"/>
      <c r="L676" s="48"/>
      <c r="M676" s="48"/>
      <c r="N676" s="48"/>
      <c r="O676" s="48"/>
      <c r="P676" s="4"/>
      <c r="Q676" s="4"/>
      <c r="R676" s="4"/>
      <c r="S676" s="4"/>
      <c r="T676" s="4"/>
      <c r="U676" s="4"/>
      <c r="V676" s="4"/>
      <c r="W676" s="4"/>
      <c r="X676" s="4"/>
      <c r="Y676" s="4"/>
      <c r="Z676" s="4"/>
      <c r="AA676" s="4"/>
    </row>
    <row r="677">
      <c r="A677" s="48"/>
      <c r="B677" s="48"/>
      <c r="C677" s="4"/>
      <c r="D677" s="4"/>
      <c r="E677" s="4"/>
      <c r="F677" s="48"/>
      <c r="G677" s="48"/>
      <c r="H677" s="48"/>
      <c r="I677" s="48"/>
      <c r="J677" s="48"/>
      <c r="K677" s="48"/>
      <c r="L677" s="48"/>
      <c r="M677" s="48"/>
      <c r="N677" s="48"/>
      <c r="O677" s="48"/>
      <c r="P677" s="4"/>
      <c r="Q677" s="4"/>
      <c r="R677" s="4"/>
      <c r="S677" s="4"/>
      <c r="T677" s="4"/>
      <c r="U677" s="4"/>
      <c r="V677" s="4"/>
      <c r="W677" s="4"/>
      <c r="X677" s="4"/>
      <c r="Y677" s="4"/>
      <c r="Z677" s="4"/>
      <c r="AA677" s="4"/>
    </row>
    <row r="678">
      <c r="A678" s="48"/>
      <c r="B678" s="48"/>
      <c r="C678" s="4"/>
      <c r="D678" s="4"/>
      <c r="E678" s="4"/>
      <c r="F678" s="48"/>
      <c r="G678" s="48"/>
      <c r="H678" s="48"/>
      <c r="I678" s="48"/>
      <c r="J678" s="48"/>
      <c r="K678" s="48"/>
      <c r="L678" s="48"/>
      <c r="M678" s="48"/>
      <c r="N678" s="48"/>
      <c r="O678" s="48"/>
      <c r="P678" s="4"/>
      <c r="Q678" s="4"/>
      <c r="R678" s="4"/>
      <c r="S678" s="4"/>
      <c r="T678" s="4"/>
      <c r="U678" s="4"/>
      <c r="V678" s="4"/>
      <c r="W678" s="4"/>
      <c r="X678" s="4"/>
      <c r="Y678" s="4"/>
      <c r="Z678" s="4"/>
      <c r="AA678" s="4"/>
    </row>
    <row r="679">
      <c r="A679" s="48"/>
      <c r="B679" s="48"/>
      <c r="C679" s="4"/>
      <c r="D679" s="4"/>
      <c r="E679" s="4"/>
      <c r="F679" s="48"/>
      <c r="G679" s="48"/>
      <c r="H679" s="48"/>
      <c r="I679" s="48"/>
      <c r="J679" s="48"/>
      <c r="K679" s="48"/>
      <c r="L679" s="48"/>
      <c r="M679" s="48"/>
      <c r="N679" s="48"/>
      <c r="O679" s="48"/>
      <c r="P679" s="4"/>
      <c r="Q679" s="4"/>
      <c r="R679" s="4"/>
      <c r="S679" s="4"/>
      <c r="T679" s="4"/>
      <c r="U679" s="4"/>
      <c r="V679" s="4"/>
      <c r="W679" s="4"/>
      <c r="X679" s="4"/>
      <c r="Y679" s="4"/>
      <c r="Z679" s="4"/>
      <c r="AA679" s="4"/>
    </row>
    <row r="680">
      <c r="A680" s="48"/>
      <c r="B680" s="48"/>
      <c r="C680" s="4"/>
      <c r="D680" s="4"/>
      <c r="E680" s="4"/>
      <c r="F680" s="48"/>
      <c r="G680" s="48"/>
      <c r="H680" s="48"/>
      <c r="I680" s="48"/>
      <c r="J680" s="48"/>
      <c r="K680" s="48"/>
      <c r="L680" s="48"/>
      <c r="M680" s="48"/>
      <c r="N680" s="48"/>
      <c r="O680" s="48"/>
      <c r="P680" s="4"/>
      <c r="Q680" s="4"/>
      <c r="R680" s="4"/>
      <c r="S680" s="4"/>
      <c r="T680" s="4"/>
      <c r="U680" s="4"/>
      <c r="V680" s="4"/>
      <c r="W680" s="4"/>
      <c r="X680" s="4"/>
      <c r="Y680" s="4"/>
      <c r="Z680" s="4"/>
      <c r="AA680" s="4"/>
    </row>
    <row r="681">
      <c r="A681" s="48"/>
      <c r="B681" s="48"/>
      <c r="C681" s="4"/>
      <c r="D681" s="4"/>
      <c r="E681" s="4"/>
      <c r="F681" s="48"/>
      <c r="G681" s="48"/>
      <c r="H681" s="48"/>
      <c r="I681" s="48"/>
      <c r="J681" s="48"/>
      <c r="K681" s="48"/>
      <c r="L681" s="48"/>
      <c r="M681" s="48"/>
      <c r="N681" s="48"/>
      <c r="O681" s="48"/>
      <c r="P681" s="4"/>
      <c r="Q681" s="4"/>
      <c r="R681" s="4"/>
      <c r="S681" s="4"/>
      <c r="T681" s="4"/>
      <c r="U681" s="4"/>
      <c r="V681" s="4"/>
      <c r="W681" s="4"/>
      <c r="X681" s="4"/>
      <c r="Y681" s="4"/>
      <c r="Z681" s="4"/>
      <c r="AA681" s="4"/>
    </row>
    <row r="682">
      <c r="A682" s="48"/>
      <c r="B682" s="48"/>
      <c r="C682" s="4"/>
      <c r="D682" s="4"/>
      <c r="E682" s="4"/>
      <c r="F682" s="48"/>
      <c r="G682" s="48"/>
      <c r="H682" s="48"/>
      <c r="I682" s="48"/>
      <c r="J682" s="48"/>
      <c r="K682" s="48"/>
      <c r="L682" s="48"/>
      <c r="M682" s="48"/>
      <c r="N682" s="48"/>
      <c r="O682" s="48"/>
      <c r="P682" s="4"/>
      <c r="Q682" s="4"/>
      <c r="R682" s="4"/>
      <c r="S682" s="4"/>
      <c r="T682" s="4"/>
      <c r="U682" s="4"/>
      <c r="V682" s="4"/>
      <c r="W682" s="4"/>
      <c r="X682" s="4"/>
      <c r="Y682" s="4"/>
      <c r="Z682" s="4"/>
      <c r="AA682" s="4"/>
    </row>
    <row r="683">
      <c r="A683" s="48"/>
      <c r="B683" s="48"/>
      <c r="C683" s="4"/>
      <c r="D683" s="4"/>
      <c r="E683" s="4"/>
      <c r="F683" s="48"/>
      <c r="G683" s="48"/>
      <c r="H683" s="48"/>
      <c r="I683" s="48"/>
      <c r="J683" s="48"/>
      <c r="K683" s="48"/>
      <c r="L683" s="48"/>
      <c r="M683" s="48"/>
      <c r="N683" s="48"/>
      <c r="O683" s="48"/>
      <c r="P683" s="4"/>
      <c r="Q683" s="4"/>
      <c r="R683" s="4"/>
      <c r="S683" s="4"/>
      <c r="T683" s="4"/>
      <c r="U683" s="4"/>
      <c r="V683" s="4"/>
      <c r="W683" s="4"/>
      <c r="X683" s="4"/>
      <c r="Y683" s="4"/>
      <c r="Z683" s="4"/>
      <c r="AA683" s="4"/>
    </row>
    <row r="684">
      <c r="A684" s="48"/>
      <c r="B684" s="48"/>
      <c r="C684" s="4"/>
      <c r="D684" s="4"/>
      <c r="E684" s="4"/>
      <c r="F684" s="48"/>
      <c r="G684" s="48"/>
      <c r="H684" s="48"/>
      <c r="I684" s="48"/>
      <c r="J684" s="48"/>
      <c r="K684" s="48"/>
      <c r="L684" s="48"/>
      <c r="M684" s="48"/>
      <c r="N684" s="48"/>
      <c r="O684" s="48"/>
      <c r="P684" s="4"/>
      <c r="Q684" s="4"/>
      <c r="R684" s="4"/>
      <c r="S684" s="4"/>
      <c r="T684" s="4"/>
      <c r="U684" s="4"/>
      <c r="V684" s="4"/>
      <c r="W684" s="4"/>
      <c r="X684" s="4"/>
      <c r="Y684" s="4"/>
      <c r="Z684" s="4"/>
      <c r="AA684" s="4"/>
    </row>
    <row r="685">
      <c r="A685" s="48"/>
      <c r="B685" s="48"/>
      <c r="C685" s="4"/>
      <c r="D685" s="4"/>
      <c r="E685" s="4"/>
      <c r="F685" s="48"/>
      <c r="G685" s="48"/>
      <c r="H685" s="48"/>
      <c r="I685" s="48"/>
      <c r="J685" s="48"/>
      <c r="K685" s="48"/>
      <c r="L685" s="48"/>
      <c r="M685" s="48"/>
      <c r="N685" s="48"/>
      <c r="O685" s="48"/>
      <c r="P685" s="4"/>
      <c r="Q685" s="4"/>
      <c r="R685" s="4"/>
      <c r="S685" s="4"/>
      <c r="T685" s="4"/>
      <c r="U685" s="4"/>
      <c r="V685" s="4"/>
      <c r="W685" s="4"/>
      <c r="X685" s="4"/>
      <c r="Y685" s="4"/>
      <c r="Z685" s="4"/>
      <c r="AA685" s="4"/>
    </row>
    <row r="686">
      <c r="A686" s="48"/>
      <c r="B686" s="48"/>
      <c r="C686" s="4"/>
      <c r="D686" s="4"/>
      <c r="E686" s="4"/>
      <c r="F686" s="48"/>
      <c r="G686" s="48"/>
      <c r="H686" s="48"/>
      <c r="I686" s="48"/>
      <c r="J686" s="48"/>
      <c r="K686" s="48"/>
      <c r="L686" s="48"/>
      <c r="M686" s="48"/>
      <c r="N686" s="48"/>
      <c r="O686" s="48"/>
      <c r="P686" s="4"/>
      <c r="Q686" s="4"/>
      <c r="R686" s="4"/>
      <c r="S686" s="4"/>
      <c r="T686" s="4"/>
      <c r="U686" s="4"/>
      <c r="V686" s="4"/>
      <c r="W686" s="4"/>
      <c r="X686" s="4"/>
      <c r="Y686" s="4"/>
      <c r="Z686" s="4"/>
      <c r="AA686" s="4"/>
    </row>
    <row r="687">
      <c r="A687" s="48"/>
      <c r="B687" s="48"/>
      <c r="C687" s="4"/>
      <c r="D687" s="4"/>
      <c r="E687" s="4"/>
      <c r="F687" s="48"/>
      <c r="G687" s="48"/>
      <c r="H687" s="48"/>
      <c r="I687" s="48"/>
      <c r="J687" s="48"/>
      <c r="K687" s="48"/>
      <c r="L687" s="48"/>
      <c r="M687" s="48"/>
      <c r="N687" s="48"/>
      <c r="O687" s="48"/>
      <c r="P687" s="4"/>
      <c r="Q687" s="4"/>
      <c r="R687" s="4"/>
      <c r="S687" s="4"/>
      <c r="T687" s="4"/>
      <c r="U687" s="4"/>
      <c r="V687" s="4"/>
      <c r="W687" s="4"/>
      <c r="X687" s="4"/>
      <c r="Y687" s="4"/>
      <c r="Z687" s="4"/>
      <c r="AA687" s="4"/>
    </row>
    <row r="688">
      <c r="A688" s="48"/>
      <c r="B688" s="48"/>
      <c r="C688" s="4"/>
      <c r="D688" s="4"/>
      <c r="E688" s="4"/>
      <c r="F688" s="48"/>
      <c r="G688" s="48"/>
      <c r="H688" s="48"/>
      <c r="I688" s="48"/>
      <c r="J688" s="48"/>
      <c r="K688" s="48"/>
      <c r="L688" s="48"/>
      <c r="M688" s="48"/>
      <c r="N688" s="48"/>
      <c r="O688" s="48"/>
      <c r="P688" s="4"/>
      <c r="Q688" s="4"/>
      <c r="R688" s="4"/>
      <c r="S688" s="4"/>
      <c r="T688" s="4"/>
      <c r="U688" s="4"/>
      <c r="V688" s="4"/>
      <c r="W688" s="4"/>
      <c r="X688" s="4"/>
      <c r="Y688" s="4"/>
      <c r="Z688" s="4"/>
      <c r="AA688" s="4"/>
    </row>
    <row r="689">
      <c r="A689" s="48"/>
      <c r="B689" s="48"/>
      <c r="C689" s="4"/>
      <c r="D689" s="4"/>
      <c r="E689" s="4"/>
      <c r="F689" s="48"/>
      <c r="G689" s="48"/>
      <c r="H689" s="48"/>
      <c r="I689" s="48"/>
      <c r="J689" s="48"/>
      <c r="K689" s="48"/>
      <c r="L689" s="48"/>
      <c r="M689" s="48"/>
      <c r="N689" s="48"/>
      <c r="O689" s="48"/>
      <c r="P689" s="4"/>
      <c r="Q689" s="4"/>
      <c r="R689" s="4"/>
      <c r="S689" s="4"/>
      <c r="T689" s="4"/>
      <c r="U689" s="4"/>
      <c r="V689" s="4"/>
      <c r="W689" s="4"/>
      <c r="X689" s="4"/>
      <c r="Y689" s="4"/>
      <c r="Z689" s="4"/>
      <c r="AA689" s="4"/>
    </row>
    <row r="690">
      <c r="A690" s="48"/>
      <c r="B690" s="48"/>
      <c r="C690" s="4"/>
      <c r="D690" s="4"/>
      <c r="E690" s="4"/>
      <c r="F690" s="48"/>
      <c r="G690" s="48"/>
      <c r="H690" s="48"/>
      <c r="I690" s="48"/>
      <c r="J690" s="48"/>
      <c r="K690" s="48"/>
      <c r="L690" s="48"/>
      <c r="M690" s="48"/>
      <c r="N690" s="48"/>
      <c r="O690" s="48"/>
      <c r="P690" s="4"/>
      <c r="Q690" s="4"/>
      <c r="R690" s="4"/>
      <c r="S690" s="4"/>
      <c r="T690" s="4"/>
      <c r="U690" s="4"/>
      <c r="V690" s="4"/>
      <c r="W690" s="4"/>
      <c r="X690" s="4"/>
      <c r="Y690" s="4"/>
      <c r="Z690" s="4"/>
      <c r="AA690" s="4"/>
    </row>
    <row r="691">
      <c r="A691" s="48"/>
      <c r="B691" s="48"/>
      <c r="C691" s="4"/>
      <c r="D691" s="4"/>
      <c r="E691" s="4"/>
      <c r="F691" s="48"/>
      <c r="G691" s="48"/>
      <c r="H691" s="48"/>
      <c r="I691" s="48"/>
      <c r="J691" s="48"/>
      <c r="K691" s="48"/>
      <c r="L691" s="48"/>
      <c r="M691" s="48"/>
      <c r="N691" s="48"/>
      <c r="O691" s="48"/>
      <c r="P691" s="4"/>
      <c r="Q691" s="4"/>
      <c r="R691" s="4"/>
      <c r="S691" s="4"/>
      <c r="T691" s="4"/>
      <c r="U691" s="4"/>
      <c r="V691" s="4"/>
      <c r="W691" s="4"/>
      <c r="X691" s="4"/>
      <c r="Y691" s="4"/>
      <c r="Z691" s="4"/>
      <c r="AA691" s="4"/>
    </row>
    <row r="692">
      <c r="A692" s="48"/>
      <c r="B692" s="48"/>
      <c r="C692" s="4"/>
      <c r="D692" s="4"/>
      <c r="E692" s="4"/>
      <c r="F692" s="48"/>
      <c r="G692" s="48"/>
      <c r="H692" s="48"/>
      <c r="I692" s="48"/>
      <c r="J692" s="48"/>
      <c r="K692" s="48"/>
      <c r="L692" s="48"/>
      <c r="M692" s="48"/>
      <c r="N692" s="48"/>
      <c r="O692" s="48"/>
      <c r="P692" s="4"/>
      <c r="Q692" s="4"/>
      <c r="R692" s="4"/>
      <c r="S692" s="4"/>
      <c r="T692" s="4"/>
      <c r="U692" s="4"/>
      <c r="V692" s="4"/>
      <c r="W692" s="4"/>
      <c r="X692" s="4"/>
      <c r="Y692" s="4"/>
      <c r="Z692" s="4"/>
      <c r="AA692" s="4"/>
    </row>
    <row r="693">
      <c r="A693" s="48"/>
      <c r="B693" s="48"/>
      <c r="C693" s="4"/>
      <c r="D693" s="4"/>
      <c r="E693" s="4"/>
      <c r="F693" s="48"/>
      <c r="G693" s="48"/>
      <c r="H693" s="48"/>
      <c r="I693" s="48"/>
      <c r="J693" s="48"/>
      <c r="K693" s="48"/>
      <c r="L693" s="48"/>
      <c r="M693" s="48"/>
      <c r="N693" s="48"/>
      <c r="O693" s="48"/>
      <c r="P693" s="4"/>
      <c r="Q693" s="4"/>
      <c r="R693" s="4"/>
      <c r="S693" s="4"/>
      <c r="T693" s="4"/>
      <c r="U693" s="4"/>
      <c r="V693" s="4"/>
      <c r="W693" s="4"/>
      <c r="X693" s="4"/>
      <c r="Y693" s="4"/>
      <c r="Z693" s="4"/>
      <c r="AA693" s="4"/>
    </row>
    <row r="694">
      <c r="A694" s="48"/>
      <c r="B694" s="48"/>
      <c r="C694" s="4"/>
      <c r="D694" s="4"/>
      <c r="E694" s="4"/>
      <c r="F694" s="48"/>
      <c r="G694" s="48"/>
      <c r="H694" s="48"/>
      <c r="I694" s="48"/>
      <c r="J694" s="48"/>
      <c r="K694" s="48"/>
      <c r="L694" s="48"/>
      <c r="M694" s="48"/>
      <c r="N694" s="48"/>
      <c r="O694" s="48"/>
      <c r="P694" s="4"/>
      <c r="Q694" s="4"/>
      <c r="R694" s="4"/>
      <c r="S694" s="4"/>
      <c r="T694" s="4"/>
      <c r="U694" s="4"/>
      <c r="V694" s="4"/>
      <c r="W694" s="4"/>
      <c r="X694" s="4"/>
      <c r="Y694" s="4"/>
      <c r="Z694" s="4"/>
      <c r="AA694" s="4"/>
    </row>
    <row r="695">
      <c r="A695" s="48"/>
      <c r="B695" s="48"/>
      <c r="C695" s="4"/>
      <c r="D695" s="4"/>
      <c r="E695" s="4"/>
      <c r="F695" s="48"/>
      <c r="G695" s="48"/>
      <c r="H695" s="48"/>
      <c r="I695" s="48"/>
      <c r="J695" s="48"/>
      <c r="K695" s="48"/>
      <c r="L695" s="48"/>
      <c r="M695" s="48"/>
      <c r="N695" s="48"/>
      <c r="O695" s="48"/>
      <c r="P695" s="4"/>
      <c r="Q695" s="4"/>
      <c r="R695" s="4"/>
      <c r="S695" s="4"/>
      <c r="T695" s="4"/>
      <c r="U695" s="4"/>
      <c r="V695" s="4"/>
      <c r="W695" s="4"/>
      <c r="X695" s="4"/>
      <c r="Y695" s="4"/>
      <c r="Z695" s="4"/>
      <c r="AA695" s="4"/>
    </row>
    <row r="696">
      <c r="A696" s="48"/>
      <c r="B696" s="48"/>
      <c r="C696" s="4"/>
      <c r="D696" s="4"/>
      <c r="E696" s="4"/>
      <c r="F696" s="48"/>
      <c r="G696" s="48"/>
      <c r="H696" s="48"/>
      <c r="I696" s="48"/>
      <c r="J696" s="48"/>
      <c r="K696" s="48"/>
      <c r="L696" s="48"/>
      <c r="M696" s="48"/>
      <c r="N696" s="48"/>
      <c r="O696" s="48"/>
      <c r="P696" s="4"/>
      <c r="Q696" s="4"/>
      <c r="R696" s="4"/>
      <c r="S696" s="4"/>
      <c r="T696" s="4"/>
      <c r="U696" s="4"/>
      <c r="V696" s="4"/>
      <c r="W696" s="4"/>
      <c r="X696" s="4"/>
      <c r="Y696" s="4"/>
      <c r="Z696" s="4"/>
      <c r="AA696" s="4"/>
    </row>
    <row r="697">
      <c r="A697" s="48"/>
      <c r="B697" s="48"/>
      <c r="C697" s="4"/>
      <c r="D697" s="4"/>
      <c r="E697" s="4"/>
      <c r="F697" s="48"/>
      <c r="G697" s="48"/>
      <c r="H697" s="48"/>
      <c r="I697" s="48"/>
      <c r="J697" s="48"/>
      <c r="K697" s="48"/>
      <c r="L697" s="48"/>
      <c r="M697" s="48"/>
      <c r="N697" s="48"/>
      <c r="O697" s="48"/>
      <c r="P697" s="4"/>
      <c r="Q697" s="4"/>
      <c r="R697" s="4"/>
      <c r="S697" s="4"/>
      <c r="T697" s="4"/>
      <c r="U697" s="4"/>
      <c r="V697" s="4"/>
      <c r="W697" s="4"/>
      <c r="X697" s="4"/>
      <c r="Y697" s="4"/>
      <c r="Z697" s="4"/>
      <c r="AA697" s="4"/>
    </row>
    <row r="698">
      <c r="A698" s="48"/>
      <c r="B698" s="48"/>
      <c r="C698" s="4"/>
      <c r="D698" s="4"/>
      <c r="E698" s="4"/>
      <c r="F698" s="48"/>
      <c r="G698" s="48"/>
      <c r="H698" s="48"/>
      <c r="I698" s="48"/>
      <c r="J698" s="48"/>
      <c r="K698" s="48"/>
      <c r="L698" s="48"/>
      <c r="M698" s="48"/>
      <c r="N698" s="48"/>
      <c r="O698" s="48"/>
      <c r="P698" s="4"/>
      <c r="Q698" s="4"/>
      <c r="R698" s="4"/>
      <c r="S698" s="4"/>
      <c r="T698" s="4"/>
      <c r="U698" s="4"/>
      <c r="V698" s="4"/>
      <c r="W698" s="4"/>
      <c r="X698" s="4"/>
      <c r="Y698" s="4"/>
      <c r="Z698" s="4"/>
      <c r="AA698" s="4"/>
    </row>
    <row r="699">
      <c r="A699" s="48"/>
      <c r="B699" s="48"/>
      <c r="C699" s="4"/>
      <c r="D699" s="4"/>
      <c r="E699" s="4"/>
      <c r="F699" s="48"/>
      <c r="G699" s="48"/>
      <c r="H699" s="48"/>
      <c r="I699" s="48"/>
      <c r="J699" s="48"/>
      <c r="K699" s="48"/>
      <c r="L699" s="48"/>
      <c r="M699" s="48"/>
      <c r="N699" s="48"/>
      <c r="O699" s="48"/>
      <c r="P699" s="4"/>
      <c r="Q699" s="4"/>
      <c r="R699" s="4"/>
      <c r="S699" s="4"/>
      <c r="T699" s="4"/>
      <c r="U699" s="4"/>
      <c r="V699" s="4"/>
      <c r="W699" s="4"/>
      <c r="X699" s="4"/>
      <c r="Y699" s="4"/>
      <c r="Z699" s="4"/>
      <c r="AA699" s="4"/>
    </row>
    <row r="700">
      <c r="A700" s="48"/>
      <c r="B700" s="48"/>
      <c r="C700" s="4"/>
      <c r="D700" s="4"/>
      <c r="E700" s="4"/>
      <c r="F700" s="48"/>
      <c r="G700" s="48"/>
      <c r="H700" s="48"/>
      <c r="I700" s="48"/>
      <c r="J700" s="48"/>
      <c r="K700" s="48"/>
      <c r="L700" s="48"/>
      <c r="M700" s="48"/>
      <c r="N700" s="48"/>
      <c r="O700" s="48"/>
      <c r="P700" s="4"/>
      <c r="Q700" s="4"/>
      <c r="R700" s="4"/>
      <c r="S700" s="4"/>
      <c r="T700" s="4"/>
      <c r="U700" s="4"/>
      <c r="V700" s="4"/>
      <c r="W700" s="4"/>
      <c r="X700" s="4"/>
      <c r="Y700" s="4"/>
      <c r="Z700" s="4"/>
      <c r="AA700" s="4"/>
    </row>
    <row r="701">
      <c r="A701" s="48"/>
      <c r="B701" s="48"/>
      <c r="C701" s="4"/>
      <c r="D701" s="4"/>
      <c r="E701" s="4"/>
      <c r="F701" s="48"/>
      <c r="G701" s="48"/>
      <c r="H701" s="48"/>
      <c r="I701" s="48"/>
      <c r="J701" s="48"/>
      <c r="K701" s="48"/>
      <c r="L701" s="48"/>
      <c r="M701" s="48"/>
      <c r="N701" s="48"/>
      <c r="O701" s="48"/>
      <c r="P701" s="4"/>
      <c r="Q701" s="4"/>
      <c r="R701" s="4"/>
      <c r="S701" s="4"/>
      <c r="T701" s="4"/>
      <c r="U701" s="4"/>
      <c r="V701" s="4"/>
      <c r="W701" s="4"/>
      <c r="X701" s="4"/>
      <c r="Y701" s="4"/>
      <c r="Z701" s="4"/>
      <c r="AA701" s="4"/>
    </row>
    <row r="702">
      <c r="A702" s="48"/>
      <c r="B702" s="48"/>
      <c r="C702" s="4"/>
      <c r="D702" s="4"/>
      <c r="E702" s="4"/>
      <c r="F702" s="48"/>
      <c r="G702" s="48"/>
      <c r="H702" s="48"/>
      <c r="I702" s="48"/>
      <c r="J702" s="48"/>
      <c r="K702" s="48"/>
      <c r="L702" s="48"/>
      <c r="M702" s="48"/>
      <c r="N702" s="48"/>
      <c r="O702" s="48"/>
      <c r="P702" s="4"/>
      <c r="Q702" s="4"/>
      <c r="R702" s="4"/>
      <c r="S702" s="4"/>
      <c r="T702" s="4"/>
      <c r="U702" s="4"/>
      <c r="V702" s="4"/>
      <c r="W702" s="4"/>
      <c r="X702" s="4"/>
      <c r="Y702" s="4"/>
      <c r="Z702" s="4"/>
      <c r="AA702" s="4"/>
    </row>
    <row r="703">
      <c r="A703" s="48"/>
      <c r="B703" s="48"/>
      <c r="C703" s="4"/>
      <c r="D703" s="4"/>
      <c r="E703" s="4"/>
      <c r="F703" s="48"/>
      <c r="G703" s="48"/>
      <c r="H703" s="48"/>
      <c r="I703" s="48"/>
      <c r="J703" s="48"/>
      <c r="K703" s="48"/>
      <c r="L703" s="48"/>
      <c r="M703" s="48"/>
      <c r="N703" s="48"/>
      <c r="O703" s="48"/>
      <c r="P703" s="4"/>
      <c r="Q703" s="4"/>
      <c r="R703" s="4"/>
      <c r="S703" s="4"/>
      <c r="T703" s="4"/>
      <c r="U703" s="4"/>
      <c r="V703" s="4"/>
      <c r="W703" s="4"/>
      <c r="X703" s="4"/>
      <c r="Y703" s="4"/>
      <c r="Z703" s="4"/>
      <c r="AA703" s="4"/>
    </row>
    <row r="704">
      <c r="A704" s="48"/>
      <c r="B704" s="48"/>
      <c r="C704" s="4"/>
      <c r="D704" s="4"/>
      <c r="E704" s="4"/>
      <c r="F704" s="48"/>
      <c r="G704" s="48"/>
      <c r="H704" s="48"/>
      <c r="I704" s="48"/>
      <c r="J704" s="48"/>
      <c r="K704" s="48"/>
      <c r="L704" s="48"/>
      <c r="M704" s="48"/>
      <c r="N704" s="48"/>
      <c r="O704" s="48"/>
      <c r="P704" s="4"/>
      <c r="Q704" s="4"/>
      <c r="R704" s="4"/>
      <c r="S704" s="4"/>
      <c r="T704" s="4"/>
      <c r="U704" s="4"/>
      <c r="V704" s="4"/>
      <c r="W704" s="4"/>
      <c r="X704" s="4"/>
      <c r="Y704" s="4"/>
      <c r="Z704" s="4"/>
      <c r="AA704" s="4"/>
    </row>
    <row r="705">
      <c r="A705" s="48"/>
      <c r="B705" s="48"/>
      <c r="C705" s="4"/>
      <c r="D705" s="4"/>
      <c r="E705" s="4"/>
      <c r="F705" s="48"/>
      <c r="G705" s="48"/>
      <c r="H705" s="48"/>
      <c r="I705" s="48"/>
      <c r="J705" s="48"/>
      <c r="K705" s="48"/>
      <c r="L705" s="48"/>
      <c r="M705" s="48"/>
      <c r="N705" s="48"/>
      <c r="O705" s="48"/>
      <c r="P705" s="4"/>
      <c r="Q705" s="4"/>
      <c r="R705" s="4"/>
      <c r="S705" s="4"/>
      <c r="T705" s="4"/>
      <c r="U705" s="4"/>
      <c r="V705" s="4"/>
      <c r="W705" s="4"/>
      <c r="X705" s="4"/>
      <c r="Y705" s="4"/>
      <c r="Z705" s="4"/>
      <c r="AA705" s="4"/>
    </row>
    <row r="706">
      <c r="A706" s="48"/>
      <c r="B706" s="48"/>
      <c r="C706" s="4"/>
      <c r="D706" s="4"/>
      <c r="E706" s="4"/>
      <c r="F706" s="48"/>
      <c r="G706" s="48"/>
      <c r="H706" s="48"/>
      <c r="I706" s="48"/>
      <c r="J706" s="48"/>
      <c r="K706" s="48"/>
      <c r="L706" s="48"/>
      <c r="M706" s="48"/>
      <c r="N706" s="48"/>
      <c r="O706" s="48"/>
      <c r="P706" s="4"/>
      <c r="Q706" s="4"/>
      <c r="R706" s="4"/>
      <c r="S706" s="4"/>
      <c r="T706" s="4"/>
      <c r="U706" s="4"/>
      <c r="V706" s="4"/>
      <c r="W706" s="4"/>
      <c r="X706" s="4"/>
      <c r="Y706" s="4"/>
      <c r="Z706" s="4"/>
      <c r="AA706" s="4"/>
    </row>
    <row r="707">
      <c r="A707" s="48"/>
      <c r="B707" s="48"/>
      <c r="C707" s="4"/>
      <c r="D707" s="4"/>
      <c r="E707" s="4"/>
      <c r="F707" s="48"/>
      <c r="G707" s="48"/>
      <c r="H707" s="48"/>
      <c r="I707" s="48"/>
      <c r="J707" s="48"/>
      <c r="K707" s="48"/>
      <c r="L707" s="48"/>
      <c r="M707" s="48"/>
      <c r="N707" s="48"/>
      <c r="O707" s="48"/>
      <c r="P707" s="4"/>
      <c r="Q707" s="4"/>
      <c r="R707" s="4"/>
      <c r="S707" s="4"/>
      <c r="T707" s="4"/>
      <c r="U707" s="4"/>
      <c r="V707" s="4"/>
      <c r="W707" s="4"/>
      <c r="X707" s="4"/>
      <c r="Y707" s="4"/>
      <c r="Z707" s="4"/>
      <c r="AA707" s="4"/>
    </row>
    <row r="708">
      <c r="A708" s="48"/>
      <c r="B708" s="48"/>
      <c r="C708" s="4"/>
      <c r="D708" s="4"/>
      <c r="E708" s="4"/>
      <c r="F708" s="48"/>
      <c r="G708" s="48"/>
      <c r="H708" s="48"/>
      <c r="I708" s="48"/>
      <c r="J708" s="48"/>
      <c r="K708" s="48"/>
      <c r="L708" s="48"/>
      <c r="M708" s="48"/>
      <c r="N708" s="48"/>
      <c r="O708" s="48"/>
      <c r="P708" s="4"/>
      <c r="Q708" s="4"/>
      <c r="R708" s="4"/>
      <c r="S708" s="4"/>
      <c r="T708" s="4"/>
      <c r="U708" s="4"/>
      <c r="V708" s="4"/>
      <c r="W708" s="4"/>
      <c r="X708" s="4"/>
      <c r="Y708" s="4"/>
      <c r="Z708" s="4"/>
      <c r="AA708" s="4"/>
    </row>
    <row r="709">
      <c r="A709" s="48"/>
      <c r="B709" s="48"/>
      <c r="C709" s="4"/>
      <c r="D709" s="4"/>
      <c r="E709" s="4"/>
      <c r="F709" s="48"/>
      <c r="G709" s="48"/>
      <c r="H709" s="48"/>
      <c r="I709" s="48"/>
      <c r="J709" s="48"/>
      <c r="K709" s="48"/>
      <c r="L709" s="48"/>
      <c r="M709" s="48"/>
      <c r="N709" s="48"/>
      <c r="O709" s="48"/>
      <c r="P709" s="4"/>
      <c r="Q709" s="4"/>
      <c r="R709" s="4"/>
      <c r="S709" s="4"/>
      <c r="T709" s="4"/>
      <c r="U709" s="4"/>
      <c r="V709" s="4"/>
      <c r="W709" s="4"/>
      <c r="X709" s="4"/>
      <c r="Y709" s="4"/>
      <c r="Z709" s="4"/>
      <c r="AA709" s="4"/>
    </row>
    <row r="710">
      <c r="A710" s="48"/>
      <c r="B710" s="48"/>
      <c r="C710" s="4"/>
      <c r="D710" s="4"/>
      <c r="E710" s="4"/>
      <c r="F710" s="48"/>
      <c r="G710" s="48"/>
      <c r="H710" s="48"/>
      <c r="I710" s="48"/>
      <c r="J710" s="48"/>
      <c r="K710" s="48"/>
      <c r="L710" s="48"/>
      <c r="M710" s="48"/>
      <c r="N710" s="48"/>
      <c r="O710" s="48"/>
      <c r="P710" s="4"/>
      <c r="Q710" s="4"/>
      <c r="R710" s="4"/>
      <c r="S710" s="4"/>
      <c r="T710" s="4"/>
      <c r="U710" s="4"/>
      <c r="V710" s="4"/>
      <c r="W710" s="4"/>
      <c r="X710" s="4"/>
      <c r="Y710" s="4"/>
      <c r="Z710" s="4"/>
      <c r="AA710" s="4"/>
    </row>
    <row r="711">
      <c r="A711" s="48"/>
      <c r="B711" s="48"/>
      <c r="C711" s="4"/>
      <c r="D711" s="4"/>
      <c r="E711" s="4"/>
      <c r="F711" s="48"/>
      <c r="G711" s="48"/>
      <c r="H711" s="48"/>
      <c r="I711" s="48"/>
      <c r="J711" s="48"/>
      <c r="K711" s="48"/>
      <c r="L711" s="48"/>
      <c r="M711" s="48"/>
      <c r="N711" s="48"/>
      <c r="O711" s="48"/>
      <c r="P711" s="4"/>
      <c r="Q711" s="4"/>
      <c r="R711" s="4"/>
      <c r="S711" s="4"/>
      <c r="T711" s="4"/>
      <c r="U711" s="4"/>
      <c r="V711" s="4"/>
      <c r="W711" s="4"/>
      <c r="X711" s="4"/>
      <c r="Y711" s="4"/>
      <c r="Z711" s="4"/>
      <c r="AA711" s="4"/>
    </row>
    <row r="712">
      <c r="A712" s="48"/>
      <c r="B712" s="48"/>
      <c r="C712" s="4"/>
      <c r="D712" s="4"/>
      <c r="E712" s="4"/>
      <c r="F712" s="48"/>
      <c r="G712" s="48"/>
      <c r="H712" s="48"/>
      <c r="I712" s="48"/>
      <c r="J712" s="48"/>
      <c r="K712" s="48"/>
      <c r="L712" s="48"/>
      <c r="M712" s="48"/>
      <c r="N712" s="48"/>
      <c r="O712" s="48"/>
      <c r="P712" s="4"/>
      <c r="Q712" s="4"/>
      <c r="R712" s="4"/>
      <c r="S712" s="4"/>
      <c r="T712" s="4"/>
      <c r="U712" s="4"/>
      <c r="V712" s="4"/>
      <c r="W712" s="4"/>
      <c r="X712" s="4"/>
      <c r="Y712" s="4"/>
      <c r="Z712" s="4"/>
      <c r="AA712" s="4"/>
    </row>
    <row r="713">
      <c r="A713" s="48"/>
      <c r="B713" s="48"/>
      <c r="C713" s="4"/>
      <c r="D713" s="4"/>
      <c r="E713" s="4"/>
      <c r="F713" s="48"/>
      <c r="G713" s="48"/>
      <c r="H713" s="48"/>
      <c r="I713" s="48"/>
      <c r="J713" s="48"/>
      <c r="K713" s="48"/>
      <c r="L713" s="48"/>
      <c r="M713" s="48"/>
      <c r="N713" s="48"/>
      <c r="O713" s="48"/>
      <c r="P713" s="4"/>
      <c r="Q713" s="4"/>
      <c r="R713" s="4"/>
      <c r="S713" s="4"/>
      <c r="T713" s="4"/>
      <c r="U713" s="4"/>
      <c r="V713" s="4"/>
      <c r="W713" s="4"/>
      <c r="X713" s="4"/>
      <c r="Y713" s="4"/>
      <c r="Z713" s="4"/>
      <c r="AA713" s="4"/>
    </row>
    <row r="714">
      <c r="A714" s="48"/>
      <c r="B714" s="48"/>
      <c r="C714" s="4"/>
      <c r="D714" s="4"/>
      <c r="E714" s="4"/>
      <c r="F714" s="48"/>
      <c r="G714" s="48"/>
      <c r="H714" s="48"/>
      <c r="I714" s="48"/>
      <c r="J714" s="48"/>
      <c r="K714" s="48"/>
      <c r="L714" s="48"/>
      <c r="M714" s="48"/>
      <c r="N714" s="48"/>
      <c r="O714" s="48"/>
      <c r="P714" s="4"/>
      <c r="Q714" s="4"/>
      <c r="R714" s="4"/>
      <c r="S714" s="4"/>
      <c r="T714" s="4"/>
      <c r="U714" s="4"/>
      <c r="V714" s="4"/>
      <c r="W714" s="4"/>
      <c r="X714" s="4"/>
      <c r="Y714" s="4"/>
      <c r="Z714" s="4"/>
      <c r="AA714" s="4"/>
    </row>
    <row r="715">
      <c r="A715" s="48"/>
      <c r="B715" s="48"/>
      <c r="C715" s="4"/>
      <c r="D715" s="4"/>
      <c r="E715" s="4"/>
      <c r="F715" s="48"/>
      <c r="G715" s="48"/>
      <c r="H715" s="48"/>
      <c r="I715" s="48"/>
      <c r="J715" s="48"/>
      <c r="K715" s="48"/>
      <c r="L715" s="48"/>
      <c r="M715" s="48"/>
      <c r="N715" s="48"/>
      <c r="O715" s="48"/>
      <c r="P715" s="4"/>
      <c r="Q715" s="4"/>
      <c r="R715" s="4"/>
      <c r="S715" s="4"/>
      <c r="T715" s="4"/>
      <c r="U715" s="4"/>
      <c r="V715" s="4"/>
      <c r="W715" s="4"/>
      <c r="X715" s="4"/>
      <c r="Y715" s="4"/>
      <c r="Z715" s="4"/>
      <c r="AA715" s="4"/>
    </row>
    <row r="716">
      <c r="A716" s="48"/>
      <c r="B716" s="48"/>
      <c r="C716" s="4"/>
      <c r="D716" s="4"/>
      <c r="E716" s="4"/>
      <c r="F716" s="48"/>
      <c r="G716" s="48"/>
      <c r="H716" s="48"/>
      <c r="I716" s="48"/>
      <c r="J716" s="48"/>
      <c r="K716" s="48"/>
      <c r="L716" s="48"/>
      <c r="M716" s="48"/>
      <c r="N716" s="48"/>
      <c r="O716" s="48"/>
      <c r="P716" s="4"/>
      <c r="Q716" s="4"/>
      <c r="R716" s="4"/>
      <c r="S716" s="4"/>
      <c r="T716" s="4"/>
      <c r="U716" s="4"/>
      <c r="V716" s="4"/>
      <c r="W716" s="4"/>
      <c r="X716" s="4"/>
      <c r="Y716" s="4"/>
      <c r="Z716" s="4"/>
      <c r="AA716" s="4"/>
    </row>
    <row r="717">
      <c r="A717" s="48"/>
      <c r="B717" s="48"/>
      <c r="C717" s="4"/>
      <c r="D717" s="4"/>
      <c r="E717" s="4"/>
      <c r="F717" s="48"/>
      <c r="G717" s="48"/>
      <c r="H717" s="48"/>
      <c r="I717" s="48"/>
      <c r="J717" s="48"/>
      <c r="K717" s="48"/>
      <c r="L717" s="48"/>
      <c r="M717" s="48"/>
      <c r="N717" s="48"/>
      <c r="O717" s="48"/>
      <c r="P717" s="4"/>
      <c r="Q717" s="4"/>
      <c r="R717" s="4"/>
      <c r="S717" s="4"/>
      <c r="T717" s="4"/>
      <c r="U717" s="4"/>
      <c r="V717" s="4"/>
      <c r="W717" s="4"/>
      <c r="X717" s="4"/>
      <c r="Y717" s="4"/>
      <c r="Z717" s="4"/>
      <c r="AA717" s="4"/>
    </row>
    <row r="718">
      <c r="A718" s="48"/>
      <c r="B718" s="48"/>
      <c r="C718" s="4"/>
      <c r="D718" s="4"/>
      <c r="E718" s="4"/>
      <c r="F718" s="48"/>
      <c r="G718" s="48"/>
      <c r="H718" s="48"/>
      <c r="I718" s="48"/>
      <c r="J718" s="48"/>
      <c r="K718" s="48"/>
      <c r="L718" s="48"/>
      <c r="M718" s="48"/>
      <c r="N718" s="48"/>
      <c r="O718" s="48"/>
      <c r="P718" s="4"/>
      <c r="Q718" s="4"/>
      <c r="R718" s="4"/>
      <c r="S718" s="4"/>
      <c r="T718" s="4"/>
      <c r="U718" s="4"/>
      <c r="V718" s="4"/>
      <c r="W718" s="4"/>
      <c r="X718" s="4"/>
      <c r="Y718" s="4"/>
      <c r="Z718" s="4"/>
      <c r="AA718" s="4"/>
    </row>
    <row r="719">
      <c r="A719" s="48"/>
      <c r="B719" s="48"/>
      <c r="C719" s="4"/>
      <c r="D719" s="4"/>
      <c r="E719" s="4"/>
      <c r="F719" s="48"/>
      <c r="G719" s="48"/>
      <c r="H719" s="48"/>
      <c r="I719" s="48"/>
      <c r="J719" s="48"/>
      <c r="K719" s="48"/>
      <c r="L719" s="48"/>
      <c r="M719" s="48"/>
      <c r="N719" s="48"/>
      <c r="O719" s="48"/>
      <c r="P719" s="4"/>
      <c r="Q719" s="4"/>
      <c r="R719" s="4"/>
      <c r="S719" s="4"/>
      <c r="T719" s="4"/>
      <c r="U719" s="4"/>
      <c r="V719" s="4"/>
      <c r="W719" s="4"/>
      <c r="X719" s="4"/>
      <c r="Y719" s="4"/>
      <c r="Z719" s="4"/>
      <c r="AA719" s="4"/>
    </row>
    <row r="720">
      <c r="A720" s="48"/>
      <c r="B720" s="48"/>
      <c r="C720" s="4"/>
      <c r="D720" s="4"/>
      <c r="E720" s="4"/>
      <c r="F720" s="48"/>
      <c r="G720" s="48"/>
      <c r="H720" s="48"/>
      <c r="I720" s="48"/>
      <c r="J720" s="48"/>
      <c r="K720" s="48"/>
      <c r="L720" s="48"/>
      <c r="M720" s="48"/>
      <c r="N720" s="48"/>
      <c r="O720" s="48"/>
      <c r="P720" s="4"/>
      <c r="Q720" s="4"/>
      <c r="R720" s="4"/>
      <c r="S720" s="4"/>
      <c r="T720" s="4"/>
      <c r="U720" s="4"/>
      <c r="V720" s="4"/>
      <c r="W720" s="4"/>
      <c r="X720" s="4"/>
      <c r="Y720" s="4"/>
      <c r="Z720" s="4"/>
      <c r="AA720" s="4"/>
    </row>
    <row r="721">
      <c r="A721" s="48"/>
      <c r="B721" s="48"/>
      <c r="C721" s="4"/>
      <c r="D721" s="4"/>
      <c r="E721" s="4"/>
      <c r="F721" s="48"/>
      <c r="G721" s="48"/>
      <c r="H721" s="48"/>
      <c r="I721" s="48"/>
      <c r="J721" s="48"/>
      <c r="K721" s="48"/>
      <c r="L721" s="48"/>
      <c r="M721" s="48"/>
      <c r="N721" s="48"/>
      <c r="O721" s="48"/>
      <c r="P721" s="4"/>
      <c r="Q721" s="4"/>
      <c r="R721" s="4"/>
      <c r="S721" s="4"/>
      <c r="T721" s="4"/>
      <c r="U721" s="4"/>
      <c r="V721" s="4"/>
      <c r="W721" s="4"/>
      <c r="X721" s="4"/>
      <c r="Y721" s="4"/>
      <c r="Z721" s="4"/>
      <c r="AA721" s="4"/>
    </row>
    <row r="722">
      <c r="A722" s="48"/>
      <c r="B722" s="48"/>
      <c r="C722" s="4"/>
      <c r="D722" s="4"/>
      <c r="E722" s="4"/>
      <c r="F722" s="48"/>
      <c r="G722" s="48"/>
      <c r="H722" s="48"/>
      <c r="I722" s="48"/>
      <c r="J722" s="48"/>
      <c r="K722" s="48"/>
      <c r="L722" s="48"/>
      <c r="M722" s="48"/>
      <c r="N722" s="48"/>
      <c r="O722" s="48"/>
      <c r="P722" s="4"/>
      <c r="Q722" s="4"/>
      <c r="R722" s="4"/>
      <c r="S722" s="4"/>
      <c r="T722" s="4"/>
      <c r="U722" s="4"/>
      <c r="V722" s="4"/>
      <c r="W722" s="4"/>
      <c r="X722" s="4"/>
      <c r="Y722" s="4"/>
      <c r="Z722" s="4"/>
      <c r="AA722" s="4"/>
    </row>
    <row r="723">
      <c r="A723" s="48"/>
      <c r="B723" s="48"/>
      <c r="C723" s="4"/>
      <c r="D723" s="4"/>
      <c r="E723" s="4"/>
      <c r="F723" s="48"/>
      <c r="G723" s="48"/>
      <c r="H723" s="48"/>
      <c r="I723" s="48"/>
      <c r="J723" s="48"/>
      <c r="K723" s="48"/>
      <c r="L723" s="48"/>
      <c r="M723" s="48"/>
      <c r="N723" s="48"/>
      <c r="O723" s="48"/>
      <c r="P723" s="4"/>
      <c r="Q723" s="4"/>
      <c r="R723" s="4"/>
      <c r="S723" s="4"/>
      <c r="T723" s="4"/>
      <c r="U723" s="4"/>
      <c r="V723" s="4"/>
      <c r="W723" s="4"/>
      <c r="X723" s="4"/>
      <c r="Y723" s="4"/>
      <c r="Z723" s="4"/>
      <c r="AA723" s="4"/>
    </row>
    <row r="724">
      <c r="A724" s="48"/>
      <c r="B724" s="48"/>
      <c r="C724" s="4"/>
      <c r="D724" s="4"/>
      <c r="E724" s="4"/>
      <c r="F724" s="48"/>
      <c r="G724" s="48"/>
      <c r="H724" s="48"/>
      <c r="I724" s="48"/>
      <c r="J724" s="48"/>
      <c r="K724" s="48"/>
      <c r="L724" s="48"/>
      <c r="M724" s="48"/>
      <c r="N724" s="48"/>
      <c r="O724" s="48"/>
      <c r="P724" s="4"/>
      <c r="Q724" s="4"/>
      <c r="R724" s="4"/>
      <c r="S724" s="4"/>
      <c r="T724" s="4"/>
      <c r="U724" s="4"/>
      <c r="V724" s="4"/>
      <c r="W724" s="4"/>
      <c r="X724" s="4"/>
      <c r="Y724" s="4"/>
      <c r="Z724" s="4"/>
      <c r="AA724" s="4"/>
    </row>
    <row r="725">
      <c r="A725" s="48"/>
      <c r="B725" s="48"/>
      <c r="C725" s="4"/>
      <c r="D725" s="4"/>
      <c r="E725" s="4"/>
      <c r="F725" s="48"/>
      <c r="G725" s="48"/>
      <c r="H725" s="48"/>
      <c r="I725" s="48"/>
      <c r="J725" s="48"/>
      <c r="K725" s="48"/>
      <c r="L725" s="48"/>
      <c r="M725" s="48"/>
      <c r="N725" s="48"/>
      <c r="O725" s="48"/>
      <c r="P725" s="4"/>
      <c r="Q725" s="4"/>
      <c r="R725" s="4"/>
      <c r="S725" s="4"/>
      <c r="T725" s="4"/>
      <c r="U725" s="4"/>
      <c r="V725" s="4"/>
      <c r="W725" s="4"/>
      <c r="X725" s="4"/>
      <c r="Y725" s="4"/>
      <c r="Z725" s="4"/>
      <c r="AA725" s="4"/>
    </row>
    <row r="726">
      <c r="A726" s="48"/>
      <c r="B726" s="48"/>
      <c r="C726" s="4"/>
      <c r="D726" s="4"/>
      <c r="E726" s="4"/>
      <c r="F726" s="48"/>
      <c r="G726" s="48"/>
      <c r="H726" s="48"/>
      <c r="I726" s="48"/>
      <c r="J726" s="48"/>
      <c r="K726" s="48"/>
      <c r="L726" s="48"/>
      <c r="M726" s="48"/>
      <c r="N726" s="48"/>
      <c r="O726" s="48"/>
      <c r="P726" s="4"/>
      <c r="Q726" s="4"/>
      <c r="R726" s="4"/>
      <c r="S726" s="4"/>
      <c r="T726" s="4"/>
      <c r="U726" s="4"/>
      <c r="V726" s="4"/>
      <c r="W726" s="4"/>
      <c r="X726" s="4"/>
      <c r="Y726" s="4"/>
      <c r="Z726" s="4"/>
      <c r="AA726" s="4"/>
    </row>
    <row r="727">
      <c r="A727" s="48"/>
      <c r="B727" s="48"/>
      <c r="C727" s="4"/>
      <c r="D727" s="4"/>
      <c r="E727" s="4"/>
      <c r="F727" s="48"/>
      <c r="G727" s="48"/>
      <c r="H727" s="48"/>
      <c r="I727" s="48"/>
      <c r="J727" s="48"/>
      <c r="K727" s="48"/>
      <c r="L727" s="48"/>
      <c r="M727" s="48"/>
      <c r="N727" s="48"/>
      <c r="O727" s="48"/>
      <c r="P727" s="4"/>
      <c r="Q727" s="4"/>
      <c r="R727" s="4"/>
      <c r="S727" s="4"/>
      <c r="T727" s="4"/>
      <c r="U727" s="4"/>
      <c r="V727" s="4"/>
      <c r="W727" s="4"/>
      <c r="X727" s="4"/>
      <c r="Y727" s="4"/>
      <c r="Z727" s="4"/>
      <c r="AA727" s="4"/>
    </row>
    <row r="728">
      <c r="A728" s="48"/>
      <c r="B728" s="48"/>
      <c r="C728" s="4"/>
      <c r="D728" s="4"/>
      <c r="E728" s="4"/>
      <c r="F728" s="48"/>
      <c r="G728" s="48"/>
      <c r="H728" s="48"/>
      <c r="I728" s="48"/>
      <c r="J728" s="48"/>
      <c r="K728" s="48"/>
      <c r="L728" s="48"/>
      <c r="M728" s="48"/>
      <c r="N728" s="48"/>
      <c r="O728" s="48"/>
      <c r="P728" s="4"/>
      <c r="Q728" s="4"/>
      <c r="R728" s="4"/>
      <c r="S728" s="4"/>
      <c r="T728" s="4"/>
      <c r="U728" s="4"/>
      <c r="V728" s="4"/>
      <c r="W728" s="4"/>
      <c r="X728" s="4"/>
      <c r="Y728" s="4"/>
      <c r="Z728" s="4"/>
      <c r="AA728" s="4"/>
    </row>
    <row r="729">
      <c r="A729" s="48"/>
      <c r="B729" s="48"/>
      <c r="C729" s="4"/>
      <c r="D729" s="4"/>
      <c r="E729" s="4"/>
      <c r="F729" s="48"/>
      <c r="G729" s="48"/>
      <c r="H729" s="48"/>
      <c r="I729" s="48"/>
      <c r="J729" s="48"/>
      <c r="K729" s="48"/>
      <c r="L729" s="48"/>
      <c r="M729" s="48"/>
      <c r="N729" s="48"/>
      <c r="O729" s="48"/>
      <c r="P729" s="4"/>
      <c r="Q729" s="4"/>
      <c r="R729" s="4"/>
      <c r="S729" s="4"/>
      <c r="T729" s="4"/>
      <c r="U729" s="4"/>
      <c r="V729" s="4"/>
      <c r="W729" s="4"/>
      <c r="X729" s="4"/>
      <c r="Y729" s="4"/>
      <c r="Z729" s="4"/>
      <c r="AA729" s="4"/>
    </row>
    <row r="730">
      <c r="A730" s="48"/>
      <c r="B730" s="48"/>
      <c r="C730" s="4"/>
      <c r="D730" s="4"/>
      <c r="E730" s="4"/>
      <c r="F730" s="48"/>
      <c r="G730" s="48"/>
      <c r="H730" s="48"/>
      <c r="I730" s="48"/>
      <c r="J730" s="48"/>
      <c r="K730" s="48"/>
      <c r="L730" s="48"/>
      <c r="M730" s="48"/>
      <c r="N730" s="48"/>
      <c r="O730" s="48"/>
      <c r="P730" s="4"/>
      <c r="Q730" s="4"/>
      <c r="R730" s="4"/>
      <c r="S730" s="4"/>
      <c r="T730" s="4"/>
      <c r="U730" s="4"/>
      <c r="V730" s="4"/>
      <c r="W730" s="4"/>
      <c r="X730" s="4"/>
      <c r="Y730" s="4"/>
      <c r="Z730" s="4"/>
      <c r="AA730" s="4"/>
    </row>
    <row r="731">
      <c r="A731" s="48"/>
      <c r="B731" s="48"/>
      <c r="C731" s="4"/>
      <c r="D731" s="4"/>
      <c r="E731" s="4"/>
      <c r="F731" s="48"/>
      <c r="G731" s="48"/>
      <c r="H731" s="48"/>
      <c r="I731" s="48"/>
      <c r="J731" s="48"/>
      <c r="K731" s="48"/>
      <c r="L731" s="48"/>
      <c r="M731" s="48"/>
      <c r="N731" s="48"/>
      <c r="O731" s="48"/>
      <c r="P731" s="4"/>
      <c r="Q731" s="4"/>
      <c r="R731" s="4"/>
      <c r="S731" s="4"/>
      <c r="T731" s="4"/>
      <c r="U731" s="4"/>
      <c r="V731" s="4"/>
      <c r="W731" s="4"/>
      <c r="X731" s="4"/>
      <c r="Y731" s="4"/>
      <c r="Z731" s="4"/>
      <c r="AA731" s="4"/>
    </row>
    <row r="732">
      <c r="A732" s="48"/>
      <c r="B732" s="48"/>
      <c r="C732" s="4"/>
      <c r="D732" s="4"/>
      <c r="E732" s="4"/>
      <c r="F732" s="48"/>
      <c r="G732" s="48"/>
      <c r="H732" s="48"/>
      <c r="I732" s="48"/>
      <c r="J732" s="48"/>
      <c r="K732" s="48"/>
      <c r="L732" s="48"/>
      <c r="M732" s="48"/>
      <c r="N732" s="48"/>
      <c r="O732" s="48"/>
      <c r="P732" s="4"/>
      <c r="Q732" s="4"/>
      <c r="R732" s="4"/>
      <c r="S732" s="4"/>
      <c r="T732" s="4"/>
      <c r="U732" s="4"/>
      <c r="V732" s="4"/>
      <c r="W732" s="4"/>
      <c r="X732" s="4"/>
      <c r="Y732" s="4"/>
      <c r="Z732" s="4"/>
      <c r="AA732" s="4"/>
    </row>
    <row r="733">
      <c r="A733" s="48"/>
      <c r="B733" s="48"/>
      <c r="C733" s="4"/>
      <c r="D733" s="4"/>
      <c r="E733" s="4"/>
      <c r="F733" s="48"/>
      <c r="G733" s="48"/>
      <c r="H733" s="48"/>
      <c r="I733" s="48"/>
      <c r="J733" s="48"/>
      <c r="K733" s="48"/>
      <c r="L733" s="48"/>
      <c r="M733" s="48"/>
      <c r="N733" s="48"/>
      <c r="O733" s="48"/>
      <c r="P733" s="4"/>
      <c r="Q733" s="4"/>
      <c r="R733" s="4"/>
      <c r="S733" s="4"/>
      <c r="T733" s="4"/>
      <c r="U733" s="4"/>
      <c r="V733" s="4"/>
      <c r="W733" s="4"/>
      <c r="X733" s="4"/>
      <c r="Y733" s="4"/>
      <c r="Z733" s="4"/>
      <c r="AA733" s="4"/>
    </row>
    <row r="734">
      <c r="A734" s="48"/>
      <c r="B734" s="48"/>
      <c r="C734" s="4"/>
      <c r="D734" s="4"/>
      <c r="E734" s="4"/>
      <c r="F734" s="48"/>
      <c r="G734" s="48"/>
      <c r="H734" s="48"/>
      <c r="I734" s="48"/>
      <c r="J734" s="48"/>
      <c r="K734" s="48"/>
      <c r="L734" s="48"/>
      <c r="M734" s="48"/>
      <c r="N734" s="48"/>
      <c r="O734" s="48"/>
      <c r="P734" s="4"/>
      <c r="Q734" s="4"/>
      <c r="R734" s="4"/>
      <c r="S734" s="4"/>
      <c r="T734" s="4"/>
      <c r="U734" s="4"/>
      <c r="V734" s="4"/>
      <c r="W734" s="4"/>
      <c r="X734" s="4"/>
      <c r="Y734" s="4"/>
      <c r="Z734" s="4"/>
      <c r="AA734" s="4"/>
    </row>
    <row r="735">
      <c r="A735" s="48"/>
      <c r="B735" s="48"/>
      <c r="C735" s="4"/>
      <c r="D735" s="4"/>
      <c r="E735" s="4"/>
      <c r="F735" s="48"/>
      <c r="G735" s="48"/>
      <c r="H735" s="48"/>
      <c r="I735" s="48"/>
      <c r="J735" s="48"/>
      <c r="K735" s="48"/>
      <c r="L735" s="48"/>
      <c r="M735" s="48"/>
      <c r="N735" s="48"/>
      <c r="O735" s="48"/>
      <c r="P735" s="4"/>
      <c r="Q735" s="4"/>
      <c r="R735" s="4"/>
      <c r="S735" s="4"/>
      <c r="T735" s="4"/>
      <c r="U735" s="4"/>
      <c r="V735" s="4"/>
      <c r="W735" s="4"/>
      <c r="X735" s="4"/>
      <c r="Y735" s="4"/>
      <c r="Z735" s="4"/>
      <c r="AA735" s="4"/>
    </row>
    <row r="736">
      <c r="A736" s="48"/>
      <c r="B736" s="48"/>
      <c r="C736" s="4"/>
      <c r="D736" s="4"/>
      <c r="E736" s="4"/>
      <c r="F736" s="48"/>
      <c r="G736" s="48"/>
      <c r="H736" s="48"/>
      <c r="I736" s="48"/>
      <c r="J736" s="48"/>
      <c r="K736" s="48"/>
      <c r="L736" s="48"/>
      <c r="M736" s="48"/>
      <c r="N736" s="48"/>
      <c r="O736" s="48"/>
      <c r="P736" s="4"/>
      <c r="Q736" s="4"/>
      <c r="R736" s="4"/>
      <c r="S736" s="4"/>
      <c r="T736" s="4"/>
      <c r="U736" s="4"/>
      <c r="V736" s="4"/>
      <c r="W736" s="4"/>
      <c r="X736" s="4"/>
      <c r="Y736" s="4"/>
      <c r="Z736" s="4"/>
      <c r="AA736" s="4"/>
    </row>
    <row r="737">
      <c r="A737" s="48"/>
      <c r="B737" s="48"/>
      <c r="C737" s="4"/>
      <c r="D737" s="4"/>
      <c r="E737" s="4"/>
      <c r="F737" s="48"/>
      <c r="G737" s="48"/>
      <c r="H737" s="48"/>
      <c r="I737" s="48"/>
      <c r="J737" s="48"/>
      <c r="K737" s="48"/>
      <c r="L737" s="48"/>
      <c r="M737" s="48"/>
      <c r="N737" s="48"/>
      <c r="O737" s="48"/>
      <c r="P737" s="4"/>
      <c r="Q737" s="4"/>
      <c r="R737" s="4"/>
      <c r="S737" s="4"/>
      <c r="T737" s="4"/>
      <c r="U737" s="4"/>
      <c r="V737" s="4"/>
      <c r="W737" s="4"/>
      <c r="X737" s="4"/>
      <c r="Y737" s="4"/>
      <c r="Z737" s="4"/>
      <c r="AA737" s="4"/>
    </row>
    <row r="738">
      <c r="A738" s="48"/>
      <c r="B738" s="48"/>
      <c r="C738" s="4"/>
      <c r="D738" s="4"/>
      <c r="E738" s="4"/>
      <c r="F738" s="48"/>
      <c r="G738" s="48"/>
      <c r="H738" s="48"/>
      <c r="I738" s="48"/>
      <c r="J738" s="48"/>
      <c r="K738" s="48"/>
      <c r="L738" s="48"/>
      <c r="M738" s="48"/>
      <c r="N738" s="48"/>
      <c r="O738" s="48"/>
      <c r="P738" s="4"/>
      <c r="Q738" s="4"/>
      <c r="R738" s="4"/>
      <c r="S738" s="4"/>
      <c r="T738" s="4"/>
      <c r="U738" s="4"/>
      <c r="V738" s="4"/>
      <c r="W738" s="4"/>
      <c r="X738" s="4"/>
      <c r="Y738" s="4"/>
      <c r="Z738" s="4"/>
      <c r="AA738" s="4"/>
    </row>
    <row r="739">
      <c r="A739" s="48"/>
      <c r="B739" s="48"/>
      <c r="C739" s="4"/>
      <c r="D739" s="4"/>
      <c r="E739" s="4"/>
      <c r="F739" s="48"/>
      <c r="G739" s="48"/>
      <c r="H739" s="48"/>
      <c r="I739" s="48"/>
      <c r="J739" s="48"/>
      <c r="K739" s="48"/>
      <c r="L739" s="48"/>
      <c r="M739" s="48"/>
      <c r="N739" s="48"/>
      <c r="O739" s="48"/>
      <c r="P739" s="4"/>
      <c r="Q739" s="4"/>
      <c r="R739" s="4"/>
      <c r="S739" s="4"/>
      <c r="T739" s="4"/>
      <c r="U739" s="4"/>
      <c r="V739" s="4"/>
      <c r="W739" s="4"/>
      <c r="X739" s="4"/>
      <c r="Y739" s="4"/>
      <c r="Z739" s="4"/>
      <c r="AA739" s="4"/>
    </row>
    <row r="740">
      <c r="A740" s="48"/>
      <c r="B740" s="48"/>
      <c r="C740" s="4"/>
      <c r="D740" s="4"/>
      <c r="E740" s="4"/>
      <c r="F740" s="48"/>
      <c r="G740" s="48"/>
      <c r="H740" s="48"/>
      <c r="I740" s="48"/>
      <c r="J740" s="48"/>
      <c r="K740" s="48"/>
      <c r="L740" s="48"/>
      <c r="M740" s="48"/>
      <c r="N740" s="48"/>
      <c r="O740" s="48"/>
      <c r="P740" s="4"/>
      <c r="Q740" s="4"/>
      <c r="R740" s="4"/>
      <c r="S740" s="4"/>
      <c r="T740" s="4"/>
      <c r="U740" s="4"/>
      <c r="V740" s="4"/>
      <c r="W740" s="4"/>
      <c r="X740" s="4"/>
      <c r="Y740" s="4"/>
      <c r="Z740" s="4"/>
      <c r="AA740" s="4"/>
    </row>
    <row r="741">
      <c r="A741" s="48"/>
      <c r="B741" s="48"/>
      <c r="C741" s="4"/>
      <c r="D741" s="4"/>
      <c r="E741" s="4"/>
      <c r="F741" s="48"/>
      <c r="G741" s="48"/>
      <c r="H741" s="48"/>
      <c r="I741" s="48"/>
      <c r="J741" s="48"/>
      <c r="K741" s="48"/>
      <c r="L741" s="48"/>
      <c r="M741" s="48"/>
      <c r="N741" s="48"/>
      <c r="O741" s="48"/>
      <c r="P741" s="4"/>
      <c r="Q741" s="4"/>
      <c r="R741" s="4"/>
      <c r="S741" s="4"/>
      <c r="T741" s="4"/>
      <c r="U741" s="4"/>
      <c r="V741" s="4"/>
      <c r="W741" s="4"/>
      <c r="X741" s="4"/>
      <c r="Y741" s="4"/>
      <c r="Z741" s="4"/>
      <c r="AA741" s="4"/>
    </row>
    <row r="742">
      <c r="A742" s="48"/>
      <c r="B742" s="48"/>
      <c r="C742" s="4"/>
      <c r="D742" s="4"/>
      <c r="E742" s="4"/>
      <c r="F742" s="48"/>
      <c r="G742" s="48"/>
      <c r="H742" s="48"/>
      <c r="I742" s="48"/>
      <c r="J742" s="48"/>
      <c r="K742" s="48"/>
      <c r="L742" s="48"/>
      <c r="M742" s="48"/>
      <c r="N742" s="48"/>
      <c r="O742" s="48"/>
      <c r="P742" s="4"/>
      <c r="Q742" s="4"/>
      <c r="R742" s="4"/>
      <c r="S742" s="4"/>
      <c r="T742" s="4"/>
      <c r="U742" s="4"/>
      <c r="V742" s="4"/>
      <c r="W742" s="4"/>
      <c r="X742" s="4"/>
      <c r="Y742" s="4"/>
      <c r="Z742" s="4"/>
      <c r="AA742" s="4"/>
    </row>
    <row r="743">
      <c r="A743" s="48"/>
      <c r="B743" s="48"/>
      <c r="C743" s="4"/>
      <c r="D743" s="4"/>
      <c r="E743" s="4"/>
      <c r="F743" s="48"/>
      <c r="G743" s="48"/>
      <c r="H743" s="48"/>
      <c r="I743" s="48"/>
      <c r="J743" s="48"/>
      <c r="K743" s="48"/>
      <c r="L743" s="48"/>
      <c r="M743" s="48"/>
      <c r="N743" s="48"/>
      <c r="O743" s="48"/>
      <c r="P743" s="4"/>
      <c r="Q743" s="4"/>
      <c r="R743" s="4"/>
      <c r="S743" s="4"/>
      <c r="T743" s="4"/>
      <c r="U743" s="4"/>
      <c r="V743" s="4"/>
      <c r="W743" s="4"/>
      <c r="X743" s="4"/>
      <c r="Y743" s="4"/>
      <c r="Z743" s="4"/>
      <c r="AA743" s="4"/>
    </row>
    <row r="744">
      <c r="A744" s="48"/>
      <c r="B744" s="48"/>
      <c r="C744" s="4"/>
      <c r="D744" s="4"/>
      <c r="E744" s="4"/>
      <c r="F744" s="48"/>
      <c r="G744" s="48"/>
      <c r="H744" s="48"/>
      <c r="I744" s="48"/>
      <c r="J744" s="48"/>
      <c r="K744" s="48"/>
      <c r="L744" s="48"/>
      <c r="M744" s="48"/>
      <c r="N744" s="48"/>
      <c r="O744" s="48"/>
      <c r="P744" s="4"/>
      <c r="Q744" s="4"/>
      <c r="R744" s="4"/>
      <c r="S744" s="4"/>
      <c r="T744" s="4"/>
      <c r="U744" s="4"/>
      <c r="V744" s="4"/>
      <c r="W744" s="4"/>
      <c r="X744" s="4"/>
      <c r="Y744" s="4"/>
      <c r="Z744" s="4"/>
      <c r="AA744" s="4"/>
    </row>
    <row r="745">
      <c r="A745" s="48"/>
      <c r="B745" s="48"/>
      <c r="C745" s="4"/>
      <c r="D745" s="4"/>
      <c r="E745" s="4"/>
      <c r="F745" s="48"/>
      <c r="G745" s="48"/>
      <c r="H745" s="48"/>
      <c r="I745" s="48"/>
      <c r="J745" s="48"/>
      <c r="K745" s="48"/>
      <c r="L745" s="48"/>
      <c r="M745" s="48"/>
      <c r="N745" s="48"/>
      <c r="O745" s="48"/>
      <c r="P745" s="4"/>
      <c r="Q745" s="4"/>
      <c r="R745" s="4"/>
      <c r="S745" s="4"/>
      <c r="T745" s="4"/>
      <c r="U745" s="4"/>
      <c r="V745" s="4"/>
      <c r="W745" s="4"/>
      <c r="X745" s="4"/>
      <c r="Y745" s="4"/>
      <c r="Z745" s="4"/>
      <c r="AA745" s="4"/>
    </row>
    <row r="746">
      <c r="A746" s="48"/>
      <c r="B746" s="48"/>
      <c r="C746" s="4"/>
      <c r="D746" s="4"/>
      <c r="E746" s="4"/>
      <c r="F746" s="48"/>
      <c r="G746" s="48"/>
      <c r="H746" s="48"/>
      <c r="I746" s="48"/>
      <c r="J746" s="48"/>
      <c r="K746" s="48"/>
      <c r="L746" s="48"/>
      <c r="M746" s="48"/>
      <c r="N746" s="48"/>
      <c r="O746" s="48"/>
      <c r="P746" s="4"/>
      <c r="Q746" s="4"/>
      <c r="R746" s="4"/>
      <c r="S746" s="4"/>
      <c r="T746" s="4"/>
      <c r="U746" s="4"/>
      <c r="V746" s="4"/>
      <c r="W746" s="4"/>
      <c r="X746" s="4"/>
      <c r="Y746" s="4"/>
      <c r="Z746" s="4"/>
      <c r="AA746" s="4"/>
    </row>
    <row r="747">
      <c r="A747" s="48"/>
      <c r="B747" s="48"/>
      <c r="C747" s="4"/>
      <c r="D747" s="4"/>
      <c r="E747" s="4"/>
      <c r="F747" s="48"/>
      <c r="G747" s="48"/>
      <c r="H747" s="48"/>
      <c r="I747" s="48"/>
      <c r="J747" s="48"/>
      <c r="K747" s="48"/>
      <c r="L747" s="48"/>
      <c r="M747" s="48"/>
      <c r="N747" s="48"/>
      <c r="O747" s="48"/>
      <c r="P747" s="4"/>
      <c r="Q747" s="4"/>
      <c r="R747" s="4"/>
      <c r="S747" s="4"/>
      <c r="T747" s="4"/>
      <c r="U747" s="4"/>
      <c r="V747" s="4"/>
      <c r="W747" s="4"/>
      <c r="X747" s="4"/>
      <c r="Y747" s="4"/>
      <c r="Z747" s="4"/>
      <c r="AA747" s="4"/>
    </row>
    <row r="748">
      <c r="A748" s="48"/>
      <c r="B748" s="48"/>
      <c r="C748" s="4"/>
      <c r="D748" s="4"/>
      <c r="E748" s="4"/>
      <c r="F748" s="48"/>
      <c r="G748" s="48"/>
      <c r="H748" s="48"/>
      <c r="I748" s="48"/>
      <c r="J748" s="48"/>
      <c r="K748" s="48"/>
      <c r="L748" s="48"/>
      <c r="M748" s="48"/>
      <c r="N748" s="48"/>
      <c r="O748" s="48"/>
      <c r="P748" s="4"/>
      <c r="Q748" s="4"/>
      <c r="R748" s="4"/>
      <c r="S748" s="4"/>
      <c r="T748" s="4"/>
      <c r="U748" s="4"/>
      <c r="V748" s="4"/>
      <c r="W748" s="4"/>
      <c r="X748" s="4"/>
      <c r="Y748" s="4"/>
      <c r="Z748" s="4"/>
      <c r="AA748" s="4"/>
    </row>
    <row r="749">
      <c r="A749" s="48"/>
      <c r="B749" s="48"/>
      <c r="C749" s="4"/>
      <c r="D749" s="4"/>
      <c r="E749" s="4"/>
      <c r="F749" s="48"/>
      <c r="G749" s="48"/>
      <c r="H749" s="48"/>
      <c r="I749" s="48"/>
      <c r="J749" s="48"/>
      <c r="K749" s="48"/>
      <c r="L749" s="48"/>
      <c r="M749" s="48"/>
      <c r="N749" s="48"/>
      <c r="O749" s="48"/>
      <c r="P749" s="4"/>
      <c r="Q749" s="4"/>
      <c r="R749" s="4"/>
      <c r="S749" s="4"/>
      <c r="T749" s="4"/>
      <c r="U749" s="4"/>
      <c r="V749" s="4"/>
      <c r="W749" s="4"/>
      <c r="X749" s="4"/>
      <c r="Y749" s="4"/>
      <c r="Z749" s="4"/>
      <c r="AA749" s="4"/>
    </row>
    <row r="750">
      <c r="A750" s="48"/>
      <c r="B750" s="48"/>
      <c r="C750" s="4"/>
      <c r="D750" s="4"/>
      <c r="E750" s="4"/>
      <c r="F750" s="48"/>
      <c r="G750" s="48"/>
      <c r="H750" s="48"/>
      <c r="I750" s="48"/>
      <c r="J750" s="48"/>
      <c r="K750" s="48"/>
      <c r="L750" s="48"/>
      <c r="M750" s="48"/>
      <c r="N750" s="48"/>
      <c r="O750" s="48"/>
      <c r="P750" s="4"/>
      <c r="Q750" s="4"/>
      <c r="R750" s="4"/>
      <c r="S750" s="4"/>
      <c r="T750" s="4"/>
      <c r="U750" s="4"/>
      <c r="V750" s="4"/>
      <c r="W750" s="4"/>
      <c r="X750" s="4"/>
      <c r="Y750" s="4"/>
      <c r="Z750" s="4"/>
      <c r="AA750" s="4"/>
    </row>
    <row r="751">
      <c r="A751" s="48"/>
      <c r="B751" s="48"/>
      <c r="C751" s="4"/>
      <c r="D751" s="4"/>
      <c r="E751" s="4"/>
      <c r="F751" s="48"/>
      <c r="G751" s="48"/>
      <c r="H751" s="48"/>
      <c r="I751" s="48"/>
      <c r="J751" s="48"/>
      <c r="K751" s="48"/>
      <c r="L751" s="48"/>
      <c r="M751" s="48"/>
      <c r="N751" s="48"/>
      <c r="O751" s="48"/>
      <c r="P751" s="4"/>
      <c r="Q751" s="4"/>
      <c r="R751" s="4"/>
      <c r="S751" s="4"/>
      <c r="T751" s="4"/>
      <c r="U751" s="4"/>
      <c r="V751" s="4"/>
      <c r="W751" s="4"/>
      <c r="X751" s="4"/>
      <c r="Y751" s="4"/>
      <c r="Z751" s="4"/>
      <c r="AA751" s="4"/>
    </row>
    <row r="752">
      <c r="A752" s="48"/>
      <c r="B752" s="48"/>
      <c r="C752" s="4"/>
      <c r="D752" s="4"/>
      <c r="E752" s="4"/>
      <c r="F752" s="48"/>
      <c r="G752" s="48"/>
      <c r="H752" s="48"/>
      <c r="I752" s="48"/>
      <c r="J752" s="48"/>
      <c r="K752" s="48"/>
      <c r="L752" s="48"/>
      <c r="M752" s="48"/>
      <c r="N752" s="48"/>
      <c r="O752" s="48"/>
      <c r="P752" s="4"/>
      <c r="Q752" s="4"/>
      <c r="R752" s="4"/>
      <c r="S752" s="4"/>
      <c r="T752" s="4"/>
      <c r="U752" s="4"/>
      <c r="V752" s="4"/>
      <c r="W752" s="4"/>
      <c r="X752" s="4"/>
      <c r="Y752" s="4"/>
      <c r="Z752" s="4"/>
      <c r="AA752" s="4"/>
    </row>
    <row r="753">
      <c r="A753" s="48"/>
      <c r="B753" s="48"/>
      <c r="C753" s="4"/>
      <c r="D753" s="4"/>
      <c r="E753" s="4"/>
      <c r="F753" s="48"/>
      <c r="G753" s="48"/>
      <c r="H753" s="48"/>
      <c r="I753" s="48"/>
      <c r="J753" s="48"/>
      <c r="K753" s="48"/>
      <c r="L753" s="48"/>
      <c r="M753" s="48"/>
      <c r="N753" s="48"/>
      <c r="O753" s="48"/>
      <c r="P753" s="4"/>
      <c r="Q753" s="4"/>
      <c r="R753" s="4"/>
      <c r="S753" s="4"/>
      <c r="T753" s="4"/>
      <c r="U753" s="4"/>
      <c r="V753" s="4"/>
      <c r="W753" s="4"/>
      <c r="X753" s="4"/>
      <c r="Y753" s="4"/>
      <c r="Z753" s="4"/>
      <c r="AA753" s="4"/>
    </row>
    <row r="754">
      <c r="A754" s="48"/>
      <c r="B754" s="48"/>
      <c r="C754" s="4"/>
      <c r="D754" s="4"/>
      <c r="E754" s="4"/>
      <c r="F754" s="48"/>
      <c r="G754" s="48"/>
      <c r="H754" s="48"/>
      <c r="I754" s="48"/>
      <c r="J754" s="48"/>
      <c r="K754" s="48"/>
      <c r="L754" s="48"/>
      <c r="M754" s="48"/>
      <c r="N754" s="48"/>
      <c r="O754" s="48"/>
      <c r="P754" s="4"/>
      <c r="Q754" s="4"/>
      <c r="R754" s="4"/>
      <c r="S754" s="4"/>
      <c r="T754" s="4"/>
      <c r="U754" s="4"/>
      <c r="V754" s="4"/>
      <c r="W754" s="4"/>
      <c r="X754" s="4"/>
      <c r="Y754" s="4"/>
      <c r="Z754" s="4"/>
      <c r="AA754" s="4"/>
    </row>
    <row r="755">
      <c r="A755" s="48"/>
      <c r="B755" s="48"/>
      <c r="C755" s="4"/>
      <c r="D755" s="4"/>
      <c r="E755" s="4"/>
      <c r="F755" s="48"/>
      <c r="G755" s="48"/>
      <c r="H755" s="48"/>
      <c r="I755" s="48"/>
      <c r="J755" s="48"/>
      <c r="K755" s="48"/>
      <c r="L755" s="48"/>
      <c r="M755" s="48"/>
      <c r="N755" s="48"/>
      <c r="O755" s="48"/>
      <c r="P755" s="4"/>
      <c r="Q755" s="4"/>
      <c r="R755" s="4"/>
      <c r="S755" s="4"/>
      <c r="T755" s="4"/>
      <c r="U755" s="4"/>
      <c r="V755" s="4"/>
      <c r="W755" s="4"/>
      <c r="X755" s="4"/>
      <c r="Y755" s="4"/>
      <c r="Z755" s="4"/>
      <c r="AA755" s="4"/>
    </row>
    <row r="756">
      <c r="A756" s="48"/>
      <c r="B756" s="48"/>
      <c r="C756" s="4"/>
      <c r="D756" s="4"/>
      <c r="E756" s="4"/>
      <c r="F756" s="48"/>
      <c r="G756" s="48"/>
      <c r="H756" s="48"/>
      <c r="I756" s="48"/>
      <c r="J756" s="48"/>
      <c r="K756" s="48"/>
      <c r="L756" s="48"/>
      <c r="M756" s="48"/>
      <c r="N756" s="48"/>
      <c r="O756" s="48"/>
      <c r="P756" s="4"/>
      <c r="Q756" s="4"/>
      <c r="R756" s="4"/>
      <c r="S756" s="4"/>
      <c r="T756" s="4"/>
      <c r="U756" s="4"/>
      <c r="V756" s="4"/>
      <c r="W756" s="4"/>
      <c r="X756" s="4"/>
      <c r="Y756" s="4"/>
      <c r="Z756" s="4"/>
      <c r="AA756" s="4"/>
    </row>
    <row r="757">
      <c r="A757" s="48"/>
      <c r="B757" s="48"/>
      <c r="C757" s="4"/>
      <c r="D757" s="4"/>
      <c r="E757" s="4"/>
      <c r="F757" s="48"/>
      <c r="G757" s="48"/>
      <c r="H757" s="48"/>
      <c r="I757" s="48"/>
      <c r="J757" s="48"/>
      <c r="K757" s="48"/>
      <c r="L757" s="48"/>
      <c r="M757" s="48"/>
      <c r="N757" s="48"/>
      <c r="O757" s="48"/>
      <c r="P757" s="4"/>
      <c r="Q757" s="4"/>
      <c r="R757" s="4"/>
      <c r="S757" s="4"/>
      <c r="T757" s="4"/>
      <c r="U757" s="4"/>
      <c r="V757" s="4"/>
      <c r="W757" s="4"/>
      <c r="X757" s="4"/>
      <c r="Y757" s="4"/>
      <c r="Z757" s="4"/>
      <c r="AA757" s="4"/>
    </row>
    <row r="758">
      <c r="A758" s="48"/>
      <c r="B758" s="48"/>
      <c r="C758" s="4"/>
      <c r="D758" s="4"/>
      <c r="E758" s="4"/>
      <c r="F758" s="48"/>
      <c r="G758" s="48"/>
      <c r="H758" s="48"/>
      <c r="I758" s="48"/>
      <c r="J758" s="48"/>
      <c r="K758" s="48"/>
      <c r="L758" s="48"/>
      <c r="M758" s="48"/>
      <c r="N758" s="48"/>
      <c r="O758" s="48"/>
      <c r="P758" s="4"/>
      <c r="Q758" s="4"/>
      <c r="R758" s="4"/>
      <c r="S758" s="4"/>
      <c r="T758" s="4"/>
      <c r="U758" s="4"/>
      <c r="V758" s="4"/>
      <c r="W758" s="4"/>
      <c r="X758" s="4"/>
      <c r="Y758" s="4"/>
      <c r="Z758" s="4"/>
      <c r="AA758" s="4"/>
    </row>
    <row r="759">
      <c r="A759" s="48"/>
      <c r="B759" s="48"/>
      <c r="C759" s="4"/>
      <c r="D759" s="4"/>
      <c r="E759" s="4"/>
      <c r="F759" s="48"/>
      <c r="G759" s="48"/>
      <c r="H759" s="48"/>
      <c r="I759" s="48"/>
      <c r="J759" s="48"/>
      <c r="K759" s="48"/>
      <c r="L759" s="48"/>
      <c r="M759" s="48"/>
      <c r="N759" s="48"/>
      <c r="O759" s="48"/>
      <c r="P759" s="4"/>
      <c r="Q759" s="4"/>
      <c r="R759" s="4"/>
      <c r="S759" s="4"/>
      <c r="T759" s="4"/>
      <c r="U759" s="4"/>
      <c r="V759" s="4"/>
      <c r="W759" s="4"/>
      <c r="X759" s="4"/>
      <c r="Y759" s="4"/>
      <c r="Z759" s="4"/>
      <c r="AA759" s="4"/>
    </row>
    <row r="760">
      <c r="A760" s="48"/>
      <c r="B760" s="48"/>
      <c r="C760" s="4"/>
      <c r="D760" s="4"/>
      <c r="E760" s="4"/>
      <c r="F760" s="48"/>
      <c r="G760" s="48"/>
      <c r="H760" s="48"/>
      <c r="I760" s="48"/>
      <c r="J760" s="48"/>
      <c r="K760" s="48"/>
      <c r="L760" s="48"/>
      <c r="M760" s="48"/>
      <c r="N760" s="48"/>
      <c r="O760" s="48"/>
      <c r="P760" s="4"/>
      <c r="Q760" s="4"/>
      <c r="R760" s="4"/>
      <c r="S760" s="4"/>
      <c r="T760" s="4"/>
      <c r="U760" s="4"/>
      <c r="V760" s="4"/>
      <c r="W760" s="4"/>
      <c r="X760" s="4"/>
      <c r="Y760" s="4"/>
      <c r="Z760" s="4"/>
      <c r="AA760" s="4"/>
    </row>
    <row r="761">
      <c r="A761" s="48"/>
      <c r="B761" s="48"/>
      <c r="C761" s="4"/>
      <c r="D761" s="4"/>
      <c r="E761" s="4"/>
      <c r="F761" s="48"/>
      <c r="G761" s="48"/>
      <c r="H761" s="48"/>
      <c r="I761" s="48"/>
      <c r="J761" s="48"/>
      <c r="K761" s="48"/>
      <c r="L761" s="48"/>
      <c r="M761" s="48"/>
      <c r="N761" s="48"/>
      <c r="O761" s="48"/>
      <c r="P761" s="4"/>
      <c r="Q761" s="4"/>
      <c r="R761" s="4"/>
      <c r="S761" s="4"/>
      <c r="T761" s="4"/>
      <c r="U761" s="4"/>
      <c r="V761" s="4"/>
      <c r="W761" s="4"/>
      <c r="X761" s="4"/>
      <c r="Y761" s="4"/>
      <c r="Z761" s="4"/>
      <c r="AA761" s="4"/>
    </row>
    <row r="762">
      <c r="A762" s="48"/>
      <c r="B762" s="48"/>
      <c r="C762" s="4"/>
      <c r="D762" s="4"/>
      <c r="E762" s="4"/>
      <c r="F762" s="48"/>
      <c r="G762" s="48"/>
      <c r="H762" s="48"/>
      <c r="I762" s="48"/>
      <c r="J762" s="48"/>
      <c r="K762" s="48"/>
      <c r="L762" s="48"/>
      <c r="M762" s="48"/>
      <c r="N762" s="48"/>
      <c r="O762" s="48"/>
      <c r="P762" s="4"/>
      <c r="Q762" s="4"/>
      <c r="R762" s="4"/>
      <c r="S762" s="4"/>
      <c r="T762" s="4"/>
      <c r="U762" s="4"/>
      <c r="V762" s="4"/>
      <c r="W762" s="4"/>
      <c r="X762" s="4"/>
      <c r="Y762" s="4"/>
      <c r="Z762" s="4"/>
      <c r="AA762" s="4"/>
    </row>
    <row r="763">
      <c r="A763" s="48"/>
      <c r="B763" s="48"/>
      <c r="C763" s="4"/>
      <c r="D763" s="4"/>
      <c r="E763" s="4"/>
      <c r="F763" s="48"/>
      <c r="G763" s="48"/>
      <c r="H763" s="48"/>
      <c r="I763" s="48"/>
      <c r="J763" s="48"/>
      <c r="K763" s="48"/>
      <c r="L763" s="48"/>
      <c r="M763" s="48"/>
      <c r="N763" s="48"/>
      <c r="O763" s="48"/>
      <c r="P763" s="4"/>
      <c r="Q763" s="4"/>
      <c r="R763" s="4"/>
      <c r="S763" s="4"/>
      <c r="T763" s="4"/>
      <c r="U763" s="4"/>
      <c r="V763" s="4"/>
      <c r="W763" s="4"/>
      <c r="X763" s="4"/>
      <c r="Y763" s="4"/>
      <c r="Z763" s="4"/>
      <c r="AA763" s="4"/>
    </row>
    <row r="764">
      <c r="A764" s="48"/>
      <c r="B764" s="48"/>
      <c r="C764" s="4"/>
      <c r="D764" s="4"/>
      <c r="E764" s="4"/>
      <c r="F764" s="48"/>
      <c r="G764" s="48"/>
      <c r="H764" s="48"/>
      <c r="I764" s="48"/>
      <c r="J764" s="48"/>
      <c r="K764" s="48"/>
      <c r="L764" s="48"/>
      <c r="M764" s="48"/>
      <c r="N764" s="48"/>
      <c r="O764" s="48"/>
      <c r="P764" s="4"/>
      <c r="Q764" s="4"/>
      <c r="R764" s="4"/>
      <c r="S764" s="4"/>
      <c r="T764" s="4"/>
      <c r="U764" s="4"/>
      <c r="V764" s="4"/>
      <c r="W764" s="4"/>
      <c r="X764" s="4"/>
      <c r="Y764" s="4"/>
      <c r="Z764" s="4"/>
      <c r="AA764" s="4"/>
    </row>
    <row r="765">
      <c r="A765" s="48"/>
      <c r="B765" s="48"/>
      <c r="C765" s="4"/>
      <c r="D765" s="4"/>
      <c r="E765" s="4"/>
      <c r="F765" s="48"/>
      <c r="G765" s="48"/>
      <c r="H765" s="48"/>
      <c r="I765" s="48"/>
      <c r="J765" s="48"/>
      <c r="K765" s="48"/>
      <c r="L765" s="48"/>
      <c r="M765" s="48"/>
      <c r="N765" s="48"/>
      <c r="O765" s="48"/>
      <c r="P765" s="4"/>
      <c r="Q765" s="4"/>
      <c r="R765" s="4"/>
      <c r="S765" s="4"/>
      <c r="T765" s="4"/>
      <c r="U765" s="4"/>
      <c r="V765" s="4"/>
      <c r="W765" s="4"/>
      <c r="X765" s="4"/>
      <c r="Y765" s="4"/>
      <c r="Z765" s="4"/>
      <c r="AA765" s="4"/>
    </row>
    <row r="766">
      <c r="A766" s="48"/>
      <c r="B766" s="48"/>
      <c r="C766" s="4"/>
      <c r="D766" s="4"/>
      <c r="E766" s="4"/>
      <c r="F766" s="48"/>
      <c r="G766" s="48"/>
      <c r="H766" s="48"/>
      <c r="I766" s="48"/>
      <c r="J766" s="48"/>
      <c r="K766" s="48"/>
      <c r="L766" s="48"/>
      <c r="M766" s="48"/>
      <c r="N766" s="48"/>
      <c r="O766" s="48"/>
      <c r="P766" s="4"/>
      <c r="Q766" s="4"/>
      <c r="R766" s="4"/>
      <c r="S766" s="4"/>
      <c r="T766" s="4"/>
      <c r="U766" s="4"/>
      <c r="V766" s="4"/>
      <c r="W766" s="4"/>
      <c r="X766" s="4"/>
      <c r="Y766" s="4"/>
      <c r="Z766" s="4"/>
      <c r="AA766" s="4"/>
    </row>
    <row r="767">
      <c r="A767" s="48"/>
      <c r="B767" s="48"/>
      <c r="C767" s="4"/>
      <c r="D767" s="4"/>
      <c r="E767" s="4"/>
      <c r="F767" s="48"/>
      <c r="G767" s="48"/>
      <c r="H767" s="48"/>
      <c r="I767" s="48"/>
      <c r="J767" s="48"/>
      <c r="K767" s="48"/>
      <c r="L767" s="48"/>
      <c r="M767" s="48"/>
      <c r="N767" s="48"/>
      <c r="O767" s="48"/>
      <c r="P767" s="4"/>
      <c r="Q767" s="4"/>
      <c r="R767" s="4"/>
      <c r="S767" s="4"/>
      <c r="T767" s="4"/>
      <c r="U767" s="4"/>
      <c r="V767" s="4"/>
      <c r="W767" s="4"/>
      <c r="X767" s="4"/>
      <c r="Y767" s="4"/>
      <c r="Z767" s="4"/>
      <c r="AA767" s="4"/>
    </row>
    <row r="768">
      <c r="A768" s="48"/>
      <c r="B768" s="48"/>
      <c r="C768" s="4"/>
      <c r="D768" s="4"/>
      <c r="E768" s="4"/>
      <c r="F768" s="48"/>
      <c r="G768" s="48"/>
      <c r="H768" s="48"/>
      <c r="I768" s="48"/>
      <c r="J768" s="48"/>
      <c r="K768" s="48"/>
      <c r="L768" s="48"/>
      <c r="M768" s="48"/>
      <c r="N768" s="48"/>
      <c r="O768" s="48"/>
      <c r="P768" s="4"/>
      <c r="Q768" s="4"/>
      <c r="R768" s="4"/>
      <c r="S768" s="4"/>
      <c r="T768" s="4"/>
      <c r="U768" s="4"/>
      <c r="V768" s="4"/>
      <c r="W768" s="4"/>
      <c r="X768" s="4"/>
      <c r="Y768" s="4"/>
      <c r="Z768" s="4"/>
      <c r="AA768" s="4"/>
    </row>
    <row r="769">
      <c r="A769" s="48"/>
      <c r="B769" s="48"/>
      <c r="C769" s="4"/>
      <c r="D769" s="4"/>
      <c r="E769" s="4"/>
      <c r="F769" s="48"/>
      <c r="G769" s="48"/>
      <c r="H769" s="48"/>
      <c r="I769" s="48"/>
      <c r="J769" s="48"/>
      <c r="K769" s="48"/>
      <c r="L769" s="48"/>
      <c r="M769" s="48"/>
      <c r="N769" s="48"/>
      <c r="O769" s="48"/>
      <c r="P769" s="4"/>
      <c r="Q769" s="4"/>
      <c r="R769" s="4"/>
      <c r="S769" s="4"/>
      <c r="T769" s="4"/>
      <c r="U769" s="4"/>
      <c r="V769" s="4"/>
      <c r="W769" s="4"/>
      <c r="X769" s="4"/>
      <c r="Y769" s="4"/>
      <c r="Z769" s="4"/>
      <c r="AA769" s="4"/>
    </row>
    <row r="770">
      <c r="A770" s="48"/>
      <c r="B770" s="48"/>
      <c r="C770" s="4"/>
      <c r="D770" s="4"/>
      <c r="E770" s="4"/>
      <c r="F770" s="48"/>
      <c r="G770" s="48"/>
      <c r="H770" s="48"/>
      <c r="I770" s="48"/>
      <c r="J770" s="48"/>
      <c r="K770" s="48"/>
      <c r="L770" s="48"/>
      <c r="M770" s="48"/>
      <c r="N770" s="48"/>
      <c r="O770" s="48"/>
      <c r="P770" s="4"/>
      <c r="Q770" s="4"/>
      <c r="R770" s="4"/>
      <c r="S770" s="4"/>
      <c r="T770" s="4"/>
      <c r="U770" s="4"/>
      <c r="V770" s="4"/>
      <c r="W770" s="4"/>
      <c r="X770" s="4"/>
      <c r="Y770" s="4"/>
      <c r="Z770" s="4"/>
      <c r="AA770" s="4"/>
    </row>
    <row r="771">
      <c r="A771" s="48"/>
      <c r="B771" s="48"/>
      <c r="C771" s="4"/>
      <c r="D771" s="4"/>
      <c r="E771" s="4"/>
      <c r="F771" s="48"/>
      <c r="G771" s="48"/>
      <c r="H771" s="48"/>
      <c r="I771" s="48"/>
      <c r="J771" s="48"/>
      <c r="K771" s="48"/>
      <c r="L771" s="48"/>
      <c r="M771" s="48"/>
      <c r="N771" s="48"/>
      <c r="O771" s="48"/>
      <c r="P771" s="4"/>
      <c r="Q771" s="4"/>
      <c r="R771" s="4"/>
      <c r="S771" s="4"/>
      <c r="T771" s="4"/>
      <c r="U771" s="4"/>
      <c r="V771" s="4"/>
      <c r="W771" s="4"/>
      <c r="X771" s="4"/>
      <c r="Y771" s="4"/>
      <c r="Z771" s="4"/>
      <c r="AA771" s="4"/>
    </row>
    <row r="772">
      <c r="A772" s="48"/>
      <c r="B772" s="48"/>
      <c r="C772" s="4"/>
      <c r="D772" s="4"/>
      <c r="E772" s="4"/>
      <c r="F772" s="48"/>
      <c r="G772" s="48"/>
      <c r="H772" s="48"/>
      <c r="I772" s="48"/>
      <c r="J772" s="48"/>
      <c r="K772" s="48"/>
      <c r="L772" s="48"/>
      <c r="M772" s="48"/>
      <c r="N772" s="48"/>
      <c r="O772" s="48"/>
      <c r="P772" s="4"/>
      <c r="Q772" s="4"/>
      <c r="R772" s="4"/>
      <c r="S772" s="4"/>
      <c r="T772" s="4"/>
      <c r="U772" s="4"/>
      <c r="V772" s="4"/>
      <c r="W772" s="4"/>
      <c r="X772" s="4"/>
      <c r="Y772" s="4"/>
      <c r="Z772" s="4"/>
      <c r="AA772" s="4"/>
    </row>
    <row r="773">
      <c r="A773" s="48"/>
      <c r="B773" s="48"/>
      <c r="C773" s="4"/>
      <c r="D773" s="4"/>
      <c r="E773" s="4"/>
      <c r="F773" s="48"/>
      <c r="G773" s="48"/>
      <c r="H773" s="48"/>
      <c r="I773" s="48"/>
      <c r="J773" s="48"/>
      <c r="K773" s="48"/>
      <c r="L773" s="48"/>
      <c r="M773" s="48"/>
      <c r="N773" s="48"/>
      <c r="O773" s="48"/>
      <c r="P773" s="4"/>
      <c r="Q773" s="4"/>
      <c r="R773" s="4"/>
      <c r="S773" s="4"/>
      <c r="T773" s="4"/>
      <c r="U773" s="4"/>
      <c r="V773" s="4"/>
      <c r="W773" s="4"/>
      <c r="X773" s="4"/>
      <c r="Y773" s="4"/>
      <c r="Z773" s="4"/>
      <c r="AA773" s="4"/>
    </row>
    <row r="774">
      <c r="A774" s="48"/>
      <c r="B774" s="48"/>
      <c r="C774" s="4"/>
      <c r="D774" s="4"/>
      <c r="E774" s="4"/>
      <c r="F774" s="48"/>
      <c r="G774" s="48"/>
      <c r="H774" s="48"/>
      <c r="I774" s="48"/>
      <c r="J774" s="48"/>
      <c r="K774" s="48"/>
      <c r="L774" s="48"/>
      <c r="M774" s="48"/>
      <c r="N774" s="48"/>
      <c r="O774" s="48"/>
      <c r="P774" s="4"/>
      <c r="Q774" s="4"/>
      <c r="R774" s="4"/>
      <c r="S774" s="4"/>
      <c r="T774" s="4"/>
      <c r="U774" s="4"/>
      <c r="V774" s="4"/>
      <c r="W774" s="4"/>
      <c r="X774" s="4"/>
      <c r="Y774" s="4"/>
      <c r="Z774" s="4"/>
      <c r="AA774" s="4"/>
    </row>
    <row r="775">
      <c r="A775" s="48"/>
      <c r="B775" s="48"/>
      <c r="C775" s="4"/>
      <c r="D775" s="4"/>
      <c r="E775" s="4"/>
      <c r="F775" s="48"/>
      <c r="G775" s="48"/>
      <c r="H775" s="48"/>
      <c r="I775" s="48"/>
      <c r="J775" s="48"/>
      <c r="K775" s="48"/>
      <c r="L775" s="48"/>
      <c r="M775" s="48"/>
      <c r="N775" s="48"/>
      <c r="O775" s="48"/>
      <c r="P775" s="4"/>
      <c r="Q775" s="4"/>
      <c r="R775" s="4"/>
      <c r="S775" s="4"/>
      <c r="T775" s="4"/>
      <c r="U775" s="4"/>
      <c r="V775" s="4"/>
      <c r="W775" s="4"/>
      <c r="X775" s="4"/>
      <c r="Y775" s="4"/>
      <c r="Z775" s="4"/>
      <c r="AA775" s="4"/>
    </row>
    <row r="776">
      <c r="A776" s="48"/>
      <c r="B776" s="48"/>
      <c r="C776" s="4"/>
      <c r="D776" s="4"/>
      <c r="E776" s="4"/>
      <c r="F776" s="48"/>
      <c r="G776" s="48"/>
      <c r="H776" s="48"/>
      <c r="I776" s="48"/>
      <c r="J776" s="48"/>
      <c r="K776" s="48"/>
      <c r="L776" s="48"/>
      <c r="M776" s="48"/>
      <c r="N776" s="48"/>
      <c r="O776" s="48"/>
      <c r="P776" s="4"/>
      <c r="Q776" s="4"/>
      <c r="R776" s="4"/>
      <c r="S776" s="4"/>
      <c r="T776" s="4"/>
      <c r="U776" s="4"/>
      <c r="V776" s="4"/>
      <c r="W776" s="4"/>
      <c r="X776" s="4"/>
      <c r="Y776" s="4"/>
      <c r="Z776" s="4"/>
      <c r="AA776" s="4"/>
    </row>
    <row r="777">
      <c r="A777" s="48"/>
      <c r="B777" s="48"/>
      <c r="C777" s="4"/>
      <c r="D777" s="4"/>
      <c r="E777" s="4"/>
      <c r="F777" s="48"/>
      <c r="G777" s="48"/>
      <c r="H777" s="48"/>
      <c r="I777" s="48"/>
      <c r="J777" s="48"/>
      <c r="K777" s="48"/>
      <c r="L777" s="48"/>
      <c r="M777" s="48"/>
      <c r="N777" s="48"/>
      <c r="O777" s="48"/>
      <c r="P777" s="4"/>
      <c r="Q777" s="4"/>
      <c r="R777" s="4"/>
      <c r="S777" s="4"/>
      <c r="T777" s="4"/>
      <c r="U777" s="4"/>
      <c r="V777" s="4"/>
      <c r="W777" s="4"/>
      <c r="X777" s="4"/>
      <c r="Y777" s="4"/>
      <c r="Z777" s="4"/>
      <c r="AA777" s="4"/>
    </row>
    <row r="778">
      <c r="A778" s="48"/>
      <c r="B778" s="48"/>
      <c r="C778" s="4"/>
      <c r="D778" s="4"/>
      <c r="E778" s="4"/>
      <c r="F778" s="48"/>
      <c r="G778" s="48"/>
      <c r="H778" s="48"/>
      <c r="I778" s="48"/>
      <c r="J778" s="48"/>
      <c r="K778" s="48"/>
      <c r="L778" s="48"/>
      <c r="M778" s="48"/>
      <c r="N778" s="48"/>
      <c r="O778" s="48"/>
      <c r="P778" s="4"/>
      <c r="Q778" s="4"/>
      <c r="R778" s="4"/>
      <c r="S778" s="4"/>
      <c r="T778" s="4"/>
      <c r="U778" s="4"/>
      <c r="V778" s="4"/>
      <c r="W778" s="4"/>
      <c r="X778" s="4"/>
      <c r="Y778" s="4"/>
      <c r="Z778" s="4"/>
      <c r="AA778" s="4"/>
    </row>
    <row r="779">
      <c r="A779" s="48"/>
      <c r="B779" s="48"/>
      <c r="C779" s="4"/>
      <c r="D779" s="4"/>
      <c r="E779" s="4"/>
      <c r="F779" s="48"/>
      <c r="G779" s="48"/>
      <c r="H779" s="48"/>
      <c r="I779" s="48"/>
      <c r="J779" s="48"/>
      <c r="K779" s="48"/>
      <c r="L779" s="48"/>
      <c r="M779" s="48"/>
      <c r="N779" s="48"/>
      <c r="O779" s="48"/>
      <c r="P779" s="4"/>
      <c r="Q779" s="4"/>
      <c r="R779" s="4"/>
      <c r="S779" s="4"/>
      <c r="T779" s="4"/>
      <c r="U779" s="4"/>
      <c r="V779" s="4"/>
      <c r="W779" s="4"/>
      <c r="X779" s="4"/>
      <c r="Y779" s="4"/>
      <c r="Z779" s="4"/>
      <c r="AA779" s="4"/>
    </row>
    <row r="780">
      <c r="A780" s="48"/>
      <c r="B780" s="48"/>
      <c r="C780" s="4"/>
      <c r="D780" s="4"/>
      <c r="E780" s="4"/>
      <c r="F780" s="48"/>
      <c r="G780" s="48"/>
      <c r="H780" s="48"/>
      <c r="I780" s="48"/>
      <c r="J780" s="48"/>
      <c r="K780" s="48"/>
      <c r="L780" s="48"/>
      <c r="M780" s="48"/>
      <c r="N780" s="48"/>
      <c r="O780" s="48"/>
      <c r="P780" s="4"/>
      <c r="Q780" s="4"/>
      <c r="R780" s="4"/>
      <c r="S780" s="4"/>
      <c r="T780" s="4"/>
      <c r="U780" s="4"/>
      <c r="V780" s="4"/>
      <c r="W780" s="4"/>
      <c r="X780" s="4"/>
      <c r="Y780" s="4"/>
      <c r="Z780" s="4"/>
      <c r="AA780" s="4"/>
    </row>
    <row r="781">
      <c r="A781" s="48"/>
      <c r="B781" s="48"/>
      <c r="C781" s="4"/>
      <c r="D781" s="4"/>
      <c r="E781" s="4"/>
      <c r="F781" s="48"/>
      <c r="G781" s="48"/>
      <c r="H781" s="48"/>
      <c r="I781" s="48"/>
      <c r="J781" s="48"/>
      <c r="K781" s="48"/>
      <c r="L781" s="48"/>
      <c r="M781" s="48"/>
      <c r="N781" s="48"/>
      <c r="O781" s="48"/>
      <c r="P781" s="4"/>
      <c r="Q781" s="4"/>
      <c r="R781" s="4"/>
      <c r="S781" s="4"/>
      <c r="T781" s="4"/>
      <c r="U781" s="4"/>
      <c r="V781" s="4"/>
      <c r="W781" s="4"/>
      <c r="X781" s="4"/>
      <c r="Y781" s="4"/>
      <c r="Z781" s="4"/>
      <c r="AA781" s="4"/>
    </row>
    <row r="782">
      <c r="A782" s="48"/>
      <c r="B782" s="48"/>
      <c r="C782" s="4"/>
      <c r="D782" s="4"/>
      <c r="E782" s="4"/>
      <c r="F782" s="48"/>
      <c r="G782" s="48"/>
      <c r="H782" s="48"/>
      <c r="I782" s="48"/>
      <c r="J782" s="48"/>
      <c r="K782" s="48"/>
      <c r="L782" s="48"/>
      <c r="M782" s="48"/>
      <c r="N782" s="48"/>
      <c r="O782" s="48"/>
      <c r="P782" s="4"/>
      <c r="Q782" s="4"/>
      <c r="R782" s="4"/>
      <c r="S782" s="4"/>
      <c r="T782" s="4"/>
      <c r="U782" s="4"/>
      <c r="V782" s="4"/>
      <c r="W782" s="4"/>
      <c r="X782" s="4"/>
      <c r="Y782" s="4"/>
      <c r="Z782" s="4"/>
      <c r="AA782" s="4"/>
    </row>
    <row r="783">
      <c r="A783" s="48"/>
      <c r="B783" s="48"/>
      <c r="C783" s="4"/>
      <c r="D783" s="4"/>
      <c r="E783" s="4"/>
      <c r="F783" s="48"/>
      <c r="G783" s="48"/>
      <c r="H783" s="48"/>
      <c r="I783" s="48"/>
      <c r="J783" s="48"/>
      <c r="K783" s="48"/>
      <c r="L783" s="48"/>
      <c r="M783" s="48"/>
      <c r="N783" s="48"/>
      <c r="O783" s="48"/>
      <c r="P783" s="4"/>
      <c r="Q783" s="4"/>
      <c r="R783" s="4"/>
      <c r="S783" s="4"/>
      <c r="T783" s="4"/>
      <c r="U783" s="4"/>
      <c r="V783" s="4"/>
      <c r="W783" s="4"/>
      <c r="X783" s="4"/>
      <c r="Y783" s="4"/>
      <c r="Z783" s="4"/>
      <c r="AA783" s="4"/>
    </row>
    <row r="784">
      <c r="A784" s="48"/>
      <c r="B784" s="48"/>
      <c r="C784" s="4"/>
      <c r="D784" s="4"/>
      <c r="E784" s="4"/>
      <c r="F784" s="48"/>
      <c r="G784" s="48"/>
      <c r="H784" s="48"/>
      <c r="I784" s="48"/>
      <c r="J784" s="48"/>
      <c r="K784" s="48"/>
      <c r="L784" s="48"/>
      <c r="M784" s="48"/>
      <c r="N784" s="48"/>
      <c r="O784" s="48"/>
      <c r="P784" s="4"/>
      <c r="Q784" s="4"/>
      <c r="R784" s="4"/>
      <c r="S784" s="4"/>
      <c r="T784" s="4"/>
      <c r="U784" s="4"/>
      <c r="V784" s="4"/>
      <c r="W784" s="4"/>
      <c r="X784" s="4"/>
      <c r="Y784" s="4"/>
      <c r="Z784" s="4"/>
      <c r="AA784" s="4"/>
    </row>
    <row r="785">
      <c r="A785" s="48"/>
      <c r="B785" s="48"/>
      <c r="C785" s="4"/>
      <c r="D785" s="4"/>
      <c r="E785" s="4"/>
      <c r="F785" s="48"/>
      <c r="G785" s="48"/>
      <c r="H785" s="48"/>
      <c r="I785" s="48"/>
      <c r="J785" s="48"/>
      <c r="K785" s="48"/>
      <c r="L785" s="48"/>
      <c r="M785" s="48"/>
      <c r="N785" s="48"/>
      <c r="O785" s="48"/>
      <c r="P785" s="4"/>
      <c r="Q785" s="4"/>
      <c r="R785" s="4"/>
      <c r="S785" s="4"/>
      <c r="T785" s="4"/>
      <c r="U785" s="4"/>
      <c r="V785" s="4"/>
      <c r="W785" s="4"/>
      <c r="X785" s="4"/>
      <c r="Y785" s="4"/>
      <c r="Z785" s="4"/>
      <c r="AA785" s="4"/>
    </row>
    <row r="786">
      <c r="A786" s="48"/>
      <c r="B786" s="48"/>
      <c r="C786" s="4"/>
      <c r="D786" s="4"/>
      <c r="E786" s="4"/>
      <c r="F786" s="48"/>
      <c r="G786" s="48"/>
      <c r="H786" s="48"/>
      <c r="I786" s="48"/>
      <c r="J786" s="48"/>
      <c r="K786" s="48"/>
      <c r="L786" s="48"/>
      <c r="M786" s="48"/>
      <c r="N786" s="48"/>
      <c r="O786" s="48"/>
      <c r="P786" s="4"/>
      <c r="Q786" s="4"/>
      <c r="R786" s="4"/>
      <c r="S786" s="4"/>
      <c r="T786" s="4"/>
      <c r="U786" s="4"/>
      <c r="V786" s="4"/>
      <c r="W786" s="4"/>
      <c r="X786" s="4"/>
      <c r="Y786" s="4"/>
      <c r="Z786" s="4"/>
      <c r="AA786" s="4"/>
    </row>
    <row r="787">
      <c r="A787" s="48"/>
      <c r="B787" s="48"/>
      <c r="C787" s="4"/>
      <c r="D787" s="4"/>
      <c r="E787" s="4"/>
      <c r="F787" s="48"/>
      <c r="G787" s="48"/>
      <c r="H787" s="48"/>
      <c r="I787" s="48"/>
      <c r="J787" s="48"/>
      <c r="K787" s="48"/>
      <c r="L787" s="48"/>
      <c r="M787" s="48"/>
      <c r="N787" s="48"/>
      <c r="O787" s="48"/>
      <c r="P787" s="4"/>
      <c r="Q787" s="4"/>
      <c r="R787" s="4"/>
      <c r="S787" s="4"/>
      <c r="T787" s="4"/>
      <c r="U787" s="4"/>
      <c r="V787" s="4"/>
      <c r="W787" s="4"/>
      <c r="X787" s="4"/>
      <c r="Y787" s="4"/>
      <c r="Z787" s="4"/>
      <c r="AA787" s="4"/>
    </row>
    <row r="788">
      <c r="A788" s="48"/>
      <c r="B788" s="48"/>
      <c r="C788" s="4"/>
      <c r="D788" s="4"/>
      <c r="E788" s="4"/>
      <c r="F788" s="48"/>
      <c r="G788" s="48"/>
      <c r="H788" s="48"/>
      <c r="I788" s="48"/>
      <c r="J788" s="48"/>
      <c r="K788" s="48"/>
      <c r="L788" s="48"/>
      <c r="M788" s="48"/>
      <c r="N788" s="48"/>
      <c r="O788" s="48"/>
      <c r="P788" s="4"/>
      <c r="Q788" s="4"/>
      <c r="R788" s="4"/>
      <c r="S788" s="4"/>
      <c r="T788" s="4"/>
      <c r="U788" s="4"/>
      <c r="V788" s="4"/>
      <c r="W788" s="4"/>
      <c r="X788" s="4"/>
      <c r="Y788" s="4"/>
      <c r="Z788" s="4"/>
      <c r="AA788" s="4"/>
    </row>
    <row r="789">
      <c r="A789" s="48"/>
      <c r="B789" s="48"/>
      <c r="C789" s="4"/>
      <c r="D789" s="4"/>
      <c r="E789" s="4"/>
      <c r="F789" s="48"/>
      <c r="G789" s="48"/>
      <c r="H789" s="48"/>
      <c r="I789" s="48"/>
      <c r="J789" s="48"/>
      <c r="K789" s="48"/>
      <c r="L789" s="48"/>
      <c r="M789" s="48"/>
      <c r="N789" s="48"/>
      <c r="O789" s="48"/>
      <c r="P789" s="4"/>
      <c r="Q789" s="4"/>
      <c r="R789" s="4"/>
      <c r="S789" s="4"/>
      <c r="T789" s="4"/>
      <c r="U789" s="4"/>
      <c r="V789" s="4"/>
      <c r="W789" s="4"/>
      <c r="X789" s="4"/>
      <c r="Y789" s="4"/>
      <c r="Z789" s="4"/>
      <c r="AA789" s="4"/>
    </row>
    <row r="790">
      <c r="A790" s="48"/>
      <c r="B790" s="48"/>
      <c r="C790" s="4"/>
      <c r="D790" s="4"/>
      <c r="E790" s="4"/>
      <c r="F790" s="48"/>
      <c r="G790" s="48"/>
      <c r="H790" s="48"/>
      <c r="I790" s="48"/>
      <c r="J790" s="48"/>
      <c r="K790" s="48"/>
      <c r="L790" s="48"/>
      <c r="M790" s="48"/>
      <c r="N790" s="48"/>
      <c r="O790" s="48"/>
      <c r="P790" s="4"/>
      <c r="Q790" s="4"/>
      <c r="R790" s="4"/>
      <c r="S790" s="4"/>
      <c r="T790" s="4"/>
      <c r="U790" s="4"/>
      <c r="V790" s="4"/>
      <c r="W790" s="4"/>
      <c r="X790" s="4"/>
      <c r="Y790" s="4"/>
      <c r="Z790" s="4"/>
      <c r="AA790" s="4"/>
    </row>
    <row r="791">
      <c r="A791" s="48"/>
      <c r="B791" s="48"/>
      <c r="C791" s="4"/>
      <c r="D791" s="4"/>
      <c r="E791" s="4"/>
      <c r="F791" s="48"/>
      <c r="G791" s="48"/>
      <c r="H791" s="48"/>
      <c r="I791" s="48"/>
      <c r="J791" s="48"/>
      <c r="K791" s="48"/>
      <c r="L791" s="48"/>
      <c r="M791" s="48"/>
      <c r="N791" s="48"/>
      <c r="O791" s="48"/>
      <c r="P791" s="4"/>
      <c r="Q791" s="4"/>
      <c r="R791" s="4"/>
      <c r="S791" s="4"/>
      <c r="T791" s="4"/>
      <c r="U791" s="4"/>
      <c r="V791" s="4"/>
      <c r="W791" s="4"/>
      <c r="X791" s="4"/>
      <c r="Y791" s="4"/>
      <c r="Z791" s="4"/>
      <c r="AA791" s="4"/>
    </row>
    <row r="792">
      <c r="A792" s="48"/>
      <c r="B792" s="48"/>
      <c r="C792" s="4"/>
      <c r="D792" s="4"/>
      <c r="E792" s="4"/>
      <c r="F792" s="48"/>
      <c r="G792" s="48"/>
      <c r="H792" s="48"/>
      <c r="I792" s="48"/>
      <c r="J792" s="48"/>
      <c r="K792" s="48"/>
      <c r="L792" s="48"/>
      <c r="M792" s="48"/>
      <c r="N792" s="48"/>
      <c r="O792" s="48"/>
      <c r="P792" s="4"/>
      <c r="Q792" s="4"/>
      <c r="R792" s="4"/>
      <c r="S792" s="4"/>
      <c r="T792" s="4"/>
      <c r="U792" s="4"/>
      <c r="V792" s="4"/>
      <c r="W792" s="4"/>
      <c r="X792" s="4"/>
      <c r="Y792" s="4"/>
      <c r="Z792" s="4"/>
      <c r="AA792" s="4"/>
    </row>
    <row r="793">
      <c r="A793" s="48"/>
      <c r="B793" s="48"/>
      <c r="C793" s="4"/>
      <c r="D793" s="4"/>
      <c r="E793" s="4"/>
      <c r="F793" s="48"/>
      <c r="G793" s="48"/>
      <c r="H793" s="48"/>
      <c r="I793" s="48"/>
      <c r="J793" s="48"/>
      <c r="K793" s="48"/>
      <c r="L793" s="48"/>
      <c r="M793" s="48"/>
      <c r="N793" s="48"/>
      <c r="O793" s="48"/>
      <c r="P793" s="4"/>
      <c r="Q793" s="4"/>
      <c r="R793" s="4"/>
      <c r="S793" s="4"/>
      <c r="T793" s="4"/>
      <c r="U793" s="4"/>
      <c r="V793" s="4"/>
      <c r="W793" s="4"/>
      <c r="X793" s="4"/>
      <c r="Y793" s="4"/>
      <c r="Z793" s="4"/>
      <c r="AA793" s="4"/>
    </row>
    <row r="794">
      <c r="A794" s="48"/>
      <c r="B794" s="48"/>
      <c r="C794" s="4"/>
      <c r="D794" s="4"/>
      <c r="E794" s="4"/>
      <c r="F794" s="48"/>
      <c r="G794" s="48"/>
      <c r="H794" s="48"/>
      <c r="I794" s="48"/>
      <c r="J794" s="48"/>
      <c r="K794" s="48"/>
      <c r="L794" s="48"/>
      <c r="M794" s="48"/>
      <c r="N794" s="48"/>
      <c r="O794" s="48"/>
      <c r="P794" s="4"/>
      <c r="Q794" s="4"/>
      <c r="R794" s="4"/>
      <c r="S794" s="4"/>
      <c r="T794" s="4"/>
      <c r="U794" s="4"/>
      <c r="V794" s="4"/>
      <c r="W794" s="4"/>
      <c r="X794" s="4"/>
      <c r="Y794" s="4"/>
      <c r="Z794" s="4"/>
      <c r="AA794" s="4"/>
    </row>
    <row r="795">
      <c r="A795" s="48"/>
      <c r="B795" s="48"/>
      <c r="C795" s="4"/>
      <c r="D795" s="4"/>
      <c r="E795" s="4"/>
      <c r="F795" s="48"/>
      <c r="G795" s="48"/>
      <c r="H795" s="48"/>
      <c r="I795" s="48"/>
      <c r="J795" s="48"/>
      <c r="K795" s="48"/>
      <c r="L795" s="48"/>
      <c r="M795" s="48"/>
      <c r="N795" s="48"/>
      <c r="O795" s="48"/>
      <c r="P795" s="4"/>
      <c r="Q795" s="4"/>
      <c r="R795" s="4"/>
      <c r="S795" s="4"/>
      <c r="T795" s="4"/>
      <c r="U795" s="4"/>
      <c r="V795" s="4"/>
      <c r="W795" s="4"/>
      <c r="X795" s="4"/>
      <c r="Y795" s="4"/>
      <c r="Z795" s="4"/>
      <c r="AA795" s="4"/>
    </row>
    <row r="796">
      <c r="A796" s="48"/>
      <c r="B796" s="48"/>
      <c r="C796" s="4"/>
      <c r="D796" s="4"/>
      <c r="E796" s="4"/>
      <c r="F796" s="48"/>
      <c r="G796" s="48"/>
      <c r="H796" s="48"/>
      <c r="I796" s="48"/>
      <c r="J796" s="48"/>
      <c r="K796" s="48"/>
      <c r="L796" s="48"/>
      <c r="M796" s="48"/>
      <c r="N796" s="48"/>
      <c r="O796" s="48"/>
      <c r="P796" s="4"/>
      <c r="Q796" s="4"/>
      <c r="R796" s="4"/>
      <c r="S796" s="4"/>
      <c r="T796" s="4"/>
      <c r="U796" s="4"/>
      <c r="V796" s="4"/>
      <c r="W796" s="4"/>
      <c r="X796" s="4"/>
      <c r="Y796" s="4"/>
      <c r="Z796" s="4"/>
      <c r="AA796" s="4"/>
    </row>
    <row r="797">
      <c r="A797" s="48"/>
      <c r="B797" s="48"/>
      <c r="C797" s="4"/>
      <c r="D797" s="4"/>
      <c r="E797" s="4"/>
      <c r="F797" s="48"/>
      <c r="G797" s="48"/>
      <c r="H797" s="48"/>
      <c r="I797" s="48"/>
      <c r="J797" s="48"/>
      <c r="K797" s="48"/>
      <c r="L797" s="48"/>
      <c r="M797" s="48"/>
      <c r="N797" s="48"/>
      <c r="O797" s="48"/>
      <c r="P797" s="4"/>
      <c r="Q797" s="4"/>
      <c r="R797" s="4"/>
      <c r="S797" s="4"/>
      <c r="T797" s="4"/>
      <c r="U797" s="4"/>
      <c r="V797" s="4"/>
      <c r="W797" s="4"/>
      <c r="X797" s="4"/>
      <c r="Y797" s="4"/>
      <c r="Z797" s="4"/>
      <c r="AA797" s="4"/>
    </row>
    <row r="798">
      <c r="A798" s="48"/>
      <c r="B798" s="48"/>
      <c r="C798" s="4"/>
      <c r="D798" s="4"/>
      <c r="E798" s="4"/>
      <c r="F798" s="48"/>
      <c r="G798" s="48"/>
      <c r="H798" s="48"/>
      <c r="I798" s="48"/>
      <c r="J798" s="48"/>
      <c r="K798" s="48"/>
      <c r="L798" s="48"/>
      <c r="M798" s="48"/>
      <c r="N798" s="48"/>
      <c r="O798" s="48"/>
      <c r="P798" s="4"/>
      <c r="Q798" s="4"/>
      <c r="R798" s="4"/>
      <c r="S798" s="4"/>
      <c r="T798" s="4"/>
      <c r="U798" s="4"/>
      <c r="V798" s="4"/>
      <c r="W798" s="4"/>
      <c r="X798" s="4"/>
      <c r="Y798" s="4"/>
      <c r="Z798" s="4"/>
      <c r="AA798" s="4"/>
    </row>
    <row r="799">
      <c r="A799" s="48"/>
      <c r="B799" s="48"/>
      <c r="C799" s="4"/>
      <c r="D799" s="4"/>
      <c r="E799" s="4"/>
      <c r="F799" s="48"/>
      <c r="G799" s="48"/>
      <c r="H799" s="48"/>
      <c r="I799" s="48"/>
      <c r="J799" s="48"/>
      <c r="K799" s="48"/>
      <c r="L799" s="48"/>
      <c r="M799" s="48"/>
      <c r="N799" s="48"/>
      <c r="O799" s="48"/>
      <c r="P799" s="4"/>
      <c r="Q799" s="4"/>
      <c r="R799" s="4"/>
      <c r="S799" s="4"/>
      <c r="T799" s="4"/>
      <c r="U799" s="4"/>
      <c r="V799" s="4"/>
      <c r="W799" s="4"/>
      <c r="X799" s="4"/>
      <c r="Y799" s="4"/>
      <c r="Z799" s="4"/>
      <c r="AA799" s="4"/>
    </row>
    <row r="800">
      <c r="A800" s="48"/>
      <c r="B800" s="48"/>
      <c r="C800" s="4"/>
      <c r="D800" s="4"/>
      <c r="E800" s="4"/>
      <c r="F800" s="48"/>
      <c r="G800" s="48"/>
      <c r="H800" s="48"/>
      <c r="I800" s="48"/>
      <c r="J800" s="48"/>
      <c r="K800" s="48"/>
      <c r="L800" s="48"/>
      <c r="M800" s="48"/>
      <c r="N800" s="48"/>
      <c r="O800" s="48"/>
      <c r="P800" s="4"/>
      <c r="Q800" s="4"/>
      <c r="R800" s="4"/>
      <c r="S800" s="4"/>
      <c r="T800" s="4"/>
      <c r="U800" s="4"/>
      <c r="V800" s="4"/>
      <c r="W800" s="4"/>
      <c r="X800" s="4"/>
      <c r="Y800" s="4"/>
      <c r="Z800" s="4"/>
      <c r="AA800" s="4"/>
    </row>
    <row r="801">
      <c r="A801" s="48"/>
      <c r="B801" s="48"/>
      <c r="C801" s="4"/>
      <c r="D801" s="4"/>
      <c r="E801" s="4"/>
      <c r="F801" s="48"/>
      <c r="G801" s="48"/>
      <c r="H801" s="48"/>
      <c r="I801" s="48"/>
      <c r="J801" s="48"/>
      <c r="K801" s="48"/>
      <c r="L801" s="48"/>
      <c r="M801" s="48"/>
      <c r="N801" s="48"/>
      <c r="O801" s="48"/>
      <c r="P801" s="4"/>
      <c r="Q801" s="4"/>
      <c r="R801" s="4"/>
      <c r="S801" s="4"/>
      <c r="T801" s="4"/>
      <c r="U801" s="4"/>
      <c r="V801" s="4"/>
      <c r="W801" s="4"/>
      <c r="X801" s="4"/>
      <c r="Y801" s="4"/>
      <c r="Z801" s="4"/>
      <c r="AA801" s="4"/>
    </row>
    <row r="802">
      <c r="A802" s="48"/>
      <c r="B802" s="48"/>
      <c r="C802" s="4"/>
      <c r="D802" s="4"/>
      <c r="E802" s="4"/>
      <c r="F802" s="48"/>
      <c r="G802" s="48"/>
      <c r="H802" s="48"/>
      <c r="I802" s="48"/>
      <c r="J802" s="48"/>
      <c r="K802" s="48"/>
      <c r="L802" s="48"/>
      <c r="M802" s="48"/>
      <c r="N802" s="48"/>
      <c r="O802" s="48"/>
      <c r="P802" s="4"/>
      <c r="Q802" s="4"/>
      <c r="R802" s="4"/>
      <c r="S802" s="4"/>
      <c r="T802" s="4"/>
      <c r="U802" s="4"/>
      <c r="V802" s="4"/>
      <c r="W802" s="4"/>
      <c r="X802" s="4"/>
      <c r="Y802" s="4"/>
      <c r="Z802" s="4"/>
      <c r="AA802" s="4"/>
    </row>
    <row r="803">
      <c r="A803" s="48"/>
      <c r="B803" s="48"/>
      <c r="C803" s="4"/>
      <c r="D803" s="4"/>
      <c r="E803" s="4"/>
      <c r="F803" s="48"/>
      <c r="G803" s="48"/>
      <c r="H803" s="48"/>
      <c r="I803" s="48"/>
      <c r="J803" s="48"/>
      <c r="K803" s="48"/>
      <c r="L803" s="48"/>
      <c r="M803" s="48"/>
      <c r="N803" s="48"/>
      <c r="O803" s="48"/>
      <c r="P803" s="4"/>
      <c r="Q803" s="4"/>
      <c r="R803" s="4"/>
      <c r="S803" s="4"/>
      <c r="T803" s="4"/>
      <c r="U803" s="4"/>
      <c r="V803" s="4"/>
      <c r="W803" s="4"/>
      <c r="X803" s="4"/>
      <c r="Y803" s="4"/>
      <c r="Z803" s="4"/>
      <c r="AA803" s="4"/>
    </row>
    <row r="804">
      <c r="A804" s="48"/>
      <c r="B804" s="48"/>
      <c r="C804" s="4"/>
      <c r="D804" s="4"/>
      <c r="E804" s="4"/>
      <c r="F804" s="48"/>
      <c r="G804" s="48"/>
      <c r="H804" s="48"/>
      <c r="I804" s="48"/>
      <c r="J804" s="48"/>
      <c r="K804" s="48"/>
      <c r="L804" s="48"/>
      <c r="M804" s="48"/>
      <c r="N804" s="48"/>
      <c r="O804" s="48"/>
      <c r="P804" s="4"/>
      <c r="Q804" s="4"/>
      <c r="R804" s="4"/>
      <c r="S804" s="4"/>
      <c r="T804" s="4"/>
      <c r="U804" s="4"/>
      <c r="V804" s="4"/>
      <c r="W804" s="4"/>
      <c r="X804" s="4"/>
      <c r="Y804" s="4"/>
      <c r="Z804" s="4"/>
      <c r="AA804" s="4"/>
    </row>
    <row r="805">
      <c r="A805" s="48"/>
      <c r="B805" s="48"/>
      <c r="C805" s="4"/>
      <c r="D805" s="4"/>
      <c r="E805" s="4"/>
      <c r="F805" s="48"/>
      <c r="G805" s="48"/>
      <c r="H805" s="48"/>
      <c r="I805" s="48"/>
      <c r="J805" s="48"/>
      <c r="K805" s="48"/>
      <c r="L805" s="48"/>
      <c r="M805" s="48"/>
      <c r="N805" s="48"/>
      <c r="O805" s="48"/>
      <c r="P805" s="4"/>
      <c r="Q805" s="4"/>
      <c r="R805" s="4"/>
      <c r="S805" s="4"/>
      <c r="T805" s="4"/>
      <c r="U805" s="4"/>
      <c r="V805" s="4"/>
      <c r="W805" s="4"/>
      <c r="X805" s="4"/>
      <c r="Y805" s="4"/>
      <c r="Z805" s="4"/>
      <c r="AA805" s="4"/>
    </row>
    <row r="806">
      <c r="A806" s="48"/>
      <c r="B806" s="48"/>
      <c r="C806" s="4"/>
      <c r="D806" s="4"/>
      <c r="E806" s="4"/>
      <c r="F806" s="48"/>
      <c r="G806" s="48"/>
      <c r="H806" s="48"/>
      <c r="I806" s="48"/>
      <c r="J806" s="48"/>
      <c r="K806" s="48"/>
      <c r="L806" s="48"/>
      <c r="M806" s="48"/>
      <c r="N806" s="48"/>
      <c r="O806" s="48"/>
      <c r="P806" s="4"/>
      <c r="Q806" s="4"/>
      <c r="R806" s="4"/>
      <c r="S806" s="4"/>
      <c r="T806" s="4"/>
      <c r="U806" s="4"/>
      <c r="V806" s="4"/>
      <c r="W806" s="4"/>
      <c r="X806" s="4"/>
      <c r="Y806" s="4"/>
      <c r="Z806" s="4"/>
      <c r="AA806" s="4"/>
    </row>
    <row r="807">
      <c r="A807" s="48"/>
      <c r="B807" s="48"/>
      <c r="C807" s="4"/>
      <c r="D807" s="4"/>
      <c r="E807" s="4"/>
      <c r="F807" s="48"/>
      <c r="G807" s="48"/>
      <c r="H807" s="48"/>
      <c r="I807" s="48"/>
      <c r="J807" s="48"/>
      <c r="K807" s="48"/>
      <c r="L807" s="48"/>
      <c r="M807" s="48"/>
      <c r="N807" s="48"/>
      <c r="O807" s="48"/>
      <c r="P807" s="4"/>
      <c r="Q807" s="4"/>
      <c r="R807" s="4"/>
      <c r="S807" s="4"/>
      <c r="T807" s="4"/>
      <c r="U807" s="4"/>
      <c r="V807" s="4"/>
      <c r="W807" s="4"/>
      <c r="X807" s="4"/>
      <c r="Y807" s="4"/>
      <c r="Z807" s="4"/>
      <c r="AA807" s="4"/>
    </row>
    <row r="808">
      <c r="A808" s="48"/>
      <c r="B808" s="48"/>
      <c r="C808" s="4"/>
      <c r="D808" s="4"/>
      <c r="E808" s="4"/>
      <c r="F808" s="48"/>
      <c r="G808" s="48"/>
      <c r="H808" s="48"/>
      <c r="I808" s="48"/>
      <c r="J808" s="48"/>
      <c r="K808" s="48"/>
      <c r="L808" s="48"/>
      <c r="M808" s="48"/>
      <c r="N808" s="48"/>
      <c r="O808" s="48"/>
      <c r="P808" s="4"/>
      <c r="Q808" s="4"/>
      <c r="R808" s="4"/>
      <c r="S808" s="4"/>
      <c r="T808" s="4"/>
      <c r="U808" s="4"/>
      <c r="V808" s="4"/>
      <c r="W808" s="4"/>
      <c r="X808" s="4"/>
      <c r="Y808" s="4"/>
      <c r="Z808" s="4"/>
      <c r="AA808" s="4"/>
    </row>
    <row r="809">
      <c r="A809" s="48"/>
      <c r="B809" s="48"/>
      <c r="C809" s="4"/>
      <c r="D809" s="4"/>
      <c r="E809" s="4"/>
      <c r="F809" s="48"/>
      <c r="G809" s="48"/>
      <c r="H809" s="48"/>
      <c r="I809" s="48"/>
      <c r="J809" s="48"/>
      <c r="K809" s="48"/>
      <c r="L809" s="48"/>
      <c r="M809" s="48"/>
      <c r="N809" s="48"/>
      <c r="O809" s="48"/>
      <c r="P809" s="4"/>
      <c r="Q809" s="4"/>
      <c r="R809" s="4"/>
      <c r="S809" s="4"/>
      <c r="T809" s="4"/>
      <c r="U809" s="4"/>
      <c r="V809" s="4"/>
      <c r="W809" s="4"/>
      <c r="X809" s="4"/>
      <c r="Y809" s="4"/>
      <c r="Z809" s="4"/>
      <c r="AA809" s="4"/>
    </row>
    <row r="810">
      <c r="A810" s="48"/>
      <c r="B810" s="48"/>
      <c r="C810" s="4"/>
      <c r="D810" s="4"/>
      <c r="E810" s="4"/>
      <c r="F810" s="48"/>
      <c r="G810" s="48"/>
      <c r="H810" s="48"/>
      <c r="I810" s="48"/>
      <c r="J810" s="48"/>
      <c r="K810" s="48"/>
      <c r="L810" s="48"/>
      <c r="M810" s="48"/>
      <c r="N810" s="48"/>
      <c r="O810" s="48"/>
      <c r="P810" s="4"/>
      <c r="Q810" s="4"/>
      <c r="R810" s="4"/>
      <c r="S810" s="4"/>
      <c r="T810" s="4"/>
      <c r="U810" s="4"/>
      <c r="V810" s="4"/>
      <c r="W810" s="4"/>
      <c r="X810" s="4"/>
      <c r="Y810" s="4"/>
      <c r="Z810" s="4"/>
      <c r="AA810" s="4"/>
    </row>
    <row r="811">
      <c r="A811" s="48"/>
      <c r="B811" s="48"/>
      <c r="C811" s="4"/>
      <c r="D811" s="4"/>
      <c r="E811" s="4"/>
      <c r="F811" s="48"/>
      <c r="G811" s="48"/>
      <c r="H811" s="48"/>
      <c r="I811" s="48"/>
      <c r="J811" s="48"/>
      <c r="K811" s="48"/>
      <c r="L811" s="48"/>
      <c r="M811" s="48"/>
      <c r="N811" s="48"/>
      <c r="O811" s="48"/>
      <c r="P811" s="4"/>
      <c r="Q811" s="4"/>
      <c r="R811" s="4"/>
      <c r="S811" s="4"/>
      <c r="T811" s="4"/>
      <c r="U811" s="4"/>
      <c r="V811" s="4"/>
      <c r="W811" s="4"/>
      <c r="X811" s="4"/>
      <c r="Y811" s="4"/>
      <c r="Z811" s="4"/>
      <c r="AA811" s="4"/>
    </row>
    <row r="812">
      <c r="A812" s="48"/>
      <c r="B812" s="48"/>
      <c r="C812" s="4"/>
      <c r="D812" s="4"/>
      <c r="E812" s="4"/>
      <c r="F812" s="48"/>
      <c r="G812" s="48"/>
      <c r="H812" s="48"/>
      <c r="I812" s="48"/>
      <c r="J812" s="48"/>
      <c r="K812" s="48"/>
      <c r="L812" s="48"/>
      <c r="M812" s="48"/>
      <c r="N812" s="48"/>
      <c r="O812" s="48"/>
      <c r="P812" s="4"/>
      <c r="Q812" s="4"/>
      <c r="R812" s="4"/>
      <c r="S812" s="4"/>
      <c r="T812" s="4"/>
      <c r="U812" s="4"/>
      <c r="V812" s="4"/>
      <c r="W812" s="4"/>
      <c r="X812" s="4"/>
      <c r="Y812" s="4"/>
      <c r="Z812" s="4"/>
      <c r="AA812" s="4"/>
    </row>
    <row r="813">
      <c r="A813" s="48"/>
      <c r="B813" s="48"/>
      <c r="C813" s="4"/>
      <c r="D813" s="4"/>
      <c r="E813" s="4"/>
      <c r="F813" s="48"/>
      <c r="G813" s="48"/>
      <c r="H813" s="48"/>
      <c r="I813" s="48"/>
      <c r="J813" s="48"/>
      <c r="K813" s="48"/>
      <c r="L813" s="48"/>
      <c r="M813" s="48"/>
      <c r="N813" s="48"/>
      <c r="O813" s="48"/>
      <c r="P813" s="4"/>
      <c r="Q813" s="4"/>
      <c r="R813" s="4"/>
      <c r="S813" s="4"/>
      <c r="T813" s="4"/>
      <c r="U813" s="4"/>
      <c r="V813" s="4"/>
      <c r="W813" s="4"/>
      <c r="X813" s="4"/>
      <c r="Y813" s="4"/>
      <c r="Z813" s="4"/>
      <c r="AA813" s="4"/>
    </row>
    <row r="814">
      <c r="A814" s="48"/>
      <c r="B814" s="48"/>
      <c r="C814" s="4"/>
      <c r="D814" s="4"/>
      <c r="E814" s="4"/>
      <c r="F814" s="48"/>
      <c r="G814" s="48"/>
      <c r="H814" s="48"/>
      <c r="I814" s="48"/>
      <c r="J814" s="48"/>
      <c r="K814" s="48"/>
      <c r="L814" s="48"/>
      <c r="M814" s="48"/>
      <c r="N814" s="48"/>
      <c r="O814" s="48"/>
      <c r="P814" s="4"/>
      <c r="Q814" s="4"/>
      <c r="R814" s="4"/>
      <c r="S814" s="4"/>
      <c r="T814" s="4"/>
      <c r="U814" s="4"/>
      <c r="V814" s="4"/>
      <c r="W814" s="4"/>
      <c r="X814" s="4"/>
      <c r="Y814" s="4"/>
      <c r="Z814" s="4"/>
      <c r="AA814" s="4"/>
    </row>
    <row r="815">
      <c r="A815" s="48"/>
      <c r="B815" s="48"/>
      <c r="C815" s="4"/>
      <c r="D815" s="4"/>
      <c r="E815" s="4"/>
      <c r="F815" s="48"/>
      <c r="G815" s="48"/>
      <c r="H815" s="48"/>
      <c r="I815" s="48"/>
      <c r="J815" s="48"/>
      <c r="K815" s="48"/>
      <c r="L815" s="48"/>
      <c r="M815" s="48"/>
      <c r="N815" s="48"/>
      <c r="O815" s="48"/>
      <c r="P815" s="4"/>
      <c r="Q815" s="4"/>
      <c r="R815" s="4"/>
      <c r="S815" s="4"/>
      <c r="T815" s="4"/>
      <c r="U815" s="4"/>
      <c r="V815" s="4"/>
      <c r="W815" s="4"/>
      <c r="X815" s="4"/>
      <c r="Y815" s="4"/>
      <c r="Z815" s="4"/>
      <c r="AA815" s="4"/>
    </row>
    <row r="816">
      <c r="A816" s="48"/>
      <c r="B816" s="48"/>
      <c r="C816" s="4"/>
      <c r="D816" s="4"/>
      <c r="E816" s="4"/>
      <c r="F816" s="48"/>
      <c r="G816" s="48"/>
      <c r="H816" s="48"/>
      <c r="I816" s="48"/>
      <c r="J816" s="48"/>
      <c r="K816" s="48"/>
      <c r="L816" s="48"/>
      <c r="M816" s="48"/>
      <c r="N816" s="48"/>
      <c r="O816" s="48"/>
      <c r="P816" s="4"/>
      <c r="Q816" s="4"/>
      <c r="R816" s="4"/>
      <c r="S816" s="4"/>
      <c r="T816" s="4"/>
      <c r="U816" s="4"/>
      <c r="V816" s="4"/>
      <c r="W816" s="4"/>
      <c r="X816" s="4"/>
      <c r="Y816" s="4"/>
      <c r="Z816" s="4"/>
      <c r="AA816" s="4"/>
    </row>
    <row r="817">
      <c r="A817" s="48"/>
      <c r="B817" s="48"/>
      <c r="C817" s="4"/>
      <c r="D817" s="4"/>
      <c r="E817" s="4"/>
      <c r="F817" s="48"/>
      <c r="G817" s="48"/>
      <c r="H817" s="48"/>
      <c r="I817" s="48"/>
      <c r="J817" s="48"/>
      <c r="K817" s="48"/>
      <c r="L817" s="48"/>
      <c r="M817" s="48"/>
      <c r="N817" s="48"/>
      <c r="O817" s="48"/>
      <c r="P817" s="4"/>
      <c r="Q817" s="4"/>
      <c r="R817" s="4"/>
      <c r="S817" s="4"/>
      <c r="T817" s="4"/>
      <c r="U817" s="4"/>
      <c r="V817" s="4"/>
      <c r="W817" s="4"/>
      <c r="X817" s="4"/>
      <c r="Y817" s="4"/>
      <c r="Z817" s="4"/>
      <c r="AA817" s="4"/>
    </row>
    <row r="818">
      <c r="A818" s="48"/>
      <c r="B818" s="48"/>
      <c r="C818" s="4"/>
      <c r="D818" s="4"/>
      <c r="E818" s="4"/>
      <c r="F818" s="48"/>
      <c r="G818" s="48"/>
      <c r="H818" s="48"/>
      <c r="I818" s="48"/>
      <c r="J818" s="48"/>
      <c r="K818" s="48"/>
      <c r="L818" s="48"/>
      <c r="M818" s="48"/>
      <c r="N818" s="48"/>
      <c r="O818" s="48"/>
      <c r="P818" s="4"/>
      <c r="Q818" s="4"/>
      <c r="R818" s="4"/>
      <c r="S818" s="4"/>
      <c r="T818" s="4"/>
      <c r="U818" s="4"/>
      <c r="V818" s="4"/>
      <c r="W818" s="4"/>
      <c r="X818" s="4"/>
      <c r="Y818" s="4"/>
      <c r="Z818" s="4"/>
      <c r="AA818" s="4"/>
    </row>
    <row r="819">
      <c r="A819" s="48"/>
      <c r="B819" s="48"/>
      <c r="C819" s="4"/>
      <c r="D819" s="4"/>
      <c r="E819" s="4"/>
      <c r="F819" s="48"/>
      <c r="G819" s="48"/>
      <c r="H819" s="48"/>
      <c r="I819" s="48"/>
      <c r="J819" s="48"/>
      <c r="K819" s="48"/>
      <c r="L819" s="48"/>
      <c r="M819" s="48"/>
      <c r="N819" s="48"/>
      <c r="O819" s="48"/>
      <c r="P819" s="4"/>
      <c r="Q819" s="4"/>
      <c r="R819" s="4"/>
      <c r="S819" s="4"/>
      <c r="T819" s="4"/>
      <c r="U819" s="4"/>
      <c r="V819" s="4"/>
      <c r="W819" s="4"/>
      <c r="X819" s="4"/>
      <c r="Y819" s="4"/>
      <c r="Z819" s="4"/>
      <c r="AA819" s="4"/>
    </row>
    <row r="820">
      <c r="A820" s="48"/>
      <c r="B820" s="48"/>
      <c r="C820" s="4"/>
      <c r="D820" s="4"/>
      <c r="E820" s="4"/>
      <c r="F820" s="48"/>
      <c r="G820" s="48"/>
      <c r="H820" s="48"/>
      <c r="I820" s="48"/>
      <c r="J820" s="48"/>
      <c r="K820" s="48"/>
      <c r="L820" s="48"/>
      <c r="M820" s="48"/>
      <c r="N820" s="48"/>
      <c r="O820" s="48"/>
      <c r="P820" s="4"/>
      <c r="Q820" s="4"/>
      <c r="R820" s="4"/>
      <c r="S820" s="4"/>
      <c r="T820" s="4"/>
      <c r="U820" s="4"/>
      <c r="V820" s="4"/>
      <c r="W820" s="4"/>
      <c r="X820" s="4"/>
      <c r="Y820" s="4"/>
      <c r="Z820" s="4"/>
      <c r="AA820" s="4"/>
    </row>
    <row r="821">
      <c r="A821" s="48"/>
      <c r="B821" s="48"/>
      <c r="C821" s="4"/>
      <c r="D821" s="4"/>
      <c r="E821" s="4"/>
      <c r="F821" s="48"/>
      <c r="G821" s="48"/>
      <c r="H821" s="48"/>
      <c r="I821" s="48"/>
      <c r="J821" s="48"/>
      <c r="K821" s="48"/>
      <c r="L821" s="48"/>
      <c r="M821" s="48"/>
      <c r="N821" s="48"/>
      <c r="O821" s="48"/>
      <c r="P821" s="4"/>
      <c r="Q821" s="4"/>
      <c r="R821" s="4"/>
      <c r="S821" s="4"/>
      <c r="T821" s="4"/>
      <c r="U821" s="4"/>
      <c r="V821" s="4"/>
      <c r="W821" s="4"/>
      <c r="X821" s="4"/>
      <c r="Y821" s="4"/>
      <c r="Z821" s="4"/>
      <c r="AA821" s="4"/>
    </row>
    <row r="822">
      <c r="A822" s="48"/>
      <c r="B822" s="48"/>
      <c r="C822" s="4"/>
      <c r="D822" s="4"/>
      <c r="E822" s="4"/>
      <c r="F822" s="48"/>
      <c r="G822" s="48"/>
      <c r="H822" s="48"/>
      <c r="I822" s="48"/>
      <c r="J822" s="48"/>
      <c r="K822" s="48"/>
      <c r="L822" s="48"/>
      <c r="M822" s="48"/>
      <c r="N822" s="48"/>
      <c r="O822" s="48"/>
      <c r="P822" s="4"/>
      <c r="Q822" s="4"/>
      <c r="R822" s="4"/>
      <c r="S822" s="4"/>
      <c r="T822" s="4"/>
      <c r="U822" s="4"/>
      <c r="V822" s="4"/>
      <c r="W822" s="4"/>
      <c r="X822" s="4"/>
      <c r="Y822" s="4"/>
      <c r="Z822" s="4"/>
      <c r="AA822" s="4"/>
    </row>
    <row r="823">
      <c r="A823" s="48"/>
      <c r="B823" s="48"/>
      <c r="C823" s="4"/>
      <c r="D823" s="4"/>
      <c r="E823" s="4"/>
      <c r="F823" s="48"/>
      <c r="G823" s="48"/>
      <c r="H823" s="48"/>
      <c r="I823" s="48"/>
      <c r="J823" s="48"/>
      <c r="K823" s="48"/>
      <c r="L823" s="48"/>
      <c r="M823" s="48"/>
      <c r="N823" s="48"/>
      <c r="O823" s="48"/>
      <c r="P823" s="4"/>
      <c r="Q823" s="4"/>
      <c r="R823" s="4"/>
      <c r="S823" s="4"/>
      <c r="T823" s="4"/>
      <c r="U823" s="4"/>
      <c r="V823" s="4"/>
      <c r="W823" s="4"/>
      <c r="X823" s="4"/>
      <c r="Y823" s="4"/>
      <c r="Z823" s="4"/>
      <c r="AA823" s="4"/>
    </row>
    <row r="824">
      <c r="A824" s="48"/>
      <c r="B824" s="48"/>
      <c r="C824" s="4"/>
      <c r="D824" s="4"/>
      <c r="E824" s="4"/>
      <c r="F824" s="48"/>
      <c r="G824" s="48"/>
      <c r="H824" s="48"/>
      <c r="I824" s="48"/>
      <c r="J824" s="48"/>
      <c r="K824" s="48"/>
      <c r="L824" s="48"/>
      <c r="M824" s="48"/>
      <c r="N824" s="48"/>
      <c r="O824" s="48"/>
      <c r="P824" s="4"/>
      <c r="Q824" s="4"/>
      <c r="R824" s="4"/>
      <c r="S824" s="4"/>
      <c r="T824" s="4"/>
      <c r="U824" s="4"/>
      <c r="V824" s="4"/>
      <c r="W824" s="4"/>
      <c r="X824" s="4"/>
      <c r="Y824" s="4"/>
      <c r="Z824" s="4"/>
      <c r="AA824" s="4"/>
    </row>
    <row r="825">
      <c r="A825" s="48"/>
      <c r="B825" s="48"/>
      <c r="C825" s="4"/>
      <c r="D825" s="4"/>
      <c r="E825" s="4"/>
      <c r="F825" s="48"/>
      <c r="G825" s="48"/>
      <c r="H825" s="48"/>
      <c r="I825" s="48"/>
      <c r="J825" s="48"/>
      <c r="K825" s="48"/>
      <c r="L825" s="48"/>
      <c r="M825" s="48"/>
      <c r="N825" s="48"/>
      <c r="O825" s="48"/>
      <c r="P825" s="4"/>
      <c r="Q825" s="4"/>
      <c r="R825" s="4"/>
      <c r="S825" s="4"/>
      <c r="T825" s="4"/>
      <c r="U825" s="4"/>
      <c r="V825" s="4"/>
      <c r="W825" s="4"/>
      <c r="X825" s="4"/>
      <c r="Y825" s="4"/>
      <c r="Z825" s="4"/>
      <c r="AA825" s="4"/>
    </row>
    <row r="826">
      <c r="A826" s="48"/>
      <c r="B826" s="48"/>
      <c r="C826" s="4"/>
      <c r="D826" s="4"/>
      <c r="E826" s="4"/>
      <c r="F826" s="48"/>
      <c r="G826" s="48"/>
      <c r="H826" s="48"/>
      <c r="I826" s="48"/>
      <c r="J826" s="48"/>
      <c r="K826" s="48"/>
      <c r="L826" s="48"/>
      <c r="M826" s="48"/>
      <c r="N826" s="48"/>
      <c r="O826" s="48"/>
      <c r="P826" s="4"/>
      <c r="Q826" s="4"/>
      <c r="R826" s="4"/>
      <c r="S826" s="4"/>
      <c r="T826" s="4"/>
      <c r="U826" s="4"/>
      <c r="V826" s="4"/>
      <c r="W826" s="4"/>
      <c r="X826" s="4"/>
      <c r="Y826" s="4"/>
      <c r="Z826" s="4"/>
      <c r="AA826" s="4"/>
    </row>
    <row r="827">
      <c r="A827" s="48"/>
      <c r="B827" s="48"/>
      <c r="C827" s="4"/>
      <c r="D827" s="4"/>
      <c r="E827" s="4"/>
      <c r="F827" s="48"/>
      <c r="G827" s="48"/>
      <c r="H827" s="48"/>
      <c r="I827" s="48"/>
      <c r="J827" s="48"/>
      <c r="K827" s="48"/>
      <c r="L827" s="48"/>
      <c r="M827" s="48"/>
      <c r="N827" s="48"/>
      <c r="O827" s="48"/>
      <c r="P827" s="4"/>
      <c r="Q827" s="4"/>
      <c r="R827" s="4"/>
      <c r="S827" s="4"/>
      <c r="T827" s="4"/>
      <c r="U827" s="4"/>
      <c r="V827" s="4"/>
      <c r="W827" s="4"/>
      <c r="X827" s="4"/>
      <c r="Y827" s="4"/>
      <c r="Z827" s="4"/>
      <c r="AA827" s="4"/>
    </row>
    <row r="828">
      <c r="A828" s="48"/>
      <c r="B828" s="48"/>
      <c r="C828" s="4"/>
      <c r="D828" s="4"/>
      <c r="E828" s="4"/>
      <c r="F828" s="48"/>
      <c r="G828" s="48"/>
      <c r="H828" s="48"/>
      <c r="I828" s="48"/>
      <c r="J828" s="48"/>
      <c r="K828" s="48"/>
      <c r="L828" s="48"/>
      <c r="M828" s="48"/>
      <c r="N828" s="48"/>
      <c r="O828" s="48"/>
      <c r="P828" s="4"/>
      <c r="Q828" s="4"/>
      <c r="R828" s="4"/>
      <c r="S828" s="4"/>
      <c r="T828" s="4"/>
      <c r="U828" s="4"/>
      <c r="V828" s="4"/>
      <c r="W828" s="4"/>
      <c r="X828" s="4"/>
      <c r="Y828" s="4"/>
      <c r="Z828" s="4"/>
      <c r="AA828" s="4"/>
    </row>
    <row r="829">
      <c r="A829" s="48"/>
      <c r="B829" s="48"/>
      <c r="C829" s="4"/>
      <c r="D829" s="4"/>
      <c r="E829" s="4"/>
      <c r="F829" s="48"/>
      <c r="G829" s="48"/>
      <c r="H829" s="48"/>
      <c r="I829" s="48"/>
      <c r="J829" s="48"/>
      <c r="K829" s="48"/>
      <c r="L829" s="48"/>
      <c r="M829" s="48"/>
      <c r="N829" s="48"/>
      <c r="O829" s="48"/>
      <c r="P829" s="4"/>
      <c r="Q829" s="4"/>
      <c r="R829" s="4"/>
      <c r="S829" s="4"/>
      <c r="T829" s="4"/>
      <c r="U829" s="4"/>
      <c r="V829" s="4"/>
      <c r="W829" s="4"/>
      <c r="X829" s="4"/>
      <c r="Y829" s="4"/>
      <c r="Z829" s="4"/>
      <c r="AA829" s="4"/>
    </row>
    <row r="830">
      <c r="A830" s="48"/>
      <c r="B830" s="48"/>
      <c r="C830" s="4"/>
      <c r="D830" s="4"/>
      <c r="E830" s="4"/>
      <c r="F830" s="48"/>
      <c r="G830" s="48"/>
      <c r="H830" s="48"/>
      <c r="I830" s="48"/>
      <c r="J830" s="48"/>
      <c r="K830" s="48"/>
      <c r="L830" s="48"/>
      <c r="M830" s="48"/>
      <c r="N830" s="48"/>
      <c r="O830" s="48"/>
      <c r="P830" s="4"/>
      <c r="Q830" s="4"/>
      <c r="R830" s="4"/>
      <c r="S830" s="4"/>
      <c r="T830" s="4"/>
      <c r="U830" s="4"/>
      <c r="V830" s="4"/>
      <c r="W830" s="4"/>
      <c r="X830" s="4"/>
      <c r="Y830" s="4"/>
      <c r="Z830" s="4"/>
      <c r="AA830" s="4"/>
    </row>
    <row r="831">
      <c r="A831" s="48"/>
      <c r="B831" s="48"/>
      <c r="C831" s="4"/>
      <c r="D831" s="4"/>
      <c r="E831" s="4"/>
      <c r="F831" s="48"/>
      <c r="G831" s="48"/>
      <c r="H831" s="48"/>
      <c r="I831" s="48"/>
      <c r="J831" s="48"/>
      <c r="K831" s="48"/>
      <c r="L831" s="48"/>
      <c r="M831" s="48"/>
      <c r="N831" s="48"/>
      <c r="O831" s="48"/>
      <c r="P831" s="4"/>
      <c r="Q831" s="4"/>
      <c r="R831" s="4"/>
      <c r="S831" s="4"/>
      <c r="T831" s="4"/>
      <c r="U831" s="4"/>
      <c r="V831" s="4"/>
      <c r="W831" s="4"/>
      <c r="X831" s="4"/>
      <c r="Y831" s="4"/>
      <c r="Z831" s="4"/>
      <c r="AA831" s="4"/>
    </row>
    <row r="832">
      <c r="A832" s="48"/>
      <c r="B832" s="48"/>
      <c r="C832" s="4"/>
      <c r="D832" s="4"/>
      <c r="E832" s="4"/>
      <c r="F832" s="48"/>
      <c r="G832" s="48"/>
      <c r="H832" s="48"/>
      <c r="I832" s="48"/>
      <c r="J832" s="48"/>
      <c r="K832" s="48"/>
      <c r="L832" s="48"/>
      <c r="M832" s="48"/>
      <c r="N832" s="48"/>
      <c r="O832" s="48"/>
      <c r="P832" s="4"/>
      <c r="Q832" s="4"/>
      <c r="R832" s="4"/>
      <c r="S832" s="4"/>
      <c r="T832" s="4"/>
      <c r="U832" s="4"/>
      <c r="V832" s="4"/>
      <c r="W832" s="4"/>
      <c r="X832" s="4"/>
      <c r="Y832" s="4"/>
      <c r="Z832" s="4"/>
      <c r="AA832" s="4"/>
    </row>
    <row r="833">
      <c r="A833" s="48"/>
      <c r="B833" s="48"/>
      <c r="C833" s="4"/>
      <c r="D833" s="4"/>
      <c r="E833" s="4"/>
      <c r="F833" s="48"/>
      <c r="G833" s="48"/>
      <c r="H833" s="48"/>
      <c r="I833" s="48"/>
      <c r="J833" s="48"/>
      <c r="K833" s="48"/>
      <c r="L833" s="48"/>
      <c r="M833" s="48"/>
      <c r="N833" s="48"/>
      <c r="O833" s="48"/>
      <c r="P833" s="4"/>
      <c r="Q833" s="4"/>
      <c r="R833" s="4"/>
      <c r="S833" s="4"/>
      <c r="T833" s="4"/>
      <c r="U833" s="4"/>
      <c r="V833" s="4"/>
      <c r="W833" s="4"/>
      <c r="X833" s="4"/>
      <c r="Y833" s="4"/>
      <c r="Z833" s="4"/>
      <c r="AA833" s="4"/>
    </row>
    <row r="834">
      <c r="A834" s="48"/>
      <c r="B834" s="48"/>
      <c r="C834" s="4"/>
      <c r="D834" s="4"/>
      <c r="E834" s="4"/>
      <c r="F834" s="48"/>
      <c r="G834" s="48"/>
      <c r="H834" s="48"/>
      <c r="I834" s="48"/>
      <c r="J834" s="48"/>
      <c r="K834" s="48"/>
      <c r="L834" s="48"/>
      <c r="M834" s="48"/>
      <c r="N834" s="48"/>
      <c r="O834" s="48"/>
      <c r="P834" s="4"/>
      <c r="Q834" s="4"/>
      <c r="R834" s="4"/>
      <c r="S834" s="4"/>
      <c r="T834" s="4"/>
      <c r="U834" s="4"/>
      <c r="V834" s="4"/>
      <c r="W834" s="4"/>
      <c r="X834" s="4"/>
      <c r="Y834" s="4"/>
      <c r="Z834" s="4"/>
      <c r="AA834" s="4"/>
    </row>
    <row r="835">
      <c r="A835" s="48"/>
      <c r="B835" s="48"/>
      <c r="C835" s="4"/>
      <c r="D835" s="4"/>
      <c r="E835" s="4"/>
      <c r="F835" s="48"/>
      <c r="G835" s="48"/>
      <c r="H835" s="48"/>
      <c r="I835" s="48"/>
      <c r="J835" s="48"/>
      <c r="K835" s="48"/>
      <c r="L835" s="48"/>
      <c r="M835" s="48"/>
      <c r="N835" s="48"/>
      <c r="O835" s="48"/>
      <c r="P835" s="4"/>
      <c r="Q835" s="4"/>
      <c r="R835" s="4"/>
      <c r="S835" s="4"/>
      <c r="T835" s="4"/>
      <c r="U835" s="4"/>
      <c r="V835" s="4"/>
      <c r="W835" s="4"/>
      <c r="X835" s="4"/>
      <c r="Y835" s="4"/>
      <c r="Z835" s="4"/>
      <c r="AA835" s="4"/>
    </row>
    <row r="836">
      <c r="A836" s="48"/>
      <c r="B836" s="48"/>
      <c r="C836" s="4"/>
      <c r="D836" s="4"/>
      <c r="E836" s="4"/>
      <c r="F836" s="48"/>
      <c r="G836" s="48"/>
      <c r="H836" s="48"/>
      <c r="I836" s="48"/>
      <c r="J836" s="48"/>
      <c r="K836" s="48"/>
      <c r="L836" s="48"/>
      <c r="M836" s="48"/>
      <c r="N836" s="48"/>
      <c r="O836" s="48"/>
      <c r="P836" s="4"/>
      <c r="Q836" s="4"/>
      <c r="R836" s="4"/>
      <c r="S836" s="4"/>
      <c r="T836" s="4"/>
      <c r="U836" s="4"/>
      <c r="V836" s="4"/>
      <c r="W836" s="4"/>
      <c r="X836" s="4"/>
      <c r="Y836" s="4"/>
      <c r="Z836" s="4"/>
      <c r="AA836" s="4"/>
    </row>
    <row r="837">
      <c r="A837" s="48"/>
      <c r="B837" s="48"/>
      <c r="C837" s="4"/>
      <c r="D837" s="4"/>
      <c r="E837" s="4"/>
      <c r="F837" s="48"/>
      <c r="G837" s="48"/>
      <c r="H837" s="48"/>
      <c r="I837" s="48"/>
      <c r="J837" s="48"/>
      <c r="K837" s="48"/>
      <c r="L837" s="48"/>
      <c r="M837" s="48"/>
      <c r="N837" s="48"/>
      <c r="O837" s="48"/>
      <c r="P837" s="4"/>
      <c r="Q837" s="4"/>
      <c r="R837" s="4"/>
      <c r="S837" s="4"/>
      <c r="T837" s="4"/>
      <c r="U837" s="4"/>
      <c r="V837" s="4"/>
      <c r="W837" s="4"/>
      <c r="X837" s="4"/>
      <c r="Y837" s="4"/>
      <c r="Z837" s="4"/>
      <c r="AA837" s="4"/>
    </row>
    <row r="838">
      <c r="A838" s="48"/>
      <c r="B838" s="48"/>
      <c r="C838" s="4"/>
      <c r="D838" s="4"/>
      <c r="E838" s="4"/>
      <c r="F838" s="48"/>
      <c r="G838" s="48"/>
      <c r="H838" s="48"/>
      <c r="I838" s="48"/>
      <c r="J838" s="48"/>
      <c r="K838" s="48"/>
      <c r="L838" s="48"/>
      <c r="M838" s="48"/>
      <c r="N838" s="48"/>
      <c r="O838" s="48"/>
      <c r="P838" s="4"/>
      <c r="Q838" s="4"/>
      <c r="R838" s="4"/>
      <c r="S838" s="4"/>
      <c r="T838" s="4"/>
      <c r="U838" s="4"/>
      <c r="V838" s="4"/>
      <c r="W838" s="4"/>
      <c r="X838" s="4"/>
      <c r="Y838" s="4"/>
      <c r="Z838" s="4"/>
      <c r="AA838" s="4"/>
    </row>
    <row r="839">
      <c r="A839" s="48"/>
      <c r="B839" s="48"/>
      <c r="C839" s="4"/>
      <c r="D839" s="4"/>
      <c r="E839" s="4"/>
      <c r="F839" s="48"/>
      <c r="G839" s="48"/>
      <c r="H839" s="48"/>
      <c r="I839" s="48"/>
      <c r="J839" s="48"/>
      <c r="K839" s="48"/>
      <c r="L839" s="48"/>
      <c r="M839" s="48"/>
      <c r="N839" s="48"/>
      <c r="O839" s="48"/>
      <c r="P839" s="4"/>
      <c r="Q839" s="4"/>
      <c r="R839" s="4"/>
      <c r="S839" s="4"/>
      <c r="T839" s="4"/>
      <c r="U839" s="4"/>
      <c r="V839" s="4"/>
      <c r="W839" s="4"/>
      <c r="X839" s="4"/>
      <c r="Y839" s="4"/>
      <c r="Z839" s="4"/>
      <c r="AA839" s="4"/>
    </row>
    <row r="840">
      <c r="A840" s="48"/>
      <c r="B840" s="48"/>
      <c r="C840" s="4"/>
      <c r="D840" s="4"/>
      <c r="E840" s="4"/>
      <c r="F840" s="48"/>
      <c r="G840" s="48"/>
      <c r="H840" s="48"/>
      <c r="I840" s="48"/>
      <c r="J840" s="48"/>
      <c r="K840" s="48"/>
      <c r="L840" s="48"/>
      <c r="M840" s="48"/>
      <c r="N840" s="48"/>
      <c r="O840" s="48"/>
      <c r="P840" s="4"/>
      <c r="Q840" s="4"/>
      <c r="R840" s="4"/>
      <c r="S840" s="4"/>
      <c r="T840" s="4"/>
      <c r="U840" s="4"/>
      <c r="V840" s="4"/>
      <c r="W840" s="4"/>
      <c r="X840" s="4"/>
      <c r="Y840" s="4"/>
      <c r="Z840" s="4"/>
      <c r="AA840" s="4"/>
    </row>
    <row r="841">
      <c r="A841" s="48"/>
      <c r="B841" s="48"/>
      <c r="C841" s="4"/>
      <c r="D841" s="4"/>
      <c r="E841" s="4"/>
      <c r="F841" s="48"/>
      <c r="G841" s="48"/>
      <c r="H841" s="48"/>
      <c r="I841" s="48"/>
      <c r="J841" s="48"/>
      <c r="K841" s="48"/>
      <c r="L841" s="48"/>
      <c r="M841" s="48"/>
      <c r="N841" s="48"/>
      <c r="O841" s="48"/>
      <c r="P841" s="4"/>
      <c r="Q841" s="4"/>
      <c r="R841" s="4"/>
      <c r="S841" s="4"/>
      <c r="T841" s="4"/>
      <c r="U841" s="4"/>
      <c r="V841" s="4"/>
      <c r="W841" s="4"/>
      <c r="X841" s="4"/>
      <c r="Y841" s="4"/>
      <c r="Z841" s="4"/>
      <c r="AA841" s="4"/>
    </row>
    <row r="842">
      <c r="A842" s="48"/>
      <c r="B842" s="48"/>
      <c r="C842" s="4"/>
      <c r="D842" s="4"/>
      <c r="E842" s="4"/>
      <c r="F842" s="48"/>
      <c r="G842" s="48"/>
      <c r="H842" s="48"/>
      <c r="I842" s="48"/>
      <c r="J842" s="48"/>
      <c r="K842" s="48"/>
      <c r="L842" s="48"/>
      <c r="M842" s="48"/>
      <c r="N842" s="48"/>
      <c r="O842" s="48"/>
      <c r="P842" s="4"/>
      <c r="Q842" s="4"/>
      <c r="R842" s="4"/>
      <c r="S842" s="4"/>
      <c r="T842" s="4"/>
      <c r="U842" s="4"/>
      <c r="V842" s="4"/>
      <c r="W842" s="4"/>
      <c r="X842" s="4"/>
      <c r="Y842" s="4"/>
      <c r="Z842" s="4"/>
      <c r="AA842" s="4"/>
    </row>
    <row r="843">
      <c r="A843" s="48"/>
      <c r="B843" s="48"/>
      <c r="C843" s="4"/>
      <c r="D843" s="4"/>
      <c r="E843" s="4"/>
      <c r="F843" s="48"/>
      <c r="G843" s="48"/>
      <c r="H843" s="48"/>
      <c r="I843" s="48"/>
      <c r="J843" s="48"/>
      <c r="K843" s="48"/>
      <c r="L843" s="48"/>
      <c r="M843" s="48"/>
      <c r="N843" s="48"/>
      <c r="O843" s="48"/>
      <c r="P843" s="4"/>
      <c r="Q843" s="4"/>
      <c r="R843" s="4"/>
      <c r="S843" s="4"/>
      <c r="T843" s="4"/>
      <c r="U843" s="4"/>
      <c r="V843" s="4"/>
      <c r="W843" s="4"/>
      <c r="X843" s="4"/>
      <c r="Y843" s="4"/>
      <c r="Z843" s="4"/>
      <c r="AA843" s="4"/>
    </row>
    <row r="844">
      <c r="A844" s="48"/>
      <c r="B844" s="48"/>
      <c r="C844" s="4"/>
      <c r="D844" s="4"/>
      <c r="E844" s="4"/>
      <c r="F844" s="48"/>
      <c r="G844" s="48"/>
      <c r="H844" s="48"/>
      <c r="I844" s="48"/>
      <c r="J844" s="48"/>
      <c r="K844" s="48"/>
      <c r="L844" s="48"/>
      <c r="M844" s="48"/>
      <c r="N844" s="48"/>
      <c r="O844" s="48"/>
      <c r="P844" s="4"/>
      <c r="Q844" s="4"/>
      <c r="R844" s="4"/>
      <c r="S844" s="4"/>
      <c r="T844" s="4"/>
      <c r="U844" s="4"/>
      <c r="V844" s="4"/>
      <c r="W844" s="4"/>
      <c r="X844" s="4"/>
      <c r="Y844" s="4"/>
      <c r="Z844" s="4"/>
      <c r="AA844" s="4"/>
    </row>
    <row r="845">
      <c r="A845" s="48"/>
      <c r="B845" s="48"/>
      <c r="C845" s="4"/>
      <c r="D845" s="4"/>
      <c r="E845" s="4"/>
      <c r="F845" s="48"/>
      <c r="G845" s="48"/>
      <c r="H845" s="48"/>
      <c r="I845" s="48"/>
      <c r="J845" s="48"/>
      <c r="K845" s="48"/>
      <c r="L845" s="48"/>
      <c r="M845" s="48"/>
      <c r="N845" s="48"/>
      <c r="O845" s="48"/>
      <c r="P845" s="4"/>
      <c r="Q845" s="4"/>
      <c r="R845" s="4"/>
      <c r="S845" s="4"/>
      <c r="T845" s="4"/>
      <c r="U845" s="4"/>
      <c r="V845" s="4"/>
      <c r="W845" s="4"/>
      <c r="X845" s="4"/>
      <c r="Y845" s="4"/>
      <c r="Z845" s="4"/>
      <c r="AA845" s="4"/>
    </row>
    <row r="846">
      <c r="A846" s="48"/>
      <c r="B846" s="48"/>
      <c r="C846" s="4"/>
      <c r="D846" s="4"/>
      <c r="E846" s="4"/>
      <c r="F846" s="48"/>
      <c r="G846" s="48"/>
      <c r="H846" s="48"/>
      <c r="I846" s="48"/>
      <c r="J846" s="48"/>
      <c r="K846" s="48"/>
      <c r="L846" s="48"/>
      <c r="M846" s="48"/>
      <c r="N846" s="48"/>
      <c r="O846" s="48"/>
      <c r="P846" s="4"/>
      <c r="Q846" s="4"/>
      <c r="R846" s="4"/>
      <c r="S846" s="4"/>
      <c r="T846" s="4"/>
      <c r="U846" s="4"/>
      <c r="V846" s="4"/>
      <c r="W846" s="4"/>
      <c r="X846" s="4"/>
      <c r="Y846" s="4"/>
      <c r="Z846" s="4"/>
      <c r="AA846" s="4"/>
    </row>
    <row r="847">
      <c r="A847" s="48"/>
      <c r="B847" s="48"/>
      <c r="C847" s="4"/>
      <c r="D847" s="4"/>
      <c r="E847" s="4"/>
      <c r="F847" s="48"/>
      <c r="G847" s="48"/>
      <c r="H847" s="48"/>
      <c r="I847" s="48"/>
      <c r="J847" s="48"/>
      <c r="K847" s="48"/>
      <c r="L847" s="48"/>
      <c r="M847" s="48"/>
      <c r="N847" s="48"/>
      <c r="O847" s="48"/>
      <c r="P847" s="4"/>
      <c r="Q847" s="4"/>
      <c r="R847" s="4"/>
      <c r="S847" s="4"/>
      <c r="T847" s="4"/>
      <c r="U847" s="4"/>
      <c r="V847" s="4"/>
      <c r="W847" s="4"/>
      <c r="X847" s="4"/>
      <c r="Y847" s="4"/>
      <c r="Z847" s="4"/>
      <c r="AA847" s="4"/>
    </row>
    <row r="848">
      <c r="A848" s="48"/>
      <c r="B848" s="48"/>
      <c r="C848" s="4"/>
      <c r="D848" s="4"/>
      <c r="E848" s="4"/>
      <c r="F848" s="48"/>
      <c r="G848" s="48"/>
      <c r="H848" s="48"/>
      <c r="I848" s="48"/>
      <c r="J848" s="48"/>
      <c r="K848" s="48"/>
      <c r="L848" s="48"/>
      <c r="M848" s="48"/>
      <c r="N848" s="48"/>
      <c r="O848" s="48"/>
      <c r="P848" s="4"/>
      <c r="Q848" s="4"/>
      <c r="R848" s="4"/>
      <c r="S848" s="4"/>
      <c r="T848" s="4"/>
      <c r="U848" s="4"/>
      <c r="V848" s="4"/>
      <c r="W848" s="4"/>
      <c r="X848" s="4"/>
      <c r="Y848" s="4"/>
      <c r="Z848" s="4"/>
      <c r="AA848" s="4"/>
    </row>
    <row r="849">
      <c r="A849" s="48"/>
      <c r="B849" s="48"/>
      <c r="C849" s="4"/>
      <c r="D849" s="4"/>
      <c r="E849" s="4"/>
      <c r="F849" s="48"/>
      <c r="G849" s="48"/>
      <c r="H849" s="48"/>
      <c r="I849" s="48"/>
      <c r="J849" s="48"/>
      <c r="K849" s="48"/>
      <c r="L849" s="48"/>
      <c r="M849" s="48"/>
      <c r="N849" s="48"/>
      <c r="O849" s="48"/>
      <c r="P849" s="4"/>
      <c r="Q849" s="4"/>
      <c r="R849" s="4"/>
      <c r="S849" s="4"/>
      <c r="T849" s="4"/>
      <c r="U849" s="4"/>
      <c r="V849" s="4"/>
      <c r="W849" s="4"/>
      <c r="X849" s="4"/>
      <c r="Y849" s="4"/>
      <c r="Z849" s="4"/>
      <c r="AA849" s="4"/>
    </row>
    <row r="850">
      <c r="A850" s="48"/>
      <c r="B850" s="48"/>
      <c r="C850" s="4"/>
      <c r="D850" s="4"/>
      <c r="E850" s="4"/>
      <c r="F850" s="48"/>
      <c r="G850" s="48"/>
      <c r="H850" s="48"/>
      <c r="I850" s="48"/>
      <c r="J850" s="48"/>
      <c r="K850" s="48"/>
      <c r="L850" s="48"/>
      <c r="M850" s="48"/>
      <c r="N850" s="48"/>
      <c r="O850" s="48"/>
      <c r="P850" s="4"/>
      <c r="Q850" s="4"/>
      <c r="R850" s="4"/>
      <c r="S850" s="4"/>
      <c r="T850" s="4"/>
      <c r="U850" s="4"/>
      <c r="V850" s="4"/>
      <c r="W850" s="4"/>
      <c r="X850" s="4"/>
      <c r="Y850" s="4"/>
      <c r="Z850" s="4"/>
      <c r="AA850" s="4"/>
    </row>
    <row r="851">
      <c r="A851" s="48"/>
      <c r="B851" s="48"/>
      <c r="C851" s="4"/>
      <c r="D851" s="4"/>
      <c r="E851" s="4"/>
      <c r="F851" s="48"/>
      <c r="G851" s="48"/>
      <c r="H851" s="48"/>
      <c r="I851" s="48"/>
      <c r="J851" s="48"/>
      <c r="K851" s="48"/>
      <c r="L851" s="48"/>
      <c r="M851" s="48"/>
      <c r="N851" s="48"/>
      <c r="O851" s="48"/>
      <c r="P851" s="4"/>
      <c r="Q851" s="4"/>
      <c r="R851" s="4"/>
      <c r="S851" s="4"/>
      <c r="T851" s="4"/>
      <c r="U851" s="4"/>
      <c r="V851" s="4"/>
      <c r="W851" s="4"/>
      <c r="X851" s="4"/>
      <c r="Y851" s="4"/>
      <c r="Z851" s="4"/>
      <c r="AA851" s="4"/>
    </row>
    <row r="852">
      <c r="A852" s="48"/>
      <c r="B852" s="48"/>
      <c r="C852" s="4"/>
      <c r="D852" s="4"/>
      <c r="E852" s="4"/>
      <c r="F852" s="48"/>
      <c r="G852" s="48"/>
      <c r="H852" s="48"/>
      <c r="I852" s="48"/>
      <c r="J852" s="48"/>
      <c r="K852" s="48"/>
      <c r="L852" s="48"/>
      <c r="M852" s="48"/>
      <c r="N852" s="48"/>
      <c r="O852" s="48"/>
      <c r="P852" s="4"/>
      <c r="Q852" s="4"/>
      <c r="R852" s="4"/>
      <c r="S852" s="4"/>
      <c r="T852" s="4"/>
      <c r="U852" s="4"/>
      <c r="V852" s="4"/>
      <c r="W852" s="4"/>
      <c r="X852" s="4"/>
      <c r="Y852" s="4"/>
      <c r="Z852" s="4"/>
      <c r="AA852" s="4"/>
    </row>
    <row r="853">
      <c r="A853" s="48"/>
      <c r="B853" s="48"/>
      <c r="C853" s="4"/>
      <c r="D853" s="4"/>
      <c r="E853" s="4"/>
      <c r="F853" s="48"/>
      <c r="G853" s="48"/>
      <c r="H853" s="48"/>
      <c r="I853" s="48"/>
      <c r="J853" s="48"/>
      <c r="K853" s="48"/>
      <c r="L853" s="48"/>
      <c r="M853" s="48"/>
      <c r="N853" s="48"/>
      <c r="O853" s="48"/>
      <c r="P853" s="4"/>
      <c r="Q853" s="4"/>
      <c r="R853" s="4"/>
      <c r="S853" s="4"/>
      <c r="T853" s="4"/>
      <c r="U853" s="4"/>
      <c r="V853" s="4"/>
      <c r="W853" s="4"/>
      <c r="X853" s="4"/>
      <c r="Y853" s="4"/>
      <c r="Z853" s="4"/>
      <c r="AA853" s="4"/>
    </row>
    <row r="854">
      <c r="A854" s="48"/>
      <c r="B854" s="48"/>
      <c r="C854" s="4"/>
      <c r="D854" s="4"/>
      <c r="E854" s="4"/>
      <c r="F854" s="48"/>
      <c r="G854" s="48"/>
      <c r="H854" s="48"/>
      <c r="I854" s="48"/>
      <c r="J854" s="48"/>
      <c r="K854" s="48"/>
      <c r="L854" s="48"/>
      <c r="M854" s="48"/>
      <c r="N854" s="48"/>
      <c r="O854" s="48"/>
      <c r="P854" s="4"/>
      <c r="Q854" s="4"/>
      <c r="R854" s="4"/>
      <c r="S854" s="4"/>
      <c r="T854" s="4"/>
      <c r="U854" s="4"/>
      <c r="V854" s="4"/>
      <c r="W854" s="4"/>
      <c r="X854" s="4"/>
      <c r="Y854" s="4"/>
      <c r="Z854" s="4"/>
      <c r="AA854" s="4"/>
    </row>
    <row r="855">
      <c r="A855" s="48"/>
      <c r="B855" s="48"/>
      <c r="C855" s="4"/>
      <c r="D855" s="4"/>
      <c r="E855" s="4"/>
      <c r="F855" s="48"/>
      <c r="G855" s="48"/>
      <c r="H855" s="48"/>
      <c r="I855" s="48"/>
      <c r="J855" s="48"/>
      <c r="K855" s="48"/>
      <c r="L855" s="48"/>
      <c r="M855" s="48"/>
      <c r="N855" s="48"/>
      <c r="O855" s="48"/>
      <c r="P855" s="4"/>
      <c r="Q855" s="4"/>
      <c r="R855" s="4"/>
      <c r="S855" s="4"/>
      <c r="T855" s="4"/>
      <c r="U855" s="4"/>
      <c r="V855" s="4"/>
      <c r="W855" s="4"/>
      <c r="X855" s="4"/>
      <c r="Y855" s="4"/>
      <c r="Z855" s="4"/>
      <c r="AA855" s="4"/>
    </row>
    <row r="856">
      <c r="A856" s="48"/>
      <c r="B856" s="48"/>
      <c r="C856" s="4"/>
      <c r="D856" s="4"/>
      <c r="E856" s="4"/>
      <c r="F856" s="48"/>
      <c r="G856" s="48"/>
      <c r="H856" s="48"/>
      <c r="I856" s="48"/>
      <c r="J856" s="48"/>
      <c r="K856" s="48"/>
      <c r="L856" s="48"/>
      <c r="M856" s="48"/>
      <c r="N856" s="48"/>
      <c r="O856" s="48"/>
      <c r="P856" s="4"/>
      <c r="Q856" s="4"/>
      <c r="R856" s="4"/>
      <c r="S856" s="4"/>
      <c r="T856" s="4"/>
      <c r="U856" s="4"/>
      <c r="V856" s="4"/>
      <c r="W856" s="4"/>
      <c r="X856" s="4"/>
      <c r="Y856" s="4"/>
      <c r="Z856" s="4"/>
      <c r="AA856" s="4"/>
    </row>
    <row r="857">
      <c r="A857" s="48"/>
      <c r="B857" s="48"/>
      <c r="C857" s="4"/>
      <c r="D857" s="4"/>
      <c r="E857" s="4"/>
      <c r="F857" s="48"/>
      <c r="G857" s="48"/>
      <c r="H857" s="48"/>
      <c r="I857" s="48"/>
      <c r="J857" s="48"/>
      <c r="K857" s="48"/>
      <c r="L857" s="48"/>
      <c r="M857" s="48"/>
      <c r="N857" s="48"/>
      <c r="O857" s="48"/>
      <c r="P857" s="4"/>
      <c r="Q857" s="4"/>
      <c r="R857" s="4"/>
      <c r="S857" s="4"/>
      <c r="T857" s="4"/>
      <c r="U857" s="4"/>
      <c r="V857" s="4"/>
      <c r="W857" s="4"/>
      <c r="X857" s="4"/>
      <c r="Y857" s="4"/>
      <c r="Z857" s="4"/>
      <c r="AA857" s="4"/>
    </row>
    <row r="858">
      <c r="A858" s="48"/>
      <c r="B858" s="48"/>
      <c r="C858" s="4"/>
      <c r="D858" s="4"/>
      <c r="E858" s="4"/>
      <c r="F858" s="48"/>
      <c r="G858" s="48"/>
      <c r="H858" s="48"/>
      <c r="I858" s="48"/>
      <c r="J858" s="48"/>
      <c r="K858" s="48"/>
      <c r="L858" s="48"/>
      <c r="M858" s="48"/>
      <c r="N858" s="48"/>
      <c r="O858" s="48"/>
      <c r="P858" s="4"/>
      <c r="Q858" s="4"/>
      <c r="R858" s="4"/>
      <c r="S858" s="4"/>
      <c r="T858" s="4"/>
      <c r="U858" s="4"/>
      <c r="V858" s="4"/>
      <c r="W858" s="4"/>
      <c r="X858" s="4"/>
      <c r="Y858" s="4"/>
      <c r="Z858" s="4"/>
      <c r="AA858" s="4"/>
    </row>
    <row r="859">
      <c r="A859" s="48"/>
      <c r="B859" s="48"/>
      <c r="C859" s="4"/>
      <c r="D859" s="4"/>
      <c r="E859" s="4"/>
      <c r="F859" s="48"/>
      <c r="G859" s="48"/>
      <c r="H859" s="48"/>
      <c r="I859" s="48"/>
      <c r="J859" s="48"/>
      <c r="K859" s="48"/>
      <c r="L859" s="48"/>
      <c r="M859" s="48"/>
      <c r="N859" s="48"/>
      <c r="O859" s="48"/>
      <c r="P859" s="4"/>
      <c r="Q859" s="4"/>
      <c r="R859" s="4"/>
      <c r="S859" s="4"/>
      <c r="T859" s="4"/>
      <c r="U859" s="4"/>
      <c r="V859" s="4"/>
      <c r="W859" s="4"/>
      <c r="X859" s="4"/>
      <c r="Y859" s="4"/>
      <c r="Z859" s="4"/>
      <c r="AA859" s="4"/>
    </row>
    <row r="860">
      <c r="A860" s="48"/>
      <c r="B860" s="48"/>
      <c r="C860" s="4"/>
      <c r="D860" s="4"/>
      <c r="E860" s="4"/>
      <c r="F860" s="48"/>
      <c r="G860" s="48"/>
      <c r="H860" s="48"/>
      <c r="I860" s="48"/>
      <c r="J860" s="48"/>
      <c r="K860" s="48"/>
      <c r="L860" s="48"/>
      <c r="M860" s="48"/>
      <c r="N860" s="48"/>
      <c r="O860" s="48"/>
      <c r="P860" s="4"/>
      <c r="Q860" s="4"/>
      <c r="R860" s="4"/>
      <c r="S860" s="4"/>
      <c r="T860" s="4"/>
      <c r="U860" s="4"/>
      <c r="V860" s="4"/>
      <c r="W860" s="4"/>
      <c r="X860" s="4"/>
      <c r="Y860" s="4"/>
      <c r="Z860" s="4"/>
      <c r="AA860" s="4"/>
    </row>
    <row r="861">
      <c r="A861" s="48"/>
      <c r="B861" s="48"/>
      <c r="C861" s="4"/>
      <c r="D861" s="4"/>
      <c r="E861" s="4"/>
      <c r="F861" s="48"/>
      <c r="G861" s="48"/>
      <c r="H861" s="48"/>
      <c r="I861" s="48"/>
      <c r="J861" s="48"/>
      <c r="K861" s="48"/>
      <c r="L861" s="48"/>
      <c r="M861" s="48"/>
      <c r="N861" s="48"/>
      <c r="O861" s="48"/>
      <c r="P861" s="4"/>
      <c r="Q861" s="4"/>
      <c r="R861" s="4"/>
      <c r="S861" s="4"/>
      <c r="T861" s="4"/>
      <c r="U861" s="4"/>
      <c r="V861" s="4"/>
      <c r="W861" s="4"/>
      <c r="X861" s="4"/>
      <c r="Y861" s="4"/>
      <c r="Z861" s="4"/>
      <c r="AA861" s="4"/>
    </row>
    <row r="862">
      <c r="A862" s="48"/>
      <c r="B862" s="48"/>
      <c r="C862" s="4"/>
      <c r="D862" s="4"/>
      <c r="E862" s="4"/>
      <c r="F862" s="48"/>
      <c r="G862" s="48"/>
      <c r="H862" s="48"/>
      <c r="I862" s="48"/>
      <c r="J862" s="48"/>
      <c r="K862" s="48"/>
      <c r="L862" s="48"/>
      <c r="M862" s="48"/>
      <c r="N862" s="48"/>
      <c r="O862" s="48"/>
      <c r="P862" s="4"/>
      <c r="Q862" s="4"/>
      <c r="R862" s="4"/>
      <c r="S862" s="4"/>
      <c r="T862" s="4"/>
      <c r="U862" s="4"/>
      <c r="V862" s="4"/>
      <c r="W862" s="4"/>
      <c r="X862" s="4"/>
      <c r="Y862" s="4"/>
      <c r="Z862" s="4"/>
      <c r="AA862" s="4"/>
    </row>
    <row r="863">
      <c r="A863" s="48"/>
      <c r="B863" s="48"/>
      <c r="C863" s="4"/>
      <c r="D863" s="4"/>
      <c r="E863" s="4"/>
      <c r="F863" s="48"/>
      <c r="G863" s="48"/>
      <c r="H863" s="48"/>
      <c r="I863" s="48"/>
      <c r="J863" s="48"/>
      <c r="K863" s="48"/>
      <c r="L863" s="48"/>
      <c r="M863" s="48"/>
      <c r="N863" s="48"/>
      <c r="O863" s="48"/>
      <c r="P863" s="4"/>
      <c r="Q863" s="4"/>
      <c r="R863" s="4"/>
      <c r="S863" s="4"/>
      <c r="T863" s="4"/>
      <c r="U863" s="4"/>
      <c r="V863" s="4"/>
      <c r="W863" s="4"/>
      <c r="X863" s="4"/>
      <c r="Y863" s="4"/>
      <c r="Z863" s="4"/>
      <c r="AA863" s="4"/>
    </row>
    <row r="864">
      <c r="A864" s="48"/>
      <c r="B864" s="48"/>
      <c r="C864" s="4"/>
      <c r="D864" s="4"/>
      <c r="E864" s="4"/>
      <c r="F864" s="48"/>
      <c r="G864" s="48"/>
      <c r="H864" s="48"/>
      <c r="I864" s="48"/>
      <c r="J864" s="48"/>
      <c r="K864" s="48"/>
      <c r="L864" s="48"/>
      <c r="M864" s="48"/>
      <c r="N864" s="48"/>
      <c r="O864" s="48"/>
      <c r="P864" s="4"/>
      <c r="Q864" s="4"/>
      <c r="R864" s="4"/>
      <c r="S864" s="4"/>
      <c r="T864" s="4"/>
      <c r="U864" s="4"/>
      <c r="V864" s="4"/>
      <c r="W864" s="4"/>
      <c r="X864" s="4"/>
      <c r="Y864" s="4"/>
      <c r="Z864" s="4"/>
      <c r="AA864" s="4"/>
    </row>
    <row r="865">
      <c r="A865" s="48"/>
      <c r="B865" s="48"/>
      <c r="C865" s="4"/>
      <c r="D865" s="4"/>
      <c r="E865" s="4"/>
      <c r="F865" s="48"/>
      <c r="G865" s="48"/>
      <c r="H865" s="48"/>
      <c r="I865" s="48"/>
      <c r="J865" s="48"/>
      <c r="K865" s="48"/>
      <c r="L865" s="48"/>
      <c r="M865" s="48"/>
      <c r="N865" s="48"/>
      <c r="O865" s="48"/>
      <c r="P865" s="4"/>
      <c r="Q865" s="4"/>
      <c r="R865" s="4"/>
      <c r="S865" s="4"/>
      <c r="T865" s="4"/>
      <c r="U865" s="4"/>
      <c r="V865" s="4"/>
      <c r="W865" s="4"/>
      <c r="X865" s="4"/>
      <c r="Y865" s="4"/>
      <c r="Z865" s="4"/>
      <c r="AA865" s="4"/>
    </row>
    <row r="866">
      <c r="A866" s="48"/>
      <c r="B866" s="48"/>
      <c r="C866" s="4"/>
      <c r="D866" s="4"/>
      <c r="E866" s="4"/>
      <c r="F866" s="48"/>
      <c r="G866" s="48"/>
      <c r="H866" s="48"/>
      <c r="I866" s="48"/>
      <c r="J866" s="48"/>
      <c r="K866" s="48"/>
      <c r="L866" s="48"/>
      <c r="M866" s="48"/>
      <c r="N866" s="48"/>
      <c r="O866" s="48"/>
      <c r="P866" s="4"/>
      <c r="Q866" s="4"/>
      <c r="R866" s="4"/>
      <c r="S866" s="4"/>
      <c r="T866" s="4"/>
      <c r="U866" s="4"/>
      <c r="V866" s="4"/>
      <c r="W866" s="4"/>
      <c r="X866" s="4"/>
      <c r="Y866" s="4"/>
      <c r="Z866" s="4"/>
      <c r="AA866" s="4"/>
    </row>
    <row r="867">
      <c r="A867" s="48"/>
      <c r="B867" s="48"/>
      <c r="C867" s="4"/>
      <c r="D867" s="4"/>
      <c r="E867" s="4"/>
      <c r="F867" s="48"/>
      <c r="G867" s="48"/>
      <c r="H867" s="48"/>
      <c r="I867" s="48"/>
      <c r="J867" s="48"/>
      <c r="K867" s="48"/>
      <c r="L867" s="48"/>
      <c r="M867" s="48"/>
      <c r="N867" s="48"/>
      <c r="O867" s="48"/>
      <c r="P867" s="4"/>
      <c r="Q867" s="4"/>
      <c r="R867" s="4"/>
      <c r="S867" s="4"/>
      <c r="T867" s="4"/>
      <c r="U867" s="4"/>
      <c r="V867" s="4"/>
      <c r="W867" s="4"/>
      <c r="X867" s="4"/>
      <c r="Y867" s="4"/>
      <c r="Z867" s="4"/>
      <c r="AA867" s="4"/>
    </row>
    <row r="868">
      <c r="A868" s="48"/>
      <c r="B868" s="48"/>
      <c r="C868" s="4"/>
      <c r="D868" s="4"/>
      <c r="E868" s="4"/>
      <c r="F868" s="48"/>
      <c r="G868" s="48"/>
      <c r="H868" s="48"/>
      <c r="I868" s="48"/>
      <c r="J868" s="48"/>
      <c r="K868" s="48"/>
      <c r="L868" s="48"/>
      <c r="M868" s="48"/>
      <c r="N868" s="48"/>
      <c r="O868" s="48"/>
      <c r="P868" s="4"/>
      <c r="Q868" s="4"/>
      <c r="R868" s="4"/>
      <c r="S868" s="4"/>
      <c r="T868" s="4"/>
      <c r="U868" s="4"/>
      <c r="V868" s="4"/>
      <c r="W868" s="4"/>
      <c r="X868" s="4"/>
      <c r="Y868" s="4"/>
      <c r="Z868" s="4"/>
      <c r="AA868" s="4"/>
    </row>
    <row r="869">
      <c r="A869" s="48"/>
      <c r="B869" s="48"/>
      <c r="C869" s="4"/>
      <c r="D869" s="4"/>
      <c r="E869" s="4"/>
      <c r="F869" s="48"/>
      <c r="G869" s="48"/>
      <c r="H869" s="48"/>
      <c r="I869" s="48"/>
      <c r="J869" s="48"/>
      <c r="K869" s="48"/>
      <c r="L869" s="48"/>
      <c r="M869" s="48"/>
      <c r="N869" s="48"/>
      <c r="O869" s="48"/>
      <c r="P869" s="4"/>
      <c r="Q869" s="4"/>
      <c r="R869" s="4"/>
      <c r="S869" s="4"/>
      <c r="T869" s="4"/>
      <c r="U869" s="4"/>
      <c r="V869" s="4"/>
      <c r="W869" s="4"/>
      <c r="X869" s="4"/>
      <c r="Y869" s="4"/>
      <c r="Z869" s="4"/>
      <c r="AA869" s="4"/>
    </row>
    <row r="870">
      <c r="A870" s="48"/>
      <c r="B870" s="48"/>
      <c r="C870" s="4"/>
      <c r="D870" s="4"/>
      <c r="E870" s="4"/>
      <c r="F870" s="48"/>
      <c r="G870" s="48"/>
      <c r="H870" s="48"/>
      <c r="I870" s="48"/>
      <c r="J870" s="48"/>
      <c r="K870" s="48"/>
      <c r="L870" s="48"/>
      <c r="M870" s="48"/>
      <c r="N870" s="48"/>
      <c r="O870" s="48"/>
      <c r="P870" s="4"/>
      <c r="Q870" s="4"/>
      <c r="R870" s="4"/>
      <c r="S870" s="4"/>
      <c r="T870" s="4"/>
      <c r="U870" s="4"/>
      <c r="V870" s="4"/>
      <c r="W870" s="4"/>
      <c r="X870" s="4"/>
      <c r="Y870" s="4"/>
      <c r="Z870" s="4"/>
      <c r="AA870" s="4"/>
    </row>
    <row r="871">
      <c r="A871" s="48"/>
      <c r="B871" s="48"/>
      <c r="C871" s="4"/>
      <c r="D871" s="4"/>
      <c r="E871" s="4"/>
      <c r="F871" s="48"/>
      <c r="G871" s="48"/>
      <c r="H871" s="48"/>
      <c r="I871" s="48"/>
      <c r="J871" s="48"/>
      <c r="K871" s="48"/>
      <c r="L871" s="48"/>
      <c r="M871" s="48"/>
      <c r="N871" s="48"/>
      <c r="O871" s="48"/>
      <c r="P871" s="4"/>
      <c r="Q871" s="4"/>
      <c r="R871" s="4"/>
      <c r="S871" s="4"/>
      <c r="T871" s="4"/>
      <c r="U871" s="4"/>
      <c r="V871" s="4"/>
      <c r="W871" s="4"/>
      <c r="X871" s="4"/>
      <c r="Y871" s="4"/>
      <c r="Z871" s="4"/>
      <c r="AA871" s="4"/>
    </row>
    <row r="872">
      <c r="A872" s="48"/>
      <c r="B872" s="48"/>
      <c r="C872" s="4"/>
      <c r="D872" s="4"/>
      <c r="E872" s="4"/>
      <c r="F872" s="48"/>
      <c r="G872" s="48"/>
      <c r="H872" s="48"/>
      <c r="I872" s="48"/>
      <c r="J872" s="48"/>
      <c r="K872" s="48"/>
      <c r="L872" s="48"/>
      <c r="M872" s="48"/>
      <c r="N872" s="48"/>
      <c r="O872" s="48"/>
      <c r="P872" s="4"/>
      <c r="Q872" s="4"/>
      <c r="R872" s="4"/>
      <c r="S872" s="4"/>
      <c r="T872" s="4"/>
      <c r="U872" s="4"/>
      <c r="V872" s="4"/>
      <c r="W872" s="4"/>
      <c r="X872" s="4"/>
      <c r="Y872" s="4"/>
      <c r="Z872" s="4"/>
      <c r="AA872" s="4"/>
    </row>
    <row r="873">
      <c r="A873" s="48"/>
      <c r="B873" s="48"/>
      <c r="C873" s="4"/>
      <c r="D873" s="4"/>
      <c r="E873" s="4"/>
      <c r="F873" s="48"/>
      <c r="G873" s="48"/>
      <c r="H873" s="48"/>
      <c r="I873" s="48"/>
      <c r="J873" s="48"/>
      <c r="K873" s="48"/>
      <c r="L873" s="48"/>
      <c r="M873" s="48"/>
      <c r="N873" s="48"/>
      <c r="O873" s="48"/>
      <c r="P873" s="4"/>
      <c r="Q873" s="4"/>
      <c r="R873" s="4"/>
      <c r="S873" s="4"/>
      <c r="T873" s="4"/>
      <c r="U873" s="4"/>
      <c r="V873" s="4"/>
      <c r="W873" s="4"/>
      <c r="X873" s="4"/>
      <c r="Y873" s="4"/>
      <c r="Z873" s="4"/>
      <c r="AA873" s="4"/>
    </row>
    <row r="874">
      <c r="A874" s="48"/>
      <c r="B874" s="48"/>
      <c r="C874" s="4"/>
      <c r="D874" s="4"/>
      <c r="E874" s="4"/>
      <c r="F874" s="48"/>
      <c r="G874" s="48"/>
      <c r="H874" s="48"/>
      <c r="I874" s="48"/>
      <c r="J874" s="48"/>
      <c r="K874" s="48"/>
      <c r="L874" s="48"/>
      <c r="M874" s="48"/>
      <c r="N874" s="48"/>
      <c r="O874" s="48"/>
      <c r="P874" s="4"/>
      <c r="Q874" s="4"/>
      <c r="R874" s="4"/>
      <c r="S874" s="4"/>
      <c r="T874" s="4"/>
      <c r="U874" s="4"/>
      <c r="V874" s="4"/>
      <c r="W874" s="4"/>
      <c r="X874" s="4"/>
      <c r="Y874" s="4"/>
      <c r="Z874" s="4"/>
      <c r="AA874" s="4"/>
    </row>
    <row r="875">
      <c r="A875" s="48"/>
      <c r="B875" s="48"/>
      <c r="C875" s="4"/>
      <c r="D875" s="4"/>
      <c r="E875" s="4"/>
      <c r="F875" s="48"/>
      <c r="G875" s="48"/>
      <c r="H875" s="48"/>
      <c r="I875" s="48"/>
      <c r="J875" s="48"/>
      <c r="K875" s="48"/>
      <c r="L875" s="48"/>
      <c r="M875" s="48"/>
      <c r="N875" s="48"/>
      <c r="O875" s="48"/>
      <c r="P875" s="4"/>
      <c r="Q875" s="4"/>
      <c r="R875" s="4"/>
      <c r="S875" s="4"/>
      <c r="T875" s="4"/>
      <c r="U875" s="4"/>
      <c r="V875" s="4"/>
      <c r="W875" s="4"/>
      <c r="X875" s="4"/>
      <c r="Y875" s="4"/>
      <c r="Z875" s="4"/>
      <c r="AA875" s="4"/>
    </row>
    <row r="876">
      <c r="A876" s="48"/>
      <c r="B876" s="48"/>
      <c r="C876" s="4"/>
      <c r="D876" s="4"/>
      <c r="E876" s="4"/>
      <c r="F876" s="48"/>
      <c r="G876" s="48"/>
      <c r="H876" s="48"/>
      <c r="I876" s="48"/>
      <c r="J876" s="48"/>
      <c r="K876" s="48"/>
      <c r="L876" s="48"/>
      <c r="M876" s="48"/>
      <c r="N876" s="48"/>
      <c r="O876" s="48"/>
      <c r="P876" s="4"/>
      <c r="Q876" s="4"/>
      <c r="R876" s="4"/>
      <c r="S876" s="4"/>
      <c r="T876" s="4"/>
      <c r="U876" s="4"/>
      <c r="V876" s="4"/>
      <c r="W876" s="4"/>
      <c r="X876" s="4"/>
      <c r="Y876" s="4"/>
      <c r="Z876" s="4"/>
      <c r="AA876" s="4"/>
    </row>
    <row r="877">
      <c r="A877" s="48"/>
      <c r="B877" s="48"/>
      <c r="C877" s="4"/>
      <c r="D877" s="4"/>
      <c r="E877" s="4"/>
      <c r="F877" s="48"/>
      <c r="G877" s="48"/>
      <c r="H877" s="48"/>
      <c r="I877" s="48"/>
      <c r="J877" s="48"/>
      <c r="K877" s="48"/>
      <c r="L877" s="48"/>
      <c r="M877" s="48"/>
      <c r="N877" s="48"/>
      <c r="O877" s="48"/>
      <c r="P877" s="4"/>
      <c r="Q877" s="4"/>
      <c r="R877" s="4"/>
      <c r="S877" s="4"/>
      <c r="T877" s="4"/>
      <c r="U877" s="4"/>
      <c r="V877" s="4"/>
      <c r="W877" s="4"/>
      <c r="X877" s="4"/>
      <c r="Y877" s="4"/>
      <c r="Z877" s="4"/>
      <c r="AA877" s="4"/>
    </row>
    <row r="878">
      <c r="A878" s="48"/>
      <c r="B878" s="48"/>
      <c r="C878" s="4"/>
      <c r="D878" s="4"/>
      <c r="E878" s="4"/>
      <c r="F878" s="48"/>
      <c r="G878" s="48"/>
      <c r="H878" s="48"/>
      <c r="I878" s="48"/>
      <c r="J878" s="48"/>
      <c r="K878" s="48"/>
      <c r="L878" s="48"/>
      <c r="M878" s="48"/>
      <c r="N878" s="48"/>
      <c r="O878" s="48"/>
      <c r="P878" s="4"/>
      <c r="Q878" s="4"/>
      <c r="R878" s="4"/>
      <c r="S878" s="4"/>
      <c r="T878" s="4"/>
      <c r="U878" s="4"/>
      <c r="V878" s="4"/>
      <c r="W878" s="4"/>
      <c r="X878" s="4"/>
      <c r="Y878" s="4"/>
      <c r="Z878" s="4"/>
      <c r="AA878" s="4"/>
    </row>
    <row r="879">
      <c r="A879" s="48"/>
      <c r="B879" s="48"/>
      <c r="C879" s="4"/>
      <c r="D879" s="4"/>
      <c r="E879" s="4"/>
      <c r="F879" s="48"/>
      <c r="G879" s="48"/>
      <c r="H879" s="48"/>
      <c r="I879" s="48"/>
      <c r="J879" s="48"/>
      <c r="K879" s="48"/>
      <c r="L879" s="48"/>
      <c r="M879" s="48"/>
      <c r="N879" s="48"/>
      <c r="O879" s="48"/>
      <c r="P879" s="4"/>
      <c r="Q879" s="4"/>
      <c r="R879" s="4"/>
      <c r="S879" s="4"/>
      <c r="T879" s="4"/>
      <c r="U879" s="4"/>
      <c r="V879" s="4"/>
      <c r="W879" s="4"/>
      <c r="X879" s="4"/>
      <c r="Y879" s="4"/>
      <c r="Z879" s="4"/>
      <c r="AA879" s="4"/>
    </row>
    <row r="880">
      <c r="A880" s="48"/>
      <c r="B880" s="48"/>
      <c r="C880" s="4"/>
      <c r="D880" s="4"/>
      <c r="E880" s="4"/>
      <c r="F880" s="48"/>
      <c r="G880" s="48"/>
      <c r="H880" s="48"/>
      <c r="I880" s="48"/>
      <c r="J880" s="48"/>
      <c r="K880" s="48"/>
      <c r="L880" s="48"/>
      <c r="M880" s="48"/>
      <c r="N880" s="48"/>
      <c r="O880" s="48"/>
      <c r="P880" s="4"/>
      <c r="Q880" s="4"/>
      <c r="R880" s="4"/>
      <c r="S880" s="4"/>
      <c r="T880" s="4"/>
      <c r="U880" s="4"/>
      <c r="V880" s="4"/>
      <c r="W880" s="4"/>
      <c r="X880" s="4"/>
      <c r="Y880" s="4"/>
      <c r="Z880" s="4"/>
      <c r="AA880" s="4"/>
    </row>
    <row r="881">
      <c r="A881" s="48"/>
      <c r="B881" s="48"/>
      <c r="C881" s="4"/>
      <c r="D881" s="4"/>
      <c r="E881" s="4"/>
      <c r="F881" s="48"/>
      <c r="G881" s="48"/>
      <c r="H881" s="48"/>
      <c r="I881" s="48"/>
      <c r="J881" s="48"/>
      <c r="K881" s="48"/>
      <c r="L881" s="48"/>
      <c r="M881" s="48"/>
      <c r="N881" s="48"/>
      <c r="O881" s="48"/>
      <c r="P881" s="4"/>
      <c r="Q881" s="4"/>
      <c r="R881" s="4"/>
      <c r="S881" s="4"/>
      <c r="T881" s="4"/>
      <c r="U881" s="4"/>
      <c r="V881" s="4"/>
      <c r="W881" s="4"/>
      <c r="X881" s="4"/>
      <c r="Y881" s="4"/>
      <c r="Z881" s="4"/>
      <c r="AA881" s="4"/>
    </row>
    <row r="882">
      <c r="A882" s="48"/>
      <c r="B882" s="48"/>
      <c r="C882" s="4"/>
      <c r="D882" s="4"/>
      <c r="E882" s="4"/>
      <c r="F882" s="48"/>
      <c r="G882" s="48"/>
      <c r="H882" s="48"/>
      <c r="I882" s="48"/>
      <c r="J882" s="48"/>
      <c r="K882" s="48"/>
      <c r="L882" s="48"/>
      <c r="M882" s="48"/>
      <c r="N882" s="48"/>
      <c r="O882" s="48"/>
      <c r="P882" s="4"/>
      <c r="Q882" s="4"/>
      <c r="R882" s="4"/>
      <c r="S882" s="4"/>
      <c r="T882" s="4"/>
      <c r="U882" s="4"/>
      <c r="V882" s="4"/>
      <c r="W882" s="4"/>
      <c r="X882" s="4"/>
      <c r="Y882" s="4"/>
      <c r="Z882" s="4"/>
      <c r="AA882" s="4"/>
    </row>
    <row r="883">
      <c r="A883" s="48"/>
      <c r="B883" s="48"/>
      <c r="C883" s="4"/>
      <c r="D883" s="4"/>
      <c r="E883" s="4"/>
      <c r="F883" s="48"/>
      <c r="G883" s="48"/>
      <c r="H883" s="48"/>
      <c r="I883" s="48"/>
      <c r="J883" s="48"/>
      <c r="K883" s="48"/>
      <c r="L883" s="48"/>
      <c r="M883" s="48"/>
      <c r="N883" s="48"/>
      <c r="O883" s="48"/>
      <c r="P883" s="4"/>
      <c r="Q883" s="4"/>
      <c r="R883" s="4"/>
      <c r="S883" s="4"/>
      <c r="T883" s="4"/>
      <c r="U883" s="4"/>
      <c r="V883" s="4"/>
      <c r="W883" s="4"/>
      <c r="X883" s="4"/>
      <c r="Y883" s="4"/>
      <c r="Z883" s="4"/>
      <c r="AA883" s="4"/>
    </row>
    <row r="884">
      <c r="A884" s="48"/>
      <c r="B884" s="48"/>
      <c r="C884" s="4"/>
      <c r="D884" s="4"/>
      <c r="E884" s="4"/>
      <c r="F884" s="48"/>
      <c r="G884" s="48"/>
      <c r="H884" s="48"/>
      <c r="I884" s="48"/>
      <c r="J884" s="48"/>
      <c r="K884" s="48"/>
      <c r="L884" s="48"/>
      <c r="M884" s="48"/>
      <c r="N884" s="48"/>
      <c r="O884" s="48"/>
      <c r="P884" s="4"/>
      <c r="Q884" s="4"/>
      <c r="R884" s="4"/>
      <c r="S884" s="4"/>
      <c r="T884" s="4"/>
      <c r="U884" s="4"/>
      <c r="V884" s="4"/>
      <c r="W884" s="4"/>
      <c r="X884" s="4"/>
      <c r="Y884" s="4"/>
      <c r="Z884" s="4"/>
      <c r="AA884" s="4"/>
    </row>
    <row r="885">
      <c r="A885" s="48"/>
      <c r="B885" s="48"/>
      <c r="C885" s="4"/>
      <c r="D885" s="4"/>
      <c r="E885" s="4"/>
      <c r="F885" s="48"/>
      <c r="G885" s="48"/>
      <c r="H885" s="48"/>
      <c r="I885" s="48"/>
      <c r="J885" s="48"/>
      <c r="K885" s="48"/>
      <c r="L885" s="48"/>
      <c r="M885" s="48"/>
      <c r="N885" s="48"/>
      <c r="O885" s="48"/>
      <c r="P885" s="4"/>
      <c r="Q885" s="4"/>
      <c r="R885" s="4"/>
      <c r="S885" s="4"/>
      <c r="T885" s="4"/>
      <c r="U885" s="4"/>
      <c r="V885" s="4"/>
      <c r="W885" s="4"/>
      <c r="X885" s="4"/>
      <c r="Y885" s="4"/>
      <c r="Z885" s="4"/>
      <c r="AA885" s="4"/>
    </row>
    <row r="886">
      <c r="A886" s="48"/>
      <c r="B886" s="48"/>
      <c r="C886" s="4"/>
      <c r="D886" s="4"/>
      <c r="E886" s="4"/>
      <c r="F886" s="48"/>
      <c r="G886" s="48"/>
      <c r="H886" s="48"/>
      <c r="I886" s="48"/>
      <c r="J886" s="48"/>
      <c r="K886" s="48"/>
      <c r="L886" s="48"/>
      <c r="M886" s="48"/>
      <c r="N886" s="48"/>
      <c r="O886" s="48"/>
      <c r="P886" s="4"/>
      <c r="Q886" s="4"/>
      <c r="R886" s="4"/>
      <c r="S886" s="4"/>
      <c r="T886" s="4"/>
      <c r="U886" s="4"/>
      <c r="V886" s="4"/>
      <c r="W886" s="4"/>
      <c r="X886" s="4"/>
      <c r="Y886" s="4"/>
      <c r="Z886" s="4"/>
      <c r="AA886" s="4"/>
    </row>
    <row r="887">
      <c r="A887" s="48"/>
      <c r="B887" s="48"/>
      <c r="C887" s="4"/>
      <c r="D887" s="4"/>
      <c r="E887" s="4"/>
      <c r="F887" s="48"/>
      <c r="G887" s="48"/>
      <c r="H887" s="48"/>
      <c r="I887" s="48"/>
      <c r="J887" s="48"/>
      <c r="K887" s="48"/>
      <c r="L887" s="48"/>
      <c r="M887" s="48"/>
      <c r="N887" s="48"/>
      <c r="O887" s="48"/>
      <c r="P887" s="4"/>
      <c r="Q887" s="4"/>
      <c r="R887" s="4"/>
      <c r="S887" s="4"/>
      <c r="T887" s="4"/>
      <c r="U887" s="4"/>
      <c r="V887" s="4"/>
      <c r="W887" s="4"/>
      <c r="X887" s="4"/>
      <c r="Y887" s="4"/>
      <c r="Z887" s="4"/>
      <c r="AA887" s="4"/>
    </row>
    <row r="888">
      <c r="A888" s="48"/>
      <c r="B888" s="48"/>
      <c r="C888" s="4"/>
      <c r="D888" s="4"/>
      <c r="E888" s="4"/>
      <c r="F888" s="48"/>
      <c r="G888" s="48"/>
      <c r="H888" s="48"/>
      <c r="I888" s="48"/>
      <c r="J888" s="48"/>
      <c r="K888" s="48"/>
      <c r="L888" s="48"/>
      <c r="M888" s="48"/>
      <c r="N888" s="48"/>
      <c r="O888" s="48"/>
      <c r="P888" s="4"/>
      <c r="Q888" s="4"/>
      <c r="R888" s="4"/>
      <c r="S888" s="4"/>
      <c r="T888" s="4"/>
      <c r="U888" s="4"/>
      <c r="V888" s="4"/>
      <c r="W888" s="4"/>
      <c r="X888" s="4"/>
      <c r="Y888" s="4"/>
      <c r="Z888" s="4"/>
      <c r="AA888" s="4"/>
    </row>
    <row r="889">
      <c r="A889" s="48"/>
      <c r="B889" s="48"/>
      <c r="C889" s="4"/>
      <c r="D889" s="4"/>
      <c r="E889" s="4"/>
      <c r="F889" s="48"/>
      <c r="G889" s="48"/>
      <c r="H889" s="48"/>
      <c r="I889" s="48"/>
      <c r="J889" s="48"/>
      <c r="K889" s="48"/>
      <c r="L889" s="48"/>
      <c r="M889" s="48"/>
      <c r="N889" s="48"/>
      <c r="O889" s="48"/>
      <c r="P889" s="4"/>
      <c r="Q889" s="4"/>
      <c r="R889" s="4"/>
      <c r="S889" s="4"/>
      <c r="T889" s="4"/>
      <c r="U889" s="4"/>
      <c r="V889" s="4"/>
      <c r="W889" s="4"/>
      <c r="X889" s="4"/>
      <c r="Y889" s="4"/>
      <c r="Z889" s="4"/>
      <c r="AA889" s="4"/>
    </row>
    <row r="890">
      <c r="A890" s="48"/>
      <c r="B890" s="48"/>
      <c r="C890" s="4"/>
      <c r="D890" s="4"/>
      <c r="E890" s="4"/>
      <c r="F890" s="48"/>
      <c r="G890" s="48"/>
      <c r="H890" s="48"/>
      <c r="I890" s="48"/>
      <c r="J890" s="48"/>
      <c r="K890" s="48"/>
      <c r="L890" s="48"/>
      <c r="M890" s="48"/>
      <c r="N890" s="48"/>
      <c r="O890" s="48"/>
      <c r="P890" s="4"/>
      <c r="Q890" s="4"/>
      <c r="R890" s="4"/>
      <c r="S890" s="4"/>
      <c r="T890" s="4"/>
      <c r="U890" s="4"/>
      <c r="V890" s="4"/>
      <c r="W890" s="4"/>
      <c r="X890" s="4"/>
      <c r="Y890" s="4"/>
      <c r="Z890" s="4"/>
      <c r="AA890" s="4"/>
    </row>
    <row r="891">
      <c r="A891" s="48"/>
      <c r="B891" s="48"/>
      <c r="C891" s="4"/>
      <c r="D891" s="4"/>
      <c r="E891" s="4"/>
      <c r="F891" s="48"/>
      <c r="G891" s="48"/>
      <c r="H891" s="48"/>
      <c r="I891" s="48"/>
      <c r="J891" s="48"/>
      <c r="K891" s="48"/>
      <c r="L891" s="48"/>
      <c r="M891" s="48"/>
      <c r="N891" s="48"/>
      <c r="O891" s="48"/>
      <c r="P891" s="4"/>
      <c r="Q891" s="4"/>
      <c r="R891" s="4"/>
      <c r="S891" s="4"/>
      <c r="T891" s="4"/>
      <c r="U891" s="4"/>
      <c r="V891" s="4"/>
      <c r="W891" s="4"/>
      <c r="X891" s="4"/>
      <c r="Y891" s="4"/>
      <c r="Z891" s="4"/>
      <c r="AA891" s="4"/>
    </row>
    <row r="892">
      <c r="A892" s="48"/>
      <c r="B892" s="48"/>
      <c r="C892" s="4"/>
      <c r="D892" s="4"/>
      <c r="E892" s="4"/>
      <c r="F892" s="48"/>
      <c r="G892" s="48"/>
      <c r="H892" s="48"/>
      <c r="I892" s="48"/>
      <c r="J892" s="48"/>
      <c r="K892" s="48"/>
      <c r="L892" s="48"/>
      <c r="M892" s="48"/>
      <c r="N892" s="48"/>
      <c r="O892" s="48"/>
      <c r="P892" s="4"/>
      <c r="Q892" s="4"/>
      <c r="R892" s="4"/>
      <c r="S892" s="4"/>
      <c r="T892" s="4"/>
      <c r="U892" s="4"/>
      <c r="V892" s="4"/>
      <c r="W892" s="4"/>
      <c r="X892" s="4"/>
      <c r="Y892" s="4"/>
      <c r="Z892" s="4"/>
      <c r="AA892" s="4"/>
    </row>
    <row r="893">
      <c r="A893" s="48"/>
      <c r="B893" s="48"/>
      <c r="C893" s="4"/>
      <c r="D893" s="4"/>
      <c r="E893" s="4"/>
      <c r="F893" s="48"/>
      <c r="G893" s="48"/>
      <c r="H893" s="48"/>
      <c r="I893" s="48"/>
      <c r="J893" s="48"/>
      <c r="K893" s="48"/>
      <c r="L893" s="48"/>
      <c r="M893" s="48"/>
      <c r="N893" s="48"/>
      <c r="O893" s="48"/>
      <c r="P893" s="4"/>
      <c r="Q893" s="4"/>
      <c r="R893" s="4"/>
      <c r="S893" s="4"/>
      <c r="T893" s="4"/>
      <c r="U893" s="4"/>
      <c r="V893" s="4"/>
      <c r="W893" s="4"/>
      <c r="X893" s="4"/>
      <c r="Y893" s="4"/>
      <c r="Z893" s="4"/>
      <c r="AA893" s="4"/>
    </row>
    <row r="894">
      <c r="A894" s="48"/>
      <c r="B894" s="48"/>
      <c r="C894" s="4"/>
      <c r="D894" s="4"/>
      <c r="E894" s="4"/>
      <c r="F894" s="48"/>
      <c r="G894" s="48"/>
      <c r="H894" s="48"/>
      <c r="I894" s="48"/>
      <c r="J894" s="48"/>
      <c r="K894" s="48"/>
      <c r="L894" s="48"/>
      <c r="M894" s="48"/>
      <c r="N894" s="48"/>
      <c r="O894" s="48"/>
      <c r="P894" s="4"/>
      <c r="Q894" s="4"/>
      <c r="R894" s="4"/>
      <c r="S894" s="4"/>
      <c r="T894" s="4"/>
      <c r="U894" s="4"/>
      <c r="V894" s="4"/>
      <c r="W894" s="4"/>
      <c r="X894" s="4"/>
      <c r="Y894" s="4"/>
      <c r="Z894" s="4"/>
      <c r="AA894" s="4"/>
    </row>
    <row r="895">
      <c r="A895" s="48"/>
      <c r="B895" s="48"/>
      <c r="C895" s="4"/>
      <c r="D895" s="4"/>
      <c r="E895" s="4"/>
      <c r="F895" s="48"/>
      <c r="G895" s="48"/>
      <c r="H895" s="48"/>
      <c r="I895" s="48"/>
      <c r="J895" s="48"/>
      <c r="K895" s="48"/>
      <c r="L895" s="48"/>
      <c r="M895" s="48"/>
      <c r="N895" s="48"/>
      <c r="O895" s="48"/>
      <c r="P895" s="4"/>
      <c r="Q895" s="4"/>
      <c r="R895" s="4"/>
      <c r="S895" s="4"/>
      <c r="T895" s="4"/>
      <c r="U895" s="4"/>
      <c r="V895" s="4"/>
      <c r="W895" s="4"/>
      <c r="X895" s="4"/>
      <c r="Y895" s="4"/>
      <c r="Z895" s="4"/>
      <c r="AA895" s="4"/>
    </row>
    <row r="896">
      <c r="A896" s="48"/>
      <c r="B896" s="48"/>
      <c r="C896" s="4"/>
      <c r="D896" s="4"/>
      <c r="E896" s="4"/>
      <c r="F896" s="48"/>
      <c r="G896" s="48"/>
      <c r="H896" s="48"/>
      <c r="I896" s="48"/>
      <c r="J896" s="48"/>
      <c r="K896" s="48"/>
      <c r="L896" s="48"/>
      <c r="M896" s="48"/>
      <c r="N896" s="48"/>
      <c r="O896" s="48"/>
      <c r="P896" s="4"/>
      <c r="Q896" s="4"/>
      <c r="R896" s="4"/>
      <c r="S896" s="4"/>
      <c r="T896" s="4"/>
      <c r="U896" s="4"/>
      <c r="V896" s="4"/>
      <c r="W896" s="4"/>
      <c r="X896" s="4"/>
      <c r="Y896" s="4"/>
      <c r="Z896" s="4"/>
      <c r="AA896" s="4"/>
    </row>
    <row r="897">
      <c r="A897" s="48"/>
      <c r="B897" s="48"/>
      <c r="C897" s="4"/>
      <c r="D897" s="4"/>
      <c r="E897" s="4"/>
      <c r="F897" s="48"/>
      <c r="G897" s="48"/>
      <c r="H897" s="48"/>
      <c r="I897" s="48"/>
      <c r="J897" s="48"/>
      <c r="K897" s="48"/>
      <c r="L897" s="48"/>
      <c r="M897" s="48"/>
      <c r="N897" s="48"/>
      <c r="O897" s="48"/>
      <c r="P897" s="4"/>
      <c r="Q897" s="4"/>
      <c r="R897" s="4"/>
      <c r="S897" s="4"/>
      <c r="T897" s="4"/>
      <c r="U897" s="4"/>
      <c r="V897" s="4"/>
      <c r="W897" s="4"/>
      <c r="X897" s="4"/>
      <c r="Y897" s="4"/>
      <c r="Z897" s="4"/>
      <c r="AA897" s="4"/>
    </row>
    <row r="898">
      <c r="A898" s="48"/>
      <c r="B898" s="48"/>
      <c r="C898" s="4"/>
      <c r="D898" s="4"/>
      <c r="E898" s="4"/>
      <c r="F898" s="48"/>
      <c r="G898" s="48"/>
      <c r="H898" s="48"/>
      <c r="I898" s="48"/>
      <c r="J898" s="48"/>
      <c r="K898" s="48"/>
      <c r="L898" s="48"/>
      <c r="M898" s="48"/>
      <c r="N898" s="48"/>
      <c r="O898" s="48"/>
      <c r="P898" s="4"/>
      <c r="Q898" s="4"/>
      <c r="R898" s="4"/>
      <c r="S898" s="4"/>
      <c r="T898" s="4"/>
      <c r="U898" s="4"/>
      <c r="V898" s="4"/>
      <c r="W898" s="4"/>
      <c r="X898" s="4"/>
      <c r="Y898" s="4"/>
      <c r="Z898" s="4"/>
      <c r="AA898" s="4"/>
    </row>
    <row r="899">
      <c r="A899" s="48"/>
      <c r="B899" s="48"/>
      <c r="C899" s="4"/>
      <c r="D899" s="4"/>
      <c r="E899" s="4"/>
      <c r="F899" s="48"/>
      <c r="G899" s="48"/>
      <c r="H899" s="48"/>
      <c r="I899" s="48"/>
      <c r="J899" s="48"/>
      <c r="K899" s="48"/>
      <c r="L899" s="48"/>
      <c r="M899" s="48"/>
      <c r="N899" s="48"/>
      <c r="O899" s="48"/>
      <c r="P899" s="4"/>
      <c r="Q899" s="4"/>
      <c r="R899" s="4"/>
      <c r="S899" s="4"/>
      <c r="T899" s="4"/>
      <c r="U899" s="4"/>
      <c r="V899" s="4"/>
      <c r="W899" s="4"/>
      <c r="X899" s="4"/>
      <c r="Y899" s="4"/>
      <c r="Z899" s="4"/>
      <c r="AA899" s="4"/>
    </row>
    <row r="900">
      <c r="A900" s="48"/>
      <c r="B900" s="48"/>
      <c r="C900" s="4"/>
      <c r="D900" s="4"/>
      <c r="E900" s="4"/>
      <c r="F900" s="48"/>
      <c r="G900" s="48"/>
      <c r="H900" s="48"/>
      <c r="I900" s="48"/>
      <c r="J900" s="48"/>
      <c r="K900" s="48"/>
      <c r="L900" s="48"/>
      <c r="M900" s="48"/>
      <c r="N900" s="48"/>
      <c r="O900" s="48"/>
      <c r="P900" s="4"/>
      <c r="Q900" s="4"/>
      <c r="R900" s="4"/>
      <c r="S900" s="4"/>
      <c r="T900" s="4"/>
      <c r="U900" s="4"/>
      <c r="V900" s="4"/>
      <c r="W900" s="4"/>
      <c r="X900" s="4"/>
      <c r="Y900" s="4"/>
      <c r="Z900" s="4"/>
      <c r="AA900" s="4"/>
    </row>
    <row r="901">
      <c r="A901" s="48"/>
      <c r="B901" s="48"/>
      <c r="C901" s="4"/>
      <c r="D901" s="4"/>
      <c r="E901" s="4"/>
      <c r="F901" s="48"/>
      <c r="G901" s="48"/>
      <c r="H901" s="48"/>
      <c r="I901" s="48"/>
      <c r="J901" s="48"/>
      <c r="K901" s="48"/>
      <c r="L901" s="48"/>
      <c r="M901" s="48"/>
      <c r="N901" s="48"/>
      <c r="O901" s="48"/>
      <c r="P901" s="4"/>
      <c r="Q901" s="4"/>
      <c r="R901" s="4"/>
      <c r="S901" s="4"/>
      <c r="T901" s="4"/>
      <c r="U901" s="4"/>
      <c r="V901" s="4"/>
      <c r="W901" s="4"/>
      <c r="X901" s="4"/>
      <c r="Y901" s="4"/>
      <c r="Z901" s="4"/>
      <c r="AA901" s="4"/>
    </row>
    <row r="902">
      <c r="A902" s="48"/>
      <c r="B902" s="48"/>
      <c r="C902" s="4"/>
      <c r="D902" s="4"/>
      <c r="E902" s="4"/>
      <c r="F902" s="48"/>
      <c r="G902" s="48"/>
      <c r="H902" s="48"/>
      <c r="I902" s="48"/>
      <c r="J902" s="48"/>
      <c r="K902" s="48"/>
      <c r="L902" s="48"/>
      <c r="M902" s="48"/>
      <c r="N902" s="48"/>
      <c r="O902" s="48"/>
      <c r="P902" s="4"/>
      <c r="Q902" s="4"/>
      <c r="R902" s="4"/>
      <c r="S902" s="4"/>
      <c r="T902" s="4"/>
      <c r="U902" s="4"/>
      <c r="V902" s="4"/>
      <c r="W902" s="4"/>
      <c r="X902" s="4"/>
      <c r="Y902" s="4"/>
      <c r="Z902" s="4"/>
      <c r="AA902" s="4"/>
    </row>
    <row r="903">
      <c r="A903" s="48"/>
      <c r="B903" s="48"/>
      <c r="C903" s="4"/>
      <c r="D903" s="4"/>
      <c r="E903" s="4"/>
      <c r="F903" s="48"/>
      <c r="G903" s="48"/>
      <c r="H903" s="48"/>
      <c r="I903" s="48"/>
      <c r="J903" s="48"/>
      <c r="K903" s="48"/>
      <c r="L903" s="48"/>
      <c r="M903" s="48"/>
      <c r="N903" s="48"/>
      <c r="O903" s="48"/>
      <c r="P903" s="4"/>
      <c r="Q903" s="4"/>
      <c r="R903" s="4"/>
      <c r="S903" s="4"/>
      <c r="T903" s="4"/>
      <c r="U903" s="4"/>
      <c r="V903" s="4"/>
      <c r="W903" s="4"/>
      <c r="X903" s="4"/>
      <c r="Y903" s="4"/>
      <c r="Z903" s="4"/>
      <c r="AA903" s="4"/>
    </row>
    <row r="904">
      <c r="A904" s="48"/>
      <c r="B904" s="48"/>
      <c r="C904" s="4"/>
      <c r="D904" s="4"/>
      <c r="E904" s="4"/>
      <c r="F904" s="48"/>
      <c r="G904" s="48"/>
      <c r="H904" s="48"/>
      <c r="I904" s="48"/>
      <c r="J904" s="48"/>
      <c r="K904" s="48"/>
      <c r="L904" s="48"/>
      <c r="M904" s="48"/>
      <c r="N904" s="48"/>
      <c r="O904" s="48"/>
      <c r="P904" s="4"/>
      <c r="Q904" s="4"/>
      <c r="R904" s="4"/>
      <c r="S904" s="4"/>
      <c r="T904" s="4"/>
      <c r="U904" s="4"/>
      <c r="V904" s="4"/>
      <c r="W904" s="4"/>
      <c r="X904" s="4"/>
      <c r="Y904" s="4"/>
      <c r="Z904" s="4"/>
      <c r="AA904" s="4"/>
    </row>
    <row r="905">
      <c r="A905" s="48"/>
      <c r="B905" s="48"/>
      <c r="C905" s="4"/>
      <c r="D905" s="4"/>
      <c r="E905" s="4"/>
      <c r="F905" s="48"/>
      <c r="G905" s="48"/>
      <c r="H905" s="48"/>
      <c r="I905" s="48"/>
      <c r="J905" s="48"/>
      <c r="K905" s="48"/>
      <c r="L905" s="48"/>
      <c r="M905" s="48"/>
      <c r="N905" s="48"/>
      <c r="O905" s="48"/>
      <c r="P905" s="4"/>
      <c r="Q905" s="4"/>
      <c r="R905" s="4"/>
      <c r="S905" s="4"/>
      <c r="T905" s="4"/>
      <c r="U905" s="4"/>
      <c r="V905" s="4"/>
      <c r="W905" s="4"/>
      <c r="X905" s="4"/>
      <c r="Y905" s="4"/>
      <c r="Z905" s="4"/>
      <c r="AA905" s="4"/>
    </row>
    <row r="906">
      <c r="A906" s="48"/>
      <c r="B906" s="48"/>
      <c r="C906" s="4"/>
      <c r="D906" s="4"/>
      <c r="E906" s="4"/>
      <c r="F906" s="48"/>
      <c r="G906" s="48"/>
      <c r="H906" s="48"/>
      <c r="I906" s="48"/>
      <c r="J906" s="48"/>
      <c r="K906" s="48"/>
      <c r="L906" s="48"/>
      <c r="M906" s="48"/>
      <c r="N906" s="48"/>
      <c r="O906" s="48"/>
      <c r="P906" s="4"/>
      <c r="Q906" s="4"/>
      <c r="R906" s="4"/>
      <c r="S906" s="4"/>
      <c r="T906" s="4"/>
      <c r="U906" s="4"/>
      <c r="V906" s="4"/>
      <c r="W906" s="4"/>
      <c r="X906" s="4"/>
      <c r="Y906" s="4"/>
      <c r="Z906" s="4"/>
      <c r="AA906" s="4"/>
    </row>
    <row r="907">
      <c r="A907" s="48"/>
      <c r="B907" s="48"/>
      <c r="C907" s="4"/>
      <c r="D907" s="4"/>
      <c r="E907" s="4"/>
      <c r="F907" s="48"/>
      <c r="G907" s="48"/>
      <c r="H907" s="48"/>
      <c r="I907" s="48"/>
      <c r="J907" s="48"/>
      <c r="K907" s="48"/>
      <c r="L907" s="48"/>
      <c r="M907" s="48"/>
      <c r="N907" s="48"/>
      <c r="O907" s="48"/>
      <c r="P907" s="4"/>
      <c r="Q907" s="4"/>
      <c r="R907" s="4"/>
      <c r="S907" s="4"/>
      <c r="T907" s="4"/>
      <c r="U907" s="4"/>
      <c r="V907" s="4"/>
      <c r="W907" s="4"/>
      <c r="X907" s="4"/>
      <c r="Y907" s="4"/>
      <c r="Z907" s="4"/>
      <c r="AA907" s="4"/>
    </row>
    <row r="908">
      <c r="A908" s="48"/>
      <c r="B908" s="48"/>
      <c r="C908" s="4"/>
      <c r="D908" s="4"/>
      <c r="E908" s="4"/>
      <c r="F908" s="48"/>
      <c r="G908" s="48"/>
      <c r="H908" s="48"/>
      <c r="I908" s="48"/>
      <c r="J908" s="48"/>
      <c r="K908" s="48"/>
      <c r="L908" s="48"/>
      <c r="M908" s="48"/>
      <c r="N908" s="48"/>
      <c r="O908" s="48"/>
      <c r="P908" s="4"/>
      <c r="Q908" s="4"/>
      <c r="R908" s="4"/>
      <c r="S908" s="4"/>
      <c r="T908" s="4"/>
      <c r="U908" s="4"/>
      <c r="V908" s="4"/>
      <c r="W908" s="4"/>
      <c r="X908" s="4"/>
      <c r="Y908" s="4"/>
      <c r="Z908" s="4"/>
      <c r="AA908" s="4"/>
    </row>
    <row r="909">
      <c r="A909" s="48"/>
      <c r="B909" s="48"/>
      <c r="C909" s="4"/>
      <c r="D909" s="4"/>
      <c r="E909" s="4"/>
      <c r="F909" s="48"/>
      <c r="G909" s="48"/>
      <c r="H909" s="48"/>
      <c r="I909" s="48"/>
      <c r="J909" s="48"/>
      <c r="K909" s="48"/>
      <c r="L909" s="48"/>
      <c r="M909" s="48"/>
      <c r="N909" s="48"/>
      <c r="O909" s="48"/>
      <c r="P909" s="4"/>
      <c r="Q909" s="4"/>
      <c r="R909" s="4"/>
      <c r="S909" s="4"/>
      <c r="T909" s="4"/>
      <c r="U909" s="4"/>
      <c r="V909" s="4"/>
      <c r="W909" s="4"/>
      <c r="X909" s="4"/>
      <c r="Y909" s="4"/>
      <c r="Z909" s="4"/>
      <c r="AA909" s="4"/>
    </row>
    <row r="910">
      <c r="A910" s="48"/>
      <c r="B910" s="48"/>
      <c r="C910" s="4"/>
      <c r="D910" s="4"/>
      <c r="E910" s="4"/>
      <c r="F910" s="48"/>
      <c r="G910" s="48"/>
      <c r="H910" s="48"/>
      <c r="I910" s="48"/>
      <c r="J910" s="48"/>
      <c r="K910" s="48"/>
      <c r="L910" s="48"/>
      <c r="M910" s="48"/>
      <c r="N910" s="48"/>
      <c r="O910" s="48"/>
      <c r="P910" s="4"/>
      <c r="Q910" s="4"/>
      <c r="R910" s="4"/>
      <c r="S910" s="4"/>
      <c r="T910" s="4"/>
      <c r="U910" s="4"/>
      <c r="V910" s="4"/>
      <c r="W910" s="4"/>
      <c r="X910" s="4"/>
      <c r="Y910" s="4"/>
      <c r="Z910" s="4"/>
      <c r="AA910" s="4"/>
    </row>
    <row r="911">
      <c r="A911" s="48"/>
      <c r="B911" s="48"/>
      <c r="C911" s="4"/>
      <c r="D911" s="4"/>
      <c r="E911" s="4"/>
      <c r="F911" s="48"/>
      <c r="G911" s="48"/>
      <c r="H911" s="48"/>
      <c r="I911" s="48"/>
      <c r="J911" s="48"/>
      <c r="K911" s="48"/>
      <c r="L911" s="48"/>
      <c r="M911" s="48"/>
      <c r="N911" s="48"/>
      <c r="O911" s="48"/>
      <c r="P911" s="4"/>
      <c r="Q911" s="4"/>
      <c r="R911" s="4"/>
      <c r="S911" s="4"/>
      <c r="T911" s="4"/>
      <c r="U911" s="4"/>
      <c r="V911" s="4"/>
      <c r="W911" s="4"/>
      <c r="X911" s="4"/>
      <c r="Y911" s="4"/>
      <c r="Z911" s="4"/>
      <c r="AA911" s="4"/>
    </row>
    <row r="912">
      <c r="A912" s="48"/>
      <c r="B912" s="48"/>
      <c r="C912" s="4"/>
      <c r="D912" s="4"/>
      <c r="E912" s="4"/>
      <c r="F912" s="48"/>
      <c r="G912" s="48"/>
      <c r="H912" s="48"/>
      <c r="I912" s="48"/>
      <c r="J912" s="48"/>
      <c r="K912" s="48"/>
      <c r="L912" s="48"/>
      <c r="M912" s="48"/>
      <c r="N912" s="48"/>
      <c r="O912" s="48"/>
      <c r="P912" s="4"/>
      <c r="Q912" s="4"/>
      <c r="R912" s="4"/>
      <c r="S912" s="4"/>
      <c r="T912" s="4"/>
      <c r="U912" s="4"/>
      <c r="V912" s="4"/>
      <c r="W912" s="4"/>
      <c r="X912" s="4"/>
      <c r="Y912" s="4"/>
      <c r="Z912" s="4"/>
      <c r="AA912" s="4"/>
    </row>
    <row r="913">
      <c r="A913" s="48"/>
      <c r="B913" s="48"/>
      <c r="C913" s="4"/>
      <c r="D913" s="4"/>
      <c r="E913" s="4"/>
      <c r="F913" s="48"/>
      <c r="G913" s="48"/>
      <c r="H913" s="48"/>
      <c r="I913" s="48"/>
      <c r="J913" s="48"/>
      <c r="K913" s="48"/>
      <c r="L913" s="48"/>
      <c r="M913" s="48"/>
      <c r="N913" s="48"/>
      <c r="O913" s="48"/>
      <c r="P913" s="4"/>
      <c r="Q913" s="4"/>
      <c r="R913" s="4"/>
      <c r="S913" s="4"/>
      <c r="T913" s="4"/>
      <c r="U913" s="4"/>
      <c r="V913" s="4"/>
      <c r="W913" s="4"/>
      <c r="X913" s="4"/>
      <c r="Y913" s="4"/>
      <c r="Z913" s="4"/>
      <c r="AA913" s="4"/>
    </row>
    <row r="914">
      <c r="A914" s="48"/>
      <c r="B914" s="48"/>
      <c r="C914" s="4"/>
      <c r="D914" s="4"/>
      <c r="E914" s="4"/>
      <c r="F914" s="48"/>
      <c r="G914" s="48"/>
      <c r="H914" s="48"/>
      <c r="I914" s="48"/>
      <c r="J914" s="48"/>
      <c r="K914" s="48"/>
      <c r="L914" s="48"/>
      <c r="M914" s="48"/>
      <c r="N914" s="48"/>
      <c r="O914" s="48"/>
      <c r="P914" s="4"/>
      <c r="Q914" s="4"/>
      <c r="R914" s="4"/>
      <c r="S914" s="4"/>
      <c r="T914" s="4"/>
      <c r="U914" s="4"/>
      <c r="V914" s="4"/>
      <c r="W914" s="4"/>
      <c r="X914" s="4"/>
      <c r="Y914" s="4"/>
      <c r="Z914" s="4"/>
      <c r="AA914" s="4"/>
    </row>
    <row r="915">
      <c r="A915" s="48"/>
      <c r="B915" s="48"/>
      <c r="C915" s="4"/>
      <c r="D915" s="4"/>
      <c r="E915" s="4"/>
      <c r="F915" s="48"/>
      <c r="G915" s="48"/>
      <c r="H915" s="48"/>
      <c r="I915" s="48"/>
      <c r="J915" s="48"/>
      <c r="K915" s="48"/>
      <c r="L915" s="48"/>
      <c r="M915" s="48"/>
      <c r="N915" s="48"/>
      <c r="O915" s="48"/>
      <c r="P915" s="4"/>
      <c r="Q915" s="4"/>
      <c r="R915" s="4"/>
      <c r="S915" s="4"/>
      <c r="T915" s="4"/>
      <c r="U915" s="4"/>
      <c r="V915" s="4"/>
      <c r="W915" s="4"/>
      <c r="X915" s="4"/>
      <c r="Y915" s="4"/>
      <c r="Z915" s="4"/>
      <c r="AA915" s="4"/>
    </row>
    <row r="916">
      <c r="A916" s="48"/>
      <c r="B916" s="48"/>
      <c r="C916" s="4"/>
      <c r="D916" s="4"/>
      <c r="E916" s="4"/>
      <c r="F916" s="48"/>
      <c r="G916" s="48"/>
      <c r="H916" s="48"/>
      <c r="I916" s="48"/>
      <c r="J916" s="48"/>
      <c r="K916" s="48"/>
      <c r="L916" s="48"/>
      <c r="M916" s="48"/>
      <c r="N916" s="48"/>
      <c r="O916" s="48"/>
      <c r="P916" s="4"/>
      <c r="Q916" s="4"/>
      <c r="R916" s="4"/>
      <c r="S916" s="4"/>
      <c r="T916" s="4"/>
      <c r="U916" s="4"/>
      <c r="V916" s="4"/>
      <c r="W916" s="4"/>
      <c r="X916" s="4"/>
      <c r="Y916" s="4"/>
      <c r="Z916" s="4"/>
      <c r="AA916" s="4"/>
    </row>
    <row r="917">
      <c r="A917" s="48"/>
      <c r="B917" s="48"/>
      <c r="C917" s="4"/>
      <c r="D917" s="4"/>
      <c r="E917" s="4"/>
      <c r="F917" s="48"/>
      <c r="G917" s="48"/>
      <c r="H917" s="48"/>
      <c r="I917" s="48"/>
      <c r="J917" s="48"/>
      <c r="K917" s="48"/>
      <c r="L917" s="48"/>
      <c r="M917" s="48"/>
      <c r="N917" s="48"/>
      <c r="O917" s="48"/>
      <c r="P917" s="4"/>
      <c r="Q917" s="4"/>
      <c r="R917" s="4"/>
      <c r="S917" s="4"/>
      <c r="T917" s="4"/>
      <c r="U917" s="4"/>
      <c r="V917" s="4"/>
      <c r="W917" s="4"/>
      <c r="X917" s="4"/>
      <c r="Y917" s="4"/>
      <c r="Z917" s="4"/>
      <c r="AA917" s="4"/>
    </row>
    <row r="918">
      <c r="A918" s="48"/>
      <c r="B918" s="48"/>
      <c r="C918" s="4"/>
      <c r="D918" s="4"/>
      <c r="E918" s="4"/>
      <c r="F918" s="48"/>
      <c r="G918" s="48"/>
      <c r="H918" s="48"/>
      <c r="I918" s="48"/>
      <c r="J918" s="48"/>
      <c r="K918" s="48"/>
      <c r="L918" s="48"/>
      <c r="M918" s="48"/>
      <c r="N918" s="48"/>
      <c r="O918" s="48"/>
      <c r="P918" s="4"/>
      <c r="Q918" s="4"/>
      <c r="R918" s="4"/>
      <c r="S918" s="4"/>
      <c r="T918" s="4"/>
      <c r="U918" s="4"/>
      <c r="V918" s="4"/>
      <c r="W918" s="4"/>
      <c r="X918" s="4"/>
      <c r="Y918" s="4"/>
      <c r="Z918" s="4"/>
      <c r="AA918" s="4"/>
    </row>
    <row r="919">
      <c r="A919" s="48"/>
      <c r="B919" s="48"/>
      <c r="C919" s="4"/>
      <c r="D919" s="4"/>
      <c r="E919" s="4"/>
      <c r="F919" s="48"/>
      <c r="G919" s="48"/>
      <c r="H919" s="48"/>
      <c r="I919" s="48"/>
      <c r="J919" s="48"/>
      <c r="K919" s="48"/>
      <c r="L919" s="48"/>
      <c r="M919" s="48"/>
      <c r="N919" s="48"/>
      <c r="O919" s="48"/>
      <c r="P919" s="4"/>
      <c r="Q919" s="4"/>
      <c r="R919" s="4"/>
      <c r="S919" s="4"/>
      <c r="T919" s="4"/>
      <c r="U919" s="4"/>
      <c r="V919" s="4"/>
      <c r="W919" s="4"/>
      <c r="X919" s="4"/>
      <c r="Y919" s="4"/>
      <c r="Z919" s="4"/>
      <c r="AA919" s="4"/>
    </row>
    <row r="920">
      <c r="A920" s="48"/>
      <c r="B920" s="48"/>
      <c r="C920" s="4"/>
      <c r="D920" s="4"/>
      <c r="E920" s="4"/>
      <c r="F920" s="48"/>
      <c r="G920" s="48"/>
      <c r="H920" s="48"/>
      <c r="I920" s="48"/>
      <c r="J920" s="48"/>
      <c r="K920" s="48"/>
      <c r="L920" s="48"/>
      <c r="M920" s="48"/>
      <c r="N920" s="48"/>
      <c r="O920" s="48"/>
      <c r="P920" s="4"/>
      <c r="Q920" s="4"/>
      <c r="R920" s="4"/>
      <c r="S920" s="4"/>
      <c r="T920" s="4"/>
      <c r="U920" s="4"/>
      <c r="V920" s="4"/>
      <c r="W920" s="4"/>
      <c r="X920" s="4"/>
      <c r="Y920" s="4"/>
      <c r="Z920" s="4"/>
      <c r="AA920" s="4"/>
    </row>
    <row r="921">
      <c r="A921" s="48"/>
      <c r="B921" s="48"/>
      <c r="C921" s="4"/>
      <c r="D921" s="4"/>
      <c r="E921" s="4"/>
      <c r="F921" s="48"/>
      <c r="G921" s="48"/>
      <c r="H921" s="48"/>
      <c r="I921" s="48"/>
      <c r="J921" s="48"/>
      <c r="K921" s="48"/>
      <c r="L921" s="48"/>
      <c r="M921" s="48"/>
      <c r="N921" s="48"/>
      <c r="O921" s="48"/>
      <c r="P921" s="4"/>
      <c r="Q921" s="4"/>
      <c r="R921" s="4"/>
      <c r="S921" s="4"/>
      <c r="T921" s="4"/>
      <c r="U921" s="4"/>
      <c r="V921" s="4"/>
      <c r="W921" s="4"/>
      <c r="X921" s="4"/>
      <c r="Y921" s="4"/>
      <c r="Z921" s="4"/>
      <c r="AA921" s="4"/>
    </row>
    <row r="922">
      <c r="A922" s="48"/>
      <c r="B922" s="48"/>
      <c r="C922" s="4"/>
      <c r="D922" s="4"/>
      <c r="E922" s="4"/>
      <c r="F922" s="48"/>
      <c r="G922" s="48"/>
      <c r="H922" s="48"/>
      <c r="I922" s="48"/>
      <c r="J922" s="48"/>
      <c r="K922" s="48"/>
      <c r="L922" s="48"/>
      <c r="M922" s="48"/>
      <c r="N922" s="48"/>
      <c r="O922" s="48"/>
      <c r="P922" s="4"/>
      <c r="Q922" s="4"/>
      <c r="R922" s="4"/>
      <c r="S922" s="4"/>
      <c r="T922" s="4"/>
      <c r="U922" s="4"/>
      <c r="V922" s="4"/>
      <c r="W922" s="4"/>
      <c r="X922" s="4"/>
      <c r="Y922" s="4"/>
      <c r="Z922" s="4"/>
      <c r="AA922" s="4"/>
    </row>
    <row r="923">
      <c r="A923" s="48"/>
      <c r="B923" s="48"/>
      <c r="C923" s="4"/>
      <c r="D923" s="4"/>
      <c r="E923" s="4"/>
      <c r="F923" s="48"/>
      <c r="G923" s="48"/>
      <c r="H923" s="48"/>
      <c r="I923" s="48"/>
      <c r="J923" s="48"/>
      <c r="K923" s="48"/>
      <c r="L923" s="48"/>
      <c r="M923" s="48"/>
      <c r="N923" s="48"/>
      <c r="O923" s="48"/>
      <c r="P923" s="4"/>
      <c r="Q923" s="4"/>
      <c r="R923" s="4"/>
      <c r="S923" s="4"/>
      <c r="T923" s="4"/>
      <c r="U923" s="4"/>
      <c r="V923" s="4"/>
      <c r="W923" s="4"/>
      <c r="X923" s="4"/>
      <c r="Y923" s="4"/>
      <c r="Z923" s="4"/>
      <c r="AA923" s="4"/>
    </row>
    <row r="924">
      <c r="A924" s="48"/>
      <c r="B924" s="48"/>
      <c r="C924" s="4"/>
      <c r="D924" s="4"/>
      <c r="E924" s="4"/>
      <c r="F924" s="48"/>
      <c r="G924" s="48"/>
      <c r="H924" s="48"/>
      <c r="I924" s="48"/>
      <c r="J924" s="48"/>
      <c r="K924" s="48"/>
      <c r="L924" s="48"/>
      <c r="M924" s="48"/>
      <c r="N924" s="48"/>
      <c r="O924" s="48"/>
      <c r="P924" s="4"/>
      <c r="Q924" s="4"/>
      <c r="R924" s="4"/>
      <c r="S924" s="4"/>
      <c r="T924" s="4"/>
      <c r="U924" s="4"/>
      <c r="V924" s="4"/>
      <c r="W924" s="4"/>
      <c r="X924" s="4"/>
      <c r="Y924" s="4"/>
      <c r="Z924" s="4"/>
      <c r="AA924" s="4"/>
    </row>
    <row r="925">
      <c r="A925" s="48"/>
      <c r="B925" s="48"/>
      <c r="C925" s="4"/>
      <c r="D925" s="4"/>
      <c r="E925" s="4"/>
      <c r="F925" s="48"/>
      <c r="G925" s="48"/>
      <c r="H925" s="48"/>
      <c r="I925" s="48"/>
      <c r="J925" s="48"/>
      <c r="K925" s="48"/>
      <c r="L925" s="48"/>
      <c r="M925" s="48"/>
      <c r="N925" s="48"/>
      <c r="O925" s="48"/>
      <c r="P925" s="4"/>
      <c r="Q925" s="4"/>
      <c r="R925" s="4"/>
      <c r="S925" s="4"/>
      <c r="T925" s="4"/>
      <c r="U925" s="4"/>
      <c r="V925" s="4"/>
      <c r="W925" s="4"/>
      <c r="X925" s="4"/>
      <c r="Y925" s="4"/>
      <c r="Z925" s="4"/>
      <c r="AA925" s="4"/>
    </row>
    <row r="926">
      <c r="A926" s="48"/>
      <c r="B926" s="48"/>
      <c r="C926" s="4"/>
      <c r="D926" s="4"/>
      <c r="E926" s="4"/>
      <c r="F926" s="48"/>
      <c r="G926" s="48"/>
      <c r="H926" s="48"/>
      <c r="I926" s="48"/>
      <c r="J926" s="48"/>
      <c r="K926" s="48"/>
      <c r="L926" s="48"/>
      <c r="M926" s="48"/>
      <c r="N926" s="48"/>
      <c r="O926" s="48"/>
      <c r="P926" s="4"/>
      <c r="Q926" s="4"/>
      <c r="R926" s="4"/>
      <c r="S926" s="4"/>
      <c r="T926" s="4"/>
      <c r="U926" s="4"/>
      <c r="V926" s="4"/>
      <c r="W926" s="4"/>
      <c r="X926" s="4"/>
      <c r="Y926" s="4"/>
      <c r="Z926" s="4"/>
      <c r="AA926" s="4"/>
    </row>
    <row r="927">
      <c r="A927" s="48"/>
      <c r="B927" s="48"/>
      <c r="C927" s="4"/>
      <c r="D927" s="4"/>
      <c r="E927" s="4"/>
      <c r="F927" s="48"/>
      <c r="G927" s="48"/>
      <c r="H927" s="48"/>
      <c r="I927" s="48"/>
      <c r="J927" s="48"/>
      <c r="K927" s="48"/>
      <c r="L927" s="48"/>
      <c r="M927" s="48"/>
      <c r="N927" s="48"/>
      <c r="O927" s="48"/>
      <c r="P927" s="4"/>
      <c r="Q927" s="4"/>
      <c r="R927" s="4"/>
      <c r="S927" s="4"/>
      <c r="T927" s="4"/>
      <c r="U927" s="4"/>
      <c r="V927" s="4"/>
      <c r="W927" s="4"/>
      <c r="X927" s="4"/>
      <c r="Y927" s="4"/>
      <c r="Z927" s="4"/>
      <c r="AA927" s="4"/>
    </row>
    <row r="928">
      <c r="A928" s="48"/>
      <c r="B928" s="48"/>
      <c r="C928" s="4"/>
      <c r="D928" s="4"/>
      <c r="E928" s="4"/>
      <c r="F928" s="48"/>
      <c r="G928" s="48"/>
      <c r="H928" s="48"/>
      <c r="I928" s="48"/>
      <c r="J928" s="48"/>
      <c r="K928" s="48"/>
      <c r="L928" s="48"/>
      <c r="M928" s="48"/>
      <c r="N928" s="48"/>
      <c r="O928" s="48"/>
      <c r="P928" s="4"/>
      <c r="Q928" s="4"/>
      <c r="R928" s="4"/>
      <c r="S928" s="4"/>
      <c r="T928" s="4"/>
      <c r="U928" s="4"/>
      <c r="V928" s="4"/>
      <c r="W928" s="4"/>
      <c r="X928" s="4"/>
      <c r="Y928" s="4"/>
      <c r="Z928" s="4"/>
      <c r="AA928" s="4"/>
    </row>
    <row r="929">
      <c r="A929" s="48"/>
      <c r="B929" s="48"/>
      <c r="C929" s="4"/>
      <c r="D929" s="4"/>
      <c r="E929" s="4"/>
      <c r="F929" s="48"/>
      <c r="G929" s="48"/>
      <c r="H929" s="48"/>
      <c r="I929" s="48"/>
      <c r="J929" s="48"/>
      <c r="K929" s="48"/>
      <c r="L929" s="48"/>
      <c r="M929" s="48"/>
      <c r="N929" s="48"/>
      <c r="O929" s="48"/>
      <c r="P929" s="4"/>
      <c r="Q929" s="4"/>
      <c r="R929" s="4"/>
      <c r="S929" s="4"/>
      <c r="T929" s="4"/>
      <c r="U929" s="4"/>
      <c r="V929" s="4"/>
      <c r="W929" s="4"/>
      <c r="X929" s="4"/>
      <c r="Y929" s="4"/>
      <c r="Z929" s="4"/>
      <c r="AA929" s="4"/>
    </row>
    <row r="930">
      <c r="A930" s="48"/>
      <c r="B930" s="48"/>
      <c r="C930" s="4"/>
      <c r="D930" s="4"/>
      <c r="E930" s="4"/>
      <c r="F930" s="48"/>
      <c r="G930" s="48"/>
      <c r="H930" s="48"/>
      <c r="I930" s="48"/>
      <c r="J930" s="48"/>
      <c r="K930" s="48"/>
      <c r="L930" s="48"/>
      <c r="M930" s="48"/>
      <c r="N930" s="48"/>
      <c r="O930" s="48"/>
      <c r="P930" s="4"/>
      <c r="Q930" s="4"/>
      <c r="R930" s="4"/>
      <c r="S930" s="4"/>
      <c r="T930" s="4"/>
      <c r="U930" s="4"/>
      <c r="V930" s="4"/>
      <c r="W930" s="4"/>
      <c r="X930" s="4"/>
      <c r="Y930" s="4"/>
      <c r="Z930" s="4"/>
      <c r="AA930" s="4"/>
    </row>
    <row r="931">
      <c r="A931" s="48"/>
      <c r="B931" s="48"/>
      <c r="C931" s="4"/>
      <c r="D931" s="4"/>
      <c r="E931" s="4"/>
      <c r="F931" s="48"/>
      <c r="G931" s="48"/>
      <c r="H931" s="48"/>
      <c r="I931" s="48"/>
      <c r="J931" s="48"/>
      <c r="K931" s="48"/>
      <c r="L931" s="48"/>
      <c r="M931" s="48"/>
      <c r="N931" s="48"/>
      <c r="O931" s="48"/>
      <c r="P931" s="4"/>
      <c r="Q931" s="4"/>
      <c r="R931" s="4"/>
      <c r="S931" s="4"/>
      <c r="T931" s="4"/>
      <c r="U931" s="4"/>
      <c r="V931" s="4"/>
      <c r="W931" s="4"/>
      <c r="X931" s="4"/>
      <c r="Y931" s="4"/>
      <c r="Z931" s="4"/>
      <c r="AA931" s="4"/>
    </row>
    <row r="932">
      <c r="A932" s="48"/>
      <c r="B932" s="48"/>
      <c r="C932" s="4"/>
      <c r="D932" s="4"/>
      <c r="E932" s="4"/>
      <c r="F932" s="48"/>
      <c r="G932" s="48"/>
      <c r="H932" s="48"/>
      <c r="I932" s="48"/>
      <c r="J932" s="48"/>
      <c r="K932" s="48"/>
      <c r="L932" s="48"/>
      <c r="M932" s="48"/>
      <c r="N932" s="48"/>
      <c r="O932" s="48"/>
      <c r="P932" s="4"/>
      <c r="Q932" s="4"/>
      <c r="R932" s="4"/>
      <c r="S932" s="4"/>
      <c r="T932" s="4"/>
      <c r="U932" s="4"/>
      <c r="V932" s="4"/>
      <c r="W932" s="4"/>
      <c r="X932" s="4"/>
      <c r="Y932" s="4"/>
      <c r="Z932" s="4"/>
      <c r="AA932" s="4"/>
    </row>
    <row r="933">
      <c r="A933" s="48"/>
      <c r="B933" s="48"/>
      <c r="C933" s="4"/>
      <c r="D933" s="4"/>
      <c r="E933" s="4"/>
      <c r="F933" s="48"/>
      <c r="G933" s="48"/>
      <c r="H933" s="48"/>
      <c r="I933" s="48"/>
      <c r="J933" s="48"/>
      <c r="K933" s="48"/>
      <c r="L933" s="48"/>
      <c r="M933" s="48"/>
      <c r="N933" s="48"/>
      <c r="O933" s="48"/>
      <c r="P933" s="4"/>
      <c r="Q933" s="4"/>
      <c r="R933" s="4"/>
      <c r="S933" s="4"/>
      <c r="T933" s="4"/>
      <c r="U933" s="4"/>
      <c r="V933" s="4"/>
      <c r="W933" s="4"/>
      <c r="X933" s="4"/>
      <c r="Y933" s="4"/>
      <c r="Z933" s="4"/>
      <c r="AA933" s="4"/>
    </row>
    <row r="934">
      <c r="A934" s="48"/>
      <c r="B934" s="48"/>
      <c r="C934" s="4"/>
      <c r="D934" s="4"/>
      <c r="E934" s="4"/>
      <c r="F934" s="48"/>
      <c r="G934" s="48"/>
      <c r="H934" s="48"/>
      <c r="I934" s="48"/>
      <c r="J934" s="48"/>
      <c r="K934" s="48"/>
      <c r="L934" s="48"/>
      <c r="M934" s="48"/>
      <c r="N934" s="48"/>
      <c r="O934" s="48"/>
      <c r="P934" s="4"/>
      <c r="Q934" s="4"/>
      <c r="R934" s="4"/>
      <c r="S934" s="4"/>
      <c r="T934" s="4"/>
      <c r="U934" s="4"/>
      <c r="V934" s="4"/>
      <c r="W934" s="4"/>
      <c r="X934" s="4"/>
      <c r="Y934" s="4"/>
      <c r="Z934" s="4"/>
      <c r="AA934" s="4"/>
    </row>
    <row r="935">
      <c r="A935" s="48"/>
      <c r="B935" s="48"/>
      <c r="C935" s="4"/>
      <c r="D935" s="4"/>
      <c r="E935" s="4"/>
      <c r="F935" s="48"/>
      <c r="G935" s="48"/>
      <c r="H935" s="48"/>
      <c r="I935" s="48"/>
      <c r="J935" s="48"/>
      <c r="K935" s="48"/>
      <c r="L935" s="48"/>
      <c r="M935" s="48"/>
      <c r="N935" s="48"/>
      <c r="O935" s="48"/>
      <c r="P935" s="4"/>
      <c r="Q935" s="4"/>
      <c r="R935" s="4"/>
      <c r="S935" s="4"/>
      <c r="T935" s="4"/>
      <c r="U935" s="4"/>
      <c r="V935" s="4"/>
      <c r="W935" s="4"/>
      <c r="X935" s="4"/>
      <c r="Y935" s="4"/>
      <c r="Z935" s="4"/>
      <c r="AA935" s="4"/>
    </row>
    <row r="936">
      <c r="A936" s="48"/>
      <c r="B936" s="48"/>
      <c r="C936" s="4"/>
      <c r="D936" s="4"/>
      <c r="E936" s="4"/>
      <c r="F936" s="48"/>
      <c r="G936" s="48"/>
      <c r="H936" s="48"/>
      <c r="I936" s="48"/>
      <c r="J936" s="48"/>
      <c r="K936" s="48"/>
      <c r="L936" s="48"/>
      <c r="M936" s="48"/>
      <c r="N936" s="48"/>
      <c r="O936" s="48"/>
      <c r="P936" s="4"/>
      <c r="Q936" s="4"/>
      <c r="R936" s="4"/>
      <c r="S936" s="4"/>
      <c r="T936" s="4"/>
      <c r="U936" s="4"/>
      <c r="V936" s="4"/>
      <c r="W936" s="4"/>
      <c r="X936" s="4"/>
      <c r="Y936" s="4"/>
      <c r="Z936" s="4"/>
      <c r="AA936" s="4"/>
    </row>
    <row r="937">
      <c r="A937" s="48"/>
      <c r="B937" s="48"/>
      <c r="C937" s="4"/>
      <c r="D937" s="4"/>
      <c r="E937" s="4"/>
      <c r="F937" s="48"/>
      <c r="G937" s="48"/>
      <c r="H937" s="48"/>
      <c r="I937" s="48"/>
      <c r="J937" s="48"/>
      <c r="K937" s="48"/>
      <c r="L937" s="48"/>
      <c r="M937" s="48"/>
      <c r="N937" s="48"/>
      <c r="O937" s="48"/>
      <c r="P937" s="4"/>
      <c r="Q937" s="4"/>
      <c r="R937" s="4"/>
      <c r="S937" s="4"/>
      <c r="T937" s="4"/>
      <c r="U937" s="4"/>
      <c r="V937" s="4"/>
      <c r="W937" s="4"/>
      <c r="X937" s="4"/>
      <c r="Y937" s="4"/>
      <c r="Z937" s="4"/>
      <c r="AA937" s="4"/>
    </row>
    <row r="938">
      <c r="A938" s="48"/>
      <c r="B938" s="48"/>
      <c r="C938" s="4"/>
      <c r="D938" s="4"/>
      <c r="E938" s="4"/>
      <c r="F938" s="48"/>
      <c r="G938" s="48"/>
      <c r="H938" s="48"/>
      <c r="I938" s="48"/>
      <c r="J938" s="48"/>
      <c r="K938" s="48"/>
      <c r="L938" s="48"/>
      <c r="M938" s="48"/>
      <c r="N938" s="48"/>
      <c r="O938" s="48"/>
      <c r="P938" s="4"/>
      <c r="Q938" s="4"/>
      <c r="R938" s="4"/>
      <c r="S938" s="4"/>
      <c r="T938" s="4"/>
      <c r="U938" s="4"/>
      <c r="V938" s="4"/>
      <c r="W938" s="4"/>
      <c r="X938" s="4"/>
      <c r="Y938" s="4"/>
      <c r="Z938" s="4"/>
      <c r="AA938" s="4"/>
    </row>
    <row r="939">
      <c r="A939" s="48"/>
      <c r="B939" s="48"/>
      <c r="C939" s="4"/>
      <c r="D939" s="4"/>
      <c r="E939" s="4"/>
      <c r="F939" s="48"/>
      <c r="G939" s="48"/>
      <c r="H939" s="48"/>
      <c r="I939" s="48"/>
      <c r="J939" s="48"/>
      <c r="K939" s="48"/>
      <c r="L939" s="48"/>
      <c r="M939" s="48"/>
      <c r="N939" s="48"/>
      <c r="O939" s="48"/>
      <c r="P939" s="4"/>
      <c r="Q939" s="4"/>
      <c r="R939" s="4"/>
      <c r="S939" s="4"/>
      <c r="T939" s="4"/>
      <c r="U939" s="4"/>
      <c r="V939" s="4"/>
      <c r="W939" s="4"/>
      <c r="X939" s="4"/>
      <c r="Y939" s="4"/>
      <c r="Z939" s="4"/>
      <c r="AA939" s="4"/>
    </row>
    <row r="940">
      <c r="A940" s="48"/>
      <c r="B940" s="48"/>
      <c r="C940" s="4"/>
      <c r="D940" s="4"/>
      <c r="E940" s="4"/>
      <c r="F940" s="48"/>
      <c r="G940" s="48"/>
      <c r="H940" s="48"/>
      <c r="I940" s="48"/>
      <c r="J940" s="48"/>
      <c r="K940" s="48"/>
      <c r="L940" s="48"/>
      <c r="M940" s="48"/>
      <c r="N940" s="48"/>
      <c r="O940" s="48"/>
      <c r="P940" s="4"/>
      <c r="Q940" s="4"/>
      <c r="R940" s="4"/>
      <c r="S940" s="4"/>
      <c r="T940" s="4"/>
      <c r="U940" s="4"/>
      <c r="V940" s="4"/>
      <c r="W940" s="4"/>
      <c r="X940" s="4"/>
      <c r="Y940" s="4"/>
      <c r="Z940" s="4"/>
      <c r="AA940" s="4"/>
    </row>
    <row r="941">
      <c r="A941" s="48"/>
      <c r="B941" s="48"/>
      <c r="C941" s="4"/>
      <c r="D941" s="4"/>
      <c r="E941" s="4"/>
      <c r="F941" s="48"/>
      <c r="G941" s="48"/>
      <c r="H941" s="48"/>
      <c r="I941" s="48"/>
      <c r="J941" s="48"/>
      <c r="K941" s="48"/>
      <c r="L941" s="48"/>
      <c r="M941" s="48"/>
      <c r="N941" s="48"/>
      <c r="O941" s="48"/>
      <c r="P941" s="4"/>
      <c r="Q941" s="4"/>
      <c r="R941" s="4"/>
      <c r="S941" s="4"/>
      <c r="T941" s="4"/>
      <c r="U941" s="4"/>
      <c r="V941" s="4"/>
      <c r="W941" s="4"/>
      <c r="X941" s="4"/>
      <c r="Y941" s="4"/>
      <c r="Z941" s="4"/>
      <c r="AA941" s="4"/>
    </row>
    <row r="942">
      <c r="A942" s="48"/>
      <c r="B942" s="48"/>
      <c r="C942" s="4"/>
      <c r="D942" s="4"/>
      <c r="E942" s="4"/>
      <c r="F942" s="48"/>
      <c r="G942" s="48"/>
      <c r="H942" s="48"/>
      <c r="I942" s="48"/>
      <c r="J942" s="48"/>
      <c r="K942" s="48"/>
      <c r="L942" s="48"/>
      <c r="M942" s="48"/>
      <c r="N942" s="48"/>
      <c r="O942" s="48"/>
      <c r="P942" s="4"/>
      <c r="Q942" s="4"/>
      <c r="R942" s="4"/>
      <c r="S942" s="4"/>
      <c r="T942" s="4"/>
      <c r="U942" s="4"/>
      <c r="V942" s="4"/>
      <c r="W942" s="4"/>
      <c r="X942" s="4"/>
      <c r="Y942" s="4"/>
      <c r="Z942" s="4"/>
      <c r="AA942" s="4"/>
    </row>
    <row r="943">
      <c r="A943" s="48"/>
      <c r="B943" s="48"/>
      <c r="C943" s="4"/>
      <c r="D943" s="4"/>
      <c r="E943" s="4"/>
      <c r="F943" s="48"/>
      <c r="G943" s="48"/>
      <c r="H943" s="48"/>
      <c r="I943" s="48"/>
      <c r="J943" s="48"/>
      <c r="K943" s="48"/>
      <c r="L943" s="48"/>
      <c r="M943" s="48"/>
      <c r="N943" s="48"/>
      <c r="O943" s="48"/>
      <c r="P943" s="4"/>
      <c r="Q943" s="4"/>
      <c r="R943" s="4"/>
      <c r="S943" s="4"/>
      <c r="T943" s="4"/>
      <c r="U943" s="4"/>
      <c r="V943" s="4"/>
      <c r="W943" s="4"/>
      <c r="X943" s="4"/>
      <c r="Y943" s="4"/>
      <c r="Z943" s="4"/>
      <c r="AA943" s="4"/>
    </row>
    <row r="944">
      <c r="A944" s="48"/>
      <c r="B944" s="48"/>
      <c r="C944" s="4"/>
      <c r="D944" s="4"/>
      <c r="E944" s="4"/>
      <c r="F944" s="48"/>
      <c r="G944" s="48"/>
      <c r="H944" s="48"/>
      <c r="I944" s="48"/>
      <c r="J944" s="48"/>
      <c r="K944" s="48"/>
      <c r="L944" s="48"/>
      <c r="M944" s="48"/>
      <c r="N944" s="48"/>
      <c r="O944" s="48"/>
      <c r="P944" s="4"/>
      <c r="Q944" s="4"/>
      <c r="R944" s="4"/>
      <c r="S944" s="4"/>
      <c r="T944" s="4"/>
      <c r="U944" s="4"/>
      <c r="V944" s="4"/>
      <c r="W944" s="4"/>
      <c r="X944" s="4"/>
      <c r="Y944" s="4"/>
      <c r="Z944" s="4"/>
      <c r="AA944" s="4"/>
    </row>
    <row r="945">
      <c r="A945" s="48"/>
      <c r="B945" s="48"/>
      <c r="C945" s="4"/>
      <c r="D945" s="4"/>
      <c r="E945" s="4"/>
      <c r="F945" s="48"/>
      <c r="G945" s="48"/>
      <c r="H945" s="48"/>
      <c r="I945" s="48"/>
      <c r="J945" s="48"/>
      <c r="K945" s="48"/>
      <c r="L945" s="48"/>
      <c r="M945" s="48"/>
      <c r="N945" s="48"/>
      <c r="O945" s="48"/>
      <c r="P945" s="4"/>
      <c r="Q945" s="4"/>
      <c r="R945" s="4"/>
      <c r="S945" s="4"/>
      <c r="T945" s="4"/>
      <c r="U945" s="4"/>
      <c r="V945" s="4"/>
      <c r="W945" s="4"/>
      <c r="X945" s="4"/>
      <c r="Y945" s="4"/>
      <c r="Z945" s="4"/>
      <c r="AA945" s="4"/>
    </row>
    <row r="946">
      <c r="A946" s="48"/>
      <c r="B946" s="48"/>
      <c r="C946" s="4"/>
      <c r="D946" s="4"/>
      <c r="E946" s="4"/>
      <c r="F946" s="48"/>
      <c r="G946" s="48"/>
      <c r="H946" s="48"/>
      <c r="I946" s="48"/>
      <c r="J946" s="48"/>
      <c r="K946" s="48"/>
      <c r="L946" s="48"/>
      <c r="M946" s="48"/>
      <c r="N946" s="48"/>
      <c r="O946" s="48"/>
      <c r="P946" s="4"/>
      <c r="Q946" s="4"/>
      <c r="R946" s="4"/>
      <c r="S946" s="4"/>
      <c r="T946" s="4"/>
      <c r="U946" s="4"/>
      <c r="V946" s="4"/>
      <c r="W946" s="4"/>
      <c r="X946" s="4"/>
      <c r="Y946" s="4"/>
      <c r="Z946" s="4"/>
      <c r="AA946" s="4"/>
    </row>
    <row r="947">
      <c r="A947" s="48"/>
      <c r="B947" s="48"/>
      <c r="C947" s="4"/>
      <c r="D947" s="4"/>
      <c r="E947" s="4"/>
      <c r="F947" s="48"/>
      <c r="G947" s="48"/>
      <c r="H947" s="48"/>
      <c r="I947" s="48"/>
      <c r="J947" s="48"/>
      <c r="K947" s="48"/>
      <c r="L947" s="48"/>
      <c r="M947" s="48"/>
      <c r="N947" s="48"/>
      <c r="O947" s="48"/>
      <c r="P947" s="4"/>
      <c r="Q947" s="4"/>
      <c r="R947" s="4"/>
      <c r="S947" s="4"/>
      <c r="T947" s="4"/>
      <c r="U947" s="4"/>
      <c r="V947" s="4"/>
      <c r="W947" s="4"/>
      <c r="X947" s="4"/>
      <c r="Y947" s="4"/>
      <c r="Z947" s="4"/>
      <c r="AA947" s="4"/>
    </row>
    <row r="948">
      <c r="A948" s="48"/>
      <c r="B948" s="48"/>
      <c r="C948" s="4"/>
      <c r="D948" s="4"/>
      <c r="E948" s="4"/>
      <c r="F948" s="48"/>
      <c r="G948" s="48"/>
      <c r="H948" s="48"/>
      <c r="I948" s="48"/>
      <c r="J948" s="48"/>
      <c r="K948" s="48"/>
      <c r="L948" s="48"/>
      <c r="M948" s="48"/>
      <c r="N948" s="48"/>
      <c r="O948" s="48"/>
      <c r="P948" s="4"/>
      <c r="Q948" s="4"/>
      <c r="R948" s="4"/>
      <c r="S948" s="4"/>
      <c r="T948" s="4"/>
      <c r="U948" s="4"/>
      <c r="V948" s="4"/>
      <c r="W948" s="4"/>
      <c r="X948" s="4"/>
      <c r="Y948" s="4"/>
      <c r="Z948" s="4"/>
      <c r="AA948" s="4"/>
    </row>
    <row r="949">
      <c r="A949" s="48"/>
      <c r="B949" s="48"/>
      <c r="C949" s="4"/>
      <c r="D949" s="4"/>
      <c r="E949" s="4"/>
      <c r="F949" s="48"/>
      <c r="G949" s="48"/>
      <c r="H949" s="48"/>
      <c r="I949" s="48"/>
      <c r="J949" s="48"/>
      <c r="K949" s="48"/>
      <c r="L949" s="48"/>
      <c r="M949" s="48"/>
      <c r="N949" s="48"/>
      <c r="O949" s="48"/>
      <c r="P949" s="4"/>
      <c r="Q949" s="4"/>
      <c r="R949" s="4"/>
      <c r="S949" s="4"/>
      <c r="T949" s="4"/>
      <c r="U949" s="4"/>
      <c r="V949" s="4"/>
      <c r="W949" s="4"/>
      <c r="X949" s="4"/>
      <c r="Y949" s="4"/>
      <c r="Z949" s="4"/>
      <c r="AA949" s="4"/>
    </row>
    <row r="950">
      <c r="A950" s="48"/>
      <c r="B950" s="48"/>
      <c r="C950" s="4"/>
      <c r="D950" s="4"/>
      <c r="E950" s="4"/>
      <c r="F950" s="48"/>
      <c r="G950" s="48"/>
      <c r="H950" s="48"/>
      <c r="I950" s="48"/>
      <c r="J950" s="48"/>
      <c r="K950" s="48"/>
      <c r="L950" s="48"/>
      <c r="M950" s="48"/>
      <c r="N950" s="48"/>
      <c r="O950" s="48"/>
      <c r="P950" s="4"/>
      <c r="Q950" s="4"/>
      <c r="R950" s="4"/>
      <c r="S950" s="4"/>
      <c r="T950" s="4"/>
      <c r="U950" s="4"/>
      <c r="V950" s="4"/>
      <c r="W950" s="4"/>
      <c r="X950" s="4"/>
      <c r="Y950" s="4"/>
      <c r="Z950" s="4"/>
      <c r="AA950" s="4"/>
    </row>
    <row r="951">
      <c r="A951" s="48"/>
      <c r="B951" s="48"/>
      <c r="C951" s="4"/>
      <c r="D951" s="4"/>
      <c r="E951" s="4"/>
      <c r="F951" s="48"/>
      <c r="G951" s="48"/>
      <c r="H951" s="48"/>
      <c r="I951" s="48"/>
      <c r="J951" s="48"/>
      <c r="K951" s="48"/>
      <c r="L951" s="48"/>
      <c r="M951" s="48"/>
      <c r="N951" s="48"/>
      <c r="O951" s="48"/>
      <c r="P951" s="4"/>
      <c r="Q951" s="4"/>
      <c r="R951" s="4"/>
      <c r="S951" s="4"/>
      <c r="T951" s="4"/>
      <c r="U951" s="4"/>
      <c r="V951" s="4"/>
      <c r="W951" s="4"/>
      <c r="X951" s="4"/>
      <c r="Y951" s="4"/>
      <c r="Z951" s="4"/>
      <c r="AA951" s="4"/>
    </row>
    <row r="952">
      <c r="A952" s="48"/>
      <c r="B952" s="48"/>
      <c r="C952" s="4"/>
      <c r="D952" s="4"/>
      <c r="E952" s="4"/>
      <c r="F952" s="48"/>
      <c r="G952" s="48"/>
      <c r="H952" s="48"/>
      <c r="I952" s="48"/>
      <c r="J952" s="48"/>
      <c r="K952" s="48"/>
      <c r="L952" s="48"/>
      <c r="M952" s="48"/>
      <c r="N952" s="48"/>
      <c r="O952" s="48"/>
      <c r="P952" s="4"/>
      <c r="Q952" s="4"/>
      <c r="R952" s="4"/>
      <c r="S952" s="4"/>
      <c r="T952" s="4"/>
      <c r="U952" s="4"/>
      <c r="V952" s="4"/>
      <c r="W952" s="4"/>
      <c r="X952" s="4"/>
      <c r="Y952" s="4"/>
      <c r="Z952" s="4"/>
      <c r="AA952" s="4"/>
    </row>
    <row r="953">
      <c r="A953" s="48"/>
      <c r="B953" s="48"/>
      <c r="C953" s="4"/>
      <c r="D953" s="4"/>
      <c r="E953" s="4"/>
      <c r="F953" s="48"/>
      <c r="G953" s="48"/>
      <c r="H953" s="48"/>
      <c r="I953" s="48"/>
      <c r="J953" s="48"/>
      <c r="K953" s="48"/>
      <c r="L953" s="48"/>
      <c r="M953" s="48"/>
      <c r="N953" s="48"/>
      <c r="O953" s="48"/>
      <c r="P953" s="4"/>
      <c r="Q953" s="4"/>
      <c r="R953" s="4"/>
      <c r="S953" s="4"/>
      <c r="T953" s="4"/>
      <c r="U953" s="4"/>
      <c r="V953" s="4"/>
      <c r="W953" s="4"/>
      <c r="X953" s="4"/>
      <c r="Y953" s="4"/>
      <c r="Z953" s="4"/>
      <c r="AA953" s="4"/>
    </row>
    <row r="954">
      <c r="A954" s="48"/>
      <c r="B954" s="48"/>
      <c r="C954" s="4"/>
      <c r="D954" s="4"/>
      <c r="E954" s="4"/>
      <c r="F954" s="48"/>
      <c r="G954" s="48"/>
      <c r="H954" s="48"/>
      <c r="I954" s="48"/>
      <c r="J954" s="48"/>
      <c r="K954" s="48"/>
      <c r="L954" s="48"/>
      <c r="M954" s="48"/>
      <c r="N954" s="48"/>
      <c r="O954" s="48"/>
      <c r="P954" s="4"/>
      <c r="Q954" s="4"/>
      <c r="R954" s="4"/>
      <c r="S954" s="4"/>
      <c r="T954" s="4"/>
      <c r="U954" s="4"/>
      <c r="V954" s="4"/>
      <c r="W954" s="4"/>
      <c r="X954" s="4"/>
      <c r="Y954" s="4"/>
      <c r="Z954" s="4"/>
      <c r="AA954" s="4"/>
    </row>
    <row r="955">
      <c r="A955" s="48"/>
      <c r="B955" s="48"/>
      <c r="C955" s="4"/>
      <c r="D955" s="4"/>
      <c r="E955" s="4"/>
      <c r="F955" s="48"/>
      <c r="G955" s="48"/>
      <c r="H955" s="48"/>
      <c r="I955" s="48"/>
      <c r="J955" s="48"/>
      <c r="K955" s="48"/>
      <c r="L955" s="48"/>
      <c r="M955" s="48"/>
      <c r="N955" s="48"/>
      <c r="O955" s="48"/>
      <c r="P955" s="4"/>
      <c r="Q955" s="4"/>
      <c r="R955" s="4"/>
      <c r="S955" s="4"/>
      <c r="T955" s="4"/>
      <c r="U955" s="4"/>
      <c r="V955" s="4"/>
      <c r="W955" s="4"/>
      <c r="X955" s="4"/>
      <c r="Y955" s="4"/>
      <c r="Z955" s="4"/>
      <c r="AA955" s="4"/>
    </row>
    <row r="956">
      <c r="A956" s="48"/>
      <c r="B956" s="48"/>
      <c r="C956" s="4"/>
      <c r="D956" s="4"/>
      <c r="E956" s="4"/>
      <c r="F956" s="48"/>
      <c r="G956" s="48"/>
      <c r="H956" s="48"/>
      <c r="I956" s="48"/>
      <c r="J956" s="48"/>
      <c r="K956" s="48"/>
      <c r="L956" s="48"/>
      <c r="M956" s="48"/>
      <c r="N956" s="48"/>
      <c r="O956" s="48"/>
      <c r="P956" s="4"/>
      <c r="Q956" s="4"/>
      <c r="R956" s="4"/>
      <c r="S956" s="4"/>
      <c r="T956" s="4"/>
      <c r="U956" s="4"/>
      <c r="V956" s="4"/>
      <c r="W956" s="4"/>
      <c r="X956" s="4"/>
      <c r="Y956" s="4"/>
      <c r="Z956" s="4"/>
      <c r="AA956" s="4"/>
    </row>
    <row r="957">
      <c r="A957" s="48"/>
      <c r="B957" s="48"/>
      <c r="C957" s="4"/>
      <c r="D957" s="4"/>
      <c r="E957" s="4"/>
      <c r="F957" s="48"/>
      <c r="G957" s="48"/>
      <c r="H957" s="48"/>
      <c r="I957" s="48"/>
      <c r="J957" s="48"/>
      <c r="K957" s="48"/>
      <c r="L957" s="48"/>
      <c r="M957" s="48"/>
      <c r="N957" s="48"/>
      <c r="O957" s="48"/>
      <c r="P957" s="4"/>
      <c r="Q957" s="4"/>
      <c r="R957" s="4"/>
      <c r="S957" s="4"/>
      <c r="T957" s="4"/>
      <c r="U957" s="4"/>
      <c r="V957" s="4"/>
      <c r="W957" s="4"/>
      <c r="X957" s="4"/>
      <c r="Y957" s="4"/>
      <c r="Z957" s="4"/>
      <c r="AA957" s="4"/>
    </row>
    <row r="958">
      <c r="A958" s="48"/>
      <c r="B958" s="48"/>
      <c r="C958" s="4"/>
      <c r="D958" s="4"/>
      <c r="E958" s="4"/>
      <c r="F958" s="48"/>
      <c r="G958" s="48"/>
      <c r="H958" s="48"/>
      <c r="I958" s="48"/>
      <c r="J958" s="48"/>
      <c r="K958" s="48"/>
      <c r="L958" s="48"/>
      <c r="M958" s="48"/>
      <c r="N958" s="48"/>
      <c r="O958" s="48"/>
      <c r="P958" s="4"/>
      <c r="Q958" s="4"/>
      <c r="R958" s="4"/>
      <c r="S958" s="4"/>
      <c r="T958" s="4"/>
      <c r="U958" s="4"/>
      <c r="V958" s="4"/>
      <c r="W958" s="4"/>
      <c r="X958" s="4"/>
      <c r="Y958" s="4"/>
      <c r="Z958" s="4"/>
      <c r="AA958" s="4"/>
    </row>
    <row r="959">
      <c r="A959" s="48"/>
      <c r="B959" s="48"/>
      <c r="C959" s="4"/>
      <c r="D959" s="4"/>
      <c r="E959" s="4"/>
      <c r="F959" s="48"/>
      <c r="G959" s="48"/>
      <c r="H959" s="48"/>
      <c r="I959" s="48"/>
      <c r="J959" s="48"/>
      <c r="K959" s="48"/>
      <c r="L959" s="48"/>
      <c r="M959" s="48"/>
      <c r="N959" s="48"/>
      <c r="O959" s="48"/>
      <c r="P959" s="4"/>
      <c r="Q959" s="4"/>
      <c r="R959" s="4"/>
      <c r="S959" s="4"/>
      <c r="T959" s="4"/>
      <c r="U959" s="4"/>
      <c r="V959" s="4"/>
      <c r="W959" s="4"/>
      <c r="X959" s="4"/>
      <c r="Y959" s="4"/>
      <c r="Z959" s="4"/>
      <c r="AA959" s="4"/>
    </row>
    <row r="960">
      <c r="A960" s="48"/>
      <c r="B960" s="48"/>
      <c r="C960" s="4"/>
      <c r="D960" s="4"/>
      <c r="E960" s="4"/>
      <c r="F960" s="48"/>
      <c r="G960" s="48"/>
      <c r="H960" s="48"/>
      <c r="I960" s="48"/>
      <c r="J960" s="48"/>
      <c r="K960" s="48"/>
      <c r="L960" s="48"/>
      <c r="M960" s="48"/>
      <c r="N960" s="48"/>
      <c r="O960" s="48"/>
      <c r="P960" s="4"/>
      <c r="Q960" s="4"/>
      <c r="R960" s="4"/>
      <c r="S960" s="4"/>
      <c r="T960" s="4"/>
      <c r="U960" s="4"/>
      <c r="V960" s="4"/>
      <c r="W960" s="4"/>
      <c r="X960" s="4"/>
      <c r="Y960" s="4"/>
      <c r="Z960" s="4"/>
      <c r="AA960" s="4"/>
    </row>
    <row r="961">
      <c r="A961" s="48"/>
      <c r="B961" s="48"/>
      <c r="C961" s="4"/>
      <c r="D961" s="4"/>
      <c r="E961" s="4"/>
      <c r="F961" s="48"/>
      <c r="G961" s="48"/>
      <c r="H961" s="48"/>
      <c r="I961" s="48"/>
      <c r="J961" s="48"/>
      <c r="K961" s="48"/>
      <c r="L961" s="48"/>
      <c r="M961" s="48"/>
      <c r="N961" s="48"/>
      <c r="O961" s="48"/>
      <c r="P961" s="4"/>
      <c r="Q961" s="4"/>
      <c r="R961" s="4"/>
      <c r="S961" s="4"/>
      <c r="T961" s="4"/>
      <c r="U961" s="4"/>
      <c r="V961" s="4"/>
      <c r="W961" s="4"/>
      <c r="X961" s="4"/>
      <c r="Y961" s="4"/>
      <c r="Z961" s="4"/>
      <c r="AA961" s="4"/>
    </row>
    <row r="962">
      <c r="A962" s="48"/>
      <c r="B962" s="48"/>
      <c r="C962" s="4"/>
      <c r="D962" s="4"/>
      <c r="E962" s="4"/>
      <c r="F962" s="48"/>
      <c r="G962" s="48"/>
      <c r="H962" s="48"/>
      <c r="I962" s="48"/>
      <c r="J962" s="48"/>
      <c r="K962" s="48"/>
      <c r="L962" s="48"/>
      <c r="M962" s="48"/>
      <c r="N962" s="48"/>
      <c r="O962" s="48"/>
      <c r="P962" s="4"/>
      <c r="Q962" s="4"/>
      <c r="R962" s="4"/>
      <c r="S962" s="4"/>
      <c r="T962" s="4"/>
      <c r="U962" s="4"/>
      <c r="V962" s="4"/>
      <c r="W962" s="4"/>
      <c r="X962" s="4"/>
      <c r="Y962" s="4"/>
      <c r="Z962" s="4"/>
      <c r="AA962" s="4"/>
    </row>
    <row r="963">
      <c r="A963" s="48"/>
      <c r="B963" s="48"/>
      <c r="C963" s="4"/>
      <c r="D963" s="4"/>
      <c r="E963" s="4"/>
      <c r="F963" s="48"/>
      <c r="G963" s="48"/>
      <c r="H963" s="48"/>
      <c r="I963" s="48"/>
      <c r="J963" s="48"/>
      <c r="K963" s="48"/>
      <c r="L963" s="48"/>
      <c r="M963" s="48"/>
      <c r="N963" s="48"/>
      <c r="O963" s="48"/>
      <c r="P963" s="4"/>
      <c r="Q963" s="4"/>
      <c r="R963" s="4"/>
      <c r="S963" s="4"/>
      <c r="T963" s="4"/>
      <c r="U963" s="4"/>
      <c r="V963" s="4"/>
      <c r="W963" s="4"/>
      <c r="X963" s="4"/>
      <c r="Y963" s="4"/>
      <c r="Z963" s="4"/>
      <c r="AA963" s="4"/>
    </row>
    <row r="964">
      <c r="A964" s="48"/>
      <c r="B964" s="48"/>
      <c r="C964" s="4"/>
      <c r="D964" s="4"/>
      <c r="E964" s="4"/>
      <c r="F964" s="48"/>
      <c r="G964" s="48"/>
      <c r="H964" s="48"/>
      <c r="I964" s="48"/>
      <c r="J964" s="48"/>
      <c r="K964" s="48"/>
      <c r="L964" s="48"/>
      <c r="M964" s="48"/>
      <c r="N964" s="48"/>
      <c r="O964" s="48"/>
      <c r="P964" s="4"/>
      <c r="Q964" s="4"/>
      <c r="R964" s="4"/>
      <c r="S964" s="4"/>
      <c r="T964" s="4"/>
      <c r="U964" s="4"/>
      <c r="V964" s="4"/>
      <c r="W964" s="4"/>
      <c r="X964" s="4"/>
      <c r="Y964" s="4"/>
      <c r="Z964" s="4"/>
      <c r="AA964" s="4"/>
    </row>
    <row r="965">
      <c r="A965" s="48"/>
      <c r="B965" s="48"/>
      <c r="C965" s="4"/>
      <c r="D965" s="4"/>
      <c r="E965" s="4"/>
      <c r="F965" s="48"/>
      <c r="G965" s="48"/>
      <c r="H965" s="48"/>
      <c r="I965" s="48"/>
      <c r="J965" s="48"/>
      <c r="K965" s="48"/>
      <c r="L965" s="48"/>
      <c r="M965" s="48"/>
      <c r="N965" s="48"/>
      <c r="O965" s="48"/>
      <c r="P965" s="4"/>
      <c r="Q965" s="4"/>
      <c r="R965" s="4"/>
      <c r="S965" s="4"/>
      <c r="T965" s="4"/>
      <c r="U965" s="4"/>
      <c r="V965" s="4"/>
      <c r="W965" s="4"/>
      <c r="X965" s="4"/>
      <c r="Y965" s="4"/>
      <c r="Z965" s="4"/>
      <c r="AA965" s="4"/>
    </row>
    <row r="966">
      <c r="A966" s="48"/>
      <c r="B966" s="48"/>
      <c r="C966" s="4"/>
      <c r="D966" s="4"/>
      <c r="E966" s="4"/>
      <c r="F966" s="48"/>
      <c r="G966" s="48"/>
      <c r="H966" s="48"/>
      <c r="I966" s="48"/>
      <c r="J966" s="48"/>
      <c r="K966" s="48"/>
      <c r="L966" s="48"/>
      <c r="M966" s="48"/>
      <c r="N966" s="48"/>
      <c r="O966" s="48"/>
      <c r="P966" s="4"/>
      <c r="Q966" s="4"/>
      <c r="R966" s="4"/>
      <c r="S966" s="4"/>
      <c r="T966" s="4"/>
      <c r="U966" s="4"/>
      <c r="V966" s="4"/>
      <c r="W966" s="4"/>
      <c r="X966" s="4"/>
      <c r="Y966" s="4"/>
      <c r="Z966" s="4"/>
      <c r="AA966" s="4"/>
    </row>
    <row r="967">
      <c r="A967" s="48"/>
      <c r="B967" s="48"/>
      <c r="C967" s="4"/>
      <c r="D967" s="4"/>
      <c r="E967" s="4"/>
      <c r="F967" s="48"/>
      <c r="G967" s="48"/>
      <c r="H967" s="48"/>
      <c r="I967" s="48"/>
      <c r="J967" s="48"/>
      <c r="K967" s="48"/>
      <c r="L967" s="48"/>
      <c r="M967" s="48"/>
      <c r="N967" s="48"/>
      <c r="O967" s="48"/>
      <c r="P967" s="4"/>
      <c r="Q967" s="4"/>
      <c r="R967" s="4"/>
      <c r="S967" s="4"/>
      <c r="T967" s="4"/>
      <c r="U967" s="4"/>
      <c r="V967" s="4"/>
      <c r="W967" s="4"/>
      <c r="X967" s="4"/>
      <c r="Y967" s="4"/>
      <c r="Z967" s="4"/>
      <c r="AA967" s="4"/>
    </row>
    <row r="968">
      <c r="A968" s="48"/>
      <c r="B968" s="48"/>
      <c r="C968" s="4"/>
      <c r="D968" s="4"/>
      <c r="E968" s="4"/>
      <c r="F968" s="48"/>
      <c r="G968" s="48"/>
      <c r="H968" s="48"/>
      <c r="I968" s="48"/>
      <c r="J968" s="48"/>
      <c r="K968" s="48"/>
      <c r="L968" s="48"/>
      <c r="M968" s="48"/>
      <c r="N968" s="48"/>
      <c r="O968" s="48"/>
      <c r="P968" s="4"/>
      <c r="Q968" s="4"/>
      <c r="R968" s="4"/>
      <c r="S968" s="4"/>
      <c r="T968" s="4"/>
      <c r="U968" s="4"/>
      <c r="V968" s="4"/>
      <c r="W968" s="4"/>
      <c r="X968" s="4"/>
      <c r="Y968" s="4"/>
      <c r="Z968" s="4"/>
      <c r="AA968" s="4"/>
    </row>
    <row r="969">
      <c r="A969" s="48"/>
      <c r="B969" s="48"/>
      <c r="C969" s="4"/>
      <c r="D969" s="4"/>
      <c r="E969" s="4"/>
      <c r="F969" s="48"/>
      <c r="G969" s="48"/>
      <c r="H969" s="48"/>
      <c r="I969" s="48"/>
      <c r="J969" s="48"/>
      <c r="K969" s="48"/>
      <c r="L969" s="48"/>
      <c r="M969" s="48"/>
      <c r="N969" s="48"/>
      <c r="O969" s="48"/>
      <c r="P969" s="4"/>
      <c r="Q969" s="4"/>
      <c r="R969" s="4"/>
      <c r="S969" s="4"/>
      <c r="T969" s="4"/>
      <c r="U969" s="4"/>
      <c r="V969" s="4"/>
      <c r="W969" s="4"/>
      <c r="X969" s="4"/>
      <c r="Y969" s="4"/>
      <c r="Z969" s="4"/>
      <c r="AA969" s="4"/>
    </row>
    <row r="970">
      <c r="A970" s="48"/>
      <c r="B970" s="48"/>
      <c r="C970" s="4"/>
      <c r="D970" s="4"/>
      <c r="E970" s="4"/>
      <c r="F970" s="48"/>
      <c r="G970" s="48"/>
      <c r="H970" s="48"/>
      <c r="I970" s="48"/>
      <c r="J970" s="48"/>
      <c r="K970" s="48"/>
      <c r="L970" s="48"/>
      <c r="M970" s="48"/>
      <c r="N970" s="48"/>
      <c r="O970" s="48"/>
      <c r="P970" s="4"/>
      <c r="Q970" s="4"/>
      <c r="R970" s="4"/>
      <c r="S970" s="4"/>
      <c r="T970" s="4"/>
      <c r="U970" s="4"/>
      <c r="V970" s="4"/>
      <c r="W970" s="4"/>
      <c r="X970" s="4"/>
      <c r="Y970" s="4"/>
      <c r="Z970" s="4"/>
      <c r="AA970" s="4"/>
    </row>
    <row r="971">
      <c r="A971" s="48"/>
      <c r="B971" s="48"/>
      <c r="C971" s="4"/>
      <c r="D971" s="4"/>
      <c r="E971" s="4"/>
      <c r="F971" s="48"/>
      <c r="G971" s="48"/>
      <c r="H971" s="48"/>
      <c r="I971" s="48"/>
      <c r="J971" s="48"/>
      <c r="K971" s="48"/>
      <c r="L971" s="48"/>
      <c r="M971" s="48"/>
      <c r="N971" s="48"/>
      <c r="O971" s="48"/>
      <c r="P971" s="4"/>
      <c r="Q971" s="4"/>
      <c r="R971" s="4"/>
      <c r="S971" s="4"/>
      <c r="T971" s="4"/>
      <c r="U971" s="4"/>
      <c r="V971" s="4"/>
      <c r="W971" s="4"/>
      <c r="X971" s="4"/>
      <c r="Y971" s="4"/>
      <c r="Z971" s="4"/>
      <c r="AA971" s="4"/>
    </row>
    <row r="972">
      <c r="A972" s="48"/>
      <c r="B972" s="48"/>
      <c r="C972" s="4"/>
      <c r="D972" s="4"/>
      <c r="E972" s="4"/>
      <c r="F972" s="48"/>
      <c r="G972" s="48"/>
      <c r="H972" s="48"/>
      <c r="I972" s="48"/>
      <c r="J972" s="48"/>
      <c r="K972" s="48"/>
      <c r="L972" s="48"/>
      <c r="M972" s="48"/>
      <c r="N972" s="48"/>
      <c r="O972" s="48"/>
      <c r="P972" s="4"/>
      <c r="Q972" s="4"/>
      <c r="R972" s="4"/>
      <c r="S972" s="4"/>
      <c r="T972" s="4"/>
      <c r="U972" s="4"/>
      <c r="V972" s="4"/>
      <c r="W972" s="4"/>
      <c r="X972" s="4"/>
      <c r="Y972" s="4"/>
      <c r="Z972" s="4"/>
      <c r="AA972" s="4"/>
    </row>
    <row r="973">
      <c r="A973" s="48"/>
      <c r="B973" s="48"/>
      <c r="C973" s="4"/>
      <c r="D973" s="4"/>
      <c r="E973" s="4"/>
      <c r="F973" s="48"/>
      <c r="G973" s="48"/>
      <c r="H973" s="48"/>
      <c r="I973" s="48"/>
      <c r="J973" s="48"/>
      <c r="K973" s="48"/>
      <c r="L973" s="48"/>
      <c r="M973" s="48"/>
      <c r="N973" s="48"/>
      <c r="O973" s="48"/>
      <c r="P973" s="4"/>
      <c r="Q973" s="4"/>
      <c r="R973" s="4"/>
      <c r="S973" s="4"/>
      <c r="T973" s="4"/>
      <c r="U973" s="4"/>
      <c r="V973" s="4"/>
      <c r="W973" s="4"/>
      <c r="X973" s="4"/>
      <c r="Y973" s="4"/>
      <c r="Z973" s="4"/>
      <c r="AA973" s="4"/>
    </row>
    <row r="974">
      <c r="A974" s="48"/>
      <c r="B974" s="48"/>
      <c r="C974" s="4"/>
      <c r="D974" s="4"/>
      <c r="E974" s="4"/>
      <c r="F974" s="48"/>
      <c r="G974" s="48"/>
      <c r="H974" s="48"/>
      <c r="I974" s="48"/>
      <c r="J974" s="48"/>
      <c r="K974" s="48"/>
      <c r="L974" s="48"/>
      <c r="M974" s="48"/>
      <c r="N974" s="48"/>
      <c r="O974" s="48"/>
      <c r="P974" s="4"/>
      <c r="Q974" s="4"/>
      <c r="R974" s="4"/>
      <c r="S974" s="4"/>
      <c r="T974" s="4"/>
      <c r="U974" s="4"/>
      <c r="V974" s="4"/>
      <c r="W974" s="4"/>
      <c r="X974" s="4"/>
      <c r="Y974" s="4"/>
      <c r="Z974" s="4"/>
      <c r="AA974" s="4"/>
    </row>
    <row r="975">
      <c r="A975" s="48"/>
      <c r="B975" s="48"/>
      <c r="C975" s="4"/>
      <c r="D975" s="4"/>
      <c r="E975" s="4"/>
      <c r="F975" s="48"/>
      <c r="G975" s="48"/>
      <c r="H975" s="48"/>
      <c r="I975" s="48"/>
      <c r="J975" s="48"/>
      <c r="K975" s="48"/>
      <c r="L975" s="48"/>
      <c r="M975" s="48"/>
      <c r="N975" s="48"/>
      <c r="O975" s="48"/>
      <c r="P975" s="4"/>
      <c r="Q975" s="4"/>
      <c r="R975" s="4"/>
      <c r="S975" s="4"/>
      <c r="T975" s="4"/>
      <c r="U975" s="4"/>
      <c r="V975" s="4"/>
      <c r="W975" s="4"/>
      <c r="X975" s="4"/>
      <c r="Y975" s="4"/>
      <c r="Z975" s="4"/>
      <c r="AA975" s="4"/>
    </row>
    <row r="976">
      <c r="A976" s="48"/>
      <c r="B976" s="48"/>
      <c r="C976" s="4"/>
      <c r="D976" s="4"/>
      <c r="E976" s="4"/>
      <c r="F976" s="48"/>
      <c r="G976" s="48"/>
      <c r="H976" s="48"/>
      <c r="I976" s="48"/>
      <c r="J976" s="48"/>
      <c r="K976" s="48"/>
      <c r="L976" s="48"/>
      <c r="M976" s="48"/>
      <c r="N976" s="48"/>
      <c r="O976" s="48"/>
      <c r="P976" s="4"/>
      <c r="Q976" s="4"/>
      <c r="R976" s="4"/>
      <c r="S976" s="4"/>
      <c r="T976" s="4"/>
      <c r="U976" s="4"/>
      <c r="V976" s="4"/>
      <c r="W976" s="4"/>
      <c r="X976" s="4"/>
      <c r="Y976" s="4"/>
      <c r="Z976" s="4"/>
      <c r="AA976" s="4"/>
    </row>
    <row r="977">
      <c r="A977" s="48"/>
      <c r="B977" s="48"/>
      <c r="C977" s="4"/>
      <c r="D977" s="4"/>
      <c r="E977" s="4"/>
      <c r="F977" s="48"/>
      <c r="G977" s="48"/>
      <c r="H977" s="48"/>
      <c r="I977" s="48"/>
      <c r="J977" s="48"/>
      <c r="K977" s="48"/>
      <c r="L977" s="48"/>
      <c r="M977" s="48"/>
      <c r="N977" s="48"/>
      <c r="O977" s="48"/>
      <c r="P977" s="4"/>
      <c r="Q977" s="4"/>
      <c r="R977" s="4"/>
      <c r="S977" s="4"/>
      <c r="T977" s="4"/>
      <c r="U977" s="4"/>
      <c r="V977" s="4"/>
      <c r="W977" s="4"/>
      <c r="X977" s="4"/>
      <c r="Y977" s="4"/>
      <c r="Z977" s="4"/>
      <c r="AA977" s="4"/>
    </row>
    <row r="978">
      <c r="A978" s="48"/>
      <c r="B978" s="48"/>
      <c r="C978" s="4"/>
      <c r="D978" s="4"/>
      <c r="E978" s="4"/>
      <c r="F978" s="48"/>
      <c r="G978" s="48"/>
      <c r="H978" s="48"/>
      <c r="I978" s="48"/>
      <c r="J978" s="48"/>
      <c r="K978" s="48"/>
      <c r="L978" s="48"/>
      <c r="M978" s="48"/>
      <c r="N978" s="48"/>
      <c r="O978" s="48"/>
      <c r="P978" s="4"/>
      <c r="Q978" s="4"/>
      <c r="R978" s="4"/>
      <c r="S978" s="4"/>
      <c r="T978" s="4"/>
      <c r="U978" s="4"/>
      <c r="V978" s="4"/>
      <c r="W978" s="4"/>
      <c r="X978" s="4"/>
      <c r="Y978" s="4"/>
      <c r="Z978" s="4"/>
      <c r="AA978" s="4"/>
    </row>
    <row r="979">
      <c r="A979" s="48"/>
      <c r="B979" s="48"/>
      <c r="C979" s="4"/>
      <c r="D979" s="4"/>
      <c r="E979" s="4"/>
      <c r="F979" s="48"/>
      <c r="G979" s="48"/>
      <c r="H979" s="48"/>
      <c r="I979" s="48"/>
      <c r="J979" s="48"/>
      <c r="K979" s="48"/>
      <c r="L979" s="48"/>
      <c r="M979" s="48"/>
      <c r="N979" s="48"/>
      <c r="O979" s="48"/>
      <c r="P979" s="4"/>
      <c r="Q979" s="4"/>
      <c r="R979" s="4"/>
      <c r="S979" s="4"/>
      <c r="T979" s="4"/>
      <c r="U979" s="4"/>
      <c r="V979" s="4"/>
      <c r="W979" s="4"/>
      <c r="X979" s="4"/>
      <c r="Y979" s="4"/>
      <c r="Z979" s="4"/>
      <c r="AA979" s="4"/>
    </row>
    <row r="980">
      <c r="A980" s="48"/>
      <c r="B980" s="48"/>
      <c r="C980" s="4"/>
      <c r="D980" s="4"/>
      <c r="E980" s="4"/>
      <c r="F980" s="48"/>
      <c r="G980" s="48"/>
      <c r="H980" s="48"/>
      <c r="I980" s="48"/>
      <c r="J980" s="48"/>
      <c r="K980" s="48"/>
      <c r="L980" s="48"/>
      <c r="M980" s="48"/>
      <c r="N980" s="48"/>
      <c r="O980" s="48"/>
      <c r="P980" s="4"/>
      <c r="Q980" s="4"/>
      <c r="R980" s="4"/>
      <c r="S980" s="4"/>
      <c r="T980" s="4"/>
      <c r="U980" s="4"/>
      <c r="V980" s="4"/>
      <c r="W980" s="4"/>
      <c r="X980" s="4"/>
      <c r="Y980" s="4"/>
      <c r="Z980" s="4"/>
      <c r="AA980" s="4"/>
    </row>
    <row r="981">
      <c r="A981" s="48"/>
      <c r="B981" s="48"/>
      <c r="C981" s="4"/>
      <c r="D981" s="4"/>
      <c r="E981" s="4"/>
      <c r="F981" s="48"/>
      <c r="G981" s="48"/>
      <c r="H981" s="48"/>
      <c r="I981" s="48"/>
      <c r="J981" s="48"/>
      <c r="K981" s="48"/>
      <c r="L981" s="48"/>
      <c r="M981" s="48"/>
      <c r="N981" s="48"/>
      <c r="O981" s="48"/>
      <c r="P981" s="4"/>
      <c r="Q981" s="4"/>
      <c r="R981" s="4"/>
      <c r="S981" s="4"/>
      <c r="T981" s="4"/>
      <c r="U981" s="4"/>
      <c r="V981" s="4"/>
      <c r="W981" s="4"/>
      <c r="X981" s="4"/>
      <c r="Y981" s="4"/>
      <c r="Z981" s="4"/>
      <c r="AA981" s="4"/>
    </row>
    <row r="982">
      <c r="A982" s="48"/>
      <c r="B982" s="48"/>
      <c r="C982" s="4"/>
      <c r="D982" s="4"/>
      <c r="E982" s="4"/>
      <c r="F982" s="48"/>
      <c r="G982" s="48"/>
      <c r="H982" s="48"/>
      <c r="I982" s="48"/>
      <c r="J982" s="48"/>
      <c r="K982" s="48"/>
      <c r="L982" s="48"/>
      <c r="M982" s="48"/>
      <c r="N982" s="48"/>
      <c r="O982" s="48"/>
      <c r="P982" s="4"/>
      <c r="Q982" s="4"/>
      <c r="R982" s="4"/>
      <c r="S982" s="4"/>
      <c r="T982" s="4"/>
      <c r="U982" s="4"/>
      <c r="V982" s="4"/>
      <c r="W982" s="4"/>
      <c r="X982" s="4"/>
      <c r="Y982" s="4"/>
      <c r="Z982" s="4"/>
      <c r="AA982" s="4"/>
    </row>
    <row r="983">
      <c r="A983" s="48"/>
      <c r="B983" s="48"/>
      <c r="C983" s="4"/>
      <c r="D983" s="4"/>
      <c r="E983" s="4"/>
      <c r="F983" s="48"/>
      <c r="G983" s="48"/>
      <c r="H983" s="48"/>
      <c r="I983" s="48"/>
      <c r="J983" s="48"/>
      <c r="K983" s="48"/>
      <c r="L983" s="48"/>
      <c r="M983" s="48"/>
      <c r="N983" s="48"/>
      <c r="O983" s="48"/>
      <c r="P983" s="4"/>
      <c r="Q983" s="4"/>
      <c r="R983" s="4"/>
      <c r="S983" s="4"/>
      <c r="T983" s="4"/>
      <c r="U983" s="4"/>
      <c r="V983" s="4"/>
      <c r="W983" s="4"/>
      <c r="X983" s="4"/>
      <c r="Y983" s="4"/>
      <c r="Z983" s="4"/>
      <c r="AA983" s="4"/>
    </row>
    <row r="984">
      <c r="A984" s="48"/>
      <c r="B984" s="48"/>
      <c r="C984" s="4"/>
      <c r="D984" s="4"/>
      <c r="E984" s="4"/>
      <c r="F984" s="48"/>
      <c r="G984" s="48"/>
      <c r="H984" s="48"/>
      <c r="I984" s="48"/>
      <c r="J984" s="48"/>
      <c r="K984" s="48"/>
      <c r="L984" s="48"/>
      <c r="M984" s="48"/>
      <c r="N984" s="48"/>
      <c r="O984" s="48"/>
      <c r="P984" s="4"/>
      <c r="Q984" s="4"/>
      <c r="R984" s="4"/>
      <c r="S984" s="4"/>
      <c r="T984" s="4"/>
      <c r="U984" s="4"/>
      <c r="V984" s="4"/>
      <c r="W984" s="4"/>
      <c r="X984" s="4"/>
      <c r="Y984" s="4"/>
      <c r="Z984" s="4"/>
      <c r="AA984" s="4"/>
    </row>
    <row r="985">
      <c r="A985" s="48"/>
      <c r="B985" s="48"/>
      <c r="C985" s="4"/>
      <c r="D985" s="4"/>
      <c r="E985" s="4"/>
      <c r="F985" s="48"/>
      <c r="G985" s="48"/>
      <c r="H985" s="48"/>
      <c r="I985" s="48"/>
      <c r="J985" s="48"/>
      <c r="K985" s="48"/>
      <c r="L985" s="48"/>
      <c r="M985" s="48"/>
      <c r="N985" s="48"/>
      <c r="O985" s="48"/>
      <c r="P985" s="4"/>
      <c r="Q985" s="4"/>
      <c r="R985" s="4"/>
      <c r="S985" s="4"/>
      <c r="T985" s="4"/>
      <c r="U985" s="4"/>
      <c r="V985" s="4"/>
      <c r="W985" s="4"/>
      <c r="X985" s="4"/>
      <c r="Y985" s="4"/>
      <c r="Z985" s="4"/>
      <c r="AA985" s="4"/>
    </row>
    <row r="986">
      <c r="A986" s="48"/>
      <c r="B986" s="48"/>
      <c r="C986" s="4"/>
      <c r="D986" s="4"/>
      <c r="E986" s="4"/>
      <c r="F986" s="48"/>
      <c r="G986" s="48"/>
      <c r="H986" s="48"/>
      <c r="I986" s="48"/>
      <c r="J986" s="48"/>
      <c r="K986" s="48"/>
      <c r="L986" s="48"/>
      <c r="M986" s="48"/>
      <c r="N986" s="48"/>
      <c r="O986" s="48"/>
      <c r="P986" s="4"/>
      <c r="Q986" s="4"/>
      <c r="R986" s="4"/>
      <c r="S986" s="4"/>
      <c r="T986" s="4"/>
      <c r="U986" s="4"/>
      <c r="V986" s="4"/>
      <c r="W986" s="4"/>
      <c r="X986" s="4"/>
      <c r="Y986" s="4"/>
      <c r="Z986" s="4"/>
      <c r="AA986" s="4"/>
    </row>
    <row r="987">
      <c r="A987" s="48"/>
      <c r="B987" s="48"/>
      <c r="C987" s="4"/>
      <c r="D987" s="4"/>
      <c r="E987" s="4"/>
      <c r="F987" s="48"/>
      <c r="G987" s="48"/>
      <c r="H987" s="48"/>
      <c r="I987" s="48"/>
      <c r="J987" s="48"/>
      <c r="K987" s="48"/>
      <c r="L987" s="48"/>
      <c r="M987" s="48"/>
      <c r="N987" s="48"/>
      <c r="O987" s="48"/>
      <c r="P987" s="4"/>
      <c r="Q987" s="4"/>
      <c r="R987" s="4"/>
      <c r="S987" s="4"/>
      <c r="T987" s="4"/>
      <c r="U987" s="4"/>
      <c r="V987" s="4"/>
      <c r="W987" s="4"/>
      <c r="X987" s="4"/>
      <c r="Y987" s="4"/>
      <c r="Z987" s="4"/>
      <c r="AA987" s="4"/>
    </row>
    <row r="988">
      <c r="A988" s="48"/>
      <c r="B988" s="48"/>
      <c r="C988" s="4"/>
      <c r="D988" s="4"/>
      <c r="E988" s="4"/>
      <c r="F988" s="48"/>
      <c r="G988" s="48"/>
      <c r="H988" s="48"/>
      <c r="I988" s="48"/>
      <c r="J988" s="48"/>
      <c r="K988" s="48"/>
      <c r="L988" s="48"/>
      <c r="M988" s="48"/>
      <c r="N988" s="48"/>
      <c r="O988" s="48"/>
      <c r="P988" s="4"/>
      <c r="Q988" s="4"/>
      <c r="R988" s="4"/>
      <c r="S988" s="4"/>
      <c r="T988" s="4"/>
      <c r="U988" s="4"/>
      <c r="V988" s="4"/>
      <c r="W988" s="4"/>
      <c r="X988" s="4"/>
      <c r="Y988" s="4"/>
      <c r="Z988" s="4"/>
      <c r="AA988" s="4"/>
    </row>
    <row r="989">
      <c r="A989" s="48"/>
      <c r="B989" s="48"/>
      <c r="C989" s="4"/>
      <c r="D989" s="4"/>
      <c r="E989" s="4"/>
      <c r="F989" s="48"/>
      <c r="G989" s="48"/>
      <c r="H989" s="48"/>
      <c r="I989" s="48"/>
      <c r="J989" s="48"/>
      <c r="K989" s="48"/>
      <c r="L989" s="48"/>
      <c r="M989" s="48"/>
      <c r="N989" s="48"/>
      <c r="O989" s="48"/>
      <c r="P989" s="4"/>
      <c r="Q989" s="4"/>
      <c r="R989" s="4"/>
      <c r="S989" s="4"/>
      <c r="T989" s="4"/>
      <c r="U989" s="4"/>
      <c r="V989" s="4"/>
      <c r="W989" s="4"/>
      <c r="X989" s="4"/>
      <c r="Y989" s="4"/>
      <c r="Z989" s="4"/>
      <c r="AA989" s="4"/>
    </row>
    <row r="990">
      <c r="A990" s="48"/>
      <c r="B990" s="48"/>
      <c r="C990" s="4"/>
      <c r="D990" s="4"/>
      <c r="E990" s="4"/>
      <c r="F990" s="48"/>
      <c r="G990" s="48"/>
      <c r="H990" s="48"/>
      <c r="I990" s="48"/>
      <c r="J990" s="48"/>
      <c r="K990" s="48"/>
      <c r="L990" s="48"/>
      <c r="M990" s="48"/>
      <c r="N990" s="48"/>
      <c r="O990" s="48"/>
      <c r="P990" s="4"/>
      <c r="Q990" s="4"/>
      <c r="R990" s="4"/>
      <c r="S990" s="4"/>
      <c r="T990" s="4"/>
      <c r="U990" s="4"/>
      <c r="V990" s="4"/>
      <c r="W990" s="4"/>
      <c r="X990" s="4"/>
      <c r="Y990" s="4"/>
      <c r="Z990" s="4"/>
      <c r="AA990" s="4"/>
    </row>
    <row r="991">
      <c r="A991" s="48"/>
      <c r="B991" s="48"/>
      <c r="C991" s="4"/>
      <c r="D991" s="4"/>
      <c r="E991" s="4"/>
      <c r="F991" s="48"/>
      <c r="G991" s="48"/>
      <c r="H991" s="48"/>
      <c r="I991" s="48"/>
      <c r="J991" s="48"/>
      <c r="K991" s="48"/>
      <c r="L991" s="48"/>
      <c r="M991" s="48"/>
      <c r="N991" s="48"/>
      <c r="O991" s="48"/>
      <c r="P991" s="4"/>
      <c r="Q991" s="4"/>
      <c r="R991" s="4"/>
      <c r="S991" s="4"/>
      <c r="T991" s="4"/>
      <c r="U991" s="4"/>
      <c r="V991" s="4"/>
      <c r="W991" s="4"/>
      <c r="X991" s="4"/>
      <c r="Y991" s="4"/>
      <c r="Z991" s="4"/>
      <c r="AA991" s="4"/>
    </row>
    <row r="992">
      <c r="A992" s="48"/>
      <c r="B992" s="48"/>
      <c r="C992" s="4"/>
      <c r="D992" s="4"/>
      <c r="E992" s="4"/>
      <c r="F992" s="48"/>
      <c r="G992" s="48"/>
      <c r="H992" s="48"/>
      <c r="I992" s="48"/>
      <c r="J992" s="48"/>
      <c r="K992" s="48"/>
      <c r="L992" s="48"/>
      <c r="M992" s="48"/>
      <c r="N992" s="48"/>
      <c r="O992" s="48"/>
      <c r="P992" s="4"/>
      <c r="Q992" s="4"/>
      <c r="R992" s="4"/>
      <c r="S992" s="4"/>
      <c r="T992" s="4"/>
      <c r="U992" s="4"/>
      <c r="V992" s="4"/>
      <c r="W992" s="4"/>
      <c r="X992" s="4"/>
      <c r="Y992" s="4"/>
      <c r="Z992" s="4"/>
      <c r="AA992" s="4"/>
    </row>
    <row r="993">
      <c r="A993" s="48"/>
      <c r="B993" s="48"/>
      <c r="C993" s="4"/>
      <c r="D993" s="4"/>
      <c r="E993" s="4"/>
      <c r="F993" s="48"/>
      <c r="G993" s="48"/>
      <c r="H993" s="48"/>
      <c r="I993" s="48"/>
      <c r="J993" s="48"/>
      <c r="K993" s="48"/>
      <c r="L993" s="48"/>
      <c r="M993" s="48"/>
      <c r="N993" s="48"/>
      <c r="O993" s="48"/>
      <c r="P993" s="4"/>
      <c r="Q993" s="4"/>
      <c r="R993" s="4"/>
      <c r="S993" s="4"/>
      <c r="T993" s="4"/>
      <c r="U993" s="4"/>
      <c r="V993" s="4"/>
      <c r="W993" s="4"/>
      <c r="X993" s="4"/>
      <c r="Y993" s="4"/>
      <c r="Z993" s="4"/>
      <c r="AA993" s="4"/>
    </row>
    <row r="994">
      <c r="A994" s="48"/>
      <c r="B994" s="48"/>
      <c r="C994" s="4"/>
      <c r="D994" s="4"/>
      <c r="E994" s="4"/>
      <c r="F994" s="48"/>
      <c r="G994" s="48"/>
      <c r="H994" s="48"/>
      <c r="I994" s="48"/>
      <c r="J994" s="48"/>
      <c r="K994" s="48"/>
      <c r="L994" s="48"/>
      <c r="M994" s="48"/>
      <c r="N994" s="48"/>
      <c r="O994" s="48"/>
      <c r="P994" s="4"/>
      <c r="Q994" s="4"/>
      <c r="R994" s="4"/>
      <c r="S994" s="4"/>
      <c r="T994" s="4"/>
      <c r="U994" s="4"/>
      <c r="V994" s="4"/>
      <c r="W994" s="4"/>
      <c r="X994" s="4"/>
      <c r="Y994" s="4"/>
      <c r="Z994" s="4"/>
      <c r="AA994" s="4"/>
    </row>
    <row r="995">
      <c r="A995" s="48"/>
      <c r="B995" s="48"/>
      <c r="C995" s="4"/>
      <c r="D995" s="4"/>
      <c r="E995" s="4"/>
      <c r="F995" s="48"/>
      <c r="G995" s="48"/>
      <c r="H995" s="48"/>
      <c r="I995" s="48"/>
      <c r="J995" s="48"/>
      <c r="K995" s="48"/>
      <c r="L995" s="48"/>
      <c r="M995" s="48"/>
      <c r="N995" s="48"/>
      <c r="O995" s="48"/>
      <c r="P995" s="4"/>
      <c r="Q995" s="4"/>
      <c r="R995" s="4"/>
      <c r="S995" s="4"/>
      <c r="T995" s="4"/>
      <c r="U995" s="4"/>
      <c r="V995" s="4"/>
      <c r="W995" s="4"/>
      <c r="X995" s="4"/>
      <c r="Y995" s="4"/>
      <c r="Z995" s="4"/>
      <c r="AA995" s="4"/>
    </row>
    <row r="996">
      <c r="A996" s="48"/>
      <c r="B996" s="48"/>
      <c r="C996" s="4"/>
      <c r="D996" s="4"/>
      <c r="E996" s="4"/>
      <c r="F996" s="48"/>
      <c r="G996" s="48"/>
      <c r="H996" s="48"/>
      <c r="I996" s="48"/>
      <c r="J996" s="48"/>
      <c r="K996" s="48"/>
      <c r="L996" s="48"/>
      <c r="M996" s="48"/>
      <c r="N996" s="48"/>
      <c r="O996" s="48"/>
      <c r="P996" s="4"/>
      <c r="Q996" s="4"/>
      <c r="R996" s="4"/>
      <c r="S996" s="4"/>
      <c r="T996" s="4"/>
      <c r="U996" s="4"/>
      <c r="V996" s="4"/>
      <c r="W996" s="4"/>
      <c r="X996" s="4"/>
      <c r="Y996" s="4"/>
      <c r="Z996" s="4"/>
      <c r="AA996" s="4"/>
    </row>
    <row r="997">
      <c r="A997" s="48"/>
      <c r="B997" s="48"/>
      <c r="C997" s="4"/>
      <c r="D997" s="4"/>
      <c r="E997" s="4"/>
      <c r="F997" s="48"/>
      <c r="G997" s="48"/>
      <c r="H997" s="48"/>
      <c r="I997" s="48"/>
      <c r="J997" s="48"/>
      <c r="K997" s="48"/>
      <c r="L997" s="48"/>
      <c r="M997" s="48"/>
      <c r="N997" s="48"/>
      <c r="O997" s="48"/>
      <c r="P997" s="4"/>
      <c r="Q997" s="4"/>
      <c r="R997" s="4"/>
      <c r="S997" s="4"/>
      <c r="T997" s="4"/>
      <c r="U997" s="4"/>
      <c r="V997" s="4"/>
      <c r="W997" s="4"/>
      <c r="X997" s="4"/>
      <c r="Y997" s="4"/>
      <c r="Z997" s="4"/>
      <c r="AA997" s="4"/>
    </row>
    <row r="998">
      <c r="A998" s="48"/>
      <c r="B998" s="48"/>
      <c r="C998" s="4"/>
      <c r="D998" s="4"/>
      <c r="E998" s="4"/>
      <c r="F998" s="48"/>
      <c r="G998" s="48"/>
      <c r="H998" s="48"/>
      <c r="I998" s="48"/>
      <c r="J998" s="48"/>
      <c r="K998" s="48"/>
      <c r="L998" s="48"/>
      <c r="M998" s="48"/>
      <c r="N998" s="48"/>
      <c r="O998" s="48"/>
      <c r="P998" s="4"/>
      <c r="Q998" s="4"/>
      <c r="R998" s="4"/>
      <c r="S998" s="4"/>
      <c r="T998" s="4"/>
      <c r="U998" s="4"/>
      <c r="V998" s="4"/>
      <c r="W998" s="4"/>
      <c r="X998" s="4"/>
      <c r="Y998" s="4"/>
      <c r="Z998" s="4"/>
      <c r="AA998" s="4"/>
    </row>
    <row r="999">
      <c r="A999" s="48"/>
      <c r="B999" s="48"/>
      <c r="C999" s="4"/>
      <c r="D999" s="4"/>
      <c r="E999" s="4"/>
      <c r="F999" s="48"/>
      <c r="G999" s="48"/>
      <c r="H999" s="48"/>
      <c r="I999" s="48"/>
      <c r="J999" s="48"/>
      <c r="K999" s="48"/>
      <c r="L999" s="48"/>
      <c r="M999" s="48"/>
      <c r="N999" s="48"/>
      <c r="O999" s="48"/>
      <c r="P999" s="4"/>
      <c r="Q999" s="4"/>
      <c r="R999" s="4"/>
      <c r="S999" s="4"/>
      <c r="T999" s="4"/>
      <c r="U999" s="4"/>
      <c r="V999" s="4"/>
      <c r="W999" s="4"/>
      <c r="X999" s="4"/>
      <c r="Y999" s="4"/>
      <c r="Z999" s="4"/>
      <c r="AA999" s="4"/>
    </row>
    <row r="1000">
      <c r="A1000" s="48"/>
      <c r="B1000" s="48"/>
      <c r="C1000" s="4"/>
      <c r="D1000" s="4"/>
      <c r="E1000" s="4"/>
      <c r="F1000" s="48"/>
      <c r="G1000" s="48"/>
      <c r="H1000" s="48"/>
      <c r="I1000" s="48"/>
      <c r="J1000" s="48"/>
      <c r="K1000" s="48"/>
      <c r="L1000" s="48"/>
      <c r="M1000" s="48"/>
      <c r="N1000" s="48"/>
      <c r="O1000" s="48"/>
      <c r="P1000" s="4"/>
      <c r="Q1000" s="4"/>
      <c r="R1000" s="4"/>
      <c r="S1000" s="4"/>
      <c r="T1000" s="4"/>
      <c r="U1000" s="4"/>
      <c r="V1000" s="4"/>
      <c r="W1000" s="4"/>
      <c r="X1000" s="4"/>
      <c r="Y1000" s="4"/>
      <c r="Z1000" s="4"/>
      <c r="AA1000" s="4"/>
    </row>
  </sheetData>
  <mergeCells count="2">
    <mergeCell ref="D19:F19"/>
    <mergeCell ref="D20:E20"/>
  </mergeCells>
  <conditionalFormatting sqref="D3">
    <cfRule type="expression" dxfId="0" priority="1">
      <formula>(C3=TRUE)</formula>
    </cfRule>
  </conditionalFormatting>
  <conditionalFormatting sqref="D6">
    <cfRule type="expression" dxfId="0" priority="2">
      <formula>(C6=TRUE)</formula>
    </cfRule>
  </conditionalFormatting>
  <conditionalFormatting sqref="E11">
    <cfRule type="expression" dxfId="0" priority="3">
      <formula>(C6=TRUE)</formula>
    </cfRule>
  </conditionalFormatting>
  <conditionalFormatting sqref="F6">
    <cfRule type="expression" dxfId="0" priority="4">
      <formula>(C6=TRUE)</formula>
    </cfRule>
  </conditionalFormatting>
  <conditionalFormatting sqref="N6 P6">
    <cfRule type="expression" dxfId="0" priority="5">
      <formula>(C6=TRUE)</formula>
    </cfRule>
  </conditionalFormatting>
  <conditionalFormatting sqref="H6">
    <cfRule type="expression" dxfId="0" priority="6">
      <formula>(C6=TRUE)</formula>
    </cfRule>
  </conditionalFormatting>
  <conditionalFormatting sqref="J6">
    <cfRule type="expression" dxfId="0" priority="7">
      <formula>(C6=TRUE)</formula>
    </cfRule>
  </conditionalFormatting>
  <conditionalFormatting sqref="L6">
    <cfRule type="expression" dxfId="0" priority="8">
      <formula>(C6=TRUE)</formula>
    </cfRule>
  </conditionalFormatting>
  <conditionalFormatting sqref="G11">
    <cfRule type="expression" dxfId="0" priority="9">
      <formula>(C6=TRUE)</formula>
    </cfRule>
  </conditionalFormatting>
  <conditionalFormatting sqref="I11">
    <cfRule type="expression" dxfId="0" priority="10">
      <formula>(C6=TRUE)</formula>
    </cfRule>
  </conditionalFormatting>
  <conditionalFormatting sqref="K11">
    <cfRule type="expression" dxfId="0" priority="11">
      <formula>(C6=TRUE)</formula>
    </cfRule>
  </conditionalFormatting>
  <conditionalFormatting sqref="M11">
    <cfRule type="expression" dxfId="0" priority="12">
      <formula>(C6=TRUE)</formula>
    </cfRule>
  </conditionalFormatting>
  <conditionalFormatting sqref="O11 Q11">
    <cfRule type="expression" dxfId="0" priority="13">
      <formula>(C6=TRUE)</formula>
    </cfRule>
  </conditionalFormatting>
  <conditionalFormatting sqref="E14">
    <cfRule type="expression" dxfId="0" priority="14">
      <formula>(C3=TRUE)</formula>
    </cfRule>
  </conditionalFormatting>
  <conditionalFormatting sqref="F3 G14 H3 I14">
    <cfRule type="expression" dxfId="0" priority="15">
      <formula>($C$3=TRUE)</formula>
    </cfRule>
  </conditionalFormatting>
  <conditionalFormatting sqref="J3 L3 N3 P3 K14 M14 O14 Q14">
    <cfRule type="expression" dxfId="0" priority="16">
      <formula>($C$3=TRUE)</formula>
    </cfRule>
  </conditionalFormatting>
  <conditionalFormatting sqref="D4 F4 H4 J4 L4 N4 P4 E13 G13 I13 K13 M13 O13 Q13">
    <cfRule type="expression" dxfId="0" priority="17">
      <formula>($C$4=TRUE)</formula>
    </cfRule>
  </conditionalFormatting>
  <conditionalFormatting sqref="D5 F5 H5 J5 L5 N5 P5 E12 G12 I12 K12 M12 O12 Q12">
    <cfRule type="expression" dxfId="1" priority="18">
      <formula>($C$5=TRUE)</formula>
    </cfRule>
  </conditionalFormatting>
  <conditionalFormatting sqref="D7 F7 H7 J7 L7 N7 P7 E10 G10 I10 K10 M10 O10 Q10">
    <cfRule type="expression" dxfId="0" priority="19">
      <formula>($C$7=TRUE)</formula>
    </cfRule>
  </conditionalFormatting>
  <conditionalFormatting sqref="D8 F8 H8 J8 L8 N8 P8 E9 G9 I9 K9 M9 O9 Q9">
    <cfRule type="expression" dxfId="0" priority="20">
      <formula>($C$8=TRUE)</formula>
    </cfRule>
  </conditionalFormatting>
  <conditionalFormatting sqref="E8 G8 I8 K8 M8 O8 Q8 D9 F9 H9 J9 L9 N9 P9">
    <cfRule type="expression" dxfId="1" priority="21">
      <formula>($C$9=TRUE)</formula>
    </cfRule>
  </conditionalFormatting>
  <conditionalFormatting sqref="E7 G7 I7 K7 M7 O7 Q7 D10 F10 H10 J10 L10 N10 P10">
    <cfRule type="expression" dxfId="0" priority="22">
      <formula>($C$10=TRUE)</formula>
    </cfRule>
  </conditionalFormatting>
  <conditionalFormatting sqref="E6 G6 I6 K6 M6 O6 Q6 D11 F11 H11 J11 L11 N11 P11">
    <cfRule type="expression" dxfId="0" priority="23">
      <formula>($C$11=TRUE)</formula>
    </cfRule>
  </conditionalFormatting>
  <conditionalFormatting sqref="E5 G5 I5 K5 M5 O5 Q5 D12 F12 H12 J12 L12 N12 P12">
    <cfRule type="expression" dxfId="0" priority="24">
      <formula>($C$12=TRUE)</formula>
    </cfRule>
  </conditionalFormatting>
  <conditionalFormatting sqref="E4 G4 I4 K4 M4 O4 Q4 D13 F13 H13 J13 L13 N13 P13">
    <cfRule type="expression" dxfId="0" priority="25">
      <formula>($C$13=TRUE)</formula>
    </cfRule>
  </conditionalFormatting>
  <conditionalFormatting sqref="E3 G3 I3 K3 M3 O3 Q3 D14 F14 H14 J14 L14 N14 P14">
    <cfRule type="expression" dxfId="0" priority="26">
      <formula>($C$14=TRUE)</formula>
    </cfRule>
  </conditionalFormatting>
  <dataValidations>
    <dataValidation type="list" allowBlank="1" sqref="D3:Q14">
      <formula1>Projections!$J$20:$J$416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9.0" topLeftCell="A20" activePane="bottomLeft" state="frozen"/>
      <selection activeCell="B21" sqref="B21" pane="bottomLeft"/>
    </sheetView>
  </sheetViews>
  <sheetFormatPr customHeight="1" defaultColWidth="12.63" defaultRowHeight="15.75"/>
  <cols>
    <col customWidth="1" hidden="1" min="1" max="1" width="7.5"/>
    <col customWidth="1" hidden="1" min="2" max="2" width="7.38"/>
    <col customWidth="1" hidden="1" min="3" max="3" width="6.63"/>
    <col customWidth="1" hidden="1" min="4" max="4" width="7.75"/>
    <col customWidth="1" min="5" max="6" width="15.0"/>
    <col customWidth="1" min="7" max="7" width="9.63"/>
    <col customWidth="1" min="8" max="8" width="7.38"/>
    <col customWidth="1" min="9" max="9" width="8.63"/>
    <col customWidth="1" min="10" max="10" width="20.0"/>
    <col customWidth="1" min="11" max="11" width="7.25"/>
    <col customWidth="1" min="12" max="12" width="9.0"/>
    <col customWidth="1" min="13" max="13" width="8.13"/>
    <col customWidth="1" min="14" max="14" width="7.88"/>
    <col customWidth="1" min="15" max="15" width="8.0"/>
    <col customWidth="1" min="16" max="16" width="7.75"/>
    <col customWidth="1" min="17" max="17" width="8.13"/>
    <col customWidth="1" min="18" max="18" width="7.38"/>
    <col customWidth="1" min="19" max="19" width="7.88"/>
    <col customWidth="1" min="20" max="20" width="8.75"/>
    <col customWidth="1" min="21" max="21" width="7.5"/>
    <col customWidth="1" min="22" max="22" width="8.75"/>
    <col customWidth="1" min="23" max="23" width="7.38"/>
    <col customWidth="1" min="24" max="24" width="7.13"/>
    <col customWidth="1" min="25" max="25" width="5.88"/>
    <col customWidth="1" min="26" max="26" width="6.13"/>
    <col customWidth="1" min="27" max="27" width="5.88"/>
    <col customWidth="1" min="28" max="29" width="5.0"/>
    <col customWidth="1" min="30" max="32" width="6.88"/>
    <col customWidth="1" min="33" max="33" width="5.63"/>
    <col customWidth="1" min="34" max="34" width="7.13"/>
    <col customWidth="1" min="35" max="35" width="3.5"/>
    <col customWidth="1" min="36" max="36" width="14.38"/>
    <col customWidth="1" hidden="1" min="37" max="37" width="9.13"/>
    <col customWidth="1" hidden="1" min="38" max="40" width="5.13"/>
    <col customWidth="1" hidden="1" min="41" max="41" width="4.63"/>
    <col customWidth="1" hidden="1" min="42" max="45" width="5.13"/>
    <col hidden="1" min="46" max="48" width="12.63"/>
    <col customWidth="1" min="49" max="49" width="11.25"/>
    <col customWidth="1" min="50" max="50" width="14.38"/>
    <col customWidth="1" min="56" max="56" width="9.63"/>
    <col customWidth="1" min="57" max="57" width="9.88"/>
    <col customWidth="1" min="58" max="58" width="10.63"/>
    <col customWidth="1" min="59" max="59" width="7.38"/>
    <col customWidth="1" min="60" max="60" width="8.13"/>
  </cols>
  <sheetData>
    <row r="1">
      <c r="A1" s="15"/>
      <c r="B1" s="15"/>
      <c r="C1" s="15"/>
      <c r="D1" s="15"/>
      <c r="E1" s="16"/>
      <c r="F1" s="16"/>
      <c r="G1" s="16"/>
      <c r="H1" s="17"/>
      <c r="I1" s="16"/>
      <c r="J1" s="18"/>
      <c r="K1" s="19"/>
      <c r="L1" s="20"/>
      <c r="M1" s="18"/>
      <c r="N1" s="18"/>
      <c r="O1" s="18"/>
      <c r="P1" s="18"/>
      <c r="Q1" s="18"/>
      <c r="R1" s="18"/>
      <c r="S1" s="18"/>
      <c r="T1" s="18"/>
      <c r="U1" s="18"/>
      <c r="V1" s="23"/>
      <c r="W1" s="23"/>
      <c r="X1" s="23"/>
      <c r="Y1" s="23"/>
      <c r="Z1" s="23"/>
      <c r="AA1" s="23"/>
      <c r="AB1" s="23"/>
      <c r="AC1" s="23"/>
      <c r="AD1" s="23"/>
      <c r="AE1" s="23"/>
      <c r="AF1" s="23"/>
      <c r="AG1" s="23"/>
      <c r="AH1" s="23"/>
      <c r="AI1" s="23"/>
      <c r="AJ1" s="4"/>
      <c r="AK1" s="24"/>
      <c r="AL1" s="25"/>
      <c r="AM1" s="25"/>
      <c r="AN1" s="25"/>
      <c r="AO1" s="25"/>
      <c r="AP1" s="25"/>
      <c r="AQ1" s="25"/>
      <c r="AR1" s="25"/>
      <c r="AS1" s="25"/>
      <c r="AT1" s="25"/>
      <c r="AU1" s="25"/>
      <c r="AV1" s="27"/>
      <c r="AW1" s="27"/>
      <c r="AX1" s="28"/>
      <c r="AY1" s="4"/>
      <c r="AZ1" s="4"/>
      <c r="BA1" s="4"/>
      <c r="BB1" s="4"/>
      <c r="BC1" s="4"/>
      <c r="BD1" s="4"/>
      <c r="BE1" s="4"/>
      <c r="BF1" s="4"/>
      <c r="BG1" s="4"/>
      <c r="BH1" s="4"/>
      <c r="BI1" s="4"/>
      <c r="BJ1" s="4"/>
      <c r="BK1" s="4"/>
      <c r="BL1" s="4"/>
      <c r="BM1" s="4"/>
      <c r="BN1" s="4"/>
      <c r="BO1" s="4"/>
      <c r="BP1" s="4"/>
      <c r="BQ1" s="4"/>
      <c r="BR1" s="4"/>
      <c r="BS1" s="4"/>
      <c r="BT1" s="4"/>
      <c r="BU1" s="4"/>
      <c r="BV1" s="4"/>
    </row>
    <row r="2">
      <c r="A2" s="15"/>
      <c r="B2" s="15"/>
      <c r="C2" s="15"/>
      <c r="D2" s="15"/>
      <c r="E2" s="16"/>
      <c r="F2" s="16"/>
      <c r="G2" s="16"/>
      <c r="H2" s="17"/>
      <c r="I2" s="16" t="s">
        <v>49</v>
      </c>
      <c r="J2" s="30" t="s">
        <v>50</v>
      </c>
      <c r="K2" s="30" t="s">
        <v>11</v>
      </c>
      <c r="L2" s="30" t="s">
        <v>51</v>
      </c>
      <c r="M2" s="30" t="s">
        <v>53</v>
      </c>
      <c r="N2" s="30" t="s">
        <v>14</v>
      </c>
      <c r="O2" s="30" t="s">
        <v>15</v>
      </c>
      <c r="P2" s="30" t="s">
        <v>16</v>
      </c>
      <c r="Q2" s="30" t="s">
        <v>8</v>
      </c>
      <c r="R2" s="30" t="s">
        <v>9</v>
      </c>
      <c r="S2" s="30" t="s">
        <v>17</v>
      </c>
      <c r="T2" s="30" t="s">
        <v>54</v>
      </c>
      <c r="U2" s="31" t="s">
        <v>55</v>
      </c>
      <c r="V2" s="32" t="s">
        <v>60</v>
      </c>
      <c r="W2" s="33" t="str">
        <f>"Round "&amp;Column(A1)</f>
        <v>Round 1</v>
      </c>
      <c r="X2" s="34"/>
      <c r="Y2" s="35" t="str">
        <f>"Round "&amp;Column(B1)</f>
        <v>Round 2</v>
      </c>
      <c r="Z2" s="34"/>
      <c r="AA2" s="35" t="str">
        <f>"Round "&amp;Column(C1)</f>
        <v>Round 3</v>
      </c>
      <c r="AB2" s="34"/>
      <c r="AC2" s="35" t="str">
        <f>"Round "&amp;Column(D1)</f>
        <v>Round 4</v>
      </c>
      <c r="AD2" s="34"/>
      <c r="AE2" s="35" t="str">
        <f>"Round "&amp;Column(F1)</f>
        <v>Round 6</v>
      </c>
      <c r="AF2" s="34"/>
      <c r="AG2" s="35" t="str">
        <f>"Round "&amp;Column(G1)</f>
        <v>Round 7</v>
      </c>
      <c r="AH2" s="34"/>
      <c r="AI2" s="35" t="str">
        <f>"Round "&amp;Column(H1)</f>
        <v>Round 8</v>
      </c>
      <c r="AJ2" s="34"/>
      <c r="AK2" s="35" t="str">
        <f>"Round "&amp;Column(P1)</f>
        <v>Round 16</v>
      </c>
      <c r="AL2" s="34"/>
      <c r="AM2" s="35" t="str">
        <f>"Round "&amp;Column(R1)</f>
        <v>Round 18</v>
      </c>
      <c r="AN2" s="34"/>
      <c r="AO2" s="35" t="str">
        <f>"Round "&amp;Column(T1)</f>
        <v>Round 20</v>
      </c>
      <c r="AP2" s="34"/>
      <c r="AQ2" s="35" t="str">
        <f>"Round "&amp;Column(V1)</f>
        <v>Round 22</v>
      </c>
      <c r="AR2" s="34"/>
      <c r="AS2" s="35" t="str">
        <f>"Round "&amp;Column(X1)</f>
        <v>Round 24</v>
      </c>
      <c r="AT2" s="34"/>
      <c r="AU2" s="35" t="str">
        <f>"Round "&amp;Column(Z1)</f>
        <v>Round 26</v>
      </c>
      <c r="AV2" s="34"/>
      <c r="AW2" s="42" t="str">
        <f t="shared" ref="AW2:BC2" si="1">"Round "&amp;Column(I1)</f>
        <v>Round 9</v>
      </c>
      <c r="AX2" s="42" t="str">
        <f t="shared" si="1"/>
        <v>Round 10</v>
      </c>
      <c r="AY2" s="42" t="str">
        <f t="shared" si="1"/>
        <v>Round 11</v>
      </c>
      <c r="AZ2" s="42" t="str">
        <f t="shared" si="1"/>
        <v>Round 12</v>
      </c>
      <c r="BA2" s="42" t="str">
        <f t="shared" si="1"/>
        <v>Round 13</v>
      </c>
      <c r="BB2" s="42" t="str">
        <f t="shared" si="1"/>
        <v>Round 14</v>
      </c>
      <c r="BC2" s="42" t="str">
        <f t="shared" si="1"/>
        <v>Round 15</v>
      </c>
      <c r="BD2" s="4" t="str">
        <f>Draft!AK3</f>
        <v/>
      </c>
      <c r="BE2" s="4" t="str">
        <f>Draft!AL3</f>
        <v/>
      </c>
      <c r="BF2" s="4" t="str">
        <f>Draft!AM3</f>
        <v/>
      </c>
      <c r="BG2" s="4" t="str">
        <f>Draft!AN3</f>
        <v/>
      </c>
      <c r="BH2" s="4" t="str">
        <f>Draft!AO3</f>
        <v/>
      </c>
      <c r="BI2" s="4"/>
      <c r="BJ2" s="4"/>
      <c r="BK2" s="4"/>
      <c r="BL2" s="4"/>
      <c r="BM2" s="4"/>
      <c r="BN2" s="4"/>
      <c r="BO2" s="4"/>
      <c r="BP2" s="4"/>
      <c r="BQ2" s="4"/>
      <c r="BR2" s="4"/>
      <c r="BS2" s="4"/>
      <c r="BT2" s="4"/>
      <c r="BU2" s="4"/>
      <c r="BV2" s="4"/>
    </row>
    <row r="3">
      <c r="A3" s="15"/>
      <c r="B3" s="15"/>
      <c r="C3" s="15"/>
      <c r="D3" s="15"/>
      <c r="E3" s="43"/>
      <c r="F3" s="44" t="s">
        <v>114</v>
      </c>
      <c r="G3" s="45">
        <v>6.0</v>
      </c>
      <c r="H3" s="17"/>
      <c r="I3" s="46" t="b">
        <f>Draft!C3</f>
        <v>0</v>
      </c>
      <c r="J3" s="30">
        <v>1.0</v>
      </c>
      <c r="K3" s="49">
        <f>'All Teams'!E18</f>
        <v>1.390085393</v>
      </c>
      <c r="L3" s="51">
        <f>'All Teams'!F18</f>
        <v>0.5563949113</v>
      </c>
      <c r="M3" s="52">
        <f>'All Teams'!G18</f>
        <v>2.446125994</v>
      </c>
      <c r="N3" s="54">
        <f>'All Teams'!H18</f>
        <v>0.5619910976</v>
      </c>
      <c r="O3" s="51">
        <f>'All Teams'!I18</f>
        <v>0.9889591041</v>
      </c>
      <c r="P3" s="56">
        <f>'All Teams'!J18</f>
        <v>6.023044776</v>
      </c>
      <c r="Q3" s="57">
        <f>'All Teams'!K18</f>
        <v>-0.5245718845</v>
      </c>
      <c r="R3" s="58">
        <f>'All Teams'!L18</f>
        <v>0.138105526</v>
      </c>
      <c r="S3" s="60">
        <f>'All Teams'!M18</f>
        <v>-1.919005786</v>
      </c>
      <c r="T3" s="62">
        <f t="array" ref="T3">if(Team!D$1=$J3,"-", countif(indirect(address(row($J$2)+ VLOOKUP(Team!D$1,$J$3:$J$14,1),COLUMN($K$2))):indirect(address(row($J$2)+ VLOOKUP(Team!D$1,$J$3:$J$14,1),COLUMN($S$2)))&gt;indirect(address(row($J3),COLUMN($K$2))):indirect(address(row($J3),COLUMN($S$2))),TRUE()))</f>
        <v>2</v>
      </c>
      <c r="U3" s="63">
        <f>SUM(AK$22:AK$33)/99</f>
        <v>0.7777777778</v>
      </c>
      <c r="V3" s="64" t="str">
        <f t="shared" ref="V3:V7" si="2">IF(I3, SUMIF(K3:R3,"&gt;-1.5"),)</f>
        <v/>
      </c>
      <c r="W3" s="65" t="str">
        <f>Draft!D3</f>
        <v>Victor Wembanyama</v>
      </c>
      <c r="X3" s="66"/>
      <c r="Y3" s="65" t="str">
        <f>Draft!E3</f>
        <v/>
      </c>
      <c r="Z3" s="66"/>
      <c r="AA3" s="68" t="str">
        <f>Draft!F3</f>
        <v/>
      </c>
      <c r="AB3" s="66"/>
      <c r="AC3" s="68" t="str">
        <f>Draft!G3</f>
        <v/>
      </c>
      <c r="AD3" s="66"/>
      <c r="AE3" s="68" t="str">
        <f>Draft!H3</f>
        <v/>
      </c>
      <c r="AF3" s="66"/>
      <c r="AG3" s="68" t="str">
        <f>Draft!I3</f>
        <v/>
      </c>
      <c r="AH3" s="66"/>
      <c r="AI3" s="68" t="str">
        <f>Draft!J3</f>
        <v/>
      </c>
      <c r="AJ3" s="66"/>
      <c r="AK3" s="69" t="str">
        <f>Draft!R4</f>
        <v/>
      </c>
      <c r="AL3" s="69" t="str">
        <f>Draft!S4</f>
        <v/>
      </c>
      <c r="AM3" s="69" t="str">
        <f>Draft!T4</f>
        <v/>
      </c>
      <c r="AN3" s="69" t="str">
        <f>Draft!U4</f>
        <v/>
      </c>
      <c r="AO3" s="69" t="str">
        <f>Draft!V4</f>
        <v/>
      </c>
      <c r="AP3" s="69" t="str">
        <f>Draft!W4</f>
        <v/>
      </c>
      <c r="AQ3" s="69" t="str">
        <f>Draft!X4</f>
        <v/>
      </c>
      <c r="AR3" s="69" t="str">
        <f>Draft!Y4</f>
        <v/>
      </c>
      <c r="AS3" s="69" t="str">
        <f>Draft!Z4</f>
        <v/>
      </c>
      <c r="AT3" s="69" t="str">
        <f>Draft!AA4</f>
        <v/>
      </c>
      <c r="AU3" s="69" t="str">
        <f>Draft!AB4</f>
        <v/>
      </c>
      <c r="AV3" s="69" t="str">
        <f>Draft!AC4</f>
        <v/>
      </c>
      <c r="AW3" s="70" t="str">
        <f>Draft!K3</f>
        <v/>
      </c>
      <c r="AX3" s="70" t="str">
        <f>Draft!L3</f>
        <v/>
      </c>
      <c r="AY3" s="70" t="str">
        <f>Draft!M3</f>
        <v/>
      </c>
      <c r="AZ3" s="70" t="str">
        <f>Draft!N3</f>
        <v/>
      </c>
      <c r="BA3" s="70" t="str">
        <f>Draft!O3</f>
        <v/>
      </c>
      <c r="BB3" s="70" t="str">
        <f>Draft!P3</f>
        <v/>
      </c>
      <c r="BC3" s="71" t="str">
        <f>Draft!AJ4</f>
        <v/>
      </c>
      <c r="BD3" s="4" t="str">
        <f>Draft!AK4</f>
        <v/>
      </c>
      <c r="BE3" s="4" t="str">
        <f>Draft!AL4</f>
        <v/>
      </c>
      <c r="BF3" s="4" t="str">
        <f>Draft!AM4</f>
        <v/>
      </c>
      <c r="BG3" s="4" t="str">
        <f>Draft!AN4</f>
        <v/>
      </c>
      <c r="BH3" s="4" t="str">
        <f>Draft!AO4</f>
        <v/>
      </c>
      <c r="BI3" s="4"/>
      <c r="BJ3" s="4"/>
      <c r="BK3" s="4"/>
      <c r="BL3" s="4"/>
      <c r="BM3" s="4"/>
      <c r="BN3" s="4"/>
      <c r="BO3" s="4"/>
      <c r="BP3" s="4"/>
      <c r="BQ3" s="4"/>
      <c r="BR3" s="4"/>
      <c r="BS3" s="4"/>
      <c r="BT3" s="4"/>
      <c r="BU3" s="4"/>
      <c r="BV3" s="4"/>
    </row>
    <row r="4">
      <c r="A4" s="15"/>
      <c r="B4" s="15"/>
      <c r="C4" s="15"/>
      <c r="D4" s="15"/>
      <c r="E4" s="23"/>
      <c r="F4" s="23"/>
      <c r="G4" s="23"/>
      <c r="H4" s="17"/>
      <c r="I4" s="46" t="b">
        <f>Draft!C4</f>
        <v>0</v>
      </c>
      <c r="J4" s="30">
        <v>2.0</v>
      </c>
      <c r="K4" s="72" t="str">
        <f>'All Teams'!E35</f>
        <v/>
      </c>
      <c r="L4" s="73" t="str">
        <f>'All Teams'!F35</f>
        <v/>
      </c>
      <c r="M4" s="74" t="str">
        <f>'All Teams'!G35</f>
        <v/>
      </c>
      <c r="N4" s="75" t="str">
        <f>'All Teams'!H35</f>
        <v/>
      </c>
      <c r="O4" s="51" t="str">
        <f>'All Teams'!I35</f>
        <v/>
      </c>
      <c r="P4" s="76" t="str">
        <f>'All Teams'!J35</f>
        <v/>
      </c>
      <c r="Q4" s="77">
        <f>'All Teams'!K35</f>
        <v>0</v>
      </c>
      <c r="R4" s="78">
        <f>'All Teams'!L35</f>
        <v>0</v>
      </c>
      <c r="S4" s="79" t="str">
        <f>'All Teams'!M35</f>
        <v/>
      </c>
      <c r="T4" s="62">
        <f t="array" ref="T4">if(Team!D$1=$J4,"-", countif(indirect(address(row($J$2)+ VLOOKUP(Team!D$1,$J$3:$J$14,1),COLUMN($K$2))):indirect(address(row($J$2)+ VLOOKUP(Team!D$1,$J$3:$J$14,1),COLUMN($S$2)))&gt;indirect(address(row($J4),COLUMN($K$2))):indirect(address(row($J4),COLUMN($S$2))),TRUE()))</f>
        <v>0</v>
      </c>
      <c r="U4" s="84">
        <f>SUM(AL$22:AL$33)/99</f>
        <v>0.0202020202</v>
      </c>
      <c r="V4" s="64" t="str">
        <f t="shared" si="2"/>
        <v/>
      </c>
      <c r="W4" s="65" t="str">
        <f>Draft!D4</f>
        <v/>
      </c>
      <c r="X4" s="66"/>
      <c r="Y4" s="65" t="str">
        <f>Draft!E4</f>
        <v/>
      </c>
      <c r="Z4" s="66"/>
      <c r="AA4" s="68" t="str">
        <f>Draft!F4</f>
        <v/>
      </c>
      <c r="AB4" s="66"/>
      <c r="AC4" s="68" t="str">
        <f>Draft!G4</f>
        <v/>
      </c>
      <c r="AD4" s="66"/>
      <c r="AE4" s="68" t="str">
        <f>Draft!H4</f>
        <v/>
      </c>
      <c r="AF4" s="66"/>
      <c r="AG4" s="68" t="str">
        <f>Draft!I4</f>
        <v/>
      </c>
      <c r="AH4" s="66"/>
      <c r="AI4" s="68" t="str">
        <f>Draft!J4</f>
        <v/>
      </c>
      <c r="AJ4" s="66"/>
      <c r="AK4" s="69" t="str">
        <f>Draft!R5</f>
        <v/>
      </c>
      <c r="AL4" s="69" t="str">
        <f>Draft!S5</f>
        <v/>
      </c>
      <c r="AM4" s="69" t="str">
        <f>Draft!T5</f>
        <v/>
      </c>
      <c r="AN4" s="69" t="str">
        <f>Draft!U5</f>
        <v/>
      </c>
      <c r="AO4" s="69" t="str">
        <f>Draft!V5</f>
        <v/>
      </c>
      <c r="AP4" s="69" t="str">
        <f>Draft!W5</f>
        <v/>
      </c>
      <c r="AQ4" s="69" t="str">
        <f>Draft!X5</f>
        <v/>
      </c>
      <c r="AR4" s="69" t="str">
        <f>Draft!Y5</f>
        <v/>
      </c>
      <c r="AS4" s="69" t="str">
        <f>Draft!Z5</f>
        <v/>
      </c>
      <c r="AT4" s="69" t="str">
        <f>Draft!AA5</f>
        <v/>
      </c>
      <c r="AU4" s="69"/>
      <c r="AV4" s="69" t="str">
        <f>Draft!AC5</f>
        <v/>
      </c>
      <c r="AW4" s="70" t="str">
        <f>Draft!K4</f>
        <v/>
      </c>
      <c r="AX4" s="70" t="str">
        <f>Draft!L4</f>
        <v/>
      </c>
      <c r="AY4" s="70" t="str">
        <f>Draft!M4</f>
        <v/>
      </c>
      <c r="AZ4" s="70" t="str">
        <f>Draft!N4</f>
        <v/>
      </c>
      <c r="BA4" s="70" t="str">
        <f>Draft!O4</f>
        <v/>
      </c>
      <c r="BB4" s="70" t="str">
        <f>Draft!P4</f>
        <v/>
      </c>
      <c r="BC4" s="71" t="str">
        <f>Draft!AJ5</f>
        <v/>
      </c>
      <c r="BD4" s="4" t="str">
        <f>Draft!AK5</f>
        <v/>
      </c>
      <c r="BE4" s="4" t="str">
        <f>Draft!AL5</f>
        <v/>
      </c>
      <c r="BF4" s="4" t="str">
        <f>Draft!AM5</f>
        <v/>
      </c>
      <c r="BG4" s="4" t="str">
        <f>Draft!AN5</f>
        <v/>
      </c>
      <c r="BH4" s="4" t="str">
        <f>Draft!AO5</f>
        <v/>
      </c>
      <c r="BI4" s="4"/>
      <c r="BJ4" s="4"/>
      <c r="BK4" s="4"/>
      <c r="BL4" s="4"/>
      <c r="BM4" s="4"/>
      <c r="BN4" s="4"/>
      <c r="BO4" s="4"/>
      <c r="BP4" s="4"/>
      <c r="BQ4" s="4"/>
      <c r="BR4" s="4"/>
      <c r="BS4" s="4"/>
      <c r="BT4" s="4"/>
      <c r="BU4" s="4"/>
      <c r="BV4" s="4"/>
    </row>
    <row r="5">
      <c r="A5" s="15"/>
      <c r="B5" s="15"/>
      <c r="C5" s="15"/>
      <c r="D5" s="15"/>
      <c r="E5" s="86"/>
      <c r="F5" s="87" t="s">
        <v>226</v>
      </c>
      <c r="G5" s="88"/>
      <c r="H5" s="17"/>
      <c r="I5" s="46" t="b">
        <f>Draft!C5</f>
        <v>0</v>
      </c>
      <c r="J5" s="30">
        <v>3.0</v>
      </c>
      <c r="K5" s="89" t="str">
        <f>'All Teams'!E52</f>
        <v/>
      </c>
      <c r="L5" s="90" t="str">
        <f>'All Teams'!F52</f>
        <v/>
      </c>
      <c r="M5" s="91" t="str">
        <f>'All Teams'!G52</f>
        <v/>
      </c>
      <c r="N5" s="92" t="str">
        <f>'All Teams'!H52</f>
        <v/>
      </c>
      <c r="O5" s="93" t="str">
        <f>'All Teams'!I52</f>
        <v/>
      </c>
      <c r="P5" s="94" t="str">
        <f>'All Teams'!J52</f>
        <v/>
      </c>
      <c r="Q5" s="95">
        <f>'All Teams'!K52</f>
        <v>0</v>
      </c>
      <c r="R5" s="96">
        <f>'All Teams'!L52</f>
        <v>0</v>
      </c>
      <c r="S5" s="97" t="str">
        <f>'All Teams'!M52</f>
        <v/>
      </c>
      <c r="T5" s="100">
        <f t="array" ref="T5">if(Team!D$1=$J5,"-", countif(indirect(address(row($J$2)+ VLOOKUP(Team!D$1,$J$3:$J$14,1),COLUMN($K$2))):indirect(address(row($J$2)+ VLOOKUP(Team!D$1,$J$3:$J$14,1),COLUMN($S$2)))&gt;indirect(address(row($J5),COLUMN($K$2))):indirect(address(row($J5),COLUMN($S$2))),TRUE()))</f>
        <v>0</v>
      </c>
      <c r="U5" s="101">
        <f>SUM(AM$22:AM$33)/99</f>
        <v>0.0202020202</v>
      </c>
      <c r="V5" s="64" t="str">
        <f t="shared" si="2"/>
        <v/>
      </c>
      <c r="W5" s="65" t="str">
        <f>Draft!D5</f>
        <v/>
      </c>
      <c r="X5" s="66"/>
      <c r="Y5" s="65" t="str">
        <f>Draft!E5</f>
        <v/>
      </c>
      <c r="Z5" s="66"/>
      <c r="AA5" s="68" t="str">
        <f>Draft!F5</f>
        <v/>
      </c>
      <c r="AB5" s="66"/>
      <c r="AC5" s="68" t="str">
        <f>Draft!G5</f>
        <v/>
      </c>
      <c r="AD5" s="66"/>
      <c r="AE5" s="68" t="str">
        <f>Draft!H5</f>
        <v/>
      </c>
      <c r="AF5" s="66"/>
      <c r="AG5" s="68" t="str">
        <f>Draft!I5</f>
        <v/>
      </c>
      <c r="AH5" s="66"/>
      <c r="AI5" s="68" t="str">
        <f>Draft!J5</f>
        <v/>
      </c>
      <c r="AJ5" s="66"/>
      <c r="AK5" s="69" t="str">
        <f>Draft!R6</f>
        <v/>
      </c>
      <c r="AL5" s="69" t="str">
        <f>Draft!S6</f>
        <v/>
      </c>
      <c r="AM5" s="69" t="str">
        <f>Draft!T6</f>
        <v/>
      </c>
      <c r="AN5" s="69" t="str">
        <f>Draft!U6</f>
        <v/>
      </c>
      <c r="AO5" s="69" t="str">
        <f>Draft!V6</f>
        <v/>
      </c>
      <c r="AP5" s="69" t="str">
        <f>Draft!W6</f>
        <v/>
      </c>
      <c r="AQ5" s="69" t="str">
        <f>Draft!X6</f>
        <v/>
      </c>
      <c r="AR5" s="69" t="str">
        <f>Draft!Y6</f>
        <v/>
      </c>
      <c r="AS5" s="69" t="str">
        <f>Draft!Z6</f>
        <v/>
      </c>
      <c r="AT5" s="69" t="str">
        <f>Draft!AA6</f>
        <v/>
      </c>
      <c r="AU5" s="69" t="str">
        <f>Draft!AB6</f>
        <v/>
      </c>
      <c r="AV5" s="69" t="str">
        <f>Draft!AC6</f>
        <v/>
      </c>
      <c r="AW5" s="70" t="str">
        <f>Draft!K5</f>
        <v/>
      </c>
      <c r="AX5" s="70" t="str">
        <f>Draft!L5</f>
        <v/>
      </c>
      <c r="AY5" s="70" t="str">
        <f>Draft!M5</f>
        <v/>
      </c>
      <c r="AZ5" s="70" t="str">
        <f>Draft!N5</f>
        <v/>
      </c>
      <c r="BA5" s="70" t="str">
        <f>Draft!O5</f>
        <v/>
      </c>
      <c r="BB5" s="70" t="str">
        <f>Draft!P5</f>
        <v/>
      </c>
      <c r="BC5" s="71" t="str">
        <f>Draft!AJ6</f>
        <v/>
      </c>
      <c r="BD5" s="4" t="str">
        <f>Draft!AK6</f>
        <v/>
      </c>
      <c r="BE5" s="4" t="str">
        <f>Draft!AL6</f>
        <v/>
      </c>
      <c r="BF5" s="4" t="str">
        <f>Draft!AM6</f>
        <v/>
      </c>
      <c r="BG5" s="4" t="str">
        <f>Draft!AN6</f>
        <v/>
      </c>
      <c r="BH5" s="4" t="str">
        <f>Draft!AO6</f>
        <v/>
      </c>
      <c r="BI5" s="4"/>
      <c r="BJ5" s="4"/>
      <c r="BK5" s="4"/>
      <c r="BL5" s="4"/>
      <c r="BM5" s="4"/>
      <c r="BN5" s="4"/>
      <c r="BO5" s="4"/>
      <c r="BP5" s="4"/>
      <c r="BQ5" s="4"/>
      <c r="BR5" s="4"/>
      <c r="BS5" s="4"/>
      <c r="BT5" s="4"/>
      <c r="BU5" s="4"/>
      <c r="BV5" s="4"/>
    </row>
    <row r="6">
      <c r="A6" s="15"/>
      <c r="B6" s="15"/>
      <c r="C6" s="15"/>
      <c r="D6" s="15"/>
      <c r="E6" s="108"/>
      <c r="F6" s="109" t="s">
        <v>279</v>
      </c>
      <c r="G6" s="110">
        <v>1.0</v>
      </c>
      <c r="H6" s="17"/>
      <c r="I6" s="46" t="b">
        <f>Draft!C6</f>
        <v>0</v>
      </c>
      <c r="J6" s="30">
        <v>4.0</v>
      </c>
      <c r="K6" s="111" t="str">
        <f>'All Teams'!E69</f>
        <v/>
      </c>
      <c r="L6" s="113" t="str">
        <f>'All Teams'!F69</f>
        <v/>
      </c>
      <c r="M6" s="115" t="str">
        <f>'All Teams'!G69</f>
        <v/>
      </c>
      <c r="N6" s="116" t="str">
        <f>'All Teams'!H69</f>
        <v/>
      </c>
      <c r="O6" s="117" t="str">
        <f>'All Teams'!I69</f>
        <v/>
      </c>
      <c r="P6" s="118" t="str">
        <f>'All Teams'!J69</f>
        <v/>
      </c>
      <c r="Q6" s="119">
        <f>'All Teams'!K69</f>
        <v>0</v>
      </c>
      <c r="R6" s="120">
        <f>'All Teams'!L69</f>
        <v>0</v>
      </c>
      <c r="S6" s="121" t="str">
        <f>'All Teams'!M69</f>
        <v/>
      </c>
      <c r="T6" s="100">
        <f t="array" ref="T6">if(Team!D$1=$J6,"-", countif(indirect(address(row($J$2)+ VLOOKUP(Team!D$1,$J$3:$J$14,1),COLUMN($K$2))):indirect(address(row($J$2)+ VLOOKUP(Team!D$1,$J$3:$J$14,1),COLUMN($S$2)))&gt;indirect(address(row($J6),COLUMN($K$2))):indirect(address(row($J6),COLUMN($S$2))),TRUE()))</f>
        <v>0</v>
      </c>
      <c r="U6" s="122">
        <f>SUM(AN$22:AN$33)/99</f>
        <v>0.0202020202</v>
      </c>
      <c r="V6" s="64" t="str">
        <f t="shared" si="2"/>
        <v/>
      </c>
      <c r="W6" s="65" t="str">
        <f>Draft!D6</f>
        <v/>
      </c>
      <c r="X6" s="66"/>
      <c r="Y6" s="65" t="str">
        <f>Draft!E6</f>
        <v/>
      </c>
      <c r="Z6" s="66"/>
      <c r="AA6" s="68" t="str">
        <f>Draft!F6</f>
        <v/>
      </c>
      <c r="AB6" s="66"/>
      <c r="AC6" s="68" t="str">
        <f>Draft!G6</f>
        <v/>
      </c>
      <c r="AD6" s="66"/>
      <c r="AE6" s="68" t="str">
        <f>Draft!H6</f>
        <v/>
      </c>
      <c r="AF6" s="66"/>
      <c r="AG6" s="68" t="str">
        <f>Draft!I6</f>
        <v/>
      </c>
      <c r="AH6" s="66"/>
      <c r="AI6" s="68" t="str">
        <f>Draft!J6</f>
        <v/>
      </c>
      <c r="AJ6" s="66"/>
      <c r="AK6" s="69" t="str">
        <f>Draft!R7</f>
        <v/>
      </c>
      <c r="AL6" s="69" t="str">
        <f>Draft!S7</f>
        <v/>
      </c>
      <c r="AM6" s="69" t="str">
        <f>Draft!T7</f>
        <v/>
      </c>
      <c r="AN6" s="69" t="str">
        <f>Draft!U7</f>
        <v/>
      </c>
      <c r="AO6" s="69" t="str">
        <f>Draft!V7</f>
        <v/>
      </c>
      <c r="AP6" s="69" t="str">
        <f>Draft!W7</f>
        <v/>
      </c>
      <c r="AQ6" s="69" t="str">
        <f>Draft!X7</f>
        <v/>
      </c>
      <c r="AR6" s="69" t="str">
        <f>Draft!Y7</f>
        <v/>
      </c>
      <c r="AS6" s="69" t="str">
        <f>Draft!Z7</f>
        <v/>
      </c>
      <c r="AT6" s="69" t="str">
        <f>Draft!AA7</f>
        <v/>
      </c>
      <c r="AU6" s="69" t="str">
        <f>Draft!AB7</f>
        <v/>
      </c>
      <c r="AV6" s="69" t="str">
        <f>Draft!AC7</f>
        <v/>
      </c>
      <c r="AW6" s="70" t="str">
        <f>Draft!K6</f>
        <v/>
      </c>
      <c r="AX6" s="70" t="str">
        <f>Draft!L6</f>
        <v/>
      </c>
      <c r="AY6" s="70" t="str">
        <f>Draft!M6</f>
        <v/>
      </c>
      <c r="AZ6" s="70" t="str">
        <f>Draft!N6</f>
        <v/>
      </c>
      <c r="BA6" s="70" t="str">
        <f>Draft!O6</f>
        <v/>
      </c>
      <c r="BB6" s="70" t="str">
        <f>Draft!P6</f>
        <v/>
      </c>
      <c r="BC6" s="71" t="str">
        <f>Draft!AJ7</f>
        <v/>
      </c>
      <c r="BD6" s="4" t="str">
        <f>Draft!AK7</f>
        <v/>
      </c>
      <c r="BE6" s="4" t="str">
        <f>Draft!AL7</f>
        <v/>
      </c>
      <c r="BF6" s="4" t="str">
        <f>Draft!AM7</f>
        <v/>
      </c>
      <c r="BG6" s="4" t="str">
        <f>Draft!AN7</f>
        <v/>
      </c>
      <c r="BH6" s="4" t="str">
        <f>Draft!AO7</f>
        <v/>
      </c>
      <c r="BI6" s="4"/>
      <c r="BJ6" s="4"/>
      <c r="BK6" s="4"/>
      <c r="BL6" s="4"/>
      <c r="BM6" s="4"/>
      <c r="BN6" s="4"/>
      <c r="BO6" s="4"/>
      <c r="BP6" s="4"/>
      <c r="BQ6" s="4"/>
      <c r="BR6" s="4"/>
      <c r="BS6" s="4"/>
      <c r="BT6" s="4"/>
      <c r="BU6" s="4"/>
      <c r="BV6" s="4"/>
    </row>
    <row r="7">
      <c r="A7" s="15"/>
      <c r="B7" s="15"/>
      <c r="C7" s="15"/>
      <c r="D7" s="15"/>
      <c r="E7" s="125"/>
      <c r="F7" s="126" t="s">
        <v>39</v>
      </c>
      <c r="G7" s="127"/>
      <c r="H7" s="17"/>
      <c r="I7" s="46" t="b">
        <f>Draft!C7</f>
        <v>0</v>
      </c>
      <c r="J7" s="30">
        <v>5.0</v>
      </c>
      <c r="K7" s="128" t="str">
        <f>'All Teams'!E86</f>
        <v/>
      </c>
      <c r="L7" s="129" t="str">
        <f>'All Teams'!F86</f>
        <v/>
      </c>
      <c r="M7" s="130" t="str">
        <f>'All Teams'!G86</f>
        <v/>
      </c>
      <c r="N7" s="131" t="str">
        <f>'All Teams'!H86</f>
        <v/>
      </c>
      <c r="O7" s="132" t="str">
        <f>'All Teams'!I86</f>
        <v/>
      </c>
      <c r="P7" s="133" t="str">
        <f>'All Teams'!J86</f>
        <v/>
      </c>
      <c r="Q7" s="134">
        <f>'All Teams'!K86</f>
        <v>0</v>
      </c>
      <c r="R7" s="135">
        <f>'All Teams'!L86</f>
        <v>0</v>
      </c>
      <c r="S7" s="136" t="str">
        <f>'All Teams'!M86</f>
        <v/>
      </c>
      <c r="T7" s="137">
        <f t="array" ref="T7">if(Team!D$1=$J7,"-", countif(indirect(address(row($J$2)+ VLOOKUP(Team!D$1,$J$3:$J$14,1),COLUMN($K$2))):indirect(address(row($J$2)+ VLOOKUP(Team!D$1,$J$3:$J$14,1),COLUMN($S$2)))&gt;indirect(address(row($J7),COLUMN($K$2))):indirect(address(row($J7),COLUMN($S$2))),TRUE()))</f>
        <v>0</v>
      </c>
      <c r="U7" s="138">
        <f>SUM(AO$22:AO$33)/99</f>
        <v>0.0202020202</v>
      </c>
      <c r="V7" s="64" t="str">
        <f t="shared" si="2"/>
        <v/>
      </c>
      <c r="W7" s="65" t="str">
        <f>Draft!D7</f>
        <v/>
      </c>
      <c r="X7" s="66"/>
      <c r="Y7" s="65" t="str">
        <f>Draft!E7</f>
        <v/>
      </c>
      <c r="Z7" s="66"/>
      <c r="AA7" s="68" t="str">
        <f>Draft!F7</f>
        <v/>
      </c>
      <c r="AB7" s="66"/>
      <c r="AC7" s="68" t="str">
        <f>Draft!G7</f>
        <v/>
      </c>
      <c r="AD7" s="66"/>
      <c r="AE7" s="68" t="str">
        <f>Draft!H7</f>
        <v/>
      </c>
      <c r="AF7" s="66"/>
      <c r="AG7" s="68" t="str">
        <f>Draft!I7</f>
        <v/>
      </c>
      <c r="AH7" s="66"/>
      <c r="AI7" s="68" t="str">
        <f>Draft!J7</f>
        <v/>
      </c>
      <c r="AJ7" s="66"/>
      <c r="AK7" s="69" t="str">
        <f>Draft!R8</f>
        <v/>
      </c>
      <c r="AL7" s="69" t="str">
        <f>Draft!S8</f>
        <v/>
      </c>
      <c r="AM7" s="69" t="str">
        <f>Draft!T8</f>
        <v/>
      </c>
      <c r="AN7" s="69" t="str">
        <f>Draft!U8</f>
        <v/>
      </c>
      <c r="AO7" s="69" t="str">
        <f>Draft!V8</f>
        <v/>
      </c>
      <c r="AP7" s="69" t="str">
        <f>Draft!W8</f>
        <v/>
      </c>
      <c r="AQ7" s="69" t="str">
        <f>Draft!X8</f>
        <v/>
      </c>
      <c r="AR7" s="69" t="str">
        <f>Draft!Y8</f>
        <v/>
      </c>
      <c r="AS7" s="69" t="str">
        <f>Draft!Z8</f>
        <v/>
      </c>
      <c r="AT7" s="69" t="str">
        <f>Draft!AA8</f>
        <v/>
      </c>
      <c r="AU7" s="69" t="str">
        <f>Draft!AB8</f>
        <v/>
      </c>
      <c r="AV7" s="69" t="str">
        <f>Draft!AC8</f>
        <v/>
      </c>
      <c r="AW7" s="70" t="str">
        <f>Draft!K7</f>
        <v/>
      </c>
      <c r="AX7" s="70" t="str">
        <f>Draft!L7</f>
        <v/>
      </c>
      <c r="AY7" s="70" t="str">
        <f>Draft!M7</f>
        <v/>
      </c>
      <c r="AZ7" s="70" t="str">
        <f>Draft!N7</f>
        <v/>
      </c>
      <c r="BA7" s="70" t="str">
        <f>Draft!O7</f>
        <v/>
      </c>
      <c r="BB7" s="70" t="str">
        <f>Draft!P7</f>
        <v/>
      </c>
      <c r="BC7" s="71" t="str">
        <f>Draft!AJ8</f>
        <v/>
      </c>
      <c r="BD7" s="4" t="str">
        <f>Draft!AK8</f>
        <v/>
      </c>
      <c r="BE7" s="4" t="str">
        <f>Draft!AL8</f>
        <v/>
      </c>
      <c r="BF7" s="4" t="str">
        <f>Draft!AM8</f>
        <v/>
      </c>
      <c r="BG7" s="4" t="str">
        <f>Draft!AN8</f>
        <v/>
      </c>
      <c r="BH7" s="4" t="str">
        <f>Draft!AO8</f>
        <v/>
      </c>
      <c r="BI7" s="4"/>
      <c r="BJ7" s="4"/>
      <c r="BK7" s="4"/>
      <c r="BL7" s="4"/>
      <c r="BM7" s="4"/>
      <c r="BN7" s="4"/>
      <c r="BO7" s="4"/>
      <c r="BP7" s="4"/>
      <c r="BQ7" s="4"/>
      <c r="BR7" s="4"/>
      <c r="BS7" s="4"/>
      <c r="BT7" s="4"/>
      <c r="BU7" s="4"/>
      <c r="BV7" s="4"/>
    </row>
    <row r="8">
      <c r="A8" s="15"/>
      <c r="B8" s="23"/>
      <c r="C8" s="23"/>
      <c r="D8" s="15"/>
      <c r="E8" s="139"/>
      <c r="F8" s="140"/>
      <c r="G8" s="141"/>
      <c r="H8" s="17"/>
      <c r="I8" s="46" t="b">
        <f>Draft!C8</f>
        <v>1</v>
      </c>
      <c r="J8" s="30">
        <v>6.0</v>
      </c>
      <c r="K8" s="142" t="str">
        <f>'All Teams'!E103</f>
        <v/>
      </c>
      <c r="L8" s="143" t="str">
        <f>'All Teams'!F103</f>
        <v/>
      </c>
      <c r="M8" s="144" t="str">
        <f>'All Teams'!G103</f>
        <v/>
      </c>
      <c r="N8" s="145" t="str">
        <f>'All Teams'!H103</f>
        <v/>
      </c>
      <c r="O8" s="146" t="str">
        <f>'All Teams'!I103</f>
        <v/>
      </c>
      <c r="P8" s="147" t="str">
        <f>'All Teams'!J103</f>
        <v/>
      </c>
      <c r="Q8" s="148">
        <f>'All Teams'!K103</f>
        <v>0</v>
      </c>
      <c r="R8" s="149">
        <f>'All Teams'!L103</f>
        <v>0</v>
      </c>
      <c r="S8" s="150" t="str">
        <f>'All Teams'!M103</f>
        <v/>
      </c>
      <c r="T8" s="137" t="str">
        <f t="array" ref="T8">if(Team!D$1=$J8,"-", countif(indirect(address(row($J$2)+ VLOOKUP(Team!D$1,$J$3:$J$14,1),COLUMN($K$2))):indirect(address(row($J$2)+ VLOOKUP(Team!D$1,$J$3:$J$14,1),COLUMN($S$2)))&gt;indirect(address(row($J8),COLUMN($K$2))):indirect(address(row($J8),COLUMN($S$2))),TRUE()))</f>
        <v>-</v>
      </c>
      <c r="U8" s="151">
        <f>SUM(AP$22:AP$33)/99</f>
        <v>0.0202020202</v>
      </c>
      <c r="V8" s="152">
        <f>IF(I8, SUMIF(K8:R8,"&gt;-2.5"),)</f>
        <v>0</v>
      </c>
      <c r="W8" s="65" t="str">
        <f>Draft!D8</f>
        <v/>
      </c>
      <c r="X8" s="66"/>
      <c r="Y8" s="65" t="str">
        <f>Draft!E8</f>
        <v/>
      </c>
      <c r="Z8" s="66"/>
      <c r="AA8" s="68" t="str">
        <f>Draft!F8</f>
        <v/>
      </c>
      <c r="AB8" s="66"/>
      <c r="AC8" s="68" t="str">
        <f>Draft!G8</f>
        <v/>
      </c>
      <c r="AD8" s="66"/>
      <c r="AE8" s="68" t="str">
        <f>Draft!H8</f>
        <v/>
      </c>
      <c r="AF8" s="66"/>
      <c r="AG8" s="68" t="str">
        <f>Draft!I8</f>
        <v/>
      </c>
      <c r="AH8" s="66"/>
      <c r="AI8" s="68" t="str">
        <f>Draft!J8</f>
        <v/>
      </c>
      <c r="AJ8" s="66"/>
      <c r="AK8" s="69" t="str">
        <f>Draft!R9</f>
        <v/>
      </c>
      <c r="AL8" s="69" t="str">
        <f>Draft!S9</f>
        <v/>
      </c>
      <c r="AM8" s="69" t="str">
        <f>Draft!T9</f>
        <v/>
      </c>
      <c r="AN8" s="69" t="str">
        <f>Draft!U9</f>
        <v/>
      </c>
      <c r="AO8" s="69" t="str">
        <f>Draft!V9</f>
        <v/>
      </c>
      <c r="AP8" s="69" t="str">
        <f>Draft!W9</f>
        <v/>
      </c>
      <c r="AQ8" s="69" t="str">
        <f>Draft!X9</f>
        <v/>
      </c>
      <c r="AR8" s="69" t="str">
        <f>Draft!Y9</f>
        <v/>
      </c>
      <c r="AS8" s="69" t="str">
        <f>Draft!Z9</f>
        <v/>
      </c>
      <c r="AT8" s="69" t="str">
        <f>Draft!AA9</f>
        <v/>
      </c>
      <c r="AU8" s="69" t="str">
        <f>Draft!AB9</f>
        <v/>
      </c>
      <c r="AV8" s="69" t="str">
        <f>Draft!AC9</f>
        <v/>
      </c>
      <c r="AW8" s="70" t="str">
        <f>Draft!K8</f>
        <v/>
      </c>
      <c r="AX8" s="70" t="str">
        <f>Draft!L8</f>
        <v/>
      </c>
      <c r="AY8" s="70" t="str">
        <f>Draft!M8</f>
        <v/>
      </c>
      <c r="AZ8" s="70" t="str">
        <f>Draft!N8</f>
        <v/>
      </c>
      <c r="BA8" s="70" t="str">
        <f>Draft!O8</f>
        <v/>
      </c>
      <c r="BB8" s="70" t="str">
        <f>Draft!P8</f>
        <v/>
      </c>
      <c r="BC8" s="71" t="str">
        <f>Draft!AJ9</f>
        <v/>
      </c>
      <c r="BD8" s="4" t="str">
        <f>Draft!AK9</f>
        <v/>
      </c>
      <c r="BE8" s="4" t="str">
        <f>Draft!AL9</f>
        <v/>
      </c>
      <c r="BF8" s="4" t="str">
        <f>Draft!AM9</f>
        <v/>
      </c>
      <c r="BG8" s="4" t="str">
        <f>Draft!AN9</f>
        <v/>
      </c>
      <c r="BH8" s="4" t="str">
        <f>Draft!AO9</f>
        <v/>
      </c>
      <c r="BI8" s="4"/>
      <c r="BJ8" s="4"/>
      <c r="BK8" s="4"/>
      <c r="BL8" s="4"/>
      <c r="BM8" s="4"/>
      <c r="BN8" s="4"/>
      <c r="BO8" s="4"/>
      <c r="BP8" s="4"/>
      <c r="BQ8" s="4"/>
      <c r="BR8" s="4"/>
      <c r="BS8" s="4"/>
      <c r="BT8" s="4"/>
      <c r="BU8" s="4"/>
      <c r="BV8" s="4"/>
    </row>
    <row r="9">
      <c r="A9" s="15"/>
      <c r="B9" s="23"/>
      <c r="C9" s="23"/>
      <c r="D9" s="15"/>
      <c r="E9" s="139"/>
      <c r="F9" s="154"/>
      <c r="G9" s="155"/>
      <c r="H9" s="17"/>
      <c r="I9" s="46" t="b">
        <f>Draft!C9</f>
        <v>0</v>
      </c>
      <c r="J9" s="30">
        <v>7.0</v>
      </c>
      <c r="K9" s="156" t="str">
        <f>'All Teams'!E120</f>
        <v/>
      </c>
      <c r="L9" s="157" t="str">
        <f>'All Teams'!F120</f>
        <v/>
      </c>
      <c r="M9" s="158" t="str">
        <f>'All Teams'!G120</f>
        <v/>
      </c>
      <c r="N9" s="159" t="str">
        <f>'All Teams'!H120</f>
        <v/>
      </c>
      <c r="O9" s="93" t="str">
        <f>'All Teams'!I120</f>
        <v/>
      </c>
      <c r="P9" s="133" t="str">
        <f>'All Teams'!J120</f>
        <v/>
      </c>
      <c r="Q9" s="160">
        <f>'All Teams'!K120</f>
        <v>0</v>
      </c>
      <c r="R9" s="161">
        <f>'All Teams'!L120</f>
        <v>0</v>
      </c>
      <c r="S9" s="162" t="str">
        <f>'All Teams'!M120</f>
        <v/>
      </c>
      <c r="T9" s="163">
        <f t="array" ref="T9">if(Team!D$1=$J9,"-", countif(indirect(address(row($J$2)+ VLOOKUP(Team!D$1,$J$3:$J$14,1),COLUMN($K$2))):indirect(address(row($J$2)+ VLOOKUP(Team!D$1,$J$3:$J$14,1),COLUMN($S$2)))&gt;indirect(address(row($J9),COLUMN($K$2))):indirect(address(row($J9),COLUMN($S$2))),TRUE()))</f>
        <v>0</v>
      </c>
      <c r="U9" s="84">
        <f>SUM(AQ$22:AQ$33)/99</f>
        <v>0.0202020202</v>
      </c>
      <c r="V9" s="64" t="str">
        <f t="shared" ref="V9:V14" si="3">IF(I9, SUMIF(K9:R9,"&gt;-1.5"),)</f>
        <v/>
      </c>
      <c r="W9" s="65" t="str">
        <f>Draft!D9</f>
        <v/>
      </c>
      <c r="X9" s="66"/>
      <c r="Y9" s="65" t="str">
        <f>Draft!E9</f>
        <v/>
      </c>
      <c r="Z9" s="66"/>
      <c r="AA9" s="68" t="str">
        <f>Draft!F9</f>
        <v/>
      </c>
      <c r="AB9" s="66"/>
      <c r="AC9" s="68" t="str">
        <f>Draft!G9</f>
        <v/>
      </c>
      <c r="AD9" s="66"/>
      <c r="AE9" s="68" t="str">
        <f>Draft!H9</f>
        <v/>
      </c>
      <c r="AF9" s="66"/>
      <c r="AG9" s="68" t="str">
        <f>Draft!I9</f>
        <v/>
      </c>
      <c r="AH9" s="66"/>
      <c r="AI9" s="68" t="str">
        <f>Draft!J9</f>
        <v/>
      </c>
      <c r="AJ9" s="66"/>
      <c r="AK9" s="69" t="str">
        <f>Draft!R10</f>
        <v/>
      </c>
      <c r="AL9" s="69" t="str">
        <f>Draft!S10</f>
        <v/>
      </c>
      <c r="AM9" s="69" t="str">
        <f>Draft!T10</f>
        <v/>
      </c>
      <c r="AN9" s="69" t="str">
        <f>Draft!U10</f>
        <v/>
      </c>
      <c r="AO9" s="69" t="str">
        <f>Draft!V10</f>
        <v/>
      </c>
      <c r="AP9" s="69" t="str">
        <f>Draft!W10</f>
        <v/>
      </c>
      <c r="AQ9" s="69" t="str">
        <f>Draft!X10</f>
        <v/>
      </c>
      <c r="AR9" s="69" t="str">
        <f>Draft!Y10</f>
        <v/>
      </c>
      <c r="AS9" s="69" t="str">
        <f>Draft!Z10</f>
        <v/>
      </c>
      <c r="AT9" s="69" t="str">
        <f>Draft!AA10</f>
        <v/>
      </c>
      <c r="AU9" s="69" t="str">
        <f>Draft!AB10</f>
        <v/>
      </c>
      <c r="AV9" s="69" t="str">
        <f>Draft!AC10</f>
        <v/>
      </c>
      <c r="AW9" s="70" t="str">
        <f>Draft!K9</f>
        <v/>
      </c>
      <c r="AX9" s="70" t="str">
        <f>Draft!L9</f>
        <v/>
      </c>
      <c r="AY9" s="70" t="str">
        <f>Draft!M9</f>
        <v/>
      </c>
      <c r="AZ9" s="70" t="str">
        <f>Draft!N9</f>
        <v/>
      </c>
      <c r="BA9" s="70" t="str">
        <f>Draft!O9</f>
        <v/>
      </c>
      <c r="BB9" s="70" t="str">
        <f>Draft!P9</f>
        <v/>
      </c>
      <c r="BC9" s="71" t="str">
        <f>Draft!AJ10</f>
        <v/>
      </c>
      <c r="BD9" s="4" t="str">
        <f>Draft!AK10</f>
        <v/>
      </c>
      <c r="BE9" s="4" t="str">
        <f>Draft!AL10</f>
        <v/>
      </c>
      <c r="BF9" s="4" t="str">
        <f>Draft!AM10</f>
        <v/>
      </c>
      <c r="BG9" s="4" t="str">
        <f>Draft!AN10</f>
        <v/>
      </c>
      <c r="BH9" s="4" t="str">
        <f>Draft!AO10</f>
        <v/>
      </c>
      <c r="BI9" s="4"/>
      <c r="BJ9" s="4"/>
      <c r="BK9" s="4"/>
      <c r="BL9" s="4"/>
      <c r="BM9" s="4"/>
      <c r="BN9" s="4"/>
      <c r="BO9" s="4"/>
      <c r="BP9" s="4"/>
      <c r="BQ9" s="4"/>
      <c r="BR9" s="4"/>
      <c r="BS9" s="4"/>
      <c r="BT9" s="4"/>
      <c r="BU9" s="4"/>
      <c r="BV9" s="4"/>
    </row>
    <row r="10">
      <c r="A10" s="15"/>
      <c r="B10" s="15"/>
      <c r="C10" s="15"/>
      <c r="D10" s="15"/>
      <c r="E10" s="167"/>
      <c r="F10" s="168"/>
      <c r="G10" s="167"/>
      <c r="H10" s="17"/>
      <c r="I10" s="46" t="b">
        <f>Draft!C10</f>
        <v>0</v>
      </c>
      <c r="J10" s="30">
        <v>8.0</v>
      </c>
      <c r="K10" s="169" t="str">
        <f>'All Teams'!E137</f>
        <v/>
      </c>
      <c r="L10" s="118" t="str">
        <f>'All Teams'!F137</f>
        <v/>
      </c>
      <c r="M10" s="135" t="str">
        <f>'All Teams'!G137</f>
        <v/>
      </c>
      <c r="N10" s="171" t="str">
        <f>'All Teams'!H137</f>
        <v/>
      </c>
      <c r="O10" s="173" t="str">
        <f>'All Teams'!I137</f>
        <v/>
      </c>
      <c r="P10" s="171" t="str">
        <f>'All Teams'!J137</f>
        <v/>
      </c>
      <c r="Q10" s="174">
        <f>'All Teams'!K137</f>
        <v>0</v>
      </c>
      <c r="R10" s="175">
        <f>'All Teams'!L137</f>
        <v>0</v>
      </c>
      <c r="S10" s="176" t="str">
        <f>'All Teams'!M137</f>
        <v/>
      </c>
      <c r="T10" s="178">
        <f t="array" ref="T10">if(Team!D$1=$J10,"-", countif(indirect(address(row($J$2)+ VLOOKUP(Team!D$1,$J$3:$J$14,1),COLUMN($K$2))):indirect(address(row($J$2)+ VLOOKUP(Team!D$1,$J$3:$J$14,1),COLUMN($S$2)))&gt;indirect(address(row($J10),COLUMN($K$2))):indirect(address(row($J10),COLUMN($S$2))),TRUE()))</f>
        <v>0</v>
      </c>
      <c r="U10" s="179">
        <f>SUM(AR$22:AR$33)/99</f>
        <v>0.0202020202</v>
      </c>
      <c r="V10" s="64" t="str">
        <f t="shared" si="3"/>
        <v/>
      </c>
      <c r="W10" s="65" t="str">
        <f>Draft!D10</f>
        <v/>
      </c>
      <c r="X10" s="66"/>
      <c r="Y10" s="65" t="str">
        <f>Draft!E10</f>
        <v/>
      </c>
      <c r="Z10" s="66"/>
      <c r="AA10" s="68" t="str">
        <f>Draft!F10</f>
        <v/>
      </c>
      <c r="AB10" s="66"/>
      <c r="AC10" s="68" t="str">
        <f>Draft!G10</f>
        <v/>
      </c>
      <c r="AD10" s="66"/>
      <c r="AE10" s="68" t="str">
        <f>Draft!H10</f>
        <v/>
      </c>
      <c r="AF10" s="66"/>
      <c r="AG10" s="68" t="str">
        <f>Draft!I10</f>
        <v/>
      </c>
      <c r="AH10" s="66"/>
      <c r="AI10" s="68" t="str">
        <f>Draft!J10</f>
        <v/>
      </c>
      <c r="AJ10" s="66"/>
      <c r="AK10" s="69" t="str">
        <f>Draft!R11</f>
        <v/>
      </c>
      <c r="AL10" s="69" t="str">
        <f>Draft!S11</f>
        <v/>
      </c>
      <c r="AM10" s="69" t="str">
        <f>Draft!T11</f>
        <v/>
      </c>
      <c r="AN10" s="69" t="str">
        <f>Draft!U11</f>
        <v/>
      </c>
      <c r="AO10" s="69" t="str">
        <f>Draft!V11</f>
        <v/>
      </c>
      <c r="AP10" s="69" t="str">
        <f>Draft!W11</f>
        <v/>
      </c>
      <c r="AQ10" s="69" t="str">
        <f>Draft!X11</f>
        <v/>
      </c>
      <c r="AR10" s="69" t="str">
        <f>Draft!Y11</f>
        <v/>
      </c>
      <c r="AS10" s="69" t="str">
        <f>Draft!Z11</f>
        <v/>
      </c>
      <c r="AT10" s="69" t="str">
        <f>Draft!AA11</f>
        <v/>
      </c>
      <c r="AU10" s="69" t="str">
        <f>Draft!AB11</f>
        <v/>
      </c>
      <c r="AV10" s="69" t="str">
        <f>Draft!AC11</f>
        <v/>
      </c>
      <c r="AW10" s="70" t="str">
        <f>Draft!K10</f>
        <v/>
      </c>
      <c r="AX10" s="70" t="str">
        <f>Draft!L10</f>
        <v/>
      </c>
      <c r="AY10" s="70" t="str">
        <f>Draft!M10</f>
        <v/>
      </c>
      <c r="AZ10" s="70" t="str">
        <f>Draft!N10</f>
        <v/>
      </c>
      <c r="BA10" s="70" t="str">
        <f>Draft!O10</f>
        <v/>
      </c>
      <c r="BB10" s="70" t="str">
        <f>Draft!P10</f>
        <v/>
      </c>
      <c r="BC10" s="71" t="str">
        <f>Draft!AJ11</f>
        <v/>
      </c>
      <c r="BD10" s="4" t="str">
        <f>Draft!AK11</f>
        <v/>
      </c>
      <c r="BE10" s="4" t="str">
        <f>Draft!AL11</f>
        <v/>
      </c>
      <c r="BF10" s="4" t="str">
        <f>Draft!AM11</f>
        <v/>
      </c>
      <c r="BG10" s="4" t="str">
        <f>Draft!AN11</f>
        <v/>
      </c>
      <c r="BH10" s="4" t="str">
        <f>Draft!AO11</f>
        <v/>
      </c>
      <c r="BI10" s="4"/>
      <c r="BJ10" s="4"/>
      <c r="BK10" s="4"/>
      <c r="BL10" s="4"/>
      <c r="BM10" s="4"/>
      <c r="BN10" s="4"/>
      <c r="BO10" s="4"/>
      <c r="BP10" s="4"/>
      <c r="BQ10" s="4"/>
      <c r="BR10" s="4"/>
      <c r="BS10" s="4"/>
      <c r="BT10" s="4"/>
      <c r="BU10" s="4"/>
      <c r="BV10" s="4"/>
    </row>
    <row r="11">
      <c r="A11" s="15"/>
      <c r="B11" s="15"/>
      <c r="D11" s="43"/>
      <c r="E11" s="43"/>
      <c r="F11" s="44" t="s">
        <v>519</v>
      </c>
      <c r="G11" s="88"/>
      <c r="H11" s="17"/>
      <c r="I11" s="46" t="b">
        <f>Draft!C11</f>
        <v>0</v>
      </c>
      <c r="J11" s="30">
        <v>9.0</v>
      </c>
      <c r="K11" s="181" t="str">
        <f>'All Teams'!E154</f>
        <v/>
      </c>
      <c r="L11" s="182" t="str">
        <f>'All Teams'!F154</f>
        <v/>
      </c>
      <c r="M11" s="131" t="str">
        <f>'All Teams'!G154</f>
        <v/>
      </c>
      <c r="N11" s="184" t="str">
        <f>'All Teams'!H154</f>
        <v/>
      </c>
      <c r="O11" s="121" t="str">
        <f>'All Teams'!I154</f>
        <v/>
      </c>
      <c r="P11" s="90" t="str">
        <f>'All Teams'!J154</f>
        <v/>
      </c>
      <c r="Q11" s="185">
        <f>'All Teams'!K154</f>
        <v>0</v>
      </c>
      <c r="R11" s="186">
        <f>'All Teams'!L154</f>
        <v>0</v>
      </c>
      <c r="S11" s="121" t="str">
        <f>'All Teams'!M154</f>
        <v/>
      </c>
      <c r="T11" s="178">
        <f t="array" ref="T11">if(Team!D$1=$J11,"-", countif(indirect(address(row($J$2)+ VLOOKUP(Team!D$1,$J$3:$J$14,1),COLUMN($K$2))):indirect(address(row($J$2)+ VLOOKUP(Team!D$1,$J$3:$J$14,1),COLUMN($S$2)))&gt;indirect(address(row($J11),COLUMN($K$2))):indirect(address(row($J11),COLUMN($S$2))),TRUE()))</f>
        <v>0</v>
      </c>
      <c r="U11" s="187">
        <f>SUM(AS$22:AS$33)/99</f>
        <v>0.0202020202</v>
      </c>
      <c r="V11" s="64" t="str">
        <f t="shared" si="3"/>
        <v/>
      </c>
      <c r="W11" s="65" t="str">
        <f>Draft!D11</f>
        <v/>
      </c>
      <c r="X11" s="66"/>
      <c r="Y11" s="65" t="str">
        <f>Draft!E11</f>
        <v/>
      </c>
      <c r="Z11" s="66"/>
      <c r="AA11" s="68" t="str">
        <f>Draft!F11</f>
        <v/>
      </c>
      <c r="AB11" s="66"/>
      <c r="AC11" s="68" t="str">
        <f>Draft!G11</f>
        <v/>
      </c>
      <c r="AD11" s="66"/>
      <c r="AE11" s="68" t="str">
        <f>Draft!H11</f>
        <v/>
      </c>
      <c r="AF11" s="66"/>
      <c r="AG11" s="68" t="str">
        <f>Draft!I11</f>
        <v/>
      </c>
      <c r="AH11" s="66"/>
      <c r="AI11" s="68" t="str">
        <f>Draft!J11</f>
        <v/>
      </c>
      <c r="AJ11" s="66"/>
      <c r="AK11" s="69" t="str">
        <f>Draft!R12</f>
        <v/>
      </c>
      <c r="AL11" s="69" t="str">
        <f>Draft!S12</f>
        <v/>
      </c>
      <c r="AM11" s="69" t="str">
        <f>Draft!T12</f>
        <v/>
      </c>
      <c r="AN11" s="69" t="str">
        <f>Draft!U12</f>
        <v/>
      </c>
      <c r="AO11" s="69" t="str">
        <f>Draft!V12</f>
        <v/>
      </c>
      <c r="AP11" s="69" t="str">
        <f>Draft!W12</f>
        <v/>
      </c>
      <c r="AQ11" s="69" t="str">
        <f>Draft!X12</f>
        <v/>
      </c>
      <c r="AR11" s="69" t="str">
        <f>Draft!Y12</f>
        <v/>
      </c>
      <c r="AS11" s="69" t="str">
        <f>Draft!Z12</f>
        <v/>
      </c>
      <c r="AT11" s="69" t="str">
        <f>Draft!AA12</f>
        <v/>
      </c>
      <c r="AU11" s="69" t="str">
        <f>Draft!AB12</f>
        <v/>
      </c>
      <c r="AV11" s="69" t="str">
        <f>Draft!AC12</f>
        <v/>
      </c>
      <c r="AW11" s="70" t="str">
        <f>Draft!K11</f>
        <v/>
      </c>
      <c r="AX11" s="70" t="str">
        <f>Draft!L11</f>
        <v/>
      </c>
      <c r="AY11" s="70" t="str">
        <f>Draft!M11</f>
        <v/>
      </c>
      <c r="AZ11" s="70" t="str">
        <f>Draft!N11</f>
        <v/>
      </c>
      <c r="BA11" s="70" t="str">
        <f>Draft!O11</f>
        <v/>
      </c>
      <c r="BB11" s="70" t="str">
        <f>Draft!P11</f>
        <v/>
      </c>
      <c r="BC11" s="71" t="str">
        <f>Draft!AJ12</f>
        <v/>
      </c>
      <c r="BD11" s="4" t="str">
        <f>Draft!AK12</f>
        <v/>
      </c>
      <c r="BE11" s="4" t="str">
        <f>Draft!AL12</f>
        <v/>
      </c>
      <c r="BF11" s="4" t="str">
        <f>Draft!AM12</f>
        <v/>
      </c>
      <c r="BG11" s="4" t="str">
        <f>Draft!AN12</f>
        <v/>
      </c>
      <c r="BH11" s="4" t="str">
        <f>Draft!AO12</f>
        <v/>
      </c>
      <c r="BI11" s="4"/>
      <c r="BJ11" s="4"/>
      <c r="BK11" s="4"/>
      <c r="BL11" s="4"/>
      <c r="BM11" s="4"/>
      <c r="BN11" s="4"/>
      <c r="BO11" s="4"/>
      <c r="BP11" s="4"/>
      <c r="BQ11" s="4"/>
      <c r="BR11" s="4"/>
      <c r="BS11" s="4"/>
      <c r="BT11" s="4"/>
      <c r="BU11" s="4"/>
      <c r="BV11" s="4"/>
    </row>
    <row r="12">
      <c r="A12" s="15"/>
      <c r="B12" s="15"/>
      <c r="C12" s="189"/>
      <c r="D12" s="189"/>
      <c r="E12" s="190"/>
      <c r="F12" s="191" t="s">
        <v>199</v>
      </c>
      <c r="G12" s="192" t="b">
        <v>1</v>
      </c>
      <c r="H12" s="17"/>
      <c r="I12" s="46" t="b">
        <f>Draft!C12</f>
        <v>0</v>
      </c>
      <c r="J12" s="30">
        <v>10.0</v>
      </c>
      <c r="K12" s="160" t="str">
        <f>'All Teams'!E171</f>
        <v/>
      </c>
      <c r="L12" s="193" t="str">
        <f>'All Teams'!F171</f>
        <v/>
      </c>
      <c r="M12" s="194" t="str">
        <f>'All Teams'!G171</f>
        <v/>
      </c>
      <c r="N12" s="195" t="str">
        <f>'All Teams'!H171</f>
        <v/>
      </c>
      <c r="O12" s="95" t="str">
        <f>'All Teams'!I171</f>
        <v/>
      </c>
      <c r="P12" s="196" t="str">
        <f>'All Teams'!J171</f>
        <v/>
      </c>
      <c r="Q12" s="197">
        <f>'All Teams'!K171</f>
        <v>0</v>
      </c>
      <c r="R12" s="198">
        <f>'All Teams'!L171</f>
        <v>0</v>
      </c>
      <c r="S12" s="199" t="str">
        <f>'All Teams'!M171</f>
        <v/>
      </c>
      <c r="T12" s="163">
        <f t="array" ref="T12">if(Team!D$1=$J12,"-", countif(indirect(address(row($J$2)+ VLOOKUP(Team!D$1,$J$3:$J$14,1),COLUMN($K$2))):indirect(address(row($J$2)+ VLOOKUP(Team!D$1,$J$3:$J$14,1),COLUMN($S$2)))&gt;indirect(address(row($J12),COLUMN($K$2))):indirect(address(row($J12),COLUMN($S$2))),TRUE()))</f>
        <v>0</v>
      </c>
      <c r="U12" s="200">
        <f>SUM(AT$22:AT$33)/99</f>
        <v>0.0202020202</v>
      </c>
      <c r="V12" s="64" t="str">
        <f t="shared" si="3"/>
        <v/>
      </c>
      <c r="W12" s="65" t="str">
        <f>Draft!D12</f>
        <v/>
      </c>
      <c r="X12" s="66"/>
      <c r="Y12" s="65" t="str">
        <f>Draft!E12</f>
        <v/>
      </c>
      <c r="Z12" s="66"/>
      <c r="AA12" s="68" t="str">
        <f>Draft!F12</f>
        <v/>
      </c>
      <c r="AB12" s="66"/>
      <c r="AC12" s="68" t="str">
        <f>Draft!G12</f>
        <v/>
      </c>
      <c r="AD12" s="66"/>
      <c r="AE12" s="68" t="str">
        <f>Draft!H12</f>
        <v/>
      </c>
      <c r="AF12" s="66"/>
      <c r="AG12" s="68" t="str">
        <f>Draft!I12</f>
        <v/>
      </c>
      <c r="AH12" s="66"/>
      <c r="AI12" s="68" t="str">
        <f>Draft!J12</f>
        <v/>
      </c>
      <c r="AJ12" s="66"/>
      <c r="AK12" s="69" t="str">
        <f>Draft!R13</f>
        <v/>
      </c>
      <c r="AL12" s="69" t="str">
        <f>Draft!S13</f>
        <v/>
      </c>
      <c r="AM12" s="69" t="str">
        <f>Draft!T13</f>
        <v/>
      </c>
      <c r="AN12" s="69" t="str">
        <f>Draft!U13</f>
        <v/>
      </c>
      <c r="AO12" s="69" t="str">
        <f>Draft!V13</f>
        <v/>
      </c>
      <c r="AP12" s="69" t="str">
        <f>Draft!W13</f>
        <v/>
      </c>
      <c r="AQ12" s="69" t="str">
        <f>Draft!X13</f>
        <v/>
      </c>
      <c r="AR12" s="69" t="str">
        <f>Draft!Y13</f>
        <v/>
      </c>
      <c r="AS12" s="69" t="str">
        <f>Draft!Z13</f>
        <v/>
      </c>
      <c r="AT12" s="69" t="str">
        <f>Draft!AA13</f>
        <v/>
      </c>
      <c r="AU12" s="69" t="str">
        <f>Draft!AB13</f>
        <v/>
      </c>
      <c r="AV12" s="69" t="str">
        <f>Draft!AC13</f>
        <v/>
      </c>
      <c r="AW12" s="70" t="str">
        <f>Draft!K12</f>
        <v/>
      </c>
      <c r="AX12" s="70" t="str">
        <f>Draft!L12</f>
        <v/>
      </c>
      <c r="AY12" s="70" t="str">
        <f>Draft!M12</f>
        <v/>
      </c>
      <c r="AZ12" s="70" t="str">
        <f>Draft!N12</f>
        <v/>
      </c>
      <c r="BA12" s="70" t="str">
        <f>Draft!O12</f>
        <v/>
      </c>
      <c r="BB12" s="70" t="str">
        <f>Draft!P12</f>
        <v/>
      </c>
      <c r="BC12" s="71" t="str">
        <f>Draft!AJ13</f>
        <v/>
      </c>
      <c r="BD12" s="4" t="str">
        <f>Draft!AK13</f>
        <v/>
      </c>
      <c r="BE12" s="4" t="str">
        <f>Draft!AL13</f>
        <v/>
      </c>
      <c r="BF12" s="4" t="str">
        <f>Draft!AM13</f>
        <v/>
      </c>
      <c r="BG12" s="4" t="str">
        <f>Draft!AN13</f>
        <v/>
      </c>
      <c r="BH12" s="4" t="str">
        <f>Draft!AO13</f>
        <v/>
      </c>
      <c r="BI12" s="4"/>
      <c r="BJ12" s="4"/>
      <c r="BK12" s="4"/>
      <c r="BL12" s="4"/>
      <c r="BM12" s="4"/>
      <c r="BN12" s="4"/>
      <c r="BO12" s="4"/>
      <c r="BP12" s="4"/>
      <c r="BQ12" s="4"/>
      <c r="BR12" s="4"/>
      <c r="BS12" s="4"/>
      <c r="BT12" s="4"/>
      <c r="BU12" s="4"/>
      <c r="BV12" s="4"/>
    </row>
    <row r="13">
      <c r="A13" s="15"/>
      <c r="B13" s="15"/>
      <c r="C13" s="201"/>
      <c r="D13" s="201"/>
      <c r="E13" s="202"/>
      <c r="F13" s="203" t="s">
        <v>612</v>
      </c>
      <c r="G13" s="204">
        <v>2.0</v>
      </c>
      <c r="H13" s="17"/>
      <c r="I13" s="46" t="b">
        <f>Draft!C13</f>
        <v>0</v>
      </c>
      <c r="J13" s="30">
        <v>11.0</v>
      </c>
      <c r="K13" s="205" t="str">
        <f>'All Teams'!E188</f>
        <v/>
      </c>
      <c r="L13" s="206" t="str">
        <f>'All Teams'!F188</f>
        <v/>
      </c>
      <c r="M13" s="207" t="str">
        <f>'All Teams'!G188</f>
        <v/>
      </c>
      <c r="N13" s="186" t="str">
        <f>'All Teams'!H188</f>
        <v/>
      </c>
      <c r="O13" s="208" t="str">
        <f>'All Teams'!I188</f>
        <v/>
      </c>
      <c r="P13" s="209" t="str">
        <f>'All Teams'!J188</f>
        <v/>
      </c>
      <c r="Q13" s="210">
        <f>'All Teams'!K188</f>
        <v>0</v>
      </c>
      <c r="R13" s="132">
        <f>'All Teams'!L188</f>
        <v>0</v>
      </c>
      <c r="S13" s="211" t="str">
        <f>'All Teams'!M188</f>
        <v/>
      </c>
      <c r="T13" s="163">
        <f t="array" ref="T13">if(Team!D$1=$J13,"-", countif(indirect(address(row($J$2)+ VLOOKUP(Team!D$1,$J$3:$J$14,1),COLUMN($K$2))):indirect(address(row($J$2)+ VLOOKUP(Team!D$1,$J$3:$J$14,1),COLUMN($S$2)))&gt;indirect(address(row($J13),COLUMN($K$2))):indirect(address(row($J13),COLUMN($S$2))),TRUE()))</f>
        <v>0</v>
      </c>
      <c r="U13" s="179">
        <f>SUM(AU$22:AU$33)/99</f>
        <v>0.0202020202</v>
      </c>
      <c r="V13" s="64" t="str">
        <f t="shared" si="3"/>
        <v/>
      </c>
      <c r="W13" s="65" t="str">
        <f>Draft!D13</f>
        <v/>
      </c>
      <c r="X13" s="66"/>
      <c r="Y13" s="65" t="str">
        <f>Draft!E13</f>
        <v/>
      </c>
      <c r="Z13" s="66"/>
      <c r="AA13" s="68" t="str">
        <f>Draft!F13</f>
        <v/>
      </c>
      <c r="AB13" s="66"/>
      <c r="AC13" s="68" t="str">
        <f>Draft!G13</f>
        <v/>
      </c>
      <c r="AD13" s="66"/>
      <c r="AE13" s="68" t="str">
        <f>Draft!H13</f>
        <v/>
      </c>
      <c r="AF13" s="66"/>
      <c r="AG13" s="68" t="str">
        <f>Draft!I13</f>
        <v/>
      </c>
      <c r="AH13" s="66"/>
      <c r="AI13" s="68" t="str">
        <f>Draft!J13</f>
        <v/>
      </c>
      <c r="AJ13" s="66"/>
      <c r="AK13" s="69" t="str">
        <f>Draft!R14</f>
        <v/>
      </c>
      <c r="AL13" s="69" t="str">
        <f>Draft!S14</f>
        <v/>
      </c>
      <c r="AM13" s="69" t="str">
        <f>Draft!T14</f>
        <v/>
      </c>
      <c r="AN13" s="69" t="str">
        <f>Draft!U14</f>
        <v/>
      </c>
      <c r="AO13" s="69" t="str">
        <f>Draft!V14</f>
        <v/>
      </c>
      <c r="AP13" s="69" t="str">
        <f>Draft!W14</f>
        <v/>
      </c>
      <c r="AQ13" s="69" t="str">
        <f>Draft!X14</f>
        <v/>
      </c>
      <c r="AR13" s="69" t="str">
        <f>Draft!Y14</f>
        <v/>
      </c>
      <c r="AS13" s="69" t="str">
        <f>Draft!Z14</f>
        <v/>
      </c>
      <c r="AT13" s="69" t="str">
        <f>Draft!AA14</f>
        <v/>
      </c>
      <c r="AU13" s="69" t="str">
        <f>Draft!AB14</f>
        <v/>
      </c>
      <c r="AV13" s="69" t="str">
        <f>Draft!AC14</f>
        <v/>
      </c>
      <c r="AW13" s="70" t="str">
        <f>Draft!K13</f>
        <v/>
      </c>
      <c r="AX13" s="70" t="str">
        <f>Draft!L13</f>
        <v/>
      </c>
      <c r="AY13" s="70" t="str">
        <f>Draft!M13</f>
        <v/>
      </c>
      <c r="AZ13" s="70" t="str">
        <f>Draft!N13</f>
        <v/>
      </c>
      <c r="BA13" s="70" t="str">
        <f>Draft!O13</f>
        <v/>
      </c>
      <c r="BB13" s="70" t="str">
        <f>Draft!P13</f>
        <v/>
      </c>
      <c r="BC13" s="71" t="str">
        <f>Draft!AJ14</f>
        <v/>
      </c>
      <c r="BD13" s="4" t="str">
        <f>Draft!AK14</f>
        <v/>
      </c>
      <c r="BE13" s="4" t="str">
        <f>Draft!AL14</f>
        <v/>
      </c>
      <c r="BF13" s="4" t="str">
        <f>Draft!AM14</f>
        <v/>
      </c>
      <c r="BG13" s="4" t="str">
        <f>Draft!AN14</f>
        <v/>
      </c>
      <c r="BH13" s="4" t="str">
        <f>Draft!AO14</f>
        <v/>
      </c>
      <c r="BI13" s="4"/>
      <c r="BJ13" s="4"/>
      <c r="BK13" s="4"/>
      <c r="BL13" s="4"/>
      <c r="BM13" s="4"/>
      <c r="BN13" s="4"/>
      <c r="BO13" s="4"/>
      <c r="BP13" s="4"/>
      <c r="BQ13" s="4"/>
      <c r="BR13" s="4"/>
      <c r="BS13" s="4"/>
      <c r="BT13" s="4"/>
      <c r="BU13" s="4"/>
      <c r="BV13" s="4"/>
    </row>
    <row r="14">
      <c r="A14" s="15"/>
      <c r="B14" s="15"/>
      <c r="C14" s="201"/>
      <c r="D14" s="201"/>
      <c r="E14" s="202"/>
      <c r="F14" s="203" t="s">
        <v>657</v>
      </c>
      <c r="G14" s="204">
        <f>IFERROR(__xludf.DUMMYFUNCTION("MIN(FILTER(IF(G12,Draft!D17:O17,Draft!D16:O16),IF(G12,Draft!D17:O17,Draft!D16:O16)&gt;G13))"),6.0)</f>
        <v>6</v>
      </c>
      <c r="H14" s="17"/>
      <c r="I14" s="46" t="b">
        <f>Draft!C14</f>
        <v>0</v>
      </c>
      <c r="J14" s="30">
        <v>12.0</v>
      </c>
      <c r="K14" s="212" t="str">
        <f>'All Teams'!E205</f>
        <v/>
      </c>
      <c r="L14" s="213" t="str">
        <f>'All Teams'!F205</f>
        <v/>
      </c>
      <c r="M14" s="214" t="str">
        <f>'All Teams'!G205</f>
        <v/>
      </c>
      <c r="N14" s="215" t="str">
        <f>'All Teams'!H205</f>
        <v/>
      </c>
      <c r="O14" s="216" t="str">
        <f>'All Teams'!I205</f>
        <v/>
      </c>
      <c r="P14" s="217" t="str">
        <f>'All Teams'!J205</f>
        <v/>
      </c>
      <c r="Q14" s="218">
        <f>'All Teams'!K205</f>
        <v>0</v>
      </c>
      <c r="R14" s="219">
        <f>'All Teams'!L205</f>
        <v>0</v>
      </c>
      <c r="S14" s="220" t="str">
        <f>'All Teams'!M205</f>
        <v/>
      </c>
      <c r="T14" s="163">
        <f t="array" ref="T14">if(Team!D$1=$J14,"-", countif(indirect(address(row($J$2)+ VLOOKUP(Team!D$1,$J$3:$J$14,1),COLUMN($K$2))):indirect(address(row($J$2)+ VLOOKUP(Team!D$1,$J$3:$J$14,1),COLUMN($S$2)))&gt;indirect(address(row($J14),COLUMN($K$2))):indirect(address(row($J14),COLUMN($S$2))),TRUE()))</f>
        <v>0</v>
      </c>
      <c r="U14" s="187">
        <f>SUM(AV$22:AV$33)/99</f>
        <v>0.0202020202</v>
      </c>
      <c r="V14" s="64" t="str">
        <f t="shared" si="3"/>
        <v/>
      </c>
      <c r="W14" s="65" t="str">
        <f>Draft!D14</f>
        <v/>
      </c>
      <c r="X14" s="66"/>
      <c r="Y14" s="65" t="str">
        <f>Draft!E14</f>
        <v/>
      </c>
      <c r="Z14" s="66"/>
      <c r="AA14" s="68" t="str">
        <f>Draft!F14</f>
        <v/>
      </c>
      <c r="AB14" s="66"/>
      <c r="AC14" s="68" t="str">
        <f>Draft!G14</f>
        <v/>
      </c>
      <c r="AD14" s="66"/>
      <c r="AE14" s="68" t="str">
        <f>Draft!H14</f>
        <v/>
      </c>
      <c r="AF14" s="66"/>
      <c r="AG14" s="68" t="str">
        <f>Draft!I14</f>
        <v/>
      </c>
      <c r="AH14" s="66"/>
      <c r="AI14" s="68" t="str">
        <f>Draft!J14</f>
        <v/>
      </c>
      <c r="AJ14" s="66"/>
      <c r="AK14" s="69" t="str">
        <f>Draft!R15</f>
        <v/>
      </c>
      <c r="AL14" s="69" t="str">
        <f>Draft!S15</f>
        <v/>
      </c>
      <c r="AM14" s="69" t="str">
        <f>Draft!T15</f>
        <v/>
      </c>
      <c r="AN14" s="69" t="str">
        <f>Draft!U15</f>
        <v/>
      </c>
      <c r="AO14" s="69" t="str">
        <f>Draft!V15</f>
        <v/>
      </c>
      <c r="AP14" s="69" t="str">
        <f>Draft!W15</f>
        <v/>
      </c>
      <c r="AQ14" s="69" t="str">
        <f>Draft!X15</f>
        <v/>
      </c>
      <c r="AR14" s="69" t="str">
        <f>Draft!Y15</f>
        <v/>
      </c>
      <c r="AS14" s="69" t="str">
        <f>Draft!Z15</f>
        <v/>
      </c>
      <c r="AT14" s="69" t="str">
        <f>Draft!AA15</f>
        <v/>
      </c>
      <c r="AU14" s="69" t="str">
        <f>Draft!AB15</f>
        <v/>
      </c>
      <c r="AV14" s="69" t="str">
        <f>Draft!AC15</f>
        <v/>
      </c>
      <c r="AW14" s="70" t="str">
        <f>Draft!K14</f>
        <v/>
      </c>
      <c r="AX14" s="70" t="str">
        <f>Draft!L14</f>
        <v/>
      </c>
      <c r="AY14" s="70" t="str">
        <f>Draft!M14</f>
        <v/>
      </c>
      <c r="AZ14" s="70" t="str">
        <f>Draft!N14</f>
        <v/>
      </c>
      <c r="BA14" s="70" t="str">
        <f>Draft!O14</f>
        <v/>
      </c>
      <c r="BB14" s="70" t="str">
        <f>Draft!P14</f>
        <v/>
      </c>
      <c r="BC14" s="71" t="str">
        <f>Draft!AJ15</f>
        <v/>
      </c>
      <c r="BD14" s="4" t="str">
        <f>Draft!AK15</f>
        <v/>
      </c>
      <c r="BE14" s="4" t="str">
        <f>Draft!AL15</f>
        <v/>
      </c>
      <c r="BF14" s="4" t="str">
        <f>Draft!AM15</f>
        <v/>
      </c>
      <c r="BG14" s="4" t="str">
        <f>Draft!AN15</f>
        <v/>
      </c>
      <c r="BH14" s="4" t="str">
        <f>Draft!AO15</f>
        <v/>
      </c>
      <c r="BI14" s="4"/>
      <c r="BJ14" s="4"/>
      <c r="BK14" s="4"/>
      <c r="BL14" s="4"/>
      <c r="BM14" s="4"/>
      <c r="BN14" s="4"/>
      <c r="BO14" s="4"/>
      <c r="BP14" s="4"/>
      <c r="BQ14" s="4"/>
      <c r="BR14" s="4"/>
      <c r="BS14" s="4"/>
      <c r="BT14" s="4"/>
      <c r="BU14" s="4"/>
      <c r="BV14" s="4"/>
    </row>
    <row r="15">
      <c r="A15" s="15"/>
      <c r="B15" s="15"/>
      <c r="C15" s="201"/>
      <c r="D15" s="221"/>
      <c r="E15" s="202"/>
      <c r="F15" s="222" t="s">
        <v>702</v>
      </c>
      <c r="G15" s="223" t="s">
        <v>39</v>
      </c>
      <c r="H15" s="17"/>
      <c r="I15" s="17"/>
      <c r="J15" s="4"/>
      <c r="K15" s="17"/>
      <c r="L15" s="4"/>
      <c r="M15" s="4"/>
      <c r="N15" s="4"/>
      <c r="O15" s="4"/>
      <c r="P15" s="4"/>
      <c r="Q15" s="4"/>
      <c r="R15" s="4"/>
      <c r="S15" s="4"/>
      <c r="T15" s="4"/>
      <c r="U15" s="4"/>
      <c r="V15" s="4"/>
      <c r="W15" s="224">
        <f>IF($G$12,Draft!D17,Draft!D16)</f>
        <v>6</v>
      </c>
      <c r="X15" s="34"/>
      <c r="Y15" s="224">
        <f>IF($G$12,Draft!E17,Draft!E16)</f>
        <v>19</v>
      </c>
      <c r="Z15" s="34"/>
      <c r="AA15" s="225">
        <f>IF($G$12,Draft!F17,Draft!F16)</f>
        <v>31</v>
      </c>
      <c r="AB15" s="34"/>
      <c r="AC15" s="225">
        <f>IF($G$12,Draft!G17,Draft!G16)</f>
        <v>42</v>
      </c>
      <c r="AD15" s="34"/>
      <c r="AE15" s="225">
        <f>IF($G$12,Draft!H17,Draft!H16)</f>
        <v>55</v>
      </c>
      <c r="AF15" s="34"/>
      <c r="AG15" s="225">
        <f>IF($G$12,Draft!I17,Draft!I16)</f>
        <v>66</v>
      </c>
      <c r="AH15" s="34"/>
      <c r="AI15" s="225">
        <f>IF($G$12,Draft!J17,Draft!J16)</f>
        <v>79</v>
      </c>
      <c r="AJ15" s="34"/>
      <c r="AK15" s="224" t="str">
        <f>IF($G$12,Draft!R16,Draft!R16)</f>
        <v/>
      </c>
      <c r="AL15" s="34"/>
      <c r="AM15" s="224" t="str">
        <f>IF($G$12,Draft!T16,Draft!T16)</f>
        <v/>
      </c>
      <c r="AN15" s="34"/>
      <c r="AO15" s="224" t="str">
        <f>IF($G$12,Draft!V16,Draft!V16)</f>
        <v/>
      </c>
      <c r="AP15" s="34"/>
      <c r="AQ15" s="224" t="str">
        <f>IF($G$12,Draft!X16,Draft!X16)</f>
        <v/>
      </c>
      <c r="AR15" s="34"/>
      <c r="AS15" s="224" t="str">
        <f>IF($G$12,Draft!Z16,Draft!Z16)</f>
        <v/>
      </c>
      <c r="AT15" s="34"/>
      <c r="AU15" s="224" t="str">
        <f>IF($G$12,Draft!AB16,Draft!AB16)</f>
        <v/>
      </c>
      <c r="AV15" s="34"/>
      <c r="AW15" s="226">
        <f>IF($G$12,Draft!K17,Draft!K16)</f>
        <v>90</v>
      </c>
      <c r="AX15" s="226">
        <f>IF($G$12,Draft!L17,Draft!L16)</f>
        <v>103</v>
      </c>
      <c r="AY15" s="226">
        <f>IF($G$12,Draft!M17,Draft!M16)</f>
        <v>114</v>
      </c>
      <c r="AZ15" s="226">
        <f>IF($G$12,Draft!N17,Draft!N16)</f>
        <v>127</v>
      </c>
      <c r="BA15" s="226">
        <f>IF($G$12,Draft!O17,Draft!O16)</f>
        <v>138</v>
      </c>
      <c r="BB15" s="226">
        <f>IF($G$12,Draft!P17,Draft!P16)</f>
        <v>161</v>
      </c>
      <c r="BC15" s="226">
        <f>IF($G$12,Draft!Q17,Draft!Q16)</f>
        <v>152</v>
      </c>
      <c r="BD15" s="4"/>
      <c r="BE15" s="4"/>
      <c r="BF15" s="4"/>
      <c r="BG15" s="4"/>
      <c r="BH15" s="4"/>
      <c r="BI15" s="4"/>
      <c r="BJ15" s="4"/>
      <c r="BK15" s="4"/>
      <c r="BL15" s="4"/>
      <c r="BM15" s="4"/>
      <c r="BN15" s="4"/>
      <c r="BO15" s="4"/>
      <c r="BP15" s="4"/>
      <c r="BQ15" s="4"/>
      <c r="BR15" s="4"/>
      <c r="BS15" s="4"/>
      <c r="BT15" s="4"/>
      <c r="BU15" s="4"/>
      <c r="BV15" s="4"/>
    </row>
    <row r="16">
      <c r="A16" s="4"/>
      <c r="B16" s="23"/>
      <c r="C16" s="23"/>
      <c r="D16" s="23"/>
      <c r="E16" s="23"/>
      <c r="F16" s="227"/>
      <c r="G16" s="228"/>
      <c r="H16" s="17"/>
      <c r="I16" s="30" t="s">
        <v>733</v>
      </c>
      <c r="J16" s="30" t="s">
        <v>735</v>
      </c>
      <c r="K16" s="30" t="s">
        <v>11</v>
      </c>
      <c r="L16" s="30" t="s">
        <v>51</v>
      </c>
      <c r="M16" s="30" t="s">
        <v>53</v>
      </c>
      <c r="N16" s="30" t="s">
        <v>14</v>
      </c>
      <c r="O16" s="30" t="s">
        <v>15</v>
      </c>
      <c r="P16" s="30" t="s">
        <v>413</v>
      </c>
      <c r="Q16" s="30" t="s">
        <v>8</v>
      </c>
      <c r="R16" s="30" t="s">
        <v>9</v>
      </c>
      <c r="S16" s="30" t="s">
        <v>17</v>
      </c>
      <c r="T16" s="30" t="s">
        <v>44</v>
      </c>
      <c r="U16" s="30" t="s">
        <v>71</v>
      </c>
      <c r="V16" s="30" t="s">
        <v>72</v>
      </c>
      <c r="W16" s="229" t="s">
        <v>73</v>
      </c>
      <c r="X16" s="230" t="s">
        <v>34</v>
      </c>
      <c r="Y16" s="23"/>
      <c r="Z16" s="231" t="s">
        <v>738</v>
      </c>
      <c r="AA16" s="34"/>
      <c r="AB16" s="232" t="s">
        <v>741</v>
      </c>
      <c r="AC16" s="233"/>
      <c r="AD16" s="34"/>
      <c r="AE16" s="234" t="s">
        <v>743</v>
      </c>
      <c r="AF16" s="34"/>
      <c r="AG16" s="235" t="s">
        <v>744</v>
      </c>
      <c r="AH16" s="236"/>
      <c r="AI16" s="17"/>
      <c r="AJ16" s="4"/>
      <c r="AK16" s="24"/>
      <c r="AL16" s="24"/>
      <c r="AM16" s="24"/>
      <c r="AN16" s="24"/>
      <c r="AO16" s="24"/>
      <c r="AP16" s="24"/>
      <c r="AQ16" s="24"/>
      <c r="AR16" s="24"/>
      <c r="AS16" s="24"/>
      <c r="AT16" s="24"/>
      <c r="AU16" s="24"/>
      <c r="AV16" s="28"/>
      <c r="AW16" s="28"/>
      <c r="AX16" s="28"/>
      <c r="AY16" s="4"/>
      <c r="AZ16" s="4"/>
      <c r="BA16" s="4"/>
      <c r="BB16" s="4"/>
      <c r="BC16" s="4"/>
      <c r="BD16" s="4"/>
      <c r="BE16" s="4"/>
      <c r="BF16" s="4"/>
      <c r="BG16" s="4"/>
      <c r="BH16" s="4"/>
      <c r="BI16" s="4"/>
      <c r="BJ16" s="4"/>
      <c r="BK16" s="4"/>
      <c r="BL16" s="4"/>
      <c r="BM16" s="4"/>
      <c r="BN16" s="4"/>
      <c r="BO16" s="4"/>
      <c r="BP16" s="4"/>
      <c r="BQ16" s="4"/>
      <c r="BR16" s="4"/>
      <c r="BS16" s="4"/>
      <c r="BT16" s="4"/>
      <c r="BU16" s="4"/>
      <c r="BV16" s="4"/>
    </row>
    <row r="17">
      <c r="A17" s="4"/>
      <c r="B17" s="23"/>
      <c r="C17" s="23"/>
      <c r="D17" s="4"/>
      <c r="E17" s="4"/>
      <c r="F17" s="237"/>
      <c r="G17" s="238"/>
      <c r="H17" s="17"/>
      <c r="I17" s="239" t="b">
        <v>0</v>
      </c>
      <c r="J17" s="240" t="b">
        <v>0</v>
      </c>
      <c r="K17" s="30">
        <v>1.0</v>
      </c>
      <c r="L17" s="241">
        <v>1.0</v>
      </c>
      <c r="M17" s="241">
        <v>1.0</v>
      </c>
      <c r="N17" s="241">
        <v>1.0</v>
      </c>
      <c r="O17" s="241">
        <v>1.0</v>
      </c>
      <c r="P17" s="241">
        <v>1.0</v>
      </c>
      <c r="Q17" s="241">
        <v>1.0</v>
      </c>
      <c r="R17" s="241">
        <v>1.0</v>
      </c>
      <c r="S17" s="241">
        <v>0.0</v>
      </c>
      <c r="T17" s="242" t="s">
        <v>44</v>
      </c>
      <c r="U17" s="242" t="s">
        <v>71</v>
      </c>
      <c r="V17" s="242" t="s">
        <v>72</v>
      </c>
      <c r="W17" s="242" t="s">
        <v>73</v>
      </c>
      <c r="X17" s="242" t="s">
        <v>34</v>
      </c>
      <c r="Y17" s="23"/>
      <c r="Z17" s="31" t="s">
        <v>327</v>
      </c>
      <c r="AA17" s="34"/>
      <c r="AB17" s="243" t="b">
        <v>1</v>
      </c>
      <c r="AC17" s="233"/>
      <c r="AD17" s="34"/>
      <c r="AE17" s="244">
        <v>200.0</v>
      </c>
      <c r="AF17" s="34"/>
      <c r="AG17" s="244" t="s">
        <v>757</v>
      </c>
      <c r="AH17" s="34"/>
      <c r="AI17" s="17"/>
      <c r="AJ17" s="4"/>
      <c r="AK17" s="24"/>
      <c r="AL17" s="24"/>
      <c r="AM17" s="24"/>
      <c r="AN17" s="24"/>
      <c r="AO17" s="24"/>
      <c r="AP17" s="24"/>
      <c r="AQ17" s="24"/>
      <c r="AR17" s="24"/>
      <c r="AS17" s="24"/>
      <c r="AT17" s="24"/>
      <c r="AU17" s="24"/>
      <c r="AV17" s="28"/>
      <c r="AW17" s="28"/>
      <c r="AX17" s="28"/>
      <c r="AY17" s="4"/>
      <c r="AZ17" s="4"/>
      <c r="BA17" s="4"/>
      <c r="BB17" s="4"/>
      <c r="BC17" s="4"/>
      <c r="BD17" s="4"/>
      <c r="BE17" s="4"/>
      <c r="BF17" s="4"/>
      <c r="BG17" s="4"/>
      <c r="BH17" s="4"/>
      <c r="BI17" s="4"/>
      <c r="BJ17" s="4"/>
      <c r="BK17" s="4"/>
      <c r="BL17" s="4"/>
      <c r="BM17" s="4"/>
      <c r="BN17" s="4"/>
      <c r="BO17" s="4"/>
      <c r="BP17" s="4"/>
      <c r="BQ17" s="4"/>
      <c r="BR17" s="4"/>
      <c r="BS17" s="4"/>
      <c r="BT17" s="4"/>
      <c r="BU17" s="4"/>
      <c r="BV17" s="4"/>
    </row>
    <row r="18">
      <c r="A18" s="4"/>
      <c r="B18" s="4"/>
      <c r="C18" s="4"/>
      <c r="D18" s="4"/>
      <c r="E18" s="17"/>
      <c r="F18" s="17"/>
      <c r="G18" s="17"/>
      <c r="H18" s="17"/>
      <c r="I18" s="17"/>
      <c r="J18" s="4"/>
      <c r="K18" s="17"/>
      <c r="L18" s="4"/>
      <c r="M18" s="4"/>
      <c r="N18" s="4"/>
      <c r="O18" s="4"/>
      <c r="P18" s="4"/>
      <c r="Q18" s="4"/>
      <c r="R18" s="4"/>
      <c r="S18" s="4"/>
      <c r="T18" s="4"/>
      <c r="U18" s="4"/>
      <c r="V18" s="4"/>
      <c r="W18" s="4"/>
      <c r="X18" s="4"/>
      <c r="Y18" s="4"/>
      <c r="Z18" s="4"/>
      <c r="AA18" s="4"/>
      <c r="AB18" s="4"/>
      <c r="AC18" s="4"/>
      <c r="AD18" s="4"/>
      <c r="AE18" s="4"/>
      <c r="AF18" s="4"/>
      <c r="AG18" s="4"/>
      <c r="AH18" s="4"/>
      <c r="AI18" s="17"/>
      <c r="AJ18" s="4"/>
      <c r="AK18" s="24"/>
      <c r="AL18" s="24"/>
      <c r="AM18" s="24"/>
      <c r="AN18" s="24"/>
      <c r="AO18" s="24"/>
      <c r="AP18" s="24"/>
      <c r="AQ18" s="24"/>
      <c r="AR18" s="24"/>
      <c r="AS18" s="24"/>
      <c r="AT18" s="24"/>
      <c r="AU18" s="24"/>
      <c r="AV18" s="28"/>
      <c r="AW18" s="28"/>
      <c r="AX18" s="28"/>
      <c r="AY18" s="4"/>
      <c r="AZ18" s="4"/>
      <c r="BA18" s="4"/>
      <c r="BB18" s="4"/>
      <c r="BC18" s="4"/>
      <c r="BD18" s="4"/>
      <c r="BE18" s="4"/>
      <c r="BF18" s="4"/>
      <c r="BG18" s="4"/>
      <c r="BH18" s="4"/>
      <c r="BI18" s="4"/>
      <c r="BJ18" s="4"/>
      <c r="BK18" s="4"/>
      <c r="BL18" s="4"/>
      <c r="BM18" s="4"/>
      <c r="BN18" s="4"/>
      <c r="BO18" s="4"/>
      <c r="BP18" s="4"/>
      <c r="BQ18" s="4"/>
      <c r="BR18" s="4"/>
      <c r="BS18" s="4"/>
      <c r="BT18" s="4"/>
      <c r="BU18" s="4"/>
      <c r="BV18" s="4"/>
    </row>
    <row r="19">
      <c r="A19" s="245" t="s">
        <v>763</v>
      </c>
      <c r="B19" s="246" t="s">
        <v>764</v>
      </c>
      <c r="C19" s="246" t="s">
        <v>765</v>
      </c>
      <c r="D19" s="247" t="s">
        <v>766</v>
      </c>
      <c r="E19" s="248"/>
      <c r="F19" s="246" t="s">
        <v>50</v>
      </c>
      <c r="G19" s="246" t="s">
        <v>768</v>
      </c>
      <c r="H19" s="246" t="s">
        <v>769</v>
      </c>
      <c r="I19" s="246" t="s">
        <v>2</v>
      </c>
      <c r="J19" s="246" t="s">
        <v>455</v>
      </c>
      <c r="K19" s="246" t="s">
        <v>6</v>
      </c>
      <c r="L19" s="249" t="s">
        <v>456</v>
      </c>
      <c r="M19" s="246" t="s">
        <v>457</v>
      </c>
      <c r="N19" s="249" t="s">
        <v>327</v>
      </c>
      <c r="O19" s="246" t="s">
        <v>344</v>
      </c>
      <c r="P19" s="246" t="s">
        <v>11</v>
      </c>
      <c r="Q19" s="246" t="s">
        <v>51</v>
      </c>
      <c r="R19" s="246" t="s">
        <v>53</v>
      </c>
      <c r="S19" s="246" t="s">
        <v>14</v>
      </c>
      <c r="T19" s="246" t="s">
        <v>15</v>
      </c>
      <c r="U19" s="246" t="s">
        <v>16</v>
      </c>
      <c r="V19" s="246" t="s">
        <v>8</v>
      </c>
      <c r="W19" s="246" t="s">
        <v>9</v>
      </c>
      <c r="X19" s="246" t="s">
        <v>17</v>
      </c>
      <c r="Y19" s="249" t="s">
        <v>78</v>
      </c>
      <c r="Z19" s="249" t="s">
        <v>79</v>
      </c>
      <c r="AA19" s="249" t="s">
        <v>80</v>
      </c>
      <c r="AB19" s="249" t="s">
        <v>81</v>
      </c>
      <c r="AC19" s="249" t="s">
        <v>82</v>
      </c>
      <c r="AD19" s="249" t="s">
        <v>83</v>
      </c>
      <c r="AE19" s="249" t="s">
        <v>84</v>
      </c>
      <c r="AF19" s="249" t="s">
        <v>86</v>
      </c>
      <c r="AG19" s="250" t="s">
        <v>88</v>
      </c>
      <c r="AH19" s="4"/>
      <c r="AI19" s="17"/>
      <c r="AJ19" s="4"/>
      <c r="AK19" s="24"/>
      <c r="AL19" s="24"/>
      <c r="AM19" s="24"/>
      <c r="AN19" s="24"/>
      <c r="AO19" s="24"/>
      <c r="AP19" s="24"/>
      <c r="AQ19" s="24"/>
      <c r="AR19" s="24"/>
      <c r="AS19" s="24"/>
      <c r="AT19" s="24"/>
      <c r="AU19" s="24"/>
      <c r="AV19" s="28"/>
      <c r="AW19" s="28"/>
      <c r="AX19" s="28"/>
      <c r="AY19" s="4"/>
      <c r="AZ19" s="4"/>
      <c r="BA19" s="4"/>
      <c r="BB19" s="4"/>
      <c r="BC19" s="4"/>
      <c r="BD19" s="4"/>
      <c r="BE19" s="4"/>
      <c r="BF19" s="4"/>
      <c r="BG19" s="4"/>
      <c r="BH19" s="4"/>
      <c r="BI19" s="4"/>
      <c r="BJ19" s="4"/>
      <c r="BK19" s="4"/>
      <c r="BL19" s="4"/>
      <c r="BM19" s="4"/>
      <c r="BN19" s="4"/>
      <c r="BO19" s="4"/>
      <c r="BP19" s="4"/>
      <c r="BQ19" s="4"/>
      <c r="BR19" s="4"/>
      <c r="BS19" s="4"/>
      <c r="BT19" s="4"/>
      <c r="BU19" s="4"/>
      <c r="BV19" s="4"/>
    </row>
    <row r="20">
      <c r="A20" s="251">
        <f>VLOOKUP($F20,UpdateHashtag!$V$3:$Y$32,COLUMN(B$15),0)</f>
        <v>4</v>
      </c>
      <c r="B20" s="252">
        <f>VLOOKUP($F20,UpdateHashtag!$V$3:$Y$32,COLUMN(C$13),0)</f>
        <v>4</v>
      </c>
      <c r="C20" s="252">
        <f>VLOOKUP($F20,UpdateHashtag!$V$3:$Y$32,COLUMN(D$13),0)</f>
        <v>4</v>
      </c>
      <c r="D20" s="253">
        <f t="shared" ref="D20:D416" si="4">SUM(A20:C20)</f>
        <v>12</v>
      </c>
      <c r="E20" s="19"/>
      <c r="F20" s="254" t="str">
        <f>IF(VLOOKUP(J20,PasteHashtag!$C$2:$P1015,3,)="BRO","BKN",IF(VLOOKUP(J20,PasteHashtag!$C$2:$P1015,3,)="OKL","OKC",VLOOKUP(J20,PasteHashtag!$C$2:$P1015,3,)))</f>
        <v>PHI</v>
      </c>
      <c r="G20" s="255">
        <v>1.0</v>
      </c>
      <c r="H20" s="256">
        <f>IFERROR(__xludf.DUMMYFUNCTION("Filter('NO USAR3'!B5:AA420,IF('NO USAR3'!AB5:AB420="""",FALSE,TRUE),NOT(COUNTIF('NO USAR3'!A5:A200,'NO USAR3'!D5:D420)),IF('NO USAR3'!B5:B420&gt;AE17,FALSE,TRUE))"),2.0)</f>
        <v>2</v>
      </c>
      <c r="I20" s="256">
        <f>IFERROR(__xludf.DUMMYFUNCTION("""COMPUTED_VALUE"""),9.6)</f>
        <v>9.6</v>
      </c>
      <c r="J20" s="257" t="str">
        <f>IFERROR(__xludf.DUMMYFUNCTION("""COMPUTED_VALUE"""),"Joel Embiid")</f>
        <v>Joel Embiid</v>
      </c>
      <c r="K20" s="256">
        <f>IFERROR(__xludf.DUMMYFUNCTION("""COMPUTED_VALUE"""),68.0)</f>
        <v>68</v>
      </c>
      <c r="L20" s="258" t="str">
        <f>IFERROR(__xludf.DUMMYFUNCTION("""COMPUTED_VALUE"""),"C")</f>
        <v>C</v>
      </c>
      <c r="M20" s="259">
        <f>IFERROR(__xludf.DUMMYFUNCTION("""COMPUTED_VALUE"""),8.957904690194928)</f>
        <v>8.95790469</v>
      </c>
      <c r="N20" s="259">
        <f>IFERROR(__xludf.DUMMYFUNCTION("""COMPUTED_VALUE"""),9.410476436812917)</f>
        <v>9.410476437</v>
      </c>
      <c r="O20" s="260">
        <f>IFERROR(__xludf.DUMMYFUNCTION("""COMPUTED_VALUE"""),0.4525717466179895)</f>
        <v>0.4525717466</v>
      </c>
      <c r="P20" s="261">
        <f>IFERROR(__xludf.DUMMYFUNCTION("""COMPUTED_VALUE"""),30.23877193)</f>
        <v>30.23877193</v>
      </c>
      <c r="Q20" s="261">
        <f>IFERROR(__xludf.DUMMYFUNCTION("""COMPUTED_VALUE"""),1.142982456)</f>
        <v>1.142982456</v>
      </c>
      <c r="R20" s="261">
        <f>IFERROR(__xludf.DUMMYFUNCTION("""COMPUTED_VALUE"""),10.51052632)</f>
        <v>10.51052632</v>
      </c>
      <c r="S20" s="262">
        <f>IFERROR(__xludf.DUMMYFUNCTION("""COMPUTED_VALUE"""),5.037368421)</f>
        <v>5.037368421</v>
      </c>
      <c r="T20" s="261">
        <f>IFERROR(__xludf.DUMMYFUNCTION("""COMPUTED_VALUE"""),1.143859649)</f>
        <v>1.143859649</v>
      </c>
      <c r="U20" s="261">
        <f>IFERROR(__xludf.DUMMYFUNCTION("""COMPUTED_VALUE"""),1.551052632)</f>
        <v>1.551052632</v>
      </c>
      <c r="V20" s="258">
        <f>IFERROR(__xludf.DUMMYFUNCTION("""COMPUTED_VALUE"""),0.5367911594)</f>
        <v>0.5367911594</v>
      </c>
      <c r="W20" s="258">
        <f>IFERROR(__xludf.DUMMYFUNCTION("""COMPUTED_VALUE"""),0.8699991153)</f>
        <v>0.8699991153</v>
      </c>
      <c r="X20" s="261">
        <f>IFERROR(__xludf.DUMMYFUNCTION("""COMPUTED_VALUE"""),3.573684211)</f>
        <v>3.573684211</v>
      </c>
      <c r="Y20" s="263">
        <f>IFERROR(__xludf.DUMMYFUNCTION("""COMPUTED_VALUE"""),2.2982783682718377)</f>
        <v>2.298278368</v>
      </c>
      <c r="Z20" s="259">
        <f>IFERROR(__xludf.DUMMYFUNCTION("""COMPUTED_VALUE"""),-0.6007954542058588)</f>
        <v>-0.6007954542</v>
      </c>
      <c r="AA20" s="259">
        <f>IFERROR(__xludf.DUMMYFUNCTION("""COMPUTED_VALUE"""),1.7350479056104444)</f>
        <v>1.735047906</v>
      </c>
      <c r="AB20" s="259">
        <f>IFERROR(__xludf.DUMMYFUNCTION("""COMPUTED_VALUE"""),0.5013847387233921)</f>
        <v>0.5013847387</v>
      </c>
      <c r="AC20" s="263">
        <f>IFERROR(__xludf.DUMMYFUNCTION("""COMPUTED_VALUE"""),0.5553323226280126)</f>
        <v>0.5553323226</v>
      </c>
      <c r="AD20" s="259">
        <f>IFERROR(__xludf.DUMMYFUNCTION("""COMPUTED_VALUE"""),1.4311739809683646)</f>
        <v>1.431173981</v>
      </c>
      <c r="AE20" s="259">
        <f>IFERROR(__xludf.DUMMYFUNCTION("""COMPUTED_VALUE"""),0.8770105201052155)</f>
        <v>0.8770105201</v>
      </c>
      <c r="AF20" s="263">
        <f>IFERROR(__xludf.DUMMYFUNCTION("""COMPUTED_VALUE"""),2.61304405471151)</f>
        <v>2.613044055</v>
      </c>
      <c r="AG20" s="264">
        <f>IFERROR(__xludf.DUMMYFUNCTION("""COMPUTED_VALUE"""),0.0)</f>
        <v>0</v>
      </c>
      <c r="AH20" s="265"/>
      <c r="AI20" s="23"/>
      <c r="AJ20" s="4"/>
      <c r="AK20" s="112">
        <v>1.0</v>
      </c>
      <c r="AL20" s="266">
        <v>2.0</v>
      </c>
      <c r="AM20" s="112">
        <v>3.0</v>
      </c>
      <c r="AN20" s="266">
        <v>4.0</v>
      </c>
      <c r="AO20" s="112">
        <v>5.0</v>
      </c>
      <c r="AP20" s="266">
        <v>6.0</v>
      </c>
      <c r="AQ20" s="112">
        <v>7.0</v>
      </c>
      <c r="AR20" s="266">
        <v>8.0</v>
      </c>
      <c r="AS20" s="112">
        <v>9.0</v>
      </c>
      <c r="AT20" s="266">
        <v>10.0</v>
      </c>
      <c r="AU20" s="112">
        <v>11.0</v>
      </c>
      <c r="AV20" s="266">
        <v>12.0</v>
      </c>
      <c r="AW20" s="23"/>
      <c r="AX20" s="23"/>
      <c r="AY20" s="23"/>
      <c r="AZ20" s="23"/>
      <c r="BA20" s="23"/>
      <c r="BB20" s="23"/>
      <c r="BC20" s="23"/>
      <c r="BD20" s="23"/>
      <c r="BE20" s="23"/>
      <c r="BF20" s="23"/>
      <c r="BG20" s="23"/>
      <c r="BH20" s="267"/>
      <c r="BI20" s="267"/>
      <c r="BJ20" s="267"/>
      <c r="BK20" s="267"/>
      <c r="BL20" s="267"/>
      <c r="BM20" s="267"/>
      <c r="BN20" s="267"/>
      <c r="BO20" s="267"/>
      <c r="BP20" s="267"/>
      <c r="BQ20" s="267"/>
      <c r="BR20" s="267"/>
      <c r="BS20" s="267"/>
      <c r="BT20" s="267"/>
      <c r="BU20" s="267"/>
      <c r="BV20" s="267"/>
    </row>
    <row r="21">
      <c r="A21" s="251">
        <f>VLOOKUP($F21,UpdateHashtag!$V$3:$Y$32,COLUMN(B$15),0)</f>
        <v>3</v>
      </c>
      <c r="B21" s="252">
        <f>VLOOKUP($F21,UpdateHashtag!$V$3:$Y$32,COLUMN(C$13),0)</f>
        <v>4</v>
      </c>
      <c r="C21" s="252">
        <f>VLOOKUP($F21,UpdateHashtag!$V$3:$Y$32,COLUMN(D$13),0)</f>
        <v>4</v>
      </c>
      <c r="D21" s="268">
        <f t="shared" si="4"/>
        <v>11</v>
      </c>
      <c r="E21" s="19"/>
      <c r="F21" s="30" t="str">
        <f>IF(VLOOKUP(J21,PasteHashtag!$C$2:$P1015,3,)="BRO","BKN",IF(VLOOKUP(J21,PasteHashtag!$C$2:$P1015,3,)="OKL","OKC",VLOOKUP(J21,PasteHashtag!$C$2:$P1015,3,)))</f>
        <v>DEN</v>
      </c>
      <c r="G21" s="269">
        <v>2.0</v>
      </c>
      <c r="H21" s="270">
        <f>IFERROR(__xludf.DUMMYFUNCTION("""COMPUTED_VALUE"""),3.0)</f>
        <v>3</v>
      </c>
      <c r="I21" s="270">
        <f>IFERROR(__xludf.DUMMYFUNCTION("""COMPUTED_VALUE"""),2.4)</f>
        <v>2.4</v>
      </c>
      <c r="J21" s="271" t="str">
        <f>IFERROR(__xludf.DUMMYFUNCTION("""COMPUTED_VALUE"""),"Nikola Jokic")</f>
        <v>Nikola Jokic</v>
      </c>
      <c r="K21" s="270">
        <f>IFERROR(__xludf.DUMMYFUNCTION("""COMPUTED_VALUE"""),67.0)</f>
        <v>67</v>
      </c>
      <c r="L21" s="272" t="str">
        <f>IFERROR(__xludf.DUMMYFUNCTION("""COMPUTED_VALUE"""),"PF,C")</f>
        <v>PF,C</v>
      </c>
      <c r="M21" s="273">
        <f>IFERROR(__xludf.DUMMYFUNCTION("""COMPUTED_VALUE"""),8.517820594732509)</f>
        <v>8.517820595</v>
      </c>
      <c r="N21" s="273">
        <f>IFERROR(__xludf.DUMMYFUNCTION("""COMPUTED_VALUE"""),8.881589989729328)</f>
        <v>8.88158999</v>
      </c>
      <c r="O21" s="274">
        <f>IFERROR(__xludf.DUMMYFUNCTION("""COMPUTED_VALUE"""),0.3637693949968188)</f>
        <v>0.363769395</v>
      </c>
      <c r="P21" s="275">
        <f>IFERROR(__xludf.DUMMYFUNCTION("""COMPUTED_VALUE"""),25.55948052)</f>
        <v>25.55948052</v>
      </c>
      <c r="Q21" s="275">
        <f>IFERROR(__xludf.DUMMYFUNCTION("""COMPUTED_VALUE"""),0.9916883117)</f>
        <v>0.9916883117</v>
      </c>
      <c r="R21" s="275">
        <f>IFERROR(__xludf.DUMMYFUNCTION("""COMPUTED_VALUE"""),11.79064935)</f>
        <v>11.79064935</v>
      </c>
      <c r="S21" s="276">
        <f>IFERROR(__xludf.DUMMYFUNCTION("""COMPUTED_VALUE"""),8.360649351)</f>
        <v>8.360649351</v>
      </c>
      <c r="T21" s="275">
        <f>IFERROR(__xludf.DUMMYFUNCTION("""COMPUTED_VALUE"""),1.492597403)</f>
        <v>1.492597403</v>
      </c>
      <c r="U21" s="275">
        <f>IFERROR(__xludf.DUMMYFUNCTION("""COMPUTED_VALUE"""),0.788961039)</f>
        <v>0.788961039</v>
      </c>
      <c r="V21" s="272">
        <f>IFERROR(__xludf.DUMMYFUNCTION("""COMPUTED_VALUE"""),0.5897010341)</f>
        <v>0.5897010341</v>
      </c>
      <c r="W21" s="272">
        <f>IFERROR(__xludf.DUMMYFUNCTION("""COMPUTED_VALUE"""),0.8110073214)</f>
        <v>0.8110073214</v>
      </c>
      <c r="X21" s="275">
        <f>IFERROR(__xludf.DUMMYFUNCTION("""COMPUTED_VALUE"""),3.215584416)</f>
        <v>3.215584416</v>
      </c>
      <c r="Y21" s="273">
        <f>IFERROR(__xludf.DUMMYFUNCTION("""COMPUTED_VALUE"""),1.4548097063016192)</f>
        <v>1.454809706</v>
      </c>
      <c r="Z21" s="273">
        <f>IFERROR(__xludf.DUMMYFUNCTION("""COMPUTED_VALUE"""),-0.7508684337265839)</f>
        <v>-0.7508684337</v>
      </c>
      <c r="AA21" s="273">
        <f>IFERROR(__xludf.DUMMYFUNCTION("""COMPUTED_VALUE"""),2.2367370772400488)</f>
        <v>2.236737077</v>
      </c>
      <c r="AB21" s="273">
        <f>IFERROR(__xludf.DUMMYFUNCTION("""COMPUTED_VALUE"""),2.0106142545298287)</f>
        <v>2.010614255</v>
      </c>
      <c r="AC21" s="273">
        <f>IFERROR(__xludf.DUMMYFUNCTION("""COMPUTED_VALUE"""),1.7090661000464076)</f>
        <v>1.7090661</v>
      </c>
      <c r="AD21" s="273">
        <f>IFERROR(__xludf.DUMMYFUNCTION("""COMPUTED_VALUE"""),0.07187096952644342)</f>
        <v>0.07187096953</v>
      </c>
      <c r="AE21" s="273">
        <f>IFERROR(__xludf.DUMMYFUNCTION("""COMPUTED_VALUE"""),1.8597186873550178)</f>
        <v>1.859718687</v>
      </c>
      <c r="AF21" s="273">
        <f>IFERROR(__xludf.DUMMYFUNCTION("""COMPUTED_VALUE"""),0.2896416284565464)</f>
        <v>0.2896416285</v>
      </c>
      <c r="AG21" s="277">
        <f>IFERROR(__xludf.DUMMYFUNCTION("""COMPUTED_VALUE"""),0.0)</f>
        <v>0</v>
      </c>
      <c r="AH21" s="278"/>
      <c r="AI21" s="23"/>
      <c r="AJ21" s="279" t="s">
        <v>810</v>
      </c>
      <c r="AK21" s="280" t="s">
        <v>811</v>
      </c>
      <c r="AL21" s="281"/>
      <c r="AM21" s="281"/>
      <c r="AN21" s="281"/>
      <c r="AO21" s="281"/>
      <c r="AP21" s="281"/>
      <c r="AQ21" s="281"/>
      <c r="AR21" s="281"/>
      <c r="AS21" s="281"/>
      <c r="AT21" s="281"/>
      <c r="AU21" s="281"/>
      <c r="AV21" s="282"/>
      <c r="AW21" s="283" t="s">
        <v>812</v>
      </c>
      <c r="AX21" s="284" t="s">
        <v>702</v>
      </c>
      <c r="AY21" s="285"/>
      <c r="AZ21" s="286" t="s">
        <v>11</v>
      </c>
      <c r="BA21" s="286" t="s">
        <v>51</v>
      </c>
      <c r="BB21" s="286" t="s">
        <v>53</v>
      </c>
      <c r="BC21" s="286" t="s">
        <v>14</v>
      </c>
      <c r="BD21" s="286" t="s">
        <v>15</v>
      </c>
      <c r="BE21" s="286" t="s">
        <v>16</v>
      </c>
      <c r="BF21" s="286" t="s">
        <v>8</v>
      </c>
      <c r="BG21" s="286" t="s">
        <v>9</v>
      </c>
      <c r="BH21" s="286" t="s">
        <v>17</v>
      </c>
      <c r="BI21" s="287" t="s">
        <v>4</v>
      </c>
      <c r="BJ21" s="287" t="s">
        <v>816</v>
      </c>
      <c r="BK21" s="287" t="s">
        <v>4</v>
      </c>
      <c r="BL21" s="288"/>
      <c r="BM21" s="289"/>
      <c r="BN21" s="289"/>
      <c r="BO21" s="289"/>
      <c r="BP21" s="289"/>
      <c r="BQ21" s="289"/>
      <c r="BR21" s="289"/>
      <c r="BS21" s="289"/>
      <c r="BT21" s="23"/>
      <c r="BU21" s="23"/>
      <c r="BV21" s="23"/>
    </row>
    <row r="22">
      <c r="A22" s="251">
        <f>VLOOKUP($F22,UpdateHashtag!$V$3:$Y$32,COLUMN(B$15),0)</f>
        <v>4</v>
      </c>
      <c r="B22" s="252">
        <f>VLOOKUP($F22,UpdateHashtag!$V$3:$Y$32,COLUMN(C$13),0)</f>
        <v>4</v>
      </c>
      <c r="C22" s="252">
        <f>VLOOKUP($F22,UpdateHashtag!$V$3:$Y$32,COLUMN(D$13),0)</f>
        <v>2</v>
      </c>
      <c r="D22" s="268">
        <f t="shared" si="4"/>
        <v>10</v>
      </c>
      <c r="E22" s="19"/>
      <c r="F22" s="30" t="str">
        <f>IF(VLOOKUP(J22,PasteHashtag!$C$2:$P1015,3,)="BRO","BKN",IF(VLOOKUP(J22,PasteHashtag!$C$2:$P1015,3,)="OKL","OKC",VLOOKUP(J22,PasteHashtag!$C$2:$P1015,3,)))</f>
        <v>DAL</v>
      </c>
      <c r="G22" s="269">
        <v>3.0</v>
      </c>
      <c r="H22" s="270">
        <f>IFERROR(__xludf.DUMMYFUNCTION("""COMPUTED_VALUE"""),4.0)</f>
        <v>4</v>
      </c>
      <c r="I22" s="270">
        <f>IFERROR(__xludf.DUMMYFUNCTION("""COMPUTED_VALUE"""),3.8)</f>
        <v>3.8</v>
      </c>
      <c r="J22" s="271" t="str">
        <f>IFERROR(__xludf.DUMMYFUNCTION("""COMPUTED_VALUE"""),"Luka Doncic")</f>
        <v>Luka Doncic</v>
      </c>
      <c r="K22" s="270">
        <f>IFERROR(__xludf.DUMMYFUNCTION("""COMPUTED_VALUE"""),68.0)</f>
        <v>68</v>
      </c>
      <c r="L22" s="272" t="str">
        <f>IFERROR(__xludf.DUMMYFUNCTION("""COMPUTED_VALUE"""),"PG,SG")</f>
        <v>PG,SG</v>
      </c>
      <c r="M22" s="273">
        <f>IFERROR(__xludf.DUMMYFUNCTION("""COMPUTED_VALUE"""),8.299053452451961)</f>
        <v>8.299053452</v>
      </c>
      <c r="N22" s="273">
        <f>IFERROR(__xludf.DUMMYFUNCTION("""COMPUTED_VALUE"""),8.833457384158983)</f>
        <v>8.833457384</v>
      </c>
      <c r="O22" s="274">
        <f>IFERROR(__xludf.DUMMYFUNCTION("""COMPUTED_VALUE"""),0.5344039317070219)</f>
        <v>0.5344039317</v>
      </c>
      <c r="P22" s="275">
        <f>IFERROR(__xludf.DUMMYFUNCTION("""COMPUTED_VALUE"""),31.87132353)</f>
        <v>31.87132353</v>
      </c>
      <c r="Q22" s="275">
        <f>IFERROR(__xludf.DUMMYFUNCTION("""COMPUTED_VALUE"""),3.974117647)</f>
        <v>3.974117647</v>
      </c>
      <c r="R22" s="275">
        <f>IFERROR(__xludf.DUMMYFUNCTION("""COMPUTED_VALUE"""),9.108970588)</f>
        <v>9.108970588</v>
      </c>
      <c r="S22" s="276">
        <f>IFERROR(__xludf.DUMMYFUNCTION("""COMPUTED_VALUE"""),9.498235294)</f>
        <v>9.498235294</v>
      </c>
      <c r="T22" s="275">
        <f>IFERROR(__xludf.DUMMYFUNCTION("""COMPUTED_VALUE"""),1.394852941)</f>
        <v>1.394852941</v>
      </c>
      <c r="U22" s="275">
        <f>IFERROR(__xludf.DUMMYFUNCTION("""COMPUTED_VALUE"""),0.5467647059)</f>
        <v>0.5467647059</v>
      </c>
      <c r="V22" s="272">
        <f>IFERROR(__xludf.DUMMYFUNCTION("""COMPUTED_VALUE"""),0.4797165326)</f>
        <v>0.4797165326</v>
      </c>
      <c r="W22" s="272">
        <f>IFERROR(__xludf.DUMMYFUNCTION("""COMPUTED_VALUE"""),0.7859938088)</f>
        <v>0.7859938088</v>
      </c>
      <c r="X22" s="275">
        <f>IFERROR(__xludf.DUMMYFUNCTION("""COMPUTED_VALUE"""),3.903676471)</f>
        <v>3.903676471</v>
      </c>
      <c r="Y22" s="273">
        <f>IFERROR(__xludf.DUMMYFUNCTION("""COMPUTED_VALUE"""),2.5925549997093618)</f>
        <v>2.592555</v>
      </c>
      <c r="Z22" s="273">
        <f>IFERROR(__xludf.DUMMYFUNCTION("""COMPUTED_VALUE"""),2.2074883396259914)</f>
        <v>2.20748834</v>
      </c>
      <c r="AA22" s="273">
        <f>IFERROR(__xludf.DUMMYFUNCTION("""COMPUTED_VALUE"""),1.185768408482888)</f>
        <v>1.185768408</v>
      </c>
      <c r="AB22" s="273">
        <f>IFERROR(__xludf.DUMMYFUNCTION("""COMPUTED_VALUE"""),2.5272357253310047)</f>
        <v>2.527235725</v>
      </c>
      <c r="AC22" s="273">
        <f>IFERROR(__xludf.DUMMYFUNCTION("""COMPUTED_VALUE"""),1.3856967886612432)</f>
        <v>1.385696789</v>
      </c>
      <c r="AD22" s="273">
        <f>IFERROR(__xludf.DUMMYFUNCTION("""COMPUTED_VALUE"""),-0.36012199295598174)</f>
        <v>-0.360121993</v>
      </c>
      <c r="AE22" s="273">
        <f>IFERROR(__xludf.DUMMYFUNCTION("""COMPUTED_VALUE"""),-0.46671174701275525)</f>
        <v>-0.466711747</v>
      </c>
      <c r="AF22" s="273">
        <f>IFERROR(__xludf.DUMMYFUNCTION("""COMPUTED_VALUE"""),-0.23845313768276888)</f>
        <v>-0.2384531377</v>
      </c>
      <c r="AG22" s="277">
        <f>IFERROR(__xludf.DUMMYFUNCTION("""COMPUTED_VALUE"""),0.0)</f>
        <v>0</v>
      </c>
      <c r="AH22" s="290"/>
      <c r="AI22" s="23"/>
      <c r="AJ22" s="291">
        <v>100.0</v>
      </c>
      <c r="AK22" s="292" t="str">
        <f t="array" ref="AK22">if(AK$20=$J3,"-", countif(indirect(address(row($J$2)+ VLOOKUP(AK$20,$J$3:$J$14,1),COLUMN($K$4))):indirect(address(row($J$2)+ VLOOKUP(AK$20,$J$3:$J$14,1),COLUMN($S$2)))&gt;indirect(address(row($J3),COLUMN($K$2))):indirect(address(row($J3),COLUMN($S$2))),TRUE()))</f>
        <v>-</v>
      </c>
      <c r="AL22" s="293">
        <f t="array" ref="AL22">if(AL$20=$J3,"-", countif(indirect(address(row($J$2)+ VLOOKUP(AL$20,$J$3:$J$14,1),COLUMN($K$4))):indirect(address(row($J$2)+ VLOOKUP(AL$20,$J$3:$J$14,1),COLUMN($S$2)))&gt;indirect(address(row($J3),COLUMN($K$2))):indirect(address(row($J3),COLUMN($S$2))),TRUE()))</f>
        <v>2</v>
      </c>
      <c r="AM22" s="293">
        <f t="array" ref="AM22">if(AM$20=$J3,"-", countif(indirect(address(row($J$2)+ VLOOKUP(AM$20,$J$3:$J$14,1),COLUMN($K$4))):indirect(address(row($J$2)+ VLOOKUP(AM$20,$J$3:$J$14,1),COLUMN($S$2)))&gt;indirect(address(row($J3),COLUMN($K$2))):indirect(address(row($J3),COLUMN($S$2))),TRUE()))</f>
        <v>2</v>
      </c>
      <c r="AN22" s="293">
        <f t="array" ref="AN22">if(AN$20=$J3,"-", countif(indirect(address(row($J$2)+ VLOOKUP(AN$20,$J$3:$J$14,1),COLUMN($K$4))):indirect(address(row($J$2)+ VLOOKUP(AN$20,$J$3:$J$14,1),COLUMN($S$2)))&gt;indirect(address(row($J3),COLUMN($K$2))):indirect(address(row($J3),COLUMN($S$2))),TRUE()))</f>
        <v>2</v>
      </c>
      <c r="AO22" s="293">
        <f t="array" ref="AO22">if(AO$20=$J3,"-", countif(indirect(address(row($J$2)+ VLOOKUP(AO$20,$J$3:$J$14,1),COLUMN($K$4))):indirect(address(row($J$2)+ VLOOKUP(AO$20,$J$3:$J$14,1),COLUMN($S$2)))&gt;indirect(address(row($J3),COLUMN($K$2))):indirect(address(row($J3),COLUMN($S$2))),TRUE()))</f>
        <v>2</v>
      </c>
      <c r="AP22" s="293">
        <f t="array" ref="AP22">if(AP$20=$J3,"-", countif(indirect(address(row($J$2)+ VLOOKUP(AP$20,$J$3:$J$14,1),COLUMN($K$4))):indirect(address(row($J$2)+ VLOOKUP(AP$20,$J$3:$J$14,1),COLUMN($S$2)))&gt;indirect(address(row($J3),COLUMN($K$2))):indirect(address(row($J3),COLUMN($S$2))),TRUE()))</f>
        <v>2</v>
      </c>
      <c r="AQ22" s="293">
        <f t="array" ref="AQ22">if(AQ$20=$J3,"-", countif(indirect(address(row($J$2)+ VLOOKUP(AQ$20,$J$3:$J$14,1),COLUMN($K$4))):indirect(address(row($J$2)+ VLOOKUP(AQ$20,$J$3:$J$14,1),COLUMN($S$2)))&gt;indirect(address(row($J3),COLUMN($K$2))):indirect(address(row($J3),COLUMN($S$2))),TRUE()))</f>
        <v>2</v>
      </c>
      <c r="AR22" s="293">
        <f t="array" ref="AR22">if(AR$20=$J3,"-", countif(indirect(address(row($J$2)+ VLOOKUP(AR$20,$J$3:$J$14,1),COLUMN($K$4))):indirect(address(row($J$2)+ VLOOKUP(AR$20,$J$3:$J$14,1),COLUMN($S$2)))&gt;indirect(address(row($J3),COLUMN($K$2))):indirect(address(row($J3),COLUMN($S$2))),TRUE()))</f>
        <v>2</v>
      </c>
      <c r="AS22" s="293">
        <f t="array" ref="AS22">if(AS$20=$J3,"-", countif(indirect(address(row($J$2)+ VLOOKUP(AS$20,$J$3:$J$14,1),COLUMN($K$4))):indirect(address(row($J$2)+ VLOOKUP(AS$20,$J$3:$J$14,1),COLUMN($S$2)))&gt;indirect(address(row($J3),COLUMN($K$2))):indirect(address(row($J3),COLUMN($S$2))),TRUE()))</f>
        <v>2</v>
      </c>
      <c r="AT22" s="293">
        <f t="array" ref="AT22">if(AT$20=$J3,"-", countif(indirect(address(row($J$2)+ VLOOKUP(AT$20,$J$3:$J$14,1),COLUMN($K$4))):indirect(address(row($J$2)+ VLOOKUP(AT$20,$J$3:$J$14,1),COLUMN($S$2)))&gt;indirect(address(row($J3),COLUMN($K$2))):indirect(address(row($J3),COLUMN($S$2))),TRUE()))</f>
        <v>2</v>
      </c>
      <c r="AU22" s="293">
        <f t="array" ref="AU22">if(AU$20=$J3,"-", countif(indirect(address(row($J$2)+ VLOOKUP(AU$20,$J$3:$J$14,1),COLUMN($K$4))):indirect(address(row($J$2)+ VLOOKUP(AU$20,$J$3:$J$14,1),COLUMN($S$2)))&gt;indirect(address(row($J3),COLUMN($K$2))):indirect(address(row($J3),COLUMN($S$2))),TRUE()))</f>
        <v>2</v>
      </c>
      <c r="AV22" s="294">
        <f t="array" ref="AV22">if(AV$20=$J3,"-", countif(indirect(address(row($J$2)+ VLOOKUP(AV$20,$J$3:$J$14,1),COLUMN($K$4))):indirect(address(row($J$2)+ VLOOKUP(AV$20,$J$3:$J$14,1),COLUMN($S$2)))&gt;indirect(address(row($J3),COLUMN($K$2))):indirect(address(row($J3),COLUMN($S$2))),TRUE()))</f>
        <v>2</v>
      </c>
      <c r="AW22" s="295">
        <v>1.0</v>
      </c>
      <c r="AX22" s="296" t="str">
        <f t="array" ref="AX22">INDIRECT("Draft!D"&amp;TEXT(VLOOKUP(TRUE,I3:J14,2,0)+2,"0"))</f>
        <v/>
      </c>
      <c r="AY22" s="297"/>
      <c r="AZ22" s="299" t="str">
        <f>IF($AX22="","", VLOOKUP($AX22,'Final Update'!$P$21:$AD1015,Column(H1),False))</f>
        <v/>
      </c>
      <c r="BA22" s="299" t="str">
        <f>IF($AX22="","", VLOOKUP($AX22,'Final Update'!$P$21:$AD1015,Column(I1),False))</f>
        <v/>
      </c>
      <c r="BB22" s="299" t="str">
        <f>IF($AX22="","", VLOOKUP($AX22,'Final Update'!$P$21:$AD1015,Column(J1),False))</f>
        <v/>
      </c>
      <c r="BC22" s="299" t="str">
        <f>IF($AX22="","", VLOOKUP($AX22,'Final Update'!$P$21:$AD1015,Column(K1),False))</f>
        <v/>
      </c>
      <c r="BD22" s="299" t="str">
        <f>IF($AX22="","", VLOOKUP($AX22,'Final Update'!$P$21:$AD1015,Column(L1),False))</f>
        <v/>
      </c>
      <c r="BE22" s="299" t="str">
        <f>IF($AX22="","", VLOOKUP($AX22,'Final Update'!$P$21:$AD1015,Column(M1),False))</f>
        <v/>
      </c>
      <c r="BF22" s="300" t="str">
        <f>IF($AX22="","", VLOOKUP($AX22,'Final Update'!$P$21:$AD1015,Column(N1),False))</f>
        <v/>
      </c>
      <c r="BG22" s="300" t="str">
        <f>IF($AX22="","", VLOOKUP($AX22,'Final Update'!$P$21:$AD1015,Column(O1),False))</f>
        <v/>
      </c>
      <c r="BH22" s="299" t="str">
        <f>IF($AX22="","", VLOOKUP($AX22,'Final Update'!$P$21:$AD1015,Column(P1),False))</f>
        <v/>
      </c>
      <c r="BI22" s="299" t="str">
        <f>IF($AX22="","", VLOOKUP($AX22,'Final Update'!$P$21:$AD1015,Column(C1),False))</f>
        <v/>
      </c>
      <c r="BJ22" s="301">
        <f t="array" ref="BJ22">COUNTIF(FIND(BK22,$BI$22:$BI$33),"&gt;0")</f>
        <v>0</v>
      </c>
      <c r="BK22" s="302" t="s">
        <v>44</v>
      </c>
      <c r="BL22" s="288"/>
      <c r="BM22" s="289"/>
      <c r="BN22" s="289"/>
      <c r="BO22" s="289"/>
      <c r="BP22" s="289"/>
      <c r="BQ22" s="289"/>
      <c r="BR22" s="289"/>
      <c r="BS22" s="289"/>
      <c r="BT22" s="23"/>
      <c r="BU22" s="23"/>
      <c r="BV22" s="23"/>
    </row>
    <row r="23">
      <c r="A23" s="251">
        <f>VLOOKUP($F23,UpdateHashtag!$V$3:$Y$32,COLUMN(B$15),0)</f>
        <v>3</v>
      </c>
      <c r="B23" s="252">
        <f>VLOOKUP($F23,UpdateHashtag!$V$3:$Y$32,COLUMN(C$13),0)</f>
        <v>4</v>
      </c>
      <c r="C23" s="252">
        <f>VLOOKUP($F23,UpdateHashtag!$V$3:$Y$32,COLUMN(D$13),0)</f>
        <v>3</v>
      </c>
      <c r="D23" s="268">
        <f t="shared" si="4"/>
        <v>10</v>
      </c>
      <c r="E23" s="19"/>
      <c r="F23" s="30" t="str">
        <f>IF(VLOOKUP(J23,PasteHashtag!$C$2:$P1015,3,)="BRO","BKN",IF(VLOOKUP(J23,PasteHashtag!$C$2:$P1015,3,)="OKL","OKC",VLOOKUP(J23,PasteHashtag!$C$2:$P1015,3,)))</f>
        <v>LAL</v>
      </c>
      <c r="G23" s="269">
        <v>4.0</v>
      </c>
      <c r="H23" s="270">
        <f>IFERROR(__xludf.DUMMYFUNCTION("""COMPUTED_VALUE"""),5.0)</f>
        <v>5</v>
      </c>
      <c r="I23" s="270">
        <f>IFERROR(__xludf.DUMMYFUNCTION("""COMPUTED_VALUE"""),7.4)</f>
        <v>7.4</v>
      </c>
      <c r="J23" s="271" t="str">
        <f>IFERROR(__xludf.DUMMYFUNCTION("""COMPUTED_VALUE"""),"Anthony Davis")</f>
        <v>Anthony Davis</v>
      </c>
      <c r="K23" s="270">
        <f>IFERROR(__xludf.DUMMYFUNCTION("""COMPUTED_VALUE"""),74.0)</f>
        <v>74</v>
      </c>
      <c r="L23" s="272" t="str">
        <f>IFERROR(__xludf.DUMMYFUNCTION("""COMPUTED_VALUE"""),"SF,PF")</f>
        <v>SF,PF</v>
      </c>
      <c r="M23" s="273">
        <f>IFERROR(__xludf.DUMMYFUNCTION("""COMPUTED_VALUE"""),7.557301441135948)</f>
        <v>7.557301441</v>
      </c>
      <c r="N23" s="273">
        <f>IFERROR(__xludf.DUMMYFUNCTION("""COMPUTED_VALUE"""),7.711756738160858)</f>
        <v>7.711756738</v>
      </c>
      <c r="O23" s="274">
        <f>IFERROR(__xludf.DUMMYFUNCTION("""COMPUTED_VALUE"""),0.15445529702491)</f>
        <v>0.154455297</v>
      </c>
      <c r="P23" s="275">
        <f>IFERROR(__xludf.DUMMYFUNCTION("""COMPUTED_VALUE"""),25.12242424)</f>
        <v>25.12242424</v>
      </c>
      <c r="Q23" s="275">
        <f>IFERROR(__xludf.DUMMYFUNCTION("""COMPUTED_VALUE"""),0.5036363636)</f>
        <v>0.5036363636</v>
      </c>
      <c r="R23" s="275">
        <f>IFERROR(__xludf.DUMMYFUNCTION("""COMPUTED_VALUE"""),13.46393939)</f>
        <v>13.46393939</v>
      </c>
      <c r="S23" s="276">
        <f>IFERROR(__xludf.DUMMYFUNCTION("""COMPUTED_VALUE"""),3.366060606)</f>
        <v>3.366060606</v>
      </c>
      <c r="T23" s="275">
        <f>IFERROR(__xludf.DUMMYFUNCTION("""COMPUTED_VALUE"""),1.307878788)</f>
        <v>1.307878788</v>
      </c>
      <c r="U23" s="275">
        <f>IFERROR(__xludf.DUMMYFUNCTION("""COMPUTED_VALUE"""),2.065454545)</f>
        <v>2.065454545</v>
      </c>
      <c r="V23" s="272">
        <f>IFERROR(__xludf.DUMMYFUNCTION("""COMPUTED_VALUE"""),0.556141401)</f>
        <v>0.556141401</v>
      </c>
      <c r="W23" s="272">
        <f>IFERROR(__xludf.DUMMYFUNCTION("""COMPUTED_VALUE"""),0.8080080528)</f>
        <v>0.8080080528</v>
      </c>
      <c r="X23" s="275">
        <f>IFERROR(__xludf.DUMMYFUNCTION("""COMPUTED_VALUE"""),2.371515152)</f>
        <v>2.371515152</v>
      </c>
      <c r="Y23" s="273">
        <f>IFERROR(__xludf.DUMMYFUNCTION("""COMPUTED_VALUE"""),1.37602784738395)</f>
        <v>1.376027847</v>
      </c>
      <c r="Z23" s="273">
        <f>IFERROR(__xludf.DUMMYFUNCTION("""COMPUTED_VALUE"""),-1.2349810895807822)</f>
        <v>-1.23498109</v>
      </c>
      <c r="AA23" s="273">
        <f>IFERROR(__xludf.DUMMYFUNCTION("""COMPUTED_VALUE"""),2.8925111508177013)</f>
        <v>2.892511151</v>
      </c>
      <c r="AB23" s="273">
        <f>IFERROR(__xludf.DUMMYFUNCTION("""COMPUTED_VALUE"""),-0.2576203341327158)</f>
        <v>-0.2576203341</v>
      </c>
      <c r="AC23" s="273">
        <f>IFERROR(__xludf.DUMMYFUNCTION("""COMPUTED_VALUE"""),1.0979590346397636)</f>
        <v>1.097959035</v>
      </c>
      <c r="AD23" s="273">
        <f>IFERROR(__xludf.DUMMYFUNCTION("""COMPUTED_VALUE"""),2.3486858336839282)</f>
        <v>2.348685834</v>
      </c>
      <c r="AE23" s="273">
        <f>IFERROR(__xludf.DUMMYFUNCTION("""COMPUTED_VALUE"""),1.1791629477595917)</f>
        <v>1.179162948</v>
      </c>
      <c r="AF23" s="273">
        <f>IFERROR(__xludf.DUMMYFUNCTION("""COMPUTED_VALUE"""),0.31001134758942167)</f>
        <v>0.3100113476</v>
      </c>
      <c r="AG23" s="277">
        <f>IFERROR(__xludf.DUMMYFUNCTION("""COMPUTED_VALUE"""),0.0)</f>
        <v>0</v>
      </c>
      <c r="AH23" s="290"/>
      <c r="AI23" s="23"/>
      <c r="AJ23" s="291">
        <v>100.0</v>
      </c>
      <c r="AK23" s="292">
        <f t="array" ref="AK23">if(AK$20=$J4,"-", countif(indirect(address(row($J$2)+ VLOOKUP(AK$20,$J$3:$J$14,1),COLUMN($K$4))):indirect(address(row($J$2)+ VLOOKUP(AK$20,$J$3:$J$14,1),COLUMN($S$2)))&gt;indirect(address(row($J4),COLUMN($K$2))):indirect(address(row($J4),COLUMN($S$2))),TRUE()))</f>
        <v>7</v>
      </c>
      <c r="AL23" s="293" t="str">
        <f t="array" ref="AL23">if(AL$20=$J4,"-", countif(indirect(address(row($J$2)+ VLOOKUP(AL$20,$J$3:$J$14,1),COLUMN($K$4))):indirect(address(row($J$2)+ VLOOKUP(AL$20,$J$3:$J$14,1),COLUMN($S$2)))&gt;indirect(address(row($J4),COLUMN($K$2))):indirect(address(row($J4),COLUMN($S$2))),TRUE()))</f>
        <v>-</v>
      </c>
      <c r="AM23" s="293">
        <f t="array" ref="AM23">if(AM$20=$J4,"-", countif(indirect(address(row($J$2)+ VLOOKUP(AM$20,$J$3:$J$14,1),COLUMN($K$4))):indirect(address(row($J$2)+ VLOOKUP(AM$20,$J$3:$J$14,1),COLUMN($S$2)))&gt;indirect(address(row($J4),COLUMN($K$2))):indirect(address(row($J4),COLUMN($S$2))),TRUE()))</f>
        <v>0</v>
      </c>
      <c r="AN23" s="293">
        <f t="array" ref="AN23">if(AN$20=$J4,"-", countif(indirect(address(row($J$2)+ VLOOKUP(AN$20,$J$3:$J$14,1),COLUMN($K$4))):indirect(address(row($J$2)+ VLOOKUP(AN$20,$J$3:$J$14,1),COLUMN($S$2)))&gt;indirect(address(row($J4),COLUMN($K$2))):indirect(address(row($J4),COLUMN($S$2))),TRUE()))</f>
        <v>0</v>
      </c>
      <c r="AO23" s="293">
        <f t="array" ref="AO23">if(AO$20=$J4,"-", countif(indirect(address(row($J$2)+ VLOOKUP(AO$20,$J$3:$J$14,1),COLUMN($K$4))):indirect(address(row($J$2)+ VLOOKUP(AO$20,$J$3:$J$14,1),COLUMN($S$2)))&gt;indirect(address(row($J4),COLUMN($K$2))):indirect(address(row($J4),COLUMN($S$2))),TRUE()))</f>
        <v>0</v>
      </c>
      <c r="AP23" s="293">
        <f t="array" ref="AP23">if(AP$20=$J4,"-", countif(indirect(address(row($J$2)+ VLOOKUP(AP$20,$J$3:$J$14,1),COLUMN($K$4))):indirect(address(row($J$2)+ VLOOKUP(AP$20,$J$3:$J$14,1),COLUMN($S$2)))&gt;indirect(address(row($J4),COLUMN($K$2))):indirect(address(row($J4),COLUMN($S$2))),TRUE()))</f>
        <v>0</v>
      </c>
      <c r="AQ23" s="293">
        <f t="array" ref="AQ23">if(AQ$20=$J4,"-", countif(indirect(address(row($J$2)+ VLOOKUP(AQ$20,$J$3:$J$14,1),COLUMN($K$4))):indirect(address(row($J$2)+ VLOOKUP(AQ$20,$J$3:$J$14,1),COLUMN($S$2)))&gt;indirect(address(row($J4),COLUMN($K$2))):indirect(address(row($J4),COLUMN($S$2))),TRUE()))</f>
        <v>0</v>
      </c>
      <c r="AR23" s="293">
        <f t="array" ref="AR23">if(AR$20=$J4,"-", countif(indirect(address(row($J$2)+ VLOOKUP(AR$20,$J$3:$J$14,1),COLUMN($K$4))):indirect(address(row($J$2)+ VLOOKUP(AR$20,$J$3:$J$14,1),COLUMN($S$2)))&gt;indirect(address(row($J4),COLUMN($K$2))):indirect(address(row($J4),COLUMN($S$2))),TRUE()))</f>
        <v>0</v>
      </c>
      <c r="AS23" s="293">
        <f t="array" ref="AS23">if(AS$20=$J4,"-", countif(indirect(address(row($J$2)+ VLOOKUP(AS$20,$J$3:$J$14,1),COLUMN($K$4))):indirect(address(row($J$2)+ VLOOKUP(AS$20,$J$3:$J$14,1),COLUMN($S$2)))&gt;indirect(address(row($J4),COLUMN($K$2))):indirect(address(row($J4),COLUMN($S$2))),TRUE()))</f>
        <v>0</v>
      </c>
      <c r="AT23" s="293">
        <f t="array" ref="AT23">if(AT$20=$J4,"-", countif(indirect(address(row($J$2)+ VLOOKUP(AT$20,$J$3:$J$14,1),COLUMN($K$4))):indirect(address(row($J$2)+ VLOOKUP(AT$20,$J$3:$J$14,1),COLUMN($S$2)))&gt;indirect(address(row($J4),COLUMN($K$2))):indirect(address(row($J4),COLUMN($S$2))),TRUE()))</f>
        <v>0</v>
      </c>
      <c r="AU23" s="293">
        <f t="array" ref="AU23">if(AU$20=$J4,"-", countif(indirect(address(row($J$2)+ VLOOKUP(AU$20,$J$3:$J$14,1),COLUMN($K$4))):indirect(address(row($J$2)+ VLOOKUP(AU$20,$J$3:$J$14,1),COLUMN($S$2)))&gt;indirect(address(row($J4),COLUMN($K$2))):indirect(address(row($J4),COLUMN($S$2))),TRUE()))</f>
        <v>0</v>
      </c>
      <c r="AV23" s="294">
        <f t="array" ref="AV23">if(AV$20=$J4,"-", countif(indirect(address(row($J$2)+ VLOOKUP(AV$20,$J$3:$J$14,1),COLUMN($K$4))):indirect(address(row($J$2)+ VLOOKUP(AV$20,$J$3:$J$14,1),COLUMN($S$2)))&gt;indirect(address(row($J4),COLUMN($K$2))):indirect(address(row($J4),COLUMN($S$2))),TRUE()))</f>
        <v>0</v>
      </c>
      <c r="AW23" s="295">
        <v>2.0</v>
      </c>
      <c r="AX23" s="296" t="str">
        <f t="array" ref="AX23">INDIRECT("Draft!E"&amp;TEXT(15-VLOOKUP(TRUE,I3:J14,2,0),"0"))</f>
        <v/>
      </c>
      <c r="AY23" s="297"/>
      <c r="AZ23" s="299" t="str">
        <f>IF($AX23="","", VLOOKUP($AX23,'Final Update'!$P$21:$AD1015,Column(H2),False))</f>
        <v/>
      </c>
      <c r="BA23" s="299" t="str">
        <f>IF($AX23="","", VLOOKUP($AX23,'Final Update'!$P$21:$AD1015,Column(I2),False))</f>
        <v/>
      </c>
      <c r="BB23" s="299" t="str">
        <f>IF($AX23="","", VLOOKUP($AX23,'Final Update'!$P$21:$AD1015,Column(J2),False))</f>
        <v/>
      </c>
      <c r="BC23" s="299" t="str">
        <f>IF($AX23="","", VLOOKUP($AX23,'Final Update'!$P$21:$AD1015,Column(K2),False))</f>
        <v/>
      </c>
      <c r="BD23" s="299" t="str">
        <f>IF($AX23="","", VLOOKUP($AX23,'Final Update'!$P$21:$AD1015,Column(L2),False))</f>
        <v/>
      </c>
      <c r="BE23" s="299" t="str">
        <f>IF($AX23="","", VLOOKUP($AX23,'Final Update'!$P$21:$AD1015,Column(M2),False))</f>
        <v/>
      </c>
      <c r="BF23" s="300" t="str">
        <f>IF($AX23="","", VLOOKUP($AX23,'Final Update'!$P$21:$AD1015,Column(N2),False))</f>
        <v/>
      </c>
      <c r="BG23" s="300" t="str">
        <f>IF($AX23="","", VLOOKUP($AX23,'Final Update'!$P$21:$AD1015,Column(O2),False))</f>
        <v/>
      </c>
      <c r="BH23" s="299" t="str">
        <f>IF($AX23="","", VLOOKUP($AX23,'Final Update'!$P$21:$AD1015,Column(P2),False))</f>
        <v/>
      </c>
      <c r="BI23" s="299" t="str">
        <f>IF($AX23="","", VLOOKUP($AX23,'Final Update'!$P$21:$AD1015,Column(C2),False))</f>
        <v/>
      </c>
      <c r="BJ23" s="301">
        <f t="array" ref="BJ23">COUNTIF(FIND(BK23,$BI$22:$BI$33),"&gt;0")</f>
        <v>0</v>
      </c>
      <c r="BK23" s="302" t="s">
        <v>71</v>
      </c>
      <c r="BL23" s="288"/>
      <c r="BM23" s="289"/>
      <c r="BN23" s="289"/>
      <c r="BO23" s="289"/>
      <c r="BP23" s="289"/>
      <c r="BQ23" s="289"/>
      <c r="BR23" s="289"/>
      <c r="BS23" s="289"/>
      <c r="BT23" s="23"/>
      <c r="BU23" s="23"/>
      <c r="BV23" s="23"/>
    </row>
    <row r="24">
      <c r="A24" s="251">
        <f>VLOOKUP($F24,UpdateHashtag!$V$3:$Y$32,COLUMN(B$15),0)</f>
        <v>4</v>
      </c>
      <c r="B24" s="252">
        <f>VLOOKUP($F24,UpdateHashtag!$V$3:$Y$32,COLUMN(C$13),0)</f>
        <v>4</v>
      </c>
      <c r="C24" s="252">
        <f>VLOOKUP($F24,UpdateHashtag!$V$3:$Y$32,COLUMN(D$13),0)</f>
        <v>3</v>
      </c>
      <c r="D24" s="268">
        <f t="shared" si="4"/>
        <v>11</v>
      </c>
      <c r="E24" s="19"/>
      <c r="F24" s="30" t="str">
        <f>IF(VLOOKUP(J24,PasteHashtag!$C$2:$P1015,3,)="BRO","BKN",IF(VLOOKUP(J24,PasteHashtag!$C$2:$P1015,3,)="OKL","OKC",VLOOKUP(J24,PasteHashtag!$C$2:$P1015,3,)))</f>
        <v>OKC</v>
      </c>
      <c r="G24" s="269">
        <v>5.0</v>
      </c>
      <c r="H24" s="270">
        <f>IFERROR(__xludf.DUMMYFUNCTION("""COMPUTED_VALUE"""),6.0)</f>
        <v>6</v>
      </c>
      <c r="I24" s="270">
        <f>IFERROR(__xludf.DUMMYFUNCTION("""COMPUTED_VALUE"""),4.5)</f>
        <v>4.5</v>
      </c>
      <c r="J24" s="271" t="str">
        <f>IFERROR(__xludf.DUMMYFUNCTION("""COMPUTED_VALUE"""),"Shai Gilgeous-Alexander")</f>
        <v>Shai Gilgeous-Alexander</v>
      </c>
      <c r="K24" s="270">
        <f>IFERROR(__xludf.DUMMYFUNCTION("""COMPUTED_VALUE"""),64.0)</f>
        <v>64</v>
      </c>
      <c r="L24" s="272" t="str">
        <f>IFERROR(__xludf.DUMMYFUNCTION("""COMPUTED_VALUE"""),"SG,SF")</f>
        <v>SG,SF</v>
      </c>
      <c r="M24" s="273">
        <f>IFERROR(__xludf.DUMMYFUNCTION("""COMPUTED_VALUE"""),6.736591490731338)</f>
        <v>6.736591491</v>
      </c>
      <c r="N24" s="273">
        <f>IFERROR(__xludf.DUMMYFUNCTION("""COMPUTED_VALUE"""),6.959358711350021)</f>
        <v>6.959358711</v>
      </c>
      <c r="O24" s="274">
        <f>IFERROR(__xludf.DUMMYFUNCTION("""COMPUTED_VALUE"""),0.2227672206186826)</f>
        <v>0.2227672206</v>
      </c>
      <c r="P24" s="275">
        <f>IFERROR(__xludf.DUMMYFUNCTION("""COMPUTED_VALUE"""),29.18123288)</f>
        <v>29.18123288</v>
      </c>
      <c r="Q24" s="275">
        <f>IFERROR(__xludf.DUMMYFUNCTION("""COMPUTED_VALUE"""),1.557945205)</f>
        <v>1.557945205</v>
      </c>
      <c r="R24" s="275">
        <f>IFERROR(__xludf.DUMMYFUNCTION("""COMPUTED_VALUE"""),5.437123288)</f>
        <v>5.437123288</v>
      </c>
      <c r="S24" s="276">
        <f>IFERROR(__xludf.DUMMYFUNCTION("""COMPUTED_VALUE"""),6.939589041)</f>
        <v>6.939589041</v>
      </c>
      <c r="T24" s="275">
        <f>IFERROR(__xludf.DUMMYFUNCTION("""COMPUTED_VALUE"""),1.502328767)</f>
        <v>1.502328767</v>
      </c>
      <c r="U24" s="275">
        <f>IFERROR(__xludf.DUMMYFUNCTION("""COMPUTED_VALUE"""),0.7869863014)</f>
        <v>0.7869863014</v>
      </c>
      <c r="V24" s="272">
        <f>IFERROR(__xludf.DUMMYFUNCTION("""COMPUTED_VALUE"""),0.5123976584)</f>
        <v>0.5123976584</v>
      </c>
      <c r="W24" s="272">
        <f>IFERROR(__xludf.DUMMYFUNCTION("""COMPUTED_VALUE"""),0.8549952613)</f>
        <v>0.8549952613</v>
      </c>
      <c r="X24" s="275">
        <f>IFERROR(__xludf.DUMMYFUNCTION("""COMPUTED_VALUE"""),2.646986301)</f>
        <v>2.646986301</v>
      </c>
      <c r="Y24" s="273">
        <f>IFERROR(__xludf.DUMMYFUNCTION("""COMPUTED_VALUE"""),2.107650991319318)</f>
        <v>2.107650991</v>
      </c>
      <c r="Z24" s="273">
        <f>IFERROR(__xludf.DUMMYFUNCTION("""COMPUTED_VALUE"""),-0.18918206083448794)</f>
        <v>-0.1891820608</v>
      </c>
      <c r="AA24" s="273">
        <f>IFERROR(__xludf.DUMMYFUNCTION("""COMPUTED_VALUE"""),-0.2532542378696264)</f>
        <v>-0.2532542379</v>
      </c>
      <c r="AB24" s="273">
        <f>IFERROR(__xludf.DUMMYFUNCTION("""COMPUTED_VALUE"""),1.365256185570836)</f>
        <v>1.365256186</v>
      </c>
      <c r="AC24" s="273">
        <f>IFERROR(__xludf.DUMMYFUNCTION("""COMPUTED_VALUE"""),1.7412605017662555)</f>
        <v>1.741260502</v>
      </c>
      <c r="AD24" s="273">
        <f>IFERROR(__xludf.DUMMYFUNCTION("""COMPUTED_VALUE"""),0.06834873310349474)</f>
        <v>0.0683487331</v>
      </c>
      <c r="AE24" s="273">
        <f>IFERROR(__xludf.DUMMYFUNCTION("""COMPUTED_VALUE"""),0.35176815797639455)</f>
        <v>0.351768158</v>
      </c>
      <c r="AF24" s="273">
        <f>IFERROR(__xludf.DUMMYFUNCTION("""COMPUTED_VALUE"""),1.7675104403178359)</f>
        <v>1.76751044</v>
      </c>
      <c r="AG24" s="277">
        <f>IFERROR(__xludf.DUMMYFUNCTION("""COMPUTED_VALUE"""),0.0)</f>
        <v>0</v>
      </c>
      <c r="AH24" s="290"/>
      <c r="AI24" s="23"/>
      <c r="AJ24" s="291">
        <v>100.0</v>
      </c>
      <c r="AK24" s="292">
        <f t="array" ref="AK24">if(AK$20=$J5,"-", countif(indirect(address(row($J$2)+ VLOOKUP(AK$20,$J$3:$J$14,1),COLUMN($K$4))):indirect(address(row($J$2)+ VLOOKUP(AK$20,$J$3:$J$14,1),COLUMN($S$2)))&gt;indirect(address(row($J5),COLUMN($K$2))):indirect(address(row($J5),COLUMN($S$2))),TRUE()))</f>
        <v>7</v>
      </c>
      <c r="AL24" s="293">
        <f t="array" ref="AL24">if(AL$20=$J5,"-", countif(indirect(address(row($J$2)+ VLOOKUP(AL$20,$J$3:$J$14,1),COLUMN($K$4))):indirect(address(row($J$2)+ VLOOKUP(AL$20,$J$3:$J$14,1),COLUMN($S$2)))&gt;indirect(address(row($J5),COLUMN($K$2))):indirect(address(row($J5),COLUMN($S$2))),TRUE()))</f>
        <v>0</v>
      </c>
      <c r="AM24" s="293" t="str">
        <f t="array" ref="AM24">if(AM$20=$J5,"-", countif(indirect(address(row($J$2)+ VLOOKUP(AM$20,$J$3:$J$14,1),COLUMN($K$4))):indirect(address(row($J$2)+ VLOOKUP(AM$20,$J$3:$J$14,1),COLUMN($S$2)))&gt;indirect(address(row($J5),COLUMN($K$2))):indirect(address(row($J5),COLUMN($S$2))),TRUE()))</f>
        <v>-</v>
      </c>
      <c r="AN24" s="293">
        <f t="array" ref="AN24">if(AN$20=$J5,"-", countif(indirect(address(row($J$2)+ VLOOKUP(AN$20,$J$3:$J$14,1),COLUMN($K$4))):indirect(address(row($J$2)+ VLOOKUP(AN$20,$J$3:$J$14,1),COLUMN($S$2)))&gt;indirect(address(row($J5),COLUMN($K$2))):indirect(address(row($J5),COLUMN($S$2))),TRUE()))</f>
        <v>0</v>
      </c>
      <c r="AO24" s="293">
        <f t="array" ref="AO24">if(AO$20=$J5,"-", countif(indirect(address(row($J$2)+ VLOOKUP(AO$20,$J$3:$J$14,1),COLUMN($K$4))):indirect(address(row($J$2)+ VLOOKUP(AO$20,$J$3:$J$14,1),COLUMN($S$2)))&gt;indirect(address(row($J5),COLUMN($K$2))):indirect(address(row($J5),COLUMN($S$2))),TRUE()))</f>
        <v>0</v>
      </c>
      <c r="AP24" s="293">
        <f t="array" ref="AP24">if(AP$20=$J5,"-", countif(indirect(address(row($J$2)+ VLOOKUP(AP$20,$J$3:$J$14,1),COLUMN($K$4))):indirect(address(row($J$2)+ VLOOKUP(AP$20,$J$3:$J$14,1),COLUMN($S$2)))&gt;indirect(address(row($J5),COLUMN($K$2))):indirect(address(row($J5),COLUMN($S$2))),TRUE()))</f>
        <v>0</v>
      </c>
      <c r="AQ24" s="293">
        <f t="array" ref="AQ24">if(AQ$20=$J5,"-", countif(indirect(address(row($J$2)+ VLOOKUP(AQ$20,$J$3:$J$14,1),COLUMN($K$4))):indirect(address(row($J$2)+ VLOOKUP(AQ$20,$J$3:$J$14,1),COLUMN($S$2)))&gt;indirect(address(row($J5),COLUMN($K$2))):indirect(address(row($J5),COLUMN($S$2))),TRUE()))</f>
        <v>0</v>
      </c>
      <c r="AR24" s="293">
        <f t="array" ref="AR24">if(AR$20=$J5,"-", countif(indirect(address(row($J$2)+ VLOOKUP(AR$20,$J$3:$J$14,1),COLUMN($K$4))):indirect(address(row($J$2)+ VLOOKUP(AR$20,$J$3:$J$14,1),COLUMN($S$2)))&gt;indirect(address(row($J5),COLUMN($K$2))):indirect(address(row($J5),COLUMN($S$2))),TRUE()))</f>
        <v>0</v>
      </c>
      <c r="AS24" s="293">
        <f t="array" ref="AS24">if(AS$20=$J5,"-", countif(indirect(address(row($J$2)+ VLOOKUP(AS$20,$J$3:$J$14,1),COLUMN($K$4))):indirect(address(row($J$2)+ VLOOKUP(AS$20,$J$3:$J$14,1),COLUMN($S$2)))&gt;indirect(address(row($J5),COLUMN($K$2))):indirect(address(row($J5),COLUMN($S$2))),TRUE()))</f>
        <v>0</v>
      </c>
      <c r="AT24" s="293">
        <f t="array" ref="AT24">if(AT$20=$J5,"-", countif(indirect(address(row($J$2)+ VLOOKUP(AT$20,$J$3:$J$14,1),COLUMN($K$4))):indirect(address(row($J$2)+ VLOOKUP(AT$20,$J$3:$J$14,1),COLUMN($S$2)))&gt;indirect(address(row($J5),COLUMN($K$2))):indirect(address(row($J5),COLUMN($S$2))),TRUE()))</f>
        <v>0</v>
      </c>
      <c r="AU24" s="293">
        <f t="array" ref="AU24">if(AU$20=$J5,"-", countif(indirect(address(row($J$2)+ VLOOKUP(AU$20,$J$3:$J$14,1),COLUMN($K$4))):indirect(address(row($J$2)+ VLOOKUP(AU$20,$J$3:$J$14,1),COLUMN($S$2)))&gt;indirect(address(row($J5),COLUMN($K$2))):indirect(address(row($J5),COLUMN($S$2))),TRUE()))</f>
        <v>0</v>
      </c>
      <c r="AV24" s="294">
        <f t="array" ref="AV24">if(AV$20=$J5,"-", countif(indirect(address(row($J$2)+ VLOOKUP(AV$20,$J$3:$J$14,1),COLUMN($K$4))):indirect(address(row($J$2)+ VLOOKUP(AV$20,$J$3:$J$14,1),COLUMN($S$2)))&gt;indirect(address(row($J5),COLUMN($K$2))):indirect(address(row($J5),COLUMN($S$2))),TRUE()))</f>
        <v>0</v>
      </c>
      <c r="AW24" s="295">
        <v>3.0</v>
      </c>
      <c r="AX24" s="313" t="str">
        <f t="array" ref="AX24">INDIRECT("Draft!F"&amp;TEXT(VLOOKUP(TRUE,I3:J14,2,0)+2,"0"))</f>
        <v/>
      </c>
      <c r="AY24" s="314"/>
      <c r="AZ24" s="315" t="str">
        <f>IF($AX24="","", VLOOKUP($AX24,'Final Update'!$P$21:$AD1015,Column(H3),False))</f>
        <v/>
      </c>
      <c r="BA24" s="315" t="str">
        <f>IF($AX24="","", VLOOKUP($AX24,'Final Update'!$P$21:$AD1015,Column(I3),False))</f>
        <v/>
      </c>
      <c r="BB24" s="315" t="str">
        <f>IF($AX24="","", VLOOKUP($AX24,'Final Update'!$P$21:$AD1015,Column(J3),False))</f>
        <v/>
      </c>
      <c r="BC24" s="315" t="str">
        <f>IF($AX24="","", VLOOKUP($AX24,'Final Update'!$P$21:$AD1015,Column(K3),False))</f>
        <v/>
      </c>
      <c r="BD24" s="315" t="str">
        <f>IF($AX24="","", VLOOKUP($AX24,'Final Update'!$P$21:$AD1015,Column(L3),False))</f>
        <v/>
      </c>
      <c r="BE24" s="315" t="str">
        <f>IF($AX24="","", VLOOKUP($AX24,'Final Update'!$P$21:$AD1015,Column(M3),False))</f>
        <v/>
      </c>
      <c r="BF24" s="315" t="str">
        <f>IF($AX24="","", VLOOKUP($AX24,'Final Update'!$P$21:$AD1015,Column(N3),False))</f>
        <v/>
      </c>
      <c r="BG24" s="315" t="str">
        <f>IF($AX24="","", VLOOKUP($AX24,'Final Update'!$P$21:$AD1015,Column(O3),False))</f>
        <v/>
      </c>
      <c r="BH24" s="315" t="str">
        <f>IF($AX24="","", VLOOKUP($AX24,'Final Update'!$P$21:$AD1015,Column(P3),False))</f>
        <v/>
      </c>
      <c r="BI24" s="315" t="str">
        <f>IF($AX24="","", VLOOKUP($AX24,'Final Update'!$P$21:$AD1015,Column(C3),False))</f>
        <v/>
      </c>
      <c r="BJ24" s="301">
        <f t="array" ref="BJ24">COUNTIF(FIND(BK24,$BI$22:$BI$33),"&gt;0")</f>
        <v>0</v>
      </c>
      <c r="BK24" s="302" t="s">
        <v>72</v>
      </c>
      <c r="BL24" s="288"/>
      <c r="BM24" s="289"/>
      <c r="BN24" s="289"/>
      <c r="BO24" s="289"/>
      <c r="BP24" s="289"/>
      <c r="BQ24" s="289"/>
      <c r="BR24" s="289"/>
      <c r="BS24" s="289"/>
      <c r="BT24" s="23"/>
      <c r="BU24" s="23"/>
      <c r="BV24" s="23"/>
    </row>
    <row r="25">
      <c r="A25" s="251">
        <f>VLOOKUP($F25,UpdateHashtag!$V$3:$Y$32,COLUMN(B$15),0)</f>
        <v>4</v>
      </c>
      <c r="B25" s="252">
        <f>VLOOKUP($F25,UpdateHashtag!$V$3:$Y$32,COLUMN(C$13),0)</f>
        <v>3</v>
      </c>
      <c r="C25" s="252">
        <f>VLOOKUP($F25,UpdateHashtag!$V$3:$Y$32,COLUMN(D$13),0)</f>
        <v>4</v>
      </c>
      <c r="D25" s="268">
        <f t="shared" si="4"/>
        <v>11</v>
      </c>
      <c r="E25" s="19"/>
      <c r="F25" s="30" t="str">
        <f>IF(VLOOKUP(J25,PasteHashtag!$C$2:$P1015,3,)="BRO","BKN",IF(VLOOKUP(J25,PasteHashtag!$C$2:$P1015,3,)="OKL","OKC",VLOOKUP(J25,PasteHashtag!$C$2:$P1015,3,)))</f>
        <v>CHA</v>
      </c>
      <c r="G25" s="269">
        <v>6.0</v>
      </c>
      <c r="H25" s="270">
        <f>IFERROR(__xludf.DUMMYFUNCTION("""COMPUTED_VALUE"""),7.0)</f>
        <v>7</v>
      </c>
      <c r="I25" s="270">
        <f>IFERROR(__xludf.DUMMYFUNCTION("""COMPUTED_VALUE"""),22.3)</f>
        <v>22.3</v>
      </c>
      <c r="J25" s="271" t="str">
        <f>IFERROR(__xludf.DUMMYFUNCTION("""COMPUTED_VALUE"""),"LaMelo Ball")</f>
        <v>LaMelo Ball</v>
      </c>
      <c r="K25" s="270">
        <f>IFERROR(__xludf.DUMMYFUNCTION("""COMPUTED_VALUE"""),77.0)</f>
        <v>77</v>
      </c>
      <c r="L25" s="272" t="str">
        <f>IFERROR(__xludf.DUMMYFUNCTION("""COMPUTED_VALUE"""),"PG,SG")</f>
        <v>PG,SG</v>
      </c>
      <c r="M25" s="273">
        <f>IFERROR(__xludf.DUMMYFUNCTION("""COMPUTED_VALUE"""),6.171957496592203)</f>
        <v>6.171957497</v>
      </c>
      <c r="N25" s="273">
        <f>IFERROR(__xludf.DUMMYFUNCTION("""COMPUTED_VALUE"""),6.588658143108068)</f>
        <v>6.588658143</v>
      </c>
      <c r="O25" s="274">
        <f>IFERROR(__xludf.DUMMYFUNCTION("""COMPUTED_VALUE"""),0.41670064651586536)</f>
        <v>0.4167006465</v>
      </c>
      <c r="P25" s="275">
        <f>IFERROR(__xludf.DUMMYFUNCTION("""COMPUTED_VALUE"""),26.09983871)</f>
        <v>26.09983871</v>
      </c>
      <c r="Q25" s="275">
        <f>IFERROR(__xludf.DUMMYFUNCTION("""COMPUTED_VALUE"""),3.96)</f>
        <v>3.96</v>
      </c>
      <c r="R25" s="275">
        <f>IFERROR(__xludf.DUMMYFUNCTION("""COMPUTED_VALUE"""),5.909677419)</f>
        <v>5.909677419</v>
      </c>
      <c r="S25" s="276">
        <f>IFERROR(__xludf.DUMMYFUNCTION("""COMPUTED_VALUE"""),8.492419355)</f>
        <v>8.492419355</v>
      </c>
      <c r="T25" s="275">
        <f>IFERROR(__xludf.DUMMYFUNCTION("""COMPUTED_VALUE"""),1.680483871)</f>
        <v>1.680483871</v>
      </c>
      <c r="U25" s="275">
        <f>IFERROR(__xludf.DUMMYFUNCTION("""COMPUTED_VALUE"""),0.2917741935)</f>
        <v>0.2917741935</v>
      </c>
      <c r="V25" s="272">
        <f>IFERROR(__xludf.DUMMYFUNCTION("""COMPUTED_VALUE"""),0.4356151932)</f>
        <v>0.4356151932</v>
      </c>
      <c r="W25" s="272">
        <f>IFERROR(__xludf.DUMMYFUNCTION("""COMPUTED_VALUE"""),0.846013795)</f>
        <v>0.846013795</v>
      </c>
      <c r="X25" s="275">
        <f>IFERROR(__xludf.DUMMYFUNCTION("""COMPUTED_VALUE"""),3.429032258)</f>
        <v>3.429032258</v>
      </c>
      <c r="Y25" s="273">
        <f>IFERROR(__xludf.DUMMYFUNCTION("""COMPUTED_VALUE"""),1.5522123169896227)</f>
        <v>1.552212317</v>
      </c>
      <c r="Z25" s="273">
        <f>IFERROR(__xludf.DUMMYFUNCTION("""COMPUTED_VALUE"""),2.1934846426626065)</f>
        <v>2.193484643</v>
      </c>
      <c r="AA25" s="273">
        <f>IFERROR(__xludf.DUMMYFUNCTION("""COMPUTED_VALUE"""),-0.0680569677825962)</f>
        <v>-0.06805696778</v>
      </c>
      <c r="AB25" s="273">
        <f>IFERROR(__xludf.DUMMYFUNCTION("""COMPUTED_VALUE"""),2.070456074563602)</f>
        <v>2.070456075</v>
      </c>
      <c r="AC25" s="273">
        <f>IFERROR(__xludf.DUMMYFUNCTION("""COMPUTED_VALUE"""),2.3306534159165455)</f>
        <v>2.330653416</v>
      </c>
      <c r="AD25" s="273">
        <f>IFERROR(__xludf.DUMMYFUNCTION("""COMPUTED_VALUE"""),-0.8149352655050185)</f>
        <v>-0.8149352655</v>
      </c>
      <c r="AE25" s="273">
        <f>IFERROR(__xludf.DUMMYFUNCTION("""COMPUTED_VALUE"""),-1.5010523381290475)</f>
        <v>-1.501052338</v>
      </c>
      <c r="AF25" s="273">
        <f>IFERROR(__xludf.DUMMYFUNCTION("""COMPUTED_VALUE"""),0.8258962643923514)</f>
        <v>0.8258962644</v>
      </c>
      <c r="AG25" s="277">
        <f>IFERROR(__xludf.DUMMYFUNCTION("""COMPUTED_VALUE"""),0.0)</f>
        <v>0</v>
      </c>
      <c r="AH25" s="290"/>
      <c r="AI25" s="23"/>
      <c r="AJ25" s="291">
        <v>100.0</v>
      </c>
      <c r="AK25" s="292">
        <f t="array" ref="AK25">if(AK$20=$J6,"-", countif(indirect(address(row($J$2)+ VLOOKUP(AK$20,$J$3:$J$14,1),COLUMN($K$4))):indirect(address(row($J$2)+ VLOOKUP(AK$20,$J$3:$J$14,1),COLUMN($S$2)))&gt;indirect(address(row($J6),COLUMN($K$2))):indirect(address(row($J6),COLUMN($S$2))),TRUE()))</f>
        <v>7</v>
      </c>
      <c r="AL25" s="293">
        <f t="array" ref="AL25">if(AL$20=$J6,"-", countif(indirect(address(row($J$2)+ VLOOKUP(AL$20,$J$3:$J$14,1),COLUMN($K$4))):indirect(address(row($J$2)+ VLOOKUP(AL$20,$J$3:$J$14,1),COLUMN($S$2)))&gt;indirect(address(row($J6),COLUMN($K$2))):indirect(address(row($J6),COLUMN($S$2))),TRUE()))</f>
        <v>0</v>
      </c>
      <c r="AM25" s="293">
        <f t="array" ref="AM25">if(AM$20=$J6,"-", countif(indirect(address(row($J$2)+ VLOOKUP(AM$20,$J$3:$J$14,1),COLUMN($K$4))):indirect(address(row($J$2)+ VLOOKUP(AM$20,$J$3:$J$14,1),COLUMN($S$2)))&gt;indirect(address(row($J6),COLUMN($K$2))):indirect(address(row($J6),COLUMN($S$2))),TRUE()))</f>
        <v>0</v>
      </c>
      <c r="AN25" s="293" t="str">
        <f t="array" ref="AN25">if(AN$20=$J6,"-", countif(indirect(address(row($J$2)+ VLOOKUP(AN$20,$J$3:$J$14,1),COLUMN($K$4))):indirect(address(row($J$2)+ VLOOKUP(AN$20,$J$3:$J$14,1),COLUMN($S$2)))&gt;indirect(address(row($J6),COLUMN($K$2))):indirect(address(row($J6),COLUMN($S$2))),TRUE()))</f>
        <v>-</v>
      </c>
      <c r="AO25" s="293">
        <f t="array" ref="AO25">if(AO$20=$J6,"-", countif(indirect(address(row($J$2)+ VLOOKUP(AO$20,$J$3:$J$14,1),COLUMN($K$4))):indirect(address(row($J$2)+ VLOOKUP(AO$20,$J$3:$J$14,1),COLUMN($S$2)))&gt;indirect(address(row($J6),COLUMN($K$2))):indirect(address(row($J6),COLUMN($S$2))),TRUE()))</f>
        <v>0</v>
      </c>
      <c r="AP25" s="293">
        <f t="array" ref="AP25">if(AP$20=$J6,"-", countif(indirect(address(row($J$2)+ VLOOKUP(AP$20,$J$3:$J$14,1),COLUMN($K$4))):indirect(address(row($J$2)+ VLOOKUP(AP$20,$J$3:$J$14,1),COLUMN($S$2)))&gt;indirect(address(row($J6),COLUMN($K$2))):indirect(address(row($J6),COLUMN($S$2))),TRUE()))</f>
        <v>0</v>
      </c>
      <c r="AQ25" s="293">
        <f t="array" ref="AQ25">if(AQ$20=$J6,"-", countif(indirect(address(row($J$2)+ VLOOKUP(AQ$20,$J$3:$J$14,1),COLUMN($K$4))):indirect(address(row($J$2)+ VLOOKUP(AQ$20,$J$3:$J$14,1),COLUMN($S$2)))&gt;indirect(address(row($J6),COLUMN($K$2))):indirect(address(row($J6),COLUMN($S$2))),TRUE()))</f>
        <v>0</v>
      </c>
      <c r="AR25" s="293">
        <f t="array" ref="AR25">if(AR$20=$J6,"-", countif(indirect(address(row($J$2)+ VLOOKUP(AR$20,$J$3:$J$14,1),COLUMN($K$4))):indirect(address(row($J$2)+ VLOOKUP(AR$20,$J$3:$J$14,1),COLUMN($S$2)))&gt;indirect(address(row($J6),COLUMN($K$2))):indirect(address(row($J6),COLUMN($S$2))),TRUE()))</f>
        <v>0</v>
      </c>
      <c r="AS25" s="293">
        <f t="array" ref="AS25">if(AS$20=$J6,"-", countif(indirect(address(row($J$2)+ VLOOKUP(AS$20,$J$3:$J$14,1),COLUMN($K$4))):indirect(address(row($J$2)+ VLOOKUP(AS$20,$J$3:$J$14,1),COLUMN($S$2)))&gt;indirect(address(row($J6),COLUMN($K$2))):indirect(address(row($J6),COLUMN($S$2))),TRUE()))</f>
        <v>0</v>
      </c>
      <c r="AT25" s="293">
        <f t="array" ref="AT25">if(AT$20=$J6,"-", countif(indirect(address(row($J$2)+ VLOOKUP(AT$20,$J$3:$J$14,1),COLUMN($K$4))):indirect(address(row($J$2)+ VLOOKUP(AT$20,$J$3:$J$14,1),COLUMN($S$2)))&gt;indirect(address(row($J6),COLUMN($K$2))):indirect(address(row($J6),COLUMN($S$2))),TRUE()))</f>
        <v>0</v>
      </c>
      <c r="AU25" s="293">
        <f t="array" ref="AU25">if(AU$20=$J6,"-", countif(indirect(address(row($J$2)+ VLOOKUP(AU$20,$J$3:$J$14,1),COLUMN($K$4))):indirect(address(row($J$2)+ VLOOKUP(AU$20,$J$3:$J$14,1),COLUMN($S$2)))&gt;indirect(address(row($J6),COLUMN($K$2))):indirect(address(row($J6),COLUMN($S$2))),TRUE()))</f>
        <v>0</v>
      </c>
      <c r="AV25" s="294">
        <f t="array" ref="AV25">if(AV$20=$J6,"-", countif(indirect(address(row($J$2)+ VLOOKUP(AV$20,$J$3:$J$14,1),COLUMN($K$4))):indirect(address(row($J$2)+ VLOOKUP(AV$20,$J$3:$J$14,1),COLUMN($S$2)))&gt;indirect(address(row($J6),COLUMN($K$2))):indirect(address(row($J6),COLUMN($S$2))),TRUE()))</f>
        <v>0</v>
      </c>
      <c r="AW25" s="295">
        <v>4.0</v>
      </c>
      <c r="AX25" s="313" t="str">
        <f t="array" ref="AX25">INDIRECT("Draft!G"&amp;TEXT(15-VLOOKUP(TRUE,I3:J14,2,0),"0"))</f>
        <v/>
      </c>
      <c r="AY25" s="316"/>
      <c r="AZ25" s="315" t="str">
        <f>IF($AX25="","", VLOOKUP($AX25,'Final Update'!$P$21:$AD1015,Column(H4),False))</f>
        <v/>
      </c>
      <c r="BA25" s="315" t="str">
        <f>IF($AX25="","", VLOOKUP($AX25,'Final Update'!$P$21:$AD1015,Column(I4),False))</f>
        <v/>
      </c>
      <c r="BB25" s="315" t="str">
        <f>IF($AX25="","", VLOOKUP($AX25,'Final Update'!$P$21:$AD1015,Column(J4),False))</f>
        <v/>
      </c>
      <c r="BC25" s="315" t="str">
        <f>IF($AX25="","", VLOOKUP($AX25,'Final Update'!$P$21:$AD1015,Column(K4),False))</f>
        <v/>
      </c>
      <c r="BD25" s="315" t="str">
        <f>IF($AX25="","", VLOOKUP($AX25,'Final Update'!$P$21:$AD1015,Column(L4),False))</f>
        <v/>
      </c>
      <c r="BE25" s="315" t="str">
        <f>IF($AX25="","", VLOOKUP($AX25,'Final Update'!$P$21:$AD1015,Column(M4),False))</f>
        <v/>
      </c>
      <c r="BF25" s="315" t="str">
        <f>IF($AX25="","", VLOOKUP($AX25,'Final Update'!$P$21:$AD1015,Column(N4),False))</f>
        <v/>
      </c>
      <c r="BG25" s="315" t="str">
        <f>IF($AX25="","", VLOOKUP($AX25,'Final Update'!$P$21:$AD1015,Column(O4),False))</f>
        <v/>
      </c>
      <c r="BH25" s="315" t="str">
        <f>IF($AX25="","", VLOOKUP($AX25,'Final Update'!$P$21:$AD1015,Column(P4),False))</f>
        <v/>
      </c>
      <c r="BI25" s="315" t="str">
        <f>IF($AX25="","", VLOOKUP($AX25,'Final Update'!$P$21:$AD1015,Column(C4),False))</f>
        <v/>
      </c>
      <c r="BJ25" s="301">
        <f t="array" ref="BJ25">COUNTIF(FIND(BK25,$BI$22:$BI$33),"&gt;0")</f>
        <v>0</v>
      </c>
      <c r="BK25" s="302" t="s">
        <v>73</v>
      </c>
      <c r="BL25" s="288"/>
      <c r="BM25" s="289"/>
      <c r="BN25" s="289"/>
      <c r="BO25" s="289"/>
      <c r="BP25" s="289"/>
      <c r="BQ25" s="289"/>
      <c r="BR25" s="289"/>
      <c r="BS25" s="289"/>
      <c r="BT25" s="23"/>
      <c r="BU25" s="23"/>
      <c r="BV25" s="23"/>
    </row>
    <row r="26">
      <c r="A26" s="251">
        <f>VLOOKUP($F26,UpdateHashtag!$V$3:$Y$32,COLUMN(B$15),0)</f>
        <v>3</v>
      </c>
      <c r="B26" s="252">
        <f>VLOOKUP($F26,UpdateHashtag!$V$3:$Y$32,COLUMN(C$13),0)</f>
        <v>4</v>
      </c>
      <c r="C26" s="252">
        <f>VLOOKUP($F26,UpdateHashtag!$V$3:$Y$32,COLUMN(D$13),0)</f>
        <v>4</v>
      </c>
      <c r="D26" s="268">
        <f t="shared" si="4"/>
        <v>11</v>
      </c>
      <c r="E26" s="19"/>
      <c r="F26" s="30" t="str">
        <f>IF(VLOOKUP(J26,PasteHashtag!$C$2:$P1015,3,)="BRO","BKN",IF(VLOOKUP(J26,PasteHashtag!$C$2:$P1015,3,)="OKL","OKC",VLOOKUP(J26,PasteHashtag!$C$2:$P1015,3,)))</f>
        <v>IND</v>
      </c>
      <c r="G26" s="269">
        <v>7.0</v>
      </c>
      <c r="H26" s="270">
        <f>IFERROR(__xludf.DUMMYFUNCTION("""COMPUTED_VALUE"""),8.0)</f>
        <v>8</v>
      </c>
      <c r="I26" s="270">
        <f>IFERROR(__xludf.DUMMYFUNCTION("""COMPUTED_VALUE"""),8.4)</f>
        <v>8.4</v>
      </c>
      <c r="J26" s="271" t="str">
        <f>IFERROR(__xludf.DUMMYFUNCTION("""COMPUTED_VALUE"""),"Tyrese Haliburton")</f>
        <v>Tyrese Haliburton</v>
      </c>
      <c r="K26" s="270">
        <f>IFERROR(__xludf.DUMMYFUNCTION("""COMPUTED_VALUE"""),73.0)</f>
        <v>73</v>
      </c>
      <c r="L26" s="272" t="str">
        <f>IFERROR(__xludf.DUMMYFUNCTION("""COMPUTED_VALUE"""),"SF,PF")</f>
        <v>SF,PF</v>
      </c>
      <c r="M26" s="273">
        <f>IFERROR(__xludf.DUMMYFUNCTION("""COMPUTED_VALUE"""),5.239584635982243)</f>
        <v>5.239584636</v>
      </c>
      <c r="N26" s="273">
        <f>IFERROR(__xludf.DUMMYFUNCTION("""COMPUTED_VALUE"""),5.381228627636958)</f>
        <v>5.381228628</v>
      </c>
      <c r="O26" s="274">
        <f>IFERROR(__xludf.DUMMYFUNCTION("""COMPUTED_VALUE"""),0.14164399165471497)</f>
        <v>0.1416439917</v>
      </c>
      <c r="P26" s="275">
        <f>IFERROR(__xludf.DUMMYFUNCTION("""COMPUTED_VALUE"""),19.71779412)</f>
        <v>19.71779412</v>
      </c>
      <c r="Q26" s="275">
        <f>IFERROR(__xludf.DUMMYFUNCTION("""COMPUTED_VALUE"""),2.888382353)</f>
        <v>2.888382353</v>
      </c>
      <c r="R26" s="275">
        <f>IFERROR(__xludf.DUMMYFUNCTION("""COMPUTED_VALUE"""),3.965441176)</f>
        <v>3.965441176</v>
      </c>
      <c r="S26" s="276">
        <f>IFERROR(__xludf.DUMMYFUNCTION("""COMPUTED_VALUE"""),10.62191176)</f>
        <v>10.62191176</v>
      </c>
      <c r="T26" s="275">
        <f>IFERROR(__xludf.DUMMYFUNCTION("""COMPUTED_VALUE"""),1.416176471)</f>
        <v>1.416176471</v>
      </c>
      <c r="U26" s="275">
        <f>IFERROR(__xludf.DUMMYFUNCTION("""COMPUTED_VALUE"""),0.6373529412)</f>
        <v>0.6373529412</v>
      </c>
      <c r="V26" s="272">
        <f>IFERROR(__xludf.DUMMYFUNCTION("""COMPUTED_VALUE"""),0.4795063553)</f>
        <v>0.4795063553</v>
      </c>
      <c r="W26" s="272">
        <f>IFERROR(__xludf.DUMMYFUNCTION("""COMPUTED_VALUE"""),0.8569964121)</f>
        <v>0.8569964121</v>
      </c>
      <c r="X26" s="275">
        <f>IFERROR(__xludf.DUMMYFUNCTION("""COMPUTED_VALUE"""),2.319852941)</f>
        <v>2.319852941</v>
      </c>
      <c r="Y26" s="273">
        <f>IFERROR(__xludf.DUMMYFUNCTION("""COMPUTED_VALUE"""),0.40181279293827227)</f>
        <v>0.4018127929</v>
      </c>
      <c r="Z26" s="273">
        <f>IFERROR(__xludf.DUMMYFUNCTION("""COMPUTED_VALUE"""),1.1305165156649861)</f>
        <v>1.130516516</v>
      </c>
      <c r="AA26" s="273">
        <f>IFERROR(__xludf.DUMMYFUNCTION("""COMPUTED_VALUE"""),-0.8300167539469965)</f>
        <v>-0.8300167539</v>
      </c>
      <c r="AB26" s="273">
        <f>IFERROR(__xludf.DUMMYFUNCTION("""COMPUTED_VALUE"""),3.037540368370697)</f>
        <v>3.037540368</v>
      </c>
      <c r="AC26" s="273">
        <f>IFERROR(__xludf.DUMMYFUNCTION("""COMPUTED_VALUE"""),1.4562417082537304)</f>
        <v>1.456241708</v>
      </c>
      <c r="AD26" s="273">
        <f>IFERROR(__xludf.DUMMYFUNCTION("""COMPUTED_VALUE"""),-0.19854448419516899)</f>
        <v>-0.1985444842</v>
      </c>
      <c r="AE26" s="273">
        <f>IFERROR(__xludf.DUMMYFUNCTION("""COMPUTED_VALUE"""),-0.3039179224619302)</f>
        <v>-0.3039179225</v>
      </c>
      <c r="AF26" s="273">
        <f>IFERROR(__xludf.DUMMYFUNCTION("""COMPUTED_VALUE"""),0.6875964030133674)</f>
        <v>0.687596403</v>
      </c>
      <c r="AG26" s="277">
        <f>IFERROR(__xludf.DUMMYFUNCTION("""COMPUTED_VALUE"""),0.0)</f>
        <v>0</v>
      </c>
      <c r="AH26" s="290"/>
      <c r="AI26" s="23"/>
      <c r="AJ26" s="291">
        <v>100.0</v>
      </c>
      <c r="AK26" s="292">
        <f t="array" ref="AK26">if(AK$20=$J7,"-", countif(indirect(address(row($J$2)+ VLOOKUP(AK$20,$J$3:$J$14,1),COLUMN($K$4))):indirect(address(row($J$2)+ VLOOKUP(AK$20,$J$3:$J$14,1),COLUMN($S$2)))&gt;indirect(address(row($J7),COLUMN($K$2))):indirect(address(row($J7),COLUMN($S$2))),TRUE()))</f>
        <v>7</v>
      </c>
      <c r="AL26" s="293">
        <f t="array" ref="AL26">if(AL$20=$J7,"-", countif(indirect(address(row($J$2)+ VLOOKUP(AL$20,$J$3:$J$14,1),COLUMN($K$4))):indirect(address(row($J$2)+ VLOOKUP(AL$20,$J$3:$J$14,1),COLUMN($S$2)))&gt;indirect(address(row($J7),COLUMN($K$2))):indirect(address(row($J7),COLUMN($S$2))),TRUE()))</f>
        <v>0</v>
      </c>
      <c r="AM26" s="293">
        <f t="array" ref="AM26">if(AM$20=$J7,"-", countif(indirect(address(row($J$2)+ VLOOKUP(AM$20,$J$3:$J$14,1),COLUMN($K$4))):indirect(address(row($J$2)+ VLOOKUP(AM$20,$J$3:$J$14,1),COLUMN($S$2)))&gt;indirect(address(row($J7),COLUMN($K$2))):indirect(address(row($J7),COLUMN($S$2))),TRUE()))</f>
        <v>0</v>
      </c>
      <c r="AN26" s="293">
        <f t="array" ref="AN26">if(AN$20=$J7,"-", countif(indirect(address(row($J$2)+ VLOOKUP(AN$20,$J$3:$J$14,1),COLUMN($K$4))):indirect(address(row($J$2)+ VLOOKUP(AN$20,$J$3:$J$14,1),COLUMN($S$2)))&gt;indirect(address(row($J7),COLUMN($K$2))):indirect(address(row($J7),COLUMN($S$2))),TRUE()))</f>
        <v>0</v>
      </c>
      <c r="AO26" s="293" t="str">
        <f t="array" ref="AO26">if(AO$20=$J7,"-", countif(indirect(address(row($J$2)+ VLOOKUP(AO$20,$J$3:$J$14,1),COLUMN($K$4))):indirect(address(row($J$2)+ VLOOKUP(AO$20,$J$3:$J$14,1),COLUMN($S$2)))&gt;indirect(address(row($J7),COLUMN($K$2))):indirect(address(row($J7),COLUMN($S$2))),TRUE()))</f>
        <v>-</v>
      </c>
      <c r="AP26" s="293">
        <f t="array" ref="AP26">if(AP$20=$J7,"-", countif(indirect(address(row($J$2)+ VLOOKUP(AP$20,$J$3:$J$14,1),COLUMN($K$4))):indirect(address(row($J$2)+ VLOOKUP(AP$20,$J$3:$J$14,1),COLUMN($S$2)))&gt;indirect(address(row($J7),COLUMN($K$2))):indirect(address(row($J7),COLUMN($S$2))),TRUE()))</f>
        <v>0</v>
      </c>
      <c r="AQ26" s="293">
        <f t="array" ref="AQ26">if(AQ$20=$J7,"-", countif(indirect(address(row($J$2)+ VLOOKUP(AQ$20,$J$3:$J$14,1),COLUMN($K$4))):indirect(address(row($J$2)+ VLOOKUP(AQ$20,$J$3:$J$14,1),COLUMN($S$2)))&gt;indirect(address(row($J7),COLUMN($K$2))):indirect(address(row($J7),COLUMN($S$2))),TRUE()))</f>
        <v>0</v>
      </c>
      <c r="AR26" s="293">
        <f t="array" ref="AR26">if(AR$20=$J7,"-", countif(indirect(address(row($J$2)+ VLOOKUP(AR$20,$J$3:$J$14,1),COLUMN($K$4))):indirect(address(row($J$2)+ VLOOKUP(AR$20,$J$3:$J$14,1),COLUMN($S$2)))&gt;indirect(address(row($J7),COLUMN($K$2))):indirect(address(row($J7),COLUMN($S$2))),TRUE()))</f>
        <v>0</v>
      </c>
      <c r="AS26" s="293">
        <f t="array" ref="AS26">if(AS$20=$J7,"-", countif(indirect(address(row($J$2)+ VLOOKUP(AS$20,$J$3:$J$14,1),COLUMN($K$4))):indirect(address(row($J$2)+ VLOOKUP(AS$20,$J$3:$J$14,1),COLUMN($S$2)))&gt;indirect(address(row($J7),COLUMN($K$2))):indirect(address(row($J7),COLUMN($S$2))),TRUE()))</f>
        <v>0</v>
      </c>
      <c r="AT26" s="293">
        <f t="array" ref="AT26">if(AT$20=$J7,"-", countif(indirect(address(row($J$2)+ VLOOKUP(AT$20,$J$3:$J$14,1),COLUMN($K$4))):indirect(address(row($J$2)+ VLOOKUP(AT$20,$J$3:$J$14,1),COLUMN($S$2)))&gt;indirect(address(row($J7),COLUMN($K$2))):indirect(address(row($J7),COLUMN($S$2))),TRUE()))</f>
        <v>0</v>
      </c>
      <c r="AU26" s="293">
        <f t="array" ref="AU26">if(AU$20=$J7,"-", countif(indirect(address(row($J$2)+ VLOOKUP(AU$20,$J$3:$J$14,1),COLUMN($K$4))):indirect(address(row($J$2)+ VLOOKUP(AU$20,$J$3:$J$14,1),COLUMN($S$2)))&gt;indirect(address(row($J7),COLUMN($K$2))):indirect(address(row($J7),COLUMN($S$2))),TRUE()))</f>
        <v>0</v>
      </c>
      <c r="AV26" s="294">
        <f t="array" ref="AV26">if(AV$20=$J7,"-", countif(indirect(address(row($J$2)+ VLOOKUP(AV$20,$J$3:$J$14,1),COLUMN($K$4))):indirect(address(row($J$2)+ VLOOKUP(AV$20,$J$3:$J$14,1),COLUMN($S$2)))&gt;indirect(address(row($J7),COLUMN($K$2))):indirect(address(row($J7),COLUMN($S$2))),TRUE()))</f>
        <v>0</v>
      </c>
      <c r="AW26" s="295">
        <v>5.0</v>
      </c>
      <c r="AX26" s="313" t="str">
        <f t="array" ref="AX26">INDIRECT("Draft!H"&amp;TEXT(VLOOKUP(TRUE,I3:J14,2,0)+2,"0"))</f>
        <v/>
      </c>
      <c r="AY26" s="316"/>
      <c r="AZ26" s="315" t="str">
        <f>IF($AX26="","", VLOOKUP($AX26,'Final Update'!$P$21:$AD1015,Column(H5),False))</f>
        <v/>
      </c>
      <c r="BA26" s="315" t="str">
        <f>IF($AX26="","", VLOOKUP($AX26,'Final Update'!$P$21:$AD1015,Column(I5),False))</f>
        <v/>
      </c>
      <c r="BB26" s="315" t="str">
        <f>IF($AX26="","", VLOOKUP($AX26,'Final Update'!$P$21:$AD1015,Column(J5),False))</f>
        <v/>
      </c>
      <c r="BC26" s="315" t="str">
        <f>IF($AX26="","", VLOOKUP($AX26,'Final Update'!$P$21:$AD1015,Column(K5),False))</f>
        <v/>
      </c>
      <c r="BD26" s="315" t="str">
        <f>IF($AX26="","", VLOOKUP($AX26,'Final Update'!$P$21:$AD1015,Column(L5),False))</f>
        <v/>
      </c>
      <c r="BE26" s="315" t="str">
        <f>IF($AX26="","", VLOOKUP($AX26,'Final Update'!$P$21:$AD1015,Column(M5),False))</f>
        <v/>
      </c>
      <c r="BF26" s="315" t="str">
        <f>IF($AX26="","", VLOOKUP($AX26,'Final Update'!$P$21:$AD1015,Column(N5),False))</f>
        <v/>
      </c>
      <c r="BG26" s="315" t="str">
        <f>IF($AX26="","", VLOOKUP($AX26,'Final Update'!$P$21:$AD1015,Column(O5),False))</f>
        <v/>
      </c>
      <c r="BH26" s="315" t="str">
        <f>IF($AX26="","", VLOOKUP($AX26,'Final Update'!$P$21:$AD1015,Column(P5),False))</f>
        <v/>
      </c>
      <c r="BI26" s="315" t="str">
        <f>IF($AX26="","", VLOOKUP($AX26,'Final Update'!$P$21:$AD1015,Column(C5),False))</f>
        <v/>
      </c>
      <c r="BJ26" s="301">
        <f t="array" ref="BJ26">COUNTIF(FIND(BK26,$BI$22:$BI$33),"&gt;0")</f>
        <v>0</v>
      </c>
      <c r="BK26" s="302" t="s">
        <v>34</v>
      </c>
      <c r="BL26" s="288"/>
      <c r="BM26" s="289"/>
      <c r="BN26" s="289"/>
      <c r="BO26" s="289"/>
      <c r="BP26" s="289"/>
      <c r="BQ26" s="289"/>
      <c r="BR26" s="289"/>
      <c r="BS26" s="289"/>
      <c r="BT26" s="23"/>
      <c r="BU26" s="23"/>
      <c r="BV26" s="23"/>
    </row>
    <row r="27">
      <c r="A27" s="251">
        <f>VLOOKUP($F27,UpdateHashtag!$V$3:$Y$32,COLUMN(B$15),0)</f>
        <v>4</v>
      </c>
      <c r="B27" s="252">
        <f>VLOOKUP($F27,UpdateHashtag!$V$3:$Y$32,COLUMN(C$13),0)</f>
        <v>3</v>
      </c>
      <c r="C27" s="252">
        <f>VLOOKUP($F27,UpdateHashtag!$V$3:$Y$32,COLUMN(D$13),0)</f>
        <v>4</v>
      </c>
      <c r="D27" s="268">
        <f t="shared" si="4"/>
        <v>11</v>
      </c>
      <c r="E27" s="19"/>
      <c r="F27" s="30" t="str">
        <f>IF(VLOOKUP(J27,PasteHashtag!$C$2:$P1015,3,)="BRO","BKN",IF(VLOOKUP(J27,PasteHashtag!$C$2:$P1015,3,)="OKL","OKC",VLOOKUP(J27,PasteHashtag!$C$2:$P1015,3,)))</f>
        <v>GS</v>
      </c>
      <c r="G27" s="269">
        <v>8.0</v>
      </c>
      <c r="H27" s="270">
        <f>IFERROR(__xludf.DUMMYFUNCTION("""COMPUTED_VALUE"""),9.0)</f>
        <v>9</v>
      </c>
      <c r="I27" s="270">
        <f>IFERROR(__xludf.DUMMYFUNCTION("""COMPUTED_VALUE"""),12.4)</f>
        <v>12.4</v>
      </c>
      <c r="J27" s="271" t="str">
        <f>IFERROR(__xludf.DUMMYFUNCTION("""COMPUTED_VALUE"""),"Stephen Curry")</f>
        <v>Stephen Curry</v>
      </c>
      <c r="K27" s="270">
        <f>IFERROR(__xludf.DUMMYFUNCTION("""COMPUTED_VALUE"""),72.0)</f>
        <v>72</v>
      </c>
      <c r="L27" s="272" t="str">
        <f>IFERROR(__xludf.DUMMYFUNCTION("""COMPUTED_VALUE"""),"C")</f>
        <v>C</v>
      </c>
      <c r="M27" s="273">
        <f>IFERROR(__xludf.DUMMYFUNCTION("""COMPUTED_VALUE"""),4.89836431834699)</f>
        <v>4.898364318</v>
      </c>
      <c r="N27" s="273">
        <f>IFERROR(__xludf.DUMMYFUNCTION("""COMPUTED_VALUE"""),5.214872183012166)</f>
        <v>5.214872183</v>
      </c>
      <c r="O27" s="274">
        <f>IFERROR(__xludf.DUMMYFUNCTION("""COMPUTED_VALUE"""),0.31650786466517644)</f>
        <v>0.3165078647</v>
      </c>
      <c r="P27" s="275">
        <f>IFERROR(__xludf.DUMMYFUNCTION("""COMPUTED_VALUE"""),27.32397059)</f>
        <v>27.32397059</v>
      </c>
      <c r="Q27" s="275">
        <f>IFERROR(__xludf.DUMMYFUNCTION("""COMPUTED_VALUE"""),5.063235294)</f>
        <v>5.063235294</v>
      </c>
      <c r="R27" s="275">
        <f>IFERROR(__xludf.DUMMYFUNCTION("""COMPUTED_VALUE"""),4.8125)</f>
        <v>4.8125</v>
      </c>
      <c r="S27" s="276">
        <f>IFERROR(__xludf.DUMMYFUNCTION("""COMPUTED_VALUE"""),6.1875)</f>
        <v>6.1875</v>
      </c>
      <c r="T27" s="275">
        <f>IFERROR(__xludf.DUMMYFUNCTION("""COMPUTED_VALUE"""),0.825)</f>
        <v>0.825</v>
      </c>
      <c r="U27" s="275">
        <f>IFERROR(__xludf.DUMMYFUNCTION("""COMPUTED_VALUE"""),0.3408823529)</f>
        <v>0.3408823529</v>
      </c>
      <c r="V27" s="272">
        <f>IFERROR(__xludf.DUMMYFUNCTION("""COMPUTED_VALUE"""),0.4492422534)</f>
        <v>0.4492422534</v>
      </c>
      <c r="W27" s="272">
        <f>IFERROR(__xludf.DUMMYFUNCTION("""COMPUTED_VALUE"""),0.9219855811)</f>
        <v>0.9219855811</v>
      </c>
      <c r="X27" s="275">
        <f>IFERROR(__xludf.DUMMYFUNCTION("""COMPUTED_VALUE"""),3.025)</f>
        <v>3.025</v>
      </c>
      <c r="Y27" s="273">
        <f>IFERROR(__xludf.DUMMYFUNCTION("""COMPUTED_VALUE"""),1.7728689909236546)</f>
        <v>1.772868991</v>
      </c>
      <c r="Z27" s="273">
        <f>IFERROR(__xludf.DUMMYFUNCTION("""COMPUTED_VALUE"""),3.287815216056803)</f>
        <v>3.287815216</v>
      </c>
      <c r="AA27" s="273">
        <f>IFERROR(__xludf.DUMMYFUNCTION("""COMPUTED_VALUE"""),-0.4980484745120841)</f>
        <v>-0.4980484745</v>
      </c>
      <c r="AB27" s="273">
        <f>IFERROR(__xludf.DUMMYFUNCTION("""COMPUTED_VALUE"""),1.0237036647035267)</f>
        <v>1.023703665</v>
      </c>
      <c r="AC27" s="273">
        <f>IFERROR(__xludf.DUMMYFUNCTION("""COMPUTED_VALUE"""),-0.4995553202713378)</f>
        <v>-0.4995553203</v>
      </c>
      <c r="AD27" s="273">
        <f>IFERROR(__xludf.DUMMYFUNCTION("""COMPUTED_VALUE"""),-0.727343603857086)</f>
        <v>-0.7273436039</v>
      </c>
      <c r="AE27" s="273">
        <f>IFERROR(__xludf.DUMMYFUNCTION("""COMPUTED_VALUE"""),-1.1286194805856642)</f>
        <v>-1.128619481</v>
      </c>
      <c r="AF27" s="273">
        <f>IFERROR(__xludf.DUMMYFUNCTION("""COMPUTED_VALUE"""),1.9840511905543525)</f>
        <v>1.984051191</v>
      </c>
      <c r="AG27" s="277">
        <f>IFERROR(__xludf.DUMMYFUNCTION("""COMPUTED_VALUE"""),0.0)</f>
        <v>0</v>
      </c>
      <c r="AH27" s="265"/>
      <c r="AI27" s="23"/>
      <c r="AJ27" s="291">
        <v>100.0</v>
      </c>
      <c r="AK27" s="292">
        <f t="array" ref="AK27">if(AK$20=$J8,"-", countif(indirect(address(row($J$2)+ VLOOKUP(AK$20,$J$3:$J$14,1),COLUMN($K$4))):indirect(address(row($J$2)+ VLOOKUP(AK$20,$J$3:$J$14,1),COLUMN($S$2)))&gt;indirect(address(row($J8),COLUMN($K$2))):indirect(address(row($J8),COLUMN($S$2))),TRUE()))</f>
        <v>7</v>
      </c>
      <c r="AL27" s="293">
        <f t="array" ref="AL27">if(AL$20=$J8,"-", countif(indirect(address(row($J$2)+ VLOOKUP(AL$20,$J$3:$J$14,1),COLUMN($K$4))):indirect(address(row($J$2)+ VLOOKUP(AL$20,$J$3:$J$14,1),COLUMN($S$2)))&gt;indirect(address(row($J8),COLUMN($K$2))):indirect(address(row($J8),COLUMN($S$2))),TRUE()))</f>
        <v>0</v>
      </c>
      <c r="AM27" s="293">
        <f t="array" ref="AM27">if(AM$20=$J8,"-", countif(indirect(address(row($J$2)+ VLOOKUP(AM$20,$J$3:$J$14,1),COLUMN($K$4))):indirect(address(row($J$2)+ VLOOKUP(AM$20,$J$3:$J$14,1),COLUMN($S$2)))&gt;indirect(address(row($J8),COLUMN($K$2))):indirect(address(row($J8),COLUMN($S$2))),TRUE()))</f>
        <v>0</v>
      </c>
      <c r="AN27" s="293">
        <f t="array" ref="AN27">if(AN$20=$J8,"-", countif(indirect(address(row($J$2)+ VLOOKUP(AN$20,$J$3:$J$14,1),COLUMN($K$4))):indirect(address(row($J$2)+ VLOOKUP(AN$20,$J$3:$J$14,1),COLUMN($S$2)))&gt;indirect(address(row($J8),COLUMN($K$2))):indirect(address(row($J8),COLUMN($S$2))),TRUE()))</f>
        <v>0</v>
      </c>
      <c r="AO27" s="293">
        <f t="array" ref="AO27">if(AO$20=$J8,"-", countif(indirect(address(row($J$2)+ VLOOKUP(AO$20,$J$3:$J$14,1),COLUMN($K$4))):indirect(address(row($J$2)+ VLOOKUP(AO$20,$J$3:$J$14,1),COLUMN($S$2)))&gt;indirect(address(row($J8),COLUMN($K$2))):indirect(address(row($J8),COLUMN($S$2))),TRUE()))</f>
        <v>0</v>
      </c>
      <c r="AP27" s="293" t="str">
        <f t="array" ref="AP27">if(AP$20=$J8,"-", countif(indirect(address(row($J$2)+ VLOOKUP(AP$20,$J$3:$J$14,1),COLUMN($K$4))):indirect(address(row($J$2)+ VLOOKUP(AP$20,$J$3:$J$14,1),COLUMN($S$2)))&gt;indirect(address(row($J8),COLUMN($K$2))):indirect(address(row($J8),COLUMN($S$2))),TRUE()))</f>
        <v>-</v>
      </c>
      <c r="AQ27" s="293">
        <f t="array" ref="AQ27">if(AQ$20=$J8,"-", countif(indirect(address(row($J$2)+ VLOOKUP(AQ$20,$J$3:$J$14,1),COLUMN($K$4))):indirect(address(row($J$2)+ VLOOKUP(AQ$20,$J$3:$J$14,1),COLUMN($S$2)))&gt;indirect(address(row($J8),COLUMN($K$2))):indirect(address(row($J8),COLUMN($S$2))),TRUE()))</f>
        <v>0</v>
      </c>
      <c r="AR27" s="293">
        <f t="array" ref="AR27">if(AR$20=$J8,"-", countif(indirect(address(row($J$2)+ VLOOKUP(AR$20,$J$3:$J$14,1),COLUMN($K$4))):indirect(address(row($J$2)+ VLOOKUP(AR$20,$J$3:$J$14,1),COLUMN($S$2)))&gt;indirect(address(row($J8),COLUMN($K$2))):indirect(address(row($J8),COLUMN($S$2))),TRUE()))</f>
        <v>0</v>
      </c>
      <c r="AS27" s="293">
        <f t="array" ref="AS27">if(AS$20=$J8,"-", countif(indirect(address(row($J$2)+ VLOOKUP(AS$20,$J$3:$J$14,1),COLUMN($K$4))):indirect(address(row($J$2)+ VLOOKUP(AS$20,$J$3:$J$14,1),COLUMN($S$2)))&gt;indirect(address(row($J8),COLUMN($K$2))):indirect(address(row($J8),COLUMN($S$2))),TRUE()))</f>
        <v>0</v>
      </c>
      <c r="AT27" s="293">
        <f t="array" ref="AT27">if(AT$20=$J8,"-", countif(indirect(address(row($J$2)+ VLOOKUP(AT$20,$J$3:$J$14,1),COLUMN($K$4))):indirect(address(row($J$2)+ VLOOKUP(AT$20,$J$3:$J$14,1),COLUMN($S$2)))&gt;indirect(address(row($J8),COLUMN($K$2))):indirect(address(row($J8),COLUMN($S$2))),TRUE()))</f>
        <v>0</v>
      </c>
      <c r="AU27" s="293">
        <f t="array" ref="AU27">if(AU$20=$J8,"-", countif(indirect(address(row($J$2)+ VLOOKUP(AU$20,$J$3:$J$14,1),COLUMN($K$4))):indirect(address(row($J$2)+ VLOOKUP(AU$20,$J$3:$J$14,1),COLUMN($S$2)))&gt;indirect(address(row($J8),COLUMN($K$2))):indirect(address(row($J8),COLUMN($S$2))),TRUE()))</f>
        <v>0</v>
      </c>
      <c r="AV27" s="294">
        <f t="array" ref="AV27">if(AV$20=$J8,"-", countif(indirect(address(row($J$2)+ VLOOKUP(AV$20,$J$3:$J$14,1),COLUMN($K$4))):indirect(address(row($J$2)+ VLOOKUP(AV$20,$J$3:$J$14,1),COLUMN($S$2)))&gt;indirect(address(row($J8),COLUMN($K$2))):indirect(address(row($J8),COLUMN($S$2))),TRUE()))</f>
        <v>0</v>
      </c>
      <c r="AW27" s="295">
        <v>6.0</v>
      </c>
      <c r="AX27" s="313" t="str">
        <f t="array" ref="AX27">INDIRECT("Draft!I"&amp;TEXT(15-VLOOKUP(TRUE,I3:J14,2,0),"0"))</f>
        <v/>
      </c>
      <c r="AY27" s="316"/>
      <c r="AZ27" s="315" t="str">
        <f>IF($AX27="","", VLOOKUP($AX27,'Final Update'!$P$21:$AD1015,Column(H6),False))</f>
        <v/>
      </c>
      <c r="BA27" s="315" t="str">
        <f>IF($AX27="","", VLOOKUP($AX27,'Final Update'!$P$21:$AD1015,Column(I6),False))</f>
        <v/>
      </c>
      <c r="BB27" s="315" t="str">
        <f>IF($AX27="","", VLOOKUP($AX27,'Final Update'!$P$21:$AD1015,Column(J6),False))</f>
        <v/>
      </c>
      <c r="BC27" s="315" t="str">
        <f>IF($AX27="","", VLOOKUP($AX27,'Final Update'!$P$21:$AD1015,Column(K6),False))</f>
        <v/>
      </c>
      <c r="BD27" s="315" t="str">
        <f>IF($AX27="","", VLOOKUP($AX27,'Final Update'!$P$21:$AD1015,Column(L6),False))</f>
        <v/>
      </c>
      <c r="BE27" s="315" t="str">
        <f>IF($AX27="","", VLOOKUP($AX27,'Final Update'!$P$21:$AD1015,Column(M6),False))</f>
        <v/>
      </c>
      <c r="BF27" s="315" t="str">
        <f>IF($AX27="","", VLOOKUP($AX27,'Final Update'!$P$21:$AD1015,Column(N6),False))</f>
        <v/>
      </c>
      <c r="BG27" s="315" t="str">
        <f>IF($AX27="","", VLOOKUP($AX27,'Final Update'!$P$21:$AD1015,Column(O6),False))</f>
        <v/>
      </c>
      <c r="BH27" s="315" t="str">
        <f>IF($AX27="","", VLOOKUP($AX27,'Final Update'!$P$21:$AD1015,Column(P6),False))</f>
        <v/>
      </c>
      <c r="BI27" s="315" t="str">
        <f>IF($AX27="","", VLOOKUP($AX27,'Final Update'!$P$21:$AD1015,Column(C6),False))</f>
        <v/>
      </c>
      <c r="BJ27" s="317"/>
      <c r="BK27" s="318"/>
      <c r="BL27" s="289"/>
      <c r="BM27" s="289"/>
      <c r="BN27" s="289"/>
      <c r="BO27" s="289"/>
      <c r="BP27" s="289"/>
      <c r="BQ27" s="289"/>
      <c r="BR27" s="289"/>
      <c r="BS27" s="289"/>
      <c r="BT27" s="23"/>
      <c r="BU27" s="23"/>
      <c r="BV27" s="23"/>
    </row>
    <row r="28">
      <c r="A28" s="251">
        <f>VLOOKUP($F28,UpdateHashtag!$V$3:$Y$32,COLUMN(B$15),0)</f>
        <v>4</v>
      </c>
      <c r="B28" s="252">
        <f>VLOOKUP($F28,UpdateHashtag!$V$3:$Y$32,COLUMN(C$13),0)</f>
        <v>4</v>
      </c>
      <c r="C28" s="252">
        <f>VLOOKUP($F28,UpdateHashtag!$V$3:$Y$32,COLUMN(D$13),0)</f>
        <v>4</v>
      </c>
      <c r="D28" s="268">
        <f t="shared" si="4"/>
        <v>12</v>
      </c>
      <c r="E28" s="19"/>
      <c r="F28" s="30" t="str">
        <f>IF(VLOOKUP(J28,PasteHashtag!$C$2:$P1015,3,)="BRO","BKN",IF(VLOOKUP(J28,PasteHashtag!$C$2:$P1015,3,)="OKL","OKC",VLOOKUP(J28,PasteHashtag!$C$2:$P1015,3,)))</f>
        <v>LAC</v>
      </c>
      <c r="G28" s="269">
        <v>9.0</v>
      </c>
      <c r="H28" s="270">
        <f>IFERROR(__xludf.DUMMYFUNCTION("""COMPUTED_VALUE"""),10.0)</f>
        <v>10</v>
      </c>
      <c r="I28" s="270">
        <f>IFERROR(__xludf.DUMMYFUNCTION("""COMPUTED_VALUE"""),16.2)</f>
        <v>16.2</v>
      </c>
      <c r="J28" s="271" t="str">
        <f>IFERROR(__xludf.DUMMYFUNCTION("""COMPUTED_VALUE"""),"James Harden")</f>
        <v>James Harden</v>
      </c>
      <c r="K28" s="270">
        <f>IFERROR(__xludf.DUMMYFUNCTION("""COMPUTED_VALUE"""),67.0)</f>
        <v>67</v>
      </c>
      <c r="L28" s="272" t="str">
        <f>IFERROR(__xludf.DUMMYFUNCTION("""COMPUTED_VALUE"""),"PG,SG")</f>
        <v>PG,SG</v>
      </c>
      <c r="M28" s="273">
        <f>IFERROR(__xludf.DUMMYFUNCTION("""COMPUTED_VALUE"""),4.551259773101705)</f>
        <v>4.551259773</v>
      </c>
      <c r="N28" s="273">
        <f>IFERROR(__xludf.DUMMYFUNCTION("""COMPUTED_VALUE"""),4.926699862777106)</f>
        <v>4.926699863</v>
      </c>
      <c r="O28" s="274">
        <f>IFERROR(__xludf.DUMMYFUNCTION("""COMPUTED_VALUE"""),0.37544008967540066)</f>
        <v>0.3754400897</v>
      </c>
      <c r="P28" s="275">
        <f>IFERROR(__xludf.DUMMYFUNCTION("""COMPUTED_VALUE"""),22.65044118)</f>
        <v>22.65044118</v>
      </c>
      <c r="Q28" s="275">
        <f>IFERROR(__xludf.DUMMYFUNCTION("""COMPUTED_VALUE"""),2.797941176)</f>
        <v>2.797941176</v>
      </c>
      <c r="R28" s="275">
        <f>IFERROR(__xludf.DUMMYFUNCTION("""COMPUTED_VALUE"""),5.900441176)</f>
        <v>5.900441176</v>
      </c>
      <c r="S28" s="276">
        <f>IFERROR(__xludf.DUMMYFUNCTION("""COMPUTED_VALUE"""),9.440735294)</f>
        <v>9.440735294</v>
      </c>
      <c r="T28" s="275">
        <f>IFERROR(__xludf.DUMMYFUNCTION("""COMPUTED_VALUE"""),0.9710294118)</f>
        <v>0.9710294118</v>
      </c>
      <c r="U28" s="275">
        <f>IFERROR(__xludf.DUMMYFUNCTION("""COMPUTED_VALUE"""),0.5552941176)</f>
        <v>0.5552941176</v>
      </c>
      <c r="V28" s="272">
        <f>IFERROR(__xludf.DUMMYFUNCTION("""COMPUTED_VALUE"""),0.4337920333)</f>
        <v>0.4337920333</v>
      </c>
      <c r="W28" s="272">
        <f>IFERROR(__xludf.DUMMYFUNCTION("""COMPUTED_VALUE"""),0.8789990497)</f>
        <v>0.8789990497</v>
      </c>
      <c r="X28" s="275">
        <f>IFERROR(__xludf.DUMMYFUNCTION("""COMPUTED_VALUE"""),3.262647059)</f>
        <v>3.262647059</v>
      </c>
      <c r="Y28" s="273">
        <f>IFERROR(__xludf.DUMMYFUNCTION("""COMPUTED_VALUE"""),0.9304389619438688)</f>
        <v>0.9304389619</v>
      </c>
      <c r="Z28" s="273">
        <f>IFERROR(__xludf.DUMMYFUNCTION("""COMPUTED_VALUE"""),1.0408053310943666)</f>
        <v>1.040805331</v>
      </c>
      <c r="AA28" s="273">
        <f>IFERROR(__xludf.DUMMYFUNCTION("""COMPUTED_VALUE"""),-0.0716767160341684)</f>
        <v>-0.07167671603</v>
      </c>
      <c r="AB28" s="273">
        <f>IFERROR(__xludf.DUMMYFUNCTION("""COMPUTED_VALUE"""),2.501122766785887)</f>
        <v>2.501122767</v>
      </c>
      <c r="AC28" s="273">
        <f>IFERROR(__xludf.DUMMYFUNCTION("""COMPUTED_VALUE"""),-0.01644426344495128)</f>
        <v>-0.01644426344</v>
      </c>
      <c r="AD28" s="273">
        <f>IFERROR(__xludf.DUMMYFUNCTION("""COMPUTED_VALUE"""),-0.3449085263384095)</f>
        <v>-0.3449085263</v>
      </c>
      <c r="AE28" s="273">
        <f>IFERROR(__xludf.DUMMYFUNCTION("""COMPUTED_VALUE"""),-1.1681525032923803)</f>
        <v>-1.168152503</v>
      </c>
      <c r="AF28" s="273">
        <f>IFERROR(__xludf.DUMMYFUNCTION("""COMPUTED_VALUE"""),2.0555148120628925)</f>
        <v>2.055514812</v>
      </c>
      <c r="AG28" s="277">
        <f>IFERROR(__xludf.DUMMYFUNCTION("""COMPUTED_VALUE"""),0.0)</f>
        <v>0</v>
      </c>
      <c r="AH28" s="265"/>
      <c r="AI28" s="23"/>
      <c r="AJ28" s="291">
        <v>100.0</v>
      </c>
      <c r="AK28" s="292">
        <f t="array" ref="AK28">if(AK$20=$J9,"-", countif(indirect(address(row($J$2)+ VLOOKUP(AK$20,$J$3:$J$14,1),COLUMN($K$4))):indirect(address(row($J$2)+ VLOOKUP(AK$20,$J$3:$J$14,1),COLUMN($S$2)))&gt;indirect(address(row($J9),COLUMN($K$2))):indirect(address(row($J9),COLUMN($S$2))),TRUE()))</f>
        <v>7</v>
      </c>
      <c r="AL28" s="293">
        <f t="array" ref="AL28">if(AL$20=$J9,"-", countif(indirect(address(row($J$2)+ VLOOKUP(AL$20,$J$3:$J$14,1),COLUMN($K$4))):indirect(address(row($J$2)+ VLOOKUP(AL$20,$J$3:$J$14,1),COLUMN($S$2)))&gt;indirect(address(row($J9),COLUMN($K$2))):indirect(address(row($J9),COLUMN($S$2))),TRUE()))</f>
        <v>0</v>
      </c>
      <c r="AM28" s="293">
        <f t="array" ref="AM28">if(AM$20=$J9,"-", countif(indirect(address(row($J$2)+ VLOOKUP(AM$20,$J$3:$J$14,1),COLUMN($K$4))):indirect(address(row($J$2)+ VLOOKUP(AM$20,$J$3:$J$14,1),COLUMN($S$2)))&gt;indirect(address(row($J9),COLUMN($K$2))):indirect(address(row($J9),COLUMN($S$2))),TRUE()))</f>
        <v>0</v>
      </c>
      <c r="AN28" s="293">
        <f t="array" ref="AN28">if(AN$20=$J9,"-", countif(indirect(address(row($J$2)+ VLOOKUP(AN$20,$J$3:$J$14,1),COLUMN($K$4))):indirect(address(row($J$2)+ VLOOKUP(AN$20,$J$3:$J$14,1),COLUMN($S$2)))&gt;indirect(address(row($J9),COLUMN($K$2))):indirect(address(row($J9),COLUMN($S$2))),TRUE()))</f>
        <v>0</v>
      </c>
      <c r="AO28" s="293">
        <f t="array" ref="AO28">if(AO$20=$J9,"-", countif(indirect(address(row($J$2)+ VLOOKUP(AO$20,$J$3:$J$14,1),COLUMN($K$4))):indirect(address(row($J$2)+ VLOOKUP(AO$20,$J$3:$J$14,1),COLUMN($S$2)))&gt;indirect(address(row($J9),COLUMN($K$2))):indirect(address(row($J9),COLUMN($S$2))),TRUE()))</f>
        <v>0</v>
      </c>
      <c r="AP28" s="293">
        <f t="array" ref="AP28">if(AP$20=$J9,"-", countif(indirect(address(row($J$2)+ VLOOKUP(AP$20,$J$3:$J$14,1),COLUMN($K$4))):indirect(address(row($J$2)+ VLOOKUP(AP$20,$J$3:$J$14,1),COLUMN($S$2)))&gt;indirect(address(row($J9),COLUMN($K$2))):indirect(address(row($J9),COLUMN($S$2))),TRUE()))</f>
        <v>0</v>
      </c>
      <c r="AQ28" s="293" t="str">
        <f t="array" ref="AQ28">if(AQ$20=$J9,"-", countif(indirect(address(row($J$2)+ VLOOKUP(AQ$20,$J$3:$J$14,1),COLUMN($K$4))):indirect(address(row($J$2)+ VLOOKUP(AQ$20,$J$3:$J$14,1),COLUMN($S$2)))&gt;indirect(address(row($J9),COLUMN($K$2))):indirect(address(row($J9),COLUMN($S$2))),TRUE()))</f>
        <v>-</v>
      </c>
      <c r="AR28" s="293">
        <f t="array" ref="AR28">if(AR$20=$J9,"-", countif(indirect(address(row($J$2)+ VLOOKUP(AR$20,$J$3:$J$14,1),COLUMN($K$4))):indirect(address(row($J$2)+ VLOOKUP(AR$20,$J$3:$J$14,1),COLUMN($S$2)))&gt;indirect(address(row($J9),COLUMN($K$2))):indirect(address(row($J9),COLUMN($S$2))),TRUE()))</f>
        <v>0</v>
      </c>
      <c r="AS28" s="293">
        <f t="array" ref="AS28">if(AS$20=$J9,"-", countif(indirect(address(row($J$2)+ VLOOKUP(AS$20,$J$3:$J$14,1),COLUMN($K$4))):indirect(address(row($J$2)+ VLOOKUP(AS$20,$J$3:$J$14,1),COLUMN($S$2)))&gt;indirect(address(row($J9),COLUMN($K$2))):indirect(address(row($J9),COLUMN($S$2))),TRUE()))</f>
        <v>0</v>
      </c>
      <c r="AT28" s="293">
        <f t="array" ref="AT28">if(AT$20=$J9,"-", countif(indirect(address(row($J$2)+ VLOOKUP(AT$20,$J$3:$J$14,1),COLUMN($K$4))):indirect(address(row($J$2)+ VLOOKUP(AT$20,$J$3:$J$14,1),COLUMN($S$2)))&gt;indirect(address(row($J9),COLUMN($K$2))):indirect(address(row($J9),COLUMN($S$2))),TRUE()))</f>
        <v>0</v>
      </c>
      <c r="AU28" s="293">
        <f t="array" ref="AU28">if(AU$20=$J9,"-", countif(indirect(address(row($J$2)+ VLOOKUP(AU$20,$J$3:$J$14,1),COLUMN($K$4))):indirect(address(row($J$2)+ VLOOKUP(AU$20,$J$3:$J$14,1),COLUMN($S$2)))&gt;indirect(address(row($J9),COLUMN($K$2))):indirect(address(row($J9),COLUMN($S$2))),TRUE()))</f>
        <v>0</v>
      </c>
      <c r="AV28" s="294">
        <f t="array" ref="AV28">if(AV$20=$J9,"-", countif(indirect(address(row($J$2)+ VLOOKUP(AV$20,$J$3:$J$14,1),COLUMN($K$4))):indirect(address(row($J$2)+ VLOOKUP(AV$20,$J$3:$J$14,1),COLUMN($S$2)))&gt;indirect(address(row($J9),COLUMN($K$2))):indirect(address(row($J9),COLUMN($S$2))),TRUE()))</f>
        <v>0</v>
      </c>
      <c r="AW28" s="295">
        <v>7.0</v>
      </c>
      <c r="AX28" s="313" t="str">
        <f t="array" ref="AX28">INDIRECT("Draft!J"&amp;TEXT(VLOOKUP(TRUE,I3:J14,2,0)+2,"0"))</f>
        <v/>
      </c>
      <c r="AY28" s="316"/>
      <c r="AZ28" s="315" t="str">
        <f>IF($AX28="","", VLOOKUP($AX28,'Final Update'!$P$21:$AD1015,Column(H7),False))</f>
        <v/>
      </c>
      <c r="BA28" s="315" t="str">
        <f>IF($AX28="","", VLOOKUP($AX28,'Final Update'!$P$21:$AD1015,Column(I7),False))</f>
        <v/>
      </c>
      <c r="BB28" s="315" t="str">
        <f>IF($AX28="","", VLOOKUP($AX28,'Final Update'!$P$21:$AD1015,Column(J7),False))</f>
        <v/>
      </c>
      <c r="BC28" s="315" t="str">
        <f>IF($AX28="","", VLOOKUP($AX28,'Final Update'!$P$21:$AD1015,Column(K7),False))</f>
        <v/>
      </c>
      <c r="BD28" s="315" t="str">
        <f>IF($AX28="","", VLOOKUP($AX28,'Final Update'!$P$21:$AD1015,Column(L7),False))</f>
        <v/>
      </c>
      <c r="BE28" s="315" t="str">
        <f>IF($AX28="","", VLOOKUP($AX28,'Final Update'!$P$21:$AD1015,Column(M7),False))</f>
        <v/>
      </c>
      <c r="BF28" s="315" t="str">
        <f>IF($AX28="","", VLOOKUP($AX28,'Final Update'!$P$21:$AD1015,Column(N7),False))</f>
        <v/>
      </c>
      <c r="BG28" s="315" t="str">
        <f>IF($AX28="","", VLOOKUP($AX28,'Final Update'!$P$21:$AD1015,Column(O7),False))</f>
        <v/>
      </c>
      <c r="BH28" s="315" t="str">
        <f>IF($AX28="","", VLOOKUP($AX28,'Final Update'!$P$21:$AD1015,Column(P7),False))</f>
        <v/>
      </c>
      <c r="BI28" s="315" t="str">
        <f>IF($AX28="","", VLOOKUP($AX28,'Final Update'!$P$21:$AD1015,Column(C7),False))</f>
        <v/>
      </c>
      <c r="BJ28" s="317"/>
      <c r="BK28" s="318"/>
      <c r="BL28" s="289"/>
      <c r="BM28" s="289"/>
      <c r="BN28" s="289"/>
      <c r="BO28" s="289"/>
      <c r="BP28" s="289"/>
      <c r="BQ28" s="289"/>
      <c r="BR28" s="289"/>
      <c r="BS28" s="289"/>
      <c r="BT28" s="23"/>
      <c r="BU28" s="23"/>
      <c r="BV28" s="23"/>
    </row>
    <row r="29">
      <c r="A29" s="251">
        <f>VLOOKUP($F29,UpdateHashtag!$V$3:$Y$32,COLUMN(B$15),0)</f>
        <v>4</v>
      </c>
      <c r="B29" s="252">
        <f>VLOOKUP($F29,UpdateHashtag!$V$3:$Y$32,COLUMN(C$13),0)</f>
        <v>4</v>
      </c>
      <c r="C29" s="252">
        <f>VLOOKUP($F29,UpdateHashtag!$V$3:$Y$32,COLUMN(D$13),0)</f>
        <v>4</v>
      </c>
      <c r="D29" s="268">
        <f t="shared" si="4"/>
        <v>12</v>
      </c>
      <c r="E29" s="19"/>
      <c r="F29" s="30" t="str">
        <f>IF(VLOOKUP(J29,PasteHashtag!$C$2:$P1015,3,)="BRO","BKN",IF(VLOOKUP(J29,PasteHashtag!$C$2:$P1015,3,)="OKL","OKC",VLOOKUP(J29,PasteHashtag!$C$2:$P1015,3,)))</f>
        <v>PHI</v>
      </c>
      <c r="G29" s="269">
        <v>10.0</v>
      </c>
      <c r="H29" s="270">
        <f>IFERROR(__xludf.DUMMYFUNCTION("""COMPUTED_VALUE"""),13.0)</f>
        <v>13</v>
      </c>
      <c r="I29" s="270">
        <f>IFERROR(__xludf.DUMMYFUNCTION("""COMPUTED_VALUE"""),32.1)</f>
        <v>32.1</v>
      </c>
      <c r="J29" s="271" t="str">
        <f>IFERROR(__xludf.DUMMYFUNCTION("""COMPUTED_VALUE"""),"Paul George")</f>
        <v>Paul George</v>
      </c>
      <c r="K29" s="270">
        <f>IFERROR(__xludf.DUMMYFUNCTION("""COMPUTED_VALUE"""),69.0)</f>
        <v>69</v>
      </c>
      <c r="L29" s="272" t="str">
        <f>IFERROR(__xludf.DUMMYFUNCTION("""COMPUTED_VALUE"""),"C")</f>
        <v>C</v>
      </c>
      <c r="M29" s="273">
        <f>IFERROR(__xludf.DUMMYFUNCTION("""COMPUTED_VALUE"""),4.378452010478854)</f>
        <v>4.37845201</v>
      </c>
      <c r="N29" s="273">
        <f>IFERROR(__xludf.DUMMYFUNCTION("""COMPUTED_VALUE"""),4.618205404732)</f>
        <v>4.618205405</v>
      </c>
      <c r="O29" s="274">
        <f>IFERROR(__xludf.DUMMYFUNCTION("""COMPUTED_VALUE"""),0.239753394253146)</f>
        <v>0.2397533943</v>
      </c>
      <c r="P29" s="275">
        <f>IFERROR(__xludf.DUMMYFUNCTION("""COMPUTED_VALUE"""),20.82370968)</f>
        <v>20.82370968</v>
      </c>
      <c r="Q29" s="275">
        <f>IFERROR(__xludf.DUMMYFUNCTION("""COMPUTED_VALUE"""),2.860322581)</f>
        <v>2.860322581</v>
      </c>
      <c r="R29" s="275">
        <f>IFERROR(__xludf.DUMMYFUNCTION("""COMPUTED_VALUE"""),6.431290323)</f>
        <v>6.431290323</v>
      </c>
      <c r="S29" s="276">
        <f>IFERROR(__xludf.DUMMYFUNCTION("""COMPUTED_VALUE"""),4.787741935)</f>
        <v>4.787741935</v>
      </c>
      <c r="T29" s="275">
        <f>IFERROR(__xludf.DUMMYFUNCTION("""COMPUTED_VALUE"""),1.589032258)</f>
        <v>1.589032258</v>
      </c>
      <c r="U29" s="275">
        <f>IFERROR(__xludf.DUMMYFUNCTION("""COMPUTED_VALUE"""),0.5001612903)</f>
        <v>0.5001612903</v>
      </c>
      <c r="V29" s="272">
        <f>IFERROR(__xludf.DUMMYFUNCTION("""COMPUTED_VALUE"""),0.4722811616)</f>
        <v>0.4722811616</v>
      </c>
      <c r="W29" s="272">
        <f>IFERROR(__xludf.DUMMYFUNCTION("""COMPUTED_VALUE"""),0.8910028604)</f>
        <v>0.8910028604</v>
      </c>
      <c r="X29" s="275">
        <f>IFERROR(__xludf.DUMMYFUNCTION("""COMPUTED_VALUE"""),2.715483871)</f>
        <v>2.715483871</v>
      </c>
      <c r="Y29" s="273">
        <f>IFERROR(__xludf.DUMMYFUNCTION("""COMPUTED_VALUE"""),0.6011603086009578)</f>
        <v>0.6011603086</v>
      </c>
      <c r="Z29" s="273">
        <f>IFERROR(__xludf.DUMMYFUNCTION("""COMPUTED_VALUE"""),1.1026832270192457)</f>
        <v>1.102683227</v>
      </c>
      <c r="AA29" s="273">
        <f>IFERROR(__xludf.DUMMYFUNCTION("""COMPUTED_VALUE"""),0.13636677867486113)</f>
        <v>0.1363667787</v>
      </c>
      <c r="AB29" s="273">
        <f>IFERROR(__xludf.DUMMYFUNCTION("""COMPUTED_VALUE"""),0.3880197634071937)</f>
        <v>0.3880197634</v>
      </c>
      <c r="AC29" s="273">
        <f>IFERROR(__xludf.DUMMYFUNCTION("""COMPUTED_VALUE"""),2.028102821071873)</f>
        <v>2.028102821</v>
      </c>
      <c r="AD29" s="273">
        <f>IFERROR(__xludf.DUMMYFUNCTION("""COMPUTED_VALUE"""),-0.4432460737756995)</f>
        <v>-0.4432460738</v>
      </c>
      <c r="AE29" s="273">
        <f>IFERROR(__xludf.DUMMYFUNCTION("""COMPUTED_VALUE"""),-0.45030925961514695)</f>
        <v>-0.4503092596</v>
      </c>
      <c r="AF29" s="273">
        <f>IFERROR(__xludf.DUMMYFUNCTION("""COMPUTED_VALUE"""),1.2554278393487148)</f>
        <v>1.255427839</v>
      </c>
      <c r="AG29" s="277">
        <f>IFERROR(__xludf.DUMMYFUNCTION("""COMPUTED_VALUE"""),0.0)</f>
        <v>0</v>
      </c>
      <c r="AH29" s="265"/>
      <c r="AI29" s="23"/>
      <c r="AJ29" s="291">
        <v>100.0</v>
      </c>
      <c r="AK29" s="292">
        <f t="array" ref="AK29">if(AK$20=$J10,"-", countif(indirect(address(row($J$2)+ VLOOKUP(AK$20,$J$3:$J$14,1),COLUMN($K$4))):indirect(address(row($J$2)+ VLOOKUP(AK$20,$J$3:$J$14,1),COLUMN($S$2)))&gt;indirect(address(row($J10),COLUMN($K$2))):indirect(address(row($J10),COLUMN($S$2))),TRUE()))</f>
        <v>7</v>
      </c>
      <c r="AL29" s="293">
        <f t="array" ref="AL29">if(AL$20=$J10,"-", countif(indirect(address(row($J$2)+ VLOOKUP(AL$20,$J$3:$J$14,1),COLUMN($K$4))):indirect(address(row($J$2)+ VLOOKUP(AL$20,$J$3:$J$14,1),COLUMN($S$2)))&gt;indirect(address(row($J10),COLUMN($K$2))):indirect(address(row($J10),COLUMN($S$2))),TRUE()))</f>
        <v>0</v>
      </c>
      <c r="AM29" s="293">
        <f t="array" ref="AM29">if(AM$20=$J10,"-", countif(indirect(address(row($J$2)+ VLOOKUP(AM$20,$J$3:$J$14,1),COLUMN($K$4))):indirect(address(row($J$2)+ VLOOKUP(AM$20,$J$3:$J$14,1),COLUMN($S$2)))&gt;indirect(address(row($J10),COLUMN($K$2))):indirect(address(row($J10),COLUMN($S$2))),TRUE()))</f>
        <v>0</v>
      </c>
      <c r="AN29" s="293">
        <f t="array" ref="AN29">if(AN$20=$J10,"-", countif(indirect(address(row($J$2)+ VLOOKUP(AN$20,$J$3:$J$14,1),COLUMN($K$4))):indirect(address(row($J$2)+ VLOOKUP(AN$20,$J$3:$J$14,1),COLUMN($S$2)))&gt;indirect(address(row($J10),COLUMN($K$2))):indirect(address(row($J10),COLUMN($S$2))),TRUE()))</f>
        <v>0</v>
      </c>
      <c r="AO29" s="293">
        <f t="array" ref="AO29">if(AO$20=$J10,"-", countif(indirect(address(row($J$2)+ VLOOKUP(AO$20,$J$3:$J$14,1),COLUMN($K$4))):indirect(address(row($J$2)+ VLOOKUP(AO$20,$J$3:$J$14,1),COLUMN($S$2)))&gt;indirect(address(row($J10),COLUMN($K$2))):indirect(address(row($J10),COLUMN($S$2))),TRUE()))</f>
        <v>0</v>
      </c>
      <c r="AP29" s="293">
        <f t="array" ref="AP29">if(AP$20=$J10,"-", countif(indirect(address(row($J$2)+ VLOOKUP(AP$20,$J$3:$J$14,1),COLUMN($K$4))):indirect(address(row($J$2)+ VLOOKUP(AP$20,$J$3:$J$14,1),COLUMN($S$2)))&gt;indirect(address(row($J10),COLUMN($K$2))):indirect(address(row($J10),COLUMN($S$2))),TRUE()))</f>
        <v>0</v>
      </c>
      <c r="AQ29" s="293">
        <f t="array" ref="AQ29">if(AQ$20=$J10,"-", countif(indirect(address(row($J$2)+ VLOOKUP(AQ$20,$J$3:$J$14,1),COLUMN($K$4))):indirect(address(row($J$2)+ VLOOKUP(AQ$20,$J$3:$J$14,1),COLUMN($S$2)))&gt;indirect(address(row($J10),COLUMN($K$2))):indirect(address(row($J10),COLUMN($S$2))),TRUE()))</f>
        <v>0</v>
      </c>
      <c r="AR29" s="293" t="str">
        <f t="array" ref="AR29">if(AR$20=$J10,"-", countif(indirect(address(row($J$2)+ VLOOKUP(AR$20,$J$3:$J$14,1),COLUMN($K$4))):indirect(address(row($J$2)+ VLOOKUP(AR$20,$J$3:$J$14,1),COLUMN($S$2)))&gt;indirect(address(row($J10),COLUMN($K$2))):indirect(address(row($J10),COLUMN($S$2))),TRUE()))</f>
        <v>-</v>
      </c>
      <c r="AS29" s="293">
        <f t="array" ref="AS29">if(AS$20=$J10,"-", countif(indirect(address(row($J$2)+ VLOOKUP(AS$20,$J$3:$J$14,1),COLUMN($K$4))):indirect(address(row($J$2)+ VLOOKUP(AS$20,$J$3:$J$14,1),COLUMN($S$2)))&gt;indirect(address(row($J10),COLUMN($K$2))):indirect(address(row($J10),COLUMN($S$2))),TRUE()))</f>
        <v>0</v>
      </c>
      <c r="AT29" s="293">
        <f t="array" ref="AT29">if(AT$20=$J10,"-", countif(indirect(address(row($J$2)+ VLOOKUP(AT$20,$J$3:$J$14,1),COLUMN($K$4))):indirect(address(row($J$2)+ VLOOKUP(AT$20,$J$3:$J$14,1),COLUMN($S$2)))&gt;indirect(address(row($J10),COLUMN($K$2))):indirect(address(row($J10),COLUMN($S$2))),TRUE()))</f>
        <v>0</v>
      </c>
      <c r="AU29" s="293">
        <f t="array" ref="AU29">if(AU$20=$J10,"-", countif(indirect(address(row($J$2)+ VLOOKUP(AU$20,$J$3:$J$14,1),COLUMN($K$4))):indirect(address(row($J$2)+ VLOOKUP(AU$20,$J$3:$J$14,1),COLUMN($S$2)))&gt;indirect(address(row($J10),COLUMN($K$2))):indirect(address(row($J10),COLUMN($S$2))),TRUE()))</f>
        <v>0</v>
      </c>
      <c r="AV29" s="294">
        <f t="array" ref="AV29">if(AV$20=$J10,"-", countif(indirect(address(row($J$2)+ VLOOKUP(AV$20,$J$3:$J$14,1),COLUMN($K$4))):indirect(address(row($J$2)+ VLOOKUP(AV$20,$J$3:$J$14,1),COLUMN($S$2)))&gt;indirect(address(row($J10),COLUMN($K$2))):indirect(address(row($J10),COLUMN($S$2))),TRUE()))</f>
        <v>0</v>
      </c>
      <c r="AW29" s="295">
        <v>8.0</v>
      </c>
      <c r="AX29" s="313" t="str">
        <f t="array" ref="AX29">INDIRECT("Draft!K"&amp;TEXT(15-VLOOKUP(TRUE,I3:J14,2,0),"0"))</f>
        <v/>
      </c>
      <c r="AY29" s="316"/>
      <c r="AZ29" s="315" t="str">
        <f>IF($AX29="","", VLOOKUP($AX29,'Final Update'!$P$21:$AD1015,Column(H8),False))</f>
        <v/>
      </c>
      <c r="BA29" s="315" t="str">
        <f>IF($AX29="","", VLOOKUP($AX29,'Final Update'!$P$21:$AD1015,Column(I8),False))</f>
        <v/>
      </c>
      <c r="BB29" s="315" t="str">
        <f>IF($AX29="","", VLOOKUP($AX29,'Final Update'!$P$21:$AD1015,Column(J8),False))</f>
        <v/>
      </c>
      <c r="BC29" s="315" t="str">
        <f>IF($AX29="","", VLOOKUP($AX29,'Final Update'!$P$21:$AD1015,Column(K8),False))</f>
        <v/>
      </c>
      <c r="BD29" s="315" t="str">
        <f>IF($AX29="","", VLOOKUP($AX29,'Final Update'!$P$21:$AD1015,Column(L8),False))</f>
        <v/>
      </c>
      <c r="BE29" s="315" t="str">
        <f>IF($AX29="","", VLOOKUP($AX29,'Final Update'!$P$21:$AD1015,Column(M8),False))</f>
        <v/>
      </c>
      <c r="BF29" s="315" t="str">
        <f>IF($AX29="","", VLOOKUP($AX29,'Final Update'!$P$21:$AD1015,Column(N8),False))</f>
        <v/>
      </c>
      <c r="BG29" s="315" t="str">
        <f>IF($AX29="","", VLOOKUP($AX29,'Final Update'!$P$21:$AD1015,Column(O8),False))</f>
        <v/>
      </c>
      <c r="BH29" s="315" t="str">
        <f>IF($AX29="","", VLOOKUP($AX29,'Final Update'!$P$21:$AD1015,Column(P8),False))</f>
        <v/>
      </c>
      <c r="BI29" s="315" t="str">
        <f>IF($AX29="","", VLOOKUP($AX29,'Final Update'!$P$21:$AD1015,Column(AH16),False))</f>
        <v/>
      </c>
      <c r="BJ29" s="317"/>
      <c r="BK29" s="318"/>
      <c r="BL29" s="289"/>
      <c r="BM29" s="289"/>
      <c r="BN29" s="289"/>
      <c r="BO29" s="289"/>
      <c r="BP29" s="289"/>
      <c r="BQ29" s="289"/>
      <c r="BR29" s="289"/>
      <c r="BS29" s="289"/>
      <c r="BT29" s="23"/>
      <c r="BU29" s="23"/>
      <c r="BV29" s="23"/>
    </row>
    <row r="30">
      <c r="A30" s="251">
        <f>VLOOKUP($F30,UpdateHashtag!$V$3:$Y$32,COLUMN(B$15),0)</f>
        <v>4</v>
      </c>
      <c r="B30" s="252">
        <f>VLOOKUP($F30,UpdateHashtag!$V$3:$Y$32,COLUMN(C$13),0)</f>
        <v>3</v>
      </c>
      <c r="C30" s="252">
        <f>VLOOKUP($F30,UpdateHashtag!$V$3:$Y$32,COLUMN(D$13),0)</f>
        <v>4</v>
      </c>
      <c r="D30" s="268">
        <f t="shared" si="4"/>
        <v>11</v>
      </c>
      <c r="E30" s="19"/>
      <c r="F30" s="30" t="str">
        <f>IF(VLOOKUP(J30,PasteHashtag!$C$2:$P1015,3,)="BRO","BKN",IF(VLOOKUP(J30,PasteHashtag!$C$2:$P1015,3,)="OKL","OKC",VLOOKUP(J30,PasteHashtag!$C$2:$P1015,3,)))</f>
        <v>CLE</v>
      </c>
      <c r="G30" s="269">
        <v>11.0</v>
      </c>
      <c r="H30" s="270">
        <f>IFERROR(__xludf.DUMMYFUNCTION("""COMPUTED_VALUE"""),14.0)</f>
        <v>14</v>
      </c>
      <c r="I30" s="270">
        <f>IFERROR(__xludf.DUMMYFUNCTION("""COMPUTED_VALUE"""),17.0)</f>
        <v>17</v>
      </c>
      <c r="J30" s="271" t="str">
        <f>IFERROR(__xludf.DUMMYFUNCTION("""COMPUTED_VALUE"""),"Donovan Mitchell")</f>
        <v>Donovan Mitchell</v>
      </c>
      <c r="K30" s="270">
        <f>IFERROR(__xludf.DUMMYFUNCTION("""COMPUTED_VALUE"""),70.0)</f>
        <v>70</v>
      </c>
      <c r="L30" s="272" t="str">
        <f>IFERROR(__xludf.DUMMYFUNCTION("""COMPUTED_VALUE"""),"PG,SG")</f>
        <v>PG,SG</v>
      </c>
      <c r="M30" s="273">
        <f>IFERROR(__xludf.DUMMYFUNCTION("""COMPUTED_VALUE"""),4.362182127322641)</f>
        <v>4.362182127</v>
      </c>
      <c r="N30" s="273">
        <f>IFERROR(__xludf.DUMMYFUNCTION("""COMPUTED_VALUE"""),4.611588943831613)</f>
        <v>4.611588944</v>
      </c>
      <c r="O30" s="274">
        <f>IFERROR(__xludf.DUMMYFUNCTION("""COMPUTED_VALUE"""),0.249406816508972)</f>
        <v>0.2494068165</v>
      </c>
      <c r="P30" s="275">
        <f>IFERROR(__xludf.DUMMYFUNCTION("""COMPUTED_VALUE"""),25.3975)</f>
        <v>25.3975</v>
      </c>
      <c r="Q30" s="275">
        <f>IFERROR(__xludf.DUMMYFUNCTION("""COMPUTED_VALUE"""),3.406617647)</f>
        <v>3.406617647</v>
      </c>
      <c r="R30" s="275">
        <f>IFERROR(__xludf.DUMMYFUNCTION("""COMPUTED_VALUE"""),4.2075)</f>
        <v>4.2075</v>
      </c>
      <c r="S30" s="276">
        <f>IFERROR(__xludf.DUMMYFUNCTION("""COMPUTED_VALUE"""),5.469705882)</f>
        <v>5.469705882</v>
      </c>
      <c r="T30" s="275">
        <f>IFERROR(__xludf.DUMMYFUNCTION("""COMPUTED_VALUE"""),1.472647059)</f>
        <v>1.472647059</v>
      </c>
      <c r="U30" s="275">
        <f>IFERROR(__xludf.DUMMYFUNCTION("""COMPUTED_VALUE"""),0.4908823529)</f>
        <v>0.4908823529</v>
      </c>
      <c r="V30" s="272">
        <f>IFERROR(__xludf.DUMMYFUNCTION("""COMPUTED_VALUE"""),0.4648033924)</f>
        <v>0.4648033924</v>
      </c>
      <c r="W30" s="272">
        <f>IFERROR(__xludf.DUMMYFUNCTION("""COMPUTED_VALUE"""),0.8589983098)</f>
        <v>0.8589983098</v>
      </c>
      <c r="X30" s="275">
        <f>IFERROR(__xludf.DUMMYFUNCTION("""COMPUTED_VALUE"""),2.754411765)</f>
        <v>2.754411765</v>
      </c>
      <c r="Y30" s="273">
        <f>IFERROR(__xludf.DUMMYFUNCTION("""COMPUTED_VALUE"""),1.4256118042052333)</f>
        <v>1.425611804</v>
      </c>
      <c r="Z30" s="273">
        <f>IFERROR(__xludf.DUMMYFUNCTION("""COMPUTED_VALUE"""),1.6445688937210945)</f>
        <v>1.644568894</v>
      </c>
      <c r="AA30" s="319">
        <f>IFERROR(__xludf.DUMMYFUNCTION("""COMPUTED_VALUE"""),-0.7351522072961985)</f>
        <v>-0.7351522073</v>
      </c>
      <c r="AB30" s="320">
        <f>IFERROR(__xludf.DUMMYFUNCTION("""COMPUTED_VALUE"""),0.6977257856206867)</f>
        <v>0.6977257856</v>
      </c>
      <c r="AC30" s="273">
        <f>IFERROR(__xludf.DUMMYFUNCTION("""COMPUTED_VALUE"""),1.6430641100699614)</f>
        <v>1.64306411</v>
      </c>
      <c r="AD30" s="273">
        <f>IFERROR(__xludf.DUMMYFUNCTION("""COMPUTED_VALUE"""),-0.45979643027700934)</f>
        <v>-0.4597964303</v>
      </c>
      <c r="AE30" s="273">
        <f>IFERROR(__xludf.DUMMYFUNCTION("""COMPUTED_VALUE"""),-0.7197733541183869)</f>
        <v>-0.7197733541</v>
      </c>
      <c r="AF30" s="273">
        <f>IFERROR(__xludf.DUMMYFUNCTION("""COMPUTED_VALUE"""),1.1153403419062318)</f>
        <v>1.115340342</v>
      </c>
      <c r="AG30" s="277">
        <f>IFERROR(__xludf.DUMMYFUNCTION("""COMPUTED_VALUE"""),0.0)</f>
        <v>0</v>
      </c>
      <c r="AH30" s="265"/>
      <c r="AI30" s="23"/>
      <c r="AJ30" s="291">
        <v>100.0</v>
      </c>
      <c r="AK30" s="292">
        <f t="array" ref="AK30">if(AK$20=$J11,"-", countif(indirect(address(row($J$2)+ VLOOKUP(AK$20,$J$3:$J$14,1),COLUMN($K$4))):indirect(address(row($J$2)+ VLOOKUP(AK$20,$J$3:$J$14,1),COLUMN($S$2)))&gt;indirect(address(row($J11),COLUMN($K$2))):indirect(address(row($J11),COLUMN($S$2))),TRUE()))</f>
        <v>7</v>
      </c>
      <c r="AL30" s="293">
        <f t="array" ref="AL30">if(AL$20=$J11,"-", countif(indirect(address(row($J$2)+ VLOOKUP(AL$20,$J$3:$J$14,1),COLUMN($K$4))):indirect(address(row($J$2)+ VLOOKUP(AL$20,$J$3:$J$14,1),COLUMN($S$2)))&gt;indirect(address(row($J11),COLUMN($K$2))):indirect(address(row($J11),COLUMN($S$2))),TRUE()))</f>
        <v>0</v>
      </c>
      <c r="AM30" s="293">
        <f t="array" ref="AM30">if(AM$20=$J11,"-", countif(indirect(address(row($J$2)+ VLOOKUP(AM$20,$J$3:$J$14,1),COLUMN($K$4))):indirect(address(row($J$2)+ VLOOKUP(AM$20,$J$3:$J$14,1),COLUMN($S$2)))&gt;indirect(address(row($J11),COLUMN($K$2))):indirect(address(row($J11),COLUMN($S$2))),TRUE()))</f>
        <v>0</v>
      </c>
      <c r="AN30" s="293">
        <f t="array" ref="AN30">if(AN$20=$J11,"-", countif(indirect(address(row($J$2)+ VLOOKUP(AN$20,$J$3:$J$14,1),COLUMN($K$4))):indirect(address(row($J$2)+ VLOOKUP(AN$20,$J$3:$J$14,1),COLUMN($S$2)))&gt;indirect(address(row($J11),COLUMN($K$2))):indirect(address(row($J11),COLUMN($S$2))),TRUE()))</f>
        <v>0</v>
      </c>
      <c r="AO30" s="293">
        <f t="array" ref="AO30">if(AO$20=$J11,"-", countif(indirect(address(row($J$2)+ VLOOKUP(AO$20,$J$3:$J$14,1),COLUMN($K$4))):indirect(address(row($J$2)+ VLOOKUP(AO$20,$J$3:$J$14,1),COLUMN($S$2)))&gt;indirect(address(row($J11),COLUMN($K$2))):indirect(address(row($J11),COLUMN($S$2))),TRUE()))</f>
        <v>0</v>
      </c>
      <c r="AP30" s="293">
        <f t="array" ref="AP30">if(AP$20=$J11,"-", countif(indirect(address(row($J$2)+ VLOOKUP(AP$20,$J$3:$J$14,1),COLUMN($K$4))):indirect(address(row($J$2)+ VLOOKUP(AP$20,$J$3:$J$14,1),COLUMN($S$2)))&gt;indirect(address(row($J11),COLUMN($K$2))):indirect(address(row($J11),COLUMN($S$2))),TRUE()))</f>
        <v>0</v>
      </c>
      <c r="AQ30" s="293">
        <f t="array" ref="AQ30">if(AQ$20=$J11,"-", countif(indirect(address(row($J$2)+ VLOOKUP(AQ$20,$J$3:$J$14,1),COLUMN($K$4))):indirect(address(row($J$2)+ VLOOKUP(AQ$20,$J$3:$J$14,1),COLUMN($S$2)))&gt;indirect(address(row($J11),COLUMN($K$2))):indirect(address(row($J11),COLUMN($S$2))),TRUE()))</f>
        <v>0</v>
      </c>
      <c r="AR30" s="293">
        <f t="array" ref="AR30">if(AR$20=$J11,"-", countif(indirect(address(row($J$2)+ VLOOKUP(AR$20,$J$3:$J$14,1),COLUMN($K$4))):indirect(address(row($J$2)+ VLOOKUP(AR$20,$J$3:$J$14,1),COLUMN($S$2)))&gt;indirect(address(row($J11),COLUMN($K$2))):indirect(address(row($J11),COLUMN($S$2))),TRUE()))</f>
        <v>0</v>
      </c>
      <c r="AS30" s="293" t="str">
        <f t="array" ref="AS30">if(AS$20=$J11,"-", countif(indirect(address(row($J$2)+ VLOOKUP(AS$20,$J$3:$J$14,1),COLUMN($K$4))):indirect(address(row($J$2)+ VLOOKUP(AS$20,$J$3:$J$14,1),COLUMN($S$2)))&gt;indirect(address(row($J11),COLUMN($K$2))):indirect(address(row($J11),COLUMN($S$2))),TRUE()))</f>
        <v>-</v>
      </c>
      <c r="AT30" s="293">
        <f t="array" ref="AT30">if(AT$20=$J11,"-", countif(indirect(address(row($J$2)+ VLOOKUP(AT$20,$J$3:$J$14,1),COLUMN($K$4))):indirect(address(row($J$2)+ VLOOKUP(AT$20,$J$3:$J$14,1),COLUMN($S$2)))&gt;indirect(address(row($J11),COLUMN($K$2))):indirect(address(row($J11),COLUMN($S$2))),TRUE()))</f>
        <v>0</v>
      </c>
      <c r="AU30" s="293">
        <f t="array" ref="AU30">if(AU$20=$J11,"-", countif(indirect(address(row($J$2)+ VLOOKUP(AU$20,$J$3:$J$14,1),COLUMN($K$4))):indirect(address(row($J$2)+ VLOOKUP(AU$20,$J$3:$J$14,1),COLUMN($S$2)))&gt;indirect(address(row($J11),COLUMN($K$2))):indirect(address(row($J11),COLUMN($S$2))),TRUE()))</f>
        <v>0</v>
      </c>
      <c r="AV30" s="294">
        <f t="array" ref="AV30">if(AV$20=$J11,"-", countif(indirect(address(row($J$2)+ VLOOKUP(AV$20,$J$3:$J$14,1),COLUMN($K$4))):indirect(address(row($J$2)+ VLOOKUP(AV$20,$J$3:$J$14,1),COLUMN($S$2)))&gt;indirect(address(row($J11),COLUMN($K$2))):indirect(address(row($J11),COLUMN($S$2))),TRUE()))</f>
        <v>0</v>
      </c>
      <c r="AW30" s="295">
        <v>9.0</v>
      </c>
      <c r="AX30" s="313" t="str">
        <f t="array" ref="AX30">INDIRECT("Draft!L"&amp;TEXT(VLOOKUP(TRUE,I3:J14,2,0)+2,"0"))</f>
        <v/>
      </c>
      <c r="AY30" s="316"/>
      <c r="AZ30" s="315" t="str">
        <f>IF($AX30="","", VLOOKUP($AX30,'Final Update'!$P$21:$AD1015,Column(H9),False))</f>
        <v/>
      </c>
      <c r="BA30" s="315" t="str">
        <f>IF($AX30="","", VLOOKUP($AX30,'Final Update'!$P$21:$AD1015,Column(I9),False))</f>
        <v/>
      </c>
      <c r="BB30" s="315" t="str">
        <f>IF($AX30="","", VLOOKUP($AX30,'Final Update'!$P$21:$AD1015,Column(J9),False))</f>
        <v/>
      </c>
      <c r="BC30" s="315" t="str">
        <f>IF($AX30="","", VLOOKUP($AX30,'Final Update'!$P$21:$AD1015,Column(K9),False))</f>
        <v/>
      </c>
      <c r="BD30" s="315" t="str">
        <f>IF($AX30="","", VLOOKUP($AX30,'Final Update'!$P$21:$AD1015,Column(L9),False))</f>
        <v/>
      </c>
      <c r="BE30" s="315" t="str">
        <f>IF($AX30="","", VLOOKUP($AX30,'Final Update'!$P$21:$AD1015,Column(M9),False))</f>
        <v/>
      </c>
      <c r="BF30" s="315" t="str">
        <f>IF($AX30="","", VLOOKUP($AX30,'Final Update'!$P$21:$AD1015,Column(N9),False))</f>
        <v/>
      </c>
      <c r="BG30" s="315" t="str">
        <f>IF($AX30="","", VLOOKUP($AX30,'Final Update'!$P$21:$AD1015,Column(O9),False))</f>
        <v/>
      </c>
      <c r="BH30" s="315" t="str">
        <f>IF($AX30="","", VLOOKUP($AX30,'Final Update'!$P$21:$AD1015,Column(P9),False))</f>
        <v/>
      </c>
      <c r="BI30" s="315" t="str">
        <f>IF($AX30="","", VLOOKUP($AX30,'Final Update'!$P$21:$AD1015,Column(AH17),False))</f>
        <v/>
      </c>
      <c r="BJ30" s="317"/>
      <c r="BK30" s="318"/>
      <c r="BL30" s="289"/>
      <c r="BM30" s="289"/>
      <c r="BN30" s="289"/>
      <c r="BO30" s="289"/>
      <c r="BP30" s="289"/>
      <c r="BQ30" s="289"/>
      <c r="BR30" s="289"/>
      <c r="BS30" s="289"/>
      <c r="BT30" s="23"/>
      <c r="BU30" s="23"/>
      <c r="BV30" s="23"/>
    </row>
    <row r="31">
      <c r="A31" s="251">
        <f>VLOOKUP($F31,UpdateHashtag!$V$3:$Y$32,COLUMN(B$15),0)</f>
        <v>4</v>
      </c>
      <c r="B31" s="252">
        <f>VLOOKUP($F31,UpdateHashtag!$V$3:$Y$32,COLUMN(C$13),0)</f>
        <v>4</v>
      </c>
      <c r="C31" s="252">
        <f>VLOOKUP($F31,UpdateHashtag!$V$3:$Y$32,COLUMN(D$13),0)</f>
        <v>2</v>
      </c>
      <c r="D31" s="268">
        <f t="shared" si="4"/>
        <v>10</v>
      </c>
      <c r="E31" s="19"/>
      <c r="F31" s="30" t="str">
        <f>IF(VLOOKUP(J31,PasteHashtag!$C$2:$P1015,3,)="BRO","BKN",IF(VLOOKUP(J31,PasteHashtag!$C$2:$P1015,3,)="OKL","OKC",VLOOKUP(J31,PasteHashtag!$C$2:$P1015,3,)))</f>
        <v>DAL</v>
      </c>
      <c r="G31" s="269">
        <v>12.0</v>
      </c>
      <c r="H31" s="270">
        <f>IFERROR(__xludf.DUMMYFUNCTION("""COMPUTED_VALUE"""),12.0)</f>
        <v>12</v>
      </c>
      <c r="I31" s="270">
        <f>IFERROR(__xludf.DUMMYFUNCTION("""COMPUTED_VALUE"""),26.6)</f>
        <v>26.6</v>
      </c>
      <c r="J31" s="271" t="str">
        <f>IFERROR(__xludf.DUMMYFUNCTION("""COMPUTED_VALUE"""),"Kyrie Irving")</f>
        <v>Kyrie Irving</v>
      </c>
      <c r="K31" s="270">
        <f>IFERROR(__xludf.DUMMYFUNCTION("""COMPUTED_VALUE"""),78.0)</f>
        <v>78</v>
      </c>
      <c r="L31" s="272" t="str">
        <f>IFERROR(__xludf.DUMMYFUNCTION("""COMPUTED_VALUE"""),"SG,SF,PF")</f>
        <v>SG,SF,PF</v>
      </c>
      <c r="M31" s="273">
        <f>IFERROR(__xludf.DUMMYFUNCTION("""COMPUTED_VALUE"""),4.39070431745973)</f>
        <v>4.390704317</v>
      </c>
      <c r="N31" s="273">
        <f>IFERROR(__xludf.DUMMYFUNCTION("""COMPUTED_VALUE"""),4.464262626069749)</f>
        <v>4.464262626</v>
      </c>
      <c r="O31" s="274">
        <f>IFERROR(__xludf.DUMMYFUNCTION("""COMPUTED_VALUE"""),0.07355830861001866)</f>
        <v>0.07355830861</v>
      </c>
      <c r="P31" s="275">
        <f>IFERROR(__xludf.DUMMYFUNCTION("""COMPUTED_VALUE"""),24.8325)</f>
        <v>24.8325</v>
      </c>
      <c r="Q31" s="275">
        <f>IFERROR(__xludf.DUMMYFUNCTION("""COMPUTED_VALUE"""),2.898382353)</f>
        <v>2.898382353</v>
      </c>
      <c r="R31" s="275">
        <f>IFERROR(__xludf.DUMMYFUNCTION("""COMPUTED_VALUE"""),4.999558824)</f>
        <v>4.999558824</v>
      </c>
      <c r="S31" s="276">
        <f>IFERROR(__xludf.DUMMYFUNCTION("""COMPUTED_VALUE"""),4.999558824)</f>
        <v>4.999558824</v>
      </c>
      <c r="T31" s="275">
        <f>IFERROR(__xludf.DUMMYFUNCTION("""COMPUTED_VALUE"""),1.212205882)</f>
        <v>1.212205882</v>
      </c>
      <c r="U31" s="275">
        <f>IFERROR(__xludf.DUMMYFUNCTION("""COMPUTED_VALUE"""),0.5301470588)</f>
        <v>0.5301470588</v>
      </c>
      <c r="V31" s="272">
        <f>IFERROR(__xludf.DUMMYFUNCTION("""COMPUTED_VALUE"""),0.5067040208)</f>
        <v>0.5067040208</v>
      </c>
      <c r="W31" s="272">
        <f>IFERROR(__xludf.DUMMYFUNCTION("""COMPUTED_VALUE"""),0.9090032436)</f>
        <v>0.9090032436</v>
      </c>
      <c r="X31" s="275">
        <f>IFERROR(__xludf.DUMMYFUNCTION("""COMPUTED_VALUE"""),2.045294118)</f>
        <v>2.045294118</v>
      </c>
      <c r="Y31" s="273">
        <f>IFERROR(__xludf.DUMMYFUNCTION("""COMPUTED_VALUE"""),1.3237673683159166)</f>
        <v>1.323767368</v>
      </c>
      <c r="Z31" s="273">
        <f>IFERROR(__xludf.DUMMYFUNCTION("""COMPUTED_VALUE"""),1.140435801055381)</f>
        <v>1.140435801</v>
      </c>
      <c r="AA31" s="273">
        <f>IFERROR(__xludf.DUMMYFUNCTION("""COMPUTED_VALUE"""),-0.42473881265984165)</f>
        <v>-0.4247388127</v>
      </c>
      <c r="AB31" s="273">
        <f>IFERROR(__xludf.DUMMYFUNCTION("""COMPUTED_VALUE"""),0.48421394847872073)</f>
        <v>0.4842139485</v>
      </c>
      <c r="AC31" s="273">
        <f>IFERROR(__xludf.DUMMYFUNCTION("""COMPUTED_VALUE"""),0.7814430796853277)</f>
        <v>0.7814430797</v>
      </c>
      <c r="AD31" s="273">
        <f>IFERROR(__xludf.DUMMYFUNCTION("""COMPUTED_VALUE"""),-0.3897620230436895)</f>
        <v>-0.389762023</v>
      </c>
      <c r="AE31" s="273">
        <f>IFERROR(__xludf.DUMMYFUNCTION("""COMPUTED_VALUE"""),0.20498816631263686)</f>
        <v>0.2049881663</v>
      </c>
      <c r="AF31" s="273">
        <f>IFERROR(__xludf.DUMMYFUNCTION("""COMPUTED_VALUE"""),1.343915097925297)</f>
        <v>1.343915098</v>
      </c>
      <c r="AG31" s="277">
        <f>IFERROR(__xludf.DUMMYFUNCTION("""COMPUTED_VALUE"""),0.0)</f>
        <v>0</v>
      </c>
      <c r="AH31" s="265"/>
      <c r="AI31" s="23"/>
      <c r="AJ31" s="291">
        <v>100.0</v>
      </c>
      <c r="AK31" s="292">
        <f t="array" ref="AK31">if(AK$20=$J12,"-", countif(indirect(address(row($J$2)+ VLOOKUP(AK$20,$J$3:$J$14,1),COLUMN($K$4))):indirect(address(row($J$2)+ VLOOKUP(AK$20,$J$3:$J$14,1),COLUMN($S$2)))&gt;indirect(address(row($J12),COLUMN($K$2))):indirect(address(row($J12),COLUMN($S$2))),TRUE()))</f>
        <v>7</v>
      </c>
      <c r="AL31" s="293">
        <f t="array" ref="AL31">if(AL$20=$J12,"-", countif(indirect(address(row($J$2)+ VLOOKUP(AL$20,$J$3:$J$14,1),COLUMN($K$4))):indirect(address(row($J$2)+ VLOOKUP(AL$20,$J$3:$J$14,1),COLUMN($S$2)))&gt;indirect(address(row($J12),COLUMN($K$2))):indirect(address(row($J12),COLUMN($S$2))),TRUE()))</f>
        <v>0</v>
      </c>
      <c r="AM31" s="293">
        <f t="array" ref="AM31">if(AM$20=$J12,"-", countif(indirect(address(row($J$2)+ VLOOKUP(AM$20,$J$3:$J$14,1),COLUMN($K$4))):indirect(address(row($J$2)+ VLOOKUP(AM$20,$J$3:$J$14,1),COLUMN($S$2)))&gt;indirect(address(row($J12),COLUMN($K$2))):indirect(address(row($J12),COLUMN($S$2))),TRUE()))</f>
        <v>0</v>
      </c>
      <c r="AN31" s="293">
        <f t="array" ref="AN31">if(AN$20=$J12,"-", countif(indirect(address(row($J$2)+ VLOOKUP(AN$20,$J$3:$J$14,1),COLUMN($K$4))):indirect(address(row($J$2)+ VLOOKUP(AN$20,$J$3:$J$14,1),COLUMN($S$2)))&gt;indirect(address(row($J12),COLUMN($K$2))):indirect(address(row($J12),COLUMN($S$2))),TRUE()))</f>
        <v>0</v>
      </c>
      <c r="AO31" s="293">
        <f t="array" ref="AO31">if(AO$20=$J12,"-", countif(indirect(address(row($J$2)+ VLOOKUP(AO$20,$J$3:$J$14,1),COLUMN($K$4))):indirect(address(row($J$2)+ VLOOKUP(AO$20,$J$3:$J$14,1),COLUMN($S$2)))&gt;indirect(address(row($J12),COLUMN($K$2))):indirect(address(row($J12),COLUMN($S$2))),TRUE()))</f>
        <v>0</v>
      </c>
      <c r="AP31" s="293">
        <f t="array" ref="AP31">if(AP$20=$J12,"-", countif(indirect(address(row($J$2)+ VLOOKUP(AP$20,$J$3:$J$14,1),COLUMN($K$4))):indirect(address(row($J$2)+ VLOOKUP(AP$20,$J$3:$J$14,1),COLUMN($S$2)))&gt;indirect(address(row($J12),COLUMN($K$2))):indirect(address(row($J12),COLUMN($S$2))),TRUE()))</f>
        <v>0</v>
      </c>
      <c r="AQ31" s="293">
        <f t="array" ref="AQ31">if(AQ$20=$J12,"-", countif(indirect(address(row($J$2)+ VLOOKUP(AQ$20,$J$3:$J$14,1),COLUMN($K$4))):indirect(address(row($J$2)+ VLOOKUP(AQ$20,$J$3:$J$14,1),COLUMN($S$2)))&gt;indirect(address(row($J12),COLUMN($K$2))):indirect(address(row($J12),COLUMN($S$2))),TRUE()))</f>
        <v>0</v>
      </c>
      <c r="AR31" s="293">
        <f t="array" ref="AR31">if(AR$20=$J12,"-", countif(indirect(address(row($J$2)+ VLOOKUP(AR$20,$J$3:$J$14,1),COLUMN($K$4))):indirect(address(row($J$2)+ VLOOKUP(AR$20,$J$3:$J$14,1),COLUMN($S$2)))&gt;indirect(address(row($J12),COLUMN($K$2))):indirect(address(row($J12),COLUMN($S$2))),TRUE()))</f>
        <v>0</v>
      </c>
      <c r="AS31" s="293">
        <f t="array" ref="AS31">if(AS$20=$J12,"-", countif(indirect(address(row($J$2)+ VLOOKUP(AS$20,$J$3:$J$14,1),COLUMN($K$4))):indirect(address(row($J$2)+ VLOOKUP(AS$20,$J$3:$J$14,1),COLUMN($S$2)))&gt;indirect(address(row($J12),COLUMN($K$2))):indirect(address(row($J12),COLUMN($S$2))),TRUE()))</f>
        <v>0</v>
      </c>
      <c r="AT31" s="293" t="str">
        <f t="array" ref="AT31">if(AT$20=$J12,"-", countif(indirect(address(row($J$2)+ VLOOKUP(AT$20,$J$3:$J$14,1),COLUMN($K$4))):indirect(address(row($J$2)+ VLOOKUP(AT$20,$J$3:$J$14,1),COLUMN($S$2)))&gt;indirect(address(row($J12),COLUMN($K$2))):indirect(address(row($J12),COLUMN($S$2))),TRUE()))</f>
        <v>-</v>
      </c>
      <c r="AU31" s="293">
        <f t="array" ref="AU31">if(AU$20=$J12,"-", countif(indirect(address(row($J$2)+ VLOOKUP(AU$20,$J$3:$J$14,1),COLUMN($K$4))):indirect(address(row($J$2)+ VLOOKUP(AU$20,$J$3:$J$14,1),COLUMN($S$2)))&gt;indirect(address(row($J12),COLUMN($K$2))):indirect(address(row($J12),COLUMN($S$2))),TRUE()))</f>
        <v>0</v>
      </c>
      <c r="AV31" s="294">
        <f t="array" ref="AV31">if(AV$20=$J12,"-", countif(indirect(address(row($J$2)+ VLOOKUP(AV$20,$J$3:$J$14,1),COLUMN($K$4))):indirect(address(row($J$2)+ VLOOKUP(AV$20,$J$3:$J$14,1),COLUMN($S$2)))&gt;indirect(address(row($J12),COLUMN($K$2))):indirect(address(row($J12),COLUMN($S$2))),TRUE()))</f>
        <v>0</v>
      </c>
      <c r="AW31" s="295">
        <v>10.0</v>
      </c>
      <c r="AX31" s="313" t="str">
        <f t="array" ref="AX31">INDIRECT("Draft!M"&amp;TEXT(15-VLOOKUP(TRUE,I3:J14,2,0),"0"))</f>
        <v/>
      </c>
      <c r="AY31" s="316"/>
      <c r="AZ31" s="315" t="str">
        <f>IF($AX31="","", VLOOKUP($AX31,'Final Update'!$P$21:$AD1015,Column(H10),False))</f>
        <v/>
      </c>
      <c r="BA31" s="315" t="str">
        <f>IF($AX31="","", VLOOKUP($AX31,'Final Update'!$P$21:$AD1015,Column(I10),False))</f>
        <v/>
      </c>
      <c r="BB31" s="315" t="str">
        <f>IF($AX31="","", VLOOKUP($AX31,'Final Update'!$P$21:$AD1015,Column(J10),False))</f>
        <v/>
      </c>
      <c r="BC31" s="315" t="str">
        <f>IF($AX31="","", VLOOKUP($AX31,'Final Update'!$P$21:$AD1015,Column(K10),False))</f>
        <v/>
      </c>
      <c r="BD31" s="315" t="str">
        <f>IF($AX31="","", VLOOKUP($AX31,'Final Update'!$P$21:$AD1015,Column(L10),False))</f>
        <v/>
      </c>
      <c r="BE31" s="315" t="str">
        <f>IF($AX31="","", VLOOKUP($AX31,'Final Update'!$P$21:$AD1015,Column(M10),False))</f>
        <v/>
      </c>
      <c r="BF31" s="315" t="str">
        <f>IF($AX31="","", VLOOKUP($AX31,'Final Update'!$P$21:$AD1015,Column(N10),False))</f>
        <v/>
      </c>
      <c r="BG31" s="315" t="str">
        <f>IF($AX31="","", VLOOKUP($AX31,'Final Update'!$P$21:$AD1015,Column(O10),False))</f>
        <v/>
      </c>
      <c r="BH31" s="315" t="str">
        <f>IF($AX31="","", VLOOKUP($AX31,'Final Update'!$P$21:$AD1015,Column(P10),False))</f>
        <v/>
      </c>
      <c r="BI31" s="315" t="str">
        <f>IF($AX31="","", VLOOKUP($AX31,'Final Update'!$P$21:$AD1015,Column(C10),False))</f>
        <v/>
      </c>
      <c r="BJ31" s="317"/>
      <c r="BK31" s="318"/>
      <c r="BL31" s="289"/>
      <c r="BM31" s="289"/>
      <c r="BN31" s="289"/>
      <c r="BO31" s="289"/>
      <c r="BP31" s="289"/>
      <c r="BQ31" s="289"/>
      <c r="BR31" s="289"/>
      <c r="BS31" s="289"/>
      <c r="BT31" s="23"/>
      <c r="BU31" s="23"/>
      <c r="BV31" s="23"/>
    </row>
    <row r="32">
      <c r="A32" s="251">
        <f>VLOOKUP($F32,UpdateHashtag!$V$3:$Y$32,COLUMN(B$15),0)</f>
        <v>3</v>
      </c>
      <c r="B32" s="252">
        <f>VLOOKUP($F32,UpdateHashtag!$V$3:$Y$32,COLUMN(C$13),0)</f>
        <v>4</v>
      </c>
      <c r="C32" s="252">
        <f>VLOOKUP($F32,UpdateHashtag!$V$3:$Y$32,COLUMN(D$13),0)</f>
        <v>3</v>
      </c>
      <c r="D32" s="268">
        <f t="shared" si="4"/>
        <v>10</v>
      </c>
      <c r="E32" s="19"/>
      <c r="F32" s="30" t="str">
        <f>IF(VLOOKUP(J32,PasteHashtag!$C$2:$P1015,3,)="BRO","BKN",IF(VLOOKUP(J32,PasteHashtag!$C$2:$P1015,3,)="OKL","OKC",VLOOKUP(J32,PasteHashtag!$C$2:$P1015,3,)))</f>
        <v>LAL</v>
      </c>
      <c r="G32" s="269">
        <v>13.0</v>
      </c>
      <c r="H32" s="270">
        <f>IFERROR(__xludf.DUMMYFUNCTION("""COMPUTED_VALUE"""),11.0)</f>
        <v>11</v>
      </c>
      <c r="I32" s="270">
        <f>IFERROR(__xludf.DUMMYFUNCTION("""COMPUTED_VALUE"""),24.2)</f>
        <v>24.2</v>
      </c>
      <c r="J32" s="271" t="str">
        <f>IFERROR(__xludf.DUMMYFUNCTION("""COMPUTED_VALUE"""),"LeBron James")</f>
        <v>LeBron James</v>
      </c>
      <c r="K32" s="270">
        <f>IFERROR(__xludf.DUMMYFUNCTION("""COMPUTED_VALUE"""),62.0)</f>
        <v>62</v>
      </c>
      <c r="L32" s="272" t="str">
        <f>IFERROR(__xludf.DUMMYFUNCTION("""COMPUTED_VALUE"""),"SF,PF")</f>
        <v>SF,PF</v>
      </c>
      <c r="M32" s="273">
        <f>IFERROR(__xludf.DUMMYFUNCTION("""COMPUTED_VALUE"""),3.923392389951665)</f>
        <v>3.92339239</v>
      </c>
      <c r="N32" s="273">
        <f>IFERROR(__xludf.DUMMYFUNCTION("""COMPUTED_VALUE"""),4.393498885867384)</f>
        <v>4.393498886</v>
      </c>
      <c r="O32" s="274">
        <f>IFERROR(__xludf.DUMMYFUNCTION("""COMPUTED_VALUE"""),0.47010649591571907)</f>
        <v>0.4701064959</v>
      </c>
      <c r="P32" s="275">
        <f>IFERROR(__xludf.DUMMYFUNCTION("""COMPUTED_VALUE"""),24.64166667)</f>
        <v>24.64166667</v>
      </c>
      <c r="Q32" s="275">
        <f>IFERROR(__xludf.DUMMYFUNCTION("""COMPUTED_VALUE"""),1.924848485)</f>
        <v>1.924848485</v>
      </c>
      <c r="R32" s="275">
        <f>IFERROR(__xludf.DUMMYFUNCTION("""COMPUTED_VALUE"""),7.14)</f>
        <v>7.14</v>
      </c>
      <c r="S32" s="276">
        <f>IFERROR(__xludf.DUMMYFUNCTION("""COMPUTED_VALUE"""),8.776212121)</f>
        <v>8.776212121</v>
      </c>
      <c r="T32" s="275">
        <f>IFERROR(__xludf.DUMMYFUNCTION("""COMPUTED_VALUE"""),1.109242424)</f>
        <v>1.109242424</v>
      </c>
      <c r="U32" s="275">
        <f>IFERROR(__xludf.DUMMYFUNCTION("""COMPUTED_VALUE"""),0.5227272727)</f>
        <v>0.5227272727</v>
      </c>
      <c r="V32" s="272">
        <f>IFERROR(__xludf.DUMMYFUNCTION("""COMPUTED_VALUE"""),0.5371077316)</f>
        <v>0.5371077316</v>
      </c>
      <c r="W32" s="272">
        <f>IFERROR(__xludf.DUMMYFUNCTION("""COMPUTED_VALUE"""),0.7690098505)</f>
        <v>0.7690098505</v>
      </c>
      <c r="X32" s="275">
        <f>IFERROR(__xludf.DUMMYFUNCTION("""COMPUTED_VALUE"""),3.644393939)</f>
        <v>3.644393939</v>
      </c>
      <c r="Y32" s="273">
        <f>IFERROR(__xludf.DUMMYFUNCTION("""COMPUTED_VALUE"""),1.2893685845234746)</f>
        <v>1.289368585</v>
      </c>
      <c r="Z32" s="273">
        <f>IFERROR(__xludf.DUMMYFUNCTION("""COMPUTED_VALUE"""),0.17475977366470033)</f>
        <v>0.1747597737</v>
      </c>
      <c r="AA32" s="273">
        <f>IFERROR(__xludf.DUMMYFUNCTION("""COMPUTED_VALUE"""),0.414115059463165)</f>
        <v>0.4141150595</v>
      </c>
      <c r="AB32" s="273">
        <f>IFERROR(__xludf.DUMMYFUNCTION("""COMPUTED_VALUE"""),2.19933726993686)</f>
        <v>2.19933727</v>
      </c>
      <c r="AC32" s="273">
        <f>IFERROR(__xludf.DUMMYFUNCTION("""COMPUTED_VALUE"""),0.44080769400695324)</f>
        <v>0.440807694</v>
      </c>
      <c r="AD32" s="273">
        <f>IFERROR(__xludf.DUMMYFUNCTION("""COMPUTED_VALUE"""),-0.40299630837451456)</f>
        <v>-0.4029963084</v>
      </c>
      <c r="AE32" s="273">
        <f>IFERROR(__xludf.DUMMYFUNCTION("""COMPUTED_VALUE"""),0.7931270720514652)</f>
        <v>0.7931270721</v>
      </c>
      <c r="AF32" s="273">
        <f>IFERROR(__xludf.DUMMYFUNCTION("""COMPUTED_VALUE"""),-0.5150202594047202)</f>
        <v>-0.5150202594</v>
      </c>
      <c r="AG32" s="277">
        <f>IFERROR(__xludf.DUMMYFUNCTION("""COMPUTED_VALUE"""),0.0)</f>
        <v>0</v>
      </c>
      <c r="AH32" s="265"/>
      <c r="AI32" s="23"/>
      <c r="AJ32" s="291">
        <v>100.0</v>
      </c>
      <c r="AK32" s="292">
        <f t="array" ref="AK32">if(AK$20=$J13,"-", countif(indirect(address(row($J$2)+ VLOOKUP(AK$20,$J$3:$J$14,1),COLUMN($K$4))):indirect(address(row($J$2)+ VLOOKUP(AK$20,$J$3:$J$14,1),COLUMN($S$2)))&gt;indirect(address(row($J13),COLUMN($K$2))):indirect(address(row($J13),COLUMN($S$2))),TRUE()))</f>
        <v>7</v>
      </c>
      <c r="AL32" s="293">
        <f t="array" ref="AL32">if(AL$20=$J13,"-", countif(indirect(address(row($J$2)+ VLOOKUP(AL$20,$J$3:$J$14,1),COLUMN($K$4))):indirect(address(row($J$2)+ VLOOKUP(AL$20,$J$3:$J$14,1),COLUMN($S$2)))&gt;indirect(address(row($J13),COLUMN($K$2))):indirect(address(row($J13),COLUMN($S$2))),TRUE()))</f>
        <v>0</v>
      </c>
      <c r="AM32" s="293">
        <f t="array" ref="AM32">if(AM$20=$J13,"-", countif(indirect(address(row($J$2)+ VLOOKUP(AM$20,$J$3:$J$14,1),COLUMN($K$4))):indirect(address(row($J$2)+ VLOOKUP(AM$20,$J$3:$J$14,1),COLUMN($S$2)))&gt;indirect(address(row($J13),COLUMN($K$2))):indirect(address(row($J13),COLUMN($S$2))),TRUE()))</f>
        <v>0</v>
      </c>
      <c r="AN32" s="293">
        <f t="array" ref="AN32">if(AN$20=$J13,"-", countif(indirect(address(row($J$2)+ VLOOKUP(AN$20,$J$3:$J$14,1),COLUMN($K$4))):indirect(address(row($J$2)+ VLOOKUP(AN$20,$J$3:$J$14,1),COLUMN($S$2)))&gt;indirect(address(row($J13),COLUMN($K$2))):indirect(address(row($J13),COLUMN($S$2))),TRUE()))</f>
        <v>0</v>
      </c>
      <c r="AO32" s="293">
        <f t="array" ref="AO32">if(AO$20=$J13,"-", countif(indirect(address(row($J$2)+ VLOOKUP(AO$20,$J$3:$J$14,1),COLUMN($K$4))):indirect(address(row($J$2)+ VLOOKUP(AO$20,$J$3:$J$14,1),COLUMN($S$2)))&gt;indirect(address(row($J13),COLUMN($K$2))):indirect(address(row($J13),COLUMN($S$2))),TRUE()))</f>
        <v>0</v>
      </c>
      <c r="AP32" s="293">
        <f t="array" ref="AP32">if(AP$20=$J13,"-", countif(indirect(address(row($J$2)+ VLOOKUP(AP$20,$J$3:$J$14,1),COLUMN($K$4))):indirect(address(row($J$2)+ VLOOKUP(AP$20,$J$3:$J$14,1),COLUMN($S$2)))&gt;indirect(address(row($J13),COLUMN($K$2))):indirect(address(row($J13),COLUMN($S$2))),TRUE()))</f>
        <v>0</v>
      </c>
      <c r="AQ32" s="293">
        <f t="array" ref="AQ32">if(AQ$20=$J13,"-", countif(indirect(address(row($J$2)+ VLOOKUP(AQ$20,$J$3:$J$14,1),COLUMN($K$4))):indirect(address(row($J$2)+ VLOOKUP(AQ$20,$J$3:$J$14,1),COLUMN($S$2)))&gt;indirect(address(row($J13),COLUMN($K$2))):indirect(address(row($J13),COLUMN($S$2))),TRUE()))</f>
        <v>0</v>
      </c>
      <c r="AR32" s="293">
        <f t="array" ref="AR32">if(AR$20=$J13,"-", countif(indirect(address(row($J$2)+ VLOOKUP(AR$20,$J$3:$J$14,1),COLUMN($K$4))):indirect(address(row($J$2)+ VLOOKUP(AR$20,$J$3:$J$14,1),COLUMN($S$2)))&gt;indirect(address(row($J13),COLUMN($K$2))):indirect(address(row($J13),COLUMN($S$2))),TRUE()))</f>
        <v>0</v>
      </c>
      <c r="AS32" s="293">
        <f t="array" ref="AS32">if(AS$20=$J13,"-", countif(indirect(address(row($J$2)+ VLOOKUP(AS$20,$J$3:$J$14,1),COLUMN($K$4))):indirect(address(row($J$2)+ VLOOKUP(AS$20,$J$3:$J$14,1),COLUMN($S$2)))&gt;indirect(address(row($J13),COLUMN($K$2))):indirect(address(row($J13),COLUMN($S$2))),TRUE()))</f>
        <v>0</v>
      </c>
      <c r="AT32" s="293">
        <f t="array" ref="AT32">if(AT$20=$J13,"-", countif(indirect(address(row($J$2)+ VLOOKUP(AT$20,$J$3:$J$14,1),COLUMN($K$4))):indirect(address(row($J$2)+ VLOOKUP(AT$20,$J$3:$J$14,1),COLUMN($S$2)))&gt;indirect(address(row($J13),COLUMN($K$2))):indirect(address(row($J13),COLUMN($S$2))),TRUE()))</f>
        <v>0</v>
      </c>
      <c r="AU32" s="293" t="str">
        <f t="array" ref="AU32">if(AU$20=$J13,"-", countif(indirect(address(row($J$2)+ VLOOKUP(AU$20,$J$3:$J$14,1),COLUMN($K$4))):indirect(address(row($J$2)+ VLOOKUP(AU$20,$J$3:$J$14,1),COLUMN($S$2)))&gt;indirect(address(row($J13),COLUMN($K$2))):indirect(address(row($J13),COLUMN($S$2))),TRUE()))</f>
        <v>-</v>
      </c>
      <c r="AV32" s="294">
        <f t="array" ref="AV32">if(AV$20=$J13,"-", countif(indirect(address(row($J$2)+ VLOOKUP(AV$20,$J$3:$J$14,1),COLUMN($K$4))):indirect(address(row($J$2)+ VLOOKUP(AV$20,$J$3:$J$14,1),COLUMN($S$2)))&gt;indirect(address(row($J13),COLUMN($K$2))):indirect(address(row($J13),COLUMN($S$2))),TRUE()))</f>
        <v>0</v>
      </c>
      <c r="AW32" s="295">
        <v>11.0</v>
      </c>
      <c r="AX32" s="313" t="str">
        <f t="array" ref="AX32">INDIRECT("Draft!N"&amp;TEXT(VLOOKUP(TRUE,I3:J14,2,0)+2,"0"))</f>
        <v/>
      </c>
      <c r="AY32" s="316"/>
      <c r="AZ32" s="315" t="str">
        <f>IF($AX32="","", VLOOKUP($AX32,'Final Update'!$P$21:$AD1015,Column(H11),False))</f>
        <v/>
      </c>
      <c r="BA32" s="315" t="str">
        <f>IF($AX32="","", VLOOKUP($AX32,'Final Update'!$P$21:$AD1015,Column(I11),False))</f>
        <v/>
      </c>
      <c r="BB32" s="315" t="str">
        <f>IF($AX32="","", VLOOKUP($AX32,'Final Update'!$P$21:$AD1015,Column(J11),False))</f>
        <v/>
      </c>
      <c r="BC32" s="315" t="str">
        <f>IF($AX32="","", VLOOKUP($AX32,'Final Update'!$P$21:$AD1015,Column(K11),False))</f>
        <v/>
      </c>
      <c r="BD32" s="315" t="str">
        <f>IF($AX32="","", VLOOKUP($AX32,'Final Update'!$P$21:$AD1015,Column(L11),False))</f>
        <v/>
      </c>
      <c r="BE32" s="315" t="str">
        <f>IF($AX32="","", VLOOKUP($AX32,'Final Update'!$P$21:$AD1015,Column(M11),False))</f>
        <v/>
      </c>
      <c r="BF32" s="315" t="str">
        <f>IF($AX32="","", VLOOKUP($AX32,'Final Update'!$P$21:$AD1015,Column(N11),False))</f>
        <v/>
      </c>
      <c r="BG32" s="315" t="str">
        <f>IF($AX32="","", VLOOKUP($AX32,'Final Update'!$P$21:$AD1015,Column(O11),False))</f>
        <v/>
      </c>
      <c r="BH32" s="315" t="str">
        <f>IF($AX32="","", VLOOKUP($AX32,'Final Update'!$P$21:$AD1015,Column(P11),False))</f>
        <v/>
      </c>
      <c r="BI32" s="315" t="str">
        <f>IF($AX32="","", VLOOKUP($AX32,'Final Update'!$P$21:$AD1015,Column(C11),False))</f>
        <v/>
      </c>
      <c r="BJ32" s="317"/>
      <c r="BK32" s="318"/>
      <c r="BL32" s="289"/>
      <c r="BM32" s="289"/>
      <c r="BN32" s="289"/>
      <c r="BO32" s="289"/>
      <c r="BP32" s="289"/>
      <c r="BQ32" s="289"/>
      <c r="BR32" s="289"/>
      <c r="BS32" s="289"/>
      <c r="BT32" s="23"/>
      <c r="BU32" s="23"/>
      <c r="BV32" s="23"/>
    </row>
    <row r="33">
      <c r="A33" s="251">
        <f>VLOOKUP($F33,UpdateHashtag!$V$3:$Y$32,COLUMN(B$15),0)</f>
        <v>4</v>
      </c>
      <c r="B33" s="252">
        <f>VLOOKUP($F33,UpdateHashtag!$V$3:$Y$32,COLUMN(C$13),0)</f>
        <v>4</v>
      </c>
      <c r="C33" s="252">
        <f>VLOOKUP($F33,UpdateHashtag!$V$3:$Y$32,COLUMN(D$13),0)</f>
        <v>3</v>
      </c>
      <c r="D33" s="268">
        <f t="shared" si="4"/>
        <v>11</v>
      </c>
      <c r="E33" s="19"/>
      <c r="F33" s="30" t="str">
        <f>IF(VLOOKUP(J33,PasteHashtag!$C$2:$P1015,3,)="BRO","BKN",IF(VLOOKUP(J33,PasteHashtag!$C$2:$P1015,3,)="OKL","OKC",VLOOKUP(J33,PasteHashtag!$C$2:$P1015,3,)))</f>
        <v>ATL</v>
      </c>
      <c r="G33" s="269">
        <v>14.0</v>
      </c>
      <c r="H33" s="270">
        <f>IFERROR(__xludf.DUMMYFUNCTION("""COMPUTED_VALUE"""),19.0)</f>
        <v>19</v>
      </c>
      <c r="I33" s="270">
        <f>IFERROR(__xludf.DUMMYFUNCTION("""COMPUTED_VALUE"""),12.5)</f>
        <v>12.5</v>
      </c>
      <c r="J33" s="271" t="str">
        <f>IFERROR(__xludf.DUMMYFUNCTION("""COMPUTED_VALUE"""),"Trae Young")</f>
        <v>Trae Young</v>
      </c>
      <c r="K33" s="270">
        <f>IFERROR(__xludf.DUMMYFUNCTION("""COMPUTED_VALUE"""),78.0)</f>
        <v>78</v>
      </c>
      <c r="L33" s="272" t="str">
        <f>IFERROR(__xludf.DUMMYFUNCTION("""COMPUTED_VALUE"""),"SG,SF")</f>
        <v>SG,SF</v>
      </c>
      <c r="M33" s="273">
        <f>IFERROR(__xludf.DUMMYFUNCTION("""COMPUTED_VALUE"""),3.503772975657455)</f>
        <v>3.503772976</v>
      </c>
      <c r="N33" s="273">
        <f>IFERROR(__xludf.DUMMYFUNCTION("""COMPUTED_VALUE"""),4.074462528451495)</f>
        <v>4.074462528</v>
      </c>
      <c r="O33" s="274">
        <f>IFERROR(__xludf.DUMMYFUNCTION("""COMPUTED_VALUE"""),0.5706895527940397)</f>
        <v>0.5706895528</v>
      </c>
      <c r="P33" s="275">
        <f>IFERROR(__xludf.DUMMYFUNCTION("""COMPUTED_VALUE"""),26.75866667)</f>
        <v>26.75866667</v>
      </c>
      <c r="Q33" s="275">
        <f>IFERROR(__xludf.DUMMYFUNCTION("""COMPUTED_VALUE"""),2.7916)</f>
        <v>2.7916</v>
      </c>
      <c r="R33" s="275">
        <f>IFERROR(__xludf.DUMMYFUNCTION("""COMPUTED_VALUE"""),3.374933333)</f>
        <v>3.374933333</v>
      </c>
      <c r="S33" s="276">
        <f>IFERROR(__xludf.DUMMYFUNCTION("""COMPUTED_VALUE"""),10.05)</f>
        <v>10.05</v>
      </c>
      <c r="T33" s="275">
        <f>IFERROR(__xludf.DUMMYFUNCTION("""COMPUTED_VALUE"""),1.05)</f>
        <v>1.05</v>
      </c>
      <c r="U33" s="275">
        <f>IFERROR(__xludf.DUMMYFUNCTION("""COMPUTED_VALUE"""),0.2248)</f>
        <v>0.2248</v>
      </c>
      <c r="V33" s="272">
        <f>IFERROR(__xludf.DUMMYFUNCTION("""COMPUTED_VALUE"""),0.4390615812)</f>
        <v>0.4390615812</v>
      </c>
      <c r="W33" s="272">
        <f>IFERROR(__xludf.DUMMYFUNCTION("""COMPUTED_VALUE"""),0.8540079193)</f>
        <v>0.8540079193</v>
      </c>
      <c r="X33" s="275">
        <f>IFERROR(__xludf.DUMMYFUNCTION("""COMPUTED_VALUE"""),4.05)</f>
        <v>4.05</v>
      </c>
      <c r="Y33" s="273">
        <f>IFERROR(__xludf.DUMMYFUNCTION("""COMPUTED_VALUE"""),1.6709697717406122)</f>
        <v>1.670969772</v>
      </c>
      <c r="Z33" s="273">
        <f>IFERROR(__xludf.DUMMYFUNCTION("""COMPUTED_VALUE"""),1.0345153376488943)</f>
        <v>1.034515338</v>
      </c>
      <c r="AA33" s="273">
        <f>IFERROR(__xludf.DUMMYFUNCTION("""COMPUTED_VALUE"""),-1.061440909010791)</f>
        <v>-1.061440909</v>
      </c>
      <c r="AB33" s="273">
        <f>IFERROR(__xludf.DUMMYFUNCTION("""COMPUTED_VALUE"""),2.7778132713212145)</f>
        <v>2.777813271</v>
      </c>
      <c r="AC33" s="273">
        <f>IFERROR(__xludf.DUMMYFUNCTION("""COMPUTED_VALUE"""),0.24481519006675123)</f>
        <v>0.2448151901</v>
      </c>
      <c r="AD33" s="273">
        <f>IFERROR(__xludf.DUMMYFUNCTION("""COMPUTED_VALUE"""),-0.9343936399965528)</f>
        <v>-0.93439364</v>
      </c>
      <c r="AE33" s="273">
        <f>IFERROR(__xludf.DUMMYFUNCTION("""COMPUTED_VALUE"""),-1.319697620128027)</f>
        <v>-1.31969762</v>
      </c>
      <c r="AF33" s="273">
        <f>IFERROR(__xludf.DUMMYFUNCTION("""COMPUTED_VALUE"""),1.6618811268093934)</f>
        <v>1.661881127</v>
      </c>
      <c r="AG33" s="277">
        <f>IFERROR(__xludf.DUMMYFUNCTION("""COMPUTED_VALUE"""),0.0)</f>
        <v>0</v>
      </c>
      <c r="AH33" s="278"/>
      <c r="AI33" s="23"/>
      <c r="AJ33" s="291">
        <v>100.0</v>
      </c>
      <c r="AK33" s="292">
        <f t="array" ref="AK33">if(AK$20=$J14,"-", countif(indirect(address(row($J$2)+ VLOOKUP(AK$20,$J$3:$J$14,1),COLUMN($K$4))):indirect(address(row($J$2)+ VLOOKUP(AK$20,$J$3:$J$14,1),COLUMN($S$2)))&gt;indirect(address(row($J14),COLUMN($K$2))):indirect(address(row($J14),COLUMN($S$2))),TRUE()))</f>
        <v>7</v>
      </c>
      <c r="AL33" s="293">
        <f t="array" ref="AL33">if(AL$20=$J14,"-", countif(indirect(address(row($J$2)+ VLOOKUP(AL$20,$J$3:$J$14,1),COLUMN($K$4))):indirect(address(row($J$2)+ VLOOKUP(AL$20,$J$3:$J$14,1),COLUMN($S$2)))&gt;indirect(address(row($J14),COLUMN($K$2))):indirect(address(row($J14),COLUMN($S$2))),TRUE()))</f>
        <v>0</v>
      </c>
      <c r="AM33" s="293">
        <f t="array" ref="AM33">if(AM$20=$J14,"-", countif(indirect(address(row($J$2)+ VLOOKUP(AM$20,$J$3:$J$14,1),COLUMN($K$4))):indirect(address(row($J$2)+ VLOOKUP(AM$20,$J$3:$J$14,1),COLUMN($S$2)))&gt;indirect(address(row($J14),COLUMN($K$2))):indirect(address(row($J14),COLUMN($S$2))),TRUE()))</f>
        <v>0</v>
      </c>
      <c r="AN33" s="293">
        <f t="array" ref="AN33">if(AN$20=$J14,"-", countif(indirect(address(row($J$2)+ VLOOKUP(AN$20,$J$3:$J$14,1),COLUMN($K$4))):indirect(address(row($J$2)+ VLOOKUP(AN$20,$J$3:$J$14,1),COLUMN($S$2)))&gt;indirect(address(row($J14),COLUMN($K$2))):indirect(address(row($J14),COLUMN($S$2))),TRUE()))</f>
        <v>0</v>
      </c>
      <c r="AO33" s="293">
        <f t="array" ref="AO33">if(AO$20=$J14,"-", countif(indirect(address(row($J$2)+ VLOOKUP(AO$20,$J$3:$J$14,1),COLUMN($K$4))):indirect(address(row($J$2)+ VLOOKUP(AO$20,$J$3:$J$14,1),COLUMN($S$2)))&gt;indirect(address(row($J14),COLUMN($K$2))):indirect(address(row($J14),COLUMN($S$2))),TRUE()))</f>
        <v>0</v>
      </c>
      <c r="AP33" s="293">
        <f t="array" ref="AP33">if(AP$20=$J14,"-", countif(indirect(address(row($J$2)+ VLOOKUP(AP$20,$J$3:$J$14,1),COLUMN($K$4))):indirect(address(row($J$2)+ VLOOKUP(AP$20,$J$3:$J$14,1),COLUMN($S$2)))&gt;indirect(address(row($J14),COLUMN($K$2))):indirect(address(row($J14),COLUMN($S$2))),TRUE()))</f>
        <v>0</v>
      </c>
      <c r="AQ33" s="293">
        <f t="array" ref="AQ33">if(AQ$20=$J14,"-", countif(indirect(address(row($J$2)+ VLOOKUP(AQ$20,$J$3:$J$14,1),COLUMN($K$4))):indirect(address(row($J$2)+ VLOOKUP(AQ$20,$J$3:$J$14,1),COLUMN($S$2)))&gt;indirect(address(row($J14),COLUMN($K$2))):indirect(address(row($J14),COLUMN($S$2))),TRUE()))</f>
        <v>0</v>
      </c>
      <c r="AR33" s="293">
        <f t="array" ref="AR33">if(AR$20=$J14,"-", countif(indirect(address(row($J$2)+ VLOOKUP(AR$20,$J$3:$J$14,1),COLUMN($K$4))):indirect(address(row($J$2)+ VLOOKUP(AR$20,$J$3:$J$14,1),COLUMN($S$2)))&gt;indirect(address(row($J14),COLUMN($K$2))):indirect(address(row($J14),COLUMN($S$2))),TRUE()))</f>
        <v>0</v>
      </c>
      <c r="AS33" s="293">
        <f t="array" ref="AS33">if(AS$20=$J14,"-", countif(indirect(address(row($J$2)+ VLOOKUP(AS$20,$J$3:$J$14,1),COLUMN($K$4))):indirect(address(row($J$2)+ VLOOKUP(AS$20,$J$3:$J$14,1),COLUMN($S$2)))&gt;indirect(address(row($J14),COLUMN($K$2))):indirect(address(row($J14),COLUMN($S$2))),TRUE()))</f>
        <v>0</v>
      </c>
      <c r="AT33" s="293">
        <f t="array" ref="AT33">if(AT$20=$J14,"-", countif(indirect(address(row($J$2)+ VLOOKUP(AT$20,$J$3:$J$14,1),COLUMN($K$4))):indirect(address(row($J$2)+ VLOOKUP(AT$20,$J$3:$J$14,1),COLUMN($S$2)))&gt;indirect(address(row($J14),COLUMN($K$2))):indirect(address(row($J14),COLUMN($S$2))),TRUE()))</f>
        <v>0</v>
      </c>
      <c r="AU33" s="293">
        <f t="array" ref="AU33">if(AU$20=$J14,"-", countif(indirect(address(row($J$2)+ VLOOKUP(AU$20,$J$3:$J$14,1),COLUMN($K$4))):indirect(address(row($J$2)+ VLOOKUP(AU$20,$J$3:$J$14,1),COLUMN($S$2)))&gt;indirect(address(row($J14),COLUMN($K$2))):indirect(address(row($J14),COLUMN($S$2))),TRUE()))</f>
        <v>0</v>
      </c>
      <c r="AV33" s="294" t="str">
        <f t="array" ref="AV33">if(AV$20=$J14,"-", countif(indirect(address(row($J$2)+ VLOOKUP(AV$20,$J$3:$J$14,1),COLUMN($K$4))):indirect(address(row($J$2)+ VLOOKUP(AV$20,$J$3:$J$14,1),COLUMN($S$2)))&gt;indirect(address(row($J14),COLUMN($K$2))):indirect(address(row($J14),COLUMN($S$2))),TRUE()))</f>
        <v>-</v>
      </c>
      <c r="AW33" s="295">
        <v>12.0</v>
      </c>
      <c r="AX33" s="321" t="str">
        <f t="array" ref="AX33">INDIRECT("Draft!O"&amp;TEXT(15-VLOOKUP(TRUE,I3:J14,2,0),"0"))</f>
        <v/>
      </c>
      <c r="AY33" s="322"/>
      <c r="AZ33" s="323" t="str">
        <f>IF($AX33="","", VLOOKUP($AX33,'Final Update'!$P$21:$AD1015,Column(H12),False))</f>
        <v/>
      </c>
      <c r="BA33" s="323" t="str">
        <f>IF($AX33="","", VLOOKUP($AX33,'Final Update'!$P$21:$AD1015,Column(I12),False))</f>
        <v/>
      </c>
      <c r="BB33" s="323" t="str">
        <f>IF($AX33="","", VLOOKUP($AX33,'Final Update'!$P$21:$AD1015,Column(J12),False))</f>
        <v/>
      </c>
      <c r="BC33" s="323" t="str">
        <f>IF($AX33="","", VLOOKUP($AX33,'Final Update'!$P$21:$AD1015,Column(K12),False))</f>
        <v/>
      </c>
      <c r="BD33" s="323" t="str">
        <f>IF($AX33="","", VLOOKUP($AX33,'Final Update'!$P$21:$AD1015,Column(L12),False))</f>
        <v/>
      </c>
      <c r="BE33" s="323" t="str">
        <f>IF($AX33="","", VLOOKUP($AX33,'Final Update'!$P$21:$AD1015,Column(M12),False))</f>
        <v/>
      </c>
      <c r="BF33" s="323" t="str">
        <f>IF($AX33="","", VLOOKUP($AX33,'Final Update'!$P$21:$AD1015,Column(N12),False))</f>
        <v/>
      </c>
      <c r="BG33" s="323" t="str">
        <f>IF($AX33="","", VLOOKUP($AX33,'Final Update'!$P$21:$AD1015,Column(O12),False))</f>
        <v/>
      </c>
      <c r="BH33" s="323" t="str">
        <f>IF($AX33="","", VLOOKUP($AX33,'Final Update'!$P$21:$AD1015,Column(P12),False))</f>
        <v/>
      </c>
      <c r="BI33" s="323" t="str">
        <f>IF($AX33="","", VLOOKUP($AX33,'Final Update'!$P$21:$AD1015,Column(C12),False))</f>
        <v/>
      </c>
      <c r="BJ33" s="324"/>
      <c r="BK33" s="325"/>
      <c r="BL33" s="326"/>
      <c r="BM33" s="326"/>
      <c r="BN33" s="326"/>
      <c r="BO33" s="326"/>
      <c r="BP33" s="326"/>
      <c r="BQ33" s="326"/>
      <c r="BR33" s="326"/>
      <c r="BS33" s="326"/>
      <c r="BT33" s="23"/>
      <c r="BU33" s="23"/>
      <c r="BV33" s="23"/>
    </row>
    <row r="34">
      <c r="A34" s="251">
        <f>VLOOKUP($F34,UpdateHashtag!$V$3:$Y$32,COLUMN(B$15),0)</f>
        <v>4</v>
      </c>
      <c r="B34" s="252">
        <f>VLOOKUP($F34,UpdateHashtag!$V$3:$Y$32,COLUMN(C$13),0)</f>
        <v>3</v>
      </c>
      <c r="C34" s="252">
        <f>VLOOKUP($F34,UpdateHashtag!$V$3:$Y$32,COLUMN(D$13),0)</f>
        <v>3</v>
      </c>
      <c r="D34" s="268">
        <f t="shared" si="4"/>
        <v>10</v>
      </c>
      <c r="E34" s="19"/>
      <c r="F34" s="30" t="str">
        <f>IF(VLOOKUP(J34,PasteHashtag!$C$2:$P1015,3,)="BRO","BKN",IF(VLOOKUP(J34,PasteHashtag!$C$2:$P1015,3,)="OKL","OKC",VLOOKUP(J34,PasteHashtag!$C$2:$P1015,3,)))</f>
        <v>MIN</v>
      </c>
      <c r="G34" s="269">
        <v>15.0</v>
      </c>
      <c r="H34" s="270">
        <f>IFERROR(__xludf.DUMMYFUNCTION("""COMPUTED_VALUE"""),16.0)</f>
        <v>16</v>
      </c>
      <c r="I34" s="270">
        <f>IFERROR(__xludf.DUMMYFUNCTION("""COMPUTED_VALUE"""),10.1)</f>
        <v>10.1</v>
      </c>
      <c r="J34" s="271" t="str">
        <f>IFERROR(__xludf.DUMMYFUNCTION("""COMPUTED_VALUE"""),"Anthony Edwards")</f>
        <v>Anthony Edwards</v>
      </c>
      <c r="K34" s="270">
        <f>IFERROR(__xludf.DUMMYFUNCTION("""COMPUTED_VALUE"""),58.0)</f>
        <v>58</v>
      </c>
      <c r="L34" s="272" t="str">
        <f>IFERROR(__xludf.DUMMYFUNCTION("""COMPUTED_VALUE"""),"SG,SF")</f>
        <v>SG,SF</v>
      </c>
      <c r="M34" s="273">
        <f>IFERROR(__xludf.DUMMYFUNCTION("""COMPUTED_VALUE"""),3.814227079343934)</f>
        <v>3.814227079</v>
      </c>
      <c r="N34" s="273">
        <f>IFERROR(__xludf.DUMMYFUNCTION("""COMPUTED_VALUE"""),4.054424077926738)</f>
        <v>4.054424078</v>
      </c>
      <c r="O34" s="274">
        <f>IFERROR(__xludf.DUMMYFUNCTION("""COMPUTED_VALUE"""),0.24019699858280408)</f>
        <v>0.2401969986</v>
      </c>
      <c r="P34" s="275">
        <f>IFERROR(__xludf.DUMMYFUNCTION("""COMPUTED_VALUE"""),26.24675325)</f>
        <v>26.24675325</v>
      </c>
      <c r="Q34" s="275">
        <f>IFERROR(__xludf.DUMMYFUNCTION("""COMPUTED_VALUE"""),2.313246753)</f>
        <v>2.313246753</v>
      </c>
      <c r="R34" s="275">
        <f>IFERROR(__xludf.DUMMYFUNCTION("""COMPUTED_VALUE"""),5.359350649)</f>
        <v>5.359350649</v>
      </c>
      <c r="S34" s="276">
        <f>IFERROR(__xludf.DUMMYFUNCTION("""COMPUTED_VALUE"""),5.359350649)</f>
        <v>5.359350649</v>
      </c>
      <c r="T34" s="275">
        <f>IFERROR(__xludf.DUMMYFUNCTION("""COMPUTED_VALUE"""),1.356103896)</f>
        <v>1.356103896</v>
      </c>
      <c r="U34" s="275">
        <f>IFERROR(__xludf.DUMMYFUNCTION("""COMPUTED_VALUE"""),0.5720779221)</f>
        <v>0.5720779221</v>
      </c>
      <c r="V34" s="272">
        <f>IFERROR(__xludf.DUMMYFUNCTION("""COMPUTED_VALUE"""),0.4670996365)</f>
        <v>0.4670996365</v>
      </c>
      <c r="W34" s="272">
        <f>IFERROR(__xludf.DUMMYFUNCTION("""COMPUTED_VALUE"""),0.8489939292)</f>
        <v>0.8489939292</v>
      </c>
      <c r="X34" s="275">
        <f>IFERROR(__xludf.DUMMYFUNCTION("""COMPUTED_VALUE"""),2.717272727)</f>
        <v>2.717272727</v>
      </c>
      <c r="Y34" s="273">
        <f>IFERROR(__xludf.DUMMYFUNCTION("""COMPUTED_VALUE"""),1.5786944912378325)</f>
        <v>1.578694491</v>
      </c>
      <c r="Z34" s="273">
        <f>IFERROR(__xludf.DUMMYFUNCTION("""COMPUTED_VALUE"""),0.5600231002073994)</f>
        <v>0.5600231002</v>
      </c>
      <c r="AA34" s="273">
        <f>IFERROR(__xludf.DUMMYFUNCTION("""COMPUTED_VALUE"""),-0.28373387921734805)</f>
        <v>-0.2837338792</v>
      </c>
      <c r="AB34" s="273">
        <f>IFERROR(__xludf.DUMMYFUNCTION("""COMPUTED_VALUE"""),0.6476092356282376)</f>
        <v>0.6476092356</v>
      </c>
      <c r="AC34" s="273">
        <f>IFERROR(__xludf.DUMMYFUNCTION("""COMPUTED_VALUE"""),1.2575028046534056)</f>
        <v>1.257502805</v>
      </c>
      <c r="AD34" s="273">
        <f>IFERROR(__xludf.DUMMYFUNCTION("""COMPUTED_VALUE"""),-0.3149721299657725)</f>
        <v>-0.31497213</v>
      </c>
      <c r="AE34" s="273">
        <f>IFERROR(__xludf.DUMMYFUNCTION("""COMPUTED_VALUE"""),-0.6815711239581117)</f>
        <v>-0.681571124</v>
      </c>
      <c r="AF34" s="273">
        <f>IFERROR(__xludf.DUMMYFUNCTION("""COMPUTED_VALUE"""),1.2908715793410945)</f>
        <v>1.290871579</v>
      </c>
      <c r="AG34" s="277">
        <f>IFERROR(__xludf.DUMMYFUNCTION("""COMPUTED_VALUE"""),0.0)</f>
        <v>0</v>
      </c>
      <c r="AH34" s="290"/>
      <c r="AI34" s="23"/>
      <c r="AJ34" s="327">
        <v>100.0</v>
      </c>
      <c r="AK34" s="324"/>
      <c r="AL34" s="324"/>
      <c r="AM34" s="324"/>
      <c r="AN34" s="324"/>
      <c r="AO34" s="324"/>
      <c r="AP34" s="324"/>
      <c r="AQ34" s="324"/>
      <c r="AR34" s="324"/>
      <c r="AS34" s="324"/>
      <c r="AT34" s="324"/>
      <c r="AU34" s="324"/>
      <c r="AV34" s="324"/>
      <c r="AW34" s="328">
        <v>13.0</v>
      </c>
      <c r="AX34" s="313" t="str">
        <f t="array" ref="AX34">INDIRECT("Draft!P"&amp;TEXT(VLOOKUP(TRUE,I3:J14,2,0)+2,"0"))</f>
        <v/>
      </c>
      <c r="AY34" s="314"/>
      <c r="AZ34" s="329"/>
      <c r="BA34" s="329"/>
      <c r="BB34" s="329"/>
      <c r="BC34" s="329"/>
      <c r="BD34" s="329"/>
      <c r="BE34" s="329"/>
      <c r="BF34" s="329"/>
      <c r="BG34" s="329"/>
      <c r="BH34" s="329"/>
      <c r="BI34" s="330"/>
      <c r="BJ34" s="331"/>
      <c r="BK34" s="326"/>
      <c r="BL34" s="326"/>
      <c r="BM34" s="326"/>
      <c r="BN34" s="326"/>
      <c r="BO34" s="326"/>
      <c r="BP34" s="326"/>
      <c r="BQ34" s="326"/>
      <c r="BR34" s="326"/>
      <c r="BS34" s="332"/>
      <c r="BT34" s="324"/>
      <c r="BU34" s="324"/>
      <c r="BV34" s="324"/>
    </row>
    <row r="35">
      <c r="A35" s="251">
        <f>VLOOKUP($F35,UpdateHashtag!$V$3:$Y$32,COLUMN(B$15),0)</f>
        <v>3</v>
      </c>
      <c r="B35" s="252">
        <f>VLOOKUP($F35,UpdateHashtag!$V$3:$Y$32,COLUMN(C$13),0)</f>
        <v>4</v>
      </c>
      <c r="C35" s="252">
        <f>VLOOKUP($F35,UpdateHashtag!$V$3:$Y$32,COLUMN(D$13),0)</f>
        <v>3</v>
      </c>
      <c r="D35" s="268">
        <f t="shared" si="4"/>
        <v>10</v>
      </c>
      <c r="E35" s="19"/>
      <c r="F35" s="30" t="str">
        <f>IF(VLOOKUP(J35,PasteHashtag!$C$2:$P1015,3,)="BRO","BKN",IF(VLOOKUP(J35,PasteHashtag!$C$2:$P1015,3,)="OKL","OKC",VLOOKUP(J35,PasteHashtag!$C$2:$P1015,3,)))</f>
        <v>BOS</v>
      </c>
      <c r="G35" s="269">
        <v>16.0</v>
      </c>
      <c r="H35" s="270">
        <f>IFERROR(__xludf.DUMMYFUNCTION("""COMPUTED_VALUE"""),17.0)</f>
        <v>17</v>
      </c>
      <c r="I35" s="270">
        <f>IFERROR(__xludf.DUMMYFUNCTION("""COMPUTED_VALUE"""),9.5)</f>
        <v>9.5</v>
      </c>
      <c r="J35" s="271" t="str">
        <f>IFERROR(__xludf.DUMMYFUNCTION("""COMPUTED_VALUE"""),"Jayson Tatum")</f>
        <v>Jayson Tatum</v>
      </c>
      <c r="K35" s="270">
        <f>IFERROR(__xludf.DUMMYFUNCTION("""COMPUTED_VALUE"""),60.0)</f>
        <v>60</v>
      </c>
      <c r="L35" s="272" t="str">
        <f>IFERROR(__xludf.DUMMYFUNCTION("""COMPUTED_VALUE"""),"PG,SG")</f>
        <v>PG,SG</v>
      </c>
      <c r="M35" s="273">
        <f>IFERROR(__xludf.DUMMYFUNCTION("""COMPUTED_VALUE"""),3.818833214530949)</f>
        <v>3.818833215</v>
      </c>
      <c r="N35" s="273">
        <f>IFERROR(__xludf.DUMMYFUNCTION("""COMPUTED_VALUE"""),4.0053949477535875)</f>
        <v>4.005394948</v>
      </c>
      <c r="O35" s="274">
        <f>IFERROR(__xludf.DUMMYFUNCTION("""COMPUTED_VALUE"""),0.18656173322263836)</f>
        <v>0.1865617332</v>
      </c>
      <c r="P35" s="275">
        <f>IFERROR(__xludf.DUMMYFUNCTION("""COMPUTED_VALUE"""),25.77873239)</f>
        <v>25.77873239</v>
      </c>
      <c r="Q35" s="275">
        <f>IFERROR(__xludf.DUMMYFUNCTION("""COMPUTED_VALUE"""),2.897605634)</f>
        <v>2.897605634</v>
      </c>
      <c r="R35" s="275">
        <f>IFERROR(__xludf.DUMMYFUNCTION("""COMPUTED_VALUE"""),7.717464789)</f>
        <v>7.717464789</v>
      </c>
      <c r="S35" s="276">
        <f>IFERROR(__xludf.DUMMYFUNCTION("""COMPUTED_VALUE"""),5.245211268)</f>
        <v>5.245211268</v>
      </c>
      <c r="T35" s="275">
        <f>IFERROR(__xludf.DUMMYFUNCTION("""COMPUTED_VALUE"""),0.9969014085)</f>
        <v>0.9969014085</v>
      </c>
      <c r="U35" s="275">
        <f>IFERROR(__xludf.DUMMYFUNCTION("""COMPUTED_VALUE"""),0.5730985915)</f>
        <v>0.5730985915</v>
      </c>
      <c r="V35" s="272">
        <f>IFERROR(__xludf.DUMMYFUNCTION("""COMPUTED_VALUE"""),0.4581999526)</f>
        <v>0.4581999526</v>
      </c>
      <c r="W35" s="272">
        <f>IFERROR(__xludf.DUMMYFUNCTION("""COMPUTED_VALUE"""),0.8500109577)</f>
        <v>0.8500109577</v>
      </c>
      <c r="X35" s="275">
        <f>IFERROR(__xludf.DUMMYFUNCTION("""COMPUTED_VALUE"""),2.500985915)</f>
        <v>2.500985915</v>
      </c>
      <c r="Y35" s="273">
        <f>IFERROR(__xludf.DUMMYFUNCTION("""COMPUTED_VALUE"""),1.4943310921738802)</f>
        <v>1.494331092</v>
      </c>
      <c r="Z35" s="273">
        <f>IFERROR(__xludf.DUMMYFUNCTION("""COMPUTED_VALUE"""),1.1396653513124666)</f>
        <v>1.139665351</v>
      </c>
      <c r="AA35" s="273">
        <f>IFERROR(__xludf.DUMMYFUNCTION("""COMPUTED_VALUE"""),0.6404275504107535)</f>
        <v>0.6404275504</v>
      </c>
      <c r="AB35" s="273">
        <f>IFERROR(__xludf.DUMMYFUNCTION("""COMPUTED_VALUE"""),0.595774158681831)</f>
        <v>0.5957741587</v>
      </c>
      <c r="AC35" s="273">
        <f>IFERROR(__xludf.DUMMYFUNCTION("""COMPUTED_VALUE"""),0.06914840938635679)</f>
        <v>0.06914840939</v>
      </c>
      <c r="AD35" s="273">
        <f>IFERROR(__xludf.DUMMYFUNCTION("""COMPUTED_VALUE"""),-0.31315161521157464)</f>
        <v>-0.3131516152</v>
      </c>
      <c r="AE35" s="273">
        <f>IFERROR(__xludf.DUMMYFUNCTION("""COMPUTED_VALUE"""),-0.8632677014460912)</f>
        <v>-0.8632677014</v>
      </c>
      <c r="AF35" s="273">
        <f>IFERROR(__xludf.DUMMYFUNCTION("""COMPUTED_VALUE"""),1.2424677024459658)</f>
        <v>1.242467702</v>
      </c>
      <c r="AG35" s="277">
        <f>IFERROR(__xludf.DUMMYFUNCTION("""COMPUTED_VALUE"""),0.0)</f>
        <v>0</v>
      </c>
      <c r="AH35" s="290"/>
      <c r="AI35" s="23"/>
      <c r="AJ35" s="291">
        <v>50.0</v>
      </c>
      <c r="AK35" s="324"/>
      <c r="AL35" s="324"/>
      <c r="AM35" s="324"/>
      <c r="AN35" s="324"/>
      <c r="AO35" s="324"/>
      <c r="AP35" s="324"/>
      <c r="AQ35" s="324"/>
      <c r="AR35" s="324"/>
      <c r="AS35" s="324"/>
      <c r="AT35" s="324"/>
      <c r="AU35" s="324"/>
      <c r="AV35" s="324"/>
      <c r="AW35" s="328">
        <v>14.0</v>
      </c>
      <c r="AX35" s="313" t="str">
        <f t="array" ref="AX35">INDIRECT("Draft!Q"&amp;TEXT(15-VLOOKUP(TRUE,I3:J14,2,0),"0"))</f>
        <v/>
      </c>
      <c r="AY35" s="314"/>
      <c r="AZ35" s="330"/>
      <c r="BA35" s="330"/>
      <c r="BB35" s="330"/>
      <c r="BC35" s="330"/>
      <c r="BD35" s="330"/>
      <c r="BE35" s="330"/>
      <c r="BF35" s="330"/>
      <c r="BG35" s="330"/>
      <c r="BH35" s="330"/>
      <c r="BI35" s="330"/>
      <c r="BJ35" s="324"/>
      <c r="BK35" s="265"/>
      <c r="BL35" s="265"/>
      <c r="BM35" s="265"/>
      <c r="BN35" s="265"/>
      <c r="BO35" s="265"/>
      <c r="BP35" s="265"/>
      <c r="BQ35" s="265"/>
      <c r="BR35" s="265"/>
      <c r="BS35" s="265"/>
      <c r="BT35" s="265"/>
      <c r="BU35" s="265"/>
      <c r="BV35" s="265"/>
    </row>
    <row r="36">
      <c r="A36" s="251">
        <f>VLOOKUP($F36,UpdateHashtag!$V$3:$Y$32,COLUMN(B$15),0)</f>
        <v>3</v>
      </c>
      <c r="B36" s="252">
        <f>VLOOKUP($F36,UpdateHashtag!$V$3:$Y$32,COLUMN(C$13),0)</f>
        <v>3</v>
      </c>
      <c r="C36" s="252">
        <f>VLOOKUP($F36,UpdateHashtag!$V$3:$Y$32,COLUMN(D$13),0)</f>
        <v>4</v>
      </c>
      <c r="D36" s="268">
        <f t="shared" si="4"/>
        <v>10</v>
      </c>
      <c r="E36" s="19"/>
      <c r="F36" s="30" t="str">
        <f>IF(VLOOKUP(J36,PasteHashtag!$C$2:$P1015,3,)="BRO","BKN",IF(VLOOKUP(J36,PasteHashtag!$C$2:$P1015,3,)="OKL","OKC",VLOOKUP(J36,PasteHashtag!$C$2:$P1015,3,)))</f>
        <v>NY</v>
      </c>
      <c r="G36" s="269">
        <v>17.0</v>
      </c>
      <c r="H36" s="270">
        <f>IFERROR(__xludf.DUMMYFUNCTION("""COMPUTED_VALUE"""),15.0)</f>
        <v>15</v>
      </c>
      <c r="I36" s="270">
        <f>IFERROR(__xludf.DUMMYFUNCTION("""COMPUTED_VALUE"""),22.1)</f>
        <v>22.1</v>
      </c>
      <c r="J36" s="271" t="str">
        <f>IFERROR(__xludf.DUMMYFUNCTION("""COMPUTED_VALUE"""),"Karl-Anthony Towns")</f>
        <v>Karl-Anthony Towns</v>
      </c>
      <c r="K36" s="270">
        <f>IFERROR(__xludf.DUMMYFUNCTION("""COMPUTED_VALUE"""),50.0)</f>
        <v>50</v>
      </c>
      <c r="L36" s="272" t="str">
        <f>IFERROR(__xludf.DUMMYFUNCTION("""COMPUTED_VALUE"""),"C")</f>
        <v>C</v>
      </c>
      <c r="M36" s="273">
        <f>IFERROR(__xludf.DUMMYFUNCTION("""COMPUTED_VALUE"""),3.543467632532436)</f>
        <v>3.543467633</v>
      </c>
      <c r="N36" s="273">
        <f>IFERROR(__xludf.DUMMYFUNCTION("""COMPUTED_VALUE"""),3.8492903846992776)</f>
        <v>3.849290385</v>
      </c>
      <c r="O36" s="274">
        <f>IFERROR(__xludf.DUMMYFUNCTION("""COMPUTED_VALUE"""),0.30582275216684174)</f>
        <v>0.3058227522</v>
      </c>
      <c r="P36" s="275">
        <f>IFERROR(__xludf.DUMMYFUNCTION("""COMPUTED_VALUE"""),22.99985294)</f>
        <v>22.99985294</v>
      </c>
      <c r="Q36" s="275">
        <f>IFERROR(__xludf.DUMMYFUNCTION("""COMPUTED_VALUE"""),2.154264706)</f>
        <v>2.154264706</v>
      </c>
      <c r="R36" s="275">
        <f>IFERROR(__xludf.DUMMYFUNCTION("""COMPUTED_VALUE"""),10.5)</f>
        <v>10.5</v>
      </c>
      <c r="S36" s="276">
        <f>IFERROR(__xludf.DUMMYFUNCTION("""COMPUTED_VALUE"""),3.488235294)</f>
        <v>3.488235294</v>
      </c>
      <c r="T36" s="275">
        <f>IFERROR(__xludf.DUMMYFUNCTION("""COMPUTED_VALUE"""),0.6401470588)</f>
        <v>0.6401470588</v>
      </c>
      <c r="U36" s="275">
        <f>IFERROR(__xludf.DUMMYFUNCTION("""COMPUTED_VALUE"""),1.05)</f>
        <v>1.05</v>
      </c>
      <c r="V36" s="272">
        <f>IFERROR(__xludf.DUMMYFUNCTION("""COMPUTED_VALUE"""),0.5164562794)</f>
        <v>0.5164562794</v>
      </c>
      <c r="W36" s="272">
        <f>IFERROR(__xludf.DUMMYFUNCTION("""COMPUTED_VALUE"""),0.8590137336)</f>
        <v>0.8590137336</v>
      </c>
      <c r="X36" s="275">
        <f>IFERROR(__xludf.DUMMYFUNCTION("""COMPUTED_VALUE"""),2.981911765)</f>
        <v>2.981911765</v>
      </c>
      <c r="Y36" s="273">
        <f>IFERROR(__xludf.DUMMYFUNCTION("""COMPUTED_VALUE"""),0.9934224019266884)</f>
        <v>0.9934224019</v>
      </c>
      <c r="Z36" s="273">
        <f>IFERROR(__xludf.DUMMYFUNCTION("""COMPUTED_VALUE"""),0.40232427059318576)</f>
        <v>0.4023242706</v>
      </c>
      <c r="AA36" s="273">
        <f>IFERROR(__xludf.DUMMYFUNCTION("""COMPUTED_VALUE"""),1.730922567156758)</f>
        <v>1.730922567</v>
      </c>
      <c r="AB36" s="273">
        <f>IFERROR(__xludf.DUMMYFUNCTION("""COMPUTED_VALUE"""),-0.20213611564564307)</f>
        <v>-0.2021361156</v>
      </c>
      <c r="AC36" s="273">
        <f>IFERROR(__xludf.DUMMYFUNCTION("""COMPUTED_VALUE"""),-1.1111067788426296)</f>
        <v>-1.111106779</v>
      </c>
      <c r="AD36" s="273">
        <f>IFERROR(__xludf.DUMMYFUNCTION("""COMPUTED_VALUE"""),0.5374725442586427)</f>
        <v>0.5374725443</v>
      </c>
      <c r="AE36" s="273">
        <f>IFERROR(__xludf.DUMMYFUNCTION("""COMPUTED_VALUE"""),0.35661493195132526)</f>
        <v>0.356614932</v>
      </c>
      <c r="AF36" s="273">
        <f>IFERROR(__xludf.DUMMYFUNCTION("""COMPUTED_VALUE"""),1.1417765633009507)</f>
        <v>1.141776563</v>
      </c>
      <c r="AG36" s="277">
        <f>IFERROR(__xludf.DUMMYFUNCTION("""COMPUTED_VALUE"""),0.0)</f>
        <v>0</v>
      </c>
      <c r="AH36" s="290"/>
      <c r="AI36" s="23"/>
      <c r="AJ36" s="324"/>
      <c r="AK36" s="324"/>
      <c r="AL36" s="324"/>
      <c r="AM36" s="324"/>
      <c r="AN36" s="324"/>
      <c r="AO36" s="324"/>
      <c r="AP36" s="324"/>
      <c r="AQ36" s="324"/>
      <c r="AR36" s="324"/>
      <c r="AS36" s="324"/>
      <c r="AT36" s="324"/>
      <c r="AU36" s="324"/>
      <c r="AV36" s="324"/>
      <c r="AW36" s="324"/>
      <c r="AX36" s="324"/>
      <c r="AY36" s="286" t="s">
        <v>1328</v>
      </c>
      <c r="AZ36" s="333" t="str">
        <f t="shared" ref="AZ36:BE36" si="5">IFERROR(AVERAGE(SUMPRODUCT(AZ$22:AZ$35,$AJ$22:$AJ$35/100))/(SUM(OFFSET($AJ$22,0,0,COUNT($AZ$22:$AZ$35)))/100),"")</f>
        <v/>
      </c>
      <c r="BA36" s="333" t="str">
        <f t="shared" si="5"/>
        <v/>
      </c>
      <c r="BB36" s="333" t="str">
        <f t="shared" si="5"/>
        <v/>
      </c>
      <c r="BC36" s="333" t="str">
        <f t="shared" si="5"/>
        <v/>
      </c>
      <c r="BD36" s="333" t="str">
        <f t="shared" si="5"/>
        <v/>
      </c>
      <c r="BE36" s="333" t="str">
        <f t="shared" si="5"/>
        <v/>
      </c>
      <c r="BF36" s="333" t="str">
        <f t="array" ref="BF36">IFERROR(100*SUMPRODUCT(IFERROR(VLOOKUP(AX22:AX35,UpdateHashtag!$C:$S,6,False),"")*AJ22:AJ35/100)/SUMPRODUCT(IFERROR(VLOOKUP(AX22:AX35,UpdateHashtag!$C:$S,17,False),"")*AJ22:AJ35/100),"")</f>
        <v/>
      </c>
      <c r="BG36" s="333" t="str">
        <f t="array" ref="BG36">IFERROR(100*SUMPRODUCT(IFERROR(VLOOKUP(AX22:AX35,UpdateHashtag!$C:$T,8,False),"")*AJ22:AJ35/100)/SUMPRODUCT(IFERROR(VLOOKUP(AX22:AX35,UpdateHashtag!$C:$T,18,False),"")*AJ22:AJ35/100),"")</f>
        <v/>
      </c>
      <c r="BH36" s="333" t="str">
        <f>AVERAGE(SUMPRODUCT(BG22:BG35,$B22:$B35/100))/(SUM(OFFSET($B22,0,0,COUNT(BG22:BG35)))/100)</f>
        <v>#VALUE!</v>
      </c>
      <c r="BI36" s="334"/>
      <c r="BJ36" s="324"/>
      <c r="BK36" s="265"/>
      <c r="BL36" s="265"/>
      <c r="BM36" s="265"/>
      <c r="BN36" s="265"/>
      <c r="BO36" s="265"/>
      <c r="BP36" s="265"/>
      <c r="BQ36" s="265"/>
      <c r="BR36" s="265"/>
      <c r="BS36" s="265"/>
      <c r="BT36" s="265"/>
      <c r="BU36" s="265"/>
      <c r="BV36" s="265"/>
    </row>
    <row r="37">
      <c r="A37" s="251">
        <f>VLOOKUP($F37,UpdateHashtag!$V$3:$Y$32,COLUMN(B$15),0)</f>
        <v>4</v>
      </c>
      <c r="B37" s="252">
        <f>VLOOKUP($F37,UpdateHashtag!$V$3:$Y$32,COLUMN(C$13),0)</f>
        <v>4</v>
      </c>
      <c r="C37" s="252">
        <f>VLOOKUP($F37,UpdateHashtag!$V$3:$Y$32,COLUMN(D$13),0)</f>
        <v>4</v>
      </c>
      <c r="D37" s="268">
        <f t="shared" si="4"/>
        <v>12</v>
      </c>
      <c r="E37" s="19"/>
      <c r="F37" s="30" t="str">
        <f>IF(VLOOKUP(J37,PasteHashtag!$C$2:$P1015,3,)="BRO","BKN",IF(VLOOKUP(J37,PasteHashtag!$C$2:$P1015,3,)="OKL","OKC",VLOOKUP(J37,PasteHashtag!$C$2:$P1015,3,)))</f>
        <v>HOU</v>
      </c>
      <c r="G37" s="269">
        <v>18.0</v>
      </c>
      <c r="H37" s="270">
        <f>IFERROR(__xludf.DUMMYFUNCTION("""COMPUTED_VALUE"""),24.0)</f>
        <v>24</v>
      </c>
      <c r="I37" s="270">
        <f>IFERROR(__xludf.DUMMYFUNCTION("""COMPUTED_VALUE"""),38.4)</f>
        <v>38.4</v>
      </c>
      <c r="J37" s="271" t="str">
        <f>IFERROR(__xludf.DUMMYFUNCTION("""COMPUTED_VALUE"""),"Fred VanVleet")</f>
        <v>Fred VanVleet</v>
      </c>
      <c r="K37" s="270">
        <f>IFERROR(__xludf.DUMMYFUNCTION("""COMPUTED_VALUE"""),78.0)</f>
        <v>78</v>
      </c>
      <c r="L37" s="272" t="str">
        <f>IFERROR(__xludf.DUMMYFUNCTION("""COMPUTED_VALUE"""),"SF,PF")</f>
        <v>SF,PF</v>
      </c>
      <c r="M37" s="273">
        <f>IFERROR(__xludf.DUMMYFUNCTION("""COMPUTED_VALUE"""),3.7303233124940434)</f>
        <v>3.730323312</v>
      </c>
      <c r="N37" s="273">
        <f>IFERROR(__xludf.DUMMYFUNCTION("""COMPUTED_VALUE"""),3.6911466646783366)</f>
        <v>3.691146665</v>
      </c>
      <c r="O37" s="274">
        <f>IFERROR(__xludf.DUMMYFUNCTION("""COMPUTED_VALUE"""),-0.03917664781570673)</f>
        <v>-0.03917664782</v>
      </c>
      <c r="P37" s="275">
        <f>IFERROR(__xludf.DUMMYFUNCTION("""COMPUTED_VALUE"""),17.75273973)</f>
        <v>17.75273973</v>
      </c>
      <c r="Q37" s="275">
        <f>IFERROR(__xludf.DUMMYFUNCTION("""COMPUTED_VALUE"""),3.176027397)</f>
        <v>3.176027397</v>
      </c>
      <c r="R37" s="275">
        <f>IFERROR(__xludf.DUMMYFUNCTION("""COMPUTED_VALUE"""),3.711780822)</f>
        <v>3.711780822</v>
      </c>
      <c r="S37" s="276">
        <f>IFERROR(__xludf.DUMMYFUNCTION("""COMPUTED_VALUE"""),7.347808219)</f>
        <v>7.347808219</v>
      </c>
      <c r="T37" s="275">
        <f>IFERROR(__xludf.DUMMYFUNCTION("""COMPUTED_VALUE"""),1.742191781)</f>
        <v>1.742191781</v>
      </c>
      <c r="U37" s="275">
        <f>IFERROR(__xludf.DUMMYFUNCTION("""COMPUTED_VALUE"""),0.5302739726)</f>
        <v>0.5302739726</v>
      </c>
      <c r="V37" s="272">
        <f>IFERROR(__xludf.DUMMYFUNCTION("""COMPUTED_VALUE"""),0.4186914797)</f>
        <v>0.4186914797</v>
      </c>
      <c r="W37" s="272">
        <f>IFERROR(__xludf.DUMMYFUNCTION("""COMPUTED_VALUE"""),0.8609991087)</f>
        <v>0.8609991087</v>
      </c>
      <c r="X37" s="275">
        <f>IFERROR(__xludf.DUMMYFUNCTION("""COMPUTED_VALUE"""),1.590684932)</f>
        <v>1.590684932</v>
      </c>
      <c r="Y37" s="273">
        <f>IFERROR(__xludf.DUMMYFUNCTION("""COMPUTED_VALUE"""),0.04760065870575043)</f>
        <v>0.04760065871</v>
      </c>
      <c r="Z37" s="273">
        <f>IFERROR(__xludf.DUMMYFUNCTION("""COMPUTED_VALUE"""),1.4158398439218491)</f>
        <v>1.415839844</v>
      </c>
      <c r="AA37" s="273">
        <f>IFERROR(__xludf.DUMMYFUNCTION("""COMPUTED_VALUE"""),-0.9294280213730127)</f>
        <v>-0.9294280214</v>
      </c>
      <c r="AB37" s="273">
        <f>IFERROR(__xludf.DUMMYFUNCTION("""COMPUTED_VALUE"""),1.5506441937871147)</f>
        <v>1.550644194</v>
      </c>
      <c r="AC37" s="273">
        <f>IFERROR(__xludf.DUMMYFUNCTION("""COMPUTED_VALUE"""),2.534802520176976)</f>
        <v>2.53480252</v>
      </c>
      <c r="AD37" s="273">
        <f>IFERROR(__xludf.DUMMYFUNCTION("""COMPUTED_VALUE"""),-0.38953565352050085)</f>
        <v>-0.3895356535</v>
      </c>
      <c r="AE37" s="273">
        <f>IFERROR(__xludf.DUMMYFUNCTION("""COMPUTED_VALUE"""),-1.2873365613008023)</f>
        <v>-1.287336561</v>
      </c>
      <c r="AF37" s="273">
        <f>IFERROR(__xludf.DUMMYFUNCTION("""COMPUTED_VALUE"""),0.7485596842809622)</f>
        <v>0.7485596843</v>
      </c>
      <c r="AG37" s="277">
        <f>IFERROR(__xludf.DUMMYFUNCTION("""COMPUTED_VALUE"""),0.0)</f>
        <v>0</v>
      </c>
      <c r="AH37" s="290"/>
      <c r="AI37" s="23"/>
      <c r="AJ37" s="324"/>
      <c r="AK37" s="324"/>
      <c r="AL37" s="324"/>
      <c r="AM37" s="324"/>
      <c r="AN37" s="324"/>
      <c r="AO37" s="324"/>
      <c r="AP37" s="324"/>
      <c r="AQ37" s="324"/>
      <c r="AR37" s="324"/>
      <c r="AS37" s="324"/>
      <c r="AT37" s="324"/>
      <c r="AU37" s="324"/>
      <c r="AV37" s="324"/>
      <c r="AW37" s="324"/>
      <c r="AX37" s="324"/>
      <c r="AY37" s="286" t="s">
        <v>1329</v>
      </c>
      <c r="AZ37" s="335" t="str">
        <f>IFERROR((SUM(OFFSET(AJ22,0,0,COUNT(AZ22:AZ35)))/100)*(AZ36-'Final Update'!$B$1)/'Final Update'!$B$2,"")</f>
        <v/>
      </c>
      <c r="BA37" s="335" t="str">
        <f>IFERROR((SUM(OFFSET(AJ22,0,0,COUNT(AZ22:AZ35)))/100)*(BA36-'Final Update'!$C$1)/'Final Update'!$C$2,"")</f>
        <v/>
      </c>
      <c r="BB37" s="335" t="str">
        <f>IFERROR((SUM(OFFSET(AJ22,0,0,COUNT(AZ22:AZ35)))/100)*(BB36-'Final Update'!$D$1)/'Final Update'!$D$2,"")</f>
        <v/>
      </c>
      <c r="BC37" s="335" t="str">
        <f>IFERROR((SUM(OFFSET(AJ22,0,0,COUNT(AZ22:AZ35)))/100)*(BC36-'Final Update'!$E$1)/'Final Update'!$E$2,"")</f>
        <v/>
      </c>
      <c r="BD37" s="335" t="str">
        <f>IFERROR((SUM(OFFSET(AJ22,0,0,COUNT(AZ22:AZ35)))/100)*(BD36-'Final Update'!$F$1)/'Final Update'!$F$2,"")</f>
        <v/>
      </c>
      <c r="BE37" s="335" t="str">
        <f>IFERROR((SUM(OFFSET(AJ22,0,0,COUNT(AZ22:AZ35)))/100)*(BE36-'Final Update'!$G$1)/'Final Update'!$G$2,"")</f>
        <v/>
      </c>
      <c r="BF37" s="335">
        <f t="array" ref="BF37">SUMPRODUCT(IFERROR(VLOOKUP(AX22:AX35,'Final Update'!$A$4:$L$403,8,False)*AJ22:AJ35/100,""))</f>
        <v>0</v>
      </c>
      <c r="BG37" s="335">
        <f t="array" ref="BG37">SUMPRODUCT(IFERROR(VLOOKUP(AX22:AX35,'Final Update'!$A$4:$L$403,10,False)*AJ22:AJ35/100,""))</f>
        <v>0</v>
      </c>
      <c r="BH37" s="335" t="str">
        <f>-(SUM(OFFSET(AJ22,0,0,COUNT(AZ22:AZ35)))/100)*(BH36-'Final Update'!$L$1)/'Final Update'!$L$2</f>
        <v>#VALUE!</v>
      </c>
      <c r="BI37" s="334"/>
      <c r="BJ37" s="324"/>
      <c r="BK37" s="265"/>
      <c r="BL37" s="265"/>
      <c r="BM37" s="265"/>
      <c r="BN37" s="265"/>
      <c r="BO37" s="265"/>
      <c r="BP37" s="265"/>
      <c r="BQ37" s="265"/>
      <c r="BR37" s="265"/>
      <c r="BS37" s="265"/>
      <c r="BT37" s="265"/>
      <c r="BU37" s="265"/>
      <c r="BV37" s="265"/>
    </row>
    <row r="38">
      <c r="A38" s="251">
        <f>VLOOKUP($F38,UpdateHashtag!$V$3:$Y$32,COLUMN(B$15),0)</f>
        <v>3</v>
      </c>
      <c r="B38" s="252">
        <f>VLOOKUP($F38,UpdateHashtag!$V$3:$Y$32,COLUMN(C$13),0)</f>
        <v>3</v>
      </c>
      <c r="C38" s="252">
        <f>VLOOKUP($F38,UpdateHashtag!$V$3:$Y$32,COLUMN(D$13),0)</f>
        <v>4</v>
      </c>
      <c r="D38" s="268">
        <f t="shared" si="4"/>
        <v>10</v>
      </c>
      <c r="E38" s="19"/>
      <c r="F38" s="30" t="str">
        <f>IF(VLOOKUP(J38,PasteHashtag!$C$2:$P1015,3,)="BRO","BKN",IF(VLOOKUP(J38,PasteHashtag!$C$2:$P1015,3,)="OKL","OKC",VLOOKUP(J38,PasteHashtag!$C$2:$P1015,3,)))</f>
        <v>NY</v>
      </c>
      <c r="G38" s="269">
        <v>19.0</v>
      </c>
      <c r="H38" s="270">
        <f>IFERROR(__xludf.DUMMYFUNCTION("""COMPUTED_VALUE"""),20.0)</f>
        <v>20</v>
      </c>
      <c r="I38" s="270">
        <f>IFERROR(__xludf.DUMMYFUNCTION("""COMPUTED_VALUE"""),19.1)</f>
        <v>19.1</v>
      </c>
      <c r="J38" s="271" t="str">
        <f>IFERROR(__xludf.DUMMYFUNCTION("""COMPUTED_VALUE"""),"Jalen Brunson")</f>
        <v>Jalen Brunson</v>
      </c>
      <c r="K38" s="270">
        <f>IFERROR(__xludf.DUMMYFUNCTION("""COMPUTED_VALUE"""),55.0)</f>
        <v>55</v>
      </c>
      <c r="L38" s="272" t="str">
        <f>IFERROR(__xludf.DUMMYFUNCTION("""COMPUTED_VALUE"""),"C")</f>
        <v>C</v>
      </c>
      <c r="M38" s="273">
        <f>IFERROR(__xludf.DUMMYFUNCTION("""COMPUTED_VALUE"""),3.474301773061553)</f>
        <v>3.474301773</v>
      </c>
      <c r="N38" s="273">
        <f>IFERROR(__xludf.DUMMYFUNCTION("""COMPUTED_VALUE"""),3.6823938865748813)</f>
        <v>3.682393887</v>
      </c>
      <c r="O38" s="274">
        <f>IFERROR(__xludf.DUMMYFUNCTION("""COMPUTED_VALUE"""),0.20809211351332824)</f>
        <v>0.2080921135</v>
      </c>
      <c r="P38" s="275">
        <f>IFERROR(__xludf.DUMMYFUNCTION("""COMPUTED_VALUE"""),29.39794521)</f>
        <v>29.39794521</v>
      </c>
      <c r="Q38" s="275">
        <f>IFERROR(__xludf.DUMMYFUNCTION("""COMPUTED_VALUE"""),2.575890411)</f>
        <v>2.575890411</v>
      </c>
      <c r="R38" s="275">
        <f>IFERROR(__xludf.DUMMYFUNCTION("""COMPUTED_VALUE"""),3.527945205)</f>
        <v>3.527945205</v>
      </c>
      <c r="S38" s="276">
        <f>IFERROR(__xludf.DUMMYFUNCTION("""COMPUTED_VALUE"""),7.703972603)</f>
        <v>7.703972603</v>
      </c>
      <c r="T38" s="275">
        <f>IFERROR(__xludf.DUMMYFUNCTION("""COMPUTED_VALUE"""),0.9384931507)</f>
        <v>0.9384931507</v>
      </c>
      <c r="U38" s="275">
        <f>IFERROR(__xludf.DUMMYFUNCTION("""COMPUTED_VALUE"""),0.1436986301)</f>
        <v>0.1436986301</v>
      </c>
      <c r="V38" s="272">
        <f>IFERROR(__xludf.DUMMYFUNCTION("""COMPUTED_VALUE"""),0.4834350148)</f>
        <v>0.4834350148</v>
      </c>
      <c r="W38" s="272">
        <f>IFERROR(__xludf.DUMMYFUNCTION("""COMPUTED_VALUE"""),0.8589916366)</f>
        <v>0.8589916366</v>
      </c>
      <c r="X38" s="275">
        <f>IFERROR(__xludf.DUMMYFUNCTION("""COMPUTED_VALUE"""),2.587808219)</f>
        <v>2.587808219</v>
      </c>
      <c r="Y38" s="273">
        <f>IFERROR(__xludf.DUMMYFUNCTION("""COMPUTED_VALUE"""),2.1467146107867685)</f>
        <v>2.146714611</v>
      </c>
      <c r="Z38" s="273">
        <f>IFERROR(__xludf.DUMMYFUNCTION("""COMPUTED_VALUE"""),0.8205468401753206)</f>
        <v>0.8205468402</v>
      </c>
      <c r="AA38" s="273">
        <f>IFERROR(__xludf.DUMMYFUNCTION("""COMPUTED_VALUE"""),-1.0014744858513116)</f>
        <v>-1.001474486</v>
      </c>
      <c r="AB38" s="273">
        <f>IFERROR(__xludf.DUMMYFUNCTION("""COMPUTED_VALUE"""),1.7123921206504085)</f>
        <v>1.712392121</v>
      </c>
      <c r="AC38" s="273">
        <f>IFERROR(__xludf.DUMMYFUNCTION("""COMPUTED_VALUE"""),-0.12408441135384177)</f>
        <v>-0.1240844114</v>
      </c>
      <c r="AD38" s="273">
        <f>IFERROR(__xludf.DUMMYFUNCTION("""COMPUTED_VALUE"""),-1.079049921931335)</f>
        <v>-1.079049922</v>
      </c>
      <c r="AE38" s="273">
        <f>IFERROR(__xludf.DUMMYFUNCTION("""COMPUTED_VALUE"""),-0.347012330112926)</f>
        <v>-0.3470123301</v>
      </c>
      <c r="AF38" s="273">
        <f>IFERROR(__xludf.DUMMYFUNCTION("""COMPUTED_VALUE"""),1.554361464211798)</f>
        <v>1.554361464</v>
      </c>
      <c r="AG38" s="277">
        <f>IFERROR(__xludf.DUMMYFUNCTION("""COMPUTED_VALUE"""),0.0)</f>
        <v>0</v>
      </c>
      <c r="AH38" s="290"/>
      <c r="AI38" s="23"/>
      <c r="AJ38" s="4"/>
      <c r="AK38" s="23"/>
      <c r="AL38" s="265"/>
      <c r="AM38" s="265"/>
      <c r="AN38" s="265"/>
      <c r="AO38" s="265"/>
      <c r="AP38" s="265"/>
      <c r="AQ38" s="265"/>
      <c r="AR38" s="265"/>
      <c r="AS38" s="265"/>
      <c r="AT38" s="265"/>
      <c r="AU38" s="265"/>
      <c r="AV38" s="265"/>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row>
    <row r="39">
      <c r="A39" s="251">
        <f>VLOOKUP($F39,UpdateHashtag!$V$3:$Y$32,COLUMN(B$15),0)</f>
        <v>4</v>
      </c>
      <c r="B39" s="252">
        <f>VLOOKUP($F39,UpdateHashtag!$V$3:$Y$32,COLUMN(C$13),0)</f>
        <v>4</v>
      </c>
      <c r="C39" s="252">
        <f>VLOOKUP($F39,UpdateHashtag!$V$3:$Y$32,COLUMN(D$13),0)</f>
        <v>4</v>
      </c>
      <c r="D39" s="268">
        <f t="shared" si="4"/>
        <v>12</v>
      </c>
      <c r="E39" s="19"/>
      <c r="F39" s="30" t="str">
        <f>IF(VLOOKUP(J39,PasteHashtag!$C$2:$P1015,3,)="BRO","BKN",IF(VLOOKUP(J39,PasteHashtag!$C$2:$P1015,3,)="OKL","OKC",VLOOKUP(J39,PasteHashtag!$C$2:$P1015,3,)))</f>
        <v>LAC</v>
      </c>
      <c r="G39" s="269">
        <v>20.0</v>
      </c>
      <c r="H39" s="270">
        <f>IFERROR(__xludf.DUMMYFUNCTION("""COMPUTED_VALUE"""),18.0)</f>
        <v>18</v>
      </c>
      <c r="I39" s="270">
        <f>IFERROR(__xludf.DUMMYFUNCTION("""COMPUTED_VALUE"""),49.1)</f>
        <v>49.1</v>
      </c>
      <c r="J39" s="271" t="str">
        <f>IFERROR(__xludf.DUMMYFUNCTION("""COMPUTED_VALUE"""),"Kawhi Leonard")</f>
        <v>Kawhi Leonard</v>
      </c>
      <c r="K39" s="270">
        <f>IFERROR(__xludf.DUMMYFUNCTION("""COMPUTED_VALUE"""),60.0)</f>
        <v>60</v>
      </c>
      <c r="L39" s="272" t="str">
        <f>IFERROR(__xludf.DUMMYFUNCTION("""COMPUTED_VALUE"""),"SG,SF,PF")</f>
        <v>SG,SF,PF</v>
      </c>
      <c r="M39" s="273">
        <f>IFERROR(__xludf.DUMMYFUNCTION("""COMPUTED_VALUE"""),3.6743426861757884)</f>
        <v>3.674342686</v>
      </c>
      <c r="N39" s="273">
        <f>IFERROR(__xludf.DUMMYFUNCTION("""COMPUTED_VALUE"""),3.6801773227569505)</f>
        <v>3.680177323</v>
      </c>
      <c r="O39" s="274">
        <f>IFERROR(__xludf.DUMMYFUNCTION("""COMPUTED_VALUE"""),0.005834636581162123)</f>
        <v>0.005834636581</v>
      </c>
      <c r="P39" s="275">
        <f>IFERROR(__xludf.DUMMYFUNCTION("""COMPUTED_VALUE"""),22.2904878)</f>
        <v>22.2904878</v>
      </c>
      <c r="Q39" s="275">
        <f>IFERROR(__xludf.DUMMYFUNCTION("""COMPUTED_VALUE"""),1.713414634)</f>
        <v>1.713414634</v>
      </c>
      <c r="R39" s="275">
        <f>IFERROR(__xludf.DUMMYFUNCTION("""COMPUTED_VALUE"""),6.265853659)</f>
        <v>6.265853659</v>
      </c>
      <c r="S39" s="276">
        <f>IFERROR(__xludf.DUMMYFUNCTION("""COMPUTED_VALUE"""),3.797560976)</f>
        <v>3.797560976</v>
      </c>
      <c r="T39" s="275">
        <f>IFERROR(__xludf.DUMMYFUNCTION("""COMPUTED_VALUE"""),1.390243902)</f>
        <v>1.390243902</v>
      </c>
      <c r="U39" s="275">
        <f>IFERROR(__xludf.DUMMYFUNCTION("""COMPUTED_VALUE"""),0.6329268293)</f>
        <v>0.6329268293</v>
      </c>
      <c r="V39" s="272">
        <f>IFERROR(__xludf.DUMMYFUNCTION("""COMPUTED_VALUE"""),0.5124108633)</f>
        <v>0.5124108633</v>
      </c>
      <c r="W39" s="272">
        <f>IFERROR(__xludf.DUMMYFUNCTION("""COMPUTED_VALUE"""),0.8799832583)</f>
        <v>0.8799832583</v>
      </c>
      <c r="X39" s="275">
        <f>IFERROR(__xludf.DUMMYFUNCTION("""COMPUTED_VALUE"""),1.772195122)</f>
        <v>1.772195122</v>
      </c>
      <c r="Y39" s="273">
        <f>IFERROR(__xludf.DUMMYFUNCTION("""COMPUTED_VALUE"""),0.8655553355145719)</f>
        <v>0.8655553355</v>
      </c>
      <c r="Z39" s="273">
        <f>IFERROR(__xludf.DUMMYFUNCTION("""COMPUTED_VALUE"""),-0.03496749726121787)</f>
        <v>-0.03496749726</v>
      </c>
      <c r="AA39" s="273">
        <f>IFERROR(__xludf.DUMMYFUNCTION("""COMPUTED_VALUE"""),0.07153099260254513)</f>
        <v>0.0715309926</v>
      </c>
      <c r="AB39" s="273">
        <f>IFERROR(__xludf.DUMMYFUNCTION("""COMPUTED_VALUE"""),-0.061659442410751567)</f>
        <v>-0.06165944241</v>
      </c>
      <c r="AC39" s="273">
        <f>IFERROR(__xludf.DUMMYFUNCTION("""COMPUTED_VALUE"""),1.3704486432719183)</f>
        <v>1.370448643</v>
      </c>
      <c r="AD39" s="273">
        <f>IFERROR(__xludf.DUMMYFUNCTION("""COMPUTED_VALUE"""),-0.20643910905379656)</f>
        <v>-0.2064391091</v>
      </c>
      <c r="AE39" s="273">
        <f>IFERROR(__xludf.DUMMYFUNCTION("""COMPUTED_VALUE"""),0.28354819439449463)</f>
        <v>0.2835481944</v>
      </c>
      <c r="AF39" s="273">
        <f>IFERROR(__xludf.DUMMYFUNCTION("""COMPUTED_VALUE"""),1.3921602056991869)</f>
        <v>1.392160206</v>
      </c>
      <c r="AG39" s="277">
        <f>IFERROR(__xludf.DUMMYFUNCTION("""COMPUTED_VALUE"""),0.0)</f>
        <v>0</v>
      </c>
      <c r="AH39" s="290"/>
      <c r="AI39" s="336"/>
      <c r="AJ39" s="337"/>
      <c r="AK39" s="265"/>
      <c r="AL39" s="265"/>
      <c r="AM39" s="265"/>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5"/>
      <c r="BL39" s="265"/>
      <c r="BM39" s="265"/>
      <c r="BN39" s="265"/>
      <c r="BO39" s="265"/>
      <c r="BP39" s="265"/>
      <c r="BQ39" s="265"/>
      <c r="BR39" s="265"/>
      <c r="BS39" s="265"/>
      <c r="BT39" s="265"/>
      <c r="BU39" s="265"/>
      <c r="BV39" s="265"/>
    </row>
    <row r="40">
      <c r="A40" s="251">
        <f>VLOOKUP($F40,UpdateHashtag!$V$3:$Y$32,COLUMN(B$15),0)</f>
        <v>3</v>
      </c>
      <c r="B40" s="252">
        <f>VLOOKUP($F40,UpdateHashtag!$V$3:$Y$32,COLUMN(C$13),0)</f>
        <v>4</v>
      </c>
      <c r="C40" s="252">
        <f>VLOOKUP($F40,UpdateHashtag!$V$3:$Y$32,COLUMN(D$13),0)</f>
        <v>3</v>
      </c>
      <c r="D40" s="268">
        <f t="shared" si="4"/>
        <v>10</v>
      </c>
      <c r="E40" s="19"/>
      <c r="F40" s="30" t="str">
        <f>IF(VLOOKUP(J40,PasteHashtag!$C$2:$P1015,3,)="BRO","BKN",IF(VLOOKUP(J40,PasteHashtag!$C$2:$P1015,3,)="OKL","OKC",VLOOKUP(J40,PasteHashtag!$C$2:$P1015,3,)))</f>
        <v>PHO</v>
      </c>
      <c r="G40" s="269">
        <v>21.0</v>
      </c>
      <c r="H40" s="270">
        <f>IFERROR(__xludf.DUMMYFUNCTION("""COMPUTED_VALUE"""),21.0)</f>
        <v>21</v>
      </c>
      <c r="I40" s="270">
        <f>IFERROR(__xludf.DUMMYFUNCTION("""COMPUTED_VALUE"""),20.0)</f>
        <v>20</v>
      </c>
      <c r="J40" s="271" t="str">
        <f>IFERROR(__xludf.DUMMYFUNCTION("""COMPUTED_VALUE"""),"Devin Booker")</f>
        <v>Devin Booker</v>
      </c>
      <c r="K40" s="270">
        <f>IFERROR(__xludf.DUMMYFUNCTION("""COMPUTED_VALUE"""),78.0)</f>
        <v>78</v>
      </c>
      <c r="L40" s="272" t="str">
        <f>IFERROR(__xludf.DUMMYFUNCTION("""COMPUTED_VALUE"""),"PF,C")</f>
        <v>PF,C</v>
      </c>
      <c r="M40" s="273">
        <f>IFERROR(__xludf.DUMMYFUNCTION("""COMPUTED_VALUE"""),3.4023707844651803)</f>
        <v>3.402370784</v>
      </c>
      <c r="N40" s="273">
        <f>IFERROR(__xludf.DUMMYFUNCTION("""COMPUTED_VALUE"""),3.5860043860535904)</f>
        <v>3.586004386</v>
      </c>
      <c r="O40" s="274">
        <f>IFERROR(__xludf.DUMMYFUNCTION("""COMPUTED_VALUE"""),0.18363360158841013)</f>
        <v>0.1836336016</v>
      </c>
      <c r="P40" s="275">
        <f>IFERROR(__xludf.DUMMYFUNCTION("""COMPUTED_VALUE"""),26.43630137)</f>
        <v>26.43630137</v>
      </c>
      <c r="Q40" s="275">
        <f>IFERROR(__xludf.DUMMYFUNCTION("""COMPUTED_VALUE"""),2.919589041)</f>
        <v>2.919589041</v>
      </c>
      <c r="R40" s="275">
        <f>IFERROR(__xludf.DUMMYFUNCTION("""COMPUTED_VALUE"""),4.15630137)</f>
        <v>4.15630137</v>
      </c>
      <c r="S40" s="276">
        <f>IFERROR(__xludf.DUMMYFUNCTION("""COMPUTED_VALUE"""),5.90630137)</f>
        <v>5.90630137</v>
      </c>
      <c r="T40" s="275">
        <f>IFERROR(__xludf.DUMMYFUNCTION("""COMPUTED_VALUE"""),0.9415068493)</f>
        <v>0.9415068493</v>
      </c>
      <c r="U40" s="275">
        <f>IFERROR(__xludf.DUMMYFUNCTION("""COMPUTED_VALUE"""),0.3663013699)</f>
        <v>0.3663013699</v>
      </c>
      <c r="V40" s="272">
        <f>IFERROR(__xludf.DUMMYFUNCTION("""COMPUTED_VALUE"""),0.4664797607)</f>
        <v>0.4664797607</v>
      </c>
      <c r="W40" s="272">
        <f>IFERROR(__xludf.DUMMYFUNCTION("""COMPUTED_VALUE"""),0.8880078459)</f>
        <v>0.8880078459</v>
      </c>
      <c r="X40" s="275">
        <f>IFERROR(__xludf.DUMMYFUNCTION("""COMPUTED_VALUE"""),2.489178082)</f>
        <v>2.489178082</v>
      </c>
      <c r="Y40" s="273">
        <f>IFERROR(__xludf.DUMMYFUNCTION("""COMPUTED_VALUE"""),1.6128616086808063)</f>
        <v>1.612861609</v>
      </c>
      <c r="Z40" s="273">
        <f>IFERROR(__xludf.DUMMYFUNCTION("""COMPUTED_VALUE"""),1.1614713201010867)</f>
        <v>1.16147132</v>
      </c>
      <c r="AA40" s="273">
        <f>IFERROR(__xludf.DUMMYFUNCTION("""COMPUTED_VALUE"""),-0.7552173085960869)</f>
        <v>-0.7552173086</v>
      </c>
      <c r="AB40" s="273">
        <f>IFERROR(__xludf.DUMMYFUNCTION("""COMPUTED_VALUE"""),0.8960005661272853)</f>
        <v>0.8960005661</v>
      </c>
      <c r="AC40" s="273">
        <f>IFERROR(__xludf.DUMMYFUNCTION("""COMPUTED_VALUE"""),-0.11411415195434317)</f>
        <v>-0.114114152</v>
      </c>
      <c r="AD40" s="273">
        <f>IFERROR(__xludf.DUMMYFUNCTION("""COMPUTED_VALUE"""),-0.6820050295001931)</f>
        <v>-0.6820050295</v>
      </c>
      <c r="AE40" s="273">
        <f>IFERROR(__xludf.DUMMYFUNCTION("""COMPUTED_VALUE"""),-0.6784506294748801)</f>
        <v>-0.6784506295</v>
      </c>
      <c r="AF40" s="273">
        <f>IFERROR(__xludf.DUMMYFUNCTION("""COMPUTED_VALUE"""),2.1454580106699153)</f>
        <v>2.145458011</v>
      </c>
      <c r="AG40" s="277">
        <f>IFERROR(__xludf.DUMMYFUNCTION("""COMPUTED_VALUE"""),0.0)</f>
        <v>0</v>
      </c>
      <c r="AH40" s="265"/>
      <c r="AI40" s="338"/>
      <c r="AJ40" s="339"/>
      <c r="AK40" s="265"/>
      <c r="AL40" s="265"/>
      <c r="AM40" s="265"/>
      <c r="AN40" s="265"/>
      <c r="AO40" s="265"/>
      <c r="AP40" s="265"/>
      <c r="AQ40" s="265"/>
      <c r="AR40" s="265"/>
      <c r="AS40" s="265"/>
      <c r="AT40" s="265"/>
      <c r="AU40" s="265"/>
      <c r="AV40" s="265"/>
      <c r="AW40" s="265"/>
      <c r="AX40" s="265"/>
      <c r="AY40" s="265"/>
      <c r="AZ40" s="265"/>
      <c r="BA40" s="265"/>
      <c r="BB40" s="265"/>
      <c r="BC40" s="265"/>
      <c r="BD40" s="265"/>
      <c r="BE40" s="265"/>
      <c r="BF40" s="265"/>
      <c r="BG40" s="265"/>
      <c r="BH40" s="265"/>
      <c r="BI40" s="265"/>
      <c r="BJ40" s="265"/>
      <c r="BK40" s="265"/>
      <c r="BL40" s="265"/>
      <c r="BM40" s="265"/>
      <c r="BN40" s="265"/>
      <c r="BO40" s="265"/>
      <c r="BP40" s="265"/>
      <c r="BQ40" s="265"/>
      <c r="BR40" s="265"/>
      <c r="BS40" s="265"/>
      <c r="BT40" s="265"/>
      <c r="BU40" s="265"/>
      <c r="BV40" s="265"/>
    </row>
    <row r="41">
      <c r="A41" s="251">
        <f>VLOOKUP($F41,UpdateHashtag!$V$3:$Y$32,COLUMN(B$15),0)</f>
        <v>3</v>
      </c>
      <c r="B41" s="252">
        <f>VLOOKUP($F41,UpdateHashtag!$V$3:$Y$32,COLUMN(C$13),0)</f>
        <v>4</v>
      </c>
      <c r="C41" s="252">
        <f>VLOOKUP($F41,UpdateHashtag!$V$3:$Y$32,COLUMN(D$13),0)</f>
        <v>3</v>
      </c>
      <c r="D41" s="268">
        <f t="shared" si="4"/>
        <v>10</v>
      </c>
      <c r="E41" s="19"/>
      <c r="F41" s="30" t="str">
        <f>IF(VLOOKUP(J41,PasteHashtag!$C$2:$P1015,3,)="BRO","BKN",IF(VLOOKUP(J41,PasteHashtag!$C$2:$P1015,3,)="OKL","OKC",VLOOKUP(J41,PasteHashtag!$C$2:$P1015,3,)))</f>
        <v>TOR</v>
      </c>
      <c r="G41" s="269">
        <v>22.0</v>
      </c>
      <c r="H41" s="270">
        <f>IFERROR(__xludf.DUMMYFUNCTION("""COMPUTED_VALUE"""),23.0)</f>
        <v>23</v>
      </c>
      <c r="I41" s="270">
        <f>IFERROR(__xludf.DUMMYFUNCTION("""COMPUTED_VALUE"""),19.0)</f>
        <v>19</v>
      </c>
      <c r="J41" s="271" t="str">
        <f>IFERROR(__xludf.DUMMYFUNCTION("""COMPUTED_VALUE"""),"Scottie Barnes")</f>
        <v>Scottie Barnes</v>
      </c>
      <c r="K41" s="270">
        <f>IFERROR(__xludf.DUMMYFUNCTION("""COMPUTED_VALUE"""),68.0)</f>
        <v>68</v>
      </c>
      <c r="L41" s="272" t="str">
        <f>IFERROR(__xludf.DUMMYFUNCTION("""COMPUTED_VALUE"""),"SF,PF")</f>
        <v>SF,PF</v>
      </c>
      <c r="M41" s="273">
        <f>IFERROR(__xludf.DUMMYFUNCTION("""COMPUTED_VALUE"""),2.9758235571961023)</f>
        <v>2.975823557</v>
      </c>
      <c r="N41" s="273">
        <f>IFERROR(__xludf.DUMMYFUNCTION("""COMPUTED_VALUE"""),3.3457569846009347)</f>
        <v>3.345756985</v>
      </c>
      <c r="O41" s="274">
        <f>IFERROR(__xludf.DUMMYFUNCTION("""COMPUTED_VALUE"""),0.3699334274048325)</f>
        <v>0.3699334274</v>
      </c>
      <c r="P41" s="275">
        <f>IFERROR(__xludf.DUMMYFUNCTION("""COMPUTED_VALUE"""),20.39897059)</f>
        <v>20.39897059</v>
      </c>
      <c r="Q41" s="275">
        <f>IFERROR(__xludf.DUMMYFUNCTION("""COMPUTED_VALUE"""),1.265735294)</f>
        <v>1.265735294</v>
      </c>
      <c r="R41" s="275">
        <f>IFERROR(__xludf.DUMMYFUNCTION("""COMPUTED_VALUE"""),7.585588235)</f>
        <v>7.585588235</v>
      </c>
      <c r="S41" s="276">
        <f>IFERROR(__xludf.DUMMYFUNCTION("""COMPUTED_VALUE"""),6.554411765)</f>
        <v>6.554411765</v>
      </c>
      <c r="T41" s="275">
        <f>IFERROR(__xludf.DUMMYFUNCTION("""COMPUTED_VALUE"""),1.180441176)</f>
        <v>1.180441176</v>
      </c>
      <c r="U41" s="275">
        <f>IFERROR(__xludf.DUMMYFUNCTION("""COMPUTED_VALUE"""),1.325588235)</f>
        <v>1.325588235</v>
      </c>
      <c r="V41" s="272">
        <f>IFERROR(__xludf.DUMMYFUNCTION("""COMPUTED_VALUE"""),0.4873241251)</f>
        <v>0.4873241251</v>
      </c>
      <c r="W41" s="272">
        <f>IFERROR(__xludf.DUMMYFUNCTION("""COMPUTED_VALUE"""),0.7949914552)</f>
        <v>0.7949914552</v>
      </c>
      <c r="X41" s="275">
        <f>IFERROR(__xludf.DUMMYFUNCTION("""COMPUTED_VALUE"""),3.240441176)</f>
        <v>3.240441176</v>
      </c>
      <c r="Y41" s="273">
        <f>IFERROR(__xludf.DUMMYFUNCTION("""COMPUTED_VALUE"""),0.5245986926342472)</f>
        <v>0.5245986926</v>
      </c>
      <c r="Z41" s="273">
        <f>IFERROR(__xludf.DUMMYFUNCTION("""COMPUTED_VALUE"""),-0.47903341094557045)</f>
        <v>-0.4790334109</v>
      </c>
      <c r="AA41" s="273">
        <f>IFERROR(__xludf.DUMMYFUNCTION("""COMPUTED_VALUE"""),0.5887442062452894)</f>
        <v>0.5887442062</v>
      </c>
      <c r="AB41" s="273">
        <f>IFERROR(__xludf.DUMMYFUNCTION("""COMPUTED_VALUE"""),1.190332390080239)</f>
        <v>1.19033239</v>
      </c>
      <c r="AC41" s="273">
        <f>IFERROR(__xludf.DUMMYFUNCTION("""COMPUTED_VALUE"""),0.6763554778366198)</f>
        <v>0.6763554778</v>
      </c>
      <c r="AD41" s="273">
        <f>IFERROR(__xludf.DUMMYFUNCTION("""COMPUTED_VALUE"""),1.0290248998997888)</f>
        <v>1.0290249</v>
      </c>
      <c r="AE41" s="273">
        <f>IFERROR(__xludf.DUMMYFUNCTION("""COMPUTED_VALUE"""),-0.18444534601068677)</f>
        <v>-0.184445346</v>
      </c>
      <c r="AF41" s="273">
        <f>IFERROR(__xludf.DUMMYFUNCTION("""COMPUTED_VALUE"""),1.80074861008132E-4)</f>
        <v>0.000180074861</v>
      </c>
      <c r="AG41" s="277">
        <f>IFERROR(__xludf.DUMMYFUNCTION("""COMPUTED_VALUE"""),0.0)</f>
        <v>0</v>
      </c>
      <c r="AH41" s="265"/>
      <c r="AI41" s="338"/>
      <c r="AJ41" s="339"/>
      <c r="AK41" s="265"/>
      <c r="AL41" s="265"/>
      <c r="AM41" s="265"/>
      <c r="AN41" s="265"/>
      <c r="AO41" s="265"/>
      <c r="AP41" s="265"/>
      <c r="AQ41" s="265"/>
      <c r="AR41" s="265"/>
      <c r="AS41" s="265"/>
      <c r="AT41" s="265"/>
      <c r="AU41" s="265"/>
      <c r="AV41" s="265"/>
      <c r="AW41" s="265"/>
      <c r="AX41" s="265"/>
      <c r="AY41" s="265"/>
      <c r="AZ41" s="265"/>
      <c r="BA41" s="265"/>
      <c r="BB41" s="265"/>
      <c r="BC41" s="265"/>
      <c r="BD41" s="265"/>
      <c r="BE41" s="265"/>
      <c r="BF41" s="265"/>
      <c r="BG41" s="265"/>
      <c r="BH41" s="265"/>
      <c r="BI41" s="265"/>
      <c r="BJ41" s="265"/>
      <c r="BK41" s="265"/>
      <c r="BL41" s="265"/>
      <c r="BM41" s="265"/>
      <c r="BN41" s="265"/>
      <c r="BO41" s="265"/>
      <c r="BP41" s="265"/>
      <c r="BQ41" s="265"/>
      <c r="BR41" s="265"/>
      <c r="BS41" s="265"/>
      <c r="BT41" s="265"/>
      <c r="BU41" s="265"/>
      <c r="BV41" s="265"/>
    </row>
    <row r="42">
      <c r="A42" s="251">
        <f>VLOOKUP($F42,UpdateHashtag!$V$3:$Y$32,COLUMN(B$15),0)</f>
        <v>4</v>
      </c>
      <c r="B42" s="252">
        <f>VLOOKUP($F42,UpdateHashtag!$V$3:$Y$32,COLUMN(C$13),0)</f>
        <v>4</v>
      </c>
      <c r="C42" s="252">
        <f>VLOOKUP($F42,UpdateHashtag!$V$3:$Y$32,COLUMN(D$13),0)</f>
        <v>3</v>
      </c>
      <c r="D42" s="268">
        <f t="shared" si="4"/>
        <v>11</v>
      </c>
      <c r="E42" s="19"/>
      <c r="F42" s="30" t="str">
        <f>IF(VLOOKUP(J42,PasteHashtag!$C$2:$P1015,3,)="BRO","BKN",IF(VLOOKUP(J42,PasteHashtag!$C$2:$P1015,3,)="OKL","OKC",VLOOKUP(J42,PasteHashtag!$C$2:$P1015,3,)))</f>
        <v>MIL</v>
      </c>
      <c r="G42" s="269">
        <v>23.0</v>
      </c>
      <c r="H42" s="270">
        <f>IFERROR(__xludf.DUMMYFUNCTION("""COMPUTED_VALUE"""),28.0)</f>
        <v>28</v>
      </c>
      <c r="I42" s="270">
        <f>IFERROR(__xludf.DUMMYFUNCTION("""COMPUTED_VALUE"""),24.3)</f>
        <v>24.3</v>
      </c>
      <c r="J42" s="271" t="str">
        <f>IFERROR(__xludf.DUMMYFUNCTION("""COMPUTED_VALUE"""),"Damian Lillard")</f>
        <v>Damian Lillard</v>
      </c>
      <c r="K42" s="270">
        <f>IFERROR(__xludf.DUMMYFUNCTION("""COMPUTED_VALUE"""),68.0)</f>
        <v>68</v>
      </c>
      <c r="L42" s="272" t="str">
        <f>IFERROR(__xludf.DUMMYFUNCTION("""COMPUTED_VALUE"""),"SG,SF")</f>
        <v>SG,SF</v>
      </c>
      <c r="M42" s="273">
        <f>IFERROR(__xludf.DUMMYFUNCTION("""COMPUTED_VALUE"""),2.96621614223755)</f>
        <v>2.966216142</v>
      </c>
      <c r="N42" s="273">
        <f>IFERROR(__xludf.DUMMYFUNCTION("""COMPUTED_VALUE"""),3.2149705318849504)</f>
        <v>3.214970532</v>
      </c>
      <c r="O42" s="274">
        <f>IFERROR(__xludf.DUMMYFUNCTION("""COMPUTED_VALUE"""),0.2487543896474005)</f>
        <v>0.2487543896</v>
      </c>
      <c r="P42" s="275">
        <f>IFERROR(__xludf.DUMMYFUNCTION("""COMPUTED_VALUE"""),23.52205479)</f>
        <v>23.52205479</v>
      </c>
      <c r="Q42" s="275">
        <f>IFERROR(__xludf.DUMMYFUNCTION("""COMPUTED_VALUE"""),3.035342466)</f>
        <v>3.035342466</v>
      </c>
      <c r="R42" s="275">
        <f>IFERROR(__xludf.DUMMYFUNCTION("""COMPUTED_VALUE"""),4.331232877)</f>
        <v>4.331232877</v>
      </c>
      <c r="S42" s="276">
        <f>IFERROR(__xludf.DUMMYFUNCTION("""COMPUTED_VALUE"""),6.916575342)</f>
        <v>6.916575342</v>
      </c>
      <c r="T42" s="275">
        <f>IFERROR(__xludf.DUMMYFUNCTION("""COMPUTED_VALUE"""),0.8616438356)</f>
        <v>0.8616438356</v>
      </c>
      <c r="U42" s="275">
        <f>IFERROR(__xludf.DUMMYFUNCTION("""COMPUTED_VALUE"""),0.2898630137)</f>
        <v>0.2898630137</v>
      </c>
      <c r="V42" s="272">
        <f>IFERROR(__xludf.DUMMYFUNCTION("""COMPUTED_VALUE"""),0.433900243)</f>
        <v>0.433900243</v>
      </c>
      <c r="W42" s="272">
        <f>IFERROR(__xludf.DUMMYFUNCTION("""COMPUTED_VALUE"""),0.921002059)</f>
        <v>0.921002059</v>
      </c>
      <c r="X42" s="275">
        <f>IFERROR(__xludf.DUMMYFUNCTION("""COMPUTED_VALUE"""),2.751780822)</f>
        <v>2.751780822</v>
      </c>
      <c r="Y42" s="273">
        <f>IFERROR(__xludf.DUMMYFUNCTION("""COMPUTED_VALUE"""),1.0875522299507718)</f>
        <v>1.08755223</v>
      </c>
      <c r="Z42" s="273">
        <f>IFERROR(__xludf.DUMMYFUNCTION("""COMPUTED_VALUE"""),1.276290445850151)</f>
        <v>1.276290446</v>
      </c>
      <c r="AA42" s="273">
        <f>IFERROR(__xludf.DUMMYFUNCTION("""COMPUTED_VALUE"""),-0.6866604271229461)</f>
        <v>-0.6866604271</v>
      </c>
      <c r="AB42" s="273">
        <f>IFERROR(__xludf.DUMMYFUNCTION("""COMPUTED_VALUE"""),1.3548047809107178)</f>
        <v>1.354804781</v>
      </c>
      <c r="AC42" s="273">
        <f>IFERROR(__xludf.DUMMYFUNCTION("""COMPUTED_VALUE"""),-0.3783260286877064)</f>
        <v>-0.3783260287</v>
      </c>
      <c r="AD42" s="273">
        <f>IFERROR(__xludf.DUMMYFUNCTION("""COMPUTED_VALUE"""),-0.8183441371963074)</f>
        <v>-0.8183441372</v>
      </c>
      <c r="AE42" s="273">
        <f>IFERROR(__xludf.DUMMYFUNCTION("""COMPUTED_VALUE"""),-1.2712285668018568)</f>
        <v>-1.271228567</v>
      </c>
      <c r="AF42" s="273">
        <f>IFERROR(__xludf.DUMMYFUNCTION("""COMPUTED_VALUE"""),2.650882234982127)</f>
        <v>2.650882235</v>
      </c>
      <c r="AG42" s="277">
        <f>IFERROR(__xludf.DUMMYFUNCTION("""COMPUTED_VALUE"""),0.0)</f>
        <v>0</v>
      </c>
      <c r="AH42" s="265"/>
      <c r="AI42" s="338"/>
      <c r="AJ42" s="339"/>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row>
    <row r="43">
      <c r="A43" s="251">
        <f>VLOOKUP($F43,UpdateHashtag!$V$3:$Y$32,COLUMN(B$15),0)</f>
        <v>3</v>
      </c>
      <c r="B43" s="252">
        <f>VLOOKUP($F43,UpdateHashtag!$V$3:$Y$32,COLUMN(C$13),0)</f>
        <v>4</v>
      </c>
      <c r="C43" s="252">
        <f>VLOOKUP($F43,UpdateHashtag!$V$3:$Y$32,COLUMN(D$13),0)</f>
        <v>3</v>
      </c>
      <c r="D43" s="268">
        <f t="shared" si="4"/>
        <v>10</v>
      </c>
      <c r="E43" s="19"/>
      <c r="F43" s="30" t="str">
        <f>IF(VLOOKUP(J43,PasteHashtag!$C$2:$P1015,3,)="BRO","BKN",IF(VLOOKUP(J43,PasteHashtag!$C$2:$P1015,3,)="OKL","OKC",VLOOKUP(J43,PasteHashtag!$C$2:$P1015,3,)))</f>
        <v>PHO</v>
      </c>
      <c r="G43" s="269">
        <v>24.0</v>
      </c>
      <c r="H43" s="270">
        <f>IFERROR(__xludf.DUMMYFUNCTION("""COMPUTED_VALUE"""),25.0)</f>
        <v>25</v>
      </c>
      <c r="I43" s="270">
        <f>IFERROR(__xludf.DUMMYFUNCTION("""COMPUTED_VALUE"""),18.3)</f>
        <v>18.3</v>
      </c>
      <c r="J43" s="271" t="str">
        <f>IFERROR(__xludf.DUMMYFUNCTION("""COMPUTED_VALUE"""),"Kevin Durant")</f>
        <v>Kevin Durant</v>
      </c>
      <c r="K43" s="270">
        <f>IFERROR(__xludf.DUMMYFUNCTION("""COMPUTED_VALUE"""),68.0)</f>
        <v>68</v>
      </c>
      <c r="L43" s="272" t="str">
        <f>IFERROR(__xludf.DUMMYFUNCTION("""COMPUTED_VALUE"""),"SG,SF")</f>
        <v>SG,SF</v>
      </c>
      <c r="M43" s="273">
        <f>IFERROR(__xludf.DUMMYFUNCTION("""COMPUTED_VALUE"""),2.727684495596219)</f>
        <v>2.727684496</v>
      </c>
      <c r="N43" s="273">
        <f>IFERROR(__xludf.DUMMYFUNCTION("""COMPUTED_VALUE"""),3.0399256089126094)</f>
        <v>3.039925609</v>
      </c>
      <c r="O43" s="274">
        <f>IFERROR(__xludf.DUMMYFUNCTION("""COMPUTED_VALUE"""),0.31224111331639026)</f>
        <v>0.3122411133</v>
      </c>
      <c r="P43" s="275">
        <f>IFERROR(__xludf.DUMMYFUNCTION("""COMPUTED_VALUE"""),24.575)</f>
        <v>24.575</v>
      </c>
      <c r="Q43" s="275">
        <f>IFERROR(__xludf.DUMMYFUNCTION("""COMPUTED_VALUE"""),2.611323529)</f>
        <v>2.611323529</v>
      </c>
      <c r="R43" s="275">
        <f>IFERROR(__xludf.DUMMYFUNCTION("""COMPUTED_VALUE"""),6.020882353)</f>
        <v>6.020882353</v>
      </c>
      <c r="S43" s="276">
        <f>IFERROR(__xludf.DUMMYFUNCTION("""COMPUTED_VALUE"""),3.754117647)</f>
        <v>3.754117647</v>
      </c>
      <c r="T43" s="275">
        <f>IFERROR(__xludf.DUMMYFUNCTION("""COMPUTED_VALUE"""),0.765)</f>
        <v>0.765</v>
      </c>
      <c r="U43" s="275">
        <f>IFERROR(__xludf.DUMMYFUNCTION("""COMPUTED_VALUE"""),1.076323529)</f>
        <v>1.076323529</v>
      </c>
      <c r="V43" s="272">
        <f>IFERROR(__xludf.DUMMYFUNCTION("""COMPUTED_VALUE"""),0.5002442519)</f>
        <v>0.5002442519</v>
      </c>
      <c r="W43" s="272">
        <f>IFERROR(__xludf.DUMMYFUNCTION("""COMPUTED_VALUE"""),0.8620139386)</f>
        <v>0.8620139386</v>
      </c>
      <c r="X43" s="275">
        <f>IFERROR(__xludf.DUMMYFUNCTION("""COMPUTED_VALUE"""),3.007794118)</f>
        <v>3.007794118</v>
      </c>
      <c r="Y43" s="273">
        <f>IFERROR(__xludf.DUMMYFUNCTION("""COMPUTED_VALUE"""),1.2773515413398122)</f>
        <v>1.277351541</v>
      </c>
      <c r="Z43" s="273">
        <f>IFERROR(__xludf.DUMMYFUNCTION("""COMPUTED_VALUE"""),0.8556939611466735)</f>
        <v>0.8556939611</v>
      </c>
      <c r="AA43" s="273">
        <f>IFERROR(__xludf.DUMMYFUNCTION("""COMPUTED_VALUE"""),-0.024474976120759804)</f>
        <v>-0.02447497612</v>
      </c>
      <c r="AB43" s="273">
        <f>IFERROR(__xludf.DUMMYFUNCTION("""COMPUTED_VALUE"""),-0.0813887267453413)</f>
        <v>-0.08138872675</v>
      </c>
      <c r="AC43" s="273">
        <f>IFERROR(__xludf.DUMMYFUNCTION("""COMPUTED_VALUE"""),-0.6980541230281613)</f>
        <v>-0.698054123</v>
      </c>
      <c r="AD43" s="273">
        <f>IFERROR(__xludf.DUMMYFUNCTION("""COMPUTED_VALUE"""),0.584424449475997)</f>
        <v>0.5844244495</v>
      </c>
      <c r="AE43" s="273">
        <f>IFERROR(__xludf.DUMMYFUNCTION("""COMPUTED_VALUE"""),0.06297756845591759)</f>
        <v>0.06297756846</v>
      </c>
      <c r="AF43" s="273">
        <f>IFERROR(__xludf.DUMMYFUNCTION("""COMPUTED_VALUE"""),1.0633959143884713)</f>
        <v>1.063395914</v>
      </c>
      <c r="AG43" s="277">
        <f>IFERROR(__xludf.DUMMYFUNCTION("""COMPUTED_VALUE"""),0.0)</f>
        <v>0</v>
      </c>
      <c r="AH43" s="265"/>
      <c r="AI43" s="338"/>
      <c r="AJ43" s="339"/>
      <c r="AK43" s="265"/>
      <c r="AL43" s="265"/>
      <c r="AM43" s="265"/>
      <c r="AN43" s="265"/>
      <c r="AO43" s="265"/>
      <c r="AP43" s="265"/>
      <c r="AQ43" s="265"/>
      <c r="AR43" s="265"/>
      <c r="AS43" s="265"/>
      <c r="AT43" s="265"/>
      <c r="AU43" s="265"/>
      <c r="AV43" s="265"/>
      <c r="AW43" s="265"/>
      <c r="AX43" s="265"/>
      <c r="AY43" s="265"/>
      <c r="AZ43" s="265"/>
      <c r="BA43" s="265"/>
      <c r="BB43" s="265"/>
      <c r="BC43" s="265"/>
      <c r="BD43" s="265"/>
      <c r="BE43" s="265"/>
      <c r="BF43" s="265"/>
      <c r="BG43" s="265"/>
      <c r="BH43" s="265"/>
      <c r="BI43" s="265"/>
      <c r="BJ43" s="265"/>
      <c r="BK43" s="265"/>
      <c r="BL43" s="265"/>
      <c r="BM43" s="265"/>
      <c r="BN43" s="265"/>
      <c r="BO43" s="265"/>
      <c r="BP43" s="265"/>
      <c r="BQ43" s="265"/>
      <c r="BR43" s="265"/>
      <c r="BS43" s="265"/>
      <c r="BT43" s="265"/>
      <c r="BU43" s="265"/>
      <c r="BV43" s="265"/>
    </row>
    <row r="44">
      <c r="A44" s="251">
        <f>VLOOKUP($F44,UpdateHashtag!$V$3:$Y$32,COLUMN(B$15),0)</f>
        <v>4</v>
      </c>
      <c r="B44" s="252">
        <f>VLOOKUP($F44,UpdateHashtag!$V$3:$Y$32,COLUMN(C$13),0)</f>
        <v>3</v>
      </c>
      <c r="C44" s="252">
        <f>VLOOKUP($F44,UpdateHashtag!$V$3:$Y$32,COLUMN(D$13),0)</f>
        <v>4</v>
      </c>
      <c r="D44" s="268">
        <f t="shared" si="4"/>
        <v>11</v>
      </c>
      <c r="E44" s="19"/>
      <c r="F44" s="30" t="str">
        <f>IF(VLOOKUP(J44,PasteHashtag!$C$2:$P1015,3,)="BRO","BKN",IF(VLOOKUP(J44,PasteHashtag!$C$2:$P1015,3,)="OKL","OKC",VLOOKUP(J44,PasteHashtag!$C$2:$P1015,3,)))</f>
        <v>SAC</v>
      </c>
      <c r="G44" s="269">
        <v>25.0</v>
      </c>
      <c r="H44" s="270">
        <f>IFERROR(__xludf.DUMMYFUNCTION("""COMPUTED_VALUE"""),30.0)</f>
        <v>30</v>
      </c>
      <c r="I44" s="270">
        <f>IFERROR(__xludf.DUMMYFUNCTION("""COMPUTED_VALUE"""),26.1)</f>
        <v>26.1</v>
      </c>
      <c r="J44" s="271" t="str">
        <f>IFERROR(__xludf.DUMMYFUNCTION("""COMPUTED_VALUE"""),"De'Aaron Fox")</f>
        <v>De'Aaron Fox</v>
      </c>
      <c r="K44" s="270">
        <f>IFERROR(__xludf.DUMMYFUNCTION("""COMPUTED_VALUE"""),76.0)</f>
        <v>76</v>
      </c>
      <c r="L44" s="272" t="str">
        <f>IFERROR(__xludf.DUMMYFUNCTION("""COMPUTED_VALUE"""),"SF,PF")</f>
        <v>SF,PF</v>
      </c>
      <c r="M44" s="273">
        <f>IFERROR(__xludf.DUMMYFUNCTION("""COMPUTED_VALUE"""),2.7908804349554908)</f>
        <v>2.790880435</v>
      </c>
      <c r="N44" s="273">
        <f>IFERROR(__xludf.DUMMYFUNCTION("""COMPUTED_VALUE"""),2.958344242663441)</f>
        <v>2.958344243</v>
      </c>
      <c r="O44" s="274">
        <f>IFERROR(__xludf.DUMMYFUNCTION("""COMPUTED_VALUE"""),0.16746380770795044)</f>
        <v>0.1674638077</v>
      </c>
      <c r="P44" s="275">
        <f>IFERROR(__xludf.DUMMYFUNCTION("""COMPUTED_VALUE"""),25.08767123)</f>
        <v>25.08767123</v>
      </c>
      <c r="Q44" s="275">
        <f>IFERROR(__xludf.DUMMYFUNCTION("""COMPUTED_VALUE"""),2.718219178)</f>
        <v>2.718219178</v>
      </c>
      <c r="R44" s="275">
        <f>IFERROR(__xludf.DUMMYFUNCTION("""COMPUTED_VALUE"""),4.696438356)</f>
        <v>4.696438356</v>
      </c>
      <c r="S44" s="276">
        <f>IFERROR(__xludf.DUMMYFUNCTION("""COMPUTED_VALUE"""),5.075205479)</f>
        <v>5.075205479</v>
      </c>
      <c r="T44" s="275">
        <f>IFERROR(__xludf.DUMMYFUNCTION("""COMPUTED_VALUE"""),1.666438356)</f>
        <v>1.666438356</v>
      </c>
      <c r="U44" s="275">
        <f>IFERROR(__xludf.DUMMYFUNCTION("""COMPUTED_VALUE"""),0.4553424658)</f>
        <v>0.4553424658</v>
      </c>
      <c r="V44" s="272">
        <f>IFERROR(__xludf.DUMMYFUNCTION("""COMPUTED_VALUE"""),0.4634715994)</f>
        <v>0.4634715994</v>
      </c>
      <c r="W44" s="272">
        <f>IFERROR(__xludf.DUMMYFUNCTION("""COMPUTED_VALUE"""),0.7749920559)</f>
        <v>0.7749920559</v>
      </c>
      <c r="X44" s="275">
        <f>IFERROR(__xludf.DUMMYFUNCTION("""COMPUTED_VALUE"""),2.423972603)</f>
        <v>2.423972603</v>
      </c>
      <c r="Y44" s="273">
        <f>IFERROR(__xludf.DUMMYFUNCTION("""COMPUTED_VALUE"""),1.3697634213681877)</f>
        <v>1.369763421</v>
      </c>
      <c r="Z44" s="273">
        <f>IFERROR(__xludf.DUMMYFUNCTION("""COMPUTED_VALUE"""),0.9617268060889191)</f>
        <v>0.9617268061</v>
      </c>
      <c r="AA44" s="273">
        <f>IFERROR(__xludf.DUMMYFUNCTION("""COMPUTED_VALUE"""),-0.5435338448021023)</f>
        <v>-0.5435338448</v>
      </c>
      <c r="AB44" s="273">
        <f>IFERROR(__xludf.DUMMYFUNCTION("""COMPUTED_VALUE"""),0.5185680000629262)</f>
        <v>0.5185680001</v>
      </c>
      <c r="AC44" s="273">
        <f>IFERROR(__xludf.DUMMYFUNCTION("""COMPUTED_VALUE"""),2.284186450723162)</f>
        <v>2.284186451</v>
      </c>
      <c r="AD44" s="273">
        <f>IFERROR(__xludf.DUMMYFUNCTION("""COMPUTED_VALUE"""),-0.5231870725634095)</f>
        <v>-0.5231870726</v>
      </c>
      <c r="AE44" s="273">
        <f>IFERROR(__xludf.DUMMYFUNCTION("""COMPUTED_VALUE"""),-0.806468710933035)</f>
        <v>-0.8064687109</v>
      </c>
      <c r="AF44" s="273">
        <f>IFERROR(__xludf.DUMMYFUNCTION("""COMPUTED_VALUE"""),-0.30271080728120703)</f>
        <v>-0.3027108073</v>
      </c>
      <c r="AG44" s="277">
        <f>IFERROR(__xludf.DUMMYFUNCTION("""COMPUTED_VALUE"""),0.0)</f>
        <v>0</v>
      </c>
      <c r="AH44" s="265"/>
      <c r="AI44" s="338"/>
      <c r="AJ44" s="339"/>
      <c r="AK44" s="265"/>
      <c r="AL44" s="265"/>
      <c r="AM44" s="265"/>
      <c r="AN44" s="265"/>
      <c r="AO44" s="265"/>
      <c r="AP44" s="265"/>
      <c r="AQ44" s="265"/>
      <c r="AR44" s="265"/>
      <c r="AS44" s="265"/>
      <c r="AT44" s="265"/>
      <c r="AU44" s="265"/>
      <c r="AV44" s="265"/>
      <c r="AW44" s="265"/>
      <c r="AX44" s="265"/>
      <c r="AY44" s="265"/>
      <c r="AZ44" s="265"/>
      <c r="BA44" s="265"/>
      <c r="BB44" s="265"/>
      <c r="BC44" s="265"/>
      <c r="BD44" s="265"/>
      <c r="BE44" s="265"/>
      <c r="BF44" s="265"/>
      <c r="BG44" s="265"/>
      <c r="BH44" s="265"/>
      <c r="BI44" s="265"/>
      <c r="BJ44" s="265"/>
      <c r="BK44" s="265"/>
      <c r="BL44" s="265"/>
      <c r="BM44" s="265"/>
      <c r="BN44" s="265"/>
      <c r="BO44" s="265"/>
      <c r="BP44" s="265"/>
      <c r="BQ44" s="265"/>
      <c r="BR44" s="265"/>
      <c r="BS44" s="265"/>
      <c r="BT44" s="265"/>
      <c r="BU44" s="265"/>
      <c r="BV44" s="265"/>
    </row>
    <row r="45">
      <c r="A45" s="251">
        <f>VLOOKUP($F45,UpdateHashtag!$V$3:$Y$32,COLUMN(B$15),0)</f>
        <v>4</v>
      </c>
      <c r="B45" s="252">
        <f>VLOOKUP($F45,UpdateHashtag!$V$3:$Y$32,COLUMN(C$13),0)</f>
        <v>3</v>
      </c>
      <c r="C45" s="252">
        <f>VLOOKUP($F45,UpdateHashtag!$V$3:$Y$32,COLUMN(D$13),0)</f>
        <v>4</v>
      </c>
      <c r="D45" s="268">
        <f t="shared" si="4"/>
        <v>11</v>
      </c>
      <c r="E45" s="19"/>
      <c r="F45" s="30" t="str">
        <f>IF(VLOOKUP(J45,PasteHashtag!$C$2:$P1015,3,)="BRO","BKN",IF(VLOOKUP(J45,PasteHashtag!$C$2:$P1015,3,)="OKL","OKC",VLOOKUP(J45,PasteHashtag!$C$2:$P1015,3,)))</f>
        <v>SAC</v>
      </c>
      <c r="G45" s="269">
        <v>26.0</v>
      </c>
      <c r="H45" s="270">
        <f>IFERROR(__xludf.DUMMYFUNCTION("""COMPUTED_VALUE"""),22.0)</f>
        <v>22</v>
      </c>
      <c r="I45" s="270">
        <f>IFERROR(__xludf.DUMMYFUNCTION("""COMPUTED_VALUE"""),14.6)</f>
        <v>14.6</v>
      </c>
      <c r="J45" s="271" t="str">
        <f>IFERROR(__xludf.DUMMYFUNCTION("""COMPUTED_VALUE"""),"Domantas Sabonis")</f>
        <v>Domantas Sabonis</v>
      </c>
      <c r="K45" s="270">
        <f>IFERROR(__xludf.DUMMYFUNCTION("""COMPUTED_VALUE"""),67.0)</f>
        <v>67</v>
      </c>
      <c r="L45" s="272" t="str">
        <f>IFERROR(__xludf.DUMMYFUNCTION("""COMPUTED_VALUE"""),"C")</f>
        <v>C</v>
      </c>
      <c r="M45" s="273">
        <f>IFERROR(__xludf.DUMMYFUNCTION("""COMPUTED_VALUE"""),2.6726699753926044)</f>
        <v>2.672669975</v>
      </c>
      <c r="N45" s="273">
        <f>IFERROR(__xludf.DUMMYFUNCTION("""COMPUTED_VALUE"""),2.934058174717424)</f>
        <v>2.934058175</v>
      </c>
      <c r="O45" s="274">
        <f>IFERROR(__xludf.DUMMYFUNCTION("""COMPUTED_VALUE"""),0.2613881993248195)</f>
        <v>0.2613881993</v>
      </c>
      <c r="P45" s="275">
        <f>IFERROR(__xludf.DUMMYFUNCTION("""COMPUTED_VALUE"""),18.4612987)</f>
        <v>18.4612987</v>
      </c>
      <c r="Q45" s="275">
        <f>IFERROR(__xludf.DUMMYFUNCTION("""COMPUTED_VALUE"""),0.3036363636)</f>
        <v>0.3036363636</v>
      </c>
      <c r="R45" s="275">
        <f>IFERROR(__xludf.DUMMYFUNCTION("""COMPUTED_VALUE"""),14.01376623)</f>
        <v>14.01376623</v>
      </c>
      <c r="S45" s="276">
        <f>IFERROR(__xludf.DUMMYFUNCTION("""COMPUTED_VALUE"""),6.968961039)</f>
        <v>6.968961039</v>
      </c>
      <c r="T45" s="275">
        <f>IFERROR(__xludf.DUMMYFUNCTION("""COMPUTED_VALUE"""),0.9853246753)</f>
        <v>0.9853246753</v>
      </c>
      <c r="U45" s="275">
        <f>IFERROR(__xludf.DUMMYFUNCTION("""COMPUTED_VALUE"""),0.6814285714)</f>
        <v>0.6814285714</v>
      </c>
      <c r="V45" s="272">
        <f>IFERROR(__xludf.DUMMYFUNCTION("""COMPUTED_VALUE"""),0.5834030467)</f>
        <v>0.5834030467</v>
      </c>
      <c r="W45" s="272">
        <f>IFERROR(__xludf.DUMMYFUNCTION("""COMPUTED_VALUE"""),0.71)</f>
        <v>0.71</v>
      </c>
      <c r="X45" s="275">
        <f>IFERROR(__xludf.DUMMYFUNCTION("""COMPUTED_VALUE"""),2.802727273)</f>
        <v>2.802727273</v>
      </c>
      <c r="Y45" s="273">
        <f>IFERROR(__xludf.DUMMYFUNCTION("""COMPUTED_VALUE"""),0.1753224084295827)</f>
        <v>0.1753224084</v>
      </c>
      <c r="Z45" s="273">
        <f>IFERROR(__xludf.DUMMYFUNCTION("""COMPUTED_VALUE"""),-1.4333667973886757)</f>
        <v>-1.433366797</v>
      </c>
      <c r="AA45" s="273">
        <f>IFERROR(__xludf.DUMMYFUNCTION("""COMPUTED_VALUE"""),3.1079921361877734)</f>
        <v>3.107992136</v>
      </c>
      <c r="AB45" s="273">
        <f>IFERROR(__xludf.DUMMYFUNCTION("""COMPUTED_VALUE"""),1.378595138025815)</f>
        <v>1.378595138</v>
      </c>
      <c r="AC45" s="273">
        <f>IFERROR(__xludf.DUMMYFUNCTION("""COMPUTED_VALUE"""),0.03084894805243736)</f>
        <v>0.03084894805</v>
      </c>
      <c r="AD45" s="273">
        <f>IFERROR(__xludf.DUMMYFUNCTION("""COMPUTED_VALUE"""),-0.11992908230336444)</f>
        <v>-0.1199290823</v>
      </c>
      <c r="AE45" s="273">
        <f>IFERROR(__xludf.DUMMYFUNCTION("""COMPUTED_VALUE"""),1.260155813700897)</f>
        <v>1.260155814</v>
      </c>
      <c r="AF45" s="273">
        <f>IFERROR(__xludf.DUMMYFUNCTION("""COMPUTED_VALUE"""),-1.4655603899870406)</f>
        <v>-1.46556039</v>
      </c>
      <c r="AG45" s="277">
        <f>IFERROR(__xludf.DUMMYFUNCTION("""COMPUTED_VALUE"""),0.0)</f>
        <v>0</v>
      </c>
      <c r="AH45" s="265"/>
      <c r="AI45" s="338"/>
      <c r="AJ45" s="339"/>
      <c r="AK45" s="265"/>
      <c r="AL45" s="265"/>
      <c r="AM45" s="265"/>
      <c r="AN45" s="265"/>
      <c r="AO45" s="265"/>
      <c r="AP45" s="265"/>
      <c r="AQ45" s="265"/>
      <c r="AR45" s="265"/>
      <c r="AS45" s="265"/>
      <c r="AT45" s="265"/>
      <c r="AU45" s="265"/>
      <c r="AV45" s="265"/>
      <c r="AW45" s="265"/>
      <c r="AX45" s="265"/>
      <c r="AY45" s="265"/>
      <c r="AZ45" s="265"/>
      <c r="BA45" s="265"/>
      <c r="BB45" s="265"/>
      <c r="BC45" s="265"/>
      <c r="BD45" s="265"/>
      <c r="BE45" s="265"/>
      <c r="BF45" s="265"/>
      <c r="BG45" s="265"/>
      <c r="BH45" s="265"/>
      <c r="BI45" s="265"/>
      <c r="BJ45" s="265"/>
      <c r="BK45" s="265"/>
      <c r="BL45" s="265"/>
      <c r="BM45" s="265"/>
      <c r="BN45" s="265"/>
      <c r="BO45" s="265"/>
      <c r="BP45" s="265"/>
      <c r="BQ45" s="265"/>
      <c r="BR45" s="265"/>
      <c r="BS45" s="265"/>
      <c r="BT45" s="265"/>
      <c r="BU45" s="265"/>
      <c r="BV45" s="265"/>
    </row>
    <row r="46">
      <c r="A46" s="251">
        <f>VLOOKUP($F46,UpdateHashtag!$V$3:$Y$32,COLUMN(B$15),0)</f>
        <v>4</v>
      </c>
      <c r="B46" s="252">
        <f>VLOOKUP($F46,UpdateHashtag!$V$3:$Y$32,COLUMN(C$13),0)</f>
        <v>4</v>
      </c>
      <c r="C46" s="252">
        <f>VLOOKUP($F46,UpdateHashtag!$V$3:$Y$32,COLUMN(D$13),0)</f>
        <v>3</v>
      </c>
      <c r="D46" s="268">
        <f t="shared" si="4"/>
        <v>11</v>
      </c>
      <c r="E46" s="19"/>
      <c r="F46" s="30" t="str">
        <f>IF(VLOOKUP(J46,PasteHashtag!$C$2:$P1015,3,)="BRO","BKN",IF(VLOOKUP(J46,PasteHashtag!$C$2:$P1015,3,)="OKL","OKC",VLOOKUP(J46,PasteHashtag!$C$2:$P1015,3,)))</f>
        <v>OKC</v>
      </c>
      <c r="G46" s="269">
        <v>27.0</v>
      </c>
      <c r="H46" s="270">
        <f>IFERROR(__xludf.DUMMYFUNCTION("""COMPUTED_VALUE"""),26.0)</f>
        <v>26</v>
      </c>
      <c r="I46" s="270">
        <f>IFERROR(__xludf.DUMMYFUNCTION("""COMPUTED_VALUE"""),17.6)</f>
        <v>17.6</v>
      </c>
      <c r="J46" s="271" t="str">
        <f>IFERROR(__xludf.DUMMYFUNCTION("""COMPUTED_VALUE"""),"Chet Holmgren")</f>
        <v>Chet Holmgren</v>
      </c>
      <c r="K46" s="270">
        <f>IFERROR(__xludf.DUMMYFUNCTION("""COMPUTED_VALUE"""),72.0)</f>
        <v>72</v>
      </c>
      <c r="L46" s="272" t="str">
        <f>IFERROR(__xludf.DUMMYFUNCTION("""COMPUTED_VALUE"""),"PG,SG")</f>
        <v>PG,SG</v>
      </c>
      <c r="M46" s="273">
        <f>IFERROR(__xludf.DUMMYFUNCTION("""COMPUTED_VALUE"""),2.9213476665866014)</f>
        <v>2.921347667</v>
      </c>
      <c r="N46" s="273">
        <f>IFERROR(__xludf.DUMMYFUNCTION("""COMPUTED_VALUE"""),2.871742180929906)</f>
        <v>2.871742181</v>
      </c>
      <c r="O46" s="274">
        <f>IFERROR(__xludf.DUMMYFUNCTION("""COMPUTED_VALUE"""),-0.049605485656695425)</f>
        <v>-0.04960548566</v>
      </c>
      <c r="P46" s="275">
        <f>IFERROR(__xludf.DUMMYFUNCTION("""COMPUTED_VALUE"""),19.0290411)</f>
        <v>19.0290411</v>
      </c>
      <c r="Q46" s="275">
        <f>IFERROR(__xludf.DUMMYFUNCTION("""COMPUTED_VALUE"""),1.748630137)</f>
        <v>1.748630137</v>
      </c>
      <c r="R46" s="275">
        <f>IFERROR(__xludf.DUMMYFUNCTION("""COMPUTED_VALUE"""),9.09)</f>
        <v>9.09</v>
      </c>
      <c r="S46" s="276">
        <f>IFERROR(__xludf.DUMMYFUNCTION("""COMPUTED_VALUE"""),2.356712329)</f>
        <v>2.356712329</v>
      </c>
      <c r="T46" s="275">
        <f>IFERROR(__xludf.DUMMYFUNCTION("""COMPUTED_VALUE"""),0.7565753425)</f>
        <v>0.7565753425</v>
      </c>
      <c r="U46" s="275">
        <f>IFERROR(__xludf.DUMMYFUNCTION("""COMPUTED_VALUE"""),2.222054795)</f>
        <v>2.222054795</v>
      </c>
      <c r="V46" s="272">
        <f>IFERROR(__xludf.DUMMYFUNCTION("""COMPUTED_VALUE"""),0.5130794838)</f>
        <v>0.5130794838</v>
      </c>
      <c r="W46" s="272">
        <f>IFERROR(__xludf.DUMMYFUNCTION("""COMPUTED_VALUE"""),0.7939860985)</f>
        <v>0.7939860985</v>
      </c>
      <c r="X46" s="275">
        <f>IFERROR(__xludf.DUMMYFUNCTION("""COMPUTED_VALUE"""),1.548630137)</f>
        <v>1.548630137</v>
      </c>
      <c r="Y46" s="273">
        <f>IFERROR(__xludf.DUMMYFUNCTION("""COMPUTED_VALUE"""),0.2776611773825855)</f>
        <v>0.2776611774</v>
      </c>
      <c r="Z46" s="273">
        <f>IFERROR(__xludf.DUMMYFUNCTION("""COMPUTED_VALUE"""),-3.623481888805206E-5)</f>
        <v>-0.00003623481889</v>
      </c>
      <c r="AA46" s="273">
        <f>IFERROR(__xludf.DUMMYFUNCTION("""COMPUTED_VALUE"""),1.1783337023210538)</f>
        <v>1.178333702</v>
      </c>
      <c r="AB46" s="273">
        <f>IFERROR(__xludf.DUMMYFUNCTION("""COMPUTED_VALUE"""),-0.7160041552611845)</f>
        <v>-0.7160041553</v>
      </c>
      <c r="AC46" s="273">
        <f>IFERROR(__xludf.DUMMYFUNCTION("""COMPUTED_VALUE"""),-0.7259255301512662)</f>
        <v>-0.7259255302</v>
      </c>
      <c r="AD46" s="273">
        <f>IFERROR(__xludf.DUMMYFUNCTION("""COMPUTED_VALUE"""),2.6280055288134845)</f>
        <v>2.628005529</v>
      </c>
      <c r="AE46" s="273">
        <f>IFERROR(__xludf.DUMMYFUNCTION("""COMPUTED_VALUE"""),0.24553485911638928)</f>
        <v>0.2455348591</v>
      </c>
      <c r="AF46" s="273">
        <f>IFERROR(__xludf.DUMMYFUNCTION("""COMPUTED_VALUE"""),-0.015827166472268086)</f>
        <v>-0.01582716647</v>
      </c>
      <c r="AG46" s="277">
        <f>IFERROR(__xludf.DUMMYFUNCTION("""COMPUTED_VALUE"""),0.0)</f>
        <v>0</v>
      </c>
      <c r="AH46" s="265"/>
      <c r="AI46" s="338"/>
      <c r="AJ46" s="339"/>
      <c r="AK46" s="265"/>
      <c r="AL46" s="265"/>
      <c r="AM46" s="265"/>
      <c r="AN46" s="265"/>
      <c r="AO46" s="265"/>
      <c r="AP46" s="265"/>
      <c r="AQ46" s="265"/>
      <c r="AR46" s="265"/>
      <c r="AS46" s="265"/>
      <c r="AT46" s="265"/>
      <c r="AU46" s="265"/>
      <c r="AV46" s="265"/>
      <c r="AW46" s="265"/>
      <c r="AX46" s="265"/>
      <c r="AY46" s="265"/>
      <c r="AZ46" s="265"/>
      <c r="BA46" s="265"/>
      <c r="BB46" s="265"/>
      <c r="BC46" s="265"/>
      <c r="BD46" s="265"/>
      <c r="BE46" s="265"/>
      <c r="BF46" s="265"/>
      <c r="BG46" s="265"/>
      <c r="BH46" s="265"/>
      <c r="BI46" s="265"/>
      <c r="BJ46" s="265"/>
      <c r="BK46" s="265"/>
      <c r="BL46" s="265"/>
      <c r="BM46" s="265"/>
      <c r="BN46" s="265"/>
      <c r="BO46" s="265"/>
      <c r="BP46" s="265"/>
      <c r="BQ46" s="265"/>
      <c r="BR46" s="265"/>
      <c r="BS46" s="265"/>
      <c r="BT46" s="265"/>
      <c r="BU46" s="265"/>
      <c r="BV46" s="265"/>
    </row>
    <row r="47">
      <c r="A47" s="251">
        <f>VLOOKUP($F47,UpdateHashtag!$V$3:$Y$32,COLUMN(B$15),0)</f>
        <v>4</v>
      </c>
      <c r="B47" s="252">
        <f>VLOOKUP($F47,UpdateHashtag!$V$3:$Y$32,COLUMN(C$13),0)</f>
        <v>2</v>
      </c>
      <c r="C47" s="252">
        <f>VLOOKUP($F47,UpdateHashtag!$V$3:$Y$32,COLUMN(D$13),0)</f>
        <v>4</v>
      </c>
      <c r="D47" s="268">
        <f t="shared" si="4"/>
        <v>10</v>
      </c>
      <c r="E47" s="19"/>
      <c r="F47" s="30" t="str">
        <f>IF(VLOOKUP(J47,PasteHashtag!$C$2:$P1015,3,)="BRO","BKN",IF(VLOOKUP(J47,PasteHashtag!$C$2:$P1015,3,)="OKL","OKC",VLOOKUP(J47,PasteHashtag!$C$2:$P1015,3,)))</f>
        <v>NO</v>
      </c>
      <c r="G47" s="269">
        <v>28.0</v>
      </c>
      <c r="H47" s="270">
        <f>IFERROR(__xludf.DUMMYFUNCTION("""COMPUTED_VALUE"""),33.0)</f>
        <v>33</v>
      </c>
      <c r="I47" s="270">
        <f>IFERROR(__xludf.DUMMYFUNCTION("""COMPUTED_VALUE"""),35.6)</f>
        <v>35.6</v>
      </c>
      <c r="J47" s="271" t="str">
        <f>IFERROR(__xludf.DUMMYFUNCTION("""COMPUTED_VALUE"""),"Dejounte Murray")</f>
        <v>Dejounte Murray</v>
      </c>
      <c r="K47" s="270">
        <f>IFERROR(__xludf.DUMMYFUNCTION("""COMPUTED_VALUE"""),76.0)</f>
        <v>76</v>
      </c>
      <c r="L47" s="272" t="str">
        <f>IFERROR(__xludf.DUMMYFUNCTION("""COMPUTED_VALUE"""),"PG,SG")</f>
        <v>PG,SG</v>
      </c>
      <c r="M47" s="273">
        <f>IFERROR(__xludf.DUMMYFUNCTION("""COMPUTED_VALUE"""),2.4154533157720603)</f>
        <v>2.415453316</v>
      </c>
      <c r="N47" s="273">
        <f>IFERROR(__xludf.DUMMYFUNCTION("""COMPUTED_VALUE"""),2.7336766732329356)</f>
        <v>2.733676673</v>
      </c>
      <c r="O47" s="274">
        <f>IFERROR(__xludf.DUMMYFUNCTION("""COMPUTED_VALUE"""),0.31822335746087527)</f>
        <v>0.3182233575</v>
      </c>
      <c r="P47" s="275">
        <f>IFERROR(__xludf.DUMMYFUNCTION("""COMPUTED_VALUE"""),18.69739726)</f>
        <v>18.69739726</v>
      </c>
      <c r="Q47" s="275">
        <f>IFERROR(__xludf.DUMMYFUNCTION("""COMPUTED_VALUE"""),2.435616438)</f>
        <v>2.435616438</v>
      </c>
      <c r="R47" s="275">
        <f>IFERROR(__xludf.DUMMYFUNCTION("""COMPUTED_VALUE"""),6.496849315)</f>
        <v>6.496849315</v>
      </c>
      <c r="S47" s="276">
        <f>IFERROR(__xludf.DUMMYFUNCTION("""COMPUTED_VALUE"""),7.868493151)</f>
        <v>7.868493151</v>
      </c>
      <c r="T47" s="275">
        <f>IFERROR(__xludf.DUMMYFUNCTION("""COMPUTED_VALUE"""),1.499589041)</f>
        <v>1.499589041</v>
      </c>
      <c r="U47" s="275">
        <f>IFERROR(__xludf.DUMMYFUNCTION("""COMPUTED_VALUE"""),0.2909589041)</f>
        <v>0.2909589041</v>
      </c>
      <c r="V47" s="272">
        <f>IFERROR(__xludf.DUMMYFUNCTION("""COMPUTED_VALUE"""),0.450156026)</f>
        <v>0.450156026</v>
      </c>
      <c r="W47" s="272">
        <f>IFERROR(__xludf.DUMMYFUNCTION("""COMPUTED_VALUE"""),0.7759828727)</f>
        <v>0.7759828727</v>
      </c>
      <c r="X47" s="275">
        <f>IFERROR(__xludf.DUMMYFUNCTION("""COMPUTED_VALUE"""),3.031917808)</f>
        <v>3.031917808</v>
      </c>
      <c r="Y47" s="273">
        <f>IFERROR(__xludf.DUMMYFUNCTION("""COMPUTED_VALUE"""),0.2178805051684849)</f>
        <v>0.2178805052</v>
      </c>
      <c r="Z47" s="273">
        <f>IFERROR(__xludf.DUMMYFUNCTION("""COMPUTED_VALUE"""),0.6814050830721688)</f>
        <v>0.6814050831</v>
      </c>
      <c r="AA47" s="273">
        <f>IFERROR(__xludf.DUMMYFUNCTION("""COMPUTED_VALUE"""),0.16205980631248762)</f>
        <v>0.1620598063</v>
      </c>
      <c r="AB47" s="273">
        <f>IFERROR(__xludf.DUMMYFUNCTION("""COMPUTED_VALUE"""),1.7871072206459568)</f>
        <v>1.787107221</v>
      </c>
      <c r="AC47" s="273">
        <f>IFERROR(__xludf.DUMMYFUNCTION("""COMPUTED_VALUE"""),1.7321966295848925)</f>
        <v>1.73219663</v>
      </c>
      <c r="AD47" s="273">
        <f>IFERROR(__xludf.DUMMYFUNCTION("""COMPUTED_VALUE"""),-0.8163894546691505)</f>
        <v>-0.8163894547</v>
      </c>
      <c r="AE47" s="273">
        <f>IFERROR(__xludf.DUMMYFUNCTION("""COMPUTED_VALUE"""),-0.8896651577810943)</f>
        <v>-0.8896651578</v>
      </c>
      <c r="AF47" s="273">
        <f>IFERROR(__xludf.DUMMYFUNCTION("""COMPUTED_VALUE"""),-0.14091795910081045)</f>
        <v>-0.1409179591</v>
      </c>
      <c r="AG47" s="277">
        <f>IFERROR(__xludf.DUMMYFUNCTION("""COMPUTED_VALUE"""),0.0)</f>
        <v>0</v>
      </c>
      <c r="AH47" s="265"/>
      <c r="AI47" s="338"/>
      <c r="AJ47" s="339"/>
      <c r="AK47" s="265"/>
      <c r="AL47" s="265"/>
      <c r="AM47" s="265"/>
      <c r="AN47" s="265"/>
      <c r="AO47" s="265"/>
      <c r="AP47" s="265"/>
      <c r="AQ47" s="265"/>
      <c r="AR47" s="265"/>
      <c r="AS47" s="265"/>
      <c r="AT47" s="265"/>
      <c r="AU47" s="265"/>
      <c r="AV47" s="265"/>
      <c r="AW47" s="265"/>
      <c r="AX47" s="265"/>
      <c r="AY47" s="265"/>
      <c r="AZ47" s="265"/>
      <c r="BA47" s="265"/>
      <c r="BB47" s="265"/>
      <c r="BC47" s="265"/>
      <c r="BD47" s="265"/>
      <c r="BE47" s="265"/>
      <c r="BF47" s="265"/>
      <c r="BG47" s="265"/>
      <c r="BH47" s="265"/>
      <c r="BI47" s="265"/>
      <c r="BJ47" s="265"/>
      <c r="BK47" s="265"/>
      <c r="BL47" s="265"/>
      <c r="BM47" s="265"/>
      <c r="BN47" s="265"/>
      <c r="BO47" s="265"/>
      <c r="BP47" s="265"/>
      <c r="BQ47" s="265"/>
      <c r="BR47" s="265"/>
      <c r="BS47" s="265"/>
      <c r="BT47" s="265"/>
      <c r="BU47" s="265"/>
      <c r="BV47" s="265"/>
    </row>
    <row r="48">
      <c r="A48" s="251">
        <f>VLOOKUP($F48,UpdateHashtag!$V$3:$Y$32,COLUMN(B$15),0)</f>
        <v>4</v>
      </c>
      <c r="B48" s="252">
        <f>VLOOKUP($F48,UpdateHashtag!$V$3:$Y$32,COLUMN(C$13),0)</f>
        <v>4</v>
      </c>
      <c r="C48" s="252">
        <f>VLOOKUP($F48,UpdateHashtag!$V$3:$Y$32,COLUMN(D$13),0)</f>
        <v>3</v>
      </c>
      <c r="D48" s="268">
        <f t="shared" si="4"/>
        <v>11</v>
      </c>
      <c r="E48" s="19"/>
      <c r="F48" s="30" t="str">
        <f>IF(VLOOKUP(J48,PasteHashtag!$C$2:$P1015,3,)="BRO","BKN",IF(VLOOKUP(J48,PasteHashtag!$C$2:$P1015,3,)="OKL","OKC",VLOOKUP(J48,PasteHashtag!$C$2:$P1015,3,)))</f>
        <v>OKC</v>
      </c>
      <c r="G48" s="269">
        <v>29.0</v>
      </c>
      <c r="H48" s="270">
        <f>IFERROR(__xludf.DUMMYFUNCTION("""COMPUTED_VALUE"""),29.0)</f>
        <v>29</v>
      </c>
      <c r="I48" s="270">
        <f>IFERROR(__xludf.DUMMYFUNCTION("""COMPUTED_VALUE"""),36.0)</f>
        <v>36</v>
      </c>
      <c r="J48" s="271" t="str">
        <f>IFERROR(__xludf.DUMMYFUNCTION("""COMPUTED_VALUE"""),"Jalen Williams")</f>
        <v>Jalen Williams</v>
      </c>
      <c r="K48" s="270">
        <f>IFERROR(__xludf.DUMMYFUNCTION("""COMPUTED_VALUE"""),72.0)</f>
        <v>72</v>
      </c>
      <c r="L48" s="272" t="str">
        <f>IFERROR(__xludf.DUMMYFUNCTION("""COMPUTED_VALUE"""),"PG,SG")</f>
        <v>PG,SG</v>
      </c>
      <c r="M48" s="273">
        <f>IFERROR(__xludf.DUMMYFUNCTION("""COMPUTED_VALUE"""),2.5114576136794775)</f>
        <v>2.511457614</v>
      </c>
      <c r="N48" s="273">
        <f>IFERROR(__xludf.DUMMYFUNCTION("""COMPUTED_VALUE"""),2.5771808057264765)</f>
        <v>2.577180806</v>
      </c>
      <c r="O48" s="274">
        <f>IFERROR(__xludf.DUMMYFUNCTION("""COMPUTED_VALUE"""),0.06572319204699895)</f>
        <v>0.06572319205</v>
      </c>
      <c r="P48" s="275">
        <f>IFERROR(__xludf.DUMMYFUNCTION("""COMPUTED_VALUE"""),21.86369863)</f>
        <v>21.86369863</v>
      </c>
      <c r="Q48" s="275">
        <f>IFERROR(__xludf.DUMMYFUNCTION("""COMPUTED_VALUE"""),1.781232877)</f>
        <v>1.781232877</v>
      </c>
      <c r="R48" s="275">
        <f>IFERROR(__xludf.DUMMYFUNCTION("""COMPUTED_VALUE"""),4.305068493)</f>
        <v>4.305068493</v>
      </c>
      <c r="S48" s="276">
        <f>IFERROR(__xludf.DUMMYFUNCTION("""COMPUTED_VALUE"""),5.555068493)</f>
        <v>5.555068493</v>
      </c>
      <c r="T48" s="275">
        <f>IFERROR(__xludf.DUMMYFUNCTION("""COMPUTED_VALUE"""),1.319315068)</f>
        <v>1.319315068</v>
      </c>
      <c r="U48" s="275">
        <f>IFERROR(__xludf.DUMMYFUNCTION("""COMPUTED_VALUE"""),0.6876712329)</f>
        <v>0.6876712329</v>
      </c>
      <c r="V48" s="272">
        <f>IFERROR(__xludf.DUMMYFUNCTION("""COMPUTED_VALUE"""),0.5155965468)</f>
        <v>0.5155965468</v>
      </c>
      <c r="W48" s="272">
        <f>IFERROR(__xludf.DUMMYFUNCTION("""COMPUTED_VALUE"""),0.8190065086)</f>
        <v>0.8190065086</v>
      </c>
      <c r="X48" s="275">
        <f>IFERROR(__xludf.DUMMYFUNCTION("""COMPUTED_VALUE"""),2.01369863)</f>
        <v>2.01369863</v>
      </c>
      <c r="Y48" s="273">
        <f>IFERROR(__xludf.DUMMYFUNCTION("""COMPUTED_VALUE"""),0.7886241810679882)</f>
        <v>0.7886241811</v>
      </c>
      <c r="Z48" s="273">
        <f>IFERROR(__xludf.DUMMYFUNCTION("""COMPUTED_VALUE"""),0.0323033534379957)</f>
        <v>0.03230335344</v>
      </c>
      <c r="AA48" s="273">
        <f>IFERROR(__xludf.DUMMYFUNCTION("""COMPUTED_VALUE"""),-0.6969144322674037)</f>
        <v>-0.6969144323</v>
      </c>
      <c r="AB48" s="273">
        <f>IFERROR(__xludf.DUMMYFUNCTION("""COMPUTED_VALUE"""),0.7364922260093129)</f>
        <v>0.736492226</v>
      </c>
      <c r="AC48" s="273">
        <f>IFERROR(__xludf.DUMMYFUNCTION("""COMPUTED_VALUE"""),1.1357938327729606)</f>
        <v>1.135793833</v>
      </c>
      <c r="AD48" s="273">
        <f>IFERROR(__xludf.DUMMYFUNCTION("""COMPUTED_VALUE"""),-0.10879437270375009)</f>
        <v>-0.1087943727</v>
      </c>
      <c r="AE48" s="273">
        <f>IFERROR(__xludf.DUMMYFUNCTION("""COMPUTED_VALUE"""),0.3468116436552771)</f>
        <v>0.3468116437</v>
      </c>
      <c r="AF48" s="273">
        <f>IFERROR(__xludf.DUMMYFUNCTION("""COMPUTED_VALUE"""),0.34286437375409584)</f>
        <v>0.3428643738</v>
      </c>
      <c r="AG48" s="277">
        <f>IFERROR(__xludf.DUMMYFUNCTION("""COMPUTED_VALUE"""),0.0)</f>
        <v>0</v>
      </c>
      <c r="AH48" s="265"/>
      <c r="AI48" s="338"/>
      <c r="AJ48" s="339"/>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5"/>
      <c r="BL48" s="265"/>
      <c r="BM48" s="265"/>
      <c r="BN48" s="265"/>
      <c r="BO48" s="265"/>
      <c r="BP48" s="265"/>
      <c r="BQ48" s="265"/>
      <c r="BR48" s="265"/>
      <c r="BS48" s="265"/>
      <c r="BT48" s="265"/>
      <c r="BU48" s="265"/>
      <c r="BV48" s="265"/>
    </row>
    <row r="49">
      <c r="A49" s="251">
        <f>VLOOKUP($F49,UpdateHashtag!$V$3:$Y$32,COLUMN(B$15),0)</f>
        <v>4</v>
      </c>
      <c r="B49" s="252">
        <f>VLOOKUP($F49,UpdateHashtag!$V$3:$Y$32,COLUMN(C$13),0)</f>
        <v>4</v>
      </c>
      <c r="C49" s="252">
        <f>VLOOKUP($F49,UpdateHashtag!$V$3:$Y$32,COLUMN(D$13),0)</f>
        <v>4</v>
      </c>
      <c r="D49" s="268">
        <f t="shared" si="4"/>
        <v>12</v>
      </c>
      <c r="E49" s="19"/>
      <c r="F49" s="30" t="str">
        <f>IF(VLOOKUP(J49,PasteHashtag!$C$2:$P1015,3,)="BRO","BKN",IF(VLOOKUP(J49,PasteHashtag!$C$2:$P1015,3,)="OKL","OKC",VLOOKUP(J49,PasteHashtag!$C$2:$P1015,3,)))</f>
        <v>UTA</v>
      </c>
      <c r="G49" s="269">
        <v>30.0</v>
      </c>
      <c r="H49" s="270">
        <f>IFERROR(__xludf.DUMMYFUNCTION("""COMPUTED_VALUE"""),31.0)</f>
        <v>31</v>
      </c>
      <c r="I49" s="270">
        <f>IFERROR(__xludf.DUMMYFUNCTION("""COMPUTED_VALUE"""),30.1)</f>
        <v>30.1</v>
      </c>
      <c r="J49" s="271" t="str">
        <f>IFERROR(__xludf.DUMMYFUNCTION("""COMPUTED_VALUE"""),"Lauri Markkanen")</f>
        <v>Lauri Markkanen</v>
      </c>
      <c r="K49" s="270">
        <f>IFERROR(__xludf.DUMMYFUNCTION("""COMPUTED_VALUE"""),71.0)</f>
        <v>71</v>
      </c>
      <c r="L49" s="272" t="str">
        <f>IFERROR(__xludf.DUMMYFUNCTION("""COMPUTED_VALUE"""),"SF,PF")</f>
        <v>SF,PF</v>
      </c>
      <c r="M49" s="273">
        <f>IFERROR(__xludf.DUMMYFUNCTION("""COMPUTED_VALUE"""),2.590648298054223)</f>
        <v>2.590648298</v>
      </c>
      <c r="N49" s="273">
        <f>IFERROR(__xludf.DUMMYFUNCTION("""COMPUTED_VALUE"""),2.5364228712533987)</f>
        <v>2.536422871</v>
      </c>
      <c r="O49" s="274">
        <f>IFERROR(__xludf.DUMMYFUNCTION("""COMPUTED_VALUE"""),-0.054225426800824206)</f>
        <v>-0.0542254268</v>
      </c>
      <c r="P49" s="275">
        <f>IFERROR(__xludf.DUMMYFUNCTION("""COMPUTED_VALUE"""),22.97387097)</f>
        <v>22.97387097</v>
      </c>
      <c r="Q49" s="275">
        <f>IFERROR(__xludf.DUMMYFUNCTION("""COMPUTED_VALUE"""),3.162741935)</f>
        <v>3.162741935</v>
      </c>
      <c r="R49" s="275">
        <f>IFERROR(__xludf.DUMMYFUNCTION("""COMPUTED_VALUE"""),7.290967742)</f>
        <v>7.290967742</v>
      </c>
      <c r="S49" s="276">
        <f>IFERROR(__xludf.DUMMYFUNCTION("""COMPUTED_VALUE"""),2.139354839)</f>
        <v>2.139354839</v>
      </c>
      <c r="T49" s="275">
        <f>IFERROR(__xludf.DUMMYFUNCTION("""COMPUTED_VALUE"""),0.9027419355)</f>
        <v>0.9027419355</v>
      </c>
      <c r="U49" s="275">
        <f>IFERROR(__xludf.DUMMYFUNCTION("""COMPUTED_VALUE"""),0.4174193548)</f>
        <v>0.4174193548</v>
      </c>
      <c r="V49" s="272">
        <f>IFERROR(__xludf.DUMMYFUNCTION("""COMPUTED_VALUE"""),0.4787610083)</f>
        <v>0.4787610083</v>
      </c>
      <c r="W49" s="272">
        <f>IFERROR(__xludf.DUMMYFUNCTION("""COMPUTED_VALUE"""),0.8879979717)</f>
        <v>0.8879979717</v>
      </c>
      <c r="X49" s="275">
        <f>IFERROR(__xludf.DUMMYFUNCTION("""COMPUTED_VALUE"""),1.53)</f>
        <v>1.53</v>
      </c>
      <c r="Y49" s="273">
        <f>IFERROR(__xludf.DUMMYFUNCTION("""COMPUTED_VALUE"""),0.988739005328559)</f>
        <v>0.9887390053</v>
      </c>
      <c r="Z49" s="273">
        <f>IFERROR(__xludf.DUMMYFUNCTION("""COMPUTED_VALUE"""),1.4026616150097249)</f>
        <v>1.402661615</v>
      </c>
      <c r="AA49" s="273">
        <f>IFERROR(__xludf.DUMMYFUNCTION("""COMPUTED_VALUE"""),0.47328037377422166)</f>
        <v>0.4732803738</v>
      </c>
      <c r="AB49" s="273">
        <f>IFERROR(__xludf.DUMMYFUNCTION("""COMPUTED_VALUE"""),-0.8147145400584164)</f>
        <v>-0.8147145401</v>
      </c>
      <c r="AC49" s="273">
        <f>IFERROR(__xludf.DUMMYFUNCTION("""COMPUTED_VALUE"""),-0.24236063492553409)</f>
        <v>-0.2423606349</v>
      </c>
      <c r="AD49" s="273">
        <f>IFERROR(__xludf.DUMMYFUNCTION("""COMPUTED_VALUE"""),-0.5908285469728329)</f>
        <v>-0.590828547</v>
      </c>
      <c r="AE49" s="273">
        <f>IFERROR(__xludf.DUMMYFUNCTION("""COMPUTED_VALUE"""),-0.3433907836126116)</f>
        <v>-0.3433907836</v>
      </c>
      <c r="AF49" s="273">
        <f>IFERROR(__xludf.DUMMYFUNCTION("""COMPUTED_VALUE"""),1.6630363827102883)</f>
        <v>1.663036383</v>
      </c>
      <c r="AG49" s="277">
        <f>IFERROR(__xludf.DUMMYFUNCTION("""COMPUTED_VALUE"""),0.0)</f>
        <v>0</v>
      </c>
      <c r="AH49" s="265"/>
      <c r="AI49" s="338"/>
      <c r="AJ49" s="339"/>
      <c r="AK49" s="265"/>
      <c r="AL49" s="265"/>
      <c r="AM49" s="265"/>
      <c r="AN49" s="265"/>
      <c r="AO49" s="265"/>
      <c r="AP49" s="265"/>
      <c r="AQ49" s="265"/>
      <c r="AR49" s="265"/>
      <c r="AS49" s="265"/>
      <c r="AT49" s="265"/>
      <c r="AU49" s="265"/>
      <c r="AV49" s="265"/>
      <c r="AW49" s="265"/>
      <c r="AX49" s="265"/>
      <c r="AY49" s="265"/>
      <c r="AZ49" s="265"/>
      <c r="BA49" s="265"/>
      <c r="BB49" s="265"/>
      <c r="BC49" s="265"/>
      <c r="BD49" s="265"/>
      <c r="BE49" s="265"/>
      <c r="BF49" s="265"/>
      <c r="BG49" s="265"/>
      <c r="BH49" s="265"/>
      <c r="BI49" s="265"/>
      <c r="BJ49" s="265"/>
      <c r="BK49" s="265"/>
      <c r="BL49" s="265"/>
      <c r="BM49" s="265"/>
      <c r="BN49" s="265"/>
      <c r="BO49" s="265"/>
      <c r="BP49" s="265"/>
      <c r="BQ49" s="265"/>
      <c r="BR49" s="265"/>
      <c r="BS49" s="265"/>
      <c r="BT49" s="265"/>
      <c r="BU49" s="265"/>
      <c r="BV49" s="265"/>
    </row>
    <row r="50">
      <c r="A50" s="251">
        <f>VLOOKUP($F50,UpdateHashtag!$V$3:$Y$32,COLUMN(B$15),0)</f>
        <v>4</v>
      </c>
      <c r="B50" s="252">
        <f>VLOOKUP($F50,UpdateHashtag!$V$3:$Y$32,COLUMN(C$13),0)</f>
        <v>4</v>
      </c>
      <c r="C50" s="252">
        <f>VLOOKUP($F50,UpdateHashtag!$V$3:$Y$32,COLUMN(D$13),0)</f>
        <v>3</v>
      </c>
      <c r="D50" s="268">
        <f t="shared" si="4"/>
        <v>11</v>
      </c>
      <c r="E50" s="19"/>
      <c r="F50" s="30" t="str">
        <f>IF(VLOOKUP(J50,PasteHashtag!$C$2:$P1015,3,)="BRO","BKN",IF(VLOOKUP(J50,PasteHashtag!$C$2:$P1015,3,)="OKL","OKC",VLOOKUP(J50,PasteHashtag!$C$2:$P1015,3,)))</f>
        <v>MIL</v>
      </c>
      <c r="G50" s="269">
        <v>31.0</v>
      </c>
      <c r="H50" s="270">
        <f>IFERROR(__xludf.DUMMYFUNCTION("""COMPUTED_VALUE"""),27.0)</f>
        <v>27</v>
      </c>
      <c r="I50" s="270">
        <f>IFERROR(__xludf.DUMMYFUNCTION("""COMPUTED_VALUE"""),6.7)</f>
        <v>6.7</v>
      </c>
      <c r="J50" s="271" t="str">
        <f>IFERROR(__xludf.DUMMYFUNCTION("""COMPUTED_VALUE"""),"Giannis Antetokounmpo")</f>
        <v>Giannis Antetokounmpo</v>
      </c>
      <c r="K50" s="270">
        <f>IFERROR(__xludf.DUMMYFUNCTION("""COMPUTED_VALUE"""),60.0)</f>
        <v>60</v>
      </c>
      <c r="L50" s="272" t="str">
        <f>IFERROR(__xludf.DUMMYFUNCTION("""COMPUTED_VALUE"""),"SF,PF")</f>
        <v>SF,PF</v>
      </c>
      <c r="M50" s="273">
        <f>IFERROR(__xludf.DUMMYFUNCTION("""COMPUTED_VALUE"""),2.0807463649067497)</f>
        <v>2.080746365</v>
      </c>
      <c r="N50" s="273">
        <f>IFERROR(__xludf.DUMMYFUNCTION("""COMPUTED_VALUE"""),2.4884606001056886)</f>
        <v>2.4884606</v>
      </c>
      <c r="O50" s="274">
        <f>IFERROR(__xludf.DUMMYFUNCTION("""COMPUTED_VALUE"""),0.4077142351989389)</f>
        <v>0.4077142352</v>
      </c>
      <c r="P50" s="275">
        <f>IFERROR(__xludf.DUMMYFUNCTION("""COMPUTED_VALUE"""),27.78514706)</f>
        <v>27.78514706</v>
      </c>
      <c r="Q50" s="275">
        <f>IFERROR(__xludf.DUMMYFUNCTION("""COMPUTED_VALUE"""),0.4780882353)</f>
        <v>0.4780882353</v>
      </c>
      <c r="R50" s="275">
        <f>IFERROR(__xludf.DUMMYFUNCTION("""COMPUTED_VALUE"""),11.83867647)</f>
        <v>11.83867647</v>
      </c>
      <c r="S50" s="276">
        <f>IFERROR(__xludf.DUMMYFUNCTION("""COMPUTED_VALUE"""),6.785588235)</f>
        <v>6.785588235</v>
      </c>
      <c r="T50" s="275">
        <f>IFERROR(__xludf.DUMMYFUNCTION("""COMPUTED_VALUE"""),1.080588235)</f>
        <v>1.080588235</v>
      </c>
      <c r="U50" s="275">
        <f>IFERROR(__xludf.DUMMYFUNCTION("""COMPUTED_VALUE"""),1.082794118)</f>
        <v>1.082794118</v>
      </c>
      <c r="V50" s="272">
        <f>IFERROR(__xludf.DUMMYFUNCTION("""COMPUTED_VALUE"""),0.6018925424)</f>
        <v>0.6018925424</v>
      </c>
      <c r="W50" s="272">
        <f>IFERROR(__xludf.DUMMYFUNCTION("""COMPUTED_VALUE"""),0.6429979628)</f>
        <v>0.6429979628</v>
      </c>
      <c r="X50" s="275">
        <f>IFERROR(__xludf.DUMMYFUNCTION("""COMPUTED_VALUE"""),3.392794118)</f>
        <v>3.392794118</v>
      </c>
      <c r="Y50" s="273">
        <f>IFERROR(__xludf.DUMMYFUNCTION("""COMPUTED_VALUE"""),1.8559986500963561)</f>
        <v>1.85599865</v>
      </c>
      <c r="Z50" s="273">
        <f>IFERROR(__xludf.DUMMYFUNCTION("""COMPUTED_VALUE"""),-1.2603230071605942)</f>
        <v>-1.260323007</v>
      </c>
      <c r="AA50" s="273">
        <f>IFERROR(__xludf.DUMMYFUNCTION("""COMPUTED_VALUE"""),2.255559241581983)</f>
        <v>2.255559242</v>
      </c>
      <c r="AB50" s="273">
        <f>IFERROR(__xludf.DUMMYFUNCTION("""COMPUTED_VALUE"""),1.2953185044753108)</f>
        <v>1.295318504</v>
      </c>
      <c r="AC50" s="273">
        <f>IFERROR(__xludf.DUMMYFUNCTION("""COMPUTED_VALUE"""),0.34601065716582396)</f>
        <v>0.3460106572</v>
      </c>
      <c r="AD50" s="273">
        <f>IFERROR(__xludf.DUMMYFUNCTION("""COMPUTED_VALUE"""),0.5959657014649861)</f>
        <v>0.5959657015</v>
      </c>
      <c r="AE50" s="273">
        <f>IFERROR(__xludf.DUMMYFUNCTION("""COMPUTED_VALUE"""),2.179164888368954)</f>
        <v>2.179164888</v>
      </c>
      <c r="AF50" s="273">
        <f>IFERROR(__xludf.DUMMYFUNCTION("""COMPUTED_VALUE"""),-4.779234035887131)</f>
        <v>-4.779234036</v>
      </c>
      <c r="AG50" s="277">
        <f>IFERROR(__xludf.DUMMYFUNCTION("""COMPUTED_VALUE"""),0.0)</f>
        <v>0</v>
      </c>
      <c r="AH50" s="265"/>
      <c r="AI50" s="338"/>
      <c r="AJ50" s="339"/>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5"/>
      <c r="BT50" s="265"/>
      <c r="BU50" s="265"/>
      <c r="BV50" s="265"/>
    </row>
    <row r="51">
      <c r="A51" s="251">
        <f>VLOOKUP($F51,UpdateHashtag!$V$3:$Y$32,COLUMN(B$15),0)</f>
        <v>4</v>
      </c>
      <c r="B51" s="252">
        <f>VLOOKUP($F51,UpdateHashtag!$V$3:$Y$32,COLUMN(C$13),0)</f>
        <v>3</v>
      </c>
      <c r="C51" s="252">
        <f>VLOOKUP($F51,UpdateHashtag!$V$3:$Y$32,COLUMN(D$13),0)</f>
        <v>4</v>
      </c>
      <c r="D51" s="268">
        <f t="shared" si="4"/>
        <v>11</v>
      </c>
      <c r="E51" s="19"/>
      <c r="F51" s="30" t="str">
        <f>IF(VLOOKUP(J51,PasteHashtag!$C$2:$P1015,3,)="BRO","BKN",IF(VLOOKUP(J51,PasteHashtag!$C$2:$P1015,3,)="OKL","OKC",VLOOKUP(J51,PasteHashtag!$C$2:$P1015,3,)))</f>
        <v>DET</v>
      </c>
      <c r="G51" s="269">
        <v>32.0</v>
      </c>
      <c r="H51" s="270">
        <f>IFERROR(__xludf.DUMMYFUNCTION("""COMPUTED_VALUE"""),34.0)</f>
        <v>34</v>
      </c>
      <c r="I51" s="270">
        <f>IFERROR(__xludf.DUMMYFUNCTION("""COMPUTED_VALUE"""),34.0)</f>
        <v>34</v>
      </c>
      <c r="J51" s="271" t="str">
        <f>IFERROR(__xludf.DUMMYFUNCTION("""COMPUTED_VALUE"""),"Cade Cunningham")</f>
        <v>Cade Cunningham</v>
      </c>
      <c r="K51" s="270">
        <f>IFERROR(__xludf.DUMMYFUNCTION("""COMPUTED_VALUE"""),75.0)</f>
        <v>75</v>
      </c>
      <c r="L51" s="272" t="str">
        <f>IFERROR(__xludf.DUMMYFUNCTION("""COMPUTED_VALUE"""),"PF,C")</f>
        <v>PF,C</v>
      </c>
      <c r="M51" s="273">
        <f>IFERROR(__xludf.DUMMYFUNCTION("""COMPUTED_VALUE"""),1.9962353133828568)</f>
        <v>1.996235313</v>
      </c>
      <c r="N51" s="273">
        <f>IFERROR(__xludf.DUMMYFUNCTION("""COMPUTED_VALUE"""),2.3502687098088497)</f>
        <v>2.35026871</v>
      </c>
      <c r="O51" s="274">
        <f>IFERROR(__xludf.DUMMYFUNCTION("""COMPUTED_VALUE"""),0.35403339642599296)</f>
        <v>0.3540333964</v>
      </c>
      <c r="P51" s="275">
        <f>IFERROR(__xludf.DUMMYFUNCTION("""COMPUTED_VALUE"""),23.43279412)</f>
        <v>23.43279412</v>
      </c>
      <c r="Q51" s="275">
        <f>IFERROR(__xludf.DUMMYFUNCTION("""COMPUTED_VALUE"""),1.937058824)</f>
        <v>1.937058824</v>
      </c>
      <c r="R51" s="275">
        <f>IFERROR(__xludf.DUMMYFUNCTION("""COMPUTED_VALUE"""),5.053088235)</f>
        <v>5.053088235</v>
      </c>
      <c r="S51" s="276">
        <f>IFERROR(__xludf.DUMMYFUNCTION("""COMPUTED_VALUE"""),8.0575)</f>
        <v>8.0575</v>
      </c>
      <c r="T51" s="275">
        <f>IFERROR(__xludf.DUMMYFUNCTION("""COMPUTED_VALUE"""),0.9517647059)</f>
        <v>0.9517647059</v>
      </c>
      <c r="U51" s="275">
        <f>IFERROR(__xludf.DUMMYFUNCTION("""COMPUTED_VALUE"""),0.4289705882)</f>
        <v>0.4289705882</v>
      </c>
      <c r="V51" s="272">
        <f>IFERROR(__xludf.DUMMYFUNCTION("""COMPUTED_VALUE"""),0.4586624621)</f>
        <v>0.4586624621</v>
      </c>
      <c r="W51" s="272">
        <f>IFERROR(__xludf.DUMMYFUNCTION("""COMPUTED_VALUE"""),0.8599861907)</f>
        <v>0.8599861907</v>
      </c>
      <c r="X51" s="275">
        <f>IFERROR(__xludf.DUMMYFUNCTION("""COMPUTED_VALUE"""),3.176323529)</f>
        <v>3.176323529</v>
      </c>
      <c r="Y51" s="273">
        <f>IFERROR(__xludf.DUMMYFUNCTION("""COMPUTED_VALUE"""),1.0714624908653698)</f>
        <v>1.071462491</v>
      </c>
      <c r="Z51" s="273">
        <f>IFERROR(__xludf.DUMMYFUNCTION("""COMPUTED_VALUE"""),0.18687155739014685)</f>
        <v>0.1868715574</v>
      </c>
      <c r="AA51" s="273">
        <f>IFERROR(__xludf.DUMMYFUNCTION("""COMPUTED_VALUE"""),-0.4037602619791228)</f>
        <v>-0.403760262</v>
      </c>
      <c r="AB51" s="273">
        <f>IFERROR(__xludf.DUMMYFUNCTION("""COMPUTED_VALUE"""),1.8729424904317011)</f>
        <v>1.87294249</v>
      </c>
      <c r="AC51" s="273">
        <f>IFERROR(__xludf.DUMMYFUNCTION("""COMPUTED_VALUE"""),-0.08017794772182346)</f>
        <v>-0.08017794772</v>
      </c>
      <c r="AD51" s="273">
        <f>IFERROR(__xludf.DUMMYFUNCTION("""COMPUTED_VALUE"""),-0.5702252146559411)</f>
        <v>-0.5702252147</v>
      </c>
      <c r="AE51" s="273">
        <f>IFERROR(__xludf.DUMMYFUNCTION("""COMPUTED_VALUE"""),-0.8455592277925625)</f>
        <v>-0.8455592278</v>
      </c>
      <c r="AF51" s="273">
        <f>IFERROR(__xludf.DUMMYFUNCTION("""COMPUTED_VALUE"""),1.1187148232710822)</f>
        <v>1.118714823</v>
      </c>
      <c r="AG51" s="277">
        <f>IFERROR(__xludf.DUMMYFUNCTION("""COMPUTED_VALUE"""),0.0)</f>
        <v>0</v>
      </c>
      <c r="AH51" s="265"/>
      <c r="AI51" s="338"/>
      <c r="AJ51" s="339"/>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5"/>
      <c r="BT51" s="265"/>
      <c r="BU51" s="265"/>
      <c r="BV51" s="265"/>
    </row>
    <row r="52">
      <c r="A52" s="251">
        <f>VLOOKUP($F52,UpdateHashtag!$V$3:$Y$32,COLUMN(B$15),0)</f>
        <v>4</v>
      </c>
      <c r="B52" s="252">
        <f>VLOOKUP($F52,UpdateHashtag!$V$3:$Y$32,COLUMN(C$13),0)</f>
        <v>4</v>
      </c>
      <c r="C52" s="252">
        <f>VLOOKUP($F52,UpdateHashtag!$V$3:$Y$32,COLUMN(D$13),0)</f>
        <v>4</v>
      </c>
      <c r="D52" s="268">
        <f t="shared" si="4"/>
        <v>12</v>
      </c>
      <c r="E52" s="19"/>
      <c r="F52" s="30" t="str">
        <f>IF(VLOOKUP(J52,PasteHashtag!$C$2:$P1015,3,)="BRO","BKN",IF(VLOOKUP(J52,PasteHashtag!$C$2:$P1015,3,)="OKL","OKC",VLOOKUP(J52,PasteHashtag!$C$2:$P1015,3,)))</f>
        <v>PHI</v>
      </c>
      <c r="G52" s="269">
        <v>33.0</v>
      </c>
      <c r="H52" s="270">
        <f>IFERROR(__xludf.DUMMYFUNCTION("""COMPUTED_VALUE"""),36.0)</f>
        <v>36</v>
      </c>
      <c r="I52" s="270">
        <f>IFERROR(__xludf.DUMMYFUNCTION("""COMPUTED_VALUE"""),27.8)</f>
        <v>27.8</v>
      </c>
      <c r="J52" s="271" t="str">
        <f>IFERROR(__xludf.DUMMYFUNCTION("""COMPUTED_VALUE"""),"Tyrese Maxey")</f>
        <v>Tyrese Maxey</v>
      </c>
      <c r="K52" s="270">
        <f>IFERROR(__xludf.DUMMYFUNCTION("""COMPUTED_VALUE"""),74.0)</f>
        <v>74</v>
      </c>
      <c r="L52" s="272" t="str">
        <f>IFERROR(__xludf.DUMMYFUNCTION("""COMPUTED_VALUE"""),"SF,PF")</f>
        <v>SF,PF</v>
      </c>
      <c r="M52" s="273">
        <f>IFERROR(__xludf.DUMMYFUNCTION("""COMPUTED_VALUE"""),2.246965456900757)</f>
        <v>2.246965457</v>
      </c>
      <c r="N52" s="273">
        <f>IFERROR(__xludf.DUMMYFUNCTION("""COMPUTED_VALUE"""),2.2554149668920367)</f>
        <v>2.255414967</v>
      </c>
      <c r="O52" s="274">
        <f>IFERROR(__xludf.DUMMYFUNCTION("""COMPUTED_VALUE"""),0.00844950999127958)</f>
        <v>0.008449509991</v>
      </c>
      <c r="P52" s="275">
        <f>IFERROR(__xludf.DUMMYFUNCTION("""COMPUTED_VALUE"""),25.06109589)</f>
        <v>25.06109589</v>
      </c>
      <c r="Q52" s="275">
        <f>IFERROR(__xludf.DUMMYFUNCTION("""COMPUTED_VALUE"""),2.966712329)</f>
        <v>2.966712329</v>
      </c>
      <c r="R52" s="275">
        <f>IFERROR(__xludf.DUMMYFUNCTION("""COMPUTED_VALUE"""),3.723972603)</f>
        <v>3.723972603</v>
      </c>
      <c r="S52" s="276">
        <f>IFERROR(__xludf.DUMMYFUNCTION("""COMPUTED_VALUE"""),6.206712329)</f>
        <v>6.206712329</v>
      </c>
      <c r="T52" s="275">
        <f>IFERROR(__xludf.DUMMYFUNCTION("""COMPUTED_VALUE"""),0.9324657534)</f>
        <v>0.9324657534</v>
      </c>
      <c r="U52" s="275">
        <f>IFERROR(__xludf.DUMMYFUNCTION("""COMPUTED_VALUE"""),0.3875342466)</f>
        <v>0.3875342466</v>
      </c>
      <c r="V52" s="272">
        <f>IFERROR(__xludf.DUMMYFUNCTION("""COMPUTED_VALUE"""),0.4652092312)</f>
        <v>0.4652092312</v>
      </c>
      <c r="W52" s="272">
        <f>IFERROR(__xludf.DUMMYFUNCTION("""COMPUTED_VALUE"""),0.867005814)</f>
        <v>0.867005814</v>
      </c>
      <c r="X52" s="275">
        <f>IFERROR(__xludf.DUMMYFUNCTION("""COMPUTED_VALUE"""),1.782739726)</f>
        <v>1.782739726</v>
      </c>
      <c r="Y52" s="273">
        <f>IFERROR(__xludf.DUMMYFUNCTION("""COMPUTED_VALUE"""),1.3649730664816977)</f>
        <v>1.364973066</v>
      </c>
      <c r="Z52" s="273">
        <f>IFERROR(__xludf.DUMMYFUNCTION("""COMPUTED_VALUE"""),1.2082142543216625)</f>
        <v>1.208214254</v>
      </c>
      <c r="AA52" s="273">
        <f>IFERROR(__xludf.DUMMYFUNCTION("""COMPUTED_VALUE"""),-0.9246499771012997)</f>
        <v>-0.9246499771</v>
      </c>
      <c r="AB52" s="273">
        <f>IFERROR(__xludf.DUMMYFUNCTION("""COMPUTED_VALUE"""),1.032428721237999)</f>
        <v>1.032428721</v>
      </c>
      <c r="AC52" s="273">
        <f>IFERROR(__xludf.DUMMYFUNCTION("""COMPUTED_VALUE"""),-0.14402493048367)</f>
        <v>-0.1440249305</v>
      </c>
      <c r="AD52" s="273">
        <f>IFERROR(__xludf.DUMMYFUNCTION("""COMPUTED_VALUE"""),-0.644133055179798)</f>
        <v>-0.6441330552</v>
      </c>
      <c r="AE52" s="273">
        <f>IFERROR(__xludf.DUMMYFUNCTION("""COMPUTED_VALUE"""),-0.7343700627300155)</f>
        <v>-0.7343700627</v>
      </c>
      <c r="AF52" s="273">
        <f>IFERROR(__xludf.DUMMYFUNCTION("""COMPUTED_VALUE"""),1.0969769503454612)</f>
        <v>1.09697695</v>
      </c>
      <c r="AG52" s="277">
        <f>IFERROR(__xludf.DUMMYFUNCTION("""COMPUTED_VALUE"""),0.0)</f>
        <v>0</v>
      </c>
      <c r="AH52" s="265"/>
      <c r="AI52" s="338"/>
      <c r="AJ52" s="339"/>
      <c r="AK52" s="265"/>
      <c r="AL52" s="265"/>
      <c r="AM52" s="265"/>
      <c r="AN52" s="265"/>
      <c r="AO52" s="265"/>
      <c r="AP52" s="265"/>
      <c r="AQ52" s="265"/>
      <c r="AR52" s="265"/>
      <c r="AS52" s="265"/>
      <c r="AT52" s="265"/>
      <c r="AU52" s="265"/>
      <c r="AV52" s="265"/>
      <c r="AW52" s="265"/>
      <c r="AX52" s="265"/>
      <c r="AY52" s="265"/>
      <c r="AZ52" s="265"/>
      <c r="BA52" s="265"/>
      <c r="BB52" s="265"/>
      <c r="BC52" s="265"/>
      <c r="BD52" s="265"/>
      <c r="BE52" s="265"/>
      <c r="BF52" s="265"/>
      <c r="BG52" s="265"/>
      <c r="BH52" s="265"/>
      <c r="BI52" s="265"/>
      <c r="BJ52" s="265"/>
      <c r="BK52" s="265"/>
      <c r="BL52" s="265"/>
      <c r="BM52" s="265"/>
      <c r="BN52" s="265"/>
      <c r="BO52" s="265"/>
      <c r="BP52" s="265"/>
      <c r="BQ52" s="265"/>
      <c r="BR52" s="265"/>
      <c r="BS52" s="265"/>
      <c r="BT52" s="265"/>
      <c r="BU52" s="265"/>
      <c r="BV52" s="265"/>
    </row>
    <row r="53">
      <c r="A53" s="251">
        <f>VLOOKUP($F53,UpdateHashtag!$V$3:$Y$32,COLUMN(B$15),0)</f>
        <v>4</v>
      </c>
      <c r="B53" s="252">
        <f>VLOOKUP($F53,UpdateHashtag!$V$3:$Y$32,COLUMN(C$13),0)</f>
        <v>4</v>
      </c>
      <c r="C53" s="252">
        <f>VLOOKUP($F53,UpdateHashtag!$V$3:$Y$32,COLUMN(D$13),0)</f>
        <v>3</v>
      </c>
      <c r="D53" s="268">
        <f t="shared" si="4"/>
        <v>11</v>
      </c>
      <c r="E53" s="19"/>
      <c r="F53" s="30" t="str">
        <f>IF(VLOOKUP(J53,PasteHashtag!$C$2:$P1015,3,)="BRO","BKN",IF(VLOOKUP(J53,PasteHashtag!$C$2:$P1015,3,)="OKL","OKC",VLOOKUP(J53,PasteHashtag!$C$2:$P1015,3,)))</f>
        <v>MEM</v>
      </c>
      <c r="G53" s="269">
        <v>34.0</v>
      </c>
      <c r="H53" s="270">
        <f>IFERROR(__xludf.DUMMYFUNCTION("""COMPUTED_VALUE"""),35.0)</f>
        <v>35</v>
      </c>
      <c r="I53" s="270">
        <f>IFERROR(__xludf.DUMMYFUNCTION("""COMPUTED_VALUE"""),37.3)</f>
        <v>37.3</v>
      </c>
      <c r="J53" s="271" t="str">
        <f>IFERROR(__xludf.DUMMYFUNCTION("""COMPUTED_VALUE"""),"Jaren Jackson Jr.")</f>
        <v>Jaren Jackson Jr.</v>
      </c>
      <c r="K53" s="270">
        <f>IFERROR(__xludf.DUMMYFUNCTION("""COMPUTED_VALUE"""),58.0)</f>
        <v>58</v>
      </c>
      <c r="L53" s="272" t="str">
        <f>IFERROR(__xludf.DUMMYFUNCTION("""COMPUTED_VALUE"""),"PF,C")</f>
        <v>PF,C</v>
      </c>
      <c r="M53" s="273">
        <f>IFERROR(__xludf.DUMMYFUNCTION("""COMPUTED_VALUE"""),2.1294274104812625)</f>
        <v>2.12942741</v>
      </c>
      <c r="N53" s="273">
        <f>IFERROR(__xludf.DUMMYFUNCTION("""COMPUTED_VALUE"""),2.2072524704400673)</f>
        <v>2.20725247</v>
      </c>
      <c r="O53" s="274">
        <f>IFERROR(__xludf.DUMMYFUNCTION("""COMPUTED_VALUE"""),0.07782505995880484)</f>
        <v>0.07782505996</v>
      </c>
      <c r="P53" s="275">
        <f>IFERROR(__xludf.DUMMYFUNCTION("""COMPUTED_VALUE"""),18.67691176)</f>
        <v>18.67691176</v>
      </c>
      <c r="Q53" s="275">
        <f>IFERROR(__xludf.DUMMYFUNCTION("""COMPUTED_VALUE"""),1.729705882)</f>
        <v>1.729705882</v>
      </c>
      <c r="R53" s="275">
        <f>IFERROR(__xludf.DUMMYFUNCTION("""COMPUTED_VALUE"""),6.1875)</f>
        <v>6.1875</v>
      </c>
      <c r="S53" s="276">
        <f>IFERROR(__xludf.DUMMYFUNCTION("""COMPUTED_VALUE"""),1.856323529)</f>
        <v>1.856323529</v>
      </c>
      <c r="T53" s="275">
        <f>IFERROR(__xludf.DUMMYFUNCTION("""COMPUTED_VALUE"""),1.2375)</f>
        <v>1.2375</v>
      </c>
      <c r="U53" s="275">
        <f>IFERROR(__xludf.DUMMYFUNCTION("""COMPUTED_VALUE"""),2.131176471)</f>
        <v>2.131176471</v>
      </c>
      <c r="V53" s="272">
        <f>IFERROR(__xludf.DUMMYFUNCTION("""COMPUTED_VALUE"""),0.4709663351)</f>
        <v>0.4709663351</v>
      </c>
      <c r="W53" s="272">
        <f>IFERROR(__xludf.DUMMYFUNCTION("""COMPUTED_VALUE"""),0.7959958466)</f>
        <v>0.7959958466</v>
      </c>
      <c r="X53" s="275">
        <f>IFERROR(__xludf.DUMMYFUNCTION("""COMPUTED_VALUE"""),2.0625)</f>
        <v>2.0625</v>
      </c>
      <c r="Y53" s="273">
        <f>IFERROR(__xludf.DUMMYFUNCTION("""COMPUTED_VALUE"""),0.2141878782810326)</f>
        <v>0.2141878783</v>
      </c>
      <c r="Z53" s="273">
        <f>IFERROR(__xludf.DUMMYFUNCTION("""COMPUTED_VALUE"""),-0.018807743433448314)</f>
        <v>-0.01880774343</v>
      </c>
      <c r="AA53" s="273">
        <f>IFERROR(__xludf.DUMMYFUNCTION("""COMPUTED_VALUE"""),0.04082364545181181)</f>
        <v>0.04082364545</v>
      </c>
      <c r="AB53" s="273">
        <f>IFERROR(__xludf.DUMMYFUNCTION("""COMPUTED_VALUE"""),-0.9432499290149442)</f>
        <v>-0.943249929</v>
      </c>
      <c r="AC53" s="273">
        <f>IFERROR(__xludf.DUMMYFUNCTION("""COMPUTED_VALUE"""),0.8651239486818252)</f>
        <v>0.8651239487</v>
      </c>
      <c r="AD53" s="273">
        <f>IFERROR(__xludf.DUMMYFUNCTION("""COMPUTED_VALUE"""),2.4659106039741876)</f>
        <v>2.465910604</v>
      </c>
      <c r="AE53" s="273">
        <f>IFERROR(__xludf.DUMMYFUNCTION("""COMPUTED_VALUE"""),-0.43290964108118263)</f>
        <v>-0.4329096411</v>
      </c>
      <c r="AF53" s="273">
        <f>IFERROR(__xludf.DUMMYFUNCTION("""COMPUTED_VALUE"""),0.016173707580785086)</f>
        <v>0.01617370758</v>
      </c>
      <c r="AG53" s="277">
        <f>IFERROR(__xludf.DUMMYFUNCTION("""COMPUTED_VALUE"""),0.0)</f>
        <v>0</v>
      </c>
      <c r="AH53" s="265"/>
      <c r="AI53" s="338"/>
      <c r="AJ53" s="339"/>
      <c r="AK53" s="265"/>
      <c r="AL53" s="265"/>
      <c r="AM53" s="265"/>
      <c r="AN53" s="265"/>
      <c r="AO53" s="265"/>
      <c r="AP53" s="265"/>
      <c r="AQ53" s="265"/>
      <c r="AR53" s="265"/>
      <c r="AS53" s="265"/>
      <c r="AT53" s="265"/>
      <c r="AU53" s="265"/>
      <c r="AV53" s="265"/>
      <c r="AW53" s="265"/>
      <c r="AX53" s="265"/>
      <c r="AY53" s="265"/>
      <c r="AZ53" s="265"/>
      <c r="BA53" s="265"/>
      <c r="BB53" s="265"/>
      <c r="BC53" s="265"/>
      <c r="BD53" s="265"/>
      <c r="BE53" s="265"/>
      <c r="BF53" s="265"/>
      <c r="BG53" s="265"/>
      <c r="BH53" s="265"/>
      <c r="BI53" s="265"/>
      <c r="BJ53" s="265"/>
      <c r="BK53" s="265"/>
      <c r="BL53" s="265"/>
      <c r="BM53" s="265"/>
      <c r="BN53" s="265"/>
      <c r="BO53" s="265"/>
      <c r="BP53" s="265"/>
      <c r="BQ53" s="265"/>
      <c r="BR53" s="265"/>
      <c r="BS53" s="265"/>
      <c r="BT53" s="265"/>
      <c r="BU53" s="265"/>
      <c r="BV53" s="265"/>
    </row>
    <row r="54">
      <c r="A54" s="251">
        <f>VLOOKUP($F54,UpdateHashtag!$V$3:$Y$32,COLUMN(B$15),0)</f>
        <v>4</v>
      </c>
      <c r="B54" s="252">
        <f>VLOOKUP($F54,UpdateHashtag!$V$3:$Y$32,COLUMN(C$13),0)</f>
        <v>3</v>
      </c>
      <c r="C54" s="252">
        <f>VLOOKUP($F54,UpdateHashtag!$V$3:$Y$32,COLUMN(D$13),0)</f>
        <v>4</v>
      </c>
      <c r="D54" s="268">
        <f t="shared" si="4"/>
        <v>11</v>
      </c>
      <c r="E54" s="19"/>
      <c r="F54" s="30" t="str">
        <f>IF(VLOOKUP(J54,PasteHashtag!$C$2:$P1015,3,)="BRO","BKN",IF(VLOOKUP(J54,PasteHashtag!$C$2:$P1015,3,)="OKL","OKC",VLOOKUP(J54,PasteHashtag!$C$2:$P1015,3,)))</f>
        <v>CLE</v>
      </c>
      <c r="G54" s="269">
        <v>35.0</v>
      </c>
      <c r="H54" s="270">
        <f>IFERROR(__xludf.DUMMYFUNCTION("""COMPUTED_VALUE"""),32.0)</f>
        <v>32</v>
      </c>
      <c r="I54" s="270">
        <f>IFERROR(__xludf.DUMMYFUNCTION("""COMPUTED_VALUE"""),39.0)</f>
        <v>39</v>
      </c>
      <c r="J54" s="271" t="str">
        <f>IFERROR(__xludf.DUMMYFUNCTION("""COMPUTED_VALUE"""),"Evan Mobley")</f>
        <v>Evan Mobley</v>
      </c>
      <c r="K54" s="270">
        <f>IFERROR(__xludf.DUMMYFUNCTION("""COMPUTED_VALUE"""),67.0)</f>
        <v>67</v>
      </c>
      <c r="L54" s="272" t="str">
        <f>IFERROR(__xludf.DUMMYFUNCTION("""COMPUTED_VALUE"""),"PF,C")</f>
        <v>PF,C</v>
      </c>
      <c r="M54" s="273">
        <f>IFERROR(__xludf.DUMMYFUNCTION("""COMPUTED_VALUE"""),2.1101174309394866)</f>
        <v>2.110117431</v>
      </c>
      <c r="N54" s="273">
        <f>IFERROR(__xludf.DUMMYFUNCTION("""COMPUTED_VALUE"""),2.112554223501651)</f>
        <v>2.112554224</v>
      </c>
      <c r="O54" s="274">
        <f>IFERROR(__xludf.DUMMYFUNCTION("""COMPUTED_VALUE"""),0.002436792562164225)</f>
        <v>0.002436792562</v>
      </c>
      <c r="P54" s="275">
        <f>IFERROR(__xludf.DUMMYFUNCTION("""COMPUTED_VALUE"""),18.58328767)</f>
        <v>18.58328767</v>
      </c>
      <c r="Q54" s="275">
        <f>IFERROR(__xludf.DUMMYFUNCTION("""COMPUTED_VALUE"""),0.73)</f>
        <v>0.73</v>
      </c>
      <c r="R54" s="275">
        <f>IFERROR(__xludf.DUMMYFUNCTION("""COMPUTED_VALUE"""),9.52)</f>
        <v>9.52</v>
      </c>
      <c r="S54" s="276">
        <f>IFERROR(__xludf.DUMMYFUNCTION("""COMPUTED_VALUE"""),3.943972603)</f>
        <v>3.943972603</v>
      </c>
      <c r="T54" s="275">
        <f>IFERROR(__xludf.DUMMYFUNCTION("""COMPUTED_VALUE"""),0.9609589041)</f>
        <v>0.9609589041</v>
      </c>
      <c r="U54" s="275">
        <f>IFERROR(__xludf.DUMMYFUNCTION("""COMPUTED_VALUE"""),1.554109589)</f>
        <v>1.554109589</v>
      </c>
      <c r="V54" s="272">
        <f>IFERROR(__xludf.DUMMYFUNCTION("""COMPUTED_VALUE"""),0.5641756499)</f>
        <v>0.5641756499</v>
      </c>
      <c r="W54" s="272">
        <f>IFERROR(__xludf.DUMMYFUNCTION("""COMPUTED_VALUE"""),0.7449994047)</f>
        <v>0.7449994047</v>
      </c>
      <c r="X54" s="275">
        <f>IFERROR(__xludf.DUMMYFUNCTION("""COMPUTED_VALUE"""),1.758493151)</f>
        <v>1.758493151</v>
      </c>
      <c r="Y54" s="273">
        <f>IFERROR(__xludf.DUMMYFUNCTION("""COMPUTED_VALUE"""),0.19731160813643003)</f>
        <v>0.1973116081</v>
      </c>
      <c r="Z54" s="273">
        <f>IFERROR(__xludf.DUMMYFUNCTION("""COMPUTED_VALUE"""),-1.0104445384348693)</f>
        <v>-1.010444538</v>
      </c>
      <c r="AA54" s="273">
        <f>IFERROR(__xludf.DUMMYFUNCTION("""COMPUTED_VALUE"""),1.3468537107461267)</f>
        <v>1.346853711</v>
      </c>
      <c r="AB54" s="273">
        <f>IFERROR(__xludf.DUMMYFUNCTION("""COMPUTED_VALUE"""),0.004831701004452462)</f>
        <v>0.004831701004</v>
      </c>
      <c r="AC54" s="273">
        <f>IFERROR(__xludf.DUMMYFUNCTION("""COMPUTED_VALUE"""),-0.049760658805007726)</f>
        <v>-0.04976065881</v>
      </c>
      <c r="AD54" s="273">
        <f>IFERROR(__xludf.DUMMYFUNCTION("""COMPUTED_VALUE"""),1.43662651566907)</f>
        <v>1.436626516</v>
      </c>
      <c r="AE54" s="273">
        <f>IFERROR(__xludf.DUMMYFUNCTION("""COMPUTED_VALUE"""),0.9952115986273099)</f>
        <v>0.9952115986</v>
      </c>
      <c r="AF54" s="273">
        <f>IFERROR(__xludf.DUMMYFUNCTION("""COMPUTED_VALUE"""),-0.8080757134418611)</f>
        <v>-0.8080757134</v>
      </c>
      <c r="AG54" s="277">
        <f>IFERROR(__xludf.DUMMYFUNCTION("""COMPUTED_VALUE"""),0.0)</f>
        <v>0</v>
      </c>
      <c r="AH54" s="265"/>
      <c r="AI54" s="338"/>
      <c r="AJ54" s="339"/>
      <c r="AK54" s="265"/>
      <c r="AL54" s="265"/>
      <c r="AM54" s="265"/>
      <c r="AN54" s="265"/>
      <c r="AO54" s="265"/>
      <c r="AP54" s="265"/>
      <c r="AQ54" s="265"/>
      <c r="AR54" s="265"/>
      <c r="AS54" s="265"/>
      <c r="AT54" s="265"/>
      <c r="AU54" s="265"/>
      <c r="AV54" s="265"/>
      <c r="AW54" s="265"/>
      <c r="AX54" s="265"/>
      <c r="AY54" s="265"/>
      <c r="AZ54" s="265"/>
      <c r="BA54" s="265"/>
      <c r="BB54" s="265"/>
      <c r="BC54" s="265"/>
      <c r="BD54" s="265"/>
      <c r="BE54" s="265"/>
      <c r="BF54" s="265"/>
      <c r="BG54" s="265"/>
      <c r="BH54" s="265"/>
      <c r="BI54" s="265"/>
      <c r="BJ54" s="265"/>
      <c r="BK54" s="265"/>
      <c r="BL54" s="265"/>
      <c r="BM54" s="265"/>
      <c r="BN54" s="265"/>
      <c r="BO54" s="265"/>
      <c r="BP54" s="265"/>
      <c r="BQ54" s="265"/>
      <c r="BR54" s="265"/>
      <c r="BS54" s="265"/>
      <c r="BT54" s="265"/>
      <c r="BU54" s="265"/>
      <c r="BV54" s="265"/>
    </row>
    <row r="55">
      <c r="A55" s="251">
        <f>VLOOKUP($F55,UpdateHashtag!$V$3:$Y$32,COLUMN(B$15),0)</f>
        <v>3</v>
      </c>
      <c r="B55" s="252">
        <f>VLOOKUP($F55,UpdateHashtag!$V$3:$Y$32,COLUMN(C$13),0)</f>
        <v>4</v>
      </c>
      <c r="C55" s="252">
        <f>VLOOKUP($F55,UpdateHashtag!$V$3:$Y$32,COLUMN(D$13),0)</f>
        <v>3</v>
      </c>
      <c r="D55" s="268">
        <f t="shared" si="4"/>
        <v>10</v>
      </c>
      <c r="E55" s="19"/>
      <c r="F55" s="30" t="str">
        <f>IF(VLOOKUP(J55,PasteHashtag!$C$2:$P1015,3,)="BRO","BKN",IF(VLOOKUP(J55,PasteHashtag!$C$2:$P1015,3,)="OKL","OKC",VLOOKUP(J55,PasteHashtag!$C$2:$P1015,3,)))</f>
        <v>BOS</v>
      </c>
      <c r="G55" s="269">
        <v>36.0</v>
      </c>
      <c r="H55" s="270">
        <f>IFERROR(__xludf.DUMMYFUNCTION("""COMPUTED_VALUE"""),37.0)</f>
        <v>37</v>
      </c>
      <c r="I55" s="270">
        <f>IFERROR(__xludf.DUMMYFUNCTION("""COMPUTED_VALUE"""),103.3)</f>
        <v>103.3</v>
      </c>
      <c r="J55" s="271" t="str">
        <f>IFERROR(__xludf.DUMMYFUNCTION("""COMPUTED_VALUE"""),"Kristaps Porzingis")</f>
        <v>Kristaps Porzingis</v>
      </c>
      <c r="K55" s="270">
        <f>IFERROR(__xludf.DUMMYFUNCTION("""COMPUTED_VALUE"""),68.0)</f>
        <v>68</v>
      </c>
      <c r="L55" s="272" t="str">
        <f>IFERROR(__xludf.DUMMYFUNCTION("""COMPUTED_VALUE"""),"C")</f>
        <v>C</v>
      </c>
      <c r="M55" s="273">
        <f>IFERROR(__xludf.DUMMYFUNCTION("""COMPUTED_VALUE"""),1.9648311103430747)</f>
        <v>1.96483111</v>
      </c>
      <c r="N55" s="273">
        <f>IFERROR(__xludf.DUMMYFUNCTION("""COMPUTED_VALUE"""),1.8856008183699582)</f>
        <v>1.885600818</v>
      </c>
      <c r="O55" s="274">
        <f>IFERROR(__xludf.DUMMYFUNCTION("""COMPUTED_VALUE"""),-0.07923029197311648)</f>
        <v>-0.07923029197</v>
      </c>
      <c r="P55" s="275">
        <f>IFERROR(__xludf.DUMMYFUNCTION("""COMPUTED_VALUE"""),18.43694444)</f>
        <v>18.43694444</v>
      </c>
      <c r="Q55" s="275">
        <f>IFERROR(__xludf.DUMMYFUNCTION("""COMPUTED_VALUE"""),1.805277778)</f>
        <v>1.805277778</v>
      </c>
      <c r="R55" s="275">
        <f>IFERROR(__xludf.DUMMYFUNCTION("""COMPUTED_VALUE"""),6.802777778)</f>
        <v>6.802777778</v>
      </c>
      <c r="S55" s="276">
        <f>IFERROR(__xludf.DUMMYFUNCTION("""COMPUTED_VALUE"""),1.943611111)</f>
        <v>1.943611111</v>
      </c>
      <c r="T55" s="275">
        <f>IFERROR(__xludf.DUMMYFUNCTION("""COMPUTED_VALUE"""),0.7430555556)</f>
        <v>0.7430555556</v>
      </c>
      <c r="U55" s="275">
        <f>IFERROR(__xludf.DUMMYFUNCTION("""COMPUTED_VALUE"""),1.783333333)</f>
        <v>1.783333333</v>
      </c>
      <c r="V55" s="272">
        <f>IFERROR(__xludf.DUMMYFUNCTION("""COMPUTED_VALUE"""),0.5063670087)</f>
        <v>0.5063670087</v>
      </c>
      <c r="W55" s="272">
        <f>IFERROR(__xludf.DUMMYFUNCTION("""COMPUTED_VALUE"""),0.8670216262)</f>
        <v>0.8670216262</v>
      </c>
      <c r="X55" s="275">
        <f>IFERROR(__xludf.DUMMYFUNCTION("""COMPUTED_VALUE"""),1.429166667)</f>
        <v>1.429166667</v>
      </c>
      <c r="Y55" s="273">
        <f>IFERROR(__xludf.DUMMYFUNCTION("""COMPUTED_VALUE"""),0.1709324157371904)</f>
        <v>0.1709324157</v>
      </c>
      <c r="Z55" s="273">
        <f>IFERROR(__xludf.DUMMYFUNCTION("""COMPUTED_VALUE"""),0.056154176958274196)</f>
        <v>0.05615417696</v>
      </c>
      <c r="AA55" s="273">
        <f>IFERROR(__xludf.DUMMYFUNCTION("""COMPUTED_VALUE"""),0.2819553113409285)</f>
        <v>0.2819553113</v>
      </c>
      <c r="AB55" s="273">
        <f>IFERROR(__xludf.DUMMYFUNCTION("""COMPUTED_VALUE"""),-0.9036092853580823)</f>
        <v>-0.9036092854</v>
      </c>
      <c r="AC55" s="273">
        <f>IFERROR(__xludf.DUMMYFUNCTION("""COMPUTED_VALUE"""),-0.7706532220375559)</f>
        <v>-0.770653222</v>
      </c>
      <c r="AD55" s="273">
        <f>IFERROR(__xludf.DUMMYFUNCTION("""COMPUTED_VALUE"""),1.8454809478333571)</f>
        <v>1.845480948</v>
      </c>
      <c r="AE55" s="273">
        <f>IFERROR(__xludf.DUMMYFUNCTION("""COMPUTED_VALUE"""),0.13583801010857285)</f>
        <v>0.1358380101</v>
      </c>
      <c r="AF55" s="273">
        <f>IFERROR(__xludf.DUMMYFUNCTION("""COMPUTED_VALUE"""),1.069502463787273)</f>
        <v>1.069502464</v>
      </c>
      <c r="AG55" s="277">
        <f>IFERROR(__xludf.DUMMYFUNCTION("""COMPUTED_VALUE"""),0.0)</f>
        <v>0</v>
      </c>
      <c r="AH55" s="265"/>
      <c r="AI55" s="338"/>
      <c r="AJ55" s="339"/>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row>
    <row r="56">
      <c r="A56" s="251">
        <f>VLOOKUP($F56,UpdateHashtag!$V$3:$Y$32,COLUMN(B$15),0)</f>
        <v>4</v>
      </c>
      <c r="B56" s="252">
        <f>VLOOKUP($F56,UpdateHashtag!$V$3:$Y$32,COLUMN(C$13),0)</f>
        <v>4</v>
      </c>
      <c r="C56" s="252">
        <f>VLOOKUP($F56,UpdateHashtag!$V$3:$Y$32,COLUMN(D$13),0)</f>
        <v>4</v>
      </c>
      <c r="D56" s="268">
        <f t="shared" si="4"/>
        <v>12</v>
      </c>
      <c r="E56" s="19"/>
      <c r="F56" s="30" t="str">
        <f>IF(VLOOKUP(J56,PasteHashtag!$C$2:$P1015,3,)="BRO","BKN",IF(VLOOKUP(J56,PasteHashtag!$C$2:$P1015,3,)="OKL","OKC",VLOOKUP(J56,PasteHashtag!$C$2:$P1015,3,)))</f>
        <v>MIA</v>
      </c>
      <c r="G56" s="269">
        <v>37.0</v>
      </c>
      <c r="H56" s="270">
        <f>IFERROR(__xludf.DUMMYFUNCTION("""COMPUTED_VALUE"""),38.0)</f>
        <v>38</v>
      </c>
      <c r="I56" s="270">
        <f>IFERROR(__xludf.DUMMYFUNCTION("""COMPUTED_VALUE"""),46.0)</f>
        <v>46</v>
      </c>
      <c r="J56" s="271" t="str">
        <f>IFERROR(__xludf.DUMMYFUNCTION("""COMPUTED_VALUE"""),"Jimmy Butler")</f>
        <v>Jimmy Butler</v>
      </c>
      <c r="K56" s="270">
        <f>IFERROR(__xludf.DUMMYFUNCTION("""COMPUTED_VALUE"""),63.0)</f>
        <v>63</v>
      </c>
      <c r="L56" s="272" t="str">
        <f>IFERROR(__xludf.DUMMYFUNCTION("""COMPUTED_VALUE"""),"PF,C")</f>
        <v>PF,C</v>
      </c>
      <c r="M56" s="273">
        <f>IFERROR(__xludf.DUMMYFUNCTION("""COMPUTED_VALUE"""),1.7687044167560737)</f>
        <v>1.768704417</v>
      </c>
      <c r="N56" s="273">
        <f>IFERROR(__xludf.DUMMYFUNCTION("""COMPUTED_VALUE"""),1.727243972014689)</f>
        <v>1.727243972</v>
      </c>
      <c r="O56" s="274">
        <f>IFERROR(__xludf.DUMMYFUNCTION("""COMPUTED_VALUE"""),-0.04146044474138466)</f>
        <v>-0.04146044474</v>
      </c>
      <c r="P56" s="275">
        <f>IFERROR(__xludf.DUMMYFUNCTION("""COMPUTED_VALUE"""),19.37639344)</f>
        <v>19.37639344</v>
      </c>
      <c r="Q56" s="275">
        <f>IFERROR(__xludf.DUMMYFUNCTION("""COMPUTED_VALUE"""),0.8672131148)</f>
        <v>0.8672131148</v>
      </c>
      <c r="R56" s="275">
        <f>IFERROR(__xludf.DUMMYFUNCTION("""COMPUTED_VALUE"""),5.153114754)</f>
        <v>5.153114754</v>
      </c>
      <c r="S56" s="276">
        <f>IFERROR(__xludf.DUMMYFUNCTION("""COMPUTED_VALUE"""),5.274098361)</f>
        <v>5.274098361</v>
      </c>
      <c r="T56" s="275">
        <f>IFERROR(__xludf.DUMMYFUNCTION("""COMPUTED_VALUE"""),1.440983607)</f>
        <v>1.440983607</v>
      </c>
      <c r="U56" s="275">
        <f>IFERROR(__xludf.DUMMYFUNCTION("""COMPUTED_VALUE"""),0.2750819672)</f>
        <v>0.2750819672</v>
      </c>
      <c r="V56" s="272">
        <f>IFERROR(__xludf.DUMMYFUNCTION("""COMPUTED_VALUE"""),0.4986563192)</f>
        <v>0.4986563192</v>
      </c>
      <c r="W56" s="272">
        <f>IFERROR(__xludf.DUMMYFUNCTION("""COMPUTED_VALUE"""),0.8470101196)</f>
        <v>0.8470101196</v>
      </c>
      <c r="X56" s="275">
        <f>IFERROR(__xludf.DUMMYFUNCTION("""COMPUTED_VALUE"""),1.58147541)</f>
        <v>1.58147541</v>
      </c>
      <c r="Y56" s="273">
        <f>IFERROR(__xludf.DUMMYFUNCTION("""COMPUTED_VALUE"""),0.34027339529786704)</f>
        <v>0.3402733953</v>
      </c>
      <c r="Z56" s="273">
        <f>IFERROR(__xludf.DUMMYFUNCTION("""COMPUTED_VALUE"""),-0.8743389339342508)</f>
        <v>-0.8743389339</v>
      </c>
      <c r="AA56" s="273">
        <f>IFERROR(__xludf.DUMMYFUNCTION("""COMPUTED_VALUE"""),-0.36455916936374905)</f>
        <v>-0.3645591694</v>
      </c>
      <c r="AB56" s="273">
        <f>IFERROR(__xludf.DUMMYFUNCTION("""COMPUTED_VALUE"""),0.6088928971513606)</f>
        <v>0.6088928972</v>
      </c>
      <c r="AC56" s="273">
        <f>IFERROR(__xludf.DUMMYFUNCTION("""COMPUTED_VALUE"""),1.5383114881841586)</f>
        <v>1.538311488</v>
      </c>
      <c r="AD56" s="273">
        <f>IFERROR(__xludf.DUMMYFUNCTION("""COMPUTED_VALUE"""),-0.844708318620512)</f>
        <v>-0.8447083186</v>
      </c>
      <c r="AE56" s="273">
        <f>IFERROR(__xludf.DUMMYFUNCTION("""COMPUTED_VALUE"""),0.020504539936560165)</f>
        <v>0.02050453994</v>
      </c>
      <c r="AF56" s="273">
        <f>IFERROR(__xludf.DUMMYFUNCTION("""COMPUTED_VALUE"""),1.3028680733632545)</f>
        <v>1.302868073</v>
      </c>
      <c r="AG56" s="277">
        <f>IFERROR(__xludf.DUMMYFUNCTION("""COMPUTED_VALUE"""),0.0)</f>
        <v>0</v>
      </c>
      <c r="AH56" s="265"/>
      <c r="AI56" s="338"/>
      <c r="AJ56" s="339"/>
      <c r="AK56" s="265"/>
      <c r="AL56" s="265"/>
      <c r="AM56" s="265"/>
      <c r="AN56" s="265"/>
      <c r="AO56" s="265"/>
      <c r="AP56" s="265"/>
      <c r="AQ56" s="265"/>
      <c r="AR56" s="265"/>
      <c r="AS56" s="265"/>
      <c r="AT56" s="265"/>
      <c r="AU56" s="265"/>
      <c r="AV56" s="265"/>
      <c r="AW56" s="265"/>
      <c r="AX56" s="265"/>
      <c r="AY56" s="265"/>
      <c r="AZ56" s="265"/>
      <c r="BA56" s="265"/>
      <c r="BB56" s="265"/>
      <c r="BC56" s="265"/>
      <c r="BD56" s="265"/>
      <c r="BE56" s="265"/>
      <c r="BF56" s="265"/>
      <c r="BG56" s="265"/>
      <c r="BH56" s="265"/>
      <c r="BI56" s="265"/>
      <c r="BJ56" s="265"/>
      <c r="BK56" s="265"/>
      <c r="BL56" s="265"/>
      <c r="BM56" s="265"/>
      <c r="BN56" s="265"/>
      <c r="BO56" s="265"/>
      <c r="BP56" s="265"/>
      <c r="BQ56" s="265"/>
      <c r="BR56" s="265"/>
      <c r="BS56" s="265"/>
      <c r="BT56" s="265"/>
      <c r="BU56" s="265"/>
      <c r="BV56" s="265"/>
    </row>
    <row r="57">
      <c r="A57" s="251">
        <f>VLOOKUP($F57,UpdateHashtag!$V$3:$Y$32,COLUMN(B$15),0)</f>
        <v>3</v>
      </c>
      <c r="B57" s="252">
        <f>VLOOKUP($F57,UpdateHashtag!$V$3:$Y$32,COLUMN(C$13),0)</f>
        <v>4</v>
      </c>
      <c r="C57" s="252">
        <f>VLOOKUP($F57,UpdateHashtag!$V$3:$Y$32,COLUMN(D$13),0)</f>
        <v>3</v>
      </c>
      <c r="D57" s="268">
        <f t="shared" si="4"/>
        <v>10</v>
      </c>
      <c r="E57" s="19"/>
      <c r="F57" s="30" t="str">
        <f>IF(VLOOKUP(J57,PasteHashtag!$C$2:$P1015,3,)="BRO","BKN",IF(VLOOKUP(J57,PasteHashtag!$C$2:$P1015,3,)="OKL","OKC",VLOOKUP(J57,PasteHashtag!$C$2:$P1015,3,)))</f>
        <v>TOR</v>
      </c>
      <c r="G57" s="269">
        <v>38.0</v>
      </c>
      <c r="H57" s="270">
        <f>IFERROR(__xludf.DUMMYFUNCTION("""COMPUTED_VALUE"""),41.0)</f>
        <v>41</v>
      </c>
      <c r="I57" s="270">
        <f>IFERROR(__xludf.DUMMYFUNCTION("""COMPUTED_VALUE"""),53.8)</f>
        <v>53.8</v>
      </c>
      <c r="J57" s="271" t="str">
        <f>IFERROR(__xludf.DUMMYFUNCTION("""COMPUTED_VALUE"""),"Immanuel Quickley")</f>
        <v>Immanuel Quickley</v>
      </c>
      <c r="K57" s="270">
        <f>IFERROR(__xludf.DUMMYFUNCTION("""COMPUTED_VALUE"""),65.0)</f>
        <v>65</v>
      </c>
      <c r="L57" s="272" t="str">
        <f>IFERROR(__xludf.DUMMYFUNCTION("""COMPUTED_VALUE"""),"PG,SG")</f>
        <v>PG,SG</v>
      </c>
      <c r="M57" s="273">
        <f>IFERROR(__xludf.DUMMYFUNCTION("""COMPUTED_VALUE"""),1.6461272906673718)</f>
        <v>1.646127291</v>
      </c>
      <c r="N57" s="273">
        <f>IFERROR(__xludf.DUMMYFUNCTION("""COMPUTED_VALUE"""),1.7015614961341547)</f>
        <v>1.701561496</v>
      </c>
      <c r="O57" s="274">
        <f>IFERROR(__xludf.DUMMYFUNCTION("""COMPUTED_VALUE"""),0.055434205466782904)</f>
        <v>0.05543420547</v>
      </c>
      <c r="P57" s="275">
        <f>IFERROR(__xludf.DUMMYFUNCTION("""COMPUTED_VALUE"""),20.93103896)</f>
        <v>20.93103896</v>
      </c>
      <c r="Q57" s="275">
        <f>IFERROR(__xludf.DUMMYFUNCTION("""COMPUTED_VALUE"""),2.955974026)</f>
        <v>2.955974026</v>
      </c>
      <c r="R57" s="275">
        <f>IFERROR(__xludf.DUMMYFUNCTION("""COMPUTED_VALUE"""),4.787012987)</f>
        <v>4.787012987</v>
      </c>
      <c r="S57" s="276">
        <f>IFERROR(__xludf.DUMMYFUNCTION("""COMPUTED_VALUE"""),7.07)</f>
        <v>7.07</v>
      </c>
      <c r="T57" s="275">
        <f>IFERROR(__xludf.DUMMYFUNCTION("""COMPUTED_VALUE"""),1.045454545)</f>
        <v>1.045454545</v>
      </c>
      <c r="U57" s="275">
        <f>IFERROR(__xludf.DUMMYFUNCTION("""COMPUTED_VALUE"""),0.2188311688)</f>
        <v>0.2188311688</v>
      </c>
      <c r="V57" s="272">
        <f>IFERROR(__xludf.DUMMYFUNCTION("""COMPUTED_VALUE"""),0.434168524)</f>
        <v>0.434168524</v>
      </c>
      <c r="W57" s="272">
        <f>IFERROR(__xludf.DUMMYFUNCTION("""COMPUTED_VALUE"""),0.8440125359)</f>
        <v>0.8440125359</v>
      </c>
      <c r="X57" s="275">
        <f>IFERROR(__xludf.DUMMYFUNCTION("""COMPUTED_VALUE"""),1.972207792)</f>
        <v>1.972207792</v>
      </c>
      <c r="Y57" s="273">
        <f>IFERROR(__xludf.DUMMYFUNCTION("""COMPUTED_VALUE"""),0.6205070165230928)</f>
        <v>0.6205070165</v>
      </c>
      <c r="Z57" s="273">
        <f>IFERROR(__xludf.DUMMYFUNCTION("""COMPUTED_VALUE"""),1.1975626251151092)</f>
        <v>1.197562625</v>
      </c>
      <c r="AA57" s="273">
        <f>IFERROR(__xludf.DUMMYFUNCTION("""COMPUTED_VALUE"""),-0.5080370132225259)</f>
        <v>-0.5080370132</v>
      </c>
      <c r="AB57" s="273">
        <f>IFERROR(__xludf.DUMMYFUNCTION("""COMPUTED_VALUE"""),1.424480811069898)</f>
        <v>1.424480811</v>
      </c>
      <c r="AC57" s="273">
        <f>IFERROR(__xludf.DUMMYFUNCTION("""COMPUTED_VALUE"""),0.2297774004753338)</f>
        <v>0.2297774005</v>
      </c>
      <c r="AD57" s="273">
        <f>IFERROR(__xludf.DUMMYFUNCTION("""COMPUTED_VALUE"""),-0.9450399327774633)</f>
        <v>-0.9450399328</v>
      </c>
      <c r="AE57" s="273">
        <f>IFERROR(__xludf.DUMMYFUNCTION("""COMPUTED_VALUE"""),-1.1671272085234643)</f>
        <v>-1.167127209</v>
      </c>
      <c r="AF57" s="273">
        <f>IFERROR(__xludf.DUMMYFUNCTION("""COMPUTED_VALUE"""),0.8494377974741747)</f>
        <v>0.8494377975</v>
      </c>
      <c r="AG57" s="277">
        <f>IFERROR(__xludf.DUMMYFUNCTION("""COMPUTED_VALUE"""),0.0)</f>
        <v>0</v>
      </c>
      <c r="AH57" s="265"/>
      <c r="AI57" s="338"/>
      <c r="AJ57" s="339"/>
      <c r="AK57" s="265"/>
      <c r="AL57" s="265"/>
      <c r="AM57" s="265"/>
      <c r="AN57" s="265"/>
      <c r="AO57" s="265"/>
      <c r="AP57" s="265"/>
      <c r="AQ57" s="265"/>
      <c r="AR57" s="265"/>
      <c r="AS57" s="265"/>
      <c r="AT57" s="265"/>
      <c r="AU57" s="265"/>
      <c r="AV57" s="265"/>
      <c r="AW57" s="265"/>
      <c r="AX57" s="265"/>
      <c r="AY57" s="265"/>
      <c r="AZ57" s="265"/>
      <c r="BA57" s="265"/>
      <c r="BB57" s="265"/>
      <c r="BC57" s="265"/>
      <c r="BD57" s="265"/>
      <c r="BE57" s="265"/>
      <c r="BF57" s="265"/>
      <c r="BG57" s="265"/>
      <c r="BH57" s="265"/>
      <c r="BI57" s="265"/>
      <c r="BJ57" s="265"/>
      <c r="BK57" s="265"/>
      <c r="BL57" s="265"/>
      <c r="BM57" s="265"/>
      <c r="BN57" s="265"/>
      <c r="BO57" s="265"/>
      <c r="BP57" s="265"/>
      <c r="BQ57" s="265"/>
      <c r="BR57" s="265"/>
      <c r="BS57" s="265"/>
      <c r="BT57" s="265"/>
      <c r="BU57" s="265"/>
      <c r="BV57" s="265"/>
    </row>
    <row r="58">
      <c r="A58" s="251">
        <f>VLOOKUP($F58,UpdateHashtag!$V$3:$Y$32,COLUMN(B$15),0)</f>
        <v>4</v>
      </c>
      <c r="B58" s="252">
        <f>VLOOKUP($F58,UpdateHashtag!$V$3:$Y$32,COLUMN(C$13),0)</f>
        <v>4</v>
      </c>
      <c r="C58" s="252">
        <f>VLOOKUP($F58,UpdateHashtag!$V$3:$Y$32,COLUMN(D$13),0)</f>
        <v>3</v>
      </c>
      <c r="D58" s="268">
        <f t="shared" si="4"/>
        <v>11</v>
      </c>
      <c r="E58" s="19"/>
      <c r="F58" s="30" t="str">
        <f>IF(VLOOKUP(J58,PasteHashtag!$C$2:$P1015,3,)="BRO","BKN",IF(VLOOKUP(J58,PasteHashtag!$C$2:$P1015,3,)="OKL","OKC",VLOOKUP(J58,PasteHashtag!$C$2:$P1015,3,)))</f>
        <v>MEM</v>
      </c>
      <c r="G58" s="269">
        <v>39.0</v>
      </c>
      <c r="H58" s="270">
        <f>IFERROR(__xludf.DUMMYFUNCTION("""COMPUTED_VALUE"""),40.0)</f>
        <v>40</v>
      </c>
      <c r="I58" s="270">
        <f>IFERROR(__xludf.DUMMYFUNCTION("""COMPUTED_VALUE"""),44.1)</f>
        <v>44.1</v>
      </c>
      <c r="J58" s="271" t="str">
        <f>IFERROR(__xludf.DUMMYFUNCTION("""COMPUTED_VALUE"""),"Desmond Bane")</f>
        <v>Desmond Bane</v>
      </c>
      <c r="K58" s="270">
        <f>IFERROR(__xludf.DUMMYFUNCTION("""COMPUTED_VALUE"""),68.0)</f>
        <v>68</v>
      </c>
      <c r="L58" s="272" t="str">
        <f>IFERROR(__xludf.DUMMYFUNCTION("""COMPUTED_VALUE"""),"SG,SF")</f>
        <v>SG,SF</v>
      </c>
      <c r="M58" s="273">
        <f>IFERROR(__xludf.DUMMYFUNCTION("""COMPUTED_VALUE"""),1.4725520317509155)</f>
        <v>1.472552032</v>
      </c>
      <c r="N58" s="273">
        <f>IFERROR(__xludf.DUMMYFUNCTION("""COMPUTED_VALUE"""),1.5834555305859963)</f>
        <v>1.583455531</v>
      </c>
      <c r="O58" s="274">
        <f>IFERROR(__xludf.DUMMYFUNCTION("""COMPUTED_VALUE"""),0.11090349883508077)</f>
        <v>0.1109034988</v>
      </c>
      <c r="P58" s="275">
        <f>IFERROR(__xludf.DUMMYFUNCTION("""COMPUTED_VALUE"""),21.32273973)</f>
        <v>21.32273973</v>
      </c>
      <c r="Q58" s="275">
        <f>IFERROR(__xludf.DUMMYFUNCTION("""COMPUTED_VALUE"""),2.957671233)</f>
        <v>2.957671233</v>
      </c>
      <c r="R58" s="275">
        <f>IFERROR(__xludf.DUMMYFUNCTION("""COMPUTED_VALUE"""),4.887534247)</f>
        <v>4.887534247</v>
      </c>
      <c r="S58" s="276">
        <f>IFERROR(__xludf.DUMMYFUNCTION("""COMPUTED_VALUE"""),4.816712329)</f>
        <v>4.816712329</v>
      </c>
      <c r="T58" s="275">
        <f>IFERROR(__xludf.DUMMYFUNCTION("""COMPUTED_VALUE"""),0.9191780822)</f>
        <v>0.9191780822</v>
      </c>
      <c r="U58" s="275">
        <f>IFERROR(__xludf.DUMMYFUNCTION("""COMPUTED_VALUE"""),0.4254794521)</f>
        <v>0.4254794521</v>
      </c>
      <c r="V58" s="272">
        <f>IFERROR(__xludf.DUMMYFUNCTION("""COMPUTED_VALUE"""),0.474470924)</f>
        <v>0.474470924</v>
      </c>
      <c r="W58" s="272">
        <f>IFERROR(__xludf.DUMMYFUNCTION("""COMPUTED_VALUE"""),0.8749848772)</f>
        <v>0.8749848772</v>
      </c>
      <c r="X58" s="275">
        <f>IFERROR(__xludf.DUMMYFUNCTION("""COMPUTED_VALUE"""),2.195890411)</f>
        <v>2.195890411</v>
      </c>
      <c r="Y58" s="273">
        <f>IFERROR(__xludf.DUMMYFUNCTION("""COMPUTED_VALUE"""),0.6911132890152358)</f>
        <v>0.691113289</v>
      </c>
      <c r="Z58" s="273">
        <f>IFERROR(__xludf.DUMMYFUNCTION("""COMPUTED_VALUE"""),1.1992461331750672)</f>
        <v>1.199246133</v>
      </c>
      <c r="AA58" s="273">
        <f>IFERROR(__xludf.DUMMYFUNCTION("""COMPUTED_VALUE"""),-0.4686420281478773)</f>
        <v>-0.4686420281</v>
      </c>
      <c r="AB58" s="273">
        <f>IFERROR(__xludf.DUMMYFUNCTION("""COMPUTED_VALUE"""),0.40117633206037145)</f>
        <v>0.4011763321</v>
      </c>
      <c r="AC58" s="273">
        <f>IFERROR(__xludf.DUMMYFUNCTION("""COMPUTED_VALUE"""),-0.18798471089410898)</f>
        <v>-0.1879847109</v>
      </c>
      <c r="AD58" s="273">
        <f>IFERROR(__xludf.DUMMYFUNCTION("""COMPUTED_VALUE"""),-0.5764521719635303)</f>
        <v>-0.576452172</v>
      </c>
      <c r="AE58" s="273">
        <f>IFERROR(__xludf.DUMMYFUNCTION("""COMPUTED_VALUE"""),-0.4297271198730037)</f>
        <v>-0.4297271199</v>
      </c>
      <c r="AF58" s="273">
        <f>IFERROR(__xludf.DUMMYFUNCTION("""COMPUTED_VALUE"""),0.9547258072138423)</f>
        <v>0.9547258072</v>
      </c>
      <c r="AG58" s="277">
        <f>IFERROR(__xludf.DUMMYFUNCTION("""COMPUTED_VALUE"""),0.0)</f>
        <v>0</v>
      </c>
      <c r="AH58" s="265"/>
      <c r="AI58" s="338"/>
      <c r="AJ58" s="339"/>
      <c r="AK58" s="265"/>
      <c r="AL58" s="265"/>
      <c r="AM58" s="265"/>
      <c r="AN58" s="265"/>
      <c r="AO58" s="265"/>
      <c r="AP58" s="265"/>
      <c r="AQ58" s="265"/>
      <c r="AR58" s="265"/>
      <c r="AS58" s="265"/>
      <c r="AT58" s="265"/>
      <c r="AU58" s="265"/>
      <c r="AV58" s="265"/>
      <c r="AW58" s="265"/>
      <c r="AX58" s="265"/>
      <c r="AY58" s="265"/>
      <c r="AZ58" s="265"/>
      <c r="BA58" s="265"/>
      <c r="BB58" s="265"/>
      <c r="BC58" s="265"/>
      <c r="BD58" s="265"/>
      <c r="BE58" s="265"/>
      <c r="BF58" s="265"/>
      <c r="BG58" s="265"/>
      <c r="BH58" s="265"/>
      <c r="BI58" s="265"/>
      <c r="BJ58" s="265"/>
      <c r="BK58" s="265"/>
      <c r="BL58" s="265"/>
      <c r="BM58" s="265"/>
      <c r="BN58" s="265"/>
      <c r="BO58" s="265"/>
      <c r="BP58" s="265"/>
      <c r="BQ58" s="265"/>
      <c r="BR58" s="265"/>
      <c r="BS58" s="265"/>
      <c r="BT58" s="265"/>
      <c r="BU58" s="265"/>
      <c r="BV58" s="265"/>
    </row>
    <row r="59">
      <c r="A59" s="251">
        <f>VLOOKUP($F59,UpdateHashtag!$V$3:$Y$32,COLUMN(B$15),0)</f>
        <v>3</v>
      </c>
      <c r="B59" s="252">
        <f>VLOOKUP($F59,UpdateHashtag!$V$3:$Y$32,COLUMN(C$13),0)</f>
        <v>4</v>
      </c>
      <c r="C59" s="252">
        <f>VLOOKUP($F59,UpdateHashtag!$V$3:$Y$32,COLUMN(D$13),0)</f>
        <v>3</v>
      </c>
      <c r="D59" s="268">
        <f t="shared" si="4"/>
        <v>10</v>
      </c>
      <c r="E59" s="19"/>
      <c r="F59" s="30" t="str">
        <f>IF(VLOOKUP(J59,PasteHashtag!$C$2:$P1015,3,)="BRO","BKN",IF(VLOOKUP(J59,PasteHashtag!$C$2:$P1015,3,)="OKL","OKC",VLOOKUP(J59,PasteHashtag!$C$2:$P1015,3,)))</f>
        <v>BOS</v>
      </c>
      <c r="G59" s="269">
        <v>40.0</v>
      </c>
      <c r="H59" s="270">
        <f>IFERROR(__xludf.DUMMYFUNCTION("""COMPUTED_VALUE"""),42.0)</f>
        <v>42</v>
      </c>
      <c r="I59" s="270">
        <f>IFERROR(__xludf.DUMMYFUNCTION("""COMPUTED_VALUE"""),48.4)</f>
        <v>48.4</v>
      </c>
      <c r="J59" s="271" t="str">
        <f>IFERROR(__xludf.DUMMYFUNCTION("""COMPUTED_VALUE"""),"Derrick White")</f>
        <v>Derrick White</v>
      </c>
      <c r="K59" s="270">
        <f>IFERROR(__xludf.DUMMYFUNCTION("""COMPUTED_VALUE"""),70.0)</f>
        <v>70</v>
      </c>
      <c r="L59" s="272" t="str">
        <f>IFERROR(__xludf.DUMMYFUNCTION("""COMPUTED_VALUE"""),"C")</f>
        <v>C</v>
      </c>
      <c r="M59" s="273">
        <f>IFERROR(__xludf.DUMMYFUNCTION("""COMPUTED_VALUE"""),1.4242579331885532)</f>
        <v>1.424257933</v>
      </c>
      <c r="N59" s="273">
        <f>IFERROR(__xludf.DUMMYFUNCTION("""COMPUTED_VALUE"""),1.3585544762211246)</f>
        <v>1.358554476</v>
      </c>
      <c r="O59" s="274">
        <f>IFERROR(__xludf.DUMMYFUNCTION("""COMPUTED_VALUE"""),-0.06570345696742863)</f>
        <v>-0.06570345697</v>
      </c>
      <c r="P59" s="275">
        <f>IFERROR(__xludf.DUMMYFUNCTION("""COMPUTED_VALUE"""),15.688)</f>
        <v>15.688</v>
      </c>
      <c r="Q59" s="275">
        <f>IFERROR(__xludf.DUMMYFUNCTION("""COMPUTED_VALUE"""),2.864857143)</f>
        <v>2.864857143</v>
      </c>
      <c r="R59" s="275">
        <f>IFERROR(__xludf.DUMMYFUNCTION("""COMPUTED_VALUE"""),4.312)</f>
        <v>4.312</v>
      </c>
      <c r="S59" s="276">
        <f>IFERROR(__xludf.DUMMYFUNCTION("""COMPUTED_VALUE"""),5.39)</f>
        <v>5.39</v>
      </c>
      <c r="T59" s="275">
        <f>IFERROR(__xludf.DUMMYFUNCTION("""COMPUTED_VALUE"""),0.9417142857)</f>
        <v>0.9417142857</v>
      </c>
      <c r="U59" s="275">
        <f>IFERROR(__xludf.DUMMYFUNCTION("""COMPUTED_VALUE"""),1.078)</f>
        <v>1.078</v>
      </c>
      <c r="V59" s="272">
        <f>IFERROR(__xludf.DUMMYFUNCTION("""COMPUTED_VALUE"""),0.4605479809)</f>
        <v>0.4605479809</v>
      </c>
      <c r="W59" s="272">
        <f>IFERROR(__xludf.DUMMYFUNCTION("""COMPUTED_VALUE"""),0.8910332542)</f>
        <v>0.8910332542</v>
      </c>
      <c r="X59" s="275">
        <f>IFERROR(__xludf.DUMMYFUNCTION("""COMPUTED_VALUE"""),1.483714286)</f>
        <v>1.483714286</v>
      </c>
      <c r="Y59" s="273">
        <f>IFERROR(__xludf.DUMMYFUNCTION("""COMPUTED_VALUE"""),-0.3245803201616992)</f>
        <v>-0.3245803202</v>
      </c>
      <c r="Z59" s="273">
        <f>IFERROR(__xludf.DUMMYFUNCTION("""COMPUTED_VALUE"""),1.1071811884790896)</f>
        <v>1.107181188</v>
      </c>
      <c r="AA59" s="273">
        <f>IFERROR(__xludf.DUMMYFUNCTION("""COMPUTED_VALUE"""),-0.6941979261789422)</f>
        <v>-0.6941979262</v>
      </c>
      <c r="AB59" s="273">
        <f>IFERROR(__xludf.DUMMYFUNCTION("""COMPUTED_VALUE"""),0.6615282831429813)</f>
        <v>0.6615282831</v>
      </c>
      <c r="AC59" s="273">
        <f>IFERROR(__xludf.DUMMYFUNCTION("""COMPUTED_VALUE"""),-0.1134278873368731)</f>
        <v>-0.1134278873</v>
      </c>
      <c r="AD59" s="273">
        <f>IFERROR(__xludf.DUMMYFUNCTION("""COMPUTED_VALUE"""),0.5874146833269236)</f>
        <v>0.5874146833</v>
      </c>
      <c r="AE59" s="273">
        <f>IFERROR(__xludf.DUMMYFUNCTION("""COMPUTED_VALUE"""),-0.5147930781920822)</f>
        <v>-0.5147930782</v>
      </c>
      <c r="AF59" s="273">
        <f>IFERROR(__xludf.DUMMYFUNCTION("""COMPUTED_VALUE"""),0.6494295331417268)</f>
        <v>0.6494295331</v>
      </c>
      <c r="AG59" s="277">
        <f>IFERROR(__xludf.DUMMYFUNCTION("""COMPUTED_VALUE"""),0.0)</f>
        <v>0</v>
      </c>
      <c r="AH59" s="265"/>
      <c r="AI59" s="338"/>
      <c r="AJ59" s="339"/>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5"/>
      <c r="BM59" s="265"/>
      <c r="BN59" s="265"/>
      <c r="BO59" s="265"/>
      <c r="BP59" s="265"/>
      <c r="BQ59" s="265"/>
      <c r="BR59" s="265"/>
      <c r="BS59" s="265"/>
      <c r="BT59" s="265"/>
      <c r="BU59" s="265"/>
      <c r="BV59" s="265"/>
    </row>
    <row r="60">
      <c r="A60" s="251">
        <f>VLOOKUP($F60,UpdateHashtag!$V$3:$Y$32,COLUMN(B$15),0)</f>
        <v>4</v>
      </c>
      <c r="B60" s="252">
        <f>VLOOKUP($F60,UpdateHashtag!$V$3:$Y$32,COLUMN(C$13),0)</f>
        <v>2</v>
      </c>
      <c r="C60" s="252">
        <f>VLOOKUP($F60,UpdateHashtag!$V$3:$Y$32,COLUMN(D$13),0)</f>
        <v>4</v>
      </c>
      <c r="D60" s="268">
        <f t="shared" si="4"/>
        <v>10</v>
      </c>
      <c r="E60" s="19"/>
      <c r="F60" s="30" t="str">
        <f>IF(VLOOKUP(J60,PasteHashtag!$C$2:$P1015,3,)="BRO","BKN",IF(VLOOKUP(J60,PasteHashtag!$C$2:$P1015,3,)="OKL","OKC",VLOOKUP(J60,PasteHashtag!$C$2:$P1015,3,)))</f>
        <v>NO</v>
      </c>
      <c r="G60" s="269">
        <v>41.0</v>
      </c>
      <c r="H60" s="270">
        <f>IFERROR(__xludf.DUMMYFUNCTION("""COMPUTED_VALUE"""),39.0)</f>
        <v>39</v>
      </c>
      <c r="I60" s="270">
        <f>IFERROR(__xludf.DUMMYFUNCTION("""COMPUTED_VALUE"""),46.6)</f>
        <v>46.6</v>
      </c>
      <c r="J60" s="271" t="str">
        <f>IFERROR(__xludf.DUMMYFUNCTION("""COMPUTED_VALUE"""),"Zion Williamson")</f>
        <v>Zion Williamson</v>
      </c>
      <c r="K60" s="270">
        <f>IFERROR(__xludf.DUMMYFUNCTION("""COMPUTED_VALUE"""),69.0)</f>
        <v>69</v>
      </c>
      <c r="L60" s="272" t="str">
        <f>IFERROR(__xludf.DUMMYFUNCTION("""COMPUTED_VALUE"""),"SG")</f>
        <v>SG</v>
      </c>
      <c r="M60" s="273">
        <f>IFERROR(__xludf.DUMMYFUNCTION("""COMPUTED_VALUE"""),1.0409685266674964)</f>
        <v>1.040968527</v>
      </c>
      <c r="N60" s="273">
        <f>IFERROR(__xludf.DUMMYFUNCTION("""COMPUTED_VALUE"""),1.3493692830046058)</f>
        <v>1.349369283</v>
      </c>
      <c r="O60" s="274">
        <f>IFERROR(__xludf.DUMMYFUNCTION("""COMPUTED_VALUE"""),0.3084007563371094)</f>
        <v>0.3084007563</v>
      </c>
      <c r="P60" s="275">
        <f>IFERROR(__xludf.DUMMYFUNCTION("""COMPUTED_VALUE"""),24.63276923)</f>
        <v>24.63276923</v>
      </c>
      <c r="Q60" s="275">
        <f>IFERROR(__xludf.DUMMYFUNCTION("""COMPUTED_VALUE"""),0.09169230769)</f>
        <v>0.09169230769</v>
      </c>
      <c r="R60" s="275">
        <f>IFERROR(__xludf.DUMMYFUNCTION("""COMPUTED_VALUE"""),6.466)</f>
        <v>6.466</v>
      </c>
      <c r="S60" s="276">
        <f>IFERROR(__xludf.DUMMYFUNCTION("""COMPUTED_VALUE"""),5.376923077)</f>
        <v>5.376923077</v>
      </c>
      <c r="T60" s="275">
        <f>IFERROR(__xludf.DUMMYFUNCTION("""COMPUTED_VALUE"""),1.361230769)</f>
        <v>1.361230769</v>
      </c>
      <c r="U60" s="275">
        <f>IFERROR(__xludf.DUMMYFUNCTION("""COMPUTED_VALUE"""),0.816)</f>
        <v>0.816</v>
      </c>
      <c r="V60" s="272">
        <f>IFERROR(__xludf.DUMMYFUNCTION("""COMPUTED_VALUE"""),0.5759092177)</f>
        <v>0.5759092177</v>
      </c>
      <c r="W60" s="272">
        <f>IFERROR(__xludf.DUMMYFUNCTION("""COMPUTED_VALUE"""),0.7200072636)</f>
        <v>0.7200072636</v>
      </c>
      <c r="X60" s="275">
        <f>IFERROR(__xludf.DUMMYFUNCTION("""COMPUTED_VALUE"""),2.992307692)</f>
        <v>2.992307692</v>
      </c>
      <c r="Y60" s="273">
        <f>IFERROR(__xludf.DUMMYFUNCTION("""COMPUTED_VALUE"""),1.2877647707931048)</f>
        <v>1.287764771</v>
      </c>
      <c r="Z60" s="273">
        <f>IFERROR(__xludf.DUMMYFUNCTION("""COMPUTED_VALUE"""),-1.6436001551255808)</f>
        <v>-1.643600155</v>
      </c>
      <c r="AA60" s="273">
        <f>IFERROR(__xludf.DUMMYFUNCTION("""COMPUTED_VALUE"""),0.1499697439317719)</f>
        <v>0.1499697439</v>
      </c>
      <c r="AB60" s="273">
        <f>IFERROR(__xludf.DUMMYFUNCTION("""COMPUTED_VALUE"""),0.655589550130865)</f>
        <v>0.6555895501</v>
      </c>
      <c r="AC60" s="273">
        <f>IFERROR(__xludf.DUMMYFUNCTION("""COMPUTED_VALUE"""),1.274464107193177)</f>
        <v>1.274464107</v>
      </c>
      <c r="AD60" s="273">
        <f>IFERROR(__xludf.DUMMYFUNCTION("""COMPUTED_VALUE"""),0.12009895347372276)</f>
        <v>0.1200989535</v>
      </c>
      <c r="AE60" s="273">
        <f>IFERROR(__xludf.DUMMYFUNCTION("""COMPUTED_VALUE"""),1.5133645463762242)</f>
        <v>1.513364546</v>
      </c>
      <c r="AF60" s="273">
        <f>IFERROR(__xludf.DUMMYFUNCTION("""COMPUTED_VALUE"""),-2.008282233768679)</f>
        <v>-2.008282234</v>
      </c>
      <c r="AG60" s="277">
        <f>IFERROR(__xludf.DUMMYFUNCTION("""COMPUTED_VALUE"""),0.0)</f>
        <v>0</v>
      </c>
      <c r="AH60" s="265"/>
      <c r="AI60" s="338"/>
      <c r="AJ60" s="339"/>
      <c r="AK60" s="265"/>
      <c r="AL60" s="265"/>
      <c r="AM60" s="265"/>
      <c r="AN60" s="265"/>
      <c r="AO60" s="265"/>
      <c r="AP60" s="265"/>
      <c r="AQ60" s="265"/>
      <c r="AR60" s="265"/>
      <c r="AS60" s="265"/>
      <c r="AT60" s="265"/>
      <c r="AU60" s="265"/>
      <c r="AV60" s="265"/>
      <c r="AW60" s="265"/>
      <c r="AX60" s="265"/>
      <c r="AY60" s="265"/>
      <c r="AZ60" s="265"/>
      <c r="BA60" s="265"/>
      <c r="BB60" s="265"/>
      <c r="BC60" s="265"/>
      <c r="BD60" s="265"/>
      <c r="BE60" s="265"/>
      <c r="BF60" s="265"/>
      <c r="BG60" s="265"/>
      <c r="BH60" s="265"/>
      <c r="BI60" s="265"/>
      <c r="BJ60" s="265"/>
      <c r="BK60" s="265"/>
      <c r="BL60" s="265"/>
      <c r="BM60" s="265"/>
      <c r="BN60" s="265"/>
      <c r="BO60" s="265"/>
      <c r="BP60" s="265"/>
      <c r="BQ60" s="265"/>
      <c r="BR60" s="265"/>
      <c r="BS60" s="265"/>
      <c r="BT60" s="265"/>
      <c r="BU60" s="265"/>
      <c r="BV60" s="265"/>
    </row>
    <row r="61">
      <c r="A61" s="251">
        <f>VLOOKUP($F61,UpdateHashtag!$V$3:$Y$32,COLUMN(B$15),0)</f>
        <v>4</v>
      </c>
      <c r="B61" s="252">
        <f>VLOOKUP($F61,UpdateHashtag!$V$3:$Y$32,COLUMN(C$13),0)</f>
        <v>3</v>
      </c>
      <c r="C61" s="252">
        <f>VLOOKUP($F61,UpdateHashtag!$V$3:$Y$32,COLUMN(D$13),0)</f>
        <v>4</v>
      </c>
      <c r="D61" s="268">
        <f t="shared" si="4"/>
        <v>11</v>
      </c>
      <c r="E61" s="19"/>
      <c r="F61" s="30" t="str">
        <f>IF(VLOOKUP(J61,PasteHashtag!$C$2:$P1015,3,)="BRO","BKN",IF(VLOOKUP(J61,PasteHashtag!$C$2:$P1015,3,)="OKL","OKC",VLOOKUP(J61,PasteHashtag!$C$2:$P1015,3,)))</f>
        <v>CLE</v>
      </c>
      <c r="G61" s="269">
        <v>42.0</v>
      </c>
      <c r="H61" s="270">
        <f>IFERROR(__xludf.DUMMYFUNCTION("""COMPUTED_VALUE"""),49.0)</f>
        <v>49</v>
      </c>
      <c r="I61" s="270">
        <f>IFERROR(__xludf.DUMMYFUNCTION("""COMPUTED_VALUE"""),62.6)</f>
        <v>62.6</v>
      </c>
      <c r="J61" s="271" t="str">
        <f>IFERROR(__xludf.DUMMYFUNCTION("""COMPUTED_VALUE"""),"Darius Garland")</f>
        <v>Darius Garland</v>
      </c>
      <c r="K61" s="270">
        <f>IFERROR(__xludf.DUMMYFUNCTION("""COMPUTED_VALUE"""),68.0)</f>
        <v>68</v>
      </c>
      <c r="L61" s="272" t="str">
        <f>IFERROR(__xludf.DUMMYFUNCTION("""COMPUTED_VALUE"""),"PF")</f>
        <v>PF</v>
      </c>
      <c r="M61" s="273">
        <f>IFERROR(__xludf.DUMMYFUNCTION("""COMPUTED_VALUE"""),0.8088117132889285)</f>
        <v>0.8088117133</v>
      </c>
      <c r="N61" s="273">
        <f>IFERROR(__xludf.DUMMYFUNCTION("""COMPUTED_VALUE"""),1.109273675204225)</f>
        <v>1.109273675</v>
      </c>
      <c r="O61" s="274">
        <f>IFERROR(__xludf.DUMMYFUNCTION("""COMPUTED_VALUE"""),0.3004619619152964)</f>
        <v>0.3004619619</v>
      </c>
      <c r="P61" s="275">
        <f>IFERROR(__xludf.DUMMYFUNCTION("""COMPUTED_VALUE"""),19.48102941)</f>
        <v>19.48102941</v>
      </c>
      <c r="Q61" s="275">
        <f>IFERROR(__xludf.DUMMYFUNCTION("""COMPUTED_VALUE"""),2.7025)</f>
        <v>2.7025</v>
      </c>
      <c r="R61" s="275">
        <f>IFERROR(__xludf.DUMMYFUNCTION("""COMPUTED_VALUE"""),2.805)</f>
        <v>2.805</v>
      </c>
      <c r="S61" s="276">
        <f>IFERROR(__xludf.DUMMYFUNCTION("""COMPUTED_VALUE"""),7.503382353)</f>
        <v>7.503382353</v>
      </c>
      <c r="T61" s="275">
        <f>IFERROR(__xludf.DUMMYFUNCTION("""COMPUTED_VALUE"""),1.251176471)</f>
        <v>1.251176471</v>
      </c>
      <c r="U61" s="275">
        <f>IFERROR(__xludf.DUMMYFUNCTION("""COMPUTED_VALUE"""),0.1410294118)</f>
        <v>0.1410294118</v>
      </c>
      <c r="V61" s="272">
        <f>IFERROR(__xludf.DUMMYFUNCTION("""COMPUTED_VALUE"""),0.4490716254)</f>
        <v>0.4490716254</v>
      </c>
      <c r="W61" s="272">
        <f>IFERROR(__xludf.DUMMYFUNCTION("""COMPUTED_VALUE"""),0.8449892557)</f>
        <v>0.8449892557</v>
      </c>
      <c r="X61" s="275">
        <f>IFERROR(__xludf.DUMMYFUNCTION("""COMPUTED_VALUE"""),2.960294118)</f>
        <v>2.960294118</v>
      </c>
      <c r="Y61" s="273">
        <f>IFERROR(__xludf.DUMMYFUNCTION("""COMPUTED_VALUE"""),0.3591346189056218)</f>
        <v>0.3591346189</v>
      </c>
      <c r="Z61" s="273">
        <f>IFERROR(__xludf.DUMMYFUNCTION("""COMPUTED_VALUE"""),0.946134504820478)</f>
        <v>0.9461345048</v>
      </c>
      <c r="AA61" s="273">
        <f>IFERROR(__xludf.DUMMYFUNCTION("""COMPUTED_VALUE"""),-1.284801769659372)</f>
        <v>-1.28480177</v>
      </c>
      <c r="AB61" s="273">
        <f>IFERROR(__xludf.DUMMYFUNCTION("""COMPUTED_VALUE"""),1.621296383558151)</f>
        <v>1.621296384</v>
      </c>
      <c r="AC61" s="273">
        <f>IFERROR(__xludf.DUMMYFUNCTION("""COMPUTED_VALUE"""),0.9103700006724652)</f>
        <v>0.9103700007</v>
      </c>
      <c r="AD61" s="273">
        <f>IFERROR(__xludf.DUMMYFUNCTION("""COMPUTED_VALUE"""),-1.0838108673435563)</f>
        <v>-1.083810867</v>
      </c>
      <c r="AE61" s="273">
        <f>IFERROR(__xludf.DUMMYFUNCTION("""COMPUTED_VALUE"""),-0.8880697137438002)</f>
        <v>-0.8880697137</v>
      </c>
      <c r="AF61" s="273">
        <f>IFERROR(__xludf.DUMMYFUNCTION("""COMPUTED_VALUE"""),0.5290205179942371)</f>
        <v>0.529020518</v>
      </c>
      <c r="AG61" s="277">
        <f>IFERROR(__xludf.DUMMYFUNCTION("""COMPUTED_VALUE"""),0.0)</f>
        <v>0</v>
      </c>
      <c r="AH61" s="265"/>
      <c r="AI61" s="338"/>
      <c r="AJ61" s="339"/>
      <c r="AK61" s="265"/>
      <c r="AL61" s="265"/>
      <c r="AM61" s="265"/>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5"/>
      <c r="BK61" s="265"/>
      <c r="BL61" s="265"/>
      <c r="BM61" s="265"/>
      <c r="BN61" s="265"/>
      <c r="BO61" s="265"/>
      <c r="BP61" s="265"/>
      <c r="BQ61" s="265"/>
      <c r="BR61" s="265"/>
      <c r="BS61" s="265"/>
      <c r="BT61" s="265"/>
      <c r="BU61" s="265"/>
      <c r="BV61" s="265"/>
    </row>
    <row r="62">
      <c r="A62" s="251">
        <f>VLOOKUP($F62,UpdateHashtag!$V$3:$Y$32,COLUMN(B$15),0)</f>
        <v>4</v>
      </c>
      <c r="B62" s="252">
        <f>VLOOKUP($F62,UpdateHashtag!$V$3:$Y$32,COLUMN(C$13),0)</f>
        <v>3</v>
      </c>
      <c r="C62" s="252">
        <f>VLOOKUP($F62,UpdateHashtag!$V$3:$Y$32,COLUMN(D$13),0)</f>
        <v>4</v>
      </c>
      <c r="D62" s="268">
        <f t="shared" si="4"/>
        <v>11</v>
      </c>
      <c r="E62" s="19"/>
      <c r="F62" s="30" t="str">
        <f>IF(VLOOKUP(J62,PasteHashtag!$C$2:$P1015,3,)="BRO","BKN",IF(VLOOKUP(J62,PasteHashtag!$C$2:$P1015,3,)="OKL","OKC",VLOOKUP(J62,PasteHashtag!$C$2:$P1015,3,)))</f>
        <v>SAC</v>
      </c>
      <c r="G62" s="269">
        <v>43.0</v>
      </c>
      <c r="H62" s="270">
        <f>IFERROR(__xludf.DUMMYFUNCTION("""COMPUTED_VALUE"""),45.0)</f>
        <v>45</v>
      </c>
      <c r="I62" s="270">
        <f>IFERROR(__xludf.DUMMYFUNCTION("""COMPUTED_VALUE"""),54.1)</f>
        <v>54.1</v>
      </c>
      <c r="J62" s="271" t="str">
        <f>IFERROR(__xludf.DUMMYFUNCTION("""COMPUTED_VALUE"""),"DeMar DeRozan")</f>
        <v>DeMar DeRozan</v>
      </c>
      <c r="K62" s="270">
        <f>IFERROR(__xludf.DUMMYFUNCTION("""COMPUTED_VALUE"""),62.0)</f>
        <v>62</v>
      </c>
      <c r="L62" s="272" t="str">
        <f>IFERROR(__xludf.DUMMYFUNCTION("""COMPUTED_VALUE"""),"SF")</f>
        <v>SF</v>
      </c>
      <c r="M62" s="273">
        <f>IFERROR(__xludf.DUMMYFUNCTION("""COMPUTED_VALUE"""),1.105147830822949)</f>
        <v>1.105147831</v>
      </c>
      <c r="N62" s="273">
        <f>IFERROR(__xludf.DUMMYFUNCTION("""COMPUTED_VALUE"""),1.096235503259514)</f>
        <v>1.096235503</v>
      </c>
      <c r="O62" s="274">
        <f>IFERROR(__xludf.DUMMYFUNCTION("""COMPUTED_VALUE"""),-0.008912327563435074)</f>
        <v>-0.008912327563</v>
      </c>
      <c r="P62" s="275">
        <f>IFERROR(__xludf.DUMMYFUNCTION("""COMPUTED_VALUE"""),22.87337662)</f>
        <v>22.87337662</v>
      </c>
      <c r="Q62" s="275">
        <f>IFERROR(__xludf.DUMMYFUNCTION("""COMPUTED_VALUE"""),0.9087012987)</f>
        <v>0.9087012987</v>
      </c>
      <c r="R62" s="275">
        <f>IFERROR(__xludf.DUMMYFUNCTION("""COMPUTED_VALUE"""),4.593376623)</f>
        <v>4.593376623</v>
      </c>
      <c r="S62" s="276">
        <f>IFERROR(__xludf.DUMMYFUNCTION("""COMPUTED_VALUE"""),4.904805195)</f>
        <v>4.904805195</v>
      </c>
      <c r="T62" s="275">
        <f>IFERROR(__xludf.DUMMYFUNCTION("""COMPUTED_VALUE"""),1.08)</f>
        <v>1.08</v>
      </c>
      <c r="U62" s="275">
        <f>IFERROR(__xludf.DUMMYFUNCTION("""COMPUTED_VALUE"""),0.4702597403)</f>
        <v>0.4702597403</v>
      </c>
      <c r="V62" s="272">
        <f>IFERROR(__xludf.DUMMYFUNCTION("""COMPUTED_VALUE"""),0.4843079597)</f>
        <v>0.4843079597</v>
      </c>
      <c r="W62" s="272">
        <f>IFERROR(__xludf.DUMMYFUNCTION("""COMPUTED_VALUE"""),0.8590049462)</f>
        <v>0.8590049462</v>
      </c>
      <c r="X62" s="275">
        <f>IFERROR(__xludf.DUMMYFUNCTION("""COMPUTED_VALUE"""),1.712727273)</f>
        <v>1.712727273</v>
      </c>
      <c r="Y62" s="273">
        <f>IFERROR(__xludf.DUMMYFUNCTION("""COMPUTED_VALUE"""),0.9706243320793312)</f>
        <v>0.9706243321</v>
      </c>
      <c r="Z62" s="273">
        <f>IFERROR(__xludf.DUMMYFUNCTION("""COMPUTED_VALUE"""),-0.833185620290923)</f>
        <v>-0.8331856203</v>
      </c>
      <c r="AA62" s="273">
        <f>IFERROR(__xludf.DUMMYFUNCTION("""COMPUTED_VALUE"""),-0.5839244590194571)</f>
        <v>-0.583924459</v>
      </c>
      <c r="AB62" s="273">
        <f>IFERROR(__xludf.DUMMYFUNCTION("""COMPUTED_VALUE"""),0.44118268611217343)</f>
        <v>0.4411826861</v>
      </c>
      <c r="AC62" s="273">
        <f>IFERROR(__xludf.DUMMYFUNCTION("""COMPUTED_VALUE"""),0.34406459144516316)</f>
        <v>0.3440645914</v>
      </c>
      <c r="AD62" s="273">
        <f>IFERROR(__xludf.DUMMYFUNCTION("""COMPUTED_VALUE"""),-0.4965799083634551)</f>
        <v>-0.4965799084</v>
      </c>
      <c r="AE62" s="273">
        <f>IFERROR(__xludf.DUMMYFUNCTION("""COMPUTED_VALUE"""),-0.25191225232023257)</f>
        <v>-0.2519122523</v>
      </c>
      <c r="AF62" s="273">
        <f>IFERROR(__xludf.DUMMYFUNCTION("""COMPUTED_VALUE"""),1.505966133616914)</f>
        <v>1.505966134</v>
      </c>
      <c r="AG62" s="277">
        <f>IFERROR(__xludf.DUMMYFUNCTION("""COMPUTED_VALUE"""),0.0)</f>
        <v>0</v>
      </c>
      <c r="AH62" s="265"/>
      <c r="AI62" s="338"/>
      <c r="AJ62" s="339"/>
      <c r="AK62" s="265"/>
      <c r="AL62" s="265"/>
      <c r="AM62" s="265"/>
      <c r="AN62" s="265"/>
      <c r="AO62" s="265"/>
      <c r="AP62" s="265"/>
      <c r="AQ62" s="265"/>
      <c r="AR62" s="265"/>
      <c r="AS62" s="265"/>
      <c r="AT62" s="265"/>
      <c r="AU62" s="265"/>
      <c r="AV62" s="265"/>
      <c r="AW62" s="265"/>
      <c r="AX62" s="265"/>
      <c r="AY62" s="265"/>
      <c r="AZ62" s="265"/>
      <c r="BA62" s="265"/>
      <c r="BB62" s="265"/>
      <c r="BC62" s="265"/>
      <c r="BD62" s="265"/>
      <c r="BE62" s="265"/>
      <c r="BF62" s="265"/>
      <c r="BG62" s="265"/>
      <c r="BH62" s="265"/>
      <c r="BI62" s="265"/>
      <c r="BJ62" s="265"/>
      <c r="BK62" s="265"/>
      <c r="BL62" s="265"/>
      <c r="BM62" s="265"/>
      <c r="BN62" s="265"/>
      <c r="BO62" s="265"/>
      <c r="BP62" s="265"/>
      <c r="BQ62" s="265"/>
      <c r="BR62" s="265"/>
      <c r="BS62" s="265"/>
      <c r="BT62" s="265"/>
      <c r="BU62" s="265"/>
      <c r="BV62" s="265"/>
    </row>
    <row r="63">
      <c r="A63" s="251">
        <f>VLOOKUP($F63,UpdateHashtag!$V$3:$Y$32,COLUMN(B$15),0)</f>
        <v>4</v>
      </c>
      <c r="B63" s="252">
        <f>VLOOKUP($F63,UpdateHashtag!$V$3:$Y$32,COLUMN(C$13),0)</f>
        <v>4</v>
      </c>
      <c r="C63" s="252">
        <f>VLOOKUP($F63,UpdateHashtag!$V$3:$Y$32,COLUMN(D$13),0)</f>
        <v>4</v>
      </c>
      <c r="D63" s="268">
        <f t="shared" si="4"/>
        <v>12</v>
      </c>
      <c r="E63" s="19"/>
      <c r="F63" s="30" t="str">
        <f>IF(VLOOKUP(J63,PasteHashtag!$C$2:$P1015,3,)="BRO","BKN",IF(VLOOKUP(J63,PasteHashtag!$C$2:$P1015,3,)="OKL","OKC",VLOOKUP(J63,PasteHashtag!$C$2:$P1015,3,)))</f>
        <v>MIA</v>
      </c>
      <c r="G63" s="269">
        <v>44.0</v>
      </c>
      <c r="H63" s="270">
        <f>IFERROR(__xludf.DUMMYFUNCTION("""COMPUTED_VALUE"""),44.0)</f>
        <v>44</v>
      </c>
      <c r="I63" s="270">
        <f>IFERROR(__xludf.DUMMYFUNCTION("""COMPUTED_VALUE"""),32.2)</f>
        <v>32.2</v>
      </c>
      <c r="J63" s="271" t="str">
        <f>IFERROR(__xludf.DUMMYFUNCTION("""COMPUTED_VALUE"""),"Bam Adebayo")</f>
        <v>Bam Adebayo</v>
      </c>
      <c r="K63" s="270">
        <f>IFERROR(__xludf.DUMMYFUNCTION("""COMPUTED_VALUE"""),72.0)</f>
        <v>72</v>
      </c>
      <c r="L63" s="272" t="str">
        <f>IFERROR(__xludf.DUMMYFUNCTION("""COMPUTED_VALUE"""),"C")</f>
        <v>C</v>
      </c>
      <c r="M63" s="273">
        <f>IFERROR(__xludf.DUMMYFUNCTION("""COMPUTED_VALUE"""),0.9848735326096558)</f>
        <v>0.9848735326</v>
      </c>
      <c r="N63" s="273">
        <f>IFERROR(__xludf.DUMMYFUNCTION("""COMPUTED_VALUE"""),1.0948598372816498)</f>
        <v>1.094859837</v>
      </c>
      <c r="O63" s="274">
        <f>IFERROR(__xludf.DUMMYFUNCTION("""COMPUTED_VALUE"""),0.109986304671994)</f>
        <v>0.1099863047</v>
      </c>
      <c r="P63" s="275">
        <f>IFERROR(__xludf.DUMMYFUNCTION("""COMPUTED_VALUE"""),17.94493151)</f>
        <v>17.94493151</v>
      </c>
      <c r="Q63" s="275">
        <f>IFERROR(__xludf.DUMMYFUNCTION("""COMPUTED_VALUE"""),0.8771232877)</f>
        <v>0.8771232877</v>
      </c>
      <c r="R63" s="275">
        <f>IFERROR(__xludf.DUMMYFUNCTION("""COMPUTED_VALUE"""),9.344383562)</f>
        <v>9.344383562</v>
      </c>
      <c r="S63" s="276">
        <f>IFERROR(__xludf.DUMMYFUNCTION("""COMPUTED_VALUE"""),3.893150685)</f>
        <v>3.893150685</v>
      </c>
      <c r="T63" s="275">
        <f>IFERROR(__xludf.DUMMYFUNCTION("""COMPUTED_VALUE"""),1.243013699)</f>
        <v>1.243013699</v>
      </c>
      <c r="U63" s="275">
        <f>IFERROR(__xludf.DUMMYFUNCTION("""COMPUTED_VALUE"""),0.8901369863)</f>
        <v>0.8901369863</v>
      </c>
      <c r="V63" s="272">
        <f>IFERROR(__xludf.DUMMYFUNCTION("""COMPUTED_VALUE"""),0.5157986357)</f>
        <v>0.5157986357</v>
      </c>
      <c r="W63" s="272">
        <f>IFERROR(__xludf.DUMMYFUNCTION("""COMPUTED_VALUE"""),0.7400019588)</f>
        <v>0.7400019588</v>
      </c>
      <c r="X63" s="275">
        <f>IFERROR(__xludf.DUMMYFUNCTION("""COMPUTED_VALUE"""),2.192191781)</f>
        <v>2.192191781</v>
      </c>
      <c r="Y63" s="273">
        <f>IFERROR(__xludf.DUMMYFUNCTION("""COMPUTED_VALUE"""),0.08224431077064204)</f>
        <v>0.08224431077</v>
      </c>
      <c r="Z63" s="273">
        <f>IFERROR(__xludf.DUMMYFUNCTION("""COMPUTED_VALUE"""),-0.8645087506079252)</f>
        <v>-0.8645087506</v>
      </c>
      <c r="AA63" s="273">
        <f>IFERROR(__xludf.DUMMYFUNCTION("""COMPUTED_VALUE"""),1.2780284000220776)</f>
        <v>1.2780284</v>
      </c>
      <c r="AB63" s="273">
        <f>IFERROR(__xludf.DUMMYFUNCTION("""COMPUTED_VALUE"""),-0.018248484002806153)</f>
        <v>-0.018248484</v>
      </c>
      <c r="AC63" s="273">
        <f>IFERROR(__xludf.DUMMYFUNCTION("""COMPUTED_VALUE"""),0.8833649928528501)</f>
        <v>0.8833649929</v>
      </c>
      <c r="AD63" s="273">
        <f>IFERROR(__xludf.DUMMYFUNCTION("""COMPUTED_VALUE"""),0.25233322775578876)</f>
        <v>0.2523332278</v>
      </c>
      <c r="AE63" s="273">
        <f>IFERROR(__xludf.DUMMYFUNCTION("""COMPUTED_VALUE"""),0.2920723817743216)</f>
        <v>0.2920723818</v>
      </c>
      <c r="AF63" s="273">
        <f>IFERROR(__xludf.DUMMYFUNCTION("""COMPUTED_VALUE"""),-0.8104262412832989)</f>
        <v>-0.8104262413</v>
      </c>
      <c r="AG63" s="277">
        <f>IFERROR(__xludf.DUMMYFUNCTION("""COMPUTED_VALUE"""),0.0)</f>
        <v>0</v>
      </c>
      <c r="AH63" s="265"/>
      <c r="AI63" s="338"/>
      <c r="AJ63" s="339"/>
      <c r="AK63" s="265"/>
      <c r="AL63" s="265"/>
      <c r="AM63" s="265"/>
      <c r="AN63" s="265"/>
      <c r="AO63" s="265"/>
      <c r="AP63" s="265"/>
      <c r="AQ63" s="265"/>
      <c r="AR63" s="265"/>
      <c r="AS63" s="265"/>
      <c r="AT63" s="265"/>
      <c r="AU63" s="265"/>
      <c r="AV63" s="265"/>
      <c r="AW63" s="265"/>
      <c r="AX63" s="265"/>
      <c r="AY63" s="265"/>
      <c r="AZ63" s="265"/>
      <c r="BA63" s="265"/>
      <c r="BB63" s="265"/>
      <c r="BC63" s="265"/>
      <c r="BD63" s="265"/>
      <c r="BE63" s="265"/>
      <c r="BF63" s="265"/>
      <c r="BG63" s="265"/>
      <c r="BH63" s="265"/>
      <c r="BI63" s="265"/>
      <c r="BJ63" s="265"/>
      <c r="BK63" s="265"/>
      <c r="BL63" s="265"/>
      <c r="BM63" s="265"/>
      <c r="BN63" s="265"/>
      <c r="BO63" s="265"/>
      <c r="BP63" s="265"/>
      <c r="BQ63" s="265"/>
      <c r="BR63" s="265"/>
      <c r="BS63" s="265"/>
      <c r="BT63" s="265"/>
      <c r="BU63" s="265"/>
      <c r="BV63" s="265"/>
    </row>
    <row r="64">
      <c r="A64" s="251">
        <f>VLOOKUP($F64,UpdateHashtag!$V$3:$Y$32,COLUMN(B$15),0)</f>
        <v>4</v>
      </c>
      <c r="B64" s="252">
        <f>VLOOKUP($F64,UpdateHashtag!$V$3:$Y$32,COLUMN(C$13),0)</f>
        <v>4</v>
      </c>
      <c r="C64" s="252">
        <f>VLOOKUP($F64,UpdateHashtag!$V$3:$Y$32,COLUMN(D$13),0)</f>
        <v>3</v>
      </c>
      <c r="D64" s="268">
        <f t="shared" si="4"/>
        <v>11</v>
      </c>
      <c r="E64" s="19"/>
      <c r="F64" s="30" t="str">
        <f>IF(VLOOKUP(J64,PasteHashtag!$C$2:$P1015,3,)="BRO","BKN",IF(VLOOKUP(J64,PasteHashtag!$C$2:$P1015,3,)="OKL","OKC",VLOOKUP(J64,PasteHashtag!$C$2:$P1015,3,)))</f>
        <v>MEM</v>
      </c>
      <c r="G64" s="269">
        <v>45.0</v>
      </c>
      <c r="H64" s="270">
        <f>IFERROR(__xludf.DUMMYFUNCTION("""COMPUTED_VALUE"""),48.0)</f>
        <v>48</v>
      </c>
      <c r="I64" s="270">
        <f>IFERROR(__xludf.DUMMYFUNCTION("""COMPUTED_VALUE"""),35.2)</f>
        <v>35.2</v>
      </c>
      <c r="J64" s="271" t="str">
        <f>IFERROR(__xludf.DUMMYFUNCTION("""COMPUTED_VALUE"""),"Ja Morant")</f>
        <v>Ja Morant</v>
      </c>
      <c r="K64" s="270">
        <f>IFERROR(__xludf.DUMMYFUNCTION("""COMPUTED_VALUE"""),73.0)</f>
        <v>73</v>
      </c>
      <c r="L64" s="272" t="str">
        <f>IFERROR(__xludf.DUMMYFUNCTION("""COMPUTED_VALUE"""),"PG")</f>
        <v>PG</v>
      </c>
      <c r="M64" s="273">
        <f>IFERROR(__xludf.DUMMYFUNCTION("""COMPUTED_VALUE"""),0.6639316044415485)</f>
        <v>0.6639316044</v>
      </c>
      <c r="N64" s="273">
        <f>IFERROR(__xludf.DUMMYFUNCTION("""COMPUTED_VALUE"""),1.071755243406772)</f>
        <v>1.071755243</v>
      </c>
      <c r="O64" s="274">
        <f>IFERROR(__xludf.DUMMYFUNCTION("""COMPUTED_VALUE"""),0.40782363896522356)</f>
        <v>0.407823639</v>
      </c>
      <c r="P64" s="275">
        <f>IFERROR(__xludf.DUMMYFUNCTION("""COMPUTED_VALUE"""),24.52617647)</f>
        <v>24.52617647</v>
      </c>
      <c r="Q64" s="275">
        <f>IFERROR(__xludf.DUMMYFUNCTION("""COMPUTED_VALUE"""),1.453382353)</f>
        <v>1.453382353</v>
      </c>
      <c r="R64" s="275">
        <f>IFERROR(__xludf.DUMMYFUNCTION("""COMPUTED_VALUE"""),5.614558824)</f>
        <v>5.614558824</v>
      </c>
      <c r="S64" s="276">
        <f>IFERROR(__xludf.DUMMYFUNCTION("""COMPUTED_VALUE"""),8.3125)</f>
        <v>8.3125</v>
      </c>
      <c r="T64" s="275">
        <f>IFERROR(__xludf.DUMMYFUNCTION("""COMPUTED_VALUE"""),1.020882353)</f>
        <v>1.020882353</v>
      </c>
      <c r="U64" s="275">
        <f>IFERROR(__xludf.DUMMYFUNCTION("""COMPUTED_VALUE"""),0.3602941176)</f>
        <v>0.3602941176</v>
      </c>
      <c r="V64" s="272">
        <f>IFERROR(__xludf.DUMMYFUNCTION("""COMPUTED_VALUE"""),0.4676800162)</f>
        <v>0.4676800162</v>
      </c>
      <c r="W64" s="272">
        <f>IFERROR(__xludf.DUMMYFUNCTION("""COMPUTED_VALUE"""),0.7739919185)</f>
        <v>0.7739919185</v>
      </c>
      <c r="X64" s="275">
        <f>IFERROR(__xludf.DUMMYFUNCTION("""COMPUTED_VALUE"""),3.393235294)</f>
        <v>3.393235294</v>
      </c>
      <c r="Y64" s="273">
        <f>IFERROR(__xludf.DUMMYFUNCTION("""COMPUTED_VALUE"""),1.2685508247540156)</f>
        <v>1.268550825</v>
      </c>
      <c r="Z64" s="273">
        <f>IFERROR(__xludf.DUMMYFUNCTION("""COMPUTED_VALUE"""),-0.2929009378566478)</f>
        <v>-0.2929009379</v>
      </c>
      <c r="AA64" s="273">
        <f>IFERROR(__xludf.DUMMYFUNCTION("""COMPUTED_VALUE"""),-0.18371600991235357)</f>
        <v>-0.1837160099</v>
      </c>
      <c r="AB64" s="273">
        <f>IFERROR(__xludf.DUMMYFUNCTION("""COMPUTED_VALUE"""),1.98874778484918)</f>
        <v>1.988747785</v>
      </c>
      <c r="AC64" s="273">
        <f>IFERROR(__xludf.DUMMYFUNCTION("""COMPUTED_VALUE"""),0.14848488892348735)</f>
        <v>0.1484848889</v>
      </c>
      <c r="AD64" s="273">
        <f>IFERROR(__xludf.DUMMYFUNCTION("""COMPUTED_VALUE"""),-0.6927198519925093)</f>
        <v>-0.692719852</v>
      </c>
      <c r="AE64" s="273">
        <f>IFERROR(__xludf.DUMMYFUNCTION("""COMPUTED_VALUE"""),-0.6494751247502945)</f>
        <v>-0.6494751248</v>
      </c>
      <c r="AF64" s="273">
        <f>IFERROR(__xludf.DUMMYFUNCTION("""COMPUTED_VALUE"""),-0.515216330608106)</f>
        <v>-0.5152163306</v>
      </c>
      <c r="AG64" s="277">
        <f>IFERROR(__xludf.DUMMYFUNCTION("""COMPUTED_VALUE"""),0.0)</f>
        <v>0</v>
      </c>
      <c r="AH64" s="265"/>
      <c r="AI64" s="338"/>
      <c r="AJ64" s="339"/>
      <c r="AK64" s="265"/>
      <c r="AL64" s="265"/>
      <c r="AM64" s="265"/>
      <c r="AN64" s="265"/>
      <c r="AO64" s="265"/>
      <c r="AP64" s="265"/>
      <c r="AQ64" s="265"/>
      <c r="AR64" s="265"/>
      <c r="AS64" s="265"/>
      <c r="AT64" s="265"/>
      <c r="AU64" s="265"/>
      <c r="AV64" s="265"/>
      <c r="AW64" s="265"/>
      <c r="AX64" s="265"/>
      <c r="AY64" s="265"/>
      <c r="AZ64" s="265"/>
      <c r="BA64" s="265"/>
      <c r="BB64" s="265"/>
      <c r="BC64" s="265"/>
      <c r="BD64" s="265"/>
      <c r="BE64" s="265"/>
      <c r="BF64" s="265"/>
      <c r="BG64" s="265"/>
      <c r="BH64" s="265"/>
      <c r="BI64" s="265"/>
      <c r="BJ64" s="265"/>
      <c r="BK64" s="265"/>
      <c r="BL64" s="265"/>
      <c r="BM64" s="265"/>
      <c r="BN64" s="265"/>
      <c r="BO64" s="265"/>
      <c r="BP64" s="265"/>
      <c r="BQ64" s="265"/>
      <c r="BR64" s="265"/>
      <c r="BS64" s="265"/>
      <c r="BT64" s="265"/>
      <c r="BU64" s="265"/>
      <c r="BV64" s="265"/>
    </row>
    <row r="65">
      <c r="A65" s="251">
        <f>VLOOKUP($F65,UpdateHashtag!$V$3:$Y$32,COLUMN(B$15),0)</f>
        <v>4</v>
      </c>
      <c r="B65" s="252">
        <f>VLOOKUP($F65,UpdateHashtag!$V$3:$Y$32,COLUMN(C$13),0)</f>
        <v>4</v>
      </c>
      <c r="C65" s="252">
        <f>VLOOKUP($F65,UpdateHashtag!$V$3:$Y$32,COLUMN(D$13),0)</f>
        <v>4</v>
      </c>
      <c r="D65" s="268">
        <f t="shared" si="4"/>
        <v>12</v>
      </c>
      <c r="E65" s="19"/>
      <c r="F65" s="30" t="str">
        <f>IF(VLOOKUP(J65,PasteHashtag!$C$2:$P1015,3,)="BRO","BKN",IF(VLOOKUP(J65,PasteHashtag!$C$2:$P1015,3,)="OKL","OKC",VLOOKUP(J65,PasteHashtag!$C$2:$P1015,3,)))</f>
        <v>HOU</v>
      </c>
      <c r="G65" s="269">
        <v>46.0</v>
      </c>
      <c r="H65" s="270">
        <f>IFERROR(__xludf.DUMMYFUNCTION("""COMPUTED_VALUE"""),43.0)</f>
        <v>43</v>
      </c>
      <c r="I65" s="270">
        <f>IFERROR(__xludf.DUMMYFUNCTION("""COMPUTED_VALUE"""),27.7)</f>
        <v>27.7</v>
      </c>
      <c r="J65" s="271" t="str">
        <f>IFERROR(__xludf.DUMMYFUNCTION("""COMPUTED_VALUE"""),"Alperen Sengün")</f>
        <v>Alperen Sengün</v>
      </c>
      <c r="K65" s="270">
        <f>IFERROR(__xludf.DUMMYFUNCTION("""COMPUTED_VALUE"""),55.0)</f>
        <v>55</v>
      </c>
      <c r="L65" s="272" t="str">
        <f>IFERROR(__xludf.DUMMYFUNCTION("""COMPUTED_VALUE"""),"SF,PF")</f>
        <v>SF,PF</v>
      </c>
      <c r="M65" s="273">
        <f>IFERROR(__xludf.DUMMYFUNCTION("""COMPUTED_VALUE"""),0.7978128523016272)</f>
        <v>0.7978128523</v>
      </c>
      <c r="N65" s="273">
        <f>IFERROR(__xludf.DUMMYFUNCTION("""COMPUTED_VALUE"""),1.0198666997374608)</f>
        <v>1.0198667</v>
      </c>
      <c r="O65" s="274">
        <f>IFERROR(__xludf.DUMMYFUNCTION("""COMPUTED_VALUE"""),0.22205384743583356)</f>
        <v>0.2220538474</v>
      </c>
      <c r="P65" s="275">
        <f>IFERROR(__xludf.DUMMYFUNCTION("""COMPUTED_VALUE"""),22.21575342)</f>
        <v>22.21575342</v>
      </c>
      <c r="Q65" s="275">
        <f>IFERROR(__xludf.DUMMYFUNCTION("""COMPUTED_VALUE"""),0.4330136986)</f>
        <v>0.4330136986</v>
      </c>
      <c r="R65" s="275">
        <f>IFERROR(__xludf.DUMMYFUNCTION("""COMPUTED_VALUE"""),9.860136986)</f>
        <v>9.860136986</v>
      </c>
      <c r="S65" s="276">
        <f>IFERROR(__xludf.DUMMYFUNCTION("""COMPUTED_VALUE"""),5.207808219)</f>
        <v>5.207808219</v>
      </c>
      <c r="T65" s="275">
        <f>IFERROR(__xludf.DUMMYFUNCTION("""COMPUTED_VALUE"""),1.180410959)</f>
        <v>1.180410959</v>
      </c>
      <c r="U65" s="275">
        <f>IFERROR(__xludf.DUMMYFUNCTION("""COMPUTED_VALUE"""),0.8332876712)</f>
        <v>0.8332876712</v>
      </c>
      <c r="V65" s="272">
        <f>IFERROR(__xludf.DUMMYFUNCTION("""COMPUTED_VALUE"""),0.5407574959)</f>
        <v>0.5407574959</v>
      </c>
      <c r="W65" s="272">
        <f>IFERROR(__xludf.DUMMYFUNCTION("""COMPUTED_VALUE"""),0.6940083726)</f>
        <v>0.6940083726</v>
      </c>
      <c r="X65" s="275">
        <f>IFERROR(__xludf.DUMMYFUNCTION("""COMPUTED_VALUE"""),2.644109589)</f>
        <v>2.644109589</v>
      </c>
      <c r="Y65" s="273">
        <f>IFERROR(__xludf.DUMMYFUNCTION("""COMPUTED_VALUE"""),0.8520840421116727)</f>
        <v>0.8520840421</v>
      </c>
      <c r="Z65" s="273">
        <f>IFERROR(__xludf.DUMMYFUNCTION("""COMPUTED_VALUE"""),-1.305033726497306)</f>
        <v>-1.305033726</v>
      </c>
      <c r="AA65" s="273">
        <f>IFERROR(__xludf.DUMMYFUNCTION("""COMPUTED_VALUE"""),1.4801557752726362)</f>
        <v>1.480155775</v>
      </c>
      <c r="AB65" s="273">
        <f>IFERROR(__xludf.DUMMYFUNCTION("""COMPUTED_VALUE"""),0.5787879974992571)</f>
        <v>0.5787879975</v>
      </c>
      <c r="AC65" s="273">
        <f>IFERROR(__xludf.DUMMYFUNCTION("""COMPUTED_VALUE"""),0.6762555105312382)</f>
        <v>0.6762555105</v>
      </c>
      <c r="AD65" s="273">
        <f>IFERROR(__xludf.DUMMYFUNCTION("""COMPUTED_VALUE"""),0.1509340705893342)</f>
        <v>0.1509340706</v>
      </c>
      <c r="AE65" s="273">
        <f>IFERROR(__xludf.DUMMYFUNCTION("""COMPUTED_VALUE"""),0.815294400615669)</f>
        <v>0.8152944006</v>
      </c>
      <c r="AF65" s="273">
        <f>IFERROR(__xludf.DUMMYFUNCTION("""COMPUTED_VALUE"""),-2.2286113703850403)</f>
        <v>-2.22861137</v>
      </c>
      <c r="AG65" s="277">
        <f>IFERROR(__xludf.DUMMYFUNCTION("""COMPUTED_VALUE"""),0.0)</f>
        <v>0</v>
      </c>
      <c r="AH65" s="265"/>
      <c r="AI65" s="338"/>
      <c r="AJ65" s="339"/>
      <c r="AK65" s="265"/>
      <c r="AL65" s="265"/>
      <c r="AM65" s="265"/>
      <c r="AN65" s="265"/>
      <c r="AO65" s="265"/>
      <c r="AP65" s="265"/>
      <c r="AQ65" s="265"/>
      <c r="AR65" s="265"/>
      <c r="AS65" s="265"/>
      <c r="AT65" s="265"/>
      <c r="AU65" s="265"/>
      <c r="AV65" s="265"/>
      <c r="AW65" s="265"/>
      <c r="AX65" s="265"/>
      <c r="AY65" s="265"/>
      <c r="AZ65" s="265"/>
      <c r="BA65" s="265"/>
      <c r="BB65" s="265"/>
      <c r="BC65" s="265"/>
      <c r="BD65" s="265"/>
      <c r="BE65" s="265"/>
      <c r="BF65" s="265"/>
      <c r="BG65" s="265"/>
      <c r="BH65" s="265"/>
      <c r="BI65" s="265"/>
      <c r="BJ65" s="265"/>
      <c r="BK65" s="265"/>
      <c r="BL65" s="265"/>
      <c r="BM65" s="265"/>
      <c r="BN65" s="265"/>
      <c r="BO65" s="265"/>
      <c r="BP65" s="265"/>
      <c r="BQ65" s="265"/>
      <c r="BR65" s="265"/>
      <c r="BS65" s="265"/>
      <c r="BT65" s="265"/>
      <c r="BU65" s="265"/>
      <c r="BV65" s="265"/>
    </row>
    <row r="66">
      <c r="A66" s="251">
        <f>VLOOKUP($F66,UpdateHashtag!$V$3:$Y$32,COLUMN(B$15),0)</f>
        <v>4</v>
      </c>
      <c r="B66" s="252">
        <f>VLOOKUP($F66,UpdateHashtag!$V$3:$Y$32,COLUMN(C$13),0)</f>
        <v>4</v>
      </c>
      <c r="C66" s="252">
        <f>VLOOKUP($F66,UpdateHashtag!$V$3:$Y$32,COLUMN(D$13),0)</f>
        <v>3</v>
      </c>
      <c r="D66" s="268">
        <f t="shared" si="4"/>
        <v>11</v>
      </c>
      <c r="E66" s="19"/>
      <c r="F66" s="30" t="str">
        <f>IF(VLOOKUP(J66,PasteHashtag!$C$2:$P1015,3,)="BRO","BKN",IF(VLOOKUP(J66,PasteHashtag!$C$2:$P1015,3,)="OKL","OKC",VLOOKUP(J66,PasteHashtag!$C$2:$P1015,3,)))</f>
        <v>ATL</v>
      </c>
      <c r="G66" s="269">
        <v>47.0</v>
      </c>
      <c r="H66" s="270">
        <f>IFERROR(__xludf.DUMMYFUNCTION("""COMPUTED_VALUE"""),47.0)</f>
        <v>47</v>
      </c>
      <c r="I66" s="270">
        <f>IFERROR(__xludf.DUMMYFUNCTION("""COMPUTED_VALUE"""),41.4)</f>
        <v>41.4</v>
      </c>
      <c r="J66" s="271" t="str">
        <f>IFERROR(__xludf.DUMMYFUNCTION("""COMPUTED_VALUE"""),"Jalen Johnson")</f>
        <v>Jalen Johnson</v>
      </c>
      <c r="K66" s="270">
        <f>IFERROR(__xludf.DUMMYFUNCTION("""COMPUTED_VALUE"""),74.0)</f>
        <v>74</v>
      </c>
      <c r="L66" s="272" t="str">
        <f>IFERROR(__xludf.DUMMYFUNCTION("""COMPUTED_VALUE"""),"C")</f>
        <v>C</v>
      </c>
      <c r="M66" s="273">
        <f>IFERROR(__xludf.DUMMYFUNCTION("""COMPUTED_VALUE"""),0.9736096532581026)</f>
        <v>0.9736096533</v>
      </c>
      <c r="N66" s="273">
        <f>IFERROR(__xludf.DUMMYFUNCTION("""COMPUTED_VALUE"""),1.0101165134251815)</f>
        <v>1.010116513</v>
      </c>
      <c r="O66" s="274">
        <f>IFERROR(__xludf.DUMMYFUNCTION("""COMPUTED_VALUE"""),0.036506860167078936)</f>
        <v>0.03650686017</v>
      </c>
      <c r="P66" s="275">
        <f>IFERROR(__xludf.DUMMYFUNCTION("""COMPUTED_VALUE"""),19.71161765)</f>
        <v>19.71161765</v>
      </c>
      <c r="Q66" s="275">
        <f>IFERROR(__xludf.DUMMYFUNCTION("""COMPUTED_VALUE"""),1.545588235)</f>
        <v>1.545588235</v>
      </c>
      <c r="R66" s="275">
        <f>IFERROR(__xludf.DUMMYFUNCTION("""COMPUTED_VALUE"""),8.968823529)</f>
        <v>8.968823529</v>
      </c>
      <c r="S66" s="276">
        <f>IFERROR(__xludf.DUMMYFUNCTION("""COMPUTED_VALUE"""),4.375)</f>
        <v>4.375</v>
      </c>
      <c r="T66" s="275">
        <f>IFERROR(__xludf.DUMMYFUNCTION("""COMPUTED_VALUE"""),1.093823529)</f>
        <v>1.093823529</v>
      </c>
      <c r="U66" s="275">
        <f>IFERROR(__xludf.DUMMYFUNCTION("""COMPUTED_VALUE"""),0.8020588235)</f>
        <v>0.8020588235</v>
      </c>
      <c r="V66" s="272">
        <f>IFERROR(__xludf.DUMMYFUNCTION("""COMPUTED_VALUE"""),0.4891252998)</f>
        <v>0.4891252998</v>
      </c>
      <c r="W66" s="272">
        <f>IFERROR(__xludf.DUMMYFUNCTION("""COMPUTED_VALUE"""),0.7200090847)</f>
        <v>0.7200090847</v>
      </c>
      <c r="X66" s="275">
        <f>IFERROR(__xludf.DUMMYFUNCTION("""COMPUTED_VALUE"""),1.895882353)</f>
        <v>1.895882353</v>
      </c>
      <c r="Y66" s="273">
        <f>IFERROR(__xludf.DUMMYFUNCTION("""COMPUTED_VALUE"""),0.40069944939325053)</f>
        <v>0.4006994494</v>
      </c>
      <c r="Z66" s="273">
        <f>IFERROR(__xludf.DUMMYFUNCTION("""COMPUTED_VALUE"""),-0.20143929203354236)</f>
        <v>-0.201439292</v>
      </c>
      <c r="AA66" s="273">
        <f>IFERROR(__xludf.DUMMYFUNCTION("""COMPUTED_VALUE"""),1.1308437955446804)</f>
        <v>1.130843796</v>
      </c>
      <c r="AB66" s="273">
        <f>IFERROR(__xludf.DUMMYFUNCTION("""COMPUTED_VALUE"""),0.2005777975204694)</f>
        <v>0.2005777975</v>
      </c>
      <c r="AC66" s="273">
        <f>IFERROR(__xludf.DUMMYFUNCTION("""COMPUTED_VALUE"""),0.38979715738473353)</f>
        <v>0.3897971574</v>
      </c>
      <c r="AD66" s="273">
        <f>IFERROR(__xludf.DUMMYFUNCTION("""COMPUTED_VALUE"""),0.09523280434734965)</f>
        <v>0.09523280435</v>
      </c>
      <c r="AE66" s="273">
        <f>IFERROR(__xludf.DUMMYFUNCTION("""COMPUTED_VALUE"""),-0.15291042590809184)</f>
        <v>-0.1529104259</v>
      </c>
      <c r="AF66" s="273">
        <f>IFERROR(__xludf.DUMMYFUNCTION("""COMPUTED_VALUE"""),-0.8526847728236681)</f>
        <v>-0.8526847728</v>
      </c>
      <c r="AG66" s="277">
        <f>IFERROR(__xludf.DUMMYFUNCTION("""COMPUTED_VALUE"""),0.0)</f>
        <v>0</v>
      </c>
      <c r="AH66" s="265"/>
      <c r="AI66" s="338"/>
      <c r="AJ66" s="339"/>
      <c r="AK66" s="265"/>
      <c r="AL66" s="265"/>
      <c r="AM66" s="265"/>
      <c r="AN66" s="265"/>
      <c r="AO66" s="265"/>
      <c r="AP66" s="265"/>
      <c r="AQ66" s="265"/>
      <c r="AR66" s="265"/>
      <c r="AS66" s="265"/>
      <c r="AT66" s="265"/>
      <c r="AU66" s="265"/>
      <c r="AV66" s="265"/>
      <c r="AW66" s="265"/>
      <c r="AX66" s="265"/>
      <c r="AY66" s="265"/>
      <c r="AZ66" s="265"/>
      <c r="BA66" s="265"/>
      <c r="BB66" s="265"/>
      <c r="BC66" s="265"/>
      <c r="BD66" s="265"/>
      <c r="BE66" s="265"/>
      <c r="BF66" s="265"/>
      <c r="BG66" s="265"/>
      <c r="BH66" s="265"/>
      <c r="BI66" s="265"/>
      <c r="BJ66" s="265"/>
      <c r="BK66" s="265"/>
      <c r="BL66" s="265"/>
      <c r="BM66" s="265"/>
      <c r="BN66" s="265"/>
      <c r="BO66" s="265"/>
      <c r="BP66" s="265"/>
      <c r="BQ66" s="265"/>
      <c r="BR66" s="265"/>
      <c r="BS66" s="265"/>
      <c r="BT66" s="265"/>
      <c r="BU66" s="265"/>
      <c r="BV66" s="265"/>
    </row>
    <row r="67">
      <c r="A67" s="251">
        <f>VLOOKUP($F67,UpdateHashtag!$V$3:$Y$32,COLUMN(B$15),0)</f>
        <v>2</v>
      </c>
      <c r="B67" s="252">
        <f>VLOOKUP($F67,UpdateHashtag!$V$3:$Y$32,COLUMN(C$13),0)</f>
        <v>4</v>
      </c>
      <c r="C67" s="252">
        <f>VLOOKUP($F67,UpdateHashtag!$V$3:$Y$32,COLUMN(D$13),0)</f>
        <v>3</v>
      </c>
      <c r="D67" s="268">
        <f t="shared" si="4"/>
        <v>9</v>
      </c>
      <c r="E67" s="19"/>
      <c r="F67" s="30" t="str">
        <f>IF(VLOOKUP(J67,PasteHashtag!$C$2:$P1015,3,)="BRO","BKN",IF(VLOOKUP(J67,PasteHashtag!$C$2:$P1015,3,)="OKL","OKC",VLOOKUP(J67,PasteHashtag!$C$2:$P1015,3,)))</f>
        <v>ORL</v>
      </c>
      <c r="G67" s="269">
        <v>48.0</v>
      </c>
      <c r="H67" s="270">
        <f>IFERROR(__xludf.DUMMYFUNCTION("""COMPUTED_VALUE"""),46.0)</f>
        <v>46</v>
      </c>
      <c r="I67" s="270">
        <f>IFERROR(__xludf.DUMMYFUNCTION("""COMPUTED_VALUE"""),46.1)</f>
        <v>46.1</v>
      </c>
      <c r="J67" s="271" t="str">
        <f>IFERROR(__xludf.DUMMYFUNCTION("""COMPUTED_VALUE"""),"Franz Wagner")</f>
        <v>Franz Wagner</v>
      </c>
      <c r="K67" s="270">
        <f>IFERROR(__xludf.DUMMYFUNCTION("""COMPUTED_VALUE"""),72.0)</f>
        <v>72</v>
      </c>
      <c r="L67" s="272" t="str">
        <f>IFERROR(__xludf.DUMMYFUNCTION("""COMPUTED_VALUE"""),"PG")</f>
        <v>PG</v>
      </c>
      <c r="M67" s="273">
        <f>IFERROR(__xludf.DUMMYFUNCTION("""COMPUTED_VALUE"""),0.9021191865089622)</f>
        <v>0.9021191865</v>
      </c>
      <c r="N67" s="273">
        <f>IFERROR(__xludf.DUMMYFUNCTION("""COMPUTED_VALUE"""),0.8984413509039105)</f>
        <v>0.8984413509</v>
      </c>
      <c r="O67" s="274">
        <f>IFERROR(__xludf.DUMMYFUNCTION("""COMPUTED_VALUE"""),-0.003677835605051638)</f>
        <v>-0.003677835605</v>
      </c>
      <c r="P67" s="275">
        <f>IFERROR(__xludf.DUMMYFUNCTION("""COMPUTED_VALUE"""),21.69534247)</f>
        <v>21.69534247</v>
      </c>
      <c r="Q67" s="275">
        <f>IFERROR(__xludf.DUMMYFUNCTION("""COMPUTED_VALUE"""),1.582054795)</f>
        <v>1.582054795</v>
      </c>
      <c r="R67" s="275">
        <f>IFERROR(__xludf.DUMMYFUNCTION("""COMPUTED_VALUE"""),5.201643836)</f>
        <v>5.201643836</v>
      </c>
      <c r="S67" s="276">
        <f>IFERROR(__xludf.DUMMYFUNCTION("""COMPUTED_VALUE"""),3.467808219)</f>
        <v>3.467808219</v>
      </c>
      <c r="T67" s="275">
        <f>IFERROR(__xludf.DUMMYFUNCTION("""COMPUTED_VALUE"""),1.076027397)</f>
        <v>1.076027397</v>
      </c>
      <c r="U67" s="275">
        <f>IFERROR(__xludf.DUMMYFUNCTION("""COMPUTED_VALUE"""),0.3978082192)</f>
        <v>0.3978082192</v>
      </c>
      <c r="V67" s="272">
        <f>IFERROR(__xludf.DUMMYFUNCTION("""COMPUTED_VALUE"""),0.5151407827)</f>
        <v>0.5151407827</v>
      </c>
      <c r="W67" s="272">
        <f>IFERROR(__xludf.DUMMYFUNCTION("""COMPUTED_VALUE"""),0.8430037907)</f>
        <v>0.8430037907</v>
      </c>
      <c r="X67" s="275">
        <f>IFERROR(__xludf.DUMMYFUNCTION("""COMPUTED_VALUE"""),1.733835616)</f>
        <v>1.733835616</v>
      </c>
      <c r="Y67" s="273">
        <f>IFERROR(__xludf.DUMMYFUNCTION("""COMPUTED_VALUE"""),0.7582770339110124)</f>
        <v>0.7582770339</v>
      </c>
      <c r="Z67" s="273">
        <f>IFERROR(__xludf.DUMMYFUNCTION("""COMPUTED_VALUE"""),-0.1652670704489475)</f>
        <v>-0.1652670704</v>
      </c>
      <c r="AA67" s="273">
        <f>IFERROR(__xludf.DUMMYFUNCTION("""COMPUTED_VALUE"""),-0.34554028260211866)</f>
        <v>-0.3455402826</v>
      </c>
      <c r="AB67" s="273">
        <f>IFERROR(__xludf.DUMMYFUNCTION("""COMPUTED_VALUE"""),-0.2114128349964779)</f>
        <v>-0.211412835</v>
      </c>
      <c r="AC67" s="273">
        <f>IFERROR(__xludf.DUMMYFUNCTION("""COMPUTED_VALUE"""),0.3309219757896937)</f>
        <v>0.3309219758</v>
      </c>
      <c r="AD67" s="273">
        <f>IFERROR(__xludf.DUMMYFUNCTION("""COMPUTED_VALUE"""),-0.6258079063093371)</f>
        <v>-0.6258079063</v>
      </c>
      <c r="AE67" s="273">
        <f>IFERROR(__xludf.DUMMYFUNCTION("""COMPUTED_VALUE"""),0.3220143282391967)</f>
        <v>0.3220143282</v>
      </c>
      <c r="AF67" s="273">
        <f>IFERROR(__xludf.DUMMYFUNCTION("""COMPUTED_VALUE"""),0.835256107320889)</f>
        <v>0.8352561073</v>
      </c>
      <c r="AG67" s="277">
        <f>IFERROR(__xludf.DUMMYFUNCTION("""COMPUTED_VALUE"""),0.0)</f>
        <v>0</v>
      </c>
      <c r="AH67" s="265"/>
      <c r="AI67" s="338"/>
      <c r="AJ67" s="339"/>
      <c r="AK67" s="265"/>
      <c r="AL67" s="265"/>
      <c r="AM67" s="265"/>
      <c r="AN67" s="265"/>
      <c r="AO67" s="265"/>
      <c r="AP67" s="265"/>
      <c r="AQ67" s="265"/>
      <c r="AR67" s="265"/>
      <c r="AS67" s="265"/>
      <c r="AT67" s="265"/>
      <c r="AU67" s="265"/>
      <c r="AV67" s="265"/>
      <c r="AW67" s="265"/>
      <c r="AX67" s="265"/>
      <c r="AY67" s="265"/>
      <c r="AZ67" s="265"/>
      <c r="BA67" s="265"/>
      <c r="BB67" s="265"/>
      <c r="BC67" s="265"/>
      <c r="BD67" s="265"/>
      <c r="BE67" s="265"/>
      <c r="BF67" s="265"/>
      <c r="BG67" s="265"/>
      <c r="BH67" s="265"/>
      <c r="BI67" s="265"/>
      <c r="BJ67" s="265"/>
      <c r="BK67" s="265"/>
      <c r="BL67" s="265"/>
      <c r="BM67" s="265"/>
      <c r="BN67" s="265"/>
      <c r="BO67" s="265"/>
      <c r="BP67" s="265"/>
      <c r="BQ67" s="265"/>
      <c r="BR67" s="265"/>
      <c r="BS67" s="265"/>
      <c r="BT67" s="265"/>
      <c r="BU67" s="265"/>
      <c r="BV67" s="265"/>
    </row>
    <row r="68">
      <c r="A68" s="251">
        <f>VLOOKUP($F68,UpdateHashtag!$V$3:$Y$32,COLUMN(B$15),0)</f>
        <v>3</v>
      </c>
      <c r="B68" s="252">
        <f>VLOOKUP($F68,UpdateHashtag!$V$3:$Y$32,COLUMN(C$13),0)</f>
        <v>3</v>
      </c>
      <c r="C68" s="252">
        <f>VLOOKUP($F68,UpdateHashtag!$V$3:$Y$32,COLUMN(D$13),0)</f>
        <v>4</v>
      </c>
      <c r="D68" s="268">
        <f t="shared" si="4"/>
        <v>10</v>
      </c>
      <c r="E68" s="19"/>
      <c r="F68" s="30" t="str">
        <f>IF(VLOOKUP(J68,PasteHashtag!$C$2:$P1015,3,)="BRO","BKN",IF(VLOOKUP(J68,PasteHashtag!$C$2:$P1015,3,)="OKL","OKC",VLOOKUP(J68,PasteHashtag!$C$2:$P1015,3,)))</f>
        <v>NY</v>
      </c>
      <c r="G68" s="269">
        <v>49.0</v>
      </c>
      <c r="H68" s="270">
        <f>IFERROR(__xludf.DUMMYFUNCTION("""COMPUTED_VALUE"""),51.0)</f>
        <v>51</v>
      </c>
      <c r="I68" s="270">
        <f>IFERROR(__xludf.DUMMYFUNCTION("""COMPUTED_VALUE"""),82.6)</f>
        <v>82.6</v>
      </c>
      <c r="J68" s="271" t="str">
        <f>IFERROR(__xludf.DUMMYFUNCTION("""COMPUTED_VALUE"""),"OG Anunoby")</f>
        <v>OG Anunoby</v>
      </c>
      <c r="K68" s="270">
        <f>IFERROR(__xludf.DUMMYFUNCTION("""COMPUTED_VALUE"""),69.0)</f>
        <v>69</v>
      </c>
      <c r="L68" s="272" t="str">
        <f>IFERROR(__xludf.DUMMYFUNCTION("""COMPUTED_VALUE"""),"SG,SF")</f>
        <v>SG,SF</v>
      </c>
      <c r="M68" s="273">
        <f>IFERROR(__xludf.DUMMYFUNCTION("""COMPUTED_VALUE"""),0.811353023661122)</f>
        <v>0.8113530237</v>
      </c>
      <c r="N68" s="273">
        <f>IFERROR(__xludf.DUMMYFUNCTION("""COMPUTED_VALUE"""),0.7687244084855955)</f>
        <v>0.7687244085</v>
      </c>
      <c r="O68" s="274">
        <f>IFERROR(__xludf.DUMMYFUNCTION("""COMPUTED_VALUE"""),-0.04262861517552652)</f>
        <v>-0.04262861518</v>
      </c>
      <c r="P68" s="275">
        <f>IFERROR(__xludf.DUMMYFUNCTION("""COMPUTED_VALUE"""),15.46573529)</f>
        <v>15.46573529</v>
      </c>
      <c r="Q68" s="275">
        <f>IFERROR(__xludf.DUMMYFUNCTION("""COMPUTED_VALUE"""),1.850735294)</f>
        <v>1.850735294</v>
      </c>
      <c r="R68" s="275">
        <f>IFERROR(__xludf.DUMMYFUNCTION("""COMPUTED_VALUE"""),5.183970588)</f>
        <v>5.183970588</v>
      </c>
      <c r="S68" s="276">
        <f>IFERROR(__xludf.DUMMYFUNCTION("""COMPUTED_VALUE"""),1.872058824)</f>
        <v>1.872058824</v>
      </c>
      <c r="T68" s="275">
        <f>IFERROR(__xludf.DUMMYFUNCTION("""COMPUTED_VALUE"""),1.656029412)</f>
        <v>1.656029412</v>
      </c>
      <c r="U68" s="275">
        <f>IFERROR(__xludf.DUMMYFUNCTION("""COMPUTED_VALUE"""),0.8639705882)</f>
        <v>0.8639705882</v>
      </c>
      <c r="V68" s="272">
        <f>IFERROR(__xludf.DUMMYFUNCTION("""COMPUTED_VALUE"""),0.4973988682)</f>
        <v>0.4973988682</v>
      </c>
      <c r="W68" s="272">
        <f>IFERROR(__xludf.DUMMYFUNCTION("""COMPUTED_VALUE"""),0.7740148758)</f>
        <v>0.7740148758</v>
      </c>
      <c r="X68" s="275">
        <f>IFERROR(__xludf.DUMMYFUNCTION("""COMPUTED_VALUE"""),1.576764706)</f>
        <v>1.576764706</v>
      </c>
      <c r="Y68" s="273">
        <f>IFERROR(__xludf.DUMMYFUNCTION("""COMPUTED_VALUE"""),-0.36464478743258877)</f>
        <v>-0.3646447874</v>
      </c>
      <c r="Z68" s="273">
        <f>IFERROR(__xludf.DUMMYFUNCTION("""COMPUTED_VALUE"""),0.10124478439251729)</f>
        <v>0.1012447844</v>
      </c>
      <c r="AA68" s="273">
        <f>IFERROR(__xludf.DUMMYFUNCTION("""COMPUTED_VALUE"""),-0.35246655214132405)</f>
        <v>-0.3524665521</v>
      </c>
      <c r="AB68" s="273">
        <f>IFERROR(__xludf.DUMMYFUNCTION("""COMPUTED_VALUE"""),-0.9361039271709409)</f>
        <v>-0.9361039272</v>
      </c>
      <c r="AC68" s="273">
        <f>IFERROR(__xludf.DUMMYFUNCTION("""COMPUTED_VALUE"""),2.249750402023782)</f>
        <v>2.249750402</v>
      </c>
      <c r="AD68" s="273">
        <f>IFERROR(__xludf.DUMMYFUNCTION("""COMPUTED_VALUE"""),0.2056615887262813)</f>
        <v>0.2056615887</v>
      </c>
      <c r="AE68" s="273">
        <f>IFERROR(__xludf.DUMMYFUNCTION("""COMPUTED_VALUE"""),0.00216693401655425)</f>
        <v>0.002166934017</v>
      </c>
      <c r="AF68" s="273">
        <f>IFERROR(__xludf.DUMMYFUNCTION("""COMPUTED_VALUE"""),-0.13688403392868534)</f>
        <v>-0.1368840339</v>
      </c>
      <c r="AG68" s="277">
        <f>IFERROR(__xludf.DUMMYFUNCTION("""COMPUTED_VALUE"""),0.0)</f>
        <v>0</v>
      </c>
      <c r="AH68" s="265"/>
      <c r="AI68" s="338"/>
      <c r="AJ68" s="339"/>
      <c r="AK68" s="265"/>
      <c r="AL68" s="265"/>
      <c r="AM68" s="265"/>
      <c r="AN68" s="265"/>
      <c r="AO68" s="265"/>
      <c r="AP68" s="265"/>
      <c r="AQ68" s="265"/>
      <c r="AR68" s="265"/>
      <c r="AS68" s="265"/>
      <c r="AT68" s="265"/>
      <c r="AU68" s="265"/>
      <c r="AV68" s="265"/>
      <c r="AW68" s="265"/>
      <c r="AX68" s="265"/>
      <c r="AY68" s="265"/>
      <c r="AZ68" s="265"/>
      <c r="BA68" s="265"/>
      <c r="BB68" s="265"/>
      <c r="BC68" s="265"/>
      <c r="BD68" s="265"/>
      <c r="BE68" s="265"/>
      <c r="BF68" s="265"/>
      <c r="BG68" s="265"/>
      <c r="BH68" s="265"/>
      <c r="BI68" s="265"/>
      <c r="BJ68" s="265"/>
      <c r="BK68" s="265"/>
      <c r="BL68" s="265"/>
      <c r="BM68" s="265"/>
      <c r="BN68" s="265"/>
      <c r="BO68" s="265"/>
      <c r="BP68" s="265"/>
      <c r="BQ68" s="265"/>
      <c r="BR68" s="265"/>
      <c r="BS68" s="265"/>
      <c r="BT68" s="265"/>
      <c r="BU68" s="265"/>
      <c r="BV68" s="265"/>
    </row>
    <row r="69">
      <c r="A69" s="251">
        <f>VLOOKUP($F69,UpdateHashtag!$V$3:$Y$32,COLUMN(B$15),0)</f>
        <v>3</v>
      </c>
      <c r="B69" s="252">
        <f>VLOOKUP($F69,UpdateHashtag!$V$3:$Y$32,COLUMN(C$13),0)</f>
        <v>5</v>
      </c>
      <c r="C69" s="252">
        <f>VLOOKUP($F69,UpdateHashtag!$V$3:$Y$32,COLUMN(D$13),0)</f>
        <v>3</v>
      </c>
      <c r="D69" s="268">
        <f t="shared" si="4"/>
        <v>11</v>
      </c>
      <c r="E69" s="19"/>
      <c r="F69" s="30" t="str">
        <f>IF(VLOOKUP(J69,PasteHashtag!$C$2:$P1015,3,)="BRO","BKN",IF(VLOOKUP(J69,PasteHashtag!$C$2:$P1015,3,)="OKL","OKC",VLOOKUP(J69,PasteHashtag!$C$2:$P1015,3,)))</f>
        <v>WAS</v>
      </c>
      <c r="G69" s="269">
        <v>50.0</v>
      </c>
      <c r="H69" s="270">
        <f>IFERROR(__xludf.DUMMYFUNCTION("""COMPUTED_VALUE"""),56.0)</f>
        <v>56</v>
      </c>
      <c r="I69" s="270">
        <f>IFERROR(__xludf.DUMMYFUNCTION("""COMPUTED_VALUE"""),86.4)</f>
        <v>86.4</v>
      </c>
      <c r="J69" s="271" t="str">
        <f>IFERROR(__xludf.DUMMYFUNCTION("""COMPUTED_VALUE"""),"Jordan Poole")</f>
        <v>Jordan Poole</v>
      </c>
      <c r="K69" s="270">
        <f>IFERROR(__xludf.DUMMYFUNCTION("""COMPUTED_VALUE"""),67.0)</f>
        <v>67</v>
      </c>
      <c r="L69" s="272" t="str">
        <f>IFERROR(__xludf.DUMMYFUNCTION("""COMPUTED_VALUE"""),"PF,C")</f>
        <v>PF,C</v>
      </c>
      <c r="M69" s="273">
        <f>IFERROR(__xludf.DUMMYFUNCTION("""COMPUTED_VALUE"""),0.3109042917495325)</f>
        <v>0.3109042917</v>
      </c>
      <c r="N69" s="273">
        <f>IFERROR(__xludf.DUMMYFUNCTION("""COMPUTED_VALUE"""),0.6165750149969097)</f>
        <v>0.616575015</v>
      </c>
      <c r="O69" s="274">
        <f>IFERROR(__xludf.DUMMYFUNCTION("""COMPUTED_VALUE"""),0.3056707232473772)</f>
        <v>0.3056707232</v>
      </c>
      <c r="P69" s="275">
        <f>IFERROR(__xludf.DUMMYFUNCTION("""COMPUTED_VALUE"""),19.74415584)</f>
        <v>19.74415584</v>
      </c>
      <c r="Q69" s="275">
        <f>IFERROR(__xludf.DUMMYFUNCTION("""COMPUTED_VALUE"""),2.770519481)</f>
        <v>2.770519481</v>
      </c>
      <c r="R69" s="275">
        <f>IFERROR(__xludf.DUMMYFUNCTION("""COMPUTED_VALUE"""),2.911948052)</f>
        <v>2.911948052</v>
      </c>
      <c r="S69" s="276">
        <f>IFERROR(__xludf.DUMMYFUNCTION("""COMPUTED_VALUE"""),6.586623377)</f>
        <v>6.586623377</v>
      </c>
      <c r="T69" s="275">
        <f>IFERROR(__xludf.DUMMYFUNCTION("""COMPUTED_VALUE"""),1.04)</f>
        <v>1.04</v>
      </c>
      <c r="U69" s="275">
        <f>IFERROR(__xludf.DUMMYFUNCTION("""COMPUTED_VALUE"""),0.347012987)</f>
        <v>0.347012987</v>
      </c>
      <c r="V69" s="272">
        <f>IFERROR(__xludf.DUMMYFUNCTION("""COMPUTED_VALUE"""),0.4303583476)</f>
        <v>0.4303583476</v>
      </c>
      <c r="W69" s="272">
        <f>IFERROR(__xludf.DUMMYFUNCTION("""COMPUTED_VALUE"""),0.8830112306)</f>
        <v>0.8830112306</v>
      </c>
      <c r="X69" s="275">
        <f>IFERROR(__xludf.DUMMYFUNCTION("""COMPUTED_VALUE"""),2.981298701)</f>
        <v>2.981298701</v>
      </c>
      <c r="Y69" s="273">
        <f>IFERROR(__xludf.DUMMYFUNCTION("""COMPUTED_VALUE"""),0.40656464161521416)</f>
        <v>0.4065646416</v>
      </c>
      <c r="Z69" s="273">
        <f>IFERROR(__xludf.DUMMYFUNCTION("""COMPUTED_VALUE"""),1.0136049692350306)</f>
        <v>1.013604969</v>
      </c>
      <c r="AA69" s="273">
        <f>IFERROR(__xludf.DUMMYFUNCTION("""COMPUTED_VALUE"""),-1.2428880798359183)</f>
        <v>-1.24288808</v>
      </c>
      <c r="AB69" s="273">
        <f>IFERROR(__xludf.DUMMYFUNCTION("""COMPUTED_VALUE"""),1.2049609203207154)</f>
        <v>1.20496092</v>
      </c>
      <c r="AC69" s="273">
        <f>IFERROR(__xludf.DUMMYFUNCTION("""COMPUTED_VALUE"""),0.21173205627394728)</f>
        <v>0.2117320563</v>
      </c>
      <c r="AD69" s="273">
        <f>IFERROR(__xludf.DUMMYFUNCTION("""COMPUTED_VALUE"""),-0.7164087116856951)</f>
        <v>-0.7164087117</v>
      </c>
      <c r="AE69" s="273">
        <f>IFERROR(__xludf.DUMMYFUNCTION("""COMPUTED_VALUE"""),-1.273071780543704)</f>
        <v>-1.273071781</v>
      </c>
      <c r="AF69" s="273">
        <f>IFERROR(__xludf.DUMMYFUNCTION("""COMPUTED_VALUE"""),1.0120809996173195)</f>
        <v>1.012081</v>
      </c>
      <c r="AG69" s="277">
        <f>IFERROR(__xludf.DUMMYFUNCTION("""COMPUTED_VALUE"""),0.0)</f>
        <v>0</v>
      </c>
      <c r="AH69" s="265"/>
      <c r="AI69" s="338"/>
      <c r="AJ69" s="339"/>
      <c r="AK69" s="265"/>
      <c r="AL69" s="265"/>
      <c r="AM69" s="265"/>
      <c r="AN69" s="265"/>
      <c r="AO69" s="265"/>
      <c r="AP69" s="265"/>
      <c r="AQ69" s="265"/>
      <c r="AR69" s="265"/>
      <c r="AS69" s="265"/>
      <c r="AT69" s="265"/>
      <c r="AU69" s="265"/>
      <c r="AV69" s="265"/>
      <c r="AW69" s="265"/>
      <c r="AX69" s="265"/>
      <c r="AY69" s="265"/>
      <c r="AZ69" s="265"/>
      <c r="BA69" s="265"/>
      <c r="BB69" s="265"/>
      <c r="BC69" s="265"/>
      <c r="BD69" s="265"/>
      <c r="BE69" s="265"/>
      <c r="BF69" s="265"/>
      <c r="BG69" s="265"/>
      <c r="BH69" s="265"/>
      <c r="BI69" s="265"/>
      <c r="BJ69" s="265"/>
      <c r="BK69" s="265"/>
      <c r="BL69" s="265"/>
      <c r="BM69" s="265"/>
      <c r="BN69" s="265"/>
      <c r="BO69" s="265"/>
      <c r="BP69" s="265"/>
      <c r="BQ69" s="265"/>
      <c r="BR69" s="265"/>
      <c r="BS69" s="265"/>
      <c r="BT69" s="265"/>
      <c r="BU69" s="265"/>
      <c r="BV69" s="265"/>
    </row>
    <row r="70">
      <c r="A70" s="251">
        <f>VLOOKUP($F70,UpdateHashtag!$V$3:$Y$32,COLUMN(B$15),0)</f>
        <v>4</v>
      </c>
      <c r="B70" s="252">
        <f>VLOOKUP($F70,UpdateHashtag!$V$3:$Y$32,COLUMN(C$13),0)</f>
        <v>3</v>
      </c>
      <c r="C70" s="252">
        <f>VLOOKUP($F70,UpdateHashtag!$V$3:$Y$32,COLUMN(D$13),0)</f>
        <v>4</v>
      </c>
      <c r="D70" s="268">
        <f t="shared" si="4"/>
        <v>11</v>
      </c>
      <c r="E70" s="19"/>
      <c r="F70" s="30" t="str">
        <f>IF(VLOOKUP(J70,PasteHashtag!$C$2:$P1015,3,)="BRO","BKN",IF(VLOOKUP(J70,PasteHashtag!$C$2:$P1015,3,)="OKL","OKC",VLOOKUP(J70,PasteHashtag!$C$2:$P1015,3,)))</f>
        <v>CHA</v>
      </c>
      <c r="G70" s="269">
        <v>51.0</v>
      </c>
      <c r="H70" s="270">
        <f>IFERROR(__xludf.DUMMYFUNCTION("""COMPUTED_VALUE"""),55.0)</f>
        <v>55</v>
      </c>
      <c r="I70" s="270">
        <f>IFERROR(__xludf.DUMMYFUNCTION("""COMPUTED_VALUE"""),63.0)</f>
        <v>63</v>
      </c>
      <c r="J70" s="271" t="str">
        <f>IFERROR(__xludf.DUMMYFUNCTION("""COMPUTED_VALUE"""),"Brandon Miller")</f>
        <v>Brandon Miller</v>
      </c>
      <c r="K70" s="270">
        <f>IFERROR(__xludf.DUMMYFUNCTION("""COMPUTED_VALUE"""),77.0)</f>
        <v>77</v>
      </c>
      <c r="L70" s="272" t="str">
        <f>IFERROR(__xludf.DUMMYFUNCTION("""COMPUTED_VALUE"""),"PF,C")</f>
        <v>PF,C</v>
      </c>
      <c r="M70" s="273">
        <f>IFERROR(__xludf.DUMMYFUNCTION("""COMPUTED_VALUE"""),0.5262078276680535)</f>
        <v>0.5262078277</v>
      </c>
      <c r="N70" s="273">
        <f>IFERROR(__xludf.DUMMYFUNCTION("""COMPUTED_VALUE"""),0.5448823545200843)</f>
        <v>0.5448823545</v>
      </c>
      <c r="O70" s="274">
        <f>IFERROR(__xludf.DUMMYFUNCTION("""COMPUTED_VALUE"""),0.01867452685203075)</f>
        <v>0.01867452685</v>
      </c>
      <c r="P70" s="275">
        <f>IFERROR(__xludf.DUMMYFUNCTION("""COMPUTED_VALUE"""),20.16657534)</f>
        <v>20.16657534</v>
      </c>
      <c r="Q70" s="275">
        <f>IFERROR(__xludf.DUMMYFUNCTION("""COMPUTED_VALUE"""),2.994383562)</f>
        <v>2.994383562</v>
      </c>
      <c r="R70" s="275">
        <f>IFERROR(__xludf.DUMMYFUNCTION("""COMPUTED_VALUE"""),4.888219178)</f>
        <v>4.888219178</v>
      </c>
      <c r="S70" s="276">
        <f>IFERROR(__xludf.DUMMYFUNCTION("""COMPUTED_VALUE"""),2.772465753)</f>
        <v>2.772465753</v>
      </c>
      <c r="T70" s="275">
        <f>IFERROR(__xludf.DUMMYFUNCTION("""COMPUTED_VALUE"""),1.10109589)</f>
        <v>1.10109589</v>
      </c>
      <c r="U70" s="275">
        <f>IFERROR(__xludf.DUMMYFUNCTION("""COMPUTED_VALUE"""),0.6538356164)</f>
        <v>0.6538356164</v>
      </c>
      <c r="V70" s="272">
        <f>IFERROR(__xludf.DUMMYFUNCTION("""COMPUTED_VALUE"""),0.4534641689)</f>
        <v>0.4534641689</v>
      </c>
      <c r="W70" s="272">
        <f>IFERROR(__xludf.DUMMYFUNCTION("""COMPUTED_VALUE"""),0.8320067966)</f>
        <v>0.8320067966</v>
      </c>
      <c r="X70" s="275">
        <f>IFERROR(__xludf.DUMMYFUNCTION("""COMPUTED_VALUE"""),1.823972603)</f>
        <v>1.823972603</v>
      </c>
      <c r="Y70" s="273">
        <f>IFERROR(__xludf.DUMMYFUNCTION("""COMPUTED_VALUE"""),0.482708138404855)</f>
        <v>0.4827081384</v>
      </c>
      <c r="Z70" s="273">
        <f>IFERROR(__xludf.DUMMYFUNCTION("""COMPUTED_VALUE"""),1.2356621400447731)</f>
        <v>1.23566214</v>
      </c>
      <c r="AA70" s="273">
        <f>IFERROR(__xludf.DUMMYFUNCTION("""COMPUTED_VALUE"""),-0.4683735988969688)</f>
        <v>-0.4683735989</v>
      </c>
      <c r="AB70" s="273">
        <f>IFERROR(__xludf.DUMMYFUNCTION("""COMPUTED_VALUE"""),-0.5271945565498326)</f>
        <v>-0.5271945565</v>
      </c>
      <c r="AC70" s="273">
        <f>IFERROR(__xludf.DUMMYFUNCTION("""COMPUTED_VALUE"""),0.4138564065799907)</f>
        <v>0.4138564066</v>
      </c>
      <c r="AD70" s="273">
        <f>IFERROR(__xludf.DUMMYFUNCTION("""COMPUTED_VALUE"""),-0.16914519644317946)</f>
        <v>-0.1691451964</v>
      </c>
      <c r="AE70" s="273">
        <f>IFERROR(__xludf.DUMMYFUNCTION("""COMPUTED_VALUE"""),-0.8211313047593825)</f>
        <v>-0.8211313048</v>
      </c>
      <c r="AF70" s="273">
        <f>IFERROR(__xludf.DUMMYFUNCTION("""COMPUTED_VALUE"""),0.39850032613982894)</f>
        <v>0.3985003261</v>
      </c>
      <c r="AG70" s="277">
        <f>IFERROR(__xludf.DUMMYFUNCTION("""COMPUTED_VALUE"""),0.0)</f>
        <v>0</v>
      </c>
      <c r="AH70" s="265"/>
      <c r="AI70" s="338"/>
      <c r="AJ70" s="339"/>
      <c r="AK70" s="265"/>
      <c r="AL70" s="265"/>
      <c r="AM70" s="265"/>
      <c r="AN70" s="265"/>
      <c r="AO70" s="265"/>
      <c r="AP70" s="265"/>
      <c r="AQ70" s="265"/>
      <c r="AR70" s="265"/>
      <c r="AS70" s="265"/>
      <c r="AT70" s="265"/>
      <c r="AU70" s="265"/>
      <c r="AV70" s="265"/>
      <c r="AW70" s="265"/>
      <c r="AX70" s="265"/>
      <c r="AY70" s="265"/>
      <c r="AZ70" s="265"/>
      <c r="BA70" s="265"/>
      <c r="BB70" s="265"/>
      <c r="BC70" s="265"/>
      <c r="BD70" s="265"/>
      <c r="BE70" s="265"/>
      <c r="BF70" s="265"/>
      <c r="BG70" s="265"/>
      <c r="BH70" s="265"/>
      <c r="BI70" s="265"/>
      <c r="BJ70" s="265"/>
      <c r="BK70" s="265"/>
      <c r="BL70" s="265"/>
      <c r="BM70" s="265"/>
      <c r="BN70" s="265"/>
      <c r="BO70" s="265"/>
      <c r="BP70" s="265"/>
      <c r="BQ70" s="265"/>
      <c r="BR70" s="265"/>
      <c r="BS70" s="265"/>
      <c r="BT70" s="265"/>
      <c r="BU70" s="265"/>
      <c r="BV70" s="265"/>
    </row>
    <row r="71">
      <c r="A71" s="251">
        <f>VLOOKUP($F71,UpdateHashtag!$V$3:$Y$32,COLUMN(B$15),0)</f>
        <v>3</v>
      </c>
      <c r="B71" s="252">
        <f>VLOOKUP($F71,UpdateHashtag!$V$3:$Y$32,COLUMN(C$13),0)</f>
        <v>4</v>
      </c>
      <c r="C71" s="252">
        <f>VLOOKUP($F71,UpdateHashtag!$V$3:$Y$32,COLUMN(D$13),0)</f>
        <v>3</v>
      </c>
      <c r="D71" s="268">
        <f t="shared" si="4"/>
        <v>10</v>
      </c>
      <c r="E71" s="19"/>
      <c r="F71" s="30" t="str">
        <f>IF(VLOOKUP(J71,PasteHashtag!$C$2:$P1015,3,)="BRO","BKN",IF(VLOOKUP(J71,PasteHashtag!$C$2:$P1015,3,)="OKL","OKC",VLOOKUP(J71,PasteHashtag!$C$2:$P1015,3,)))</f>
        <v>PHO</v>
      </c>
      <c r="G71" s="269">
        <v>52.0</v>
      </c>
      <c r="H71" s="270">
        <f>IFERROR(__xludf.DUMMYFUNCTION("""COMPUTED_VALUE"""),52.0)</f>
        <v>52</v>
      </c>
      <c r="I71" s="270">
        <f>IFERROR(__xludf.DUMMYFUNCTION("""COMPUTED_VALUE"""),72.6)</f>
        <v>72.6</v>
      </c>
      <c r="J71" s="271" t="str">
        <f>IFERROR(__xludf.DUMMYFUNCTION("""COMPUTED_VALUE"""),"Bradley Beal")</f>
        <v>Bradley Beal</v>
      </c>
      <c r="K71" s="270">
        <f>IFERROR(__xludf.DUMMYFUNCTION("""COMPUTED_VALUE"""),70.0)</f>
        <v>70</v>
      </c>
      <c r="L71" s="272" t="str">
        <f>IFERROR(__xludf.DUMMYFUNCTION("""COMPUTED_VALUE"""),"C")</f>
        <v>C</v>
      </c>
      <c r="M71" s="273">
        <f>IFERROR(__xludf.DUMMYFUNCTION("""COMPUTED_VALUE"""),0.46102069151473846)</f>
        <v>0.4610206915</v>
      </c>
      <c r="N71" s="273">
        <f>IFERROR(__xludf.DUMMYFUNCTION("""COMPUTED_VALUE"""),0.5388457514735433)</f>
        <v>0.5388457515</v>
      </c>
      <c r="O71" s="274">
        <f>IFERROR(__xludf.DUMMYFUNCTION("""COMPUTED_VALUE"""),0.07782505995880484)</f>
        <v>0.07782505996</v>
      </c>
      <c r="P71" s="275">
        <f>IFERROR(__xludf.DUMMYFUNCTION("""COMPUTED_VALUE"""),18.40529412)</f>
        <v>18.40529412</v>
      </c>
      <c r="Q71" s="275">
        <f>IFERROR(__xludf.DUMMYFUNCTION("""COMPUTED_VALUE"""),2.250735294)</f>
        <v>2.250735294</v>
      </c>
      <c r="R71" s="275">
        <f>IFERROR(__xludf.DUMMYFUNCTION("""COMPUTED_VALUE"""),4.606176471)</f>
        <v>4.606176471</v>
      </c>
      <c r="S71" s="276">
        <f>IFERROR(__xludf.DUMMYFUNCTION("""COMPUTED_VALUE"""),4.675)</f>
        <v>4.675</v>
      </c>
      <c r="T71" s="275">
        <f>IFERROR(__xludf.DUMMYFUNCTION("""COMPUTED_VALUE"""),1.024705882)</f>
        <v>1.024705882</v>
      </c>
      <c r="U71" s="275">
        <f>IFERROR(__xludf.DUMMYFUNCTION("""COMPUTED_VALUE"""),0.5523529412)</f>
        <v>0.5523529412</v>
      </c>
      <c r="V71" s="272">
        <f>IFERROR(__xludf.DUMMYFUNCTION("""COMPUTED_VALUE"""),0.4904101296)</f>
        <v>0.4904101296</v>
      </c>
      <c r="W71" s="272">
        <f>IFERROR(__xludf.DUMMYFUNCTION("""COMPUTED_VALUE"""),0.8500033632)</f>
        <v>0.8500033632</v>
      </c>
      <c r="X71" s="275">
        <f>IFERROR(__xludf.DUMMYFUNCTION("""COMPUTED_VALUE"""),2.0625)</f>
        <v>2.0625</v>
      </c>
      <c r="Y71" s="273">
        <f>IFERROR(__xludf.DUMMYFUNCTION("""COMPUTED_VALUE"""),0.16522726708919672)</f>
        <v>0.1652272671</v>
      </c>
      <c r="Z71" s="273">
        <f>IFERROR(__xludf.DUMMYFUNCTION("""COMPUTED_VALUE"""),0.49801620000830393)</f>
        <v>0.4980162</v>
      </c>
      <c r="AA71" s="273">
        <f>IFERROR(__xludf.DUMMYFUNCTION("""COMPUTED_VALUE"""),-0.578908109036202)</f>
        <v>-0.578908109</v>
      </c>
      <c r="AB71" s="273">
        <f>IFERROR(__xludf.DUMMYFUNCTION("""COMPUTED_VALUE"""),0.3368193203645615)</f>
        <v>0.3368193204</v>
      </c>
      <c r="AC71" s="273">
        <f>IFERROR(__xludf.DUMMYFUNCTION("""COMPUTED_VALUE"""),0.16113432107025372)</f>
        <v>0.1611343211</v>
      </c>
      <c r="AD71" s="273">
        <f>IFERROR(__xludf.DUMMYFUNCTION("""COMPUTED_VALUE"""),-0.35015454922387906)</f>
        <v>-0.3501545492</v>
      </c>
      <c r="AE71" s="273">
        <f>IFERROR(__xludf.DUMMYFUNCTION("""COMPUTED_VALUE"""),-0.1159062003828041)</f>
        <v>-0.1159062004</v>
      </c>
      <c r="AF71" s="273">
        <f>IFERROR(__xludf.DUMMYFUNCTION("""COMPUTED_VALUE"""),0.4226175015841126)</f>
        <v>0.4226175016</v>
      </c>
      <c r="AG71" s="277">
        <f>IFERROR(__xludf.DUMMYFUNCTION("""COMPUTED_VALUE"""),0.0)</f>
        <v>0</v>
      </c>
      <c r="AH71" s="265"/>
      <c r="AI71" s="338"/>
      <c r="AJ71" s="339"/>
      <c r="AK71" s="265"/>
      <c r="AL71" s="265"/>
      <c r="AM71" s="265"/>
      <c r="AN71" s="265"/>
      <c r="AO71" s="265"/>
      <c r="AP71" s="265"/>
      <c r="AQ71" s="265"/>
      <c r="AR71" s="265"/>
      <c r="AS71" s="265"/>
      <c r="AT71" s="265"/>
      <c r="AU71" s="265"/>
      <c r="AV71" s="265"/>
      <c r="AW71" s="265"/>
      <c r="AX71" s="265"/>
      <c r="AY71" s="265"/>
      <c r="AZ71" s="265"/>
      <c r="BA71" s="265"/>
      <c r="BB71" s="265"/>
      <c r="BC71" s="265"/>
      <c r="BD71" s="265"/>
      <c r="BE71" s="265"/>
      <c r="BF71" s="265"/>
      <c r="BG71" s="265"/>
      <c r="BH71" s="265"/>
      <c r="BI71" s="265"/>
      <c r="BJ71" s="265"/>
      <c r="BK71" s="265"/>
      <c r="BL71" s="265"/>
      <c r="BM71" s="265"/>
      <c r="BN71" s="265"/>
      <c r="BO71" s="265"/>
      <c r="BP71" s="265"/>
      <c r="BQ71" s="265"/>
      <c r="BR71" s="265"/>
      <c r="BS71" s="265"/>
      <c r="BT71" s="265"/>
      <c r="BU71" s="265"/>
      <c r="BV71" s="265"/>
    </row>
    <row r="72">
      <c r="A72" s="251">
        <f>VLOOKUP($F72,UpdateHashtag!$V$3:$Y$32,COLUMN(B$15),0)</f>
        <v>3</v>
      </c>
      <c r="B72" s="252">
        <f>VLOOKUP($F72,UpdateHashtag!$V$3:$Y$32,COLUMN(C$13),0)</f>
        <v>4</v>
      </c>
      <c r="C72" s="252">
        <f>VLOOKUP($F72,UpdateHashtag!$V$3:$Y$32,COLUMN(D$13),0)</f>
        <v>4</v>
      </c>
      <c r="D72" s="268">
        <f t="shared" si="4"/>
        <v>11</v>
      </c>
      <c r="E72" s="19"/>
      <c r="F72" s="30" t="str">
        <f>IF(VLOOKUP(J72,PasteHashtag!$C$2:$P1015,3,)="BRO","BKN",IF(VLOOKUP(J72,PasteHashtag!$C$2:$P1015,3,)="OKL","OKC",VLOOKUP(J72,PasteHashtag!$C$2:$P1015,3,)))</f>
        <v>DEN</v>
      </c>
      <c r="G72" s="269">
        <v>53.0</v>
      </c>
      <c r="H72" s="270">
        <f>IFERROR(__xludf.DUMMYFUNCTION("""COMPUTED_VALUE"""),54.0)</f>
        <v>54</v>
      </c>
      <c r="I72" s="270">
        <f>IFERROR(__xludf.DUMMYFUNCTION("""COMPUTED_VALUE"""),52.7)</f>
        <v>52.7</v>
      </c>
      <c r="J72" s="271" t="str">
        <f>IFERROR(__xludf.DUMMYFUNCTION("""COMPUTED_VALUE"""),"Jamal Murray")</f>
        <v>Jamal Murray</v>
      </c>
      <c r="K72" s="270">
        <f>IFERROR(__xludf.DUMMYFUNCTION("""COMPUTED_VALUE"""),70.0)</f>
        <v>70</v>
      </c>
      <c r="L72" s="272" t="str">
        <f>IFERROR(__xludf.DUMMYFUNCTION("""COMPUTED_VALUE"""),"PF,C")</f>
        <v>PF,C</v>
      </c>
      <c r="M72" s="273">
        <f>IFERROR(__xludf.DUMMYFUNCTION("""COMPUTED_VALUE"""),0.4583660558697513)</f>
        <v>0.4583660559</v>
      </c>
      <c r="N72" s="273">
        <f>IFERROR(__xludf.DUMMYFUNCTION("""COMPUTED_VALUE"""),0.5259436188913249)</f>
        <v>0.5259436189</v>
      </c>
      <c r="O72" s="274">
        <f>IFERROR(__xludf.DUMMYFUNCTION("""COMPUTED_VALUE"""),0.06757756302157358)</f>
        <v>0.06757756302</v>
      </c>
      <c r="P72" s="275">
        <f>IFERROR(__xludf.DUMMYFUNCTION("""COMPUTED_VALUE"""),20.65838235)</f>
        <v>20.65838235</v>
      </c>
      <c r="Q72" s="275">
        <f>IFERROR(__xludf.DUMMYFUNCTION("""COMPUTED_VALUE"""),2.414264706)</f>
        <v>2.414264706</v>
      </c>
      <c r="R72" s="275">
        <f>IFERROR(__xludf.DUMMYFUNCTION("""COMPUTED_VALUE"""),3.705588235)</f>
        <v>3.705588235</v>
      </c>
      <c r="S72" s="276">
        <f>IFERROR(__xludf.DUMMYFUNCTION("""COMPUTED_VALUE"""),5.726911765)</f>
        <v>5.726911765</v>
      </c>
      <c r="T72" s="275">
        <f>IFERROR(__xludf.DUMMYFUNCTION("""COMPUTED_VALUE"""),1.016911765)</f>
        <v>1.016911765</v>
      </c>
      <c r="U72" s="275">
        <f>IFERROR(__xludf.DUMMYFUNCTION("""COMPUTED_VALUE"""),0.4716176471)</f>
        <v>0.4716176471</v>
      </c>
      <c r="V72" s="272">
        <f>IFERROR(__xludf.DUMMYFUNCTION("""COMPUTED_VALUE"""),0.4609148311)</f>
        <v>0.4609148311</v>
      </c>
      <c r="W72" s="272">
        <f>IFERROR(__xludf.DUMMYFUNCTION("""COMPUTED_VALUE"""),0.8399790386)</f>
        <v>0.8399790386</v>
      </c>
      <c r="X72" s="275">
        <f>IFERROR(__xludf.DUMMYFUNCTION("""COMPUTED_VALUE"""),2.021176471)</f>
        <v>2.021176471</v>
      </c>
      <c r="Y72" s="273">
        <f>IFERROR(__xludf.DUMMYFUNCTION("""COMPUTED_VALUE"""),0.5713591251302731)</f>
        <v>0.5713591251</v>
      </c>
      <c r="Z72" s="273">
        <f>IFERROR(__xludf.DUMMYFUNCTION("""COMPUTED_VALUE"""),0.6602256907434468)</f>
        <v>0.6602256907</v>
      </c>
      <c r="AA72" s="273">
        <f>IFERROR(__xludf.DUMMYFUNCTION("""COMPUTED_VALUE"""),-0.9318549395437407)</f>
        <v>-0.9318549395</v>
      </c>
      <c r="AB72" s="273">
        <f>IFERROR(__xludf.DUMMYFUNCTION("""COMPUTED_VALUE"""),0.8145328562352844)</f>
        <v>0.8145328562</v>
      </c>
      <c r="AC72" s="273">
        <f>IFERROR(__xludf.DUMMYFUNCTION("""COMPUTED_VALUE"""),0.135348939519477)</f>
        <v>0.1353489395</v>
      </c>
      <c r="AD72" s="273">
        <f>IFERROR(__xludf.DUMMYFUNCTION("""COMPUTED_VALUE"""),-0.49415788085462076)</f>
        <v>-0.4941578809</v>
      </c>
      <c r="AE72" s="273">
        <f>IFERROR(__xludf.DUMMYFUNCTION("""COMPUTED_VALUE"""),-0.7175029208237195)</f>
        <v>-0.7175029208</v>
      </c>
      <c r="AF72" s="273">
        <f>IFERROR(__xludf.DUMMYFUNCTION("""COMPUTED_VALUE"""),0.4879927484849246)</f>
        <v>0.4879927485</v>
      </c>
      <c r="AG72" s="277">
        <f>IFERROR(__xludf.DUMMYFUNCTION("""COMPUTED_VALUE"""),0.0)</f>
        <v>0</v>
      </c>
      <c r="AH72" s="265"/>
      <c r="AI72" s="338"/>
      <c r="AJ72" s="339"/>
      <c r="AK72" s="265"/>
      <c r="AL72" s="265"/>
      <c r="AM72" s="265"/>
      <c r="AN72" s="265"/>
      <c r="AO72" s="265"/>
      <c r="AP72" s="265"/>
      <c r="AQ72" s="265"/>
      <c r="AR72" s="265"/>
      <c r="AS72" s="265"/>
      <c r="AT72" s="265"/>
      <c r="AU72" s="265"/>
      <c r="AV72" s="265"/>
      <c r="AW72" s="265"/>
      <c r="AX72" s="265"/>
      <c r="AY72" s="265"/>
      <c r="AZ72" s="265"/>
      <c r="BA72" s="265"/>
      <c r="BB72" s="265"/>
      <c r="BC72" s="265"/>
      <c r="BD72" s="265"/>
      <c r="BE72" s="265"/>
      <c r="BF72" s="265"/>
      <c r="BG72" s="265"/>
      <c r="BH72" s="265"/>
      <c r="BI72" s="265"/>
      <c r="BJ72" s="265"/>
      <c r="BK72" s="265"/>
      <c r="BL72" s="265"/>
      <c r="BM72" s="265"/>
      <c r="BN72" s="265"/>
      <c r="BO72" s="265"/>
      <c r="BP72" s="265"/>
      <c r="BQ72" s="265"/>
      <c r="BR72" s="265"/>
      <c r="BS72" s="265"/>
      <c r="BT72" s="265"/>
      <c r="BU72" s="265"/>
      <c r="BV72" s="265"/>
    </row>
    <row r="73">
      <c r="A73" s="251">
        <f>VLOOKUP($F73,UpdateHashtag!$V$3:$Y$32,COLUMN(B$15),0)</f>
        <v>3</v>
      </c>
      <c r="B73" s="252">
        <f>VLOOKUP($F73,UpdateHashtag!$V$3:$Y$32,COLUMN(C$13),0)</f>
        <v>4</v>
      </c>
      <c r="C73" s="252">
        <f>VLOOKUP($F73,UpdateHashtag!$V$3:$Y$32,COLUMN(D$13),0)</f>
        <v>3</v>
      </c>
      <c r="D73" s="268">
        <f t="shared" si="4"/>
        <v>10</v>
      </c>
      <c r="E73" s="19"/>
      <c r="F73" s="30" t="str">
        <f>IF(VLOOKUP(J73,PasteHashtag!$C$2:$P1015,3,)="BRO","BKN",IF(VLOOKUP(J73,PasteHashtag!$C$2:$P1015,3,)="OKL","OKC",VLOOKUP(J73,PasteHashtag!$C$2:$P1015,3,)))</f>
        <v>BOS</v>
      </c>
      <c r="G73" s="269">
        <v>54.0</v>
      </c>
      <c r="H73" s="270">
        <f>IFERROR(__xludf.DUMMYFUNCTION("""COMPUTED_VALUE"""),53.0)</f>
        <v>53</v>
      </c>
      <c r="I73" s="270">
        <f>IFERROR(__xludf.DUMMYFUNCTION("""COMPUTED_VALUE"""),40.9)</f>
        <v>40.9</v>
      </c>
      <c r="J73" s="271" t="str">
        <f>IFERROR(__xludf.DUMMYFUNCTION("""COMPUTED_VALUE"""),"Jaylen Brown")</f>
        <v>Jaylen Brown</v>
      </c>
      <c r="K73" s="270">
        <f>IFERROR(__xludf.DUMMYFUNCTION("""COMPUTED_VALUE"""),76.0)</f>
        <v>76</v>
      </c>
      <c r="L73" s="272" t="str">
        <f>IFERROR(__xludf.DUMMYFUNCTION("""COMPUTED_VALUE"""),"PG,SG")</f>
        <v>PG,SG</v>
      </c>
      <c r="M73" s="273">
        <f>IFERROR(__xludf.DUMMYFUNCTION("""COMPUTED_VALUE"""),0.2955601473710142)</f>
        <v>0.2955601474</v>
      </c>
      <c r="N73" s="273">
        <f>IFERROR(__xludf.DUMMYFUNCTION("""COMPUTED_VALUE"""),0.42871152461446416)</f>
        <v>0.4287115246</v>
      </c>
      <c r="O73" s="274">
        <f>IFERROR(__xludf.DUMMYFUNCTION("""COMPUTED_VALUE"""),0.13315137724344994)</f>
        <v>0.1331513772</v>
      </c>
      <c r="P73" s="275">
        <f>IFERROR(__xludf.DUMMYFUNCTION("""COMPUTED_VALUE"""),24.40318182)</f>
        <v>24.40318182</v>
      </c>
      <c r="Q73" s="275">
        <f>IFERROR(__xludf.DUMMYFUNCTION("""COMPUTED_VALUE"""),2.173939394)</f>
        <v>2.173939394</v>
      </c>
      <c r="R73" s="275">
        <f>IFERROR(__xludf.DUMMYFUNCTION("""COMPUTED_VALUE"""),5.969848485)</f>
        <v>5.969848485</v>
      </c>
      <c r="S73" s="276">
        <f>IFERROR(__xludf.DUMMYFUNCTION("""COMPUTED_VALUE"""),3.331969697)</f>
        <v>3.331969697</v>
      </c>
      <c r="T73" s="275">
        <f>IFERROR(__xludf.DUMMYFUNCTION("""COMPUTED_VALUE"""),1.254393939)</f>
        <v>1.254393939</v>
      </c>
      <c r="U73" s="275">
        <f>IFERROR(__xludf.DUMMYFUNCTION("""COMPUTED_VALUE"""),0.4154545455)</f>
        <v>0.4154545455</v>
      </c>
      <c r="V73" s="272">
        <f>IFERROR(__xludf.DUMMYFUNCTION("""COMPUTED_VALUE"""),0.505456739)</f>
        <v>0.505456739</v>
      </c>
      <c r="W73" s="272">
        <f>IFERROR(__xludf.DUMMYFUNCTION("""COMPUTED_VALUE"""),0.6979940833)</f>
        <v>0.6979940833</v>
      </c>
      <c r="X73" s="275">
        <f>IFERROR(__xludf.DUMMYFUNCTION("""COMPUTED_VALUE"""),2.285606061)</f>
        <v>2.285606061</v>
      </c>
      <c r="Y73" s="273">
        <f>IFERROR(__xludf.DUMMYFUNCTION("""COMPUTED_VALUE"""),1.2463803455563982)</f>
        <v>1.246380346</v>
      </c>
      <c r="Z73" s="273">
        <f>IFERROR(__xludf.DUMMYFUNCTION("""COMPUTED_VALUE"""),0.42184015511708295)</f>
        <v>0.4218401551</v>
      </c>
      <c r="AA73" s="273">
        <f>IFERROR(__xludf.DUMMYFUNCTION("""COMPUTED_VALUE"""),-0.04447550604011816)</f>
        <v>-0.04447550604</v>
      </c>
      <c r="AB73" s="273">
        <f>IFERROR(__xludf.DUMMYFUNCTION("""COMPUTED_VALUE"""),-0.27310232532371376)</f>
        <v>-0.2731023253</v>
      </c>
      <c r="AC73" s="273">
        <f>IFERROR(__xludf.DUMMYFUNCTION("""COMPUTED_VALUE"""),0.9210143931042721)</f>
        <v>0.9210143931</v>
      </c>
      <c r="AD73" s="273">
        <f>IFERROR(__xludf.DUMMYFUNCTION("""COMPUTED_VALUE"""),-0.5943330748050919)</f>
        <v>-0.5943330748</v>
      </c>
      <c r="AE73" s="273">
        <f>IFERROR(__xludf.DUMMYFUNCTION("""COMPUTED_VALUE"""),0.1822982898507913)</f>
        <v>0.1822982899</v>
      </c>
      <c r="AF73" s="273">
        <f>IFERROR(__xludf.DUMMYFUNCTION("""COMPUTED_VALUE"""),-1.4309107528451566)</f>
        <v>-1.430910753</v>
      </c>
      <c r="AG73" s="277">
        <f>IFERROR(__xludf.DUMMYFUNCTION("""COMPUTED_VALUE"""),0.0)</f>
        <v>0</v>
      </c>
      <c r="AH73" s="265"/>
      <c r="AI73" s="338"/>
      <c r="AJ73" s="339"/>
      <c r="AK73" s="265"/>
      <c r="AL73" s="265"/>
      <c r="AM73" s="265"/>
      <c r="AN73" s="265"/>
      <c r="AO73" s="265"/>
      <c r="AP73" s="265"/>
      <c r="AQ73" s="265"/>
      <c r="AR73" s="265"/>
      <c r="AS73" s="265"/>
      <c r="AT73" s="265"/>
      <c r="AU73" s="265"/>
      <c r="AV73" s="265"/>
      <c r="AW73" s="265"/>
      <c r="AX73" s="265"/>
      <c r="AY73" s="265"/>
      <c r="AZ73" s="265"/>
      <c r="BA73" s="265"/>
      <c r="BB73" s="265"/>
      <c r="BC73" s="265"/>
      <c r="BD73" s="265"/>
      <c r="BE73" s="265"/>
      <c r="BF73" s="265"/>
      <c r="BG73" s="265"/>
      <c r="BH73" s="265"/>
      <c r="BI73" s="265"/>
      <c r="BJ73" s="265"/>
      <c r="BK73" s="265"/>
      <c r="BL73" s="265"/>
      <c r="BM73" s="265"/>
      <c r="BN73" s="265"/>
      <c r="BO73" s="265"/>
      <c r="BP73" s="265"/>
      <c r="BQ73" s="265"/>
      <c r="BR73" s="265"/>
      <c r="BS73" s="265"/>
      <c r="BT73" s="265"/>
      <c r="BU73" s="265"/>
      <c r="BV73" s="265"/>
    </row>
    <row r="74">
      <c r="A74" s="251">
        <f>VLOOKUP($F74,UpdateHashtag!$V$3:$Y$32,COLUMN(B$15),0)</f>
        <v>3</v>
      </c>
      <c r="B74" s="252">
        <f>VLOOKUP($F74,UpdateHashtag!$V$3:$Y$32,COLUMN(C$13),0)</f>
        <v>3</v>
      </c>
      <c r="C74" s="252">
        <f>VLOOKUP($F74,UpdateHashtag!$V$3:$Y$32,COLUMN(D$13),0)</f>
        <v>4</v>
      </c>
      <c r="D74" s="268">
        <f t="shared" si="4"/>
        <v>10</v>
      </c>
      <c r="E74" s="19"/>
      <c r="F74" s="30" t="str">
        <f>IF(VLOOKUP(J74,PasteHashtag!$C$2:$P1015,3,)="BRO","BKN",IF(VLOOKUP(J74,PasteHashtag!$C$2:$P1015,3,)="OKL","OKC",VLOOKUP(J74,PasteHashtag!$C$2:$P1015,3,)))</f>
        <v>NY</v>
      </c>
      <c r="G74" s="269">
        <v>55.0</v>
      </c>
      <c r="H74" s="270">
        <f>IFERROR(__xludf.DUMMYFUNCTION("""COMPUTED_VALUE"""),61.0)</f>
        <v>61</v>
      </c>
      <c r="I74" s="270">
        <f>IFERROR(__xludf.DUMMYFUNCTION("""COMPUTED_VALUE"""),54.7)</f>
        <v>54.7</v>
      </c>
      <c r="J74" s="271" t="str">
        <f>IFERROR(__xludf.DUMMYFUNCTION("""COMPUTED_VALUE"""),"Mikal Bridges")</f>
        <v>Mikal Bridges</v>
      </c>
      <c r="K74" s="270">
        <f>IFERROR(__xludf.DUMMYFUNCTION("""COMPUTED_VALUE"""),68.0)</f>
        <v>68</v>
      </c>
      <c r="L74" s="272" t="str">
        <f>IFERROR(__xludf.DUMMYFUNCTION("""COMPUTED_VALUE"""),"PG,SG")</f>
        <v>PG,SG</v>
      </c>
      <c r="M74" s="273">
        <f>IFERROR(__xludf.DUMMYFUNCTION("""COMPUTED_VALUE"""),0.3770052017078719)</f>
        <v>0.3770052017</v>
      </c>
      <c r="N74" s="273">
        <f>IFERROR(__xludf.DUMMYFUNCTION("""COMPUTED_VALUE"""),0.3004613827786598)</f>
        <v>0.3004613828</v>
      </c>
      <c r="O74" s="274">
        <f>IFERROR(__xludf.DUMMYFUNCTION("""COMPUTED_VALUE"""),-0.07654381892921208)</f>
        <v>-0.07654381893</v>
      </c>
      <c r="P74" s="275">
        <f>IFERROR(__xludf.DUMMYFUNCTION("""COMPUTED_VALUE"""),19.004625)</f>
        <v>19.004625</v>
      </c>
      <c r="Q74" s="275">
        <f>IFERROR(__xludf.DUMMYFUNCTION("""COMPUTED_VALUE"""),3.184875)</f>
        <v>3.184875</v>
      </c>
      <c r="R74" s="275">
        <f>IFERROR(__xludf.DUMMYFUNCTION("""COMPUTED_VALUE"""),4.464)</f>
        <v>4.464</v>
      </c>
      <c r="S74" s="276">
        <f>IFERROR(__xludf.DUMMYFUNCTION("""COMPUTED_VALUE"""),3.168)</f>
        <v>3.168</v>
      </c>
      <c r="T74" s="275">
        <f>IFERROR(__xludf.DUMMYFUNCTION("""COMPUTED_VALUE"""),1.152)</f>
        <v>1.152</v>
      </c>
      <c r="U74" s="275">
        <f>IFERROR(__xludf.DUMMYFUNCTION("""COMPUTED_VALUE"""),0.504)</f>
        <v>0.504</v>
      </c>
      <c r="V74" s="272">
        <f>IFERROR(__xludf.DUMMYFUNCTION("""COMPUTED_VALUE"""),0.4476619441)</f>
        <v>0.4476619441</v>
      </c>
      <c r="W74" s="272">
        <f>IFERROR(__xludf.DUMMYFUNCTION("""COMPUTED_VALUE"""),0.8300014452)</f>
        <v>0.8300014452</v>
      </c>
      <c r="X74" s="275">
        <f>IFERROR(__xludf.DUMMYFUNCTION("""COMPUTED_VALUE"""),1.44)</f>
        <v>1.44</v>
      </c>
      <c r="Y74" s="273">
        <f>IFERROR(__xludf.DUMMYFUNCTION("""COMPUTED_VALUE"""),0.27326003768149326)</f>
        <v>0.2732600377</v>
      </c>
      <c r="Z74" s="273">
        <f>IFERROR(__xludf.DUMMYFUNCTION("""COMPUTED_VALUE"""),1.4246160338396403)</f>
        <v>1.424616034</v>
      </c>
      <c r="AA74" s="273">
        <f>IFERROR(__xludf.DUMMYFUNCTION("""COMPUTED_VALUE"""),-0.6346280627356605)</f>
        <v>-0.6346280627</v>
      </c>
      <c r="AB74" s="273">
        <f>IFERROR(__xludf.DUMMYFUNCTION("""COMPUTED_VALUE"""),-0.34756726272226157)</f>
        <v>-0.3475672627</v>
      </c>
      <c r="AC74" s="273">
        <f>IFERROR(__xludf.DUMMYFUNCTION("""COMPUTED_VALUE"""),0.582263154753351)</f>
        <v>0.5822631548</v>
      </c>
      <c r="AD74" s="273">
        <f>IFERROR(__xludf.DUMMYFUNCTION("""COMPUTED_VALUE"""),-0.4363991675728367)</f>
        <v>-0.4363991676</v>
      </c>
      <c r="AE74" s="273">
        <f>IFERROR(__xludf.DUMMYFUNCTION("""COMPUTED_VALUE"""),-0.8803374060765898)</f>
        <v>-0.8803374061</v>
      </c>
      <c r="AF74" s="273">
        <f>IFERROR(__xludf.DUMMYFUNCTION("""COMPUTED_VALUE"""),0.31925405561152403)</f>
        <v>0.3192540556</v>
      </c>
      <c r="AG74" s="277">
        <f>IFERROR(__xludf.DUMMYFUNCTION("""COMPUTED_VALUE"""),0.0)</f>
        <v>0</v>
      </c>
      <c r="AH74" s="265"/>
      <c r="AI74" s="338"/>
      <c r="AJ74" s="339"/>
      <c r="AK74" s="265"/>
      <c r="AL74" s="265"/>
      <c r="AM74" s="265"/>
      <c r="AN74" s="265"/>
      <c r="AO74" s="265"/>
      <c r="AP74" s="265"/>
      <c r="AQ74" s="265"/>
      <c r="AR74" s="265"/>
      <c r="AS74" s="265"/>
      <c r="AT74" s="265"/>
      <c r="AU74" s="265"/>
      <c r="AV74" s="265"/>
      <c r="AW74" s="265"/>
      <c r="AX74" s="265"/>
      <c r="AY74" s="265"/>
      <c r="AZ74" s="265"/>
      <c r="BA74" s="265"/>
      <c r="BB74" s="265"/>
      <c r="BC74" s="265"/>
      <c r="BD74" s="265"/>
      <c r="BE74" s="265"/>
      <c r="BF74" s="265"/>
      <c r="BG74" s="265"/>
      <c r="BH74" s="265"/>
      <c r="BI74" s="265"/>
      <c r="BJ74" s="265"/>
      <c r="BK74" s="265"/>
      <c r="BL74" s="265"/>
      <c r="BM74" s="265"/>
      <c r="BN74" s="265"/>
      <c r="BO74" s="265"/>
      <c r="BP74" s="265"/>
      <c r="BQ74" s="265"/>
      <c r="BR74" s="265"/>
      <c r="BS74" s="265"/>
      <c r="BT74" s="265"/>
      <c r="BU74" s="265"/>
      <c r="BV74" s="265"/>
    </row>
    <row r="75">
      <c r="A75" s="251">
        <f>VLOOKUP($F75,UpdateHashtag!$V$3:$Y$32,COLUMN(B$15),0)</f>
        <v>4</v>
      </c>
      <c r="B75" s="252">
        <f>VLOOKUP($F75,UpdateHashtag!$V$3:$Y$32,COLUMN(C$13),0)</f>
        <v>3</v>
      </c>
      <c r="C75" s="252">
        <f>VLOOKUP($F75,UpdateHashtag!$V$3:$Y$32,COLUMN(D$13),0)</f>
        <v>4</v>
      </c>
      <c r="D75" s="268">
        <f t="shared" si="4"/>
        <v>11</v>
      </c>
      <c r="E75" s="19"/>
      <c r="F75" s="30" t="str">
        <f>IF(VLOOKUP(J75,PasteHashtag!$C$2:$P1015,3,)="BRO","BKN",IF(VLOOKUP(J75,PasteHashtag!$C$2:$P1015,3,)="OKL","OKC",VLOOKUP(J75,PasteHashtag!$C$2:$P1015,3,)))</f>
        <v>POR</v>
      </c>
      <c r="G75" s="269">
        <v>56.0</v>
      </c>
      <c r="H75" s="270">
        <f>IFERROR(__xludf.DUMMYFUNCTION("""COMPUTED_VALUE"""),50.0)</f>
        <v>50</v>
      </c>
      <c r="I75" s="270">
        <f>IFERROR(__xludf.DUMMYFUNCTION("""COMPUTED_VALUE"""),60.8)</f>
        <v>60.8</v>
      </c>
      <c r="J75" s="271" t="str">
        <f>IFERROR(__xludf.DUMMYFUNCTION("""COMPUTED_VALUE"""),"Deandre Ayton")</f>
        <v>Deandre Ayton</v>
      </c>
      <c r="K75" s="270">
        <f>IFERROR(__xludf.DUMMYFUNCTION("""COMPUTED_VALUE"""),74.0)</f>
        <v>74</v>
      </c>
      <c r="L75" s="272" t="str">
        <f>IFERROR(__xludf.DUMMYFUNCTION("""COMPUTED_VALUE"""),"SG,SF")</f>
        <v>SG,SF</v>
      </c>
      <c r="M75" s="273">
        <f>IFERROR(__xludf.DUMMYFUNCTION("""COMPUTED_VALUE"""),0.17022417639622797)</f>
        <v>0.1702241764</v>
      </c>
      <c r="N75" s="273">
        <f>IFERROR(__xludf.DUMMYFUNCTION("""COMPUTED_VALUE"""),0.17543446761275888)</f>
        <v>0.1754344676</v>
      </c>
      <c r="O75" s="274">
        <f>IFERROR(__xludf.DUMMYFUNCTION("""COMPUTED_VALUE"""),0.00521029121653091)</f>
        <v>0.005210291217</v>
      </c>
      <c r="P75" s="275">
        <f>IFERROR(__xludf.DUMMYFUNCTION("""COMPUTED_VALUE"""),17.24596774)</f>
        <v>17.24596774</v>
      </c>
      <c r="Q75" s="275">
        <f>IFERROR(__xludf.DUMMYFUNCTION("""COMPUTED_VALUE"""),0.05548387097)</f>
        <v>0.05548387097</v>
      </c>
      <c r="R75" s="275">
        <f>IFERROR(__xludf.DUMMYFUNCTION("""COMPUTED_VALUE"""),11.43451613)</f>
        <v>11.43451613</v>
      </c>
      <c r="S75" s="276">
        <f>IFERROR(__xludf.DUMMYFUNCTION("""COMPUTED_VALUE"""),1.701612903)</f>
        <v>1.701612903</v>
      </c>
      <c r="T75" s="275">
        <f>IFERROR(__xludf.DUMMYFUNCTION("""COMPUTED_VALUE"""),0.8167741935)</f>
        <v>0.8167741935</v>
      </c>
      <c r="U75" s="275">
        <f>IFERROR(__xludf.DUMMYFUNCTION("""COMPUTED_VALUE"""),0.7487096774)</f>
        <v>0.7487096774</v>
      </c>
      <c r="V75" s="272">
        <f>IFERROR(__xludf.DUMMYFUNCTION("""COMPUTED_VALUE"""),0.5743593318)</f>
        <v>0.5743593318</v>
      </c>
      <c r="W75" s="272">
        <f>IFERROR(__xludf.DUMMYFUNCTION("""COMPUTED_VALUE"""),0.8129488804)</f>
        <v>0.8129488804</v>
      </c>
      <c r="X75" s="275">
        <f>IFERROR(__xludf.DUMMYFUNCTION("""COMPUTED_VALUE"""),1.769677419)</f>
        <v>1.769677419</v>
      </c>
      <c r="Y75" s="273">
        <f>IFERROR(__xludf.DUMMYFUNCTION("""COMPUTED_VALUE"""),-0.04374785004833092)</f>
        <v>-0.04374785005</v>
      </c>
      <c r="Z75" s="273">
        <f>IFERROR(__xludf.DUMMYFUNCTION("""COMPUTED_VALUE"""),-1.6795163368621533)</f>
        <v>-1.679516337</v>
      </c>
      <c r="AA75" s="273">
        <f>IFERROR(__xludf.DUMMYFUNCTION("""COMPUTED_VALUE"""),2.0971659766938897)</f>
        <v>2.097165977</v>
      </c>
      <c r="AB75" s="273">
        <f>IFERROR(__xludf.DUMMYFUNCTION("""COMPUTED_VALUE"""),-1.013509966636287)</f>
        <v>-1.013509967</v>
      </c>
      <c r="AC75" s="273">
        <f>IFERROR(__xludf.DUMMYFUNCTION("""COMPUTED_VALUE"""),-0.5267688659706592)</f>
        <v>-0.526768866</v>
      </c>
      <c r="AD75" s="273">
        <f>IFERROR(__xludf.DUMMYFUNCTION("""COMPUTED_VALUE"""),7.671600091256247E-5)</f>
        <v>0.00007671600091</v>
      </c>
      <c r="AE75" s="273">
        <f>IFERROR(__xludf.DUMMYFUNCTION("""COMPUTED_VALUE"""),1.245335579946604)</f>
        <v>1.24533558</v>
      </c>
      <c r="AF75" s="273">
        <f>IFERROR(__xludf.DUMMYFUNCTION("""COMPUTED_VALUE"""),0.0963992144887829)</f>
        <v>0.09639921449</v>
      </c>
      <c r="AG75" s="277">
        <f>IFERROR(__xludf.DUMMYFUNCTION("""COMPUTED_VALUE"""),0.0)</f>
        <v>0</v>
      </c>
      <c r="AH75" s="265"/>
      <c r="AI75" s="338"/>
      <c r="AJ75" s="339"/>
      <c r="AK75" s="265"/>
      <c r="AL75" s="265"/>
      <c r="AM75" s="265"/>
      <c r="AN75" s="265"/>
      <c r="AO75" s="265"/>
      <c r="AP75" s="265"/>
      <c r="AQ75" s="265"/>
      <c r="AR75" s="265"/>
      <c r="AS75" s="265"/>
      <c r="AT75" s="265"/>
      <c r="AU75" s="265"/>
      <c r="AV75" s="265"/>
      <c r="AW75" s="265"/>
      <c r="AX75" s="265"/>
      <c r="AY75" s="265"/>
      <c r="AZ75" s="265"/>
      <c r="BA75" s="265"/>
      <c r="BB75" s="265"/>
      <c r="BC75" s="265"/>
      <c r="BD75" s="265"/>
      <c r="BE75" s="265"/>
      <c r="BF75" s="265"/>
      <c r="BG75" s="265"/>
      <c r="BH75" s="265"/>
      <c r="BI75" s="265"/>
      <c r="BJ75" s="265"/>
      <c r="BK75" s="265"/>
      <c r="BL75" s="265"/>
      <c r="BM75" s="265"/>
      <c r="BN75" s="265"/>
      <c r="BO75" s="265"/>
      <c r="BP75" s="265"/>
      <c r="BQ75" s="265"/>
      <c r="BR75" s="265"/>
      <c r="BS75" s="265"/>
      <c r="BT75" s="265"/>
      <c r="BU75" s="265"/>
      <c r="BV75" s="265"/>
    </row>
    <row r="76">
      <c r="A76" s="251">
        <f>VLOOKUP($F76,UpdateHashtag!$V$3:$Y$32,COLUMN(B$15),0)</f>
        <v>2</v>
      </c>
      <c r="B76" s="252">
        <f>VLOOKUP($F76,UpdateHashtag!$V$3:$Y$32,COLUMN(C$13),0)</f>
        <v>4</v>
      </c>
      <c r="C76" s="252">
        <f>VLOOKUP($F76,UpdateHashtag!$V$3:$Y$32,COLUMN(D$13),0)</f>
        <v>4</v>
      </c>
      <c r="D76" s="268">
        <f t="shared" si="4"/>
        <v>10</v>
      </c>
      <c r="E76" s="19"/>
      <c r="F76" s="30" t="str">
        <f>IF(VLOOKUP(J76,PasteHashtag!$C$2:$P1015,3,)="BRO","BKN",IF(VLOOKUP(J76,PasteHashtag!$C$2:$P1015,3,)="OKL","OKC",VLOOKUP(J76,PasteHashtag!$C$2:$P1015,3,)))</f>
        <v>CHI</v>
      </c>
      <c r="G76" s="269">
        <v>57.0</v>
      </c>
      <c r="H76" s="270">
        <f>IFERROR(__xludf.DUMMYFUNCTION("""COMPUTED_VALUE"""),58.0)</f>
        <v>58</v>
      </c>
      <c r="I76" s="270">
        <f>IFERROR(__xludf.DUMMYFUNCTION("""COMPUTED_VALUE"""),63.0)</f>
        <v>63</v>
      </c>
      <c r="J76" s="271" t="str">
        <f>IFERROR(__xludf.DUMMYFUNCTION("""COMPUTED_VALUE"""),"Zach LaVine")</f>
        <v>Zach LaVine</v>
      </c>
      <c r="K76" s="270">
        <f>IFERROR(__xludf.DUMMYFUNCTION("""COMPUTED_VALUE"""),68.0)</f>
        <v>68</v>
      </c>
      <c r="L76" s="272" t="str">
        <f>IFERROR(__xludf.DUMMYFUNCTION("""COMPUTED_VALUE"""),"SG,SF")</f>
        <v>SG,SF</v>
      </c>
      <c r="M76" s="273">
        <f>IFERROR(__xludf.DUMMYFUNCTION("""COMPUTED_VALUE"""),0.0721000477387741)</f>
        <v>0.07210004774</v>
      </c>
      <c r="N76" s="273">
        <f>IFERROR(__xludf.DUMMYFUNCTION("""COMPUTED_VALUE"""),0.16994601825416444)</f>
        <v>0.1699460183</v>
      </c>
      <c r="O76" s="274">
        <f>IFERROR(__xludf.DUMMYFUNCTION("""COMPUTED_VALUE"""),0.09784597051539035)</f>
        <v>0.09784597052</v>
      </c>
      <c r="P76" s="275">
        <f>IFERROR(__xludf.DUMMYFUNCTION("""COMPUTED_VALUE"""),21.37235294)</f>
        <v>21.37235294</v>
      </c>
      <c r="Q76" s="275">
        <f>IFERROR(__xludf.DUMMYFUNCTION("""COMPUTED_VALUE"""),2.576323529)</f>
        <v>2.576323529</v>
      </c>
      <c r="R76" s="275">
        <f>IFERROR(__xludf.DUMMYFUNCTION("""COMPUTED_VALUE"""),4.787647059)</f>
        <v>4.787647059</v>
      </c>
      <c r="S76" s="276">
        <f>IFERROR(__xludf.DUMMYFUNCTION("""COMPUTED_VALUE"""),3.858823529)</f>
        <v>3.858823529</v>
      </c>
      <c r="T76" s="275">
        <f>IFERROR(__xludf.DUMMYFUNCTION("""COMPUTED_VALUE"""),0.8577941176)</f>
        <v>0.8577941176</v>
      </c>
      <c r="U76" s="275">
        <f>IFERROR(__xludf.DUMMYFUNCTION("""COMPUTED_VALUE"""),0.2857352941)</f>
        <v>0.2857352941</v>
      </c>
      <c r="V76" s="272">
        <f>IFERROR(__xludf.DUMMYFUNCTION("""COMPUTED_VALUE"""),0.4751739668)</f>
        <v>0.4751739668</v>
      </c>
      <c r="W76" s="272">
        <f>IFERROR(__xludf.DUMMYFUNCTION("""COMPUTED_VALUE"""),0.8489934033)</f>
        <v>0.8489934033</v>
      </c>
      <c r="X76" s="275">
        <f>IFERROR(__xludf.DUMMYFUNCTION("""COMPUTED_VALUE"""),2.143235294)</f>
        <v>2.143235294</v>
      </c>
      <c r="Y76" s="273">
        <f>IFERROR(__xludf.DUMMYFUNCTION("""COMPUTED_VALUE"""),0.7000563498738345)</f>
        <v>0.7000563499</v>
      </c>
      <c r="Z76" s="273">
        <f>IFERROR(__xludf.DUMMYFUNCTION("""COMPUTED_VALUE"""),0.8209764622802924)</f>
        <v>0.8209764623</v>
      </c>
      <c r="AA76" s="273">
        <f>IFERROR(__xludf.DUMMYFUNCTION("""COMPUTED_VALUE"""),-0.5077885159695441)</f>
        <v>-0.507788516</v>
      </c>
      <c r="AB76" s="273">
        <f>IFERROR(__xludf.DUMMYFUNCTION("""COMPUTED_VALUE"""),-0.03383776403062866)</f>
        <v>-0.03383776403</v>
      </c>
      <c r="AC76" s="273">
        <f>IFERROR(__xludf.DUMMYFUNCTION("""COMPUTED_VALUE"""),-0.3910621022535629)</f>
        <v>-0.3910621023</v>
      </c>
      <c r="AD76" s="273">
        <f>IFERROR(__xludf.DUMMYFUNCTION("""COMPUTED_VALUE"""),-0.8257065352783813)</f>
        <v>-0.8257065353</v>
      </c>
      <c r="AE76" s="273">
        <f>IFERROR(__xludf.DUMMYFUNCTION("""COMPUTED_VALUE"""),-0.40910191964407294)</f>
        <v>-0.4091019196</v>
      </c>
      <c r="AF76" s="273">
        <f>IFERROR(__xludf.DUMMYFUNCTION("""COMPUTED_VALUE"""),0.8164100432762275)</f>
        <v>0.8164100433</v>
      </c>
      <c r="AG76" s="277">
        <f>IFERROR(__xludf.DUMMYFUNCTION("""COMPUTED_VALUE"""),0.0)</f>
        <v>0</v>
      </c>
      <c r="AH76" s="265"/>
      <c r="AI76" s="338"/>
      <c r="AJ76" s="339"/>
      <c r="AK76" s="265"/>
      <c r="AL76" s="265"/>
      <c r="AM76" s="265"/>
      <c r="AN76" s="265"/>
      <c r="AO76" s="265"/>
      <c r="AP76" s="265"/>
      <c r="AQ76" s="265"/>
      <c r="AR76" s="265"/>
      <c r="AS76" s="265"/>
      <c r="AT76" s="265"/>
      <c r="AU76" s="265"/>
      <c r="AV76" s="265"/>
      <c r="AW76" s="265"/>
      <c r="AX76" s="265"/>
      <c r="AY76" s="265"/>
      <c r="AZ76" s="265"/>
      <c r="BA76" s="265"/>
      <c r="BB76" s="265"/>
      <c r="BC76" s="265"/>
      <c r="BD76" s="265"/>
      <c r="BE76" s="265"/>
      <c r="BF76" s="265"/>
      <c r="BG76" s="265"/>
      <c r="BH76" s="265"/>
      <c r="BI76" s="265"/>
      <c r="BJ76" s="265"/>
      <c r="BK76" s="265"/>
      <c r="BL76" s="265"/>
      <c r="BM76" s="265"/>
      <c r="BN76" s="265"/>
      <c r="BO76" s="265"/>
      <c r="BP76" s="265"/>
      <c r="BQ76" s="265"/>
      <c r="BR76" s="265"/>
      <c r="BS76" s="265"/>
      <c r="BT76" s="265"/>
      <c r="BU76" s="265"/>
      <c r="BV76" s="265"/>
    </row>
    <row r="77">
      <c r="A77" s="251">
        <f>VLOOKUP($F77,UpdateHashtag!$V$3:$Y$32,COLUMN(B$15),0)</f>
        <v>3</v>
      </c>
      <c r="B77" s="252">
        <f>VLOOKUP($F77,UpdateHashtag!$V$3:$Y$32,COLUMN(C$13),0)</f>
        <v>5</v>
      </c>
      <c r="C77" s="252">
        <f>VLOOKUP($F77,UpdateHashtag!$V$3:$Y$32,COLUMN(D$13),0)</f>
        <v>3</v>
      </c>
      <c r="D77" s="268">
        <f t="shared" si="4"/>
        <v>11</v>
      </c>
      <c r="E77" s="19"/>
      <c r="F77" s="30" t="str">
        <f>IF(VLOOKUP(J77,PasteHashtag!$C$2:$P1015,3,)="BRO","BKN",IF(VLOOKUP(J77,PasteHashtag!$C$2:$P1015,3,)="OKL","OKC",VLOOKUP(J77,PasteHashtag!$C$2:$P1015,3,)))</f>
        <v>BKN</v>
      </c>
      <c r="G77" s="269">
        <v>58.0</v>
      </c>
      <c r="H77" s="270">
        <f>IFERROR(__xludf.DUMMYFUNCTION("""COMPUTED_VALUE"""),64.0)</f>
        <v>64</v>
      </c>
      <c r="I77" s="270">
        <f>IFERROR(__xludf.DUMMYFUNCTION("""COMPUTED_VALUE"""),70.1)</f>
        <v>70.1</v>
      </c>
      <c r="J77" s="271" t="str">
        <f>IFERROR(__xludf.DUMMYFUNCTION("""COMPUTED_VALUE"""),"Cam Thomas")</f>
        <v>Cam Thomas</v>
      </c>
      <c r="K77" s="270">
        <f>IFERROR(__xludf.DUMMYFUNCTION("""COMPUTED_VALUE"""),72.0)</f>
        <v>72</v>
      </c>
      <c r="L77" s="272" t="str">
        <f>IFERROR(__xludf.DUMMYFUNCTION("""COMPUTED_VALUE"""),"PF")</f>
        <v>PF</v>
      </c>
      <c r="M77" s="273">
        <f>IFERROR(__xludf.DUMMYFUNCTION("""COMPUTED_VALUE"""),0.07447527863003793)</f>
        <v>0.07447527863</v>
      </c>
      <c r="N77" s="273">
        <f>IFERROR(__xludf.DUMMYFUNCTION("""COMPUTED_VALUE"""),0.15477166729227232)</f>
        <v>0.1547716673</v>
      </c>
      <c r="O77" s="274">
        <f>IFERROR(__xludf.DUMMYFUNCTION("""COMPUTED_VALUE"""),0.08029638866223439)</f>
        <v>0.08029638866</v>
      </c>
      <c r="P77" s="275">
        <f>IFERROR(__xludf.DUMMYFUNCTION("""COMPUTED_VALUE"""),26.6839726)</f>
        <v>26.6839726</v>
      </c>
      <c r="Q77" s="275">
        <f>IFERROR(__xludf.DUMMYFUNCTION("""COMPUTED_VALUE"""),2.650136986)</f>
        <v>2.650136986</v>
      </c>
      <c r="R77" s="275">
        <f>IFERROR(__xludf.DUMMYFUNCTION("""COMPUTED_VALUE"""),3.648630137)</f>
        <v>3.648630137</v>
      </c>
      <c r="S77" s="276">
        <f>IFERROR(__xludf.DUMMYFUNCTION("""COMPUTED_VALUE"""),3.648630137)</f>
        <v>3.648630137</v>
      </c>
      <c r="T77" s="275">
        <f>IFERROR(__xludf.DUMMYFUNCTION("""COMPUTED_VALUE"""),0.7884931507)</f>
        <v>0.7884931507</v>
      </c>
      <c r="U77" s="275">
        <f>IFERROR(__xludf.DUMMYFUNCTION("""COMPUTED_VALUE"""),0.2143835616)</f>
        <v>0.2143835616</v>
      </c>
      <c r="V77" s="272">
        <f>IFERROR(__xludf.DUMMYFUNCTION("""COMPUTED_VALUE"""),0.4314966784)</f>
        <v>0.4314966784</v>
      </c>
      <c r="W77" s="272">
        <f>IFERROR(__xludf.DUMMYFUNCTION("""COMPUTED_VALUE"""),0.8739976391)</f>
        <v>0.8739976391</v>
      </c>
      <c r="X77" s="275">
        <f>IFERROR(__xludf.DUMMYFUNCTION("""COMPUTED_VALUE"""),2.072465753)</f>
        <v>2.072465753</v>
      </c>
      <c r="Y77" s="273">
        <f>IFERROR(__xludf.DUMMYFUNCTION("""COMPUTED_VALUE"""),1.6575057444425112)</f>
        <v>1.657505744</v>
      </c>
      <c r="Z77" s="273">
        <f>IFERROR(__xludf.DUMMYFUNCTION("""COMPUTED_VALUE"""),0.8941941368437548)</f>
        <v>0.8941941368</v>
      </c>
      <c r="AA77" s="273">
        <f>IFERROR(__xludf.DUMMYFUNCTION("""COMPUTED_VALUE"""),-0.9541772166480107)</f>
        <v>-0.9541772166</v>
      </c>
      <c r="AB77" s="273">
        <f>IFERROR(__xludf.DUMMYFUNCTION("""COMPUTED_VALUE"""),-0.12929465675677937)</f>
        <v>-0.1292946568</v>
      </c>
      <c r="AC77" s="273">
        <f>IFERROR(__xludf.DUMMYFUNCTION("""COMPUTED_VALUE"""),-0.6203314182459007)</f>
        <v>-0.6203314182</v>
      </c>
      <c r="AD77" s="273">
        <f>IFERROR(__xludf.DUMMYFUNCTION("""COMPUTED_VALUE"""),-0.9529728976811594)</f>
        <v>-0.9529728977</v>
      </c>
      <c r="AE77" s="273">
        <f>IFERROR(__xludf.DUMMYFUNCTION("""COMPUTED_VALUE"""),-1.6085493131218536)</f>
        <v>-1.608549313</v>
      </c>
      <c r="AF77" s="273">
        <f>IFERROR(__xludf.DUMMYFUNCTION("""COMPUTED_VALUE"""),1.8683972884597102)</f>
        <v>1.868397288</v>
      </c>
      <c r="AG77" s="277">
        <f>IFERROR(__xludf.DUMMYFUNCTION("""COMPUTED_VALUE"""),0.0)</f>
        <v>0</v>
      </c>
      <c r="AH77" s="265"/>
      <c r="AI77" s="338"/>
      <c r="AJ77" s="339"/>
      <c r="AK77" s="265"/>
      <c r="AL77" s="265"/>
      <c r="AM77" s="265"/>
      <c r="AN77" s="265"/>
      <c r="AO77" s="265"/>
      <c r="AP77" s="265"/>
      <c r="AQ77" s="265"/>
      <c r="AR77" s="265"/>
      <c r="AS77" s="265"/>
      <c r="AT77" s="265"/>
      <c r="AU77" s="265"/>
      <c r="AV77" s="265"/>
      <c r="AW77" s="265"/>
      <c r="AX77" s="265"/>
      <c r="AY77" s="265"/>
      <c r="AZ77" s="265"/>
      <c r="BA77" s="265"/>
      <c r="BB77" s="265"/>
      <c r="BC77" s="265"/>
      <c r="BD77" s="265"/>
      <c r="BE77" s="265"/>
      <c r="BF77" s="265"/>
      <c r="BG77" s="265"/>
      <c r="BH77" s="265"/>
      <c r="BI77" s="265"/>
      <c r="BJ77" s="265"/>
      <c r="BK77" s="265"/>
      <c r="BL77" s="265"/>
      <c r="BM77" s="265"/>
      <c r="BN77" s="265"/>
      <c r="BO77" s="265"/>
      <c r="BP77" s="265"/>
      <c r="BQ77" s="265"/>
      <c r="BR77" s="265"/>
      <c r="BS77" s="265"/>
      <c r="BT77" s="265"/>
      <c r="BU77" s="265"/>
      <c r="BV77" s="265"/>
    </row>
    <row r="78">
      <c r="A78" s="251">
        <f>VLOOKUP($F78,UpdateHashtag!$V$3:$Y$32,COLUMN(B$15),0)</f>
        <v>4</v>
      </c>
      <c r="B78" s="252">
        <f>VLOOKUP($F78,UpdateHashtag!$V$3:$Y$32,COLUMN(C$13),0)</f>
        <v>3</v>
      </c>
      <c r="C78" s="252">
        <f>VLOOKUP($F78,UpdateHashtag!$V$3:$Y$32,COLUMN(D$13),0)</f>
        <v>4</v>
      </c>
      <c r="D78" s="268">
        <f t="shared" si="4"/>
        <v>11</v>
      </c>
      <c r="E78" s="19"/>
      <c r="F78" s="30" t="str">
        <f>IF(VLOOKUP(J78,PasteHashtag!$C$2:$P1015,3,)="BRO","BKN",IF(VLOOKUP(J78,PasteHashtag!$C$2:$P1015,3,)="OKL","OKC",VLOOKUP(J78,PasteHashtag!$C$2:$P1015,3,)))</f>
        <v>DET</v>
      </c>
      <c r="G78" s="269">
        <v>59.0</v>
      </c>
      <c r="H78" s="270">
        <f>IFERROR(__xludf.DUMMYFUNCTION("""COMPUTED_VALUE"""),57.0)</f>
        <v>57</v>
      </c>
      <c r="I78" s="270">
        <f>IFERROR(__xludf.DUMMYFUNCTION("""COMPUTED_VALUE"""),66.6)</f>
        <v>66.6</v>
      </c>
      <c r="J78" s="271" t="str">
        <f>IFERROR(__xludf.DUMMYFUNCTION("""COMPUTED_VALUE"""),"Tobias Harris")</f>
        <v>Tobias Harris</v>
      </c>
      <c r="K78" s="270">
        <f>IFERROR(__xludf.DUMMYFUNCTION("""COMPUTED_VALUE"""),58.0)</f>
        <v>58</v>
      </c>
      <c r="L78" s="272" t="str">
        <f>IFERROR(__xludf.DUMMYFUNCTION("""COMPUTED_VALUE"""),"PG")</f>
        <v>PG</v>
      </c>
      <c r="M78" s="273">
        <f>IFERROR(__xludf.DUMMYFUNCTION("""COMPUTED_VALUE"""),0.2001695813048317)</f>
        <v>0.2001695813</v>
      </c>
      <c r="N78" s="273">
        <f>IFERROR(__xludf.DUMMYFUNCTION("""COMPUTED_VALUE"""),0.1317106594398405)</f>
        <v>0.1317106594</v>
      </c>
      <c r="O78" s="274">
        <f>IFERROR(__xludf.DUMMYFUNCTION("""COMPUTED_VALUE"""),-0.0684589218649912)</f>
        <v>-0.06845892186</v>
      </c>
      <c r="P78" s="275">
        <f>IFERROR(__xludf.DUMMYFUNCTION("""COMPUTED_VALUE"""),18.26835616)</f>
        <v>18.26835616</v>
      </c>
      <c r="Q78" s="275">
        <f>IFERROR(__xludf.DUMMYFUNCTION("""COMPUTED_VALUE"""),1.421369863)</f>
        <v>1.421369863</v>
      </c>
      <c r="R78" s="275">
        <f>IFERROR(__xludf.DUMMYFUNCTION("""COMPUTED_VALUE"""),6.942328767)</f>
        <v>6.942328767</v>
      </c>
      <c r="S78" s="276">
        <f>IFERROR(__xludf.DUMMYFUNCTION("""COMPUTED_VALUE"""),3.50630137)</f>
        <v>3.50630137</v>
      </c>
      <c r="T78" s="275">
        <f>IFERROR(__xludf.DUMMYFUNCTION("""COMPUTED_VALUE"""),0.9116438356)</f>
        <v>0.9116438356</v>
      </c>
      <c r="U78" s="275">
        <f>IFERROR(__xludf.DUMMYFUNCTION("""COMPUTED_VALUE"""),0.5609589041)</f>
        <v>0.5609589041</v>
      </c>
      <c r="V78" s="272">
        <f>IFERROR(__xludf.DUMMYFUNCTION("""COMPUTED_VALUE"""),0.4745752973)</f>
        <v>0.4745752973</v>
      </c>
      <c r="W78" s="272">
        <f>IFERROR(__xludf.DUMMYFUNCTION("""COMPUTED_VALUE"""),0.8790144372)</f>
        <v>0.8790144372</v>
      </c>
      <c r="X78" s="275">
        <f>IFERROR(__xludf.DUMMYFUNCTION("""COMPUTED_VALUE"""),1.47260274)</f>
        <v>1.47260274</v>
      </c>
      <c r="Y78" s="273">
        <f>IFERROR(__xludf.DUMMYFUNCTION("""COMPUTED_VALUE"""),0.1405434276413492)</f>
        <v>0.1405434276</v>
      </c>
      <c r="Z78" s="273">
        <f>IFERROR(__xludf.DUMMYFUNCTION("""COMPUTED_VALUE"""),-0.3246550402933634)</f>
        <v>-0.3246550403</v>
      </c>
      <c r="AA78" s="273">
        <f>IFERROR(__xludf.DUMMYFUNCTION("""COMPUTED_VALUE"""),0.3366463202758291)</f>
        <v>0.3366463203</v>
      </c>
      <c r="AB78" s="273">
        <f>IFERROR(__xludf.DUMMYFUNCTION("""COMPUTED_VALUE"""),-0.1939316166254526)</f>
        <v>-0.1939316166</v>
      </c>
      <c r="AC78" s="273">
        <f>IFERROR(__xludf.DUMMYFUNCTION("""COMPUTED_VALUE"""),-0.21291035972368688)</f>
        <v>-0.2129103597</v>
      </c>
      <c r="AD78" s="273">
        <f>IFERROR(__xludf.DUMMYFUNCTION("""COMPUTED_VALUE"""),-0.3348045422250123)</f>
        <v>-0.3348045422</v>
      </c>
      <c r="AE78" s="273">
        <f>IFERROR(__xludf.DUMMYFUNCTION("""COMPUTED_VALUE"""),-0.37722768570207094)</f>
        <v>-0.3772276857</v>
      </c>
      <c r="AF78" s="273">
        <f>IFERROR(__xludf.DUMMYFUNCTION("""COMPUTED_VALUE"""),1.0980501560922484)</f>
        <v>1.098050156</v>
      </c>
      <c r="AG78" s="277">
        <f>IFERROR(__xludf.DUMMYFUNCTION("""COMPUTED_VALUE"""),0.0)</f>
        <v>0</v>
      </c>
      <c r="AH78" s="265"/>
      <c r="AI78" s="338"/>
      <c r="AJ78" s="339"/>
      <c r="AK78" s="265"/>
      <c r="AL78" s="265"/>
      <c r="AM78" s="265"/>
      <c r="AN78" s="265"/>
      <c r="AO78" s="265"/>
      <c r="AP78" s="265"/>
      <c r="AQ78" s="265"/>
      <c r="AR78" s="265"/>
      <c r="AS78" s="265"/>
      <c r="AT78" s="265"/>
      <c r="AU78" s="265"/>
      <c r="AV78" s="265"/>
      <c r="AW78" s="265"/>
      <c r="AX78" s="265"/>
      <c r="AY78" s="265"/>
      <c r="AZ78" s="265"/>
      <c r="BA78" s="265"/>
      <c r="BB78" s="265"/>
      <c r="BC78" s="265"/>
      <c r="BD78" s="265"/>
      <c r="BE78" s="265"/>
      <c r="BF78" s="265"/>
      <c r="BG78" s="265"/>
      <c r="BH78" s="265"/>
      <c r="BI78" s="265"/>
      <c r="BJ78" s="265"/>
      <c r="BK78" s="265"/>
      <c r="BL78" s="265"/>
      <c r="BM78" s="265"/>
      <c r="BN78" s="265"/>
      <c r="BO78" s="265"/>
      <c r="BP78" s="265"/>
      <c r="BQ78" s="265"/>
      <c r="BR78" s="265"/>
      <c r="BS78" s="265"/>
      <c r="BT78" s="265"/>
      <c r="BU78" s="265"/>
      <c r="BV78" s="265"/>
    </row>
    <row r="79">
      <c r="A79" s="251">
        <f>VLOOKUP($F79,UpdateHashtag!$V$3:$Y$32,COLUMN(B$15),0)</f>
        <v>3</v>
      </c>
      <c r="B79" s="252">
        <f>VLOOKUP($F79,UpdateHashtag!$V$3:$Y$32,COLUMN(C$13),0)</f>
        <v>4</v>
      </c>
      <c r="C79" s="252">
        <f>VLOOKUP($F79,UpdateHashtag!$V$3:$Y$32,COLUMN(D$13),0)</f>
        <v>3</v>
      </c>
      <c r="D79" s="268">
        <f t="shared" si="4"/>
        <v>10</v>
      </c>
      <c r="E79" s="19"/>
      <c r="F79" s="30" t="str">
        <f>IF(VLOOKUP(J79,PasteHashtag!$C$2:$P1015,3,)="BRO","BKN",IF(VLOOKUP(J79,PasteHashtag!$C$2:$P1015,3,)="OKL","OKC",VLOOKUP(J79,PasteHashtag!$C$2:$P1015,3,)))</f>
        <v>LAL</v>
      </c>
      <c r="G79" s="269">
        <v>60.0</v>
      </c>
      <c r="H79" s="270">
        <f>IFERROR(__xludf.DUMMYFUNCTION("""COMPUTED_VALUE"""),63.0)</f>
        <v>63</v>
      </c>
      <c r="I79" s="270">
        <f>IFERROR(__xludf.DUMMYFUNCTION("""COMPUTED_VALUE"""),74.0)</f>
        <v>74</v>
      </c>
      <c r="J79" s="271" t="str">
        <f>IFERROR(__xludf.DUMMYFUNCTION("""COMPUTED_VALUE"""),"D'Angelo Russell")</f>
        <v>D'Angelo Russell</v>
      </c>
      <c r="K79" s="270">
        <f>IFERROR(__xludf.DUMMYFUNCTION("""COMPUTED_VALUE"""),74.0)</f>
        <v>74</v>
      </c>
      <c r="L79" s="272" t="str">
        <f>IFERROR(__xludf.DUMMYFUNCTION("""COMPUTED_VALUE"""),"PF,C")</f>
        <v>PF,C</v>
      </c>
      <c r="M79" s="273">
        <f>IFERROR(__xludf.DUMMYFUNCTION("""COMPUTED_VALUE"""),-0.02285435665558465)</f>
        <v>-0.02285435666</v>
      </c>
      <c r="N79" s="273">
        <f>IFERROR(__xludf.DUMMYFUNCTION("""COMPUTED_VALUE"""),0.0668517651944327)</f>
        <v>0.06685176519</v>
      </c>
      <c r="O79" s="274">
        <f>IFERROR(__xludf.DUMMYFUNCTION("""COMPUTED_VALUE"""),0.08970612185001735)</f>
        <v>0.08970612185</v>
      </c>
      <c r="P79" s="275">
        <f>IFERROR(__xludf.DUMMYFUNCTION("""COMPUTED_VALUE"""),17.59767123)</f>
        <v>17.59767123</v>
      </c>
      <c r="Q79" s="275">
        <f>IFERROR(__xludf.DUMMYFUNCTION("""COMPUTED_VALUE"""),3.184794521)</f>
        <v>3.184794521</v>
      </c>
      <c r="R79" s="275">
        <f>IFERROR(__xludf.DUMMYFUNCTION("""COMPUTED_VALUE"""),3.395753425)</f>
        <v>3.395753425</v>
      </c>
      <c r="S79" s="276">
        <f>IFERROR(__xludf.DUMMYFUNCTION("""COMPUTED_VALUE"""),6.177808219)</f>
        <v>6.177808219</v>
      </c>
      <c r="T79" s="275">
        <f>IFERROR(__xludf.DUMMYFUNCTION("""COMPUTED_VALUE"""),0.9278082192)</f>
        <v>0.9278082192</v>
      </c>
      <c r="U79" s="275">
        <f>IFERROR(__xludf.DUMMYFUNCTION("""COMPUTED_VALUE"""),0.437260274)</f>
        <v>0.437260274</v>
      </c>
      <c r="V79" s="272">
        <f>IFERROR(__xludf.DUMMYFUNCTION("""COMPUTED_VALUE"""),0.43945023)</f>
        <v>0.43945023</v>
      </c>
      <c r="W79" s="272">
        <f>IFERROR(__xludf.DUMMYFUNCTION("""COMPUTED_VALUE"""),0.8360202117)</f>
        <v>0.8360202117</v>
      </c>
      <c r="X79" s="275">
        <f>IFERROR(__xludf.DUMMYFUNCTION("""COMPUTED_VALUE"""),2.110410959)</f>
        <v>2.110410959</v>
      </c>
      <c r="Y79" s="273">
        <f>IFERROR(__xludf.DUMMYFUNCTION("""COMPUTED_VALUE"""),0.01964868718946314)</f>
        <v>0.01964868719</v>
      </c>
      <c r="Z79" s="273">
        <f>IFERROR(__xludf.DUMMYFUNCTION("""COMPUTED_VALUE"""),1.4245362044227472)</f>
        <v>1.424536204</v>
      </c>
      <c r="AA79" s="273">
        <f>IFERROR(__xludf.DUMMYFUNCTION("""COMPUTED_VALUE"""),-1.0532813692916032)</f>
        <v>-1.053281369</v>
      </c>
      <c r="AB79" s="273">
        <f>IFERROR(__xludf.DUMMYFUNCTION("""COMPUTED_VALUE"""),1.0193022546951551)</f>
        <v>1.019302255</v>
      </c>
      <c r="AC79" s="273">
        <f>IFERROR(__xludf.DUMMYFUNCTION("""COMPUTED_VALUE"""),-0.1594335131919861)</f>
        <v>-0.1594335132</v>
      </c>
      <c r="AD79" s="273">
        <f>IFERROR(__xludf.DUMMYFUNCTION("""COMPUTED_VALUE"""),-0.5554393346182284)</f>
        <v>-0.5554393346</v>
      </c>
      <c r="AE79" s="273">
        <f>IFERROR(__xludf.DUMMYFUNCTION("""COMPUTED_VALUE"""),-0.9568093594866875)</f>
        <v>-0.9568093595</v>
      </c>
      <c r="AF79" s="273">
        <f>IFERROR(__xludf.DUMMYFUNCTION("""COMPUTED_VALUE"""),0.32832819547557246)</f>
        <v>0.3283281955</v>
      </c>
      <c r="AG79" s="277">
        <f>IFERROR(__xludf.DUMMYFUNCTION("""COMPUTED_VALUE"""),0.0)</f>
        <v>0</v>
      </c>
      <c r="AH79" s="265"/>
      <c r="AI79" s="338"/>
      <c r="AJ79" s="339"/>
      <c r="AK79" s="265"/>
      <c r="AL79" s="265"/>
      <c r="AM79" s="265"/>
      <c r="AN79" s="265"/>
      <c r="AO79" s="265"/>
      <c r="AP79" s="265"/>
      <c r="AQ79" s="265"/>
      <c r="AR79" s="265"/>
      <c r="AS79" s="265"/>
      <c r="AT79" s="265"/>
      <c r="AU79" s="265"/>
      <c r="AV79" s="265"/>
      <c r="AW79" s="265"/>
      <c r="AX79" s="265"/>
      <c r="AY79" s="265"/>
      <c r="AZ79" s="265"/>
      <c r="BA79" s="265"/>
      <c r="BB79" s="265"/>
      <c r="BC79" s="265"/>
      <c r="BD79" s="265"/>
      <c r="BE79" s="265"/>
      <c r="BF79" s="265"/>
      <c r="BG79" s="265"/>
      <c r="BH79" s="265"/>
      <c r="BI79" s="265"/>
      <c r="BJ79" s="265"/>
      <c r="BK79" s="265"/>
      <c r="BL79" s="265"/>
      <c r="BM79" s="265"/>
      <c r="BN79" s="265"/>
      <c r="BO79" s="265"/>
      <c r="BP79" s="265"/>
      <c r="BQ79" s="265"/>
      <c r="BR79" s="265"/>
      <c r="BS79" s="265"/>
      <c r="BT79" s="265"/>
      <c r="BU79" s="265"/>
      <c r="BV79" s="265"/>
    </row>
    <row r="80">
      <c r="A80" s="251">
        <f>VLOOKUP($F80,UpdateHashtag!$V$3:$Y$32,COLUMN(B$15),0)</f>
        <v>4</v>
      </c>
      <c r="B80" s="252">
        <f>VLOOKUP($F80,UpdateHashtag!$V$3:$Y$32,COLUMN(C$13),0)</f>
        <v>4</v>
      </c>
      <c r="C80" s="252">
        <f>VLOOKUP($F80,UpdateHashtag!$V$3:$Y$32,COLUMN(D$13),0)</f>
        <v>4</v>
      </c>
      <c r="D80" s="268">
        <f t="shared" si="4"/>
        <v>12</v>
      </c>
      <c r="E80" s="19"/>
      <c r="F80" s="30" t="str">
        <f>IF(VLOOKUP(J80,PasteHashtag!$C$2:$P1015,3,)="BRO","BKN",IF(VLOOKUP(J80,PasteHashtag!$C$2:$P1015,3,)="OKL","OKC",VLOOKUP(J80,PasteHashtag!$C$2:$P1015,3,)))</f>
        <v>UTA</v>
      </c>
      <c r="G80" s="269">
        <v>61.0</v>
      </c>
      <c r="H80" s="270">
        <f>IFERROR(__xludf.DUMMYFUNCTION("""COMPUTED_VALUE"""),59.0)</f>
        <v>59</v>
      </c>
      <c r="I80" s="270">
        <f>IFERROR(__xludf.DUMMYFUNCTION("""COMPUTED_VALUE"""),94.9)</f>
        <v>94.9</v>
      </c>
      <c r="J80" s="271" t="str">
        <f>IFERROR(__xludf.DUMMYFUNCTION("""COMPUTED_VALUE"""),"Collin Sexton")</f>
        <v>Collin Sexton</v>
      </c>
      <c r="K80" s="270">
        <f>IFERROR(__xludf.DUMMYFUNCTION("""COMPUTED_VALUE"""),60.0)</f>
        <v>60</v>
      </c>
      <c r="L80" s="272" t="str">
        <f>IFERROR(__xludf.DUMMYFUNCTION("""COMPUTED_VALUE"""),"SF,PF")</f>
        <v>SF,PF</v>
      </c>
      <c r="M80" s="273">
        <f>IFERROR(__xludf.DUMMYFUNCTION("""COMPUTED_VALUE"""),-0.14818505416841513)</f>
        <v>-0.1481850542</v>
      </c>
      <c r="N80" s="273">
        <f>IFERROR(__xludf.DUMMYFUNCTION("""COMPUTED_VALUE"""),0.04643583383698102)</f>
        <v>0.04643583384</v>
      </c>
      <c r="O80" s="274">
        <f>IFERROR(__xludf.DUMMYFUNCTION("""COMPUTED_VALUE"""),0.19462088800539615)</f>
        <v>0.194620888</v>
      </c>
      <c r="P80" s="275">
        <f>IFERROR(__xludf.DUMMYFUNCTION("""COMPUTED_VALUE"""),21.09242424)</f>
        <v>21.09242424</v>
      </c>
      <c r="Q80" s="275">
        <f>IFERROR(__xludf.DUMMYFUNCTION("""COMPUTED_VALUE"""),1.707121212)</f>
        <v>1.707121212</v>
      </c>
      <c r="R80" s="275">
        <f>IFERROR(__xludf.DUMMYFUNCTION("""COMPUTED_VALUE"""),2.870151515)</f>
        <v>2.870151515</v>
      </c>
      <c r="S80" s="276">
        <f>IFERROR(__xludf.DUMMYFUNCTION("""COMPUTED_VALUE"""),6.066363636)</f>
        <v>6.066363636</v>
      </c>
      <c r="T80" s="275">
        <f>IFERROR(__xludf.DUMMYFUNCTION("""COMPUTED_VALUE"""),0.9198484848)</f>
        <v>0.9198484848</v>
      </c>
      <c r="U80" s="275">
        <f>IFERROR(__xludf.DUMMYFUNCTION("""COMPUTED_VALUE"""),0.2596969697)</f>
        <v>0.2596969697</v>
      </c>
      <c r="V80" s="272">
        <f>IFERROR(__xludf.DUMMYFUNCTION("""COMPUTED_VALUE"""),0.4962002503)</f>
        <v>0.4962002503</v>
      </c>
      <c r="W80" s="272">
        <f>IFERROR(__xludf.DUMMYFUNCTION("""COMPUTED_VALUE"""),0.83899415)</f>
        <v>0.83899415</v>
      </c>
      <c r="X80" s="275">
        <f>IFERROR(__xludf.DUMMYFUNCTION("""COMPUTED_VALUE"""),2.533484848)</f>
        <v>2.533484848</v>
      </c>
      <c r="Y80" s="273">
        <f>IFERROR(__xludf.DUMMYFUNCTION("""COMPUTED_VALUE"""),0.6495976232530742)</f>
        <v>0.6495976233</v>
      </c>
      <c r="Z80" s="273">
        <f>IFERROR(__xludf.DUMMYFUNCTION("""COMPUTED_VALUE"""),-0.041210122151236636)</f>
        <v>-0.04121012215</v>
      </c>
      <c r="AA80" s="273">
        <f>IFERROR(__xludf.DUMMYFUNCTION("""COMPUTED_VALUE"""),-1.2592684351088925)</f>
        <v>-1.259268435</v>
      </c>
      <c r="AB80" s="273">
        <f>IFERROR(__xludf.DUMMYFUNCTION("""COMPUTED_VALUE"""),0.9686909890263391)</f>
        <v>0.968690989</v>
      </c>
      <c r="AC80" s="273">
        <f>IFERROR(__xludf.DUMMYFUNCTION("""COMPUTED_VALUE"""),-0.18576680900302442)</f>
        <v>-0.185766809</v>
      </c>
      <c r="AD80" s="273">
        <f>IFERROR(__xludf.DUMMYFUNCTION("""COMPUTED_VALUE"""),-0.872149735931589)</f>
        <v>-0.8721497359</v>
      </c>
      <c r="AE80" s="273">
        <f>IFERROR(__xludf.DUMMYFUNCTION("""COMPUTED_VALUE"""),-0.018418633419597843)</f>
        <v>-0.01841863342</v>
      </c>
      <c r="AF80" s="273">
        <f>IFERROR(__xludf.DUMMYFUNCTION("""COMPUTED_VALUE"""),0.8049609571719081)</f>
        <v>0.8049609572</v>
      </c>
      <c r="AG80" s="277">
        <f>IFERROR(__xludf.DUMMYFUNCTION("""COMPUTED_VALUE"""),0.0)</f>
        <v>0</v>
      </c>
      <c r="AH80" s="265"/>
      <c r="AI80" s="338"/>
      <c r="AJ80" s="339"/>
      <c r="AK80" s="265"/>
      <c r="AL80" s="265"/>
      <c r="AM80" s="265"/>
      <c r="AN80" s="265"/>
      <c r="AO80" s="265"/>
      <c r="AP80" s="265"/>
      <c r="AQ80" s="265"/>
      <c r="AR80" s="265"/>
      <c r="AS80" s="265"/>
      <c r="AT80" s="265"/>
      <c r="AU80" s="265"/>
      <c r="AV80" s="265"/>
      <c r="AW80" s="265"/>
      <c r="AX80" s="265"/>
      <c r="AY80" s="265"/>
      <c r="AZ80" s="265"/>
      <c r="BA80" s="265"/>
      <c r="BB80" s="265"/>
      <c r="BC80" s="265"/>
      <c r="BD80" s="265"/>
      <c r="BE80" s="265"/>
      <c r="BF80" s="265"/>
      <c r="BG80" s="265"/>
      <c r="BH80" s="265"/>
      <c r="BI80" s="265"/>
      <c r="BJ80" s="265"/>
      <c r="BK80" s="265"/>
      <c r="BL80" s="265"/>
      <c r="BM80" s="265"/>
      <c r="BN80" s="265"/>
      <c r="BO80" s="265"/>
      <c r="BP80" s="265"/>
      <c r="BQ80" s="265"/>
      <c r="BR80" s="265"/>
      <c r="BS80" s="265"/>
      <c r="BT80" s="265"/>
      <c r="BU80" s="265"/>
      <c r="BV80" s="265"/>
    </row>
    <row r="81">
      <c r="A81" s="251">
        <f>VLOOKUP($F81,UpdateHashtag!$V$3:$Y$32,COLUMN(B$15),0)</f>
        <v>4</v>
      </c>
      <c r="B81" s="252">
        <f>VLOOKUP($F81,UpdateHashtag!$V$3:$Y$32,COLUMN(C$13),0)</f>
        <v>2</v>
      </c>
      <c r="C81" s="252">
        <f>VLOOKUP($F81,UpdateHashtag!$V$3:$Y$32,COLUMN(D$13),0)</f>
        <v>4</v>
      </c>
      <c r="D81" s="268">
        <f t="shared" si="4"/>
        <v>10</v>
      </c>
      <c r="E81" s="19"/>
      <c r="F81" s="30" t="str">
        <f>IF(VLOOKUP(J81,PasteHashtag!$C$2:$P1015,3,)="BRO","BKN",IF(VLOOKUP(J81,PasteHashtag!$C$2:$P1015,3,)="OKL","OKC",VLOOKUP(J81,PasteHashtag!$C$2:$P1015,3,)))</f>
        <v>NO</v>
      </c>
      <c r="G81" s="269">
        <v>62.0</v>
      </c>
      <c r="H81" s="270">
        <f>IFERROR(__xludf.DUMMYFUNCTION("""COMPUTED_VALUE"""),65.0)</f>
        <v>65</v>
      </c>
      <c r="I81" s="270">
        <f>IFERROR(__xludf.DUMMYFUNCTION("""COMPUTED_VALUE"""),96.7)</f>
        <v>96.7</v>
      </c>
      <c r="J81" s="271" t="str">
        <f>IFERROR(__xludf.DUMMYFUNCTION("""COMPUTED_VALUE"""),"Trey Murphy III")</f>
        <v>Trey Murphy III</v>
      </c>
      <c r="K81" s="270">
        <f>IFERROR(__xludf.DUMMYFUNCTION("""COMPUTED_VALUE"""),65.0)</f>
        <v>65</v>
      </c>
      <c r="L81" s="272" t="str">
        <f>IFERROR(__xludf.DUMMYFUNCTION("""COMPUTED_VALUE"""),"PG,SG")</f>
        <v>PG,SG</v>
      </c>
      <c r="M81" s="273">
        <f>IFERROR(__xludf.DUMMYFUNCTION("""COMPUTED_VALUE"""),0.21529656780423906)</f>
        <v>0.2152965678</v>
      </c>
      <c r="N81" s="273">
        <f>IFERROR(__xludf.DUMMYFUNCTION("""COMPUTED_VALUE"""),-0.07490722085684065)</f>
        <v>-0.07490722086</v>
      </c>
      <c r="O81" s="274">
        <f>IFERROR(__xludf.DUMMYFUNCTION("""COMPUTED_VALUE"""),-0.2902037886610797)</f>
        <v>-0.2902037887</v>
      </c>
      <c r="P81" s="275">
        <f>IFERROR(__xludf.DUMMYFUNCTION("""COMPUTED_VALUE"""),16.47492754)</f>
        <v>16.47492754</v>
      </c>
      <c r="Q81" s="275">
        <f>IFERROR(__xludf.DUMMYFUNCTION("""COMPUTED_VALUE"""),3.33884058)</f>
        <v>3.33884058</v>
      </c>
      <c r="R81" s="275">
        <f>IFERROR(__xludf.DUMMYFUNCTION("""COMPUTED_VALUE"""),5.754347826)</f>
        <v>5.754347826</v>
      </c>
      <c r="S81" s="276">
        <f>IFERROR(__xludf.DUMMYFUNCTION("""COMPUTED_VALUE"""),2.045942029)</f>
        <v>2.045942029</v>
      </c>
      <c r="T81" s="275">
        <f>IFERROR(__xludf.DUMMYFUNCTION("""COMPUTED_VALUE"""),1.013913043)</f>
        <v>1.013913043</v>
      </c>
      <c r="U81" s="275">
        <f>IFERROR(__xludf.DUMMYFUNCTION("""COMPUTED_VALUE"""),0.4475362319)</f>
        <v>0.4475362319</v>
      </c>
      <c r="V81" s="272">
        <f>IFERROR(__xludf.DUMMYFUNCTION("""COMPUTED_VALUE"""),0.4493969521)</f>
        <v>0.4493969521</v>
      </c>
      <c r="W81" s="272">
        <f>IFERROR(__xludf.DUMMYFUNCTION("""COMPUTED_VALUE"""),0.8500216315)</f>
        <v>0.8500216315</v>
      </c>
      <c r="X81" s="275">
        <f>IFERROR(__xludf.DUMMYFUNCTION("""COMPUTED_VALUE"""),0.5784057971)</f>
        <v>0.5784057971</v>
      </c>
      <c r="Y81" s="273">
        <f>IFERROR(__xludf.DUMMYFUNCTION("""COMPUTED_VALUE"""),-0.18273219379520844)</f>
        <v>-0.1827321938</v>
      </c>
      <c r="Z81" s="273">
        <f>IFERROR(__xludf.DUMMYFUNCTION("""COMPUTED_VALUE"""),1.5773388866714042)</f>
        <v>1.577338887</v>
      </c>
      <c r="AA81" s="273">
        <f>IFERROR(__xludf.DUMMYFUNCTION("""COMPUTED_VALUE"""),-0.12893172201753386)</f>
        <v>-0.128931722</v>
      </c>
      <c r="AB81" s="273">
        <f>IFERROR(__xludf.DUMMYFUNCTION("""COMPUTED_VALUE"""),-0.8571368850169025)</f>
        <v>-0.857136885</v>
      </c>
      <c r="AC81" s="273">
        <f>IFERROR(__xludf.DUMMYFUNCTION("""COMPUTED_VALUE"""),0.12542822740613505)</f>
        <v>0.1254282274</v>
      </c>
      <c r="AD81" s="273">
        <f>IFERROR(__xludf.DUMMYFUNCTION("""COMPUTED_VALUE"""),-0.5371106446717426)</f>
        <v>-0.5371106447</v>
      </c>
      <c r="AE81" s="273">
        <f>IFERROR(__xludf.DUMMYFUNCTION("""COMPUTED_VALUE"""),-0.6547434775747677)</f>
        <v>-0.6547434776</v>
      </c>
      <c r="AF81" s="273">
        <f>IFERROR(__xludf.DUMMYFUNCTION("""COMPUTED_VALUE"""),0.5829805881417753)</f>
        <v>0.5829805881</v>
      </c>
      <c r="AG81" s="277">
        <f>IFERROR(__xludf.DUMMYFUNCTION("""COMPUTED_VALUE"""),0.0)</f>
        <v>0</v>
      </c>
      <c r="AH81" s="265"/>
      <c r="AI81" s="338"/>
      <c r="AJ81" s="339"/>
      <c r="AK81" s="265"/>
      <c r="AL81" s="265"/>
      <c r="AM81" s="265"/>
      <c r="AN81" s="265"/>
      <c r="AO81" s="265"/>
      <c r="AP81" s="265"/>
      <c r="AQ81" s="265"/>
      <c r="AR81" s="265"/>
      <c r="AS81" s="265"/>
      <c r="AT81" s="265"/>
      <c r="AU81" s="265"/>
      <c r="AV81" s="265"/>
      <c r="AW81" s="265"/>
      <c r="AX81" s="265"/>
      <c r="AY81" s="265"/>
      <c r="AZ81" s="265"/>
      <c r="BA81" s="265"/>
      <c r="BB81" s="265"/>
      <c r="BC81" s="265"/>
      <c r="BD81" s="265"/>
      <c r="BE81" s="265"/>
      <c r="BF81" s="265"/>
      <c r="BG81" s="265"/>
      <c r="BH81" s="265"/>
      <c r="BI81" s="265"/>
      <c r="BJ81" s="265"/>
      <c r="BK81" s="265"/>
      <c r="BL81" s="265"/>
      <c r="BM81" s="265"/>
      <c r="BN81" s="265"/>
      <c r="BO81" s="265"/>
      <c r="BP81" s="265"/>
      <c r="BQ81" s="265"/>
      <c r="BR81" s="265"/>
      <c r="BS81" s="265"/>
      <c r="BT81" s="265"/>
      <c r="BU81" s="265"/>
      <c r="BV81" s="265"/>
    </row>
    <row r="82">
      <c r="A82" s="251">
        <f>VLOOKUP($F82,UpdateHashtag!$V$3:$Y$32,COLUMN(B$15),0)</f>
        <v>2</v>
      </c>
      <c r="B82" s="252">
        <f>VLOOKUP($F82,UpdateHashtag!$V$3:$Y$32,COLUMN(C$13),0)</f>
        <v>4</v>
      </c>
      <c r="C82" s="252">
        <f>VLOOKUP($F82,UpdateHashtag!$V$3:$Y$32,COLUMN(D$13),0)</f>
        <v>3</v>
      </c>
      <c r="D82" s="268">
        <f t="shared" si="4"/>
        <v>9</v>
      </c>
      <c r="E82" s="19"/>
      <c r="F82" s="30" t="str">
        <f>IF(VLOOKUP(J82,PasteHashtag!$C$2:$P1015,3,)="BRO","BKN",IF(VLOOKUP(J82,PasteHashtag!$C$2:$P1015,3,)="OKL","OKC",VLOOKUP(J82,PasteHashtag!$C$2:$P1015,3,)))</f>
        <v>ORL</v>
      </c>
      <c r="G82" s="269">
        <v>63.0</v>
      </c>
      <c r="H82" s="270">
        <f>IFERROR(__xludf.DUMMYFUNCTION("""COMPUTED_VALUE"""),67.0)</f>
        <v>67</v>
      </c>
      <c r="I82" s="270">
        <f>IFERROR(__xludf.DUMMYFUNCTION("""COMPUTED_VALUE"""),101.8)</f>
        <v>101.8</v>
      </c>
      <c r="J82" s="271" t="str">
        <f>IFERROR(__xludf.DUMMYFUNCTION("""COMPUTED_VALUE"""),"Jalen Suggs")</f>
        <v>Jalen Suggs</v>
      </c>
      <c r="K82" s="270">
        <f>IFERROR(__xludf.DUMMYFUNCTION("""COMPUTED_VALUE"""),66.0)</f>
        <v>66</v>
      </c>
      <c r="L82" s="272" t="str">
        <f>IFERROR(__xludf.DUMMYFUNCTION("""COMPUTED_VALUE"""),"SF,PF")</f>
        <v>SF,PF</v>
      </c>
      <c r="M82" s="273">
        <f>IFERROR(__xludf.DUMMYFUNCTION("""COMPUTED_VALUE"""),-0.2420519162141398)</f>
        <v>-0.2420519162</v>
      </c>
      <c r="N82" s="273">
        <f>IFERROR(__xludf.DUMMYFUNCTION("""COMPUTED_VALUE"""),-0.2106505705132986)</f>
        <v>-0.2106505705</v>
      </c>
      <c r="O82" s="274">
        <f>IFERROR(__xludf.DUMMYFUNCTION("""COMPUTED_VALUE"""),0.03140134570084119)</f>
        <v>0.0314013457</v>
      </c>
      <c r="P82" s="275">
        <f>IFERROR(__xludf.DUMMYFUNCTION("""COMPUTED_VALUE"""),13.48)</f>
        <v>13.48</v>
      </c>
      <c r="Q82" s="275">
        <f>IFERROR(__xludf.DUMMYFUNCTION("""COMPUTED_VALUE"""),2.01)</f>
        <v>2.01</v>
      </c>
      <c r="R82" s="275">
        <f>IFERROR(__xludf.DUMMYFUNCTION("""COMPUTED_VALUE"""),3.398970588)</f>
        <v>3.398970588</v>
      </c>
      <c r="S82" s="276">
        <f>IFERROR(__xludf.DUMMYFUNCTION("""COMPUTED_VALUE"""),4.453970588)</f>
        <v>4.453970588</v>
      </c>
      <c r="T82" s="275">
        <f>IFERROR(__xludf.DUMMYFUNCTION("""COMPUTED_VALUE"""),1.540441176)</f>
        <v>1.540441176</v>
      </c>
      <c r="U82" s="275">
        <f>IFERROR(__xludf.DUMMYFUNCTION("""COMPUTED_VALUE"""),0.64)</f>
        <v>0.64</v>
      </c>
      <c r="V82" s="272">
        <f>IFERROR(__xludf.DUMMYFUNCTION("""COMPUTED_VALUE"""),0.4743023035)</f>
        <v>0.4743023035</v>
      </c>
      <c r="W82" s="272">
        <f>IFERROR(__xludf.DUMMYFUNCTION("""COMPUTED_VALUE"""),0.7570028011)</f>
        <v>0.7570028011</v>
      </c>
      <c r="X82" s="275">
        <f>IFERROR(__xludf.DUMMYFUNCTION("""COMPUTED_VALUE"""),1.875294118)</f>
        <v>1.875294118</v>
      </c>
      <c r="Y82" s="273">
        <f>IFERROR(__xludf.DUMMYFUNCTION("""COMPUTED_VALUE"""),-0.7225847705043725)</f>
        <v>-0.7225847705</v>
      </c>
      <c r="Z82" s="273">
        <f>IFERROR(__xludf.DUMMYFUNCTION("""COMPUTED_VALUE"""),0.25922399153564724)</f>
        <v>0.2592239915</v>
      </c>
      <c r="AA82" s="273">
        <f>IFERROR(__xludf.DUMMYFUNCTION("""COMPUTED_VALUE"""),-1.0520205406035454)</f>
        <v>-1.052020541</v>
      </c>
      <c r="AB82" s="273">
        <f>IFERROR(__xludf.DUMMYFUNCTION("""COMPUTED_VALUE"""),0.23644137475051397)</f>
        <v>0.2364413748</v>
      </c>
      <c r="AC82" s="273">
        <f>IFERROR(__xludf.DUMMYFUNCTION("""COMPUTED_VALUE"""),1.8673482943775621)</f>
        <v>1.867348294</v>
      </c>
      <c r="AD82" s="273">
        <f>IFERROR(__xludf.DUMMYFUNCTION("""COMPUTED_VALUE"""),-0.19382306352690046)</f>
        <v>-0.1938230635</v>
      </c>
      <c r="AE82" s="273">
        <f>IFERROR(__xludf.DUMMYFUNCTION("""COMPUTED_VALUE"""),-0.2690268160442196)</f>
        <v>-0.269026816</v>
      </c>
      <c r="AF82" s="273">
        <f>IFERROR(__xludf.DUMMYFUNCTION("""COMPUTED_VALUE"""),-0.336209040497984)</f>
        <v>-0.3362090405</v>
      </c>
      <c r="AG82" s="277">
        <f>IFERROR(__xludf.DUMMYFUNCTION("""COMPUTED_VALUE"""),0.0)</f>
        <v>0</v>
      </c>
      <c r="AH82" s="265"/>
      <c r="AI82" s="338"/>
      <c r="AJ82" s="339"/>
      <c r="AK82" s="265"/>
      <c r="AL82" s="265"/>
      <c r="AM82" s="265"/>
      <c r="AN82" s="265"/>
      <c r="AO82" s="265"/>
      <c r="AP82" s="265"/>
      <c r="AQ82" s="265"/>
      <c r="AR82" s="265"/>
      <c r="AS82" s="265"/>
      <c r="AT82" s="265"/>
      <c r="AU82" s="265"/>
      <c r="AV82" s="265"/>
      <c r="AW82" s="265"/>
      <c r="AX82" s="265"/>
      <c r="AY82" s="265"/>
      <c r="AZ82" s="265"/>
      <c r="BA82" s="265"/>
      <c r="BB82" s="265"/>
      <c r="BC82" s="265"/>
      <c r="BD82" s="265"/>
      <c r="BE82" s="265"/>
      <c r="BF82" s="265"/>
      <c r="BG82" s="265"/>
      <c r="BH82" s="265"/>
      <c r="BI82" s="265"/>
      <c r="BJ82" s="265"/>
      <c r="BK82" s="265"/>
      <c r="BL82" s="265"/>
      <c r="BM82" s="265"/>
      <c r="BN82" s="265"/>
      <c r="BO82" s="265"/>
      <c r="BP82" s="265"/>
      <c r="BQ82" s="265"/>
      <c r="BR82" s="265"/>
      <c r="BS82" s="265"/>
      <c r="BT82" s="265"/>
      <c r="BU82" s="265"/>
      <c r="BV82" s="265"/>
    </row>
    <row r="83">
      <c r="A83" s="251">
        <f>VLOOKUP($F83,UpdateHashtag!$V$3:$Y$32,COLUMN(B$15),0)</f>
        <v>4</v>
      </c>
      <c r="B83" s="252">
        <f>VLOOKUP($F83,UpdateHashtag!$V$3:$Y$32,COLUMN(C$13),0)</f>
        <v>4</v>
      </c>
      <c r="C83" s="252">
        <f>VLOOKUP($F83,UpdateHashtag!$V$3:$Y$32,COLUMN(D$13),0)</f>
        <v>3</v>
      </c>
      <c r="D83" s="268">
        <f t="shared" si="4"/>
        <v>11</v>
      </c>
      <c r="E83" s="19"/>
      <c r="F83" s="30" t="str">
        <f>IF(VLOOKUP(J83,PasteHashtag!$C$2:$P1015,3,)="BRO","BKN",IF(VLOOKUP(J83,PasteHashtag!$C$2:$P1015,3,)="OKL","OKC",VLOOKUP(J83,PasteHashtag!$C$2:$P1015,3,)))</f>
        <v>OKC</v>
      </c>
      <c r="G83" s="269">
        <v>64.0</v>
      </c>
      <c r="H83" s="270">
        <f>IFERROR(__xludf.DUMMYFUNCTION("""COMPUTED_VALUE"""),68.0)</f>
        <v>68</v>
      </c>
      <c r="I83" s="270">
        <f>IFERROR(__xludf.DUMMYFUNCTION("""COMPUTED_VALUE"""),102.0)</f>
        <v>102</v>
      </c>
      <c r="J83" s="271" t="str">
        <f>IFERROR(__xludf.DUMMYFUNCTION("""COMPUTED_VALUE"""),"Alex Caruso")</f>
        <v>Alex Caruso</v>
      </c>
      <c r="K83" s="270">
        <f>IFERROR(__xludf.DUMMYFUNCTION("""COMPUTED_VALUE"""),76.0)</f>
        <v>76</v>
      </c>
      <c r="L83" s="272" t="str">
        <f>IFERROR(__xludf.DUMMYFUNCTION("""COMPUTED_VALUE"""),"SG,SF")</f>
        <v>SG,SF</v>
      </c>
      <c r="M83" s="273">
        <f>IFERROR(__xludf.DUMMYFUNCTION("""COMPUTED_VALUE"""),-0.1474799882305675)</f>
        <v>-0.1474799882</v>
      </c>
      <c r="N83" s="273">
        <f>IFERROR(__xludf.DUMMYFUNCTION("""COMPUTED_VALUE"""),-0.22756119940538141)</f>
        <v>-0.2275611994</v>
      </c>
      <c r="O83" s="274">
        <f>IFERROR(__xludf.DUMMYFUNCTION("""COMPUTED_VALUE"""),-0.08008121117481393)</f>
        <v>-0.08008121117</v>
      </c>
      <c r="P83" s="275">
        <f>IFERROR(__xludf.DUMMYFUNCTION("""COMPUTED_VALUE"""),8.978088235)</f>
        <v>8.978088235</v>
      </c>
      <c r="Q83" s="275">
        <f>IFERROR(__xludf.DUMMYFUNCTION("""COMPUTED_VALUE"""),1.822647059)</f>
        <v>1.822647059</v>
      </c>
      <c r="R83" s="275">
        <f>IFERROR(__xludf.DUMMYFUNCTION("""COMPUTED_VALUE"""),3.770735294)</f>
        <v>3.770735294</v>
      </c>
      <c r="S83" s="276">
        <f>IFERROR(__xludf.DUMMYFUNCTION("""COMPUTED_VALUE"""),3.829558824)</f>
        <v>3.829558824</v>
      </c>
      <c r="T83" s="275">
        <f>IFERROR(__xludf.DUMMYFUNCTION("""COMPUTED_VALUE"""),1.8)</f>
        <v>1.8</v>
      </c>
      <c r="U83" s="275">
        <f>IFERROR(__xludf.DUMMYFUNCTION("""COMPUTED_VALUE"""),0.7658823529)</f>
        <v>0.7658823529</v>
      </c>
      <c r="V83" s="272">
        <f>IFERROR(__xludf.DUMMYFUNCTION("""COMPUTED_VALUE"""),0.4395757015)</f>
        <v>0.4395757015</v>
      </c>
      <c r="W83" s="272">
        <f>IFERROR(__xludf.DUMMYFUNCTION("""COMPUTED_VALUE"""),0.7709817281)</f>
        <v>0.7709817281</v>
      </c>
      <c r="X83" s="275">
        <f>IFERROR(__xludf.DUMMYFUNCTION("""COMPUTED_VALUE"""),1.425735294)</f>
        <v>1.425735294</v>
      </c>
      <c r="Y83" s="273">
        <f>IFERROR(__xludf.DUMMYFUNCTION("""COMPUTED_VALUE"""),-1.5340797512652602)</f>
        <v>-1.534079751</v>
      </c>
      <c r="Z83" s="273">
        <f>IFERROR(__xludf.DUMMYFUNCTION("""COMPUTED_VALUE"""),0.07338326248477006)</f>
        <v>0.07338326248</v>
      </c>
      <c r="AA83" s="273">
        <f>IFERROR(__xludf.DUMMYFUNCTION("""COMPUTED_VALUE"""),-0.9063233513308366)</f>
        <v>-0.9063233513</v>
      </c>
      <c r="AB83" s="273">
        <f>IFERROR(__xludf.DUMMYFUNCTION("""COMPUTED_VALUE"""),-0.04712799061323911)</f>
        <v>-0.04712799061</v>
      </c>
      <c r="AC83" s="273">
        <f>IFERROR(__xludf.DUMMYFUNCTION("""COMPUTED_VALUE"""),2.726050224527047)</f>
        <v>2.726050225</v>
      </c>
      <c r="AD83" s="273">
        <f>IFERROR(__xludf.DUMMYFUNCTION("""COMPUTED_VALUE"""),0.03070672128646459)</f>
        <v>0.03070672129</v>
      </c>
      <c r="AE83" s="273">
        <f>IFERROR(__xludf.DUMMYFUNCTION("""COMPUTED_VALUE"""),-0.4901030456077578)</f>
        <v>-0.4901030456</v>
      </c>
      <c r="AF83" s="273">
        <f>IFERROR(__xludf.DUMMYFUNCTION("""COMPUTED_VALUE"""),-0.08006726888656937)</f>
        <v>-0.08006726889</v>
      </c>
      <c r="AG83" s="277">
        <f>IFERROR(__xludf.DUMMYFUNCTION("""COMPUTED_VALUE"""),0.0)</f>
        <v>0</v>
      </c>
      <c r="AH83" s="265"/>
      <c r="AI83" s="338"/>
      <c r="AJ83" s="339"/>
      <c r="AK83" s="265"/>
      <c r="AL83" s="265"/>
      <c r="AM83" s="265"/>
      <c r="AN83" s="265"/>
      <c r="AO83" s="265"/>
      <c r="AP83" s="265"/>
      <c r="AQ83" s="265"/>
      <c r="AR83" s="265"/>
      <c r="AS83" s="265"/>
      <c r="AT83" s="265"/>
      <c r="AU83" s="265"/>
      <c r="AV83" s="265"/>
      <c r="AW83" s="265"/>
      <c r="AX83" s="265"/>
      <c r="AY83" s="265"/>
      <c r="AZ83" s="265"/>
      <c r="BA83" s="265"/>
      <c r="BB83" s="265"/>
      <c r="BC83" s="265"/>
      <c r="BD83" s="265"/>
      <c r="BE83" s="265"/>
      <c r="BF83" s="265"/>
      <c r="BG83" s="265"/>
      <c r="BH83" s="265"/>
      <c r="BI83" s="265"/>
      <c r="BJ83" s="265"/>
      <c r="BK83" s="265"/>
      <c r="BL83" s="265"/>
      <c r="BM83" s="265"/>
      <c r="BN83" s="265"/>
      <c r="BO83" s="265"/>
      <c r="BP83" s="265"/>
      <c r="BQ83" s="265"/>
      <c r="BR83" s="265"/>
      <c r="BS83" s="265"/>
      <c r="BT83" s="265"/>
      <c r="BU83" s="265"/>
      <c r="BV83" s="265"/>
    </row>
    <row r="84">
      <c r="A84" s="251">
        <f>VLOOKUP($F84,UpdateHashtag!$V$3:$Y$32,COLUMN(B$15),0)</f>
        <v>3</v>
      </c>
      <c r="B84" s="252">
        <f>VLOOKUP($F84,UpdateHashtag!$V$3:$Y$32,COLUMN(C$13),0)</f>
        <v>4</v>
      </c>
      <c r="C84" s="252">
        <f>VLOOKUP($F84,UpdateHashtag!$V$3:$Y$32,COLUMN(D$13),0)</f>
        <v>4</v>
      </c>
      <c r="D84" s="268">
        <f t="shared" si="4"/>
        <v>11</v>
      </c>
      <c r="E84" s="19"/>
      <c r="F84" s="30" t="str">
        <f>IF(VLOOKUP(J84,PasteHashtag!$C$2:$P1015,3,)="BRO","BKN",IF(VLOOKUP(J84,PasteHashtag!$C$2:$P1015,3,)="OKL","OKC",VLOOKUP(J84,PasteHashtag!$C$2:$P1015,3,)))</f>
        <v>IND</v>
      </c>
      <c r="G84" s="269">
        <v>65.0</v>
      </c>
      <c r="H84" s="270">
        <f>IFERROR(__xludf.DUMMYFUNCTION("""COMPUTED_VALUE"""),62.0)</f>
        <v>62</v>
      </c>
      <c r="I84" s="270">
        <f>IFERROR(__xludf.DUMMYFUNCTION("""COMPUTED_VALUE"""),45.0)</f>
        <v>45</v>
      </c>
      <c r="J84" s="271" t="str">
        <f>IFERROR(__xludf.DUMMYFUNCTION("""COMPUTED_VALUE"""),"Myles Turner")</f>
        <v>Myles Turner</v>
      </c>
      <c r="K84" s="270">
        <f>IFERROR(__xludf.DUMMYFUNCTION("""COMPUTED_VALUE"""),73.0)</f>
        <v>73</v>
      </c>
      <c r="L84" s="272" t="str">
        <f>IFERROR(__xludf.DUMMYFUNCTION("""COMPUTED_VALUE"""),"SG,SF")</f>
        <v>SG,SF</v>
      </c>
      <c r="M84" s="273">
        <f>IFERROR(__xludf.DUMMYFUNCTION("""COMPUTED_VALUE"""),-0.186697485007555)</f>
        <v>-0.186697485</v>
      </c>
      <c r="N84" s="273">
        <f>IFERROR(__xludf.DUMMYFUNCTION("""COMPUTED_VALUE"""),-0.2497551521361615)</f>
        <v>-0.2497551521</v>
      </c>
      <c r="O84" s="274">
        <f>IFERROR(__xludf.DUMMYFUNCTION("""COMPUTED_VALUE"""),-0.0630576671286065)</f>
        <v>-0.06305766713</v>
      </c>
      <c r="P84" s="275">
        <f>IFERROR(__xludf.DUMMYFUNCTION("""COMPUTED_VALUE"""),17.50863014)</f>
        <v>17.50863014</v>
      </c>
      <c r="Q84" s="275">
        <f>IFERROR(__xludf.DUMMYFUNCTION("""COMPUTED_VALUE"""),1.77260274)</f>
        <v>1.77260274</v>
      </c>
      <c r="R84" s="275">
        <f>IFERROR(__xludf.DUMMYFUNCTION("""COMPUTED_VALUE"""),7.330136986)</f>
        <v>7.330136986</v>
      </c>
      <c r="S84" s="276">
        <f>IFERROR(__xludf.DUMMYFUNCTION("""COMPUTED_VALUE"""),1.414109589)</f>
        <v>1.414109589</v>
      </c>
      <c r="T84" s="275">
        <f>IFERROR(__xludf.DUMMYFUNCTION("""COMPUTED_VALUE"""),0.4806849315)</f>
        <v>0.4806849315</v>
      </c>
      <c r="U84" s="275">
        <f>IFERROR(__xludf.DUMMYFUNCTION("""COMPUTED_VALUE"""),2.042876712)</f>
        <v>2.042876712</v>
      </c>
      <c r="V84" s="272">
        <f>IFERROR(__xludf.DUMMYFUNCTION("""COMPUTED_VALUE"""),0.5184559093)</f>
        <v>0.5184559093</v>
      </c>
      <c r="W84" s="272">
        <f>IFERROR(__xludf.DUMMYFUNCTION("""COMPUTED_VALUE"""),0.7519897126)</f>
        <v>0.7519897126</v>
      </c>
      <c r="X84" s="275">
        <f>IFERROR(__xludf.DUMMYFUNCTION("""COMPUTED_VALUE"""),1.494383562)</f>
        <v>1.494383562</v>
      </c>
      <c r="Y84" s="273">
        <f>IFERROR(__xludf.DUMMYFUNCTION("""COMPUTED_VALUE"""),0.003598528637215903)</f>
        <v>0.003598528637</v>
      </c>
      <c r="Z84" s="273">
        <f>IFERROR(__xludf.DUMMYFUNCTION("""COMPUTED_VALUE"""),0.02374287425187511)</f>
        <v>0.02374287425</v>
      </c>
      <c r="AA84" s="273">
        <f>IFERROR(__xludf.DUMMYFUNCTION("""COMPUTED_VALUE"""),0.4886310745390675)</f>
        <v>0.4886310745</v>
      </c>
      <c r="AB84" s="273">
        <f>IFERROR(__xludf.DUMMYFUNCTION("""COMPUTED_VALUE"""),-1.1440762643765645)</f>
        <v>-1.144076264</v>
      </c>
      <c r="AC84" s="273">
        <f>IFERROR(__xludf.DUMMYFUNCTION("""COMPUTED_VALUE"""),-1.638657468077733)</f>
        <v>-1.638657468</v>
      </c>
      <c r="AD84" s="273">
        <f>IFERROR(__xludf.DUMMYFUNCTION("""COMPUTED_VALUE"""),2.3084149309858417)</f>
        <v>2.308414931</v>
      </c>
      <c r="AE84" s="273">
        <f>IFERROR(__xludf.DUMMYFUNCTION("""COMPUTED_VALUE"""),0.3038674159909155)</f>
        <v>0.303867416</v>
      </c>
      <c r="AF84" s="273">
        <f>IFERROR(__xludf.DUMMYFUNCTION("""COMPUTED_VALUE"""),-0.5952762440867796)</f>
        <v>-0.5952762441</v>
      </c>
      <c r="AG84" s="277">
        <f>IFERROR(__xludf.DUMMYFUNCTION("""COMPUTED_VALUE"""),0.0)</f>
        <v>0</v>
      </c>
      <c r="AH84" s="265"/>
      <c r="AI84" s="338"/>
      <c r="AJ84" s="339"/>
      <c r="AK84" s="265"/>
      <c r="AL84" s="265"/>
      <c r="AM84" s="265"/>
      <c r="AN84" s="265"/>
      <c r="AO84" s="265"/>
      <c r="AP84" s="265"/>
      <c r="AQ84" s="265"/>
      <c r="AR84" s="265"/>
      <c r="AS84" s="265"/>
      <c r="AT84" s="265"/>
      <c r="AU84" s="265"/>
      <c r="AV84" s="265"/>
      <c r="AW84" s="265"/>
      <c r="AX84" s="265"/>
      <c r="AY84" s="265"/>
      <c r="AZ84" s="265"/>
      <c r="BA84" s="265"/>
      <c r="BB84" s="265"/>
      <c r="BC84" s="265"/>
      <c r="BD84" s="265"/>
      <c r="BE84" s="265"/>
      <c r="BF84" s="265"/>
      <c r="BG84" s="265"/>
      <c r="BH84" s="265"/>
      <c r="BI84" s="265"/>
      <c r="BJ84" s="265"/>
      <c r="BK84" s="265"/>
      <c r="BL84" s="265"/>
      <c r="BM84" s="265"/>
      <c r="BN84" s="265"/>
      <c r="BO84" s="265"/>
      <c r="BP84" s="265"/>
      <c r="BQ84" s="265"/>
      <c r="BR84" s="265"/>
      <c r="BS84" s="265"/>
      <c r="BT84" s="265"/>
      <c r="BU84" s="265"/>
      <c r="BV84" s="265"/>
    </row>
    <row r="85">
      <c r="A85" s="251">
        <f>VLOOKUP($F85,UpdateHashtag!$V$3:$Y$32,COLUMN(B$15),0)</f>
        <v>4</v>
      </c>
      <c r="B85" s="252">
        <f>VLOOKUP($F85,UpdateHashtag!$V$3:$Y$32,COLUMN(C$13),0)</f>
        <v>3</v>
      </c>
      <c r="C85" s="252">
        <f>VLOOKUP($F85,UpdateHashtag!$V$3:$Y$32,COLUMN(D$13),0)</f>
        <v>4</v>
      </c>
      <c r="D85" s="268">
        <f t="shared" si="4"/>
        <v>11</v>
      </c>
      <c r="E85" s="19"/>
      <c r="F85" s="30" t="str">
        <f>IF(VLOOKUP(J85,PasteHashtag!$C$2:$P1015,3,)="BRO","BKN",IF(VLOOKUP(J85,PasteHashtag!$C$2:$P1015,3,)="OKL","OKC",VLOOKUP(J85,PasteHashtag!$C$2:$P1015,3,)))</f>
        <v>POR</v>
      </c>
      <c r="G85" s="269">
        <v>66.0</v>
      </c>
      <c r="H85" s="270">
        <f>IFERROR(__xludf.DUMMYFUNCTION("""COMPUTED_VALUE"""),75.0)</f>
        <v>75</v>
      </c>
      <c r="I85" s="270">
        <f>IFERROR(__xludf.DUMMYFUNCTION("""COMPUTED_VALUE"""),79.7)</f>
        <v>79.7</v>
      </c>
      <c r="J85" s="271" t="str">
        <f>IFERROR(__xludf.DUMMYFUNCTION("""COMPUTED_VALUE"""),"Anfernee Simons")</f>
        <v>Anfernee Simons</v>
      </c>
      <c r="K85" s="270">
        <f>IFERROR(__xludf.DUMMYFUNCTION("""COMPUTED_VALUE"""),68.0)</f>
        <v>68</v>
      </c>
      <c r="L85" s="272" t="str">
        <f>IFERROR(__xludf.DUMMYFUNCTION("""COMPUTED_VALUE"""),"C")</f>
        <v>C</v>
      </c>
      <c r="M85" s="273">
        <f>IFERROR(__xludf.DUMMYFUNCTION("""COMPUTED_VALUE"""),-0.5677516917229615)</f>
        <v>-0.5677516917</v>
      </c>
      <c r="N85" s="273">
        <f>IFERROR(__xludf.DUMMYFUNCTION("""COMPUTED_VALUE"""),-0.28536136910652443)</f>
        <v>-0.2853613691</v>
      </c>
      <c r="O85" s="274">
        <f>IFERROR(__xludf.DUMMYFUNCTION("""COMPUTED_VALUE"""),0.28239032261643704)</f>
        <v>0.2823903226</v>
      </c>
      <c r="P85" s="275">
        <f>IFERROR(__xludf.DUMMYFUNCTION("""COMPUTED_VALUE"""),21.93741935)</f>
        <v>21.93741935</v>
      </c>
      <c r="Q85" s="275">
        <f>IFERROR(__xludf.DUMMYFUNCTION("""COMPUTED_VALUE"""),3.438225806)</f>
        <v>3.438225806</v>
      </c>
      <c r="R85" s="275">
        <f>IFERROR(__xludf.DUMMYFUNCTION("""COMPUTED_VALUE"""),3.465)</f>
        <v>3.465</v>
      </c>
      <c r="S85" s="276">
        <f>IFERROR(__xludf.DUMMYFUNCTION("""COMPUTED_VALUE"""),5.847258065)</f>
        <v>5.847258065</v>
      </c>
      <c r="T85" s="275">
        <f>IFERROR(__xludf.DUMMYFUNCTION("""COMPUTED_VALUE"""),0.5064516129)</f>
        <v>0.5064516129</v>
      </c>
      <c r="U85" s="275">
        <f>IFERROR(__xludf.DUMMYFUNCTION("""COMPUTED_VALUE"""),0.1441935484)</f>
        <v>0.1441935484</v>
      </c>
      <c r="V85" s="272">
        <f>IFERROR(__xludf.DUMMYFUNCTION("""COMPUTED_VALUE"""),0.4348100802)</f>
        <v>0.4348100802</v>
      </c>
      <c r="W85" s="272">
        <f>IFERROR(__xludf.DUMMYFUNCTION("""COMPUTED_VALUE"""),0.9000045618)</f>
        <v>0.9000045618</v>
      </c>
      <c r="X85" s="275">
        <f>IFERROR(__xludf.DUMMYFUNCTION("""COMPUTED_VALUE"""),2.887419355)</f>
        <v>2.887419355</v>
      </c>
      <c r="Y85" s="273">
        <f>IFERROR(__xludf.DUMMYFUNCTION("""COMPUTED_VALUE"""),0.8019127565401197)</f>
        <v>0.8019127565</v>
      </c>
      <c r="Z85" s="273">
        <f>IFERROR(__xludf.DUMMYFUNCTION("""COMPUTED_VALUE"""),1.6759219286996918)</f>
        <v>1.675921929</v>
      </c>
      <c r="AA85" s="273">
        <f>IFERROR(__xludf.DUMMYFUNCTION("""COMPUTED_VALUE"""),-1.0261431520767021)</f>
        <v>-1.026143152</v>
      </c>
      <c r="AB85" s="273">
        <f>IFERROR(__xludf.DUMMYFUNCTION("""COMPUTED_VALUE"""),0.8691867335041245)</f>
        <v>0.8691867335</v>
      </c>
      <c r="AC85" s="273">
        <f>IFERROR(__xludf.DUMMYFUNCTION("""COMPUTED_VALUE"""),-1.553413211262458)</f>
        <v>-1.553413211</v>
      </c>
      <c r="AD85" s="273">
        <f>IFERROR(__xludf.DUMMYFUNCTION("""COMPUTED_VALUE"""),-1.078167161982548)</f>
        <v>-1.078167162</v>
      </c>
      <c r="AE85" s="273">
        <f>IFERROR(__xludf.DUMMYFUNCTION("""COMPUTED_VALUE"""),-1.2791634214275236)</f>
        <v>-1.279163421</v>
      </c>
      <c r="AF85" s="273">
        <f>IFERROR(__xludf.DUMMYFUNCTION("""COMPUTED_VALUE"""),1.304504158898771)</f>
        <v>1.304504159</v>
      </c>
      <c r="AG85" s="277">
        <f>IFERROR(__xludf.DUMMYFUNCTION("""COMPUTED_VALUE"""),0.0)</f>
        <v>0</v>
      </c>
      <c r="AH85" s="265"/>
      <c r="AI85" s="338"/>
      <c r="AJ85" s="339"/>
      <c r="AK85" s="265"/>
      <c r="AL85" s="265"/>
      <c r="AM85" s="265"/>
      <c r="AN85" s="265"/>
      <c r="AO85" s="265"/>
      <c r="AP85" s="265"/>
      <c r="AQ85" s="265"/>
      <c r="AR85" s="265"/>
      <c r="AS85" s="265"/>
      <c r="AT85" s="265"/>
      <c r="AU85" s="265"/>
      <c r="AV85" s="265"/>
      <c r="AW85" s="265"/>
      <c r="AX85" s="265"/>
      <c r="AY85" s="265"/>
      <c r="AZ85" s="265"/>
      <c r="BA85" s="265"/>
      <c r="BB85" s="265"/>
      <c r="BC85" s="265"/>
      <c r="BD85" s="265"/>
      <c r="BE85" s="265"/>
      <c r="BF85" s="265"/>
      <c r="BG85" s="265"/>
      <c r="BH85" s="265"/>
      <c r="BI85" s="265"/>
      <c r="BJ85" s="265"/>
      <c r="BK85" s="265"/>
      <c r="BL85" s="265"/>
      <c r="BM85" s="265"/>
      <c r="BN85" s="265"/>
      <c r="BO85" s="265"/>
      <c r="BP85" s="265"/>
      <c r="BQ85" s="265"/>
      <c r="BR85" s="265"/>
      <c r="BS85" s="265"/>
      <c r="BT85" s="265"/>
      <c r="BU85" s="265"/>
      <c r="BV85" s="265"/>
    </row>
    <row r="86">
      <c r="A86" s="251">
        <f>VLOOKUP($F86,UpdateHashtag!$V$3:$Y$32,COLUMN(B$15),0)</f>
        <v>4</v>
      </c>
      <c r="B86" s="252">
        <f>VLOOKUP($F86,UpdateHashtag!$V$3:$Y$32,COLUMN(C$13),0)</f>
        <v>3</v>
      </c>
      <c r="C86" s="252">
        <f>VLOOKUP($F86,UpdateHashtag!$V$3:$Y$32,COLUMN(D$13),0)</f>
        <v>4</v>
      </c>
      <c r="D86" s="268">
        <f t="shared" si="4"/>
        <v>11</v>
      </c>
      <c r="E86" s="19"/>
      <c r="F86" s="30" t="str">
        <f>IF(VLOOKUP(J86,PasteHashtag!$C$2:$P1015,3,)="BRO","BKN",IF(VLOOKUP(J86,PasteHashtag!$C$2:$P1015,3,)="OKL","OKC",VLOOKUP(J86,PasteHashtag!$C$2:$P1015,3,)))</f>
        <v>CHA</v>
      </c>
      <c r="G86" s="269">
        <v>67.0</v>
      </c>
      <c r="H86" s="270">
        <f>IFERROR(__xludf.DUMMYFUNCTION("""COMPUTED_VALUE"""),69.0)</f>
        <v>69</v>
      </c>
      <c r="I86" s="270">
        <f>IFERROR(__xludf.DUMMYFUNCTION("""COMPUTED_VALUE"""),58.2)</f>
        <v>58.2</v>
      </c>
      <c r="J86" s="271" t="str">
        <f>IFERROR(__xludf.DUMMYFUNCTION("""COMPUTED_VALUE"""),"Miles Bridges")</f>
        <v>Miles Bridges</v>
      </c>
      <c r="K86" s="270">
        <f>IFERROR(__xludf.DUMMYFUNCTION("""COMPUTED_VALUE"""),74.0)</f>
        <v>74</v>
      </c>
      <c r="L86" s="272" t="str">
        <f>IFERROR(__xludf.DUMMYFUNCTION("""COMPUTED_VALUE"""),"SG")</f>
        <v>SG</v>
      </c>
      <c r="M86" s="273">
        <f>IFERROR(__xludf.DUMMYFUNCTION("""COMPUTED_VALUE"""),-0.4430138795875465)</f>
        <v>-0.4430138796</v>
      </c>
      <c r="N86" s="273">
        <f>IFERROR(__xludf.DUMMYFUNCTION("""COMPUTED_VALUE"""),-0.4296474190094255)</f>
        <v>-0.429647419</v>
      </c>
      <c r="O86" s="274">
        <f>IFERROR(__xludf.DUMMYFUNCTION("""COMPUTED_VALUE"""),0.01336646057812102)</f>
        <v>0.01336646058</v>
      </c>
      <c r="P86" s="275">
        <f>IFERROR(__xludf.DUMMYFUNCTION("""COMPUTED_VALUE"""),18.80608108)</f>
        <v>18.80608108</v>
      </c>
      <c r="Q86" s="275">
        <f>IFERROR(__xludf.DUMMYFUNCTION("""COMPUTED_VALUE"""),2.032432432)</f>
        <v>2.032432432</v>
      </c>
      <c r="R86" s="275">
        <f>IFERROR(__xludf.DUMMYFUNCTION("""COMPUTED_VALUE"""),7.285135135)</f>
        <v>7.285135135</v>
      </c>
      <c r="S86" s="276">
        <f>IFERROR(__xludf.DUMMYFUNCTION("""COMPUTED_VALUE"""),3.079324324)</f>
        <v>3.079324324</v>
      </c>
      <c r="T86" s="275">
        <f>IFERROR(__xludf.DUMMYFUNCTION("""COMPUTED_VALUE"""),0.8133783784)</f>
        <v>0.8133783784</v>
      </c>
      <c r="U86" s="275">
        <f>IFERROR(__xludf.DUMMYFUNCTION("""COMPUTED_VALUE"""),0.6759459459)</f>
        <v>0.6759459459</v>
      </c>
      <c r="V86" s="272">
        <f>IFERROR(__xludf.DUMMYFUNCTION("""COMPUTED_VALUE"""),0.4741350367)</f>
        <v>0.4741350367</v>
      </c>
      <c r="W86" s="272">
        <f>IFERROR(__xludf.DUMMYFUNCTION("""COMPUTED_VALUE"""),0.8019858807)</f>
        <v>0.8019858807</v>
      </c>
      <c r="X86" s="275">
        <f>IFERROR(__xludf.DUMMYFUNCTION("""COMPUTED_VALUE"""),1.802567568)</f>
        <v>1.802567568</v>
      </c>
      <c r="Y86" s="273">
        <f>IFERROR(__xludf.DUMMYFUNCTION("""COMPUTED_VALUE"""),0.23747137656352196)</f>
        <v>0.2374713766</v>
      </c>
      <c r="Z86" s="273">
        <f>IFERROR(__xludf.DUMMYFUNCTION("""COMPUTED_VALUE"""),0.28147536103650944)</f>
        <v>0.281475361</v>
      </c>
      <c r="AA86" s="273">
        <f>IFERROR(__xludf.DUMMYFUNCTION("""COMPUTED_VALUE"""),0.47099453428403515)</f>
        <v>0.4709945343</v>
      </c>
      <c r="AB86" s="273">
        <f>IFERROR(__xludf.DUMMYFUNCTION("""COMPUTED_VALUE"""),-0.3878382931804928)</f>
        <v>-0.3878382932</v>
      </c>
      <c r="AC86" s="273">
        <f>IFERROR(__xludf.DUMMYFUNCTION("""COMPUTED_VALUE"""),-0.5380032864995515)</f>
        <v>-0.5380032865</v>
      </c>
      <c r="AD86" s="273">
        <f>IFERROR(__xludf.DUMMYFUNCTION("""COMPUTED_VALUE"""),-0.12970815534551813)</f>
        <v>-0.1297081553</v>
      </c>
      <c r="AE86" s="273">
        <f>IFERROR(__xludf.DUMMYFUNCTION("""COMPUTED_VALUE"""),-0.42198714537922966)</f>
        <v>-0.4219871454</v>
      </c>
      <c r="AF86" s="273">
        <f>IFERROR(__xludf.DUMMYFUNCTION("""COMPUTED_VALUE"""),0.057948189511300076)</f>
        <v>0.05794818951</v>
      </c>
      <c r="AG86" s="277">
        <f>IFERROR(__xludf.DUMMYFUNCTION("""COMPUTED_VALUE"""),0.0)</f>
        <v>0</v>
      </c>
      <c r="AH86" s="265"/>
      <c r="AI86" s="338"/>
      <c r="AJ86" s="339"/>
      <c r="AK86" s="265"/>
      <c r="AL86" s="265"/>
      <c r="AM86" s="265"/>
      <c r="AN86" s="265"/>
      <c r="AO86" s="265"/>
      <c r="AP86" s="265"/>
      <c r="AQ86" s="265"/>
      <c r="AR86" s="265"/>
      <c r="AS86" s="265"/>
      <c r="AT86" s="265"/>
      <c r="AU86" s="265"/>
      <c r="AV86" s="265"/>
      <c r="AW86" s="265"/>
      <c r="AX86" s="265"/>
      <c r="AY86" s="265"/>
      <c r="AZ86" s="265"/>
      <c r="BA86" s="265"/>
      <c r="BB86" s="265"/>
      <c r="BC86" s="265"/>
      <c r="BD86" s="265"/>
      <c r="BE86" s="265"/>
      <c r="BF86" s="265"/>
      <c r="BG86" s="265"/>
      <c r="BH86" s="265"/>
      <c r="BI86" s="265"/>
      <c r="BJ86" s="265"/>
      <c r="BK86" s="265"/>
      <c r="BL86" s="265"/>
      <c r="BM86" s="265"/>
      <c r="BN86" s="265"/>
      <c r="BO86" s="265"/>
      <c r="BP86" s="265"/>
      <c r="BQ86" s="265"/>
      <c r="BR86" s="265"/>
      <c r="BS86" s="265"/>
      <c r="BT86" s="265"/>
      <c r="BU86" s="265"/>
      <c r="BV86" s="265"/>
    </row>
    <row r="87">
      <c r="A87" s="251">
        <f>VLOOKUP($F87,UpdateHashtag!$V$3:$Y$32,COLUMN(B$15),0)</f>
        <v>3</v>
      </c>
      <c r="B87" s="252">
        <f>VLOOKUP($F87,UpdateHashtag!$V$3:$Y$32,COLUMN(C$13),0)</f>
        <v>4</v>
      </c>
      <c r="C87" s="252">
        <f>VLOOKUP($F87,UpdateHashtag!$V$3:$Y$32,COLUMN(D$13),0)</f>
        <v>3</v>
      </c>
      <c r="D87" s="268">
        <f t="shared" si="4"/>
        <v>10</v>
      </c>
      <c r="E87" s="19"/>
      <c r="F87" s="30" t="str">
        <f>IF(VLOOKUP(J87,PasteHashtag!$C$2:$P1015,3,)="BRO","BKN",IF(VLOOKUP(J87,PasteHashtag!$C$2:$P1015,3,)="OKL","OKC",VLOOKUP(J87,PasteHashtag!$C$2:$P1015,3,)))</f>
        <v>BOS</v>
      </c>
      <c r="G87" s="269">
        <v>68.0</v>
      </c>
      <c r="H87" s="270">
        <f>IFERROR(__xludf.DUMMYFUNCTION("""COMPUTED_VALUE"""),73.0)</f>
        <v>73</v>
      </c>
      <c r="I87" s="270">
        <f>IFERROR(__xludf.DUMMYFUNCTION("""COMPUTED_VALUE"""),78.5)</f>
        <v>78.5</v>
      </c>
      <c r="J87" s="271" t="str">
        <f>IFERROR(__xludf.DUMMYFUNCTION("""COMPUTED_VALUE"""),"Jrue Holiday")</f>
        <v>Jrue Holiday</v>
      </c>
      <c r="K87" s="270">
        <f>IFERROR(__xludf.DUMMYFUNCTION("""COMPUTED_VALUE"""),69.0)</f>
        <v>69</v>
      </c>
      <c r="L87" s="272" t="str">
        <f>IFERROR(__xludf.DUMMYFUNCTION("""COMPUTED_VALUE"""),"PF")</f>
        <v>PF</v>
      </c>
      <c r="M87" s="273">
        <f>IFERROR(__xludf.DUMMYFUNCTION("""COMPUTED_VALUE"""),-0.515160027992847)</f>
        <v>-0.515160028</v>
      </c>
      <c r="N87" s="273">
        <f>IFERROR(__xludf.DUMMYFUNCTION("""COMPUTED_VALUE"""),-0.5143894167309023)</f>
        <v>-0.5143894167</v>
      </c>
      <c r="O87" s="274">
        <f>IFERROR(__xludf.DUMMYFUNCTION("""COMPUTED_VALUE"""),7.706112619446648E-4)</f>
        <v>0.0007706112619</v>
      </c>
      <c r="P87" s="275">
        <f>IFERROR(__xludf.DUMMYFUNCTION("""COMPUTED_VALUE"""),12.81564516)</f>
        <v>12.81564516</v>
      </c>
      <c r="Q87" s="275">
        <f>IFERROR(__xludf.DUMMYFUNCTION("""COMPUTED_VALUE"""),2.158548387)</f>
        <v>2.158548387</v>
      </c>
      <c r="R87" s="275">
        <f>IFERROR(__xludf.DUMMYFUNCTION("""COMPUTED_VALUE"""),5.187903226)</f>
        <v>5.187903226</v>
      </c>
      <c r="S87" s="276">
        <f>IFERROR(__xludf.DUMMYFUNCTION("""COMPUTED_VALUE"""),4.985806452)</f>
        <v>4.985806452</v>
      </c>
      <c r="T87" s="275">
        <f>IFERROR(__xludf.DUMMYFUNCTION("""COMPUTED_VALUE"""),0.9503225806)</f>
        <v>0.9503225806</v>
      </c>
      <c r="U87" s="275">
        <f>IFERROR(__xludf.DUMMYFUNCTION("""COMPUTED_VALUE"""),0.7411290323)</f>
        <v>0.7411290323</v>
      </c>
      <c r="V87" s="272">
        <f>IFERROR(__xludf.DUMMYFUNCTION("""COMPUTED_VALUE"""),0.4725389396)</f>
        <v>0.4725389396</v>
      </c>
      <c r="W87" s="272">
        <f>IFERROR(__xludf.DUMMYFUNCTION("""COMPUTED_VALUE"""),0.8609246115)</f>
        <v>0.8609246115</v>
      </c>
      <c r="X87" s="275">
        <f>IFERROR(__xludf.DUMMYFUNCTION("""COMPUTED_VALUE"""),1.751774194)</f>
        <v>1.751774194</v>
      </c>
      <c r="Y87" s="273">
        <f>IFERROR(__xludf.DUMMYFUNCTION("""COMPUTED_VALUE"""),-0.8423384765400133)</f>
        <v>-0.8423384765</v>
      </c>
      <c r="Z87" s="273">
        <f>IFERROR(__xludf.DUMMYFUNCTION("""COMPUTED_VALUE"""),0.4065733760292269)</f>
        <v>0.406573376</v>
      </c>
      <c r="AA87" s="273">
        <f>IFERROR(__xludf.DUMMYFUNCTION("""COMPUTED_VALUE"""),-0.35092532379506175)</f>
        <v>-0.3509253238</v>
      </c>
      <c r="AB87" s="273">
        <f>IFERROR(__xludf.DUMMYFUNCTION("""COMPUTED_VALUE"""),0.4779684681320593)</f>
        <v>0.4779684681</v>
      </c>
      <c r="AC87" s="273">
        <f>IFERROR(__xludf.DUMMYFUNCTION("""COMPUTED_VALUE"""),-0.08494895014641217)</f>
        <v>-0.08494895015</v>
      </c>
      <c r="AD87" s="273">
        <f>IFERROR(__xludf.DUMMYFUNCTION("""COMPUTED_VALUE"""),-0.013444485135211834)</f>
        <v>-0.01344448514</v>
      </c>
      <c r="AE87" s="273">
        <f>IFERROR(__xludf.DUMMYFUNCTION("""COMPUTED_VALUE"""),-0.30206160739270954)</f>
        <v>-0.3020616074</v>
      </c>
      <c r="AF87" s="273">
        <f>IFERROR(__xludf.DUMMYFUNCTION("""COMPUTED_VALUE"""),0.1947875821172201)</f>
        <v>0.1947875821</v>
      </c>
      <c r="AG87" s="277">
        <f>IFERROR(__xludf.DUMMYFUNCTION("""COMPUTED_VALUE"""),0.0)</f>
        <v>0</v>
      </c>
      <c r="AH87" s="265"/>
      <c r="AI87" s="338"/>
      <c r="AJ87" s="339"/>
      <c r="AK87" s="265"/>
      <c r="AL87" s="265"/>
      <c r="AM87" s="265"/>
      <c r="AN87" s="265"/>
      <c r="AO87" s="265"/>
      <c r="AP87" s="265"/>
      <c r="AQ87" s="265"/>
      <c r="AR87" s="265"/>
      <c r="AS87" s="265"/>
      <c r="AT87" s="265"/>
      <c r="AU87" s="265"/>
      <c r="AV87" s="265"/>
      <c r="AW87" s="265"/>
      <c r="AX87" s="265"/>
      <c r="AY87" s="265"/>
      <c r="AZ87" s="265"/>
      <c r="BA87" s="265"/>
      <c r="BB87" s="265"/>
      <c r="BC87" s="265"/>
      <c r="BD87" s="265"/>
      <c r="BE87" s="265"/>
      <c r="BF87" s="265"/>
      <c r="BG87" s="265"/>
      <c r="BH87" s="265"/>
      <c r="BI87" s="265"/>
      <c r="BJ87" s="265"/>
      <c r="BK87" s="265"/>
      <c r="BL87" s="265"/>
      <c r="BM87" s="265"/>
      <c r="BN87" s="265"/>
      <c r="BO87" s="265"/>
      <c r="BP87" s="265"/>
      <c r="BQ87" s="265"/>
      <c r="BR87" s="265"/>
      <c r="BS87" s="265"/>
      <c r="BT87" s="265"/>
      <c r="BU87" s="265"/>
      <c r="BV87" s="265"/>
    </row>
    <row r="88">
      <c r="A88" s="251">
        <f>VLOOKUP($F88,UpdateHashtag!$V$3:$Y$32,COLUMN(B$15),0)</f>
        <v>4</v>
      </c>
      <c r="B88" s="252">
        <f>VLOOKUP($F88,UpdateHashtag!$V$3:$Y$32,COLUMN(C$13),0)</f>
        <v>4</v>
      </c>
      <c r="C88" s="252">
        <f>VLOOKUP($F88,UpdateHashtag!$V$3:$Y$32,COLUMN(D$13),0)</f>
        <v>3</v>
      </c>
      <c r="D88" s="268">
        <f t="shared" si="4"/>
        <v>11</v>
      </c>
      <c r="E88" s="19"/>
      <c r="F88" s="30" t="str">
        <f>IF(VLOOKUP(J88,PasteHashtag!$C$2:$P1015,3,)="BRO","BKN",IF(VLOOKUP(J88,PasteHashtag!$C$2:$P1015,3,)="OKL","OKC",VLOOKUP(J88,PasteHashtag!$C$2:$P1015,3,)))</f>
        <v>ATL</v>
      </c>
      <c r="G88" s="269">
        <v>69.0</v>
      </c>
      <c r="H88" s="270">
        <f>IFERROR(__xludf.DUMMYFUNCTION("""COMPUTED_VALUE"""),82.0)</f>
        <v>82</v>
      </c>
      <c r="I88" s="270">
        <f>IFERROR(__xludf.DUMMYFUNCTION("""COMPUTED_VALUE"""),90.4)</f>
        <v>90.4</v>
      </c>
      <c r="J88" s="271" t="str">
        <f>IFERROR(__xludf.DUMMYFUNCTION("""COMPUTED_VALUE"""),"Bogdan Bogdanovic")</f>
        <v>Bogdan Bogdanovic</v>
      </c>
      <c r="K88" s="270">
        <f>IFERROR(__xludf.DUMMYFUNCTION("""COMPUTED_VALUE"""),76.0)</f>
        <v>76</v>
      </c>
      <c r="L88" s="272" t="str">
        <f>IFERROR(__xludf.DUMMYFUNCTION("""COMPUTED_VALUE"""),"SG,SF")</f>
        <v>SG,SF</v>
      </c>
      <c r="M88" s="273">
        <f>IFERROR(__xludf.DUMMYFUNCTION("""COMPUTED_VALUE"""),-0.6068367743554123)</f>
        <v>-0.6068367744</v>
      </c>
      <c r="N88" s="273">
        <f>IFERROR(__xludf.DUMMYFUNCTION("""COMPUTED_VALUE"""),-0.5610540635793216)</f>
        <v>-0.5610540636</v>
      </c>
      <c r="O88" s="274">
        <f>IFERROR(__xludf.DUMMYFUNCTION("""COMPUTED_VALUE"""),0.04578271077609064)</f>
        <v>0.04578271078</v>
      </c>
      <c r="P88" s="275">
        <f>IFERROR(__xludf.DUMMYFUNCTION("""COMPUTED_VALUE"""),16.61136986)</f>
        <v>16.61136986</v>
      </c>
      <c r="Q88" s="275">
        <f>IFERROR(__xludf.DUMMYFUNCTION("""COMPUTED_VALUE"""),2.866438356)</f>
        <v>2.866438356</v>
      </c>
      <c r="R88" s="275">
        <f>IFERROR(__xludf.DUMMYFUNCTION("""COMPUTED_VALUE"""),3.8)</f>
        <v>3.8</v>
      </c>
      <c r="S88" s="276">
        <f>IFERROR(__xludf.DUMMYFUNCTION("""COMPUTED_VALUE"""),3.8)</f>
        <v>3.8</v>
      </c>
      <c r="T88" s="275">
        <f>IFERROR(__xludf.DUMMYFUNCTION("""COMPUTED_VALUE"""),1.129178082)</f>
        <v>1.129178082</v>
      </c>
      <c r="U88" s="275">
        <f>IFERROR(__xludf.DUMMYFUNCTION("""COMPUTED_VALUE"""),0.4009589041)</f>
        <v>0.4009589041</v>
      </c>
      <c r="V88" s="272">
        <f>IFERROR(__xludf.DUMMYFUNCTION("""COMPUTED_VALUE"""),0.4296976103)</f>
        <v>0.4296976103</v>
      </c>
      <c r="W88" s="272">
        <f>IFERROR(__xludf.DUMMYFUNCTION("""COMPUTED_VALUE"""),0.8840013249)</f>
        <v>0.8840013249</v>
      </c>
      <c r="X88" s="275">
        <f>IFERROR(__xludf.DUMMYFUNCTION("""COMPUTED_VALUE"""),1.933287671)</f>
        <v>1.933287671</v>
      </c>
      <c r="Y88" s="273">
        <f>IFERROR(__xludf.DUMMYFUNCTION("""COMPUTED_VALUE"""),-0.15813769625214716)</f>
        <v>-0.1581376963</v>
      </c>
      <c r="Z88" s="273">
        <f>IFERROR(__xludf.DUMMYFUNCTION("""COMPUTED_VALUE"""),1.10874963878009)</f>
        <v>1.108749639</v>
      </c>
      <c r="AA88" s="273">
        <f>IFERROR(__xludf.DUMMYFUNCTION("""COMPUTED_VALUE"""),-0.8948543083036803)</f>
        <v>-0.8948543083</v>
      </c>
      <c r="AB88" s="273">
        <f>IFERROR(__xludf.DUMMYFUNCTION("""COMPUTED_VALUE"""),-0.06055178793070744)</f>
        <v>-0.06055178793</v>
      </c>
      <c r="AC88" s="273">
        <f>IFERROR(__xludf.DUMMYFUNCTION("""COMPUTED_VALUE"""),0.506761098093111)</f>
        <v>0.5067610981</v>
      </c>
      <c r="AD88" s="273">
        <f>IFERROR(__xludf.DUMMYFUNCTION("""COMPUTED_VALUE"""),-0.6201881940437609)</f>
        <v>-0.620188194</v>
      </c>
      <c r="AE88" s="273">
        <f>IFERROR(__xludf.DUMMYFUNCTION("""COMPUTED_VALUE"""),-1.089514002826499)</f>
        <v>-1.089514003</v>
      </c>
      <c r="AF88" s="273">
        <f>IFERROR(__xludf.DUMMYFUNCTION("""COMPUTED_VALUE"""),0.6466811889042722)</f>
        <v>0.6466811889</v>
      </c>
      <c r="AG88" s="277">
        <f>IFERROR(__xludf.DUMMYFUNCTION("""COMPUTED_VALUE"""),0.0)</f>
        <v>0</v>
      </c>
      <c r="AH88" s="265"/>
      <c r="AI88" s="338"/>
      <c r="AJ88" s="339"/>
      <c r="AK88" s="265"/>
      <c r="AL88" s="265"/>
      <c r="AM88" s="265"/>
      <c r="AN88" s="265"/>
      <c r="AO88" s="265"/>
      <c r="AP88" s="265"/>
      <c r="AQ88" s="265"/>
      <c r="AR88" s="265"/>
      <c r="AS88" s="265"/>
      <c r="AT88" s="265"/>
      <c r="AU88" s="265"/>
      <c r="AV88" s="265"/>
      <c r="AW88" s="265"/>
      <c r="AX88" s="265"/>
      <c r="AY88" s="265"/>
      <c r="AZ88" s="265"/>
      <c r="BA88" s="265"/>
      <c r="BB88" s="265"/>
      <c r="BC88" s="265"/>
      <c r="BD88" s="265"/>
      <c r="BE88" s="265"/>
      <c r="BF88" s="265"/>
      <c r="BG88" s="265"/>
      <c r="BH88" s="265"/>
      <c r="BI88" s="265"/>
      <c r="BJ88" s="265"/>
      <c r="BK88" s="265"/>
      <c r="BL88" s="265"/>
      <c r="BM88" s="265"/>
      <c r="BN88" s="265"/>
      <c r="BO88" s="265"/>
      <c r="BP88" s="265"/>
      <c r="BQ88" s="265"/>
      <c r="BR88" s="265"/>
      <c r="BS88" s="265"/>
      <c r="BT88" s="265"/>
      <c r="BU88" s="265"/>
      <c r="BV88" s="265"/>
    </row>
    <row r="89">
      <c r="A89" s="251">
        <f>VLOOKUP($F89,UpdateHashtag!$V$3:$Y$32,COLUMN(B$15),0)</f>
        <v>4</v>
      </c>
      <c r="B89" s="252">
        <f>VLOOKUP($F89,UpdateHashtag!$V$3:$Y$32,COLUMN(C$13),0)</f>
        <v>3</v>
      </c>
      <c r="C89" s="252">
        <f>VLOOKUP($F89,UpdateHashtag!$V$3:$Y$32,COLUMN(D$13),0)</f>
        <v>4</v>
      </c>
      <c r="D89" s="268">
        <f t="shared" si="4"/>
        <v>11</v>
      </c>
      <c r="E89" s="19"/>
      <c r="F89" s="30" t="str">
        <f>IF(VLOOKUP(J89,PasteHashtag!$C$2:$P1015,3,)="BRO","BKN",IF(VLOOKUP(J89,PasteHashtag!$C$2:$P1015,3,)="OKL","OKC",VLOOKUP(J89,PasteHashtag!$C$2:$P1015,3,)))</f>
        <v>CLE</v>
      </c>
      <c r="G89" s="269">
        <v>70.0</v>
      </c>
      <c r="H89" s="270">
        <f>IFERROR(__xludf.DUMMYFUNCTION("""COMPUTED_VALUE"""),60.0)</f>
        <v>60</v>
      </c>
      <c r="I89" s="270">
        <f>IFERROR(__xludf.DUMMYFUNCTION("""COMPUTED_VALUE"""),53.2)</f>
        <v>53.2</v>
      </c>
      <c r="J89" s="271" t="str">
        <f>IFERROR(__xludf.DUMMYFUNCTION("""COMPUTED_VALUE"""),"Jarrett Allen")</f>
        <v>Jarrett Allen</v>
      </c>
      <c r="K89" s="270">
        <f>IFERROR(__xludf.DUMMYFUNCTION("""COMPUTED_VALUE"""),69.0)</f>
        <v>69</v>
      </c>
      <c r="L89" s="272" t="str">
        <f>IFERROR(__xludf.DUMMYFUNCTION("""COMPUTED_VALUE"""),"PF")</f>
        <v>PF</v>
      </c>
      <c r="M89" s="273">
        <f>IFERROR(__xludf.DUMMYFUNCTION("""COMPUTED_VALUE"""),-0.5025118217443567)</f>
        <v>-0.5025118217</v>
      </c>
      <c r="N89" s="273">
        <f>IFERROR(__xludf.DUMMYFUNCTION("""COMPUTED_VALUE"""),-0.5988942114543581)</f>
        <v>-0.5988942115</v>
      </c>
      <c r="O89" s="274">
        <f>IFERROR(__xludf.DUMMYFUNCTION("""COMPUTED_VALUE"""),-0.09638238971000135)</f>
        <v>-0.09638238971</v>
      </c>
      <c r="P89" s="275">
        <f>IFERROR(__xludf.DUMMYFUNCTION("""COMPUTED_VALUE"""),16.19958904)</f>
        <v>16.19958904</v>
      </c>
      <c r="Q89" s="275">
        <f>IFERROR(__xludf.DUMMYFUNCTION("""COMPUTED_VALUE"""),0.01479452055)</f>
        <v>0.01479452055</v>
      </c>
      <c r="R89" s="275">
        <f>IFERROR(__xludf.DUMMYFUNCTION("""COMPUTED_VALUE"""),10.3360274)</f>
        <v>10.3360274</v>
      </c>
      <c r="S89" s="276">
        <f>IFERROR(__xludf.DUMMYFUNCTION("""COMPUTED_VALUE"""),2.447945205)</f>
        <v>2.447945205</v>
      </c>
      <c r="T89" s="275">
        <f>IFERROR(__xludf.DUMMYFUNCTION("""COMPUTED_VALUE"""),0.61)</f>
        <v>0.61</v>
      </c>
      <c r="U89" s="275">
        <f>IFERROR(__xludf.DUMMYFUNCTION("""COMPUTED_VALUE"""),1.022328767)</f>
        <v>1.022328767</v>
      </c>
      <c r="V89" s="272">
        <f>IFERROR(__xludf.DUMMYFUNCTION("""COMPUTED_VALUE"""),0.6408925389)</f>
        <v>0.6408925389</v>
      </c>
      <c r="W89" s="272">
        <f>IFERROR(__xludf.DUMMYFUNCTION("""COMPUTED_VALUE"""),0.738994326)</f>
        <v>0.738994326</v>
      </c>
      <c r="X89" s="275">
        <f>IFERROR(__xludf.DUMMYFUNCTION("""COMPUTED_VALUE"""),1.36)</f>
        <v>1.36</v>
      </c>
      <c r="Y89" s="273">
        <f>IFERROR(__xludf.DUMMYFUNCTION("""COMPUTED_VALUE"""),-0.2323635109830147)</f>
        <v>-0.232363511</v>
      </c>
      <c r="Z89" s="273">
        <f>IFERROR(__xludf.DUMMYFUNCTION("""COMPUTED_VALUE"""),-1.7198772647787288)</f>
        <v>-1.719877265</v>
      </c>
      <c r="AA89" s="273">
        <f>IFERROR(__xludf.DUMMYFUNCTION("""COMPUTED_VALUE"""),1.6666605580091278)</f>
        <v>1.666660558</v>
      </c>
      <c r="AB89" s="273">
        <f>IFERROR(__xludf.DUMMYFUNCTION("""COMPUTED_VALUE"""),-0.6745718020622306)</f>
        <v>-0.6745718021</v>
      </c>
      <c r="AC89" s="273">
        <f>IFERROR(__xludf.DUMMYFUNCTION("""COMPUTED_VALUE"""),-1.2108426968166226)</f>
        <v>-1.210842697</v>
      </c>
      <c r="AD89" s="273">
        <f>IFERROR(__xludf.DUMMYFUNCTION("""COMPUTED_VALUE"""),0.488116809734471)</f>
        <v>0.4881168097</v>
      </c>
      <c r="AE89" s="273">
        <f>IFERROR(__xludf.DUMMYFUNCTION("""COMPUTED_VALUE"""),1.7725025752353556)</f>
        <v>1.772502575</v>
      </c>
      <c r="AF89" s="273">
        <f>IFERROR(__xludf.DUMMYFUNCTION("""COMPUTED_VALUE"""),-0.688518879792716)</f>
        <v>-0.6885188798</v>
      </c>
      <c r="AG89" s="277">
        <f>IFERROR(__xludf.DUMMYFUNCTION("""COMPUTED_VALUE"""),0.0)</f>
        <v>0</v>
      </c>
      <c r="AH89" s="265"/>
      <c r="AI89" s="338"/>
      <c r="AJ89" s="339"/>
      <c r="AK89" s="265"/>
      <c r="AL89" s="265"/>
      <c r="AM89" s="265"/>
      <c r="AN89" s="265"/>
      <c r="AO89" s="265"/>
      <c r="AP89" s="265"/>
      <c r="AQ89" s="265"/>
      <c r="AR89" s="265"/>
      <c r="AS89" s="265"/>
      <c r="AT89" s="265"/>
      <c r="AU89" s="265"/>
      <c r="AV89" s="265"/>
      <c r="AW89" s="265"/>
      <c r="AX89" s="265"/>
      <c r="AY89" s="265"/>
      <c r="AZ89" s="265"/>
      <c r="BA89" s="265"/>
      <c r="BB89" s="265"/>
      <c r="BC89" s="265"/>
      <c r="BD89" s="265"/>
      <c r="BE89" s="265"/>
      <c r="BF89" s="265"/>
      <c r="BG89" s="265"/>
      <c r="BH89" s="265"/>
      <c r="BI89" s="265"/>
      <c r="BJ89" s="265"/>
      <c r="BK89" s="265"/>
      <c r="BL89" s="265"/>
      <c r="BM89" s="265"/>
      <c r="BN89" s="265"/>
      <c r="BO89" s="265"/>
      <c r="BP89" s="265"/>
      <c r="BQ89" s="265"/>
      <c r="BR89" s="265"/>
      <c r="BS89" s="265"/>
      <c r="BT89" s="265"/>
      <c r="BU89" s="265"/>
      <c r="BV89" s="265"/>
    </row>
    <row r="90">
      <c r="A90" s="251">
        <f>VLOOKUP($F90,UpdateHashtag!$V$3:$Y$32,COLUMN(B$15),0)</f>
        <v>4</v>
      </c>
      <c r="B90" s="252">
        <f>VLOOKUP($F90,UpdateHashtag!$V$3:$Y$32,COLUMN(C$13),0)</f>
        <v>3</v>
      </c>
      <c r="C90" s="252">
        <f>VLOOKUP($F90,UpdateHashtag!$V$3:$Y$32,COLUMN(D$13),0)</f>
        <v>4</v>
      </c>
      <c r="D90" s="268">
        <f t="shared" si="4"/>
        <v>11</v>
      </c>
      <c r="E90" s="19"/>
      <c r="F90" s="30" t="str">
        <f>IF(VLOOKUP(J90,PasteHashtag!$C$2:$P1015,3,)="BRO","BKN",IF(VLOOKUP(J90,PasteHashtag!$C$2:$P1015,3,)="OKL","OKC",VLOOKUP(J90,PasteHashtag!$C$2:$P1015,3,)))</f>
        <v>GS</v>
      </c>
      <c r="G90" s="269">
        <v>71.0</v>
      </c>
      <c r="H90" s="270">
        <f>IFERROR(__xludf.DUMMYFUNCTION("""COMPUTED_VALUE"""),71.0)</f>
        <v>71</v>
      </c>
      <c r="I90" s="270">
        <f>IFERROR(__xludf.DUMMYFUNCTION("""COMPUTED_VALUE"""),101.4)</f>
        <v>101.4</v>
      </c>
      <c r="J90" s="271" t="str">
        <f>IFERROR(__xludf.DUMMYFUNCTION("""COMPUTED_VALUE"""),"Draymond Green")</f>
        <v>Draymond Green</v>
      </c>
      <c r="K90" s="270">
        <f>IFERROR(__xludf.DUMMYFUNCTION("""COMPUTED_VALUE"""),78.0)</f>
        <v>78</v>
      </c>
      <c r="L90" s="272" t="str">
        <f>IFERROR(__xludf.DUMMYFUNCTION("""COMPUTED_VALUE"""),"SG,SF")</f>
        <v>SG,SF</v>
      </c>
      <c r="M90" s="273">
        <f>IFERROR(__xludf.DUMMYFUNCTION("""COMPUTED_VALUE"""),-0.8036610579484014)</f>
        <v>-0.8036610579</v>
      </c>
      <c r="N90" s="273">
        <f>IFERROR(__xludf.DUMMYFUNCTION("""COMPUTED_VALUE"""),-0.6156530267046136)</f>
        <v>-0.6156530267</v>
      </c>
      <c r="O90" s="274">
        <f>IFERROR(__xludf.DUMMYFUNCTION("""COMPUTED_VALUE"""),0.18800803124378773)</f>
        <v>0.1880080312</v>
      </c>
      <c r="P90" s="275">
        <f>IFERROR(__xludf.DUMMYFUNCTION("""COMPUTED_VALUE"""),8.276212121)</f>
        <v>8.276212121</v>
      </c>
      <c r="Q90" s="275">
        <f>IFERROR(__xludf.DUMMYFUNCTION("""COMPUTED_VALUE"""),0.7610606061)</f>
        <v>0.7610606061</v>
      </c>
      <c r="R90" s="275">
        <f>IFERROR(__xludf.DUMMYFUNCTION("""COMPUTED_VALUE"""),7.35)</f>
        <v>7.35</v>
      </c>
      <c r="S90" s="276">
        <f>IFERROR(__xludf.DUMMYFUNCTION("""COMPUTED_VALUE"""),6.416666667)</f>
        <v>6.416666667</v>
      </c>
      <c r="T90" s="275">
        <f>IFERROR(__xludf.DUMMYFUNCTION("""COMPUTED_VALUE"""),1.109545455)</f>
        <v>1.109545455</v>
      </c>
      <c r="U90" s="275">
        <f>IFERROR(__xludf.DUMMYFUNCTION("""COMPUTED_VALUE"""),0.8743939394)</f>
        <v>0.8743939394</v>
      </c>
      <c r="V90" s="272">
        <f>IFERROR(__xludf.DUMMYFUNCTION("""COMPUTED_VALUE"""),0.5117810761)</f>
        <v>0.5117810761</v>
      </c>
      <c r="W90" s="272">
        <f>IFERROR(__xludf.DUMMYFUNCTION("""COMPUTED_VALUE"""),0.7039422829)</f>
        <v>0.7039422829</v>
      </c>
      <c r="X90" s="275">
        <f>IFERROR(__xludf.DUMMYFUNCTION("""COMPUTED_VALUE"""),2.506818182)</f>
        <v>2.506818182</v>
      </c>
      <c r="Y90" s="273">
        <f>IFERROR(__xludf.DUMMYFUNCTION("""COMPUTED_VALUE"""),-1.66059687851219)</f>
        <v>-1.660596879</v>
      </c>
      <c r="Z90" s="273">
        <f>IFERROR(__xludf.DUMMYFUNCTION("""COMPUTED_VALUE"""),-0.979634636804416)</f>
        <v>-0.9796346368</v>
      </c>
      <c r="AA90" s="273">
        <f>IFERROR(__xludf.DUMMYFUNCTION("""COMPUTED_VALUE"""),0.49641552869401456)</f>
        <v>0.4964155287</v>
      </c>
      <c r="AB90" s="273">
        <f>IFERROR(__xludf.DUMMYFUNCTION("""COMPUTED_VALUE"""),1.12777705036081)</f>
        <v>1.12777705</v>
      </c>
      <c r="AC90" s="273">
        <f>IFERROR(__xludf.DUMMYFUNCTION("""COMPUTED_VALUE"""),0.44181021551858946)</f>
        <v>0.4418102155</v>
      </c>
      <c r="AD90" s="273">
        <f>IFERROR(__xludf.DUMMYFUNCTION("""COMPUTED_VALUE"""),0.2242531764115647)</f>
        <v>0.2242531764</v>
      </c>
      <c r="AE90" s="273">
        <f>IFERROR(__xludf.DUMMYFUNCTION("""COMPUTED_VALUE"""),0.11045165571056575)</f>
        <v>0.1104516557</v>
      </c>
      <c r="AF90" s="273">
        <f>IFERROR(__xludf.DUMMYFUNCTION("""COMPUTED_VALUE"""),-0.37612913808355186)</f>
        <v>-0.3761291381</v>
      </c>
      <c r="AG90" s="277">
        <f>IFERROR(__xludf.DUMMYFUNCTION("""COMPUTED_VALUE"""),0.0)</f>
        <v>0</v>
      </c>
      <c r="AH90" s="265"/>
      <c r="AI90" s="338"/>
      <c r="AJ90" s="339"/>
      <c r="AK90" s="265"/>
      <c r="AL90" s="265"/>
      <c r="AM90" s="265"/>
      <c r="AN90" s="265"/>
      <c r="AO90" s="265"/>
      <c r="AP90" s="265"/>
      <c r="AQ90" s="265"/>
      <c r="AR90" s="265"/>
      <c r="AS90" s="265"/>
      <c r="AT90" s="265"/>
      <c r="AU90" s="265"/>
      <c r="AV90" s="265"/>
      <c r="AW90" s="265"/>
      <c r="AX90" s="265"/>
      <c r="AY90" s="265"/>
      <c r="AZ90" s="265"/>
      <c r="BA90" s="265"/>
      <c r="BB90" s="265"/>
      <c r="BC90" s="265"/>
      <c r="BD90" s="265"/>
      <c r="BE90" s="265"/>
      <c r="BF90" s="265"/>
      <c r="BG90" s="265"/>
      <c r="BH90" s="265"/>
      <c r="BI90" s="265"/>
      <c r="BJ90" s="265"/>
      <c r="BK90" s="265"/>
      <c r="BL90" s="265"/>
      <c r="BM90" s="265"/>
      <c r="BN90" s="265"/>
      <c r="BO90" s="265"/>
      <c r="BP90" s="265"/>
      <c r="BQ90" s="265"/>
      <c r="BR90" s="265"/>
      <c r="BS90" s="265"/>
      <c r="BT90" s="265"/>
      <c r="BU90" s="265"/>
      <c r="BV90" s="265"/>
    </row>
    <row r="91">
      <c r="A91" s="251">
        <f>VLOOKUP($F91,UpdateHashtag!$V$3:$Y$32,COLUMN(B$15),0)</f>
        <v>2</v>
      </c>
      <c r="B91" s="252">
        <f>VLOOKUP($F91,UpdateHashtag!$V$3:$Y$32,COLUMN(C$13),0)</f>
        <v>4</v>
      </c>
      <c r="C91" s="252">
        <f>VLOOKUP($F91,UpdateHashtag!$V$3:$Y$32,COLUMN(D$13),0)</f>
        <v>3</v>
      </c>
      <c r="D91" s="268">
        <f t="shared" si="4"/>
        <v>9</v>
      </c>
      <c r="E91" s="19"/>
      <c r="F91" s="30" t="str">
        <f>IF(VLOOKUP(J91,PasteHashtag!$C$2:$P1015,3,)="BRO","BKN",IF(VLOOKUP(J91,PasteHashtag!$C$2:$P1015,3,)="OKL","OKC",VLOOKUP(J91,PasteHashtag!$C$2:$P1015,3,)))</f>
        <v>ORL</v>
      </c>
      <c r="G91" s="269">
        <v>72.0</v>
      </c>
      <c r="H91" s="270">
        <f>IFERROR(__xludf.DUMMYFUNCTION("""COMPUTED_VALUE"""),85.0)</f>
        <v>85</v>
      </c>
      <c r="I91" s="270">
        <f>IFERROR(__xludf.DUMMYFUNCTION("""COMPUTED_VALUE"""),34.6)</f>
        <v>34.6</v>
      </c>
      <c r="J91" s="271" t="str">
        <f>IFERROR(__xludf.DUMMYFUNCTION("""COMPUTED_VALUE"""),"Paolo Banchero")</f>
        <v>Paolo Banchero</v>
      </c>
      <c r="K91" s="270">
        <f>IFERROR(__xludf.DUMMYFUNCTION("""COMPUTED_VALUE"""),72.0)</f>
        <v>72</v>
      </c>
      <c r="L91" s="272" t="str">
        <f>IFERROR(__xludf.DUMMYFUNCTION("""COMPUTED_VALUE"""),"SF,PF")</f>
        <v>SF,PF</v>
      </c>
      <c r="M91" s="273">
        <f>IFERROR(__xludf.DUMMYFUNCTION("""COMPUTED_VALUE"""),-1.0175315294911282)</f>
        <v>-1.017531529</v>
      </c>
      <c r="N91" s="273">
        <f>IFERROR(__xludf.DUMMYFUNCTION("""COMPUTED_VALUE"""),-0.6782704987637425)</f>
        <v>-0.6782704988</v>
      </c>
      <c r="O91" s="274">
        <f>IFERROR(__xludf.DUMMYFUNCTION("""COMPUTED_VALUE"""),0.3392610307273858)</f>
        <v>0.3392610307</v>
      </c>
      <c r="P91" s="275">
        <f>IFERROR(__xludf.DUMMYFUNCTION("""COMPUTED_VALUE"""),23.43792208)</f>
        <v>23.43792208</v>
      </c>
      <c r="Q91" s="275">
        <f>IFERROR(__xludf.DUMMYFUNCTION("""COMPUTED_VALUE"""),1.547402597)</f>
        <v>1.547402597</v>
      </c>
      <c r="R91" s="275">
        <f>IFERROR(__xludf.DUMMYFUNCTION("""COMPUTED_VALUE"""),7.355844156)</f>
        <v>7.355844156</v>
      </c>
      <c r="S91" s="276">
        <f>IFERROR(__xludf.DUMMYFUNCTION("""COMPUTED_VALUE"""),5.624935065)</f>
        <v>5.624935065</v>
      </c>
      <c r="T91" s="275">
        <f>IFERROR(__xludf.DUMMYFUNCTION("""COMPUTED_VALUE"""),0.7054545455)</f>
        <v>0.7054545455</v>
      </c>
      <c r="U91" s="275">
        <f>IFERROR(__xludf.DUMMYFUNCTION("""COMPUTED_VALUE"""),0.6376623377)</f>
        <v>0.6376623377</v>
      </c>
      <c r="V91" s="272">
        <f>IFERROR(__xludf.DUMMYFUNCTION("""COMPUTED_VALUE"""),0.455972672)</f>
        <v>0.455972672</v>
      </c>
      <c r="W91" s="272">
        <f>IFERROR(__xludf.DUMMYFUNCTION("""COMPUTED_VALUE"""),0.7599947347)</f>
        <v>0.7599947347</v>
      </c>
      <c r="X91" s="275">
        <f>IFERROR(__xludf.DUMMYFUNCTION("""COMPUTED_VALUE"""),3.116753247)</f>
        <v>3.116753247</v>
      </c>
      <c r="Y91" s="273">
        <f>IFERROR(__xludf.DUMMYFUNCTION("""COMPUTED_VALUE"""),1.0723868345706138)</f>
        <v>1.072386835</v>
      </c>
      <c r="Z91" s="273">
        <f>IFERROR(__xludf.DUMMYFUNCTION("""COMPUTED_VALUE"""),-0.19963957458559367)</f>
        <v>-0.1996395746</v>
      </c>
      <c r="AA91" s="273">
        <f>IFERROR(__xludf.DUMMYFUNCTION("""COMPUTED_VALUE"""),0.49870589431810175)</f>
        <v>0.4987058943</v>
      </c>
      <c r="AB91" s="273">
        <f>IFERROR(__xludf.DUMMYFUNCTION("""COMPUTED_VALUE"""),0.768221319893234)</f>
        <v>0.7682213199</v>
      </c>
      <c r="AC91" s="273">
        <f>IFERROR(__xludf.DUMMYFUNCTION("""COMPUTED_VALUE"""),-0.8950491468258434)</f>
        <v>-0.8950491468</v>
      </c>
      <c r="AD91" s="273">
        <f>IFERROR(__xludf.DUMMYFUNCTION("""COMPUTED_VALUE"""),-0.19799262980123178)</f>
        <v>-0.1979926298</v>
      </c>
      <c r="AE91" s="273">
        <f>IFERROR(__xludf.DUMMYFUNCTION("""COMPUTED_VALUE"""),-0.8760895298231579)</f>
        <v>-0.8760895298</v>
      </c>
      <c r="AF91" s="273">
        <f>IFERROR(__xludf.DUMMYFUNCTION("""COMPUTED_VALUE"""),-0.8488136665098653)</f>
        <v>-0.8488136665</v>
      </c>
      <c r="AG91" s="277">
        <f>IFERROR(__xludf.DUMMYFUNCTION("""COMPUTED_VALUE"""),0.0)</f>
        <v>0</v>
      </c>
      <c r="AH91" s="265"/>
      <c r="AI91" s="338"/>
      <c r="AJ91" s="339"/>
      <c r="AK91" s="265"/>
      <c r="AL91" s="265"/>
      <c r="AM91" s="265"/>
      <c r="AN91" s="265"/>
      <c r="AO91" s="265"/>
      <c r="AP91" s="265"/>
      <c r="AQ91" s="265"/>
      <c r="AR91" s="265"/>
      <c r="AS91" s="265"/>
      <c r="AT91" s="265"/>
      <c r="AU91" s="265"/>
      <c r="AV91" s="265"/>
      <c r="AW91" s="265"/>
      <c r="AX91" s="265"/>
      <c r="AY91" s="265"/>
      <c r="AZ91" s="265"/>
      <c r="BA91" s="265"/>
      <c r="BB91" s="265"/>
      <c r="BC91" s="265"/>
      <c r="BD91" s="265"/>
      <c r="BE91" s="265"/>
      <c r="BF91" s="265"/>
      <c r="BG91" s="265"/>
      <c r="BH91" s="265"/>
      <c r="BI91" s="265"/>
      <c r="BJ91" s="265"/>
      <c r="BK91" s="265"/>
      <c r="BL91" s="265"/>
      <c r="BM91" s="265"/>
      <c r="BN91" s="265"/>
      <c r="BO91" s="265"/>
      <c r="BP91" s="265"/>
      <c r="BQ91" s="265"/>
      <c r="BR91" s="265"/>
      <c r="BS91" s="265"/>
      <c r="BT91" s="265"/>
      <c r="BU91" s="265"/>
      <c r="BV91" s="265"/>
    </row>
    <row r="92">
      <c r="A92" s="251">
        <f>VLOOKUP($F92,UpdateHashtag!$V$3:$Y$32,COLUMN(B$15),0)</f>
        <v>4</v>
      </c>
      <c r="B92" s="252">
        <f>VLOOKUP($F92,UpdateHashtag!$V$3:$Y$32,COLUMN(C$13),0)</f>
        <v>2</v>
      </c>
      <c r="C92" s="252">
        <f>VLOOKUP($F92,UpdateHashtag!$V$3:$Y$32,COLUMN(D$13),0)</f>
        <v>4</v>
      </c>
      <c r="D92" s="268">
        <f t="shared" si="4"/>
        <v>10</v>
      </c>
      <c r="E92" s="19"/>
      <c r="F92" s="30" t="str">
        <f>IF(VLOOKUP(J92,PasteHashtag!$C$2:$P1015,3,)="BRO","BKN",IF(VLOOKUP(J92,PasteHashtag!$C$2:$P1015,3,)="OKL","OKC",VLOOKUP(J92,PasteHashtag!$C$2:$P1015,3,)))</f>
        <v>NO</v>
      </c>
      <c r="G92" s="269">
        <v>73.0</v>
      </c>
      <c r="H92" s="270">
        <f>IFERROR(__xludf.DUMMYFUNCTION("""COMPUTED_VALUE"""),88.0)</f>
        <v>88</v>
      </c>
      <c r="I92" s="270">
        <f>IFERROR(__xludf.DUMMYFUNCTION("""COMPUTED_VALUE"""),86.9)</f>
        <v>86.9</v>
      </c>
      <c r="J92" s="271" t="str">
        <f>IFERROR(__xludf.DUMMYFUNCTION("""COMPUTED_VALUE"""),"CJ McCollum")</f>
        <v>CJ McCollum</v>
      </c>
      <c r="K92" s="270">
        <f>IFERROR(__xludf.DUMMYFUNCTION("""COMPUTED_VALUE"""),68.0)</f>
        <v>68</v>
      </c>
      <c r="L92" s="272" t="str">
        <f>IFERROR(__xludf.DUMMYFUNCTION("""COMPUTED_VALUE"""),"SG,SF")</f>
        <v>SG,SF</v>
      </c>
      <c r="M92" s="273">
        <f>IFERROR(__xludf.DUMMYFUNCTION("""COMPUTED_VALUE"""),-0.6663066112985226)</f>
        <v>-0.6663066113</v>
      </c>
      <c r="N92" s="273">
        <f>IFERROR(__xludf.DUMMYFUNCTION("""COMPUTED_VALUE"""),-0.6916129450456142)</f>
        <v>-0.691612945</v>
      </c>
      <c r="O92" s="274">
        <f>IFERROR(__xludf.DUMMYFUNCTION("""COMPUTED_VALUE"""),-0.02530633374709157)</f>
        <v>-0.02530633375</v>
      </c>
      <c r="P92" s="275">
        <f>IFERROR(__xludf.DUMMYFUNCTION("""COMPUTED_VALUE"""),18.45455882)</f>
        <v>18.45455882</v>
      </c>
      <c r="Q92" s="275">
        <f>IFERROR(__xludf.DUMMYFUNCTION("""COMPUTED_VALUE"""),3.242205882)</f>
        <v>3.242205882</v>
      </c>
      <c r="R92" s="275">
        <f>IFERROR(__xludf.DUMMYFUNCTION("""COMPUTED_VALUE"""),4.356029412)</f>
        <v>4.356029412</v>
      </c>
      <c r="S92" s="276">
        <f>IFERROR(__xludf.DUMMYFUNCTION("""COMPUTED_VALUE"""),4.424117647)</f>
        <v>4.424117647</v>
      </c>
      <c r="T92" s="275">
        <f>IFERROR(__xludf.DUMMYFUNCTION("""COMPUTED_VALUE"""),0.8055882353)</f>
        <v>0.8055882353</v>
      </c>
      <c r="U92" s="275">
        <f>IFERROR(__xludf.DUMMYFUNCTION("""COMPUTED_VALUE"""),0.4808823529)</f>
        <v>0.4808823529</v>
      </c>
      <c r="V92" s="272">
        <f>IFERROR(__xludf.DUMMYFUNCTION("""COMPUTED_VALUE"""),0.4369886049)</f>
        <v>0.4369886049</v>
      </c>
      <c r="W92" s="272">
        <f>IFERROR(__xludf.DUMMYFUNCTION("""COMPUTED_VALUE"""),0.83299992)</f>
        <v>0.83299992</v>
      </c>
      <c r="X92" s="275">
        <f>IFERROR(__xludf.DUMMYFUNCTION("""COMPUTED_VALUE"""),1.646617647)</f>
        <v>1.646617647</v>
      </c>
      <c r="Y92" s="273">
        <f>IFERROR(__xludf.DUMMYFUNCTION("""COMPUTED_VALUE"""),0.17410750705513697)</f>
        <v>0.1741075071</v>
      </c>
      <c r="Z92" s="273">
        <f>IFERROR(__xludf.DUMMYFUNCTION("""COMPUTED_VALUE"""),1.4814841718637444)</f>
        <v>1.481484172</v>
      </c>
      <c r="AA92" s="273">
        <f>IFERROR(__xludf.DUMMYFUNCTION("""COMPUTED_VALUE"""),-0.6769424915715213)</f>
        <v>-0.6769424916</v>
      </c>
      <c r="AB92" s="273">
        <f>IFERROR(__xludf.DUMMYFUNCTION("""COMPUTED_VALUE"""),0.22288400760646465)</f>
        <v>0.2228840076</v>
      </c>
      <c r="AC92" s="273">
        <f>IFERROR(__xludf.DUMMYFUNCTION("""COMPUTED_VALUE"""),-0.5637755211437905)</f>
        <v>-0.5637755211</v>
      </c>
      <c r="AD92" s="273">
        <f>IFERROR(__xludf.DUMMYFUNCTION("""COMPUTED_VALUE"""),-0.47763290851568113)</f>
        <v>-0.4776329085</v>
      </c>
      <c r="AE92" s="273">
        <f>IFERROR(__xludf.DUMMYFUNCTION("""COMPUTED_VALUE"""),-1.0972051954830047)</f>
        <v>-1.097205195</v>
      </c>
      <c r="AF92" s="273">
        <f>IFERROR(__xludf.DUMMYFUNCTION("""COMPUTED_VALUE"""),0.24546748514303754)</f>
        <v>0.2454674851</v>
      </c>
      <c r="AG92" s="277">
        <f>IFERROR(__xludf.DUMMYFUNCTION("""COMPUTED_VALUE"""),0.0)</f>
        <v>0</v>
      </c>
      <c r="AH92" s="265"/>
      <c r="AI92" s="338"/>
      <c r="AJ92" s="339"/>
      <c r="AK92" s="265"/>
      <c r="AL92" s="265"/>
      <c r="AM92" s="265"/>
      <c r="AN92" s="265"/>
      <c r="AO92" s="265"/>
      <c r="AP92" s="265"/>
      <c r="AQ92" s="265"/>
      <c r="AR92" s="265"/>
      <c r="AS92" s="265"/>
      <c r="AT92" s="265"/>
      <c r="AU92" s="265"/>
      <c r="AV92" s="265"/>
      <c r="AW92" s="265"/>
      <c r="AX92" s="265"/>
      <c r="AY92" s="265"/>
      <c r="AZ92" s="265"/>
      <c r="BA92" s="265"/>
      <c r="BB92" s="265"/>
      <c r="BC92" s="265"/>
      <c r="BD92" s="265"/>
      <c r="BE92" s="265"/>
      <c r="BF92" s="265"/>
      <c r="BG92" s="265"/>
      <c r="BH92" s="265"/>
      <c r="BI92" s="265"/>
      <c r="BJ92" s="265"/>
      <c r="BK92" s="265"/>
      <c r="BL92" s="265"/>
      <c r="BM92" s="265"/>
      <c r="BN92" s="265"/>
      <c r="BO92" s="265"/>
      <c r="BP92" s="265"/>
      <c r="BQ92" s="265"/>
      <c r="BR92" s="265"/>
      <c r="BS92" s="265"/>
      <c r="BT92" s="265"/>
      <c r="BU92" s="265"/>
      <c r="BV92" s="265"/>
    </row>
    <row r="93">
      <c r="A93" s="251">
        <f>VLOOKUP($F93,UpdateHashtag!$V$3:$Y$32,COLUMN(B$15),0)</f>
        <v>4</v>
      </c>
      <c r="B93" s="252">
        <f>VLOOKUP($F93,UpdateHashtag!$V$3:$Y$32,COLUMN(C$13),0)</f>
        <v>4</v>
      </c>
      <c r="C93" s="252">
        <f>VLOOKUP($F93,UpdateHashtag!$V$3:$Y$32,COLUMN(D$13),0)</f>
        <v>3</v>
      </c>
      <c r="D93" s="268">
        <f t="shared" si="4"/>
        <v>11</v>
      </c>
      <c r="E93" s="19"/>
      <c r="F93" s="30" t="str">
        <f>IF(VLOOKUP(J93,PasteHashtag!$C$2:$P1015,3,)="BRO","BKN",IF(VLOOKUP(J93,PasteHashtag!$C$2:$P1015,3,)="OKL","OKC",VLOOKUP(J93,PasteHashtag!$C$2:$P1015,3,)))</f>
        <v>MIL</v>
      </c>
      <c r="G93" s="269">
        <v>74.0</v>
      </c>
      <c r="H93" s="270">
        <f>IFERROR(__xludf.DUMMYFUNCTION("""COMPUTED_VALUE"""),78.0)</f>
        <v>78</v>
      </c>
      <c r="I93" s="270">
        <f>IFERROR(__xludf.DUMMYFUNCTION("""COMPUTED_VALUE"""),111.1)</f>
        <v>111.1</v>
      </c>
      <c r="J93" s="271" t="str">
        <f>IFERROR(__xludf.DUMMYFUNCTION("""COMPUTED_VALUE"""),"Khris Middleton")</f>
        <v>Khris Middleton</v>
      </c>
      <c r="K93" s="270">
        <f>IFERROR(__xludf.DUMMYFUNCTION("""COMPUTED_VALUE"""),73.0)</f>
        <v>73</v>
      </c>
      <c r="L93" s="272" t="str">
        <f>IFERROR(__xludf.DUMMYFUNCTION("""COMPUTED_VALUE"""),"PF")</f>
        <v>PF</v>
      </c>
      <c r="M93" s="273">
        <f>IFERROR(__xludf.DUMMYFUNCTION("""COMPUTED_VALUE"""),-0.8670174126053564)</f>
        <v>-0.8670174126</v>
      </c>
      <c r="N93" s="273">
        <f>IFERROR(__xludf.DUMMYFUNCTION("""COMPUTED_VALUE"""),-0.6933985643215985)</f>
        <v>-0.6933985643</v>
      </c>
      <c r="O93" s="274">
        <f>IFERROR(__xludf.DUMMYFUNCTION("""COMPUTED_VALUE"""),0.17361884828375784)</f>
        <v>0.1736188483</v>
      </c>
      <c r="P93" s="275">
        <f>IFERROR(__xludf.DUMMYFUNCTION("""COMPUTED_VALUE"""),15.0487931)</f>
        <v>15.0487931</v>
      </c>
      <c r="Q93" s="275">
        <f>IFERROR(__xludf.DUMMYFUNCTION("""COMPUTED_VALUE"""),1.715344828)</f>
        <v>1.715344828</v>
      </c>
      <c r="R93" s="275">
        <f>IFERROR(__xludf.DUMMYFUNCTION("""COMPUTED_VALUE"""),5.073793103)</f>
        <v>5.073793103</v>
      </c>
      <c r="S93" s="276">
        <f>IFERROR(__xludf.DUMMYFUNCTION("""COMPUTED_VALUE"""),5.816206897)</f>
        <v>5.816206897</v>
      </c>
      <c r="T93" s="275">
        <f>IFERROR(__xludf.DUMMYFUNCTION("""COMPUTED_VALUE"""),0.9456896552)</f>
        <v>0.9456896552</v>
      </c>
      <c r="U93" s="275">
        <f>IFERROR(__xludf.DUMMYFUNCTION("""COMPUTED_VALUE"""),0.3055172414)</f>
        <v>0.3055172414</v>
      </c>
      <c r="V93" s="272">
        <f>IFERROR(__xludf.DUMMYFUNCTION("""COMPUTED_VALUE"""),0.4775616836)</f>
        <v>0.4775616836</v>
      </c>
      <c r="W93" s="272">
        <f>IFERROR(__xludf.DUMMYFUNCTION("""COMPUTED_VALUE"""),0.8540308239)</f>
        <v>0.8540308239</v>
      </c>
      <c r="X93" s="275">
        <f>IFERROR(__xludf.DUMMYFUNCTION("""COMPUTED_VALUE"""),2.448793103)</f>
        <v>2.448793103</v>
      </c>
      <c r="Y93" s="273">
        <f>IFERROR(__xludf.DUMMYFUNCTION("""COMPUTED_VALUE"""),-0.4398009682095908)</f>
        <v>-0.4398009682</v>
      </c>
      <c r="Z93" s="273">
        <f>IFERROR(__xludf.DUMMYFUNCTION("""COMPUTED_VALUE"""),-0.03305288274673507)</f>
        <v>-0.03305288275</v>
      </c>
      <c r="AA93" s="273">
        <f>IFERROR(__xludf.DUMMYFUNCTION("""COMPUTED_VALUE"""),-0.39564587935168083)</f>
        <v>-0.3956458794</v>
      </c>
      <c r="AB93" s="273">
        <f>IFERROR(__xludf.DUMMYFUNCTION("""COMPUTED_VALUE"""),0.8550852054560986)</f>
        <v>0.8550852055</v>
      </c>
      <c r="AC93" s="273">
        <f>IFERROR(__xludf.DUMMYFUNCTION("""COMPUTED_VALUE"""),-0.10027611923243991)</f>
        <v>-0.1002761192</v>
      </c>
      <c r="AD93" s="273">
        <f>IFERROR(__xludf.DUMMYFUNCTION("""COMPUTED_VALUE"""),-0.7904225080248811)</f>
        <v>-0.790422508</v>
      </c>
      <c r="AE93" s="273">
        <f>IFERROR(__xludf.DUMMYFUNCTION("""COMPUTED_VALUE"""),-0.27199836752805545)</f>
        <v>-0.2719983675</v>
      </c>
      <c r="AF93" s="273">
        <f>IFERROR(__xludf.DUMMYFUNCTION("""COMPUTED_VALUE"""),0.4827129553156861)</f>
        <v>0.4827129553</v>
      </c>
      <c r="AG93" s="277">
        <f>IFERROR(__xludf.DUMMYFUNCTION("""COMPUTED_VALUE"""),0.0)</f>
        <v>0</v>
      </c>
      <c r="AH93" s="265"/>
      <c r="AI93" s="338"/>
      <c r="AJ93" s="339"/>
      <c r="AK93" s="265"/>
      <c r="AL93" s="265"/>
      <c r="AM93" s="265"/>
      <c r="AN93" s="265"/>
      <c r="AO93" s="265"/>
      <c r="AP93" s="265"/>
      <c r="AQ93" s="265"/>
      <c r="AR93" s="265"/>
      <c r="AS93" s="265"/>
      <c r="AT93" s="265"/>
      <c r="AU93" s="265"/>
      <c r="AV93" s="265"/>
      <c r="AW93" s="265"/>
      <c r="AX93" s="265"/>
      <c r="AY93" s="265"/>
      <c r="AZ93" s="265"/>
      <c r="BA93" s="265"/>
      <c r="BB93" s="265"/>
      <c r="BC93" s="265"/>
      <c r="BD93" s="265"/>
      <c r="BE93" s="265"/>
      <c r="BF93" s="265"/>
      <c r="BG93" s="265"/>
      <c r="BH93" s="265"/>
      <c r="BI93" s="265"/>
      <c r="BJ93" s="265"/>
      <c r="BK93" s="265"/>
      <c r="BL93" s="265"/>
      <c r="BM93" s="265"/>
      <c r="BN93" s="265"/>
      <c r="BO93" s="265"/>
      <c r="BP93" s="265"/>
      <c r="BQ93" s="265"/>
      <c r="BR93" s="265"/>
      <c r="BS93" s="265"/>
      <c r="BT93" s="265"/>
      <c r="BU93" s="265"/>
      <c r="BV93" s="265"/>
    </row>
    <row r="94">
      <c r="A94" s="251">
        <f>VLOOKUP($F94,UpdateHashtag!$V$3:$Y$32,COLUMN(B$15),0)</f>
        <v>4</v>
      </c>
      <c r="B94" s="252">
        <f>VLOOKUP($F94,UpdateHashtag!$V$3:$Y$32,COLUMN(C$13),0)</f>
        <v>3</v>
      </c>
      <c r="C94" s="252">
        <f>VLOOKUP($F94,UpdateHashtag!$V$3:$Y$32,COLUMN(D$13),0)</f>
        <v>3</v>
      </c>
      <c r="D94" s="268">
        <f t="shared" si="4"/>
        <v>10</v>
      </c>
      <c r="E94" s="19"/>
      <c r="F94" s="30" t="str">
        <f>IF(VLOOKUP(J94,PasteHashtag!$C$2:$P1015,3,)="BRO","BKN",IF(VLOOKUP(J94,PasteHashtag!$C$2:$P1015,3,)="OKL","OKC",VLOOKUP(J94,PasteHashtag!$C$2:$P1015,3,)))</f>
        <v>MIN</v>
      </c>
      <c r="G94" s="269">
        <v>75.0</v>
      </c>
      <c r="H94" s="270">
        <f>IFERROR(__xludf.DUMMYFUNCTION("""COMPUTED_VALUE"""),77.0)</f>
        <v>77</v>
      </c>
      <c r="I94" s="270">
        <f>IFERROR(__xludf.DUMMYFUNCTION("""COMPUTED_VALUE"""),63.6)</f>
        <v>63.6</v>
      </c>
      <c r="J94" s="271" t="str">
        <f>IFERROR(__xludf.DUMMYFUNCTION("""COMPUTED_VALUE"""),"Julius Randle")</f>
        <v>Julius Randle</v>
      </c>
      <c r="K94" s="270">
        <f>IFERROR(__xludf.DUMMYFUNCTION("""COMPUTED_VALUE"""),69.0)</f>
        <v>69</v>
      </c>
      <c r="L94" s="272" t="str">
        <f>IFERROR(__xludf.DUMMYFUNCTION("""COMPUTED_VALUE"""),"SF,PF")</f>
        <v>SF,PF</v>
      </c>
      <c r="M94" s="273">
        <f>IFERROR(__xludf.DUMMYFUNCTION("""COMPUTED_VALUE"""),-1.021910600385727)</f>
        <v>-1.0219106</v>
      </c>
      <c r="N94" s="273">
        <f>IFERROR(__xludf.DUMMYFUNCTION("""COMPUTED_VALUE"""),-0.6981456114535507)</f>
        <v>-0.6981456115</v>
      </c>
      <c r="O94" s="274">
        <f>IFERROR(__xludf.DUMMYFUNCTION("""COMPUTED_VALUE"""),0.3237649889321763)</f>
        <v>0.3237649889</v>
      </c>
      <c r="P94" s="275">
        <f>IFERROR(__xludf.DUMMYFUNCTION("""COMPUTED_VALUE"""),22.09382353)</f>
        <v>22.09382353</v>
      </c>
      <c r="Q94" s="275">
        <f>IFERROR(__xludf.DUMMYFUNCTION("""COMPUTED_VALUE"""),1.700882353)</f>
        <v>1.700882353</v>
      </c>
      <c r="R94" s="275">
        <f>IFERROR(__xludf.DUMMYFUNCTION("""COMPUTED_VALUE"""),8.954705882)</f>
        <v>8.954705882</v>
      </c>
      <c r="S94" s="276">
        <f>IFERROR(__xludf.DUMMYFUNCTION("""COMPUTED_VALUE"""),4.581470588)</f>
        <v>4.581470588</v>
      </c>
      <c r="T94" s="275">
        <f>IFERROR(__xludf.DUMMYFUNCTION("""COMPUTED_VALUE"""),0.4848529412)</f>
        <v>0.4848529412</v>
      </c>
      <c r="U94" s="275">
        <f>IFERROR(__xludf.DUMMYFUNCTION("""COMPUTED_VALUE"""),0.2780882353)</f>
        <v>0.2780882353</v>
      </c>
      <c r="V94" s="272">
        <f>IFERROR(__xludf.DUMMYFUNCTION("""COMPUTED_VALUE"""),0.482485659)</f>
        <v>0.482485659</v>
      </c>
      <c r="W94" s="272">
        <f>IFERROR(__xludf.DUMMYFUNCTION("""COMPUTED_VALUE"""),0.786995894)</f>
        <v>0.786995894</v>
      </c>
      <c r="X94" s="275">
        <f>IFERROR(__xludf.DUMMYFUNCTION("""COMPUTED_VALUE"""),3.054264706)</f>
        <v>3.054264706</v>
      </c>
      <c r="Y94" s="273">
        <f>IFERROR(__xludf.DUMMYFUNCTION("""COMPUTED_VALUE"""),0.8301054919079628)</f>
        <v>0.8301054919</v>
      </c>
      <c r="Z94" s="273">
        <f>IFERROR(__xludf.DUMMYFUNCTION("""COMPUTED_VALUE"""),-0.04739862444438007)</f>
        <v>-0.04739862444</v>
      </c>
      <c r="AA94" s="273">
        <f>IFERROR(__xludf.DUMMYFUNCTION("""COMPUTED_VALUE"""),1.1253109909135592)</f>
        <v>1.125310991</v>
      </c>
      <c r="AB94" s="273">
        <f>IFERROR(__xludf.DUMMYFUNCTION("""COMPUTED_VALUE"""),0.29434402195925335)</f>
        <v>0.294344022</v>
      </c>
      <c r="AC94" s="273">
        <f>IFERROR(__xludf.DUMMYFUNCTION("""COMPUTED_VALUE"""),-1.6248683858222528)</f>
        <v>-1.624868386</v>
      </c>
      <c r="AD94" s="273">
        <f>IFERROR(__xludf.DUMMYFUNCTION("""COMPUTED_VALUE"""),-0.8393461950659857)</f>
        <v>-0.8393461951</v>
      </c>
      <c r="AE94" s="273">
        <f>IFERROR(__xludf.DUMMYFUNCTION("""COMPUTED_VALUE"""),-0.28962313636933823)</f>
        <v>-0.2896231364</v>
      </c>
      <c r="AF94" s="273">
        <f>IFERROR(__xludf.DUMMYFUNCTION("""COMPUTED_VALUE"""),-0.1466697745323691)</f>
        <v>-0.1466697745</v>
      </c>
      <c r="AG94" s="277">
        <f>IFERROR(__xludf.DUMMYFUNCTION("""COMPUTED_VALUE"""),0.0)</f>
        <v>0</v>
      </c>
      <c r="AH94" s="265"/>
      <c r="AI94" s="338"/>
      <c r="AJ94" s="339"/>
      <c r="AK94" s="265"/>
      <c r="AL94" s="265"/>
      <c r="AM94" s="265"/>
      <c r="AN94" s="265"/>
      <c r="AO94" s="265"/>
      <c r="AP94" s="265"/>
      <c r="AQ94" s="265"/>
      <c r="AR94" s="265"/>
      <c r="AS94" s="265"/>
      <c r="AT94" s="265"/>
      <c r="AU94" s="265"/>
      <c r="AV94" s="265"/>
      <c r="AW94" s="265"/>
      <c r="AX94" s="265"/>
      <c r="AY94" s="265"/>
      <c r="AZ94" s="265"/>
      <c r="BA94" s="265"/>
      <c r="BB94" s="265"/>
      <c r="BC94" s="265"/>
      <c r="BD94" s="265"/>
      <c r="BE94" s="265"/>
      <c r="BF94" s="265"/>
      <c r="BG94" s="265"/>
      <c r="BH94" s="265"/>
      <c r="BI94" s="265"/>
      <c r="BJ94" s="265"/>
      <c r="BK94" s="265"/>
      <c r="BL94" s="265"/>
      <c r="BM94" s="265"/>
      <c r="BN94" s="265"/>
      <c r="BO94" s="265"/>
      <c r="BP94" s="265"/>
      <c r="BQ94" s="265"/>
      <c r="BR94" s="265"/>
      <c r="BS94" s="265"/>
      <c r="BT94" s="265"/>
      <c r="BU94" s="265"/>
      <c r="BV94" s="265"/>
    </row>
    <row r="95">
      <c r="A95" s="251">
        <f>VLOOKUP($F95,UpdateHashtag!$V$3:$Y$32,COLUMN(B$15),0)</f>
        <v>3</v>
      </c>
      <c r="B95" s="252">
        <f>VLOOKUP($F95,UpdateHashtag!$V$3:$Y$32,COLUMN(C$13),0)</f>
        <v>4</v>
      </c>
      <c r="C95" s="252">
        <f>VLOOKUP($F95,UpdateHashtag!$V$3:$Y$32,COLUMN(D$13),0)</f>
        <v>4</v>
      </c>
      <c r="D95" s="268">
        <f t="shared" si="4"/>
        <v>11</v>
      </c>
      <c r="E95" s="19"/>
      <c r="F95" s="30" t="str">
        <f>IF(VLOOKUP(J95,PasteHashtag!$C$2:$P1015,3,)="BRO","BKN",IF(VLOOKUP(J95,PasteHashtag!$C$2:$P1015,3,)="OKL","OKC",VLOOKUP(J95,PasteHashtag!$C$2:$P1015,3,)))</f>
        <v>IND</v>
      </c>
      <c r="G95" s="269">
        <v>76.0</v>
      </c>
      <c r="H95" s="270">
        <f>IFERROR(__xludf.DUMMYFUNCTION("""COMPUTED_VALUE"""),72.0)</f>
        <v>72</v>
      </c>
      <c r="I95" s="270">
        <f>IFERROR(__xludf.DUMMYFUNCTION("""COMPUTED_VALUE"""),48.3)</f>
        <v>48.3</v>
      </c>
      <c r="J95" s="271" t="str">
        <f>IFERROR(__xludf.DUMMYFUNCTION("""COMPUTED_VALUE"""),"Pascal Siakam")</f>
        <v>Pascal Siakam</v>
      </c>
      <c r="K95" s="270">
        <f>IFERROR(__xludf.DUMMYFUNCTION("""COMPUTED_VALUE"""),73.0)</f>
        <v>73</v>
      </c>
      <c r="L95" s="272" t="str">
        <f>IFERROR(__xludf.DUMMYFUNCTION("""COMPUTED_VALUE"""),"PG,SG")</f>
        <v>PG,SG</v>
      </c>
      <c r="M95" s="273">
        <f>IFERROR(__xludf.DUMMYFUNCTION("""COMPUTED_VALUE"""),-0.6754504293201735)</f>
        <v>-0.6754504293</v>
      </c>
      <c r="N95" s="273">
        <f>IFERROR(__xludf.DUMMYFUNCTION("""COMPUTED_VALUE"""),-0.7578710851076698)</f>
        <v>-0.7578710851</v>
      </c>
      <c r="O95" s="274">
        <f>IFERROR(__xludf.DUMMYFUNCTION("""COMPUTED_VALUE"""),-0.08242065578749624)</f>
        <v>-0.08242065579</v>
      </c>
      <c r="P95" s="275">
        <f>IFERROR(__xludf.DUMMYFUNCTION("""COMPUTED_VALUE"""),22.94424658)</f>
        <v>22.94424658</v>
      </c>
      <c r="Q95" s="275">
        <f>IFERROR(__xludf.DUMMYFUNCTION("""COMPUTED_VALUE"""),0.8468493151)</f>
        <v>0.8468493151</v>
      </c>
      <c r="R95" s="275">
        <f>IFERROR(__xludf.DUMMYFUNCTION("""COMPUTED_VALUE"""),8.07260274)</f>
        <v>8.07260274</v>
      </c>
      <c r="S95" s="276">
        <f>IFERROR(__xludf.DUMMYFUNCTION("""COMPUTED_VALUE"""),3.399041096)</f>
        <v>3.399041096</v>
      </c>
      <c r="T95" s="275">
        <f>IFERROR(__xludf.DUMMYFUNCTION("""COMPUTED_VALUE"""),0.8612328767)</f>
        <v>0.8612328767</v>
      </c>
      <c r="U95" s="275">
        <f>IFERROR(__xludf.DUMMYFUNCTION("""COMPUTED_VALUE"""),0.4209589041)</f>
        <v>0.4209589041</v>
      </c>
      <c r="V95" s="272">
        <f>IFERROR(__xludf.DUMMYFUNCTION("""COMPUTED_VALUE"""),0.5370361488)</f>
        <v>0.5370361488</v>
      </c>
      <c r="W95" s="272">
        <f>IFERROR(__xludf.DUMMYFUNCTION("""COMPUTED_VALUE"""),0.7270103315)</f>
        <v>0.7270103315</v>
      </c>
      <c r="X95" s="275">
        <f>IFERROR(__xludf.DUMMYFUNCTION("""COMPUTED_VALUE"""),1.41630137)</f>
        <v>1.41630137</v>
      </c>
      <c r="Y95" s="273">
        <f>IFERROR(__xludf.DUMMYFUNCTION("""COMPUTED_VALUE"""),0.9833990419867625)</f>
        <v>0.983399042</v>
      </c>
      <c r="Z95" s="273">
        <f>IFERROR(__xludf.DUMMYFUNCTION("""COMPUTED_VALUE"""),-0.894538368019964)</f>
        <v>-0.894538368</v>
      </c>
      <c r="AA95" s="273">
        <f>IFERROR(__xludf.DUMMYFUNCTION("""COMPUTED_VALUE"""),0.7796085980725749)</f>
        <v>0.7796085981</v>
      </c>
      <c r="AB95" s="273">
        <f>IFERROR(__xludf.DUMMYFUNCTION("""COMPUTED_VALUE"""),-0.24264262686023466)</f>
        <v>-0.2426426269</v>
      </c>
      <c r="AC95" s="273">
        <f>IFERROR(__xludf.DUMMYFUNCTION("""COMPUTED_VALUE"""),-0.37968560951491065)</f>
        <v>-0.3796856095</v>
      </c>
      <c r="AD95" s="273">
        <f>IFERROR(__xludf.DUMMYFUNCTION("""COMPUTED_VALUE"""),-0.5845152375664174)</f>
        <v>-0.5845152376</v>
      </c>
      <c r="AE95" s="273">
        <f>IFERROR(__xludf.DUMMYFUNCTION("""COMPUTED_VALUE"""),0.7930890068385853)</f>
        <v>0.7930890068</v>
      </c>
      <c r="AF95" s="273">
        <f>IFERROR(__xludf.DUMMYFUNCTION("""COMPUTED_VALUE"""),-1.2125858900440658)</f>
        <v>-1.21258589</v>
      </c>
      <c r="AG95" s="277">
        <f>IFERROR(__xludf.DUMMYFUNCTION("""COMPUTED_VALUE"""),0.0)</f>
        <v>0</v>
      </c>
      <c r="AH95" s="265"/>
      <c r="AI95" s="338"/>
      <c r="AJ95" s="339"/>
      <c r="AK95" s="265"/>
      <c r="AL95" s="265"/>
      <c r="AM95" s="265"/>
      <c r="AN95" s="265"/>
      <c r="AO95" s="265"/>
      <c r="AP95" s="265"/>
      <c r="AQ95" s="265"/>
      <c r="AR95" s="265"/>
      <c r="AS95" s="265"/>
      <c r="AT95" s="265"/>
      <c r="AU95" s="265"/>
      <c r="AV95" s="265"/>
      <c r="AW95" s="265"/>
      <c r="AX95" s="265"/>
      <c r="AY95" s="265"/>
      <c r="AZ95" s="265"/>
      <c r="BA95" s="265"/>
      <c r="BB95" s="265"/>
      <c r="BC95" s="265"/>
      <c r="BD95" s="265"/>
      <c r="BE95" s="265"/>
      <c r="BF95" s="265"/>
      <c r="BG95" s="265"/>
      <c r="BH95" s="265"/>
      <c r="BI95" s="265"/>
      <c r="BJ95" s="265"/>
      <c r="BK95" s="265"/>
      <c r="BL95" s="265"/>
      <c r="BM95" s="265"/>
      <c r="BN95" s="265"/>
      <c r="BO95" s="265"/>
      <c r="BP95" s="265"/>
      <c r="BQ95" s="265"/>
      <c r="BR95" s="265"/>
      <c r="BS95" s="265"/>
      <c r="BT95" s="265"/>
      <c r="BU95" s="265"/>
      <c r="BV95" s="265"/>
    </row>
    <row r="96">
      <c r="A96" s="251">
        <f>VLOOKUP($F96,UpdateHashtag!$V$3:$Y$32,COLUMN(B$15),0)</f>
        <v>4</v>
      </c>
      <c r="B96" s="252">
        <f>VLOOKUP($F96,UpdateHashtag!$V$3:$Y$32,COLUMN(C$13),0)</f>
        <v>3</v>
      </c>
      <c r="C96" s="252">
        <f>VLOOKUP($F96,UpdateHashtag!$V$3:$Y$32,COLUMN(D$13),0)</f>
        <v>4</v>
      </c>
      <c r="D96" s="268">
        <f t="shared" si="4"/>
        <v>11</v>
      </c>
      <c r="E96" s="19"/>
      <c r="F96" s="30" t="str">
        <f>IF(VLOOKUP(J96,PasteHashtag!$C$2:$P1015,3,)="BRO","BKN",IF(VLOOKUP(J96,PasteHashtag!$C$2:$P1015,3,)="OKL","OKC",VLOOKUP(J96,PasteHashtag!$C$2:$P1015,3,)))</f>
        <v>SAC</v>
      </c>
      <c r="G96" s="269">
        <v>77.0</v>
      </c>
      <c r="H96" s="270">
        <f>IFERROR(__xludf.DUMMYFUNCTION("""COMPUTED_VALUE"""),89.0)</f>
        <v>89</v>
      </c>
      <c r="I96" s="270">
        <f>IFERROR(__xludf.DUMMYFUNCTION("""COMPUTED_VALUE"""),81.0)</f>
        <v>81</v>
      </c>
      <c r="J96" s="271" t="str">
        <f>IFERROR(__xludf.DUMMYFUNCTION("""COMPUTED_VALUE"""),"Keegan Murray")</f>
        <v>Keegan Murray</v>
      </c>
      <c r="K96" s="270">
        <f>IFERROR(__xludf.DUMMYFUNCTION("""COMPUTED_VALUE"""),76.0)</f>
        <v>76</v>
      </c>
      <c r="L96" s="272" t="str">
        <f>IFERROR(__xludf.DUMMYFUNCTION("""COMPUTED_VALUE"""),"SF,PF")</f>
        <v>SF,PF</v>
      </c>
      <c r="M96" s="273">
        <f>IFERROR(__xludf.DUMMYFUNCTION("""COMPUTED_VALUE"""),-0.5901041227301831)</f>
        <v>-0.5901041227</v>
      </c>
      <c r="N96" s="273">
        <f>IFERROR(__xludf.DUMMYFUNCTION("""COMPUTED_VALUE"""),-0.804777211264625)</f>
        <v>-0.8047772113</v>
      </c>
      <c r="O96" s="274">
        <f>IFERROR(__xludf.DUMMYFUNCTION("""COMPUTED_VALUE"""),-0.2146730885344419)</f>
        <v>-0.2146730885</v>
      </c>
      <c r="P96" s="275">
        <f>IFERROR(__xludf.DUMMYFUNCTION("""COMPUTED_VALUE"""),14.94246753)</f>
        <v>14.94246753</v>
      </c>
      <c r="Q96" s="275">
        <f>IFERROR(__xludf.DUMMYFUNCTION("""COMPUTED_VALUE"""),2.654935065)</f>
        <v>2.654935065</v>
      </c>
      <c r="R96" s="275">
        <f>IFERROR(__xludf.DUMMYFUNCTION("""COMPUTED_VALUE"""),6.628181818)</f>
        <v>6.628181818</v>
      </c>
      <c r="S96" s="276">
        <f>IFERROR(__xludf.DUMMYFUNCTION("""COMPUTED_VALUE"""),1.546623377)</f>
        <v>1.546623377</v>
      </c>
      <c r="T96" s="275">
        <f>IFERROR(__xludf.DUMMYFUNCTION("""COMPUTED_VALUE"""),0.9588311688)</f>
        <v>0.9588311688</v>
      </c>
      <c r="U96" s="275">
        <f>IFERROR(__xludf.DUMMYFUNCTION("""COMPUTED_VALUE"""),0.8828571429)</f>
        <v>0.8828571429</v>
      </c>
      <c r="V96" s="272">
        <f>IFERROR(__xludf.DUMMYFUNCTION("""COMPUTED_VALUE"""),0.4471965635)</f>
        <v>0.4471965635</v>
      </c>
      <c r="W96" s="272">
        <f>IFERROR(__xludf.DUMMYFUNCTION("""COMPUTED_VALUE"""),0.8400546822)</f>
        <v>0.8400546822</v>
      </c>
      <c r="X96" s="275">
        <f>IFERROR(__xludf.DUMMYFUNCTION("""COMPUTED_VALUE"""),0.882987013)</f>
        <v>0.882987013</v>
      </c>
      <c r="Y96" s="273">
        <f>IFERROR(__xludf.DUMMYFUNCTION("""COMPUTED_VALUE"""),-0.45896675174456414)</f>
        <v>-0.4589667517</v>
      </c>
      <c r="Z96" s="273">
        <f>IFERROR(__xludf.DUMMYFUNCTION("""COMPUTED_VALUE"""),0.8989534883364207)</f>
        <v>0.8989534883</v>
      </c>
      <c r="AA96" s="273">
        <f>IFERROR(__xludf.DUMMYFUNCTION("""COMPUTED_VALUE"""),0.2135299330846872)</f>
        <v>0.2135299331</v>
      </c>
      <c r="AB96" s="273">
        <f>IFERROR(__xludf.DUMMYFUNCTION("""COMPUTED_VALUE"""),-1.0838966634600338)</f>
        <v>-1.083896663</v>
      </c>
      <c r="AC96" s="273">
        <f>IFERROR(__xludf.DUMMYFUNCTION("""COMPUTED_VALUE"""),-0.05679987396556487)</f>
        <v>-0.05679987397</v>
      </c>
      <c r="AD96" s="273">
        <f>IFERROR(__xludf.DUMMYFUNCTION("""COMPUTED_VALUE"""),0.2393485509172847)</f>
        <v>0.2393485509</v>
      </c>
      <c r="AE96" s="273">
        <f>IFERROR(__xludf.DUMMYFUNCTION("""COMPUTED_VALUE"""),-0.7374651118223421)</f>
        <v>-0.7374651118</v>
      </c>
      <c r="AF96" s="273">
        <f>IFERROR(__xludf.DUMMYFUNCTION("""COMPUTED_VALUE"""),0.18051921738948734)</f>
        <v>0.1805192174</v>
      </c>
      <c r="AG96" s="277">
        <f>IFERROR(__xludf.DUMMYFUNCTION("""COMPUTED_VALUE"""),0.0)</f>
        <v>0</v>
      </c>
      <c r="AH96" s="265"/>
      <c r="AI96" s="338"/>
      <c r="AJ96" s="339"/>
      <c r="AK96" s="265"/>
      <c r="AL96" s="265"/>
      <c r="AM96" s="265"/>
      <c r="AN96" s="265"/>
      <c r="AO96" s="265"/>
      <c r="AP96" s="265"/>
      <c r="AQ96" s="265"/>
      <c r="AR96" s="265"/>
      <c r="AS96" s="265"/>
      <c r="AT96" s="265"/>
      <c r="AU96" s="265"/>
      <c r="AV96" s="265"/>
      <c r="AW96" s="265"/>
      <c r="AX96" s="265"/>
      <c r="AY96" s="265"/>
      <c r="AZ96" s="265"/>
      <c r="BA96" s="265"/>
      <c r="BB96" s="265"/>
      <c r="BC96" s="265"/>
      <c r="BD96" s="265"/>
      <c r="BE96" s="265"/>
      <c r="BF96" s="265"/>
      <c r="BG96" s="265"/>
      <c r="BH96" s="265"/>
      <c r="BI96" s="265"/>
      <c r="BJ96" s="265"/>
      <c r="BK96" s="265"/>
      <c r="BL96" s="265"/>
      <c r="BM96" s="265"/>
      <c r="BN96" s="265"/>
      <c r="BO96" s="265"/>
      <c r="BP96" s="265"/>
      <c r="BQ96" s="265"/>
      <c r="BR96" s="265"/>
      <c r="BS96" s="265"/>
      <c r="BT96" s="265"/>
      <c r="BU96" s="265"/>
      <c r="BV96" s="265"/>
    </row>
    <row r="97">
      <c r="A97" s="251">
        <f>VLOOKUP($F97,UpdateHashtag!$V$3:$Y$32,COLUMN(B$15),0)</f>
        <v>3</v>
      </c>
      <c r="B97" s="252">
        <f>VLOOKUP($F97,UpdateHashtag!$V$3:$Y$32,COLUMN(C$13),0)</f>
        <v>4</v>
      </c>
      <c r="C97" s="252">
        <f>VLOOKUP($F97,UpdateHashtag!$V$3:$Y$32,COLUMN(D$13),0)</f>
        <v>3</v>
      </c>
      <c r="D97" s="268">
        <f t="shared" si="4"/>
        <v>10</v>
      </c>
      <c r="E97" s="19"/>
      <c r="F97" s="30" t="str">
        <f>IF(VLOOKUP(J97,PasteHashtag!$C$2:$P1015,3,)="BRO","BKN",IF(VLOOKUP(J97,PasteHashtag!$C$2:$P1015,3,)="OKL","OKC",VLOOKUP(J97,PasteHashtag!$C$2:$P1015,3,)))</f>
        <v>LAL</v>
      </c>
      <c r="G97" s="269">
        <v>78.0</v>
      </c>
      <c r="H97" s="270">
        <f>IFERROR(__xludf.DUMMYFUNCTION("""COMPUTED_VALUE"""),81.0)</f>
        <v>81</v>
      </c>
      <c r="I97" s="270">
        <f>IFERROR(__xludf.DUMMYFUNCTION("""COMPUTED_VALUE"""),87.2)</f>
        <v>87.2</v>
      </c>
      <c r="J97" s="271" t="str">
        <f>IFERROR(__xludf.DUMMYFUNCTION("""COMPUTED_VALUE"""),"Austin Reaves")</f>
        <v>Austin Reaves</v>
      </c>
      <c r="K97" s="270">
        <f>IFERROR(__xludf.DUMMYFUNCTION("""COMPUTED_VALUE"""),70.0)</f>
        <v>70</v>
      </c>
      <c r="L97" s="272" t="str">
        <f>IFERROR(__xludf.DUMMYFUNCTION("""COMPUTED_VALUE"""),"SG,SF")</f>
        <v>SG,SF</v>
      </c>
      <c r="M97" s="273">
        <f>IFERROR(__xludf.DUMMYFUNCTION("""COMPUTED_VALUE"""),-0.9422812906353915)</f>
        <v>-0.9422812906</v>
      </c>
      <c r="N97" s="273">
        <f>IFERROR(__xludf.DUMMYFUNCTION("""COMPUTED_VALUE"""),-0.8524516409486219)</f>
        <v>-0.8524516409</v>
      </c>
      <c r="O97" s="274">
        <f>IFERROR(__xludf.DUMMYFUNCTION("""COMPUTED_VALUE"""),0.08982964968676954)</f>
        <v>0.08982964969</v>
      </c>
      <c r="P97" s="275">
        <f>IFERROR(__xludf.DUMMYFUNCTION("""COMPUTED_VALUE"""),16.56701299)</f>
        <v>16.56701299</v>
      </c>
      <c r="Q97" s="275">
        <f>IFERROR(__xludf.DUMMYFUNCTION("""COMPUTED_VALUE"""),2.255714286)</f>
        <v>2.255714286</v>
      </c>
      <c r="R97" s="275">
        <f>IFERROR(__xludf.DUMMYFUNCTION("""COMPUTED_VALUE"""),4.558181818)</f>
        <v>4.558181818</v>
      </c>
      <c r="S97" s="276">
        <f>IFERROR(__xludf.DUMMYFUNCTION("""COMPUTED_VALUE"""),5.39961039)</f>
        <v>5.39961039</v>
      </c>
      <c r="T97" s="275">
        <f>IFERROR(__xludf.DUMMYFUNCTION("""COMPUTED_VALUE"""),0.6971428571)</f>
        <v>0.6971428571</v>
      </c>
      <c r="U97" s="275">
        <f>IFERROR(__xludf.DUMMYFUNCTION("""COMPUTED_VALUE"""),0.4224675325)</f>
        <v>0.4224675325</v>
      </c>
      <c r="V97" s="272">
        <f>IFERROR(__xludf.DUMMYFUNCTION("""COMPUTED_VALUE"""),0.4831642746)</f>
        <v>0.4831642746</v>
      </c>
      <c r="W97" s="272">
        <f>IFERROR(__xludf.DUMMYFUNCTION("""COMPUTED_VALUE"""),0.84001281)</f>
        <v>0.84001281</v>
      </c>
      <c r="X97" s="275">
        <f>IFERROR(__xludf.DUMMYFUNCTION("""COMPUTED_VALUE"""),2.110909091)</f>
        <v>2.110909091</v>
      </c>
      <c r="Y97" s="273">
        <f>IFERROR(__xludf.DUMMYFUNCTION("""COMPUTED_VALUE"""),-0.16613327218660004)</f>
        <v>-0.1661332722</v>
      </c>
      <c r="Z97" s="273">
        <f>IFERROR(__xludf.DUMMYFUNCTION("""COMPUTED_VALUE"""),0.502955004268753)</f>
        <v>0.5029550043</v>
      </c>
      <c r="AA97" s="273">
        <f>IFERROR(__xludf.DUMMYFUNCTION("""COMPUTED_VALUE"""),-0.5977175493336868)</f>
        <v>-0.5977175493</v>
      </c>
      <c r="AB97" s="273">
        <f>IFERROR(__xludf.DUMMYFUNCTION("""COMPUTED_VALUE"""),0.665892730372067)</f>
        <v>0.6658927304</v>
      </c>
      <c r="AC97" s="273">
        <f>IFERROR(__xludf.DUMMYFUNCTION("""COMPUTED_VALUE"""),-0.9225468167639729)</f>
        <v>-0.9225468168</v>
      </c>
      <c r="AD97" s="273">
        <f>IFERROR(__xludf.DUMMYFUNCTION("""COMPUTED_VALUE"""),-0.581824375803733)</f>
        <v>-0.5818243758</v>
      </c>
      <c r="AE97" s="273">
        <f>IFERROR(__xludf.DUMMYFUNCTION("""COMPUTED_VALUE"""),-0.20216868149433026)</f>
        <v>-0.2021686815</v>
      </c>
      <c r="AF97" s="273">
        <f>IFERROR(__xludf.DUMMYFUNCTION("""COMPUTED_VALUE"""),0.4490913199928811)</f>
        <v>0.44909132</v>
      </c>
      <c r="AG97" s="277">
        <f>IFERROR(__xludf.DUMMYFUNCTION("""COMPUTED_VALUE"""),0.0)</f>
        <v>0</v>
      </c>
      <c r="AH97" s="265"/>
      <c r="AI97" s="338"/>
      <c r="AJ97" s="339"/>
      <c r="AK97" s="265"/>
      <c r="AL97" s="265"/>
      <c r="AM97" s="265"/>
      <c r="AN97" s="265"/>
      <c r="AO97" s="265"/>
      <c r="AP97" s="265"/>
      <c r="AQ97" s="265"/>
      <c r="AR97" s="265"/>
      <c r="AS97" s="265"/>
      <c r="AT97" s="265"/>
      <c r="AU97" s="265"/>
      <c r="AV97" s="265"/>
      <c r="AW97" s="265"/>
      <c r="AX97" s="265"/>
      <c r="AY97" s="265"/>
      <c r="AZ97" s="265"/>
      <c r="BA97" s="265"/>
      <c r="BB97" s="265"/>
      <c r="BC97" s="265"/>
      <c r="BD97" s="265"/>
      <c r="BE97" s="265"/>
      <c r="BF97" s="265"/>
      <c r="BG97" s="265"/>
      <c r="BH97" s="265"/>
      <c r="BI97" s="265"/>
      <c r="BJ97" s="265"/>
      <c r="BK97" s="265"/>
      <c r="BL97" s="265"/>
      <c r="BM97" s="265"/>
      <c r="BN97" s="265"/>
      <c r="BO97" s="265"/>
      <c r="BP97" s="265"/>
      <c r="BQ97" s="265"/>
      <c r="BR97" s="265"/>
      <c r="BS97" s="265"/>
      <c r="BT97" s="265"/>
      <c r="BU97" s="265"/>
      <c r="BV97" s="265"/>
    </row>
    <row r="98">
      <c r="A98" s="251">
        <f>VLOOKUP($F98,UpdateHashtag!$V$3:$Y$32,COLUMN(B$15),0)</f>
        <v>3</v>
      </c>
      <c r="B98" s="252">
        <f>VLOOKUP($F98,UpdateHashtag!$V$3:$Y$32,COLUMN(C$13),0)</f>
        <v>4</v>
      </c>
      <c r="C98" s="252">
        <f>VLOOKUP($F98,UpdateHashtag!$V$3:$Y$32,COLUMN(D$13),0)</f>
        <v>4</v>
      </c>
      <c r="D98" s="268">
        <f t="shared" si="4"/>
        <v>11</v>
      </c>
      <c r="E98" s="19"/>
      <c r="F98" s="30" t="str">
        <f>IF(VLOOKUP(J98,PasteHashtag!$C$2:$P1015,3,)="BRO","BKN",IF(VLOOKUP(J98,PasteHashtag!$C$2:$P1015,3,)="OKL","OKC",VLOOKUP(J98,PasteHashtag!$C$2:$P1015,3,)))</f>
        <v>SA</v>
      </c>
      <c r="G98" s="269">
        <v>79.0</v>
      </c>
      <c r="H98" s="270">
        <f>IFERROR(__xludf.DUMMYFUNCTION("""COMPUTED_VALUE"""),87.0)</f>
        <v>87</v>
      </c>
      <c r="I98" s="270">
        <f>IFERROR(__xludf.DUMMYFUNCTION("""COMPUTED_VALUE"""),82.0)</f>
        <v>82</v>
      </c>
      <c r="J98" s="271" t="str">
        <f>IFERROR(__xludf.DUMMYFUNCTION("""COMPUTED_VALUE"""),"Devin Vassell")</f>
        <v>Devin Vassell</v>
      </c>
      <c r="K98" s="270">
        <f>IFERROR(__xludf.DUMMYFUNCTION("""COMPUTED_VALUE"""),76.0)</f>
        <v>76</v>
      </c>
      <c r="L98" s="272" t="str">
        <f>IFERROR(__xludf.DUMMYFUNCTION("""COMPUTED_VALUE"""),"SG,SF")</f>
        <v>SG,SF</v>
      </c>
      <c r="M98" s="273">
        <f>IFERROR(__xludf.DUMMYFUNCTION("""COMPUTED_VALUE"""),-0.8099713462651276)</f>
        <v>-0.8099713463</v>
      </c>
      <c r="N98" s="273">
        <f>IFERROR(__xludf.DUMMYFUNCTION("""COMPUTED_VALUE"""),-0.8855683242710779)</f>
        <v>-0.8855683243</v>
      </c>
      <c r="O98" s="274">
        <f>IFERROR(__xludf.DUMMYFUNCTION("""COMPUTED_VALUE"""),-0.07559697800595033)</f>
        <v>-0.07559697801</v>
      </c>
      <c r="P98" s="275">
        <f>IFERROR(__xludf.DUMMYFUNCTION("""COMPUTED_VALUE"""),18.84818182)</f>
        <v>18.84818182</v>
      </c>
      <c r="Q98" s="275">
        <f>IFERROR(__xludf.DUMMYFUNCTION("""COMPUTED_VALUE"""),2.230181818)</f>
        <v>2.230181818</v>
      </c>
      <c r="R98" s="275">
        <f>IFERROR(__xludf.DUMMYFUNCTION("""COMPUTED_VALUE"""),3.85)</f>
        <v>3.85</v>
      </c>
      <c r="S98" s="276">
        <f>IFERROR(__xludf.DUMMYFUNCTION("""COMPUTED_VALUE"""),3.437454545)</f>
        <v>3.437454545</v>
      </c>
      <c r="T98" s="275">
        <f>IFERROR(__xludf.DUMMYFUNCTION("""COMPUTED_VALUE"""),1.031272727)</f>
        <v>1.031272727</v>
      </c>
      <c r="U98" s="275">
        <f>IFERROR(__xludf.DUMMYFUNCTION("""COMPUTED_VALUE"""),0.4152727273)</f>
        <v>0.4152727273</v>
      </c>
      <c r="V98" s="272">
        <f>IFERROR(__xludf.DUMMYFUNCTION("""COMPUTED_VALUE"""),0.4845355868)</f>
        <v>0.4845355868</v>
      </c>
      <c r="W98" s="272">
        <f>IFERROR(__xludf.DUMMYFUNCTION("""COMPUTED_VALUE"""),0.8099924869)</f>
        <v>0.8099924869</v>
      </c>
      <c r="X98" s="275">
        <f>IFERROR(__xludf.DUMMYFUNCTION("""COMPUTED_VALUE"""),1.443818182)</f>
        <v>1.443818182</v>
      </c>
      <c r="Y98" s="273">
        <f>IFERROR(__xludf.DUMMYFUNCTION("""COMPUTED_VALUE"""),0.24506027234373967)</f>
        <v>0.2450602723</v>
      </c>
      <c r="Z98" s="273">
        <f>IFERROR(__xludf.DUMMYFUNCTION("""COMPUTED_VALUE"""),0.47762862058744127)</f>
        <v>0.4776286206</v>
      </c>
      <c r="AA98" s="273">
        <f>IFERROR(__xludf.DUMMYFUNCTION("""COMPUTED_VALUE"""),-0.8752589584868112)</f>
        <v>-0.8752589585</v>
      </c>
      <c r="AB98" s="273">
        <f>IFERROR(__xludf.DUMMYFUNCTION("""COMPUTED_VALUE"""),-0.2251976042287217)</f>
        <v>-0.2251976042</v>
      </c>
      <c r="AC98" s="273">
        <f>IFERROR(__xludf.DUMMYFUNCTION("""COMPUTED_VALUE"""),0.18285950224341443)</f>
        <v>0.1828595022</v>
      </c>
      <c r="AD98" s="273">
        <f>IFERROR(__xludf.DUMMYFUNCTION("""COMPUTED_VALUE"""),-0.5946573744418614)</f>
        <v>-0.5946573744</v>
      </c>
      <c r="AE98" s="273">
        <f>IFERROR(__xludf.DUMMYFUNCTION("""COMPUTED_VALUE"""),-0.22363312186258066)</f>
        <v>-0.2236331219</v>
      </c>
      <c r="AF98" s="273">
        <f>IFERROR(__xludf.DUMMYFUNCTION("""COMPUTED_VALUE"""),0.12763033957430173)</f>
        <v>0.1276303396</v>
      </c>
      <c r="AG98" s="277">
        <f>IFERROR(__xludf.DUMMYFUNCTION("""COMPUTED_VALUE"""),0.0)</f>
        <v>0</v>
      </c>
      <c r="AH98" s="265"/>
      <c r="AI98" s="340"/>
      <c r="AJ98" s="339"/>
      <c r="AK98" s="265"/>
      <c r="AL98" s="265"/>
      <c r="AM98" s="265"/>
      <c r="AN98" s="265"/>
      <c r="AO98" s="265"/>
      <c r="AP98" s="265"/>
      <c r="AQ98" s="265"/>
      <c r="AR98" s="265"/>
      <c r="AS98" s="265"/>
      <c r="AT98" s="265"/>
      <c r="AU98" s="265"/>
      <c r="AV98" s="265"/>
      <c r="AW98" s="265"/>
      <c r="AX98" s="265"/>
      <c r="AY98" s="265"/>
      <c r="AZ98" s="265"/>
      <c r="BA98" s="265"/>
      <c r="BB98" s="265"/>
      <c r="BC98" s="265"/>
      <c r="BD98" s="265"/>
      <c r="BE98" s="265"/>
      <c r="BF98" s="265"/>
      <c r="BG98" s="265"/>
      <c r="BH98" s="265"/>
      <c r="BI98" s="265"/>
      <c r="BJ98" s="265"/>
      <c r="BK98" s="265"/>
      <c r="BL98" s="265"/>
      <c r="BM98" s="265"/>
      <c r="BN98" s="265"/>
      <c r="BO98" s="265"/>
      <c r="BP98" s="265"/>
      <c r="BQ98" s="265"/>
      <c r="BR98" s="265"/>
      <c r="BS98" s="265"/>
      <c r="BT98" s="265"/>
      <c r="BU98" s="265"/>
      <c r="BV98" s="265"/>
    </row>
    <row r="99">
      <c r="A99" s="251">
        <f>VLOOKUP($F99,UpdateHashtag!$V$3:$Y$32,COLUMN(B$15),0)</f>
        <v>4</v>
      </c>
      <c r="B99" s="252">
        <f>VLOOKUP($F99,UpdateHashtag!$V$3:$Y$32,COLUMN(C$13),0)</f>
        <v>3</v>
      </c>
      <c r="C99" s="252">
        <f>VLOOKUP($F99,UpdateHashtag!$V$3:$Y$32,COLUMN(D$13),0)</f>
        <v>4</v>
      </c>
      <c r="D99" s="268">
        <f t="shared" si="4"/>
        <v>11</v>
      </c>
      <c r="E99" s="19"/>
      <c r="F99" s="30" t="str">
        <f>IF(VLOOKUP(J99,PasteHashtag!$C$2:$P1015,3,)="BRO","BKN",IF(VLOOKUP(J99,PasteHashtag!$C$2:$P1015,3,)="OKL","OKC",VLOOKUP(J99,PasteHashtag!$C$2:$P1015,3,)))</f>
        <v>DET</v>
      </c>
      <c r="G99" s="269">
        <v>80.0</v>
      </c>
      <c r="H99" s="270">
        <f>IFERROR(__xludf.DUMMYFUNCTION("""COMPUTED_VALUE"""),66.0)</f>
        <v>66</v>
      </c>
      <c r="I99" s="270">
        <f>IFERROR(__xludf.DUMMYFUNCTION("""COMPUTED_VALUE"""),53.8)</f>
        <v>53.8</v>
      </c>
      <c r="J99" s="271" t="str">
        <f>IFERROR(__xludf.DUMMYFUNCTION("""COMPUTED_VALUE"""),"Jalen Duren")</f>
        <v>Jalen Duren</v>
      </c>
      <c r="K99" s="270">
        <f>IFERROR(__xludf.DUMMYFUNCTION("""COMPUTED_VALUE"""),68.0)</f>
        <v>68</v>
      </c>
      <c r="L99" s="272" t="str">
        <f>IFERROR(__xludf.DUMMYFUNCTION("""COMPUTED_VALUE"""),"PG")</f>
        <v>PG</v>
      </c>
      <c r="M99" s="273">
        <f>IFERROR(__xludf.DUMMYFUNCTION("""COMPUTED_VALUE"""),-1.012956475375705)</f>
        <v>-1.012956475</v>
      </c>
      <c r="N99" s="273">
        <f>IFERROR(__xludf.DUMMYFUNCTION("""COMPUTED_VALUE"""),-0.8977882234318798)</f>
        <v>-0.8977882234</v>
      </c>
      <c r="O99" s="274">
        <f>IFERROR(__xludf.DUMMYFUNCTION("""COMPUTED_VALUE"""),0.11516825194382518)</f>
        <v>0.1151682519</v>
      </c>
      <c r="P99" s="275">
        <f>IFERROR(__xludf.DUMMYFUNCTION("""COMPUTED_VALUE"""),12.98647059)</f>
        <v>12.98647059</v>
      </c>
      <c r="Q99" s="275">
        <f>IFERROR(__xludf.DUMMYFUNCTION("""COMPUTED_VALUE"""),0.0)</f>
        <v>0</v>
      </c>
      <c r="R99" s="275">
        <f>IFERROR(__xludf.DUMMYFUNCTION("""COMPUTED_VALUE"""),11.42411765)</f>
        <v>11.42411765</v>
      </c>
      <c r="S99" s="276">
        <f>IFERROR(__xludf.DUMMYFUNCTION("""COMPUTED_VALUE"""),2.262941176)</f>
        <v>2.262941176</v>
      </c>
      <c r="T99" s="275">
        <f>IFERROR(__xludf.DUMMYFUNCTION("""COMPUTED_VALUE"""),0.6036764706)</f>
        <v>0.6036764706</v>
      </c>
      <c r="U99" s="275">
        <f>IFERROR(__xludf.DUMMYFUNCTION("""COMPUTED_VALUE"""),0.8373529412)</f>
        <v>0.8373529412</v>
      </c>
      <c r="V99" s="272">
        <f>IFERROR(__xludf.DUMMYFUNCTION("""COMPUTED_VALUE"""),0.6229925716)</f>
        <v>0.6229925716</v>
      </c>
      <c r="W99" s="272">
        <f>IFERROR(__xludf.DUMMYFUNCTION("""COMPUTED_VALUE"""),0.8100140596)</f>
        <v>0.8100140596</v>
      </c>
      <c r="X99" s="275">
        <f>IFERROR(__xludf.DUMMYFUNCTION("""COMPUTED_VALUE"""),2.213088235)</f>
        <v>2.213088235</v>
      </c>
      <c r="Y99" s="273">
        <f>IFERROR(__xludf.DUMMYFUNCTION("""COMPUTED_VALUE"""),-0.8115462295419605)</f>
        <v>-0.8115462295</v>
      </c>
      <c r="Z99" s="273">
        <f>IFERROR(__xludf.DUMMYFUNCTION("""COMPUTED_VALUE"""),-1.7345523719336797)</f>
        <v>-1.734552372</v>
      </c>
      <c r="AA99" s="273">
        <f>IFERROR(__xludf.DUMMYFUNCTION("""COMPUTED_VALUE"""),2.093090739630615)</f>
        <v>2.09309074</v>
      </c>
      <c r="AB99" s="273">
        <f>IFERROR(__xludf.DUMMYFUNCTION("""COMPUTED_VALUE"""),-0.7585892375397392)</f>
        <v>-0.7585892375</v>
      </c>
      <c r="AC99" s="273">
        <f>IFERROR(__xludf.DUMMYFUNCTION("""COMPUTED_VALUE"""),-1.2317629137349155)</f>
        <v>-1.231762914</v>
      </c>
      <c r="AD99" s="273">
        <f>IFERROR(__xludf.DUMMYFUNCTION("""COMPUTED_VALUE"""),0.15818508057826675)</f>
        <v>0.1581850806</v>
      </c>
      <c r="AE99" s="273">
        <f>IFERROR(__xludf.DUMMYFUNCTION("""COMPUTED_VALUE"""),1.216132139105478)</f>
        <v>1.216132139</v>
      </c>
      <c r="AF99" s="273">
        <f>IFERROR(__xludf.DUMMYFUNCTION("""COMPUTED_VALUE"""),0.1712545700040552)</f>
        <v>0.17125457</v>
      </c>
      <c r="AG99" s="277">
        <f>IFERROR(__xludf.DUMMYFUNCTION("""COMPUTED_VALUE"""),0.0)</f>
        <v>0</v>
      </c>
      <c r="AH99" s="265"/>
      <c r="AI99" s="338"/>
      <c r="AJ99" s="339"/>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5"/>
      <c r="BU99" s="265"/>
      <c r="BV99" s="265"/>
    </row>
    <row r="100">
      <c r="A100" s="251">
        <f>VLOOKUP($F100,UpdateHashtag!$V$3:$Y$32,COLUMN(B$15),0)</f>
        <v>4</v>
      </c>
      <c r="B100" s="252">
        <f>VLOOKUP($F100,UpdateHashtag!$V$3:$Y$32,COLUMN(C$13),0)</f>
        <v>4</v>
      </c>
      <c r="C100" s="252">
        <f>VLOOKUP($F100,UpdateHashtag!$V$3:$Y$32,COLUMN(D$13),0)</f>
        <v>3</v>
      </c>
      <c r="D100" s="268">
        <f t="shared" si="4"/>
        <v>11</v>
      </c>
      <c r="E100" s="19"/>
      <c r="F100" s="30" t="str">
        <f>IF(VLOOKUP(J100,PasteHashtag!$C$2:$P1015,3,)="BRO","BKN",IF(VLOOKUP(J100,PasteHashtag!$C$2:$P1015,3,)="OKL","OKC",VLOOKUP(J100,PasteHashtag!$C$2:$P1015,3,)))</f>
        <v>OKC</v>
      </c>
      <c r="G100" s="269">
        <v>81.0</v>
      </c>
      <c r="H100" s="270">
        <f>IFERROR(__xludf.DUMMYFUNCTION("""COMPUTED_VALUE"""),76.0)</f>
        <v>76</v>
      </c>
      <c r="I100" s="270">
        <f>IFERROR(__xludf.DUMMYFUNCTION("""COMPUTED_VALUE"""),76.4)</f>
        <v>76.4</v>
      </c>
      <c r="J100" s="271" t="str">
        <f>IFERROR(__xludf.DUMMYFUNCTION("""COMPUTED_VALUE"""),"Isaiah Hartenstein")</f>
        <v>Isaiah Hartenstein</v>
      </c>
      <c r="K100" s="270">
        <f>IFERROR(__xludf.DUMMYFUNCTION("""COMPUTED_VALUE"""),72.0)</f>
        <v>72</v>
      </c>
      <c r="L100" s="272" t="str">
        <f>IFERROR(__xludf.DUMMYFUNCTION("""COMPUTED_VALUE"""),"SF,PF")</f>
        <v>SF,PF</v>
      </c>
      <c r="M100" s="273">
        <f>IFERROR(__xludf.DUMMYFUNCTION("""COMPUTED_VALUE"""),-0.8745065711818732)</f>
        <v>-0.8745065712</v>
      </c>
      <c r="N100" s="273">
        <f>IFERROR(__xludf.DUMMYFUNCTION("""COMPUTED_VALUE"""),-0.9580849853776192)</f>
        <v>-0.9580849854</v>
      </c>
      <c r="O100" s="274">
        <f>IFERROR(__xludf.DUMMYFUNCTION("""COMPUTED_VALUE"""),-0.08357841419574596)</f>
        <v>-0.0835784142</v>
      </c>
      <c r="P100" s="275">
        <f>IFERROR(__xludf.DUMMYFUNCTION("""COMPUTED_VALUE"""),11.22408163)</f>
        <v>11.22408163</v>
      </c>
      <c r="Q100" s="275">
        <f>IFERROR(__xludf.DUMMYFUNCTION("""COMPUTED_VALUE"""),0.1579591837)</f>
        <v>0.1579591837</v>
      </c>
      <c r="R100" s="275">
        <f>IFERROR(__xludf.DUMMYFUNCTION("""COMPUTED_VALUE"""),8.749183673)</f>
        <v>8.749183673</v>
      </c>
      <c r="S100" s="276">
        <f>IFERROR(__xludf.DUMMYFUNCTION("""COMPUTED_VALUE"""),3.40877551)</f>
        <v>3.40877551</v>
      </c>
      <c r="T100" s="275">
        <f>IFERROR(__xludf.DUMMYFUNCTION("""COMPUTED_VALUE"""),0.9657142857)</f>
        <v>0.9657142857</v>
      </c>
      <c r="U100" s="275">
        <f>IFERROR(__xludf.DUMMYFUNCTION("""COMPUTED_VALUE"""),1.184489796)</f>
        <v>1.184489796</v>
      </c>
      <c r="V100" s="272">
        <f>IFERROR(__xludf.DUMMYFUNCTION("""COMPUTED_VALUE"""),0.5965386128)</f>
        <v>0.5965386128</v>
      </c>
      <c r="W100" s="272">
        <f>IFERROR(__xludf.DUMMYFUNCTION("""COMPUTED_VALUE"""),0.7150114716)</f>
        <v>0.7150114716</v>
      </c>
      <c r="X100" s="275">
        <f>IFERROR(__xludf.DUMMYFUNCTION("""COMPUTED_VALUE"""),1.411632653)</f>
        <v>1.411632653</v>
      </c>
      <c r="Y100" s="273">
        <f>IFERROR(__xludf.DUMMYFUNCTION("""COMPUTED_VALUE"""),-1.1292267772388787)</f>
        <v>-1.129226777</v>
      </c>
      <c r="Z100" s="273">
        <f>IFERROR(__xludf.DUMMYFUNCTION("""COMPUTED_VALUE"""),-1.577868149618272)</f>
        <v>-1.57786815</v>
      </c>
      <c r="AA100" s="273">
        <f>IFERROR(__xludf.DUMMYFUNCTION("""COMPUTED_VALUE"""),1.0447653993037458)</f>
        <v>1.044765399</v>
      </c>
      <c r="AB100" s="273">
        <f>IFERROR(__xludf.DUMMYFUNCTION("""COMPUTED_VALUE"""),-0.23822185556905184)</f>
        <v>-0.2382218556</v>
      </c>
      <c r="AC100" s="273">
        <f>IFERROR(__xludf.DUMMYFUNCTION("""COMPUTED_VALUE"""),-0.034028366234143924)</f>
        <v>-0.03402836623</v>
      </c>
      <c r="AD100" s="273">
        <f>IFERROR(__xludf.DUMMYFUNCTION("""COMPUTED_VALUE"""),0.7773549762263833)</f>
        <v>0.7773549762</v>
      </c>
      <c r="AE100" s="273">
        <f>IFERROR(__xludf.DUMMYFUNCTION("""COMPUTED_VALUE"""),0.8988386059173915)</f>
        <v>0.8988386059</v>
      </c>
      <c r="AF100" s="273">
        <f>IFERROR(__xludf.DUMMYFUNCTION("""COMPUTED_VALUE"""),-0.6996988181647933)</f>
        <v>-0.6996988182</v>
      </c>
      <c r="AG100" s="277">
        <f>IFERROR(__xludf.DUMMYFUNCTION("""COMPUTED_VALUE"""),0.0)</f>
        <v>0</v>
      </c>
      <c r="AH100" s="265"/>
      <c r="AI100" s="338"/>
      <c r="AJ100" s="339"/>
      <c r="AK100" s="265"/>
      <c r="AL100" s="265"/>
      <c r="AM100" s="265"/>
      <c r="AN100" s="265"/>
      <c r="AO100" s="265"/>
      <c r="AP100" s="265"/>
      <c r="AQ100" s="265"/>
      <c r="AR100" s="265"/>
      <c r="AS100" s="265"/>
      <c r="AT100" s="265"/>
      <c r="AU100" s="265"/>
      <c r="AV100" s="265"/>
      <c r="AW100" s="265"/>
      <c r="AX100" s="265"/>
      <c r="AY100" s="265"/>
      <c r="AZ100" s="265"/>
      <c r="BA100" s="265"/>
      <c r="BB100" s="265"/>
      <c r="BC100" s="265"/>
      <c r="BD100" s="265"/>
      <c r="BE100" s="265"/>
      <c r="BF100" s="265"/>
      <c r="BG100" s="265"/>
      <c r="BH100" s="265"/>
      <c r="BI100" s="265"/>
      <c r="BJ100" s="265"/>
      <c r="BK100" s="265"/>
      <c r="BL100" s="265"/>
      <c r="BM100" s="265"/>
      <c r="BN100" s="265"/>
      <c r="BO100" s="265"/>
      <c r="BP100" s="265"/>
      <c r="BQ100" s="265"/>
      <c r="BR100" s="265"/>
      <c r="BS100" s="265"/>
      <c r="BT100" s="265"/>
      <c r="BU100" s="265"/>
      <c r="BV100" s="265"/>
    </row>
    <row r="101">
      <c r="A101" s="251">
        <f>VLOOKUP($F101,UpdateHashtag!$V$3:$Y$32,COLUMN(B$15),0)</f>
        <v>2</v>
      </c>
      <c r="B101" s="252">
        <f>VLOOKUP($F101,UpdateHashtag!$V$3:$Y$32,COLUMN(C$13),0)</f>
        <v>4</v>
      </c>
      <c r="C101" s="252">
        <f>VLOOKUP($F101,UpdateHashtag!$V$3:$Y$32,COLUMN(D$13),0)</f>
        <v>4</v>
      </c>
      <c r="D101" s="268">
        <f t="shared" si="4"/>
        <v>10</v>
      </c>
      <c r="E101" s="19"/>
      <c r="F101" s="30" t="str">
        <f>IF(VLOOKUP(J101,PasteHashtag!$C$2:$P1015,3,)="BRO","BKN",IF(VLOOKUP(J101,PasteHashtag!$C$2:$P1015,3,)="OKL","OKC",VLOOKUP(J101,PasteHashtag!$C$2:$P1015,3,)))</f>
        <v>CHI</v>
      </c>
      <c r="G101" s="269">
        <v>82.0</v>
      </c>
      <c r="H101" s="270">
        <f>IFERROR(__xludf.DUMMYFUNCTION("""COMPUTED_VALUE"""),84.0)</f>
        <v>84</v>
      </c>
      <c r="I101" s="270">
        <f>IFERROR(__xludf.DUMMYFUNCTION("""COMPUTED_VALUE"""),67.4)</f>
        <v>67.4</v>
      </c>
      <c r="J101" s="271" t="str">
        <f>IFERROR(__xludf.DUMMYFUNCTION("""COMPUTED_VALUE"""),"Josh Giddey")</f>
        <v>Josh Giddey</v>
      </c>
      <c r="K101" s="270">
        <f>IFERROR(__xludf.DUMMYFUNCTION("""COMPUTED_VALUE"""),58.0)</f>
        <v>58</v>
      </c>
      <c r="L101" s="272" t="str">
        <f>IFERROR(__xludf.DUMMYFUNCTION("""COMPUTED_VALUE"""),"C")</f>
        <v>C</v>
      </c>
      <c r="M101" s="273">
        <f>IFERROR(__xludf.DUMMYFUNCTION("""COMPUTED_VALUE"""),-1.193500606707342)</f>
        <v>-1.193500607</v>
      </c>
      <c r="N101" s="273">
        <f>IFERROR(__xludf.DUMMYFUNCTION("""COMPUTED_VALUE"""),-0.9679248924434174)</f>
        <v>-0.9679248924</v>
      </c>
      <c r="O101" s="274">
        <f>IFERROR(__xludf.DUMMYFUNCTION("""COMPUTED_VALUE"""),0.22557571426392453)</f>
        <v>0.2255757143</v>
      </c>
      <c r="P101" s="275">
        <f>IFERROR(__xludf.DUMMYFUNCTION("""COMPUTED_VALUE"""),15.11077922)</f>
        <v>15.11077922</v>
      </c>
      <c r="Q101" s="275">
        <f>IFERROR(__xludf.DUMMYFUNCTION("""COMPUTED_VALUE"""),1.057532468)</f>
        <v>1.057532468</v>
      </c>
      <c r="R101" s="275">
        <f>IFERROR(__xludf.DUMMYFUNCTION("""COMPUTED_VALUE"""),7.721558442)</f>
        <v>7.721558442</v>
      </c>
      <c r="S101" s="276">
        <f>IFERROR(__xludf.DUMMYFUNCTION("""COMPUTED_VALUE"""),6.265844156)</f>
        <v>6.265844156</v>
      </c>
      <c r="T101" s="275">
        <f>IFERROR(__xludf.DUMMYFUNCTION("""COMPUTED_VALUE"""),0.7207792208)</f>
        <v>0.7207792208</v>
      </c>
      <c r="U101" s="275">
        <f>IFERROR(__xludf.DUMMYFUNCTION("""COMPUTED_VALUE"""),0.5696103896)</f>
        <v>0.5696103896</v>
      </c>
      <c r="V101" s="272">
        <f>IFERROR(__xludf.DUMMYFUNCTION("""COMPUTED_VALUE"""),0.4830343544)</f>
        <v>0.4830343544</v>
      </c>
      <c r="W101" s="272">
        <f>IFERROR(__xludf.DUMMYFUNCTION("""COMPUTED_VALUE"""),0.7759944815)</f>
        <v>0.7759944815</v>
      </c>
      <c r="X101" s="275">
        <f>IFERROR(__xludf.DUMMYFUNCTION("""COMPUTED_VALUE"""),2.658311688)</f>
        <v>2.658311688</v>
      </c>
      <c r="Y101" s="273">
        <f>IFERROR(__xludf.DUMMYFUNCTION("""COMPUTED_VALUE"""),-0.428627620555843)</f>
        <v>-0.4286276206</v>
      </c>
      <c r="Z101" s="273">
        <f>IFERROR(__xludf.DUMMYFUNCTION("""COMPUTED_VALUE"""),-0.6855557359636386)</f>
        <v>-0.685555736</v>
      </c>
      <c r="AA101" s="273">
        <f>IFERROR(__xludf.DUMMYFUNCTION("""COMPUTED_VALUE"""),0.642031881662031)</f>
        <v>0.6420318817</v>
      </c>
      <c r="AB101" s="273">
        <f>IFERROR(__xludf.DUMMYFUNCTION("""COMPUTED_VALUE"""),1.0592827551014437)</f>
        <v>1.059282755</v>
      </c>
      <c r="AC101" s="273">
        <f>IFERROR(__xludf.DUMMYFUNCTION("""COMPUTED_VALUE"""),-0.8443503184977255)</f>
        <v>-0.8443503185</v>
      </c>
      <c r="AD101" s="273">
        <f>IFERROR(__xludf.DUMMYFUNCTION("""COMPUTED_VALUE"""),-0.319373338939719)</f>
        <v>-0.3193733389</v>
      </c>
      <c r="AE101" s="273">
        <f>IFERROR(__xludf.DUMMYFUNCTION("""COMPUTED_VALUE"""),-0.20297755291050495)</f>
        <v>-0.2029775529</v>
      </c>
      <c r="AF101" s="273">
        <f>IFERROR(__xludf.DUMMYFUNCTION("""COMPUTED_VALUE"""),-0.18835496233946092)</f>
        <v>-0.1883549623</v>
      </c>
      <c r="AG101" s="277">
        <f>IFERROR(__xludf.DUMMYFUNCTION("""COMPUTED_VALUE"""),0.0)</f>
        <v>0</v>
      </c>
      <c r="AH101" s="265"/>
      <c r="AI101" s="338"/>
      <c r="AJ101" s="339"/>
      <c r="AK101" s="265"/>
      <c r="AL101" s="265"/>
      <c r="AM101" s="265"/>
      <c r="AN101" s="265"/>
      <c r="AO101" s="265"/>
      <c r="AP101" s="265"/>
      <c r="AQ101" s="265"/>
      <c r="AR101" s="265"/>
      <c r="AS101" s="265"/>
      <c r="AT101" s="265"/>
      <c r="AU101" s="265"/>
      <c r="AV101" s="265"/>
      <c r="AW101" s="265"/>
      <c r="AX101" s="265"/>
      <c r="AY101" s="265"/>
      <c r="AZ101" s="265"/>
      <c r="BA101" s="265"/>
      <c r="BB101" s="265"/>
      <c r="BC101" s="265"/>
      <c r="BD101" s="265"/>
      <c r="BE101" s="265"/>
      <c r="BF101" s="265"/>
      <c r="BG101" s="265"/>
      <c r="BH101" s="265"/>
      <c r="BI101" s="265"/>
      <c r="BJ101" s="265"/>
      <c r="BK101" s="265"/>
      <c r="BL101" s="265"/>
      <c r="BM101" s="265"/>
      <c r="BN101" s="265"/>
      <c r="BO101" s="265"/>
      <c r="BP101" s="265"/>
      <c r="BQ101" s="265"/>
      <c r="BR101" s="265"/>
      <c r="BS101" s="265"/>
      <c r="BT101" s="265"/>
      <c r="BU101" s="265"/>
      <c r="BV101" s="265"/>
    </row>
    <row r="102">
      <c r="A102" s="251">
        <f>VLOOKUP($F102,UpdateHashtag!$V$3:$Y$32,COLUMN(B$15),0)</f>
        <v>4</v>
      </c>
      <c r="B102" s="252">
        <f>VLOOKUP($F102,UpdateHashtag!$V$3:$Y$32,COLUMN(C$13),0)</f>
        <v>2</v>
      </c>
      <c r="C102" s="252">
        <f>VLOOKUP($F102,UpdateHashtag!$V$3:$Y$32,COLUMN(D$13),0)</f>
        <v>4</v>
      </c>
      <c r="D102" s="268">
        <f t="shared" si="4"/>
        <v>10</v>
      </c>
      <c r="E102" s="19"/>
      <c r="F102" s="30" t="str">
        <f>IF(VLOOKUP(J102,PasteHashtag!$C$2:$P1015,3,)="BRO","BKN",IF(VLOOKUP(J102,PasteHashtag!$C$2:$P1015,3,)="OKL","OKC",VLOOKUP(J102,PasteHashtag!$C$2:$P1015,3,)))</f>
        <v>NO</v>
      </c>
      <c r="G102" s="269">
        <v>83.0</v>
      </c>
      <c r="H102" s="270">
        <f>IFERROR(__xludf.DUMMYFUNCTION("""COMPUTED_VALUE"""),83.0)</f>
        <v>83</v>
      </c>
      <c r="I102" s="270">
        <f>IFERROR(__xludf.DUMMYFUNCTION("""COMPUTED_VALUE"""),69.9)</f>
        <v>69.9</v>
      </c>
      <c r="J102" s="271" t="str">
        <f>IFERROR(__xludf.DUMMYFUNCTION("""COMPUTED_VALUE"""),"Brandon Ingram")</f>
        <v>Brandon Ingram</v>
      </c>
      <c r="K102" s="270">
        <f>IFERROR(__xludf.DUMMYFUNCTION("""COMPUTED_VALUE"""),67.0)</f>
        <v>67</v>
      </c>
      <c r="L102" s="272" t="str">
        <f>IFERROR(__xludf.DUMMYFUNCTION("""COMPUTED_VALUE"""),"C")</f>
        <v>C</v>
      </c>
      <c r="M102" s="273">
        <f>IFERROR(__xludf.DUMMYFUNCTION("""COMPUTED_VALUE"""),-1.126117832950926)</f>
        <v>-1.126117833</v>
      </c>
      <c r="N102" s="273">
        <f>IFERROR(__xludf.DUMMYFUNCTION("""COMPUTED_VALUE"""),-0.9858960917458066)</f>
        <v>-0.9858960917</v>
      </c>
      <c r="O102" s="274">
        <f>IFERROR(__xludf.DUMMYFUNCTION("""COMPUTED_VALUE"""),0.14022174120511943)</f>
        <v>0.1402217412</v>
      </c>
      <c r="P102" s="275">
        <f>IFERROR(__xludf.DUMMYFUNCTION("""COMPUTED_VALUE"""),17.98279412)</f>
        <v>17.98279412</v>
      </c>
      <c r="Q102" s="275">
        <f>IFERROR(__xludf.DUMMYFUNCTION("""COMPUTED_VALUE"""),1.190441176)</f>
        <v>1.190441176</v>
      </c>
      <c r="R102" s="275">
        <f>IFERROR(__xludf.DUMMYFUNCTION("""COMPUTED_VALUE"""),5.785294118)</f>
        <v>5.785294118</v>
      </c>
      <c r="S102" s="276">
        <f>IFERROR(__xludf.DUMMYFUNCTION("""COMPUTED_VALUE"""),4.900441176)</f>
        <v>4.900441176</v>
      </c>
      <c r="T102" s="275">
        <f>IFERROR(__xludf.DUMMYFUNCTION("""COMPUTED_VALUE"""),0.7513235294)</f>
        <v>0.7513235294</v>
      </c>
      <c r="U102" s="275">
        <f>IFERROR(__xludf.DUMMYFUNCTION("""COMPUTED_VALUE"""),0.5445588235)</f>
        <v>0.5445588235</v>
      </c>
      <c r="V102" s="272">
        <f>IFERROR(__xludf.DUMMYFUNCTION("""COMPUTED_VALUE"""),0.4993455769)</f>
        <v>0.4993455769</v>
      </c>
      <c r="W102" s="272">
        <f>IFERROR(__xludf.DUMMYFUNCTION("""COMPUTED_VALUE"""),0.815012194)</f>
        <v>0.815012194</v>
      </c>
      <c r="X102" s="275">
        <f>IFERROR(__xludf.DUMMYFUNCTION("""COMPUTED_VALUE"""),2.314117647)</f>
        <v>2.314117647</v>
      </c>
      <c r="Y102" s="273">
        <f>IFERROR(__xludf.DUMMYFUNCTION("""COMPUTED_VALUE"""),0.08906925972063728)</f>
        <v>0.08906925972</v>
      </c>
      <c r="Z102" s="273">
        <f>IFERROR(__xludf.DUMMYFUNCTION("""COMPUTED_VALUE"""),-0.5537197954115756)</f>
        <v>-0.5537197954</v>
      </c>
      <c r="AA102" s="273">
        <f>IFERROR(__xludf.DUMMYFUNCTION("""COMPUTED_VALUE"""),-0.11680365367203428)</f>
        <v>-0.1168036537</v>
      </c>
      <c r="AB102" s="273">
        <f>IFERROR(__xludf.DUMMYFUNCTION("""COMPUTED_VALUE"""),0.43920081746457174)</f>
        <v>0.4392008175</v>
      </c>
      <c r="AC102" s="273">
        <f>IFERROR(__xludf.DUMMYFUNCTION("""COMPUTED_VALUE"""),-0.7433001736954762)</f>
        <v>-0.7433001737</v>
      </c>
      <c r="AD102" s="273">
        <f>IFERROR(__xludf.DUMMYFUNCTION("""COMPUTED_VALUE"""),-0.3640565102984488)</f>
        <v>-0.3640565103</v>
      </c>
      <c r="AE102" s="273">
        <f>IFERROR(__xludf.DUMMYFUNCTION("""COMPUTED_VALUE"""),0.03456264138805354)</f>
        <v>0.03456264139</v>
      </c>
      <c r="AF102" s="273">
        <f>IFERROR(__xludf.DUMMYFUNCTION("""COMPUTED_VALUE"""),0.22915132275846556)</f>
        <v>0.2291513228</v>
      </c>
      <c r="AG102" s="277">
        <f>IFERROR(__xludf.DUMMYFUNCTION("""COMPUTED_VALUE"""),0.0)</f>
        <v>0</v>
      </c>
      <c r="AH102" s="265"/>
      <c r="AI102" s="338"/>
      <c r="AJ102" s="339"/>
      <c r="AK102" s="265"/>
      <c r="AL102" s="265"/>
      <c r="AM102" s="265"/>
      <c r="AN102" s="265"/>
      <c r="AO102" s="265"/>
      <c r="AP102" s="265"/>
      <c r="AQ102" s="265"/>
      <c r="AR102" s="265"/>
      <c r="AS102" s="265"/>
      <c r="AT102" s="265"/>
      <c r="AU102" s="265"/>
      <c r="AV102" s="265"/>
      <c r="AW102" s="265"/>
      <c r="AX102" s="265"/>
      <c r="AY102" s="265"/>
      <c r="AZ102" s="265"/>
      <c r="BA102" s="265"/>
      <c r="BB102" s="265"/>
      <c r="BC102" s="265"/>
      <c r="BD102" s="265"/>
      <c r="BE102" s="265"/>
      <c r="BF102" s="265"/>
      <c r="BG102" s="265"/>
      <c r="BH102" s="265"/>
      <c r="BI102" s="265"/>
      <c r="BJ102" s="265"/>
      <c r="BK102" s="265"/>
      <c r="BL102" s="265"/>
      <c r="BM102" s="265"/>
      <c r="BN102" s="265"/>
      <c r="BO102" s="265"/>
      <c r="BP102" s="265"/>
      <c r="BQ102" s="265"/>
      <c r="BR102" s="265"/>
      <c r="BS102" s="265"/>
      <c r="BT102" s="265"/>
      <c r="BU102" s="265"/>
      <c r="BV102" s="265"/>
    </row>
    <row r="103">
      <c r="A103" s="251">
        <f>VLOOKUP($F103,UpdateHashtag!$V$3:$Y$32,COLUMN(B$15),0)</f>
        <v>4</v>
      </c>
      <c r="B103" s="252">
        <f>VLOOKUP($F103,UpdateHashtag!$V$3:$Y$32,COLUMN(C$13),0)</f>
        <v>3</v>
      </c>
      <c r="C103" s="252">
        <f>VLOOKUP($F103,UpdateHashtag!$V$3:$Y$32,COLUMN(D$13),0)</f>
        <v>3</v>
      </c>
      <c r="D103" s="268">
        <f t="shared" si="4"/>
        <v>10</v>
      </c>
      <c r="E103" s="19"/>
      <c r="F103" s="30" t="str">
        <f>IF(VLOOKUP(J103,PasteHashtag!$C$2:$P1015,3,)="BRO","BKN",IF(VLOOKUP(J103,PasteHashtag!$C$2:$P1015,3,)="OKL","OKC",VLOOKUP(J103,PasteHashtag!$C$2:$P1015,3,)))</f>
        <v>MIN</v>
      </c>
      <c r="G103" s="269">
        <v>84.0</v>
      </c>
      <c r="H103" s="270">
        <f>IFERROR(__xludf.DUMMYFUNCTION("""COMPUTED_VALUE"""),74.0)</f>
        <v>74</v>
      </c>
      <c r="I103" s="270">
        <f>IFERROR(__xludf.DUMMYFUNCTION("""COMPUTED_VALUE"""),46.4)</f>
        <v>46.4</v>
      </c>
      <c r="J103" s="271" t="str">
        <f>IFERROR(__xludf.DUMMYFUNCTION("""COMPUTED_VALUE"""),"Rudy Gobert")</f>
        <v>Rudy Gobert</v>
      </c>
      <c r="K103" s="270">
        <f>IFERROR(__xludf.DUMMYFUNCTION("""COMPUTED_VALUE"""),74.0)</f>
        <v>74</v>
      </c>
      <c r="L103" s="272" t="str">
        <f>IFERROR(__xludf.DUMMYFUNCTION("""COMPUTED_VALUE"""),"SG,SF")</f>
        <v>SG,SF</v>
      </c>
      <c r="M103" s="273">
        <f>IFERROR(__xludf.DUMMYFUNCTION("""COMPUTED_VALUE"""),-0.95984735783506)</f>
        <v>-0.9598473578</v>
      </c>
      <c r="N103" s="273">
        <f>IFERROR(__xludf.DUMMYFUNCTION("""COMPUTED_VALUE"""),-1.0228370848022421)</f>
        <v>-1.022837085</v>
      </c>
      <c r="O103" s="274">
        <f>IFERROR(__xludf.DUMMYFUNCTION("""COMPUTED_VALUE"""),-0.06298972696718208)</f>
        <v>-0.06298972697</v>
      </c>
      <c r="P103" s="275">
        <f>IFERROR(__xludf.DUMMYFUNCTION("""COMPUTED_VALUE"""),11.92520548)</f>
        <v>11.92520548</v>
      </c>
      <c r="Q103" s="275">
        <f>IFERROR(__xludf.DUMMYFUNCTION("""COMPUTED_VALUE"""),0.0)</f>
        <v>0</v>
      </c>
      <c r="R103" s="275">
        <f>IFERROR(__xludf.DUMMYFUNCTION("""COMPUTED_VALUE"""),12.46438356)</f>
        <v>12.46438356</v>
      </c>
      <c r="S103" s="276">
        <f>IFERROR(__xludf.DUMMYFUNCTION("""COMPUTED_VALUE"""),1.30369863)</f>
        <v>1.30369863</v>
      </c>
      <c r="T103" s="275">
        <f>IFERROR(__xludf.DUMMYFUNCTION("""COMPUTED_VALUE"""),0.6642465753)</f>
        <v>0.6642465753</v>
      </c>
      <c r="U103" s="275">
        <f>IFERROR(__xludf.DUMMYFUNCTION("""COMPUTED_VALUE"""),2.041232877)</f>
        <v>2.041232877</v>
      </c>
      <c r="V103" s="272">
        <f>IFERROR(__xludf.DUMMYFUNCTION("""COMPUTED_VALUE"""),0.675)</f>
        <v>0.675</v>
      </c>
      <c r="W103" s="272">
        <f>IFERROR(__xludf.DUMMYFUNCTION("""COMPUTED_VALUE"""),0.6430088154)</f>
        <v>0.6430088154</v>
      </c>
      <c r="X103" s="275">
        <f>IFERROR(__xludf.DUMMYFUNCTION("""COMPUTED_VALUE"""),1.494657534)</f>
        <v>1.494657534</v>
      </c>
      <c r="Y103" s="273">
        <f>IFERROR(__xludf.DUMMYFUNCTION("""COMPUTED_VALUE"""),-1.0028452498197713)</f>
        <v>-1.00284525</v>
      </c>
      <c r="Z103" s="273">
        <f>IFERROR(__xludf.DUMMYFUNCTION("""COMPUTED_VALUE"""),-1.7345523719336797)</f>
        <v>-1.734552372</v>
      </c>
      <c r="AA103" s="273">
        <f>IFERROR(__xludf.DUMMYFUNCTION("""COMPUTED_VALUE"""),2.500778227810885)</f>
        <v>2.500778228</v>
      </c>
      <c r="AB103" s="273">
        <f>IFERROR(__xludf.DUMMYFUNCTION("""COMPUTED_VALUE"""),-1.1942181216860197)</f>
        <v>-1.194218122</v>
      </c>
      <c r="AC103" s="273">
        <f>IFERROR(__xludf.DUMMYFUNCTION("""COMPUTED_VALUE"""),-1.031378025971491)</f>
        <v>-1.031378026</v>
      </c>
      <c r="AD103" s="273">
        <f>IFERROR(__xludf.DUMMYFUNCTION("""COMPUTED_VALUE"""),2.305482908265295)</f>
        <v>2.305482908</v>
      </c>
      <c r="AE103" s="273">
        <f>IFERROR(__xludf.DUMMYFUNCTION("""COMPUTED_VALUE"""),1.4070725947543323)</f>
        <v>1.407072595</v>
      </c>
      <c r="AF103" s="273">
        <f>IFERROR(__xludf.DUMMYFUNCTION("""COMPUTED_VALUE"""),-2.273177046221793)</f>
        <v>-2.273177046</v>
      </c>
      <c r="AG103" s="277">
        <f>IFERROR(__xludf.DUMMYFUNCTION("""COMPUTED_VALUE"""),0.0)</f>
        <v>0</v>
      </c>
      <c r="AH103" s="265"/>
      <c r="AI103" s="338"/>
      <c r="AJ103" s="339"/>
      <c r="AK103" s="265"/>
      <c r="AL103" s="265"/>
      <c r="AM103" s="265"/>
      <c r="AN103" s="265"/>
      <c r="AO103" s="265"/>
      <c r="AP103" s="265"/>
      <c r="AQ103" s="265"/>
      <c r="AR103" s="265"/>
      <c r="AS103" s="265"/>
      <c r="AT103" s="265"/>
      <c r="AU103" s="265"/>
      <c r="AV103" s="265"/>
      <c r="AW103" s="265"/>
      <c r="AX103" s="265"/>
      <c r="AY103" s="265"/>
      <c r="AZ103" s="265"/>
      <c r="BA103" s="265"/>
      <c r="BB103" s="265"/>
      <c r="BC103" s="265"/>
      <c r="BD103" s="265"/>
      <c r="BE103" s="265"/>
      <c r="BF103" s="265"/>
      <c r="BG103" s="265"/>
      <c r="BH103" s="265"/>
      <c r="BI103" s="265"/>
      <c r="BJ103" s="265"/>
      <c r="BK103" s="265"/>
      <c r="BL103" s="265"/>
      <c r="BM103" s="265"/>
      <c r="BN103" s="265"/>
      <c r="BO103" s="265"/>
      <c r="BP103" s="265"/>
      <c r="BQ103" s="265"/>
      <c r="BR103" s="265"/>
      <c r="BS103" s="265"/>
      <c r="BT103" s="265"/>
      <c r="BU103" s="265"/>
      <c r="BV103" s="265"/>
    </row>
    <row r="104">
      <c r="A104" s="251">
        <f>VLOOKUP($F104,UpdateHashtag!$V$3:$Y$32,COLUMN(B$15),0)</f>
        <v>4</v>
      </c>
      <c r="B104" s="252">
        <f>VLOOKUP($F104,UpdateHashtag!$V$3:$Y$32,COLUMN(C$13),0)</f>
        <v>2</v>
      </c>
      <c r="C104" s="252">
        <f>VLOOKUP($F104,UpdateHashtag!$V$3:$Y$32,COLUMN(D$13),0)</f>
        <v>4</v>
      </c>
      <c r="D104" s="268">
        <f t="shared" si="4"/>
        <v>10</v>
      </c>
      <c r="E104" s="19"/>
      <c r="F104" s="30" t="str">
        <f>IF(VLOOKUP(J104,PasteHashtag!$C$2:$P1015,3,)="BRO","BKN",IF(VLOOKUP(J104,PasteHashtag!$C$2:$P1015,3,)="OKL","OKC",VLOOKUP(J104,PasteHashtag!$C$2:$P1015,3,)))</f>
        <v>NO</v>
      </c>
      <c r="G104" s="269">
        <v>85.0</v>
      </c>
      <c r="H104" s="270">
        <f>IFERROR(__xludf.DUMMYFUNCTION("""COMPUTED_VALUE"""),93.0)</f>
        <v>93</v>
      </c>
      <c r="I104" s="270">
        <f>IFERROR(__xludf.DUMMYFUNCTION("""COMPUTED_VALUE"""),96.2)</f>
        <v>96.2</v>
      </c>
      <c r="J104" s="271" t="str">
        <f>IFERROR(__xludf.DUMMYFUNCTION("""COMPUTED_VALUE"""),"Herbert Jones")</f>
        <v>Herbert Jones</v>
      </c>
      <c r="K104" s="270">
        <f>IFERROR(__xludf.DUMMYFUNCTION("""COMPUTED_VALUE"""),65.0)</f>
        <v>65</v>
      </c>
      <c r="L104" s="272" t="str">
        <f>IFERROR(__xludf.DUMMYFUNCTION("""COMPUTED_VALUE"""),"SG,SF")</f>
        <v>SG,SF</v>
      </c>
      <c r="M104" s="273">
        <f>IFERROR(__xludf.DUMMYFUNCTION("""COMPUTED_VALUE"""),-0.9058334631657428)</f>
        <v>-0.9058334632</v>
      </c>
      <c r="N104" s="273">
        <f>IFERROR(__xludf.DUMMYFUNCTION("""COMPUTED_VALUE"""),-1.0271106826712546)</f>
        <v>-1.027110683</v>
      </c>
      <c r="O104" s="274">
        <f>IFERROR(__xludf.DUMMYFUNCTION("""COMPUTED_VALUE"""),-0.12127721950551185)</f>
        <v>-0.1212772195</v>
      </c>
      <c r="P104" s="275">
        <f>IFERROR(__xludf.DUMMYFUNCTION("""COMPUTED_VALUE"""),9.722077922)</f>
        <v>9.722077922</v>
      </c>
      <c r="Q104" s="275">
        <f>IFERROR(__xludf.DUMMYFUNCTION("""COMPUTED_VALUE"""),1.309480519)</f>
        <v>1.309480519</v>
      </c>
      <c r="R104" s="275">
        <f>IFERROR(__xludf.DUMMYFUNCTION("""COMPUTED_VALUE"""),4.818051948)</f>
        <v>4.818051948</v>
      </c>
      <c r="S104" s="276">
        <f>IFERROR(__xludf.DUMMYFUNCTION("""COMPUTED_VALUE"""),2.375974026)</f>
        <v>2.375974026</v>
      </c>
      <c r="T104" s="275">
        <f>IFERROR(__xludf.DUMMYFUNCTION("""COMPUTED_VALUE"""),1.571688312)</f>
        <v>1.571688312</v>
      </c>
      <c r="U104" s="275">
        <f>IFERROR(__xludf.DUMMYFUNCTION("""COMPUTED_VALUE"""),0.7298701299)</f>
        <v>0.7298701299</v>
      </c>
      <c r="V104" s="272">
        <f>IFERROR(__xludf.DUMMYFUNCTION("""COMPUTED_VALUE"""),0.4685706033)</f>
        <v>0.4685706033</v>
      </c>
      <c r="W104" s="272">
        <f>IFERROR(__xludf.DUMMYFUNCTION("""COMPUTED_VALUE"""),0.8399712719)</f>
        <v>0.8399712719</v>
      </c>
      <c r="X104" s="275">
        <f>IFERROR(__xludf.DUMMYFUNCTION("""COMPUTED_VALUE"""),1.25961039)</f>
        <v>1.25961039</v>
      </c>
      <c r="Y104" s="273">
        <f>IFERROR(__xludf.DUMMYFUNCTION("""COMPUTED_VALUE"""),-1.3999714150175007)</f>
        <v>-1.399971415</v>
      </c>
      <c r="Z104" s="273">
        <f>IFERROR(__xludf.DUMMYFUNCTION("""COMPUTED_VALUE"""),-0.4356412738213676)</f>
        <v>-0.4356412738</v>
      </c>
      <c r="AA104" s="273">
        <f>IFERROR(__xludf.DUMMYFUNCTION("""COMPUTED_VALUE"""),-0.49587262724758285)</f>
        <v>-0.4958726272</v>
      </c>
      <c r="AB104" s="273">
        <f>IFERROR(__xludf.DUMMYFUNCTION("""COMPUTED_VALUE"""),-0.7072566788217128)</f>
        <v>-0.7072566788</v>
      </c>
      <c r="AC104" s="273">
        <f>IFERROR(__xludf.DUMMYFUNCTION("""COMPUTED_VALUE"""),1.970723612470556)</f>
        <v>1.970723612</v>
      </c>
      <c r="AD104" s="273">
        <f>IFERROR(__xludf.DUMMYFUNCTION("""COMPUTED_VALUE"""),-0.03352640190010487)</f>
        <v>-0.0335264019</v>
      </c>
      <c r="AE104" s="273">
        <f>IFERROR(__xludf.DUMMYFUNCTION("""COMPUTED_VALUE"""),-0.2399559684722401)</f>
        <v>-0.2399559685</v>
      </c>
      <c r="AF104" s="273">
        <f>IFERROR(__xludf.DUMMYFUNCTION("""COMPUTED_VALUE"""),0.314390070138698)</f>
        <v>0.3143900701</v>
      </c>
      <c r="AG104" s="277">
        <f>IFERROR(__xludf.DUMMYFUNCTION("""COMPUTED_VALUE"""),0.0)</f>
        <v>0</v>
      </c>
      <c r="AH104" s="265"/>
      <c r="AI104" s="338"/>
      <c r="AJ104" s="339"/>
      <c r="AK104" s="265"/>
      <c r="AL104" s="265"/>
      <c r="AM104" s="265"/>
      <c r="AN104" s="265"/>
      <c r="AO104" s="265"/>
      <c r="AP104" s="265"/>
      <c r="AQ104" s="265"/>
      <c r="AR104" s="265"/>
      <c r="AS104" s="265"/>
      <c r="AT104" s="265"/>
      <c r="AU104" s="265"/>
      <c r="AV104" s="265"/>
      <c r="AW104" s="265"/>
      <c r="AX104" s="265"/>
      <c r="AY104" s="265"/>
      <c r="AZ104" s="265"/>
      <c r="BA104" s="265"/>
      <c r="BB104" s="265"/>
      <c r="BC104" s="265"/>
      <c r="BD104" s="265"/>
      <c r="BE104" s="265"/>
      <c r="BF104" s="265"/>
      <c r="BG104" s="265"/>
      <c r="BH104" s="265"/>
      <c r="BI104" s="265"/>
      <c r="BJ104" s="265"/>
      <c r="BK104" s="265"/>
      <c r="BL104" s="265"/>
      <c r="BM104" s="265"/>
      <c r="BN104" s="265"/>
      <c r="BO104" s="265"/>
      <c r="BP104" s="265"/>
      <c r="BQ104" s="265"/>
      <c r="BR104" s="265"/>
      <c r="BS104" s="265"/>
      <c r="BT104" s="265"/>
      <c r="BU104" s="265"/>
      <c r="BV104" s="265"/>
    </row>
    <row r="105">
      <c r="A105" s="251">
        <f>VLOOKUP($F105,UpdateHashtag!$V$3:$Y$32,COLUMN(B$15),0)</f>
        <v>2</v>
      </c>
      <c r="B105" s="252">
        <f>VLOOKUP($F105,UpdateHashtag!$V$3:$Y$32,COLUMN(C$13),0)</f>
        <v>4</v>
      </c>
      <c r="C105" s="252">
        <f>VLOOKUP($F105,UpdateHashtag!$V$3:$Y$32,COLUMN(D$13),0)</f>
        <v>4</v>
      </c>
      <c r="D105" s="268">
        <f t="shared" si="4"/>
        <v>10</v>
      </c>
      <c r="E105" s="19"/>
      <c r="F105" s="30" t="str">
        <f>IF(VLOOKUP(J105,PasteHashtag!$C$2:$P1015,3,)="BRO","BKN",IF(VLOOKUP(J105,PasteHashtag!$C$2:$P1015,3,)="OKL","OKC",VLOOKUP(J105,PasteHashtag!$C$2:$P1015,3,)))</f>
        <v>CHI</v>
      </c>
      <c r="G105" s="269">
        <v>86.0</v>
      </c>
      <c r="H105" s="270">
        <f>IFERROR(__xludf.DUMMYFUNCTION("""COMPUTED_VALUE"""),86.0)</f>
        <v>86</v>
      </c>
      <c r="I105" s="270">
        <f>IFERROR(__xludf.DUMMYFUNCTION("""COMPUTED_VALUE"""),55.2)</f>
        <v>55.2</v>
      </c>
      <c r="J105" s="271" t="str">
        <f>IFERROR(__xludf.DUMMYFUNCTION("""COMPUTED_VALUE"""),"Nikola Vucevic")</f>
        <v>Nikola Vucevic</v>
      </c>
      <c r="K105" s="270">
        <f>IFERROR(__xludf.DUMMYFUNCTION("""COMPUTED_VALUE"""),73.0)</f>
        <v>73</v>
      </c>
      <c r="L105" s="272" t="str">
        <f>IFERROR(__xludf.DUMMYFUNCTION("""COMPUTED_VALUE"""),"PG,SG")</f>
        <v>PG,SG</v>
      </c>
      <c r="M105" s="273">
        <f>IFERROR(__xludf.DUMMYFUNCTION("""COMPUTED_VALUE"""),-0.9903727139943168)</f>
        <v>-0.990372714</v>
      </c>
      <c r="N105" s="273">
        <f>IFERROR(__xludf.DUMMYFUNCTION("""COMPUTED_VALUE"""),-1.0787041769687917)</f>
        <v>-1.078704177</v>
      </c>
      <c r="O105" s="274">
        <f>IFERROR(__xludf.DUMMYFUNCTION("""COMPUTED_VALUE"""),-0.08833146297447492)</f>
        <v>-0.08833146297</v>
      </c>
      <c r="P105" s="275">
        <f>IFERROR(__xludf.DUMMYFUNCTION("""COMPUTED_VALUE"""),16.21643836)</f>
        <v>16.21643836</v>
      </c>
      <c r="Q105" s="275">
        <f>IFERROR(__xludf.DUMMYFUNCTION("""COMPUTED_VALUE"""),1.126712329)</f>
        <v>1.126712329</v>
      </c>
      <c r="R105" s="275">
        <f>IFERROR(__xludf.DUMMYFUNCTION("""COMPUTED_VALUE"""),9.620273973)</f>
        <v>9.620273973</v>
      </c>
      <c r="S105" s="276">
        <f>IFERROR(__xludf.DUMMYFUNCTION("""COMPUTED_VALUE"""),2.911369863)</f>
        <v>2.911369863</v>
      </c>
      <c r="T105" s="275">
        <f>IFERROR(__xludf.DUMMYFUNCTION("""COMPUTED_VALUE"""),0.6328767123)</f>
        <v>0.6328767123</v>
      </c>
      <c r="U105" s="275">
        <f>IFERROR(__xludf.DUMMYFUNCTION("""COMPUTED_VALUE"""),0.705890411)</f>
        <v>0.705890411</v>
      </c>
      <c r="V105" s="272">
        <f>IFERROR(__xludf.DUMMYFUNCTION("""COMPUTED_VALUE"""),0.4953355311)</f>
        <v>0.4953355311</v>
      </c>
      <c r="W105" s="272">
        <f>IFERROR(__xludf.DUMMYFUNCTION("""COMPUTED_VALUE"""),0.807973089)</f>
        <v>0.807973089</v>
      </c>
      <c r="X105" s="275">
        <f>IFERROR(__xludf.DUMMYFUNCTION("""COMPUTED_VALUE"""),1.392465753)</f>
        <v>1.392465753</v>
      </c>
      <c r="Y105" s="273">
        <f>IFERROR(__xludf.DUMMYFUNCTION("""COMPUTED_VALUE"""),-0.22932632604404338)</f>
        <v>-0.229326326</v>
      </c>
      <c r="Z105" s="273">
        <f>IFERROR(__xludf.DUMMYFUNCTION("""COMPUTED_VALUE"""),-0.6169342575109552)</f>
        <v>-0.6169342575</v>
      </c>
      <c r="AA105" s="273">
        <f>IFERROR(__xludf.DUMMYFUNCTION("""COMPUTED_VALUE"""),1.3861517823153722)</f>
        <v>1.386151782</v>
      </c>
      <c r="AB105" s="273">
        <f>IFERROR(__xludf.DUMMYFUNCTION("""COMPUTED_VALUE"""),-0.46411286496415505)</f>
        <v>-0.464112865</v>
      </c>
      <c r="AC105" s="273">
        <f>IFERROR(__xludf.DUMMYFUNCTION("""COMPUTED_VALUE"""),-1.135159363440584)</f>
        <v>-1.135159363</v>
      </c>
      <c r="AD105" s="273">
        <f>IFERROR(__xludf.DUMMYFUNCTION("""COMPUTED_VALUE"""),-0.07629777533303642)</f>
        <v>-0.07629777533</v>
      </c>
      <c r="AE105" s="273">
        <f>IFERROR(__xludf.DUMMYFUNCTION("""COMPUTED_VALUE"""),-0.03038968124209836)</f>
        <v>-0.03038968124</v>
      </c>
      <c r="AF105" s="273">
        <f>IFERROR(__xludf.DUMMYFUNCTION("""COMPUTED_VALUE"""),0.08736430925070855)</f>
        <v>0.08736430925</v>
      </c>
      <c r="AG105" s="277">
        <f>IFERROR(__xludf.DUMMYFUNCTION("""COMPUTED_VALUE"""),0.0)</f>
        <v>0</v>
      </c>
      <c r="AH105" s="265"/>
      <c r="AI105" s="338"/>
      <c r="AJ105" s="339"/>
      <c r="AK105" s="265"/>
      <c r="AL105" s="265"/>
      <c r="AM105" s="265"/>
      <c r="AN105" s="265"/>
      <c r="AO105" s="265"/>
      <c r="AP105" s="265"/>
      <c r="AQ105" s="265"/>
      <c r="AR105" s="265"/>
      <c r="AS105" s="265"/>
      <c r="AT105" s="265"/>
      <c r="AU105" s="265"/>
      <c r="AV105" s="265"/>
      <c r="AW105" s="265"/>
      <c r="AX105" s="265"/>
      <c r="AY105" s="265"/>
      <c r="AZ105" s="265"/>
      <c r="BA105" s="265"/>
      <c r="BB105" s="265"/>
      <c r="BC105" s="265"/>
      <c r="BD105" s="265"/>
      <c r="BE105" s="265"/>
      <c r="BF105" s="265"/>
      <c r="BG105" s="265"/>
      <c r="BH105" s="265"/>
      <c r="BI105" s="265"/>
      <c r="BJ105" s="265"/>
      <c r="BK105" s="265"/>
      <c r="BL105" s="265"/>
      <c r="BM105" s="265"/>
      <c r="BN105" s="265"/>
      <c r="BO105" s="265"/>
      <c r="BP105" s="265"/>
      <c r="BQ105" s="265"/>
      <c r="BR105" s="265"/>
      <c r="BS105" s="265"/>
      <c r="BT105" s="265"/>
      <c r="BU105" s="265"/>
      <c r="BV105" s="265"/>
    </row>
    <row r="106">
      <c r="A106" s="251">
        <f>VLOOKUP($F106,UpdateHashtag!$V$3:$Y$32,COLUMN(B$15),0)</f>
        <v>4</v>
      </c>
      <c r="B106" s="252">
        <f>VLOOKUP($F106,UpdateHashtag!$V$3:$Y$32,COLUMN(C$13),0)</f>
        <v>4</v>
      </c>
      <c r="C106" s="252">
        <f>VLOOKUP($F106,UpdateHashtag!$V$3:$Y$32,COLUMN(D$13),0)</f>
        <v>4</v>
      </c>
      <c r="D106" s="268">
        <f t="shared" si="4"/>
        <v>12</v>
      </c>
      <c r="E106" s="19"/>
      <c r="F106" s="30" t="str">
        <f>IF(VLOOKUP(J106,PasteHashtag!$C$2:$P1015,3,)="BRO","BKN",IF(VLOOKUP(J106,PasteHashtag!$C$2:$P1015,3,)="OKL","OKC",VLOOKUP(J106,PasteHashtag!$C$2:$P1015,3,)))</f>
        <v>UTA</v>
      </c>
      <c r="G106" s="269">
        <v>87.0</v>
      </c>
      <c r="H106" s="270">
        <f>IFERROR(__xludf.DUMMYFUNCTION("""COMPUTED_VALUE"""),70.0)</f>
        <v>70</v>
      </c>
      <c r="I106" s="270">
        <f>IFERROR(__xludf.DUMMYFUNCTION("""COMPUTED_VALUE"""),93.2)</f>
        <v>93.2</v>
      </c>
      <c r="J106" s="271" t="str">
        <f>IFERROR(__xludf.DUMMYFUNCTION("""COMPUTED_VALUE"""),"Walker Kessler")</f>
        <v>Walker Kessler</v>
      </c>
      <c r="K106" s="270">
        <f>IFERROR(__xludf.DUMMYFUNCTION("""COMPUTED_VALUE"""),64.0)</f>
        <v>64</v>
      </c>
      <c r="L106" s="272" t="str">
        <f>IFERROR(__xludf.DUMMYFUNCTION("""COMPUTED_VALUE"""),"PF,C")</f>
        <v>PF,C</v>
      </c>
      <c r="M106" s="273">
        <f>IFERROR(__xludf.DUMMYFUNCTION("""COMPUTED_VALUE"""),-0.9492859850222184)</f>
        <v>-0.949285985</v>
      </c>
      <c r="N106" s="273">
        <f>IFERROR(__xludf.DUMMYFUNCTION("""COMPUTED_VALUE"""),-1.0870779941298534)</f>
        <v>-1.087077994</v>
      </c>
      <c r="O106" s="274">
        <f>IFERROR(__xludf.DUMMYFUNCTION("""COMPUTED_VALUE"""),-0.137792009107635)</f>
        <v>-0.1377920091</v>
      </c>
      <c r="P106" s="275">
        <f>IFERROR(__xludf.DUMMYFUNCTION("""COMPUTED_VALUE"""),9.348356164)</f>
        <v>9.348356164</v>
      </c>
      <c r="Q106" s="275">
        <f>IFERROR(__xludf.DUMMYFUNCTION("""COMPUTED_VALUE"""),0.05712328767)</f>
        <v>0.05712328767</v>
      </c>
      <c r="R106" s="275">
        <f>IFERROR(__xludf.DUMMYFUNCTION("""COMPUTED_VALUE"""),8.805890411)</f>
        <v>8.805890411</v>
      </c>
      <c r="S106" s="276">
        <f>IFERROR(__xludf.DUMMYFUNCTION("""COMPUTED_VALUE"""),1.306712329)</f>
        <v>1.306712329</v>
      </c>
      <c r="T106" s="275">
        <f>IFERROR(__xludf.DUMMYFUNCTION("""COMPUTED_VALUE"""),0.5171232877)</f>
        <v>0.5171232877</v>
      </c>
      <c r="U106" s="275">
        <f>IFERROR(__xludf.DUMMYFUNCTION("""COMPUTED_VALUE"""),2.556575342)</f>
        <v>2.556575342</v>
      </c>
      <c r="V106" s="272">
        <f>IFERROR(__xludf.DUMMYFUNCTION("""COMPUTED_VALUE"""),0.6835808675)</f>
        <v>0.6835808675</v>
      </c>
      <c r="W106" s="272">
        <f>IFERROR(__xludf.DUMMYFUNCTION("""COMPUTED_VALUE"""),0.650042123)</f>
        <v>0.650042123</v>
      </c>
      <c r="X106" s="275">
        <f>IFERROR(__xludf.DUMMYFUNCTION("""COMPUTED_VALUE"""),1.193013699)</f>
        <v>1.193013699</v>
      </c>
      <c r="Y106" s="273">
        <f>IFERROR(__xludf.DUMMYFUNCTION("""COMPUTED_VALUE"""),-1.467336869217631)</f>
        <v>-1.467336869</v>
      </c>
      <c r="Z106" s="273">
        <f>IFERROR(__xludf.DUMMYFUNCTION("""COMPUTED_VALUE"""),-1.6778901526500454)</f>
        <v>-1.677890153</v>
      </c>
      <c r="AA106" s="273">
        <f>IFERROR(__xludf.DUMMYFUNCTION("""COMPUTED_VALUE"""),1.0669891666654168)</f>
        <v>1.066989167</v>
      </c>
      <c r="AB106" s="273">
        <f>IFERROR(__xludf.DUMMYFUNCTION("""COMPUTED_VALUE"""),-1.1928494852155074)</f>
        <v>-1.192849485</v>
      </c>
      <c r="AC106" s="273">
        <f>IFERROR(__xludf.DUMMYFUNCTION("""COMPUTED_VALUE"""),-1.5181079667422883)</f>
        <v>-1.518107967</v>
      </c>
      <c r="AD106" s="273">
        <f>IFERROR(__xludf.DUMMYFUNCTION("""COMPUTED_VALUE"""),3.2246723745088923)</f>
        <v>3.224672375</v>
      </c>
      <c r="AE106" s="273">
        <f>IFERROR(__xludf.DUMMYFUNCTION("""COMPUTED_VALUE"""),1.3053788507730175)</f>
        <v>1.305378851</v>
      </c>
      <c r="AF106" s="273">
        <f>IFERROR(__xludf.DUMMYFUNCTION("""COMPUTED_VALUE"""),-0.8279339122517073)</f>
        <v>-0.8279339123</v>
      </c>
      <c r="AG106" s="277">
        <f>IFERROR(__xludf.DUMMYFUNCTION("""COMPUTED_VALUE"""),0.0)</f>
        <v>0</v>
      </c>
      <c r="AH106" s="265"/>
      <c r="AI106" s="338"/>
      <c r="AJ106" s="339"/>
      <c r="AK106" s="265"/>
      <c r="AL106" s="265"/>
      <c r="AM106" s="265"/>
      <c r="AN106" s="265"/>
      <c r="AO106" s="265"/>
      <c r="AP106" s="265"/>
      <c r="AQ106" s="265"/>
      <c r="AR106" s="265"/>
      <c r="AS106" s="265"/>
      <c r="AT106" s="265"/>
      <c r="AU106" s="265"/>
      <c r="AV106" s="265"/>
      <c r="AW106" s="265"/>
      <c r="AX106" s="265"/>
      <c r="AY106" s="265"/>
      <c r="AZ106" s="265"/>
      <c r="BA106" s="265"/>
      <c r="BB106" s="265"/>
      <c r="BC106" s="265"/>
      <c r="BD106" s="265"/>
      <c r="BE106" s="265"/>
      <c r="BF106" s="265"/>
      <c r="BG106" s="265"/>
      <c r="BH106" s="265"/>
      <c r="BI106" s="265"/>
      <c r="BJ106" s="265"/>
      <c r="BK106" s="265"/>
      <c r="BL106" s="265"/>
      <c r="BM106" s="265"/>
      <c r="BN106" s="265"/>
      <c r="BO106" s="265"/>
      <c r="BP106" s="265"/>
      <c r="BQ106" s="265"/>
      <c r="BR106" s="265"/>
      <c r="BS106" s="265"/>
      <c r="BT106" s="265"/>
      <c r="BU106" s="265"/>
      <c r="BV106" s="265"/>
    </row>
    <row r="107">
      <c r="A107" s="251">
        <f>VLOOKUP($F107,UpdateHashtag!$V$3:$Y$32,COLUMN(B$15),0)</f>
        <v>3</v>
      </c>
      <c r="B107" s="252">
        <f>VLOOKUP($F107,UpdateHashtag!$V$3:$Y$32,COLUMN(C$13),0)</f>
        <v>5</v>
      </c>
      <c r="C107" s="252">
        <f>VLOOKUP($F107,UpdateHashtag!$V$3:$Y$32,COLUMN(D$13),0)</f>
        <v>3</v>
      </c>
      <c r="D107" s="268">
        <f t="shared" si="4"/>
        <v>11</v>
      </c>
      <c r="E107" s="19"/>
      <c r="F107" s="30" t="str">
        <f>IF(VLOOKUP(J107,PasteHashtag!$C$2:$P1015,3,)="BRO","BKN",IF(VLOOKUP(J107,PasteHashtag!$C$2:$P1015,3,)="OKL","OKC",VLOOKUP(J107,PasteHashtag!$C$2:$P1015,3,)))</f>
        <v>WAS</v>
      </c>
      <c r="G107" s="269">
        <v>88.0</v>
      </c>
      <c r="H107" s="270">
        <f>IFERROR(__xludf.DUMMYFUNCTION("""COMPUTED_VALUE"""),94.0)</f>
        <v>94</v>
      </c>
      <c r="I107" s="270">
        <f>IFERROR(__xludf.DUMMYFUNCTION("""COMPUTED_VALUE"""),82.5)</f>
        <v>82.5</v>
      </c>
      <c r="J107" s="271" t="str">
        <f>IFERROR(__xludf.DUMMYFUNCTION("""COMPUTED_VALUE"""),"Kyle Kuzma")</f>
        <v>Kyle Kuzma</v>
      </c>
      <c r="K107" s="270">
        <f>IFERROR(__xludf.DUMMYFUNCTION("""COMPUTED_VALUE"""),67.0)</f>
        <v>67</v>
      </c>
      <c r="L107" s="272" t="str">
        <f>IFERROR(__xludf.DUMMYFUNCTION("""COMPUTED_VALUE"""),"C")</f>
        <v>C</v>
      </c>
      <c r="M107" s="273">
        <f>IFERROR(__xludf.DUMMYFUNCTION("""COMPUTED_VALUE"""),-1.41354389196998)</f>
        <v>-1.413543892</v>
      </c>
      <c r="N107" s="273">
        <f>IFERROR(__xludf.DUMMYFUNCTION("""COMPUTED_VALUE"""),-1.1024882371622566)</f>
        <v>-1.102488237</v>
      </c>
      <c r="O107" s="274">
        <f>IFERROR(__xludf.DUMMYFUNCTION("""COMPUTED_VALUE"""),0.31105565480772346)</f>
        <v>0.3110556548</v>
      </c>
      <c r="P107" s="275">
        <f>IFERROR(__xludf.DUMMYFUNCTION("""COMPUTED_VALUE"""),21.66260274)</f>
        <v>21.66260274</v>
      </c>
      <c r="Q107" s="275">
        <f>IFERROR(__xludf.DUMMYFUNCTION("""COMPUTED_VALUE"""),1.784109589)</f>
        <v>1.784109589</v>
      </c>
      <c r="R107" s="275">
        <f>IFERROR(__xludf.DUMMYFUNCTION("""COMPUTED_VALUE"""),6.006027397)</f>
        <v>6.006027397</v>
      </c>
      <c r="S107" s="276">
        <f>IFERROR(__xludf.DUMMYFUNCTION("""COMPUTED_VALUE"""),4.29)</f>
        <v>4.29</v>
      </c>
      <c r="T107" s="275">
        <f>IFERROR(__xludf.DUMMYFUNCTION("""COMPUTED_VALUE"""),0.6387671233)</f>
        <v>0.6387671233</v>
      </c>
      <c r="U107" s="275">
        <f>IFERROR(__xludf.DUMMYFUNCTION("""COMPUTED_VALUE"""),0.718630137)</f>
        <v>0.718630137</v>
      </c>
      <c r="V107" s="272">
        <f>IFERROR(__xludf.DUMMYFUNCTION("""COMPUTED_VALUE"""),0.4744839783)</f>
        <v>0.4744839783</v>
      </c>
      <c r="W107" s="272">
        <f>IFERROR(__xludf.DUMMYFUNCTION("""COMPUTED_VALUE"""),0.7680089033)</f>
        <v>0.7680089033</v>
      </c>
      <c r="X107" s="275">
        <f>IFERROR(__xludf.DUMMYFUNCTION("""COMPUTED_VALUE"""),3.003013699)</f>
        <v>3.003013699</v>
      </c>
      <c r="Y107" s="273">
        <f>IFERROR(__xludf.DUMMYFUNCTION("""COMPUTED_VALUE"""),0.7523755129676168)</f>
        <v>0.752375513</v>
      </c>
      <c r="Z107" s="273">
        <f>IFERROR(__xludf.DUMMYFUNCTION("""COMPUTED_VALUE"""),0.03515684616939295)</f>
        <v>0.03515684617</v>
      </c>
      <c r="AA107" s="273">
        <f>IFERROR(__xludf.DUMMYFUNCTION("""COMPUTED_VALUE"""),-0.03029673730744363)</f>
        <v>-0.03029673731</v>
      </c>
      <c r="AB107" s="273">
        <f>IFERROR(__xludf.DUMMYFUNCTION("""COMPUTED_VALUE"""),0.16197603271464328)</f>
        <v>0.1619760327</v>
      </c>
      <c r="AC107" s="273">
        <f>IFERROR(__xludf.DUMMYFUNCTION("""COMPUTED_VALUE"""),-1.1156720379198237)</f>
        <v>-1.115672038</v>
      </c>
      <c r="AD107" s="273">
        <f>IFERROR(__xludf.DUMMYFUNCTION("""COMPUTED_VALUE"""),-0.05357459077647239)</f>
        <v>-0.05357459078</v>
      </c>
      <c r="AE107" s="273">
        <f>IFERROR(__xludf.DUMMYFUNCTION("""COMPUTED_VALUE"""),-0.4675818496417563)</f>
        <v>-0.4675818496</v>
      </c>
      <c r="AF107" s="273">
        <f>IFERROR(__xludf.DUMMYFUNCTION("""COMPUTED_VALUE"""),-0.38487141336841363)</f>
        <v>-0.3848714134</v>
      </c>
      <c r="AG107" s="277">
        <f>IFERROR(__xludf.DUMMYFUNCTION("""COMPUTED_VALUE"""),0.0)</f>
        <v>0</v>
      </c>
      <c r="AH107" s="265"/>
      <c r="AI107" s="338"/>
      <c r="AJ107" s="339"/>
      <c r="AK107" s="265"/>
      <c r="AL107" s="265"/>
      <c r="AM107" s="265"/>
      <c r="AN107" s="265"/>
      <c r="AO107" s="265"/>
      <c r="AP107" s="265"/>
      <c r="AQ107" s="265"/>
      <c r="AR107" s="265"/>
      <c r="AS107" s="265"/>
      <c r="AT107" s="265"/>
      <c r="AU107" s="265"/>
      <c r="AV107" s="265"/>
      <c r="AW107" s="265"/>
      <c r="AX107" s="265"/>
      <c r="AY107" s="265"/>
      <c r="AZ107" s="265"/>
      <c r="BA107" s="265"/>
      <c r="BB107" s="265"/>
      <c r="BC107" s="265"/>
      <c r="BD107" s="265"/>
      <c r="BE107" s="265"/>
      <c r="BF107" s="265"/>
      <c r="BG107" s="265"/>
      <c r="BH107" s="265"/>
      <c r="BI107" s="265"/>
      <c r="BJ107" s="265"/>
      <c r="BK107" s="265"/>
      <c r="BL107" s="265"/>
      <c r="BM107" s="265"/>
      <c r="BN107" s="265"/>
      <c r="BO107" s="265"/>
      <c r="BP107" s="265"/>
      <c r="BQ107" s="265"/>
      <c r="BR107" s="265"/>
      <c r="BS107" s="265"/>
      <c r="BT107" s="265"/>
      <c r="BU107" s="265"/>
      <c r="BV107" s="265"/>
    </row>
    <row r="108">
      <c r="A108" s="251">
        <f>VLOOKUP($F108,UpdateHashtag!$V$3:$Y$32,COLUMN(B$15),0)</f>
        <v>3</v>
      </c>
      <c r="B108" s="252">
        <f>VLOOKUP($F108,UpdateHashtag!$V$3:$Y$32,COLUMN(C$13),0)</f>
        <v>5</v>
      </c>
      <c r="C108" s="252">
        <f>VLOOKUP($F108,UpdateHashtag!$V$3:$Y$32,COLUMN(D$13),0)</f>
        <v>3</v>
      </c>
      <c r="D108" s="268">
        <f t="shared" si="4"/>
        <v>11</v>
      </c>
      <c r="E108" s="19"/>
      <c r="F108" s="30" t="str">
        <f>IF(VLOOKUP(J108,PasteHashtag!$C$2:$P1015,3,)="BRO","BKN",IF(VLOOKUP(J108,PasteHashtag!$C$2:$P1015,3,)="OKL","OKC",VLOOKUP(J108,PasteHashtag!$C$2:$P1015,3,)))</f>
        <v>BKN</v>
      </c>
      <c r="G108" s="269">
        <v>89.0</v>
      </c>
      <c r="H108" s="270">
        <f>IFERROR(__xludf.DUMMYFUNCTION("""COMPUTED_VALUE"""),79.0)</f>
        <v>79</v>
      </c>
      <c r="I108" s="270">
        <f>IFERROR(__xludf.DUMMYFUNCTION("""COMPUTED_VALUE"""),63.9)</f>
        <v>63.9</v>
      </c>
      <c r="J108" s="271" t="str">
        <f>IFERROR(__xludf.DUMMYFUNCTION("""COMPUTED_VALUE"""),"Nicolas Claxton")</f>
        <v>Nicolas Claxton</v>
      </c>
      <c r="K108" s="270">
        <f>IFERROR(__xludf.DUMMYFUNCTION("""COMPUTED_VALUE"""),70.0)</f>
        <v>70</v>
      </c>
      <c r="L108" s="272" t="str">
        <f>IFERROR(__xludf.DUMMYFUNCTION("""COMPUTED_VALUE"""),"PG")</f>
        <v>PG</v>
      </c>
      <c r="M108" s="273">
        <f>IFERROR(__xludf.DUMMYFUNCTION("""COMPUTED_VALUE"""),-1.2330421084207177)</f>
        <v>-1.233042108</v>
      </c>
      <c r="N108" s="273">
        <f>IFERROR(__xludf.DUMMYFUNCTION("""COMPUTED_VALUE"""),-1.2622994708460298)</f>
        <v>-1.262299471</v>
      </c>
      <c r="O108" s="274">
        <f>IFERROR(__xludf.DUMMYFUNCTION("""COMPUTED_VALUE"""),-0.029257362425312072)</f>
        <v>-0.02925736243</v>
      </c>
      <c r="P108" s="275">
        <f>IFERROR(__xludf.DUMMYFUNCTION("""COMPUTED_VALUE"""),13.46027397)</f>
        <v>13.46027397</v>
      </c>
      <c r="Q108" s="275">
        <f>IFERROR(__xludf.DUMMYFUNCTION("""COMPUTED_VALUE"""),0.0)</f>
        <v>0</v>
      </c>
      <c r="R108" s="275">
        <f>IFERROR(__xludf.DUMMYFUNCTION("""COMPUTED_VALUE"""),9.98)</f>
        <v>9.98</v>
      </c>
      <c r="S108" s="276">
        <f>IFERROR(__xludf.DUMMYFUNCTION("""COMPUTED_VALUE"""),2.478767123)</f>
        <v>2.478767123</v>
      </c>
      <c r="T108" s="275">
        <f>IFERROR(__xludf.DUMMYFUNCTION("""COMPUTED_VALUE"""),0.7197260274)</f>
        <v>0.7197260274</v>
      </c>
      <c r="U108" s="275">
        <f>IFERROR(__xludf.DUMMYFUNCTION("""COMPUTED_VALUE"""),2.022054795)</f>
        <v>2.022054795</v>
      </c>
      <c r="V108" s="272">
        <f>IFERROR(__xludf.DUMMYFUNCTION("""COMPUTED_VALUE"""),0.6600061767)</f>
        <v>0.6600061767</v>
      </c>
      <c r="W108" s="272">
        <f>IFERROR(__xludf.DUMMYFUNCTION("""COMPUTED_VALUE"""),0.5479969117)</f>
        <v>0.5479969117</v>
      </c>
      <c r="X108" s="275">
        <f>IFERROR(__xludf.DUMMYFUNCTION("""COMPUTED_VALUE"""),1.630684932)</f>
        <v>1.630684932</v>
      </c>
      <c r="Y108" s="273">
        <f>IFERROR(__xludf.DUMMYFUNCTION("""COMPUTED_VALUE"""),-0.7261404986418696)</f>
        <v>-0.7261404986</v>
      </c>
      <c r="Z108" s="273">
        <f>IFERROR(__xludf.DUMMYFUNCTION("""COMPUTED_VALUE"""),-1.7345523719336797)</f>
        <v>-1.734552372</v>
      </c>
      <c r="AA108" s="273">
        <f>IFERROR(__xludf.DUMMYFUNCTION("""COMPUTED_VALUE"""),1.5271309290613213)</f>
        <v>1.527130929</v>
      </c>
      <c r="AB108" s="273">
        <f>IFERROR(__xludf.DUMMYFUNCTION("""COMPUTED_VALUE"""),-0.660574385244578)</f>
        <v>-0.6605743852</v>
      </c>
      <c r="AC108" s="273">
        <f>IFERROR(__xludf.DUMMYFUNCTION("""COMPUTED_VALUE"""),-0.8478346123139152)</f>
        <v>-0.8478346123</v>
      </c>
      <c r="AD108" s="273">
        <f>IFERROR(__xludf.DUMMYFUNCTION("""COMPUTED_VALUE"""),2.2712759640400484)</f>
        <v>2.271275964</v>
      </c>
      <c r="AE108" s="273">
        <f>IFERROR(__xludf.DUMMYFUNCTION("""COMPUTED_VALUE"""),1.6794627570015943)</f>
        <v>1.679462757</v>
      </c>
      <c r="AF108" s="273">
        <f>IFERROR(__xludf.DUMMYFUNCTION("""COMPUTED_VALUE"""),-2.771067252814951)</f>
        <v>-2.771067253</v>
      </c>
      <c r="AG108" s="277">
        <f>IFERROR(__xludf.DUMMYFUNCTION("""COMPUTED_VALUE"""),0.0)</f>
        <v>0</v>
      </c>
      <c r="AH108" s="265"/>
      <c r="AI108" s="338"/>
      <c r="AJ108" s="339"/>
      <c r="AK108" s="265"/>
      <c r="AL108" s="265"/>
      <c r="AM108" s="265"/>
      <c r="AN108" s="265"/>
      <c r="AO108" s="265"/>
      <c r="AP108" s="265"/>
      <c r="AQ108" s="265"/>
      <c r="AR108" s="265"/>
      <c r="AS108" s="265"/>
      <c r="AT108" s="265"/>
      <c r="AU108" s="265"/>
      <c r="AV108" s="265"/>
      <c r="AW108" s="265"/>
      <c r="AX108" s="265"/>
      <c r="AY108" s="265"/>
      <c r="AZ108" s="265"/>
      <c r="BA108" s="265"/>
      <c r="BB108" s="265"/>
      <c r="BC108" s="265"/>
      <c r="BD108" s="265"/>
      <c r="BE108" s="265"/>
      <c r="BF108" s="265"/>
      <c r="BG108" s="265"/>
      <c r="BH108" s="265"/>
      <c r="BI108" s="265"/>
      <c r="BJ108" s="265"/>
      <c r="BK108" s="265"/>
      <c r="BL108" s="265"/>
      <c r="BM108" s="265"/>
      <c r="BN108" s="265"/>
      <c r="BO108" s="265"/>
      <c r="BP108" s="265"/>
      <c r="BQ108" s="265"/>
      <c r="BR108" s="265"/>
      <c r="BS108" s="265"/>
      <c r="BT108" s="265"/>
      <c r="BU108" s="265"/>
      <c r="BV108" s="265"/>
    </row>
    <row r="109">
      <c r="A109" s="251">
        <f>VLOOKUP($F109,UpdateHashtag!$V$3:$Y$32,COLUMN(B$15),0)</f>
        <v>4</v>
      </c>
      <c r="B109" s="252">
        <f>VLOOKUP($F109,UpdateHashtag!$V$3:$Y$32,COLUMN(C$13),0)</f>
        <v>4</v>
      </c>
      <c r="C109" s="252">
        <f>VLOOKUP($F109,UpdateHashtag!$V$3:$Y$32,COLUMN(D$13),0)</f>
        <v>4</v>
      </c>
      <c r="D109" s="268">
        <f t="shared" si="4"/>
        <v>12</v>
      </c>
      <c r="E109" s="19"/>
      <c r="F109" s="30" t="str">
        <f>IF(VLOOKUP(J109,PasteHashtag!$C$2:$P1015,3,)="BRO","BKN",IF(VLOOKUP(J109,PasteHashtag!$C$2:$P1015,3,)="OKL","OKC",VLOOKUP(J109,PasteHashtag!$C$2:$P1015,3,)))</f>
        <v>UTA</v>
      </c>
      <c r="G109" s="269">
        <v>90.0</v>
      </c>
      <c r="H109" s="270">
        <f>IFERROR(__xludf.DUMMYFUNCTION("""COMPUTED_VALUE"""),100.0)</f>
        <v>100</v>
      </c>
      <c r="I109" s="270">
        <f>IFERROR(__xludf.DUMMYFUNCTION("""COMPUTED_VALUE"""),118.7)</f>
        <v>118.7</v>
      </c>
      <c r="J109" s="271" t="str">
        <f>IFERROR(__xludf.DUMMYFUNCTION("""COMPUTED_VALUE"""),"Keyonte George")</f>
        <v>Keyonte George</v>
      </c>
      <c r="K109" s="270">
        <f>IFERROR(__xludf.DUMMYFUNCTION("""COMPUTED_VALUE"""),50.0)</f>
        <v>50</v>
      </c>
      <c r="L109" s="272" t="str">
        <f>IFERROR(__xludf.DUMMYFUNCTION("""COMPUTED_VALUE"""),"PF")</f>
        <v>PF</v>
      </c>
      <c r="M109" s="273">
        <f>IFERROR(__xludf.DUMMYFUNCTION("""COMPUTED_VALUE"""),-1.7330447844561192)</f>
        <v>-1.733044784</v>
      </c>
      <c r="N109" s="273">
        <f>IFERROR(__xludf.DUMMYFUNCTION("""COMPUTED_VALUE"""),-1.3057092877009024)</f>
        <v>-1.305709288</v>
      </c>
      <c r="O109" s="274">
        <f>IFERROR(__xludf.DUMMYFUNCTION("""COMPUTED_VALUE"""),0.42733549675521676)</f>
        <v>0.4273354968</v>
      </c>
      <c r="P109" s="275">
        <f>IFERROR(__xludf.DUMMYFUNCTION("""COMPUTED_VALUE"""),18.19739726)</f>
        <v>18.19739726</v>
      </c>
      <c r="Q109" s="275">
        <f>IFERROR(__xludf.DUMMYFUNCTION("""COMPUTED_VALUE"""),2.684246575)</f>
        <v>2.684246575</v>
      </c>
      <c r="R109" s="275">
        <f>IFERROR(__xludf.DUMMYFUNCTION("""COMPUTED_VALUE"""),2.916438356)</f>
        <v>2.916438356</v>
      </c>
      <c r="S109" s="276">
        <f>IFERROR(__xludf.DUMMYFUNCTION("""COMPUTED_VALUE"""),6.18)</f>
        <v>6.18</v>
      </c>
      <c r="T109" s="275">
        <f>IFERROR(__xludf.DUMMYFUNCTION("""COMPUTED_VALUE"""),0.7638356164)</f>
        <v>0.7638356164</v>
      </c>
      <c r="U109" s="275">
        <f>IFERROR(__xludf.DUMMYFUNCTION("""COMPUTED_VALUE"""),0.1367123288)</f>
        <v>0.1367123288</v>
      </c>
      <c r="V109" s="272">
        <f>IFERROR(__xludf.DUMMYFUNCTION("""COMPUTED_VALUE"""),0.4156589368)</f>
        <v>0.4156589368</v>
      </c>
      <c r="W109" s="272">
        <f>IFERROR(__xludf.DUMMYFUNCTION("""COMPUTED_VALUE"""),0.8670144299)</f>
        <v>0.8670144299</v>
      </c>
      <c r="X109" s="275">
        <f>IFERROR(__xludf.DUMMYFUNCTION("""COMPUTED_VALUE"""),3.471917808)</f>
        <v>3.471917808</v>
      </c>
      <c r="Y109" s="273">
        <f>IFERROR(__xludf.DUMMYFUNCTION("""COMPUTED_VALUE"""),0.1277526857974085)</f>
        <v>0.1277526858</v>
      </c>
      <c r="Z109" s="273">
        <f>IFERROR(__xludf.DUMMYFUNCTION("""COMPUTED_VALUE"""),0.9280284116277614)</f>
        <v>0.9280284116</v>
      </c>
      <c r="AA109" s="273">
        <f>IFERROR(__xludf.DUMMYFUNCTION("""COMPUTED_VALUE"""),-1.2411282982826366)</f>
        <v>-1.241128298</v>
      </c>
      <c r="AB109" s="273">
        <f>IFERROR(__xludf.DUMMYFUNCTION("""COMPUTED_VALUE"""),1.0202976266324242)</f>
        <v>1.020297627</v>
      </c>
      <c r="AC109" s="273">
        <f>IFERROR(__xludf.DUMMYFUNCTION("""COMPUTED_VALUE"""),-0.7019062688706561)</f>
        <v>-0.7019062689</v>
      </c>
      <c r="AD109" s="273">
        <f>IFERROR(__xludf.DUMMYFUNCTION("""COMPUTED_VALUE"""),-1.0915110230419605)</f>
        <v>-1.091511023</v>
      </c>
      <c r="AE109" s="273">
        <f>IFERROR(__xludf.DUMMYFUNCTION("""COMPUTED_VALUE"""),-1.370650772532118)</f>
        <v>-1.370650773</v>
      </c>
      <c r="AF109" s="273">
        <f>IFERROR(__xludf.DUMMYFUNCTION("""COMPUTED_VALUE"""),1.0234083509688747)</f>
        <v>1.023408351</v>
      </c>
      <c r="AG109" s="277">
        <f>IFERROR(__xludf.DUMMYFUNCTION("""COMPUTED_VALUE"""),0.0)</f>
        <v>0</v>
      </c>
      <c r="AH109" s="265"/>
      <c r="AI109" s="338"/>
      <c r="AJ109" s="339"/>
      <c r="AK109" s="265"/>
      <c r="AL109" s="265"/>
      <c r="AM109" s="265"/>
      <c r="AN109" s="265"/>
      <c r="AO109" s="265"/>
      <c r="AP109" s="265"/>
      <c r="AQ109" s="265"/>
      <c r="AR109" s="265"/>
      <c r="AS109" s="265"/>
      <c r="AT109" s="265"/>
      <c r="AU109" s="265"/>
      <c r="AV109" s="265"/>
      <c r="AW109" s="265"/>
      <c r="AX109" s="265"/>
      <c r="AY109" s="265"/>
      <c r="AZ109" s="265"/>
      <c r="BA109" s="265"/>
      <c r="BB109" s="265"/>
      <c r="BC109" s="265"/>
      <c r="BD109" s="265"/>
      <c r="BE109" s="265"/>
      <c r="BF109" s="265"/>
      <c r="BG109" s="265"/>
      <c r="BH109" s="265"/>
      <c r="BI109" s="265"/>
      <c r="BJ109" s="265"/>
      <c r="BK109" s="265"/>
      <c r="BL109" s="265"/>
      <c r="BM109" s="265"/>
      <c r="BN109" s="265"/>
      <c r="BO109" s="265"/>
      <c r="BP109" s="265"/>
      <c r="BQ109" s="265"/>
      <c r="BR109" s="265"/>
      <c r="BS109" s="265"/>
      <c r="BT109" s="265"/>
      <c r="BU109" s="265"/>
      <c r="BV109" s="265"/>
    </row>
    <row r="110">
      <c r="A110" s="251">
        <f>VLOOKUP($F110,UpdateHashtag!$V$3:$Y$32,COLUMN(B$15),0)</f>
        <v>3</v>
      </c>
      <c r="B110" s="252">
        <f>VLOOKUP($F110,UpdateHashtag!$V$3:$Y$32,COLUMN(C$13),0)</f>
        <v>3</v>
      </c>
      <c r="C110" s="252">
        <f>VLOOKUP($F110,UpdateHashtag!$V$3:$Y$32,COLUMN(D$13),0)</f>
        <v>4</v>
      </c>
      <c r="D110" s="268">
        <f t="shared" si="4"/>
        <v>10</v>
      </c>
      <c r="E110" s="19"/>
      <c r="F110" s="30" t="str">
        <f>IF(VLOOKUP(J110,PasteHashtag!$C$2:$P1015,3,)="BRO","BKN",IF(VLOOKUP(J110,PasteHashtag!$C$2:$P1015,3,)="OKL","OKC",VLOOKUP(J110,PasteHashtag!$C$2:$P1015,3,)))</f>
        <v>NY</v>
      </c>
      <c r="G110" s="269">
        <v>91.0</v>
      </c>
      <c r="H110" s="270">
        <f>IFERROR(__xludf.DUMMYFUNCTION("""COMPUTED_VALUE"""),96.0)</f>
        <v>96</v>
      </c>
      <c r="I110" s="270">
        <f>IFERROR(__xludf.DUMMYFUNCTION("""COMPUTED_VALUE"""),116.3)</f>
        <v>116.3</v>
      </c>
      <c r="J110" s="271" t="str">
        <f>IFERROR(__xludf.DUMMYFUNCTION("""COMPUTED_VALUE"""),"Josh Hart")</f>
        <v>Josh Hart</v>
      </c>
      <c r="K110" s="270">
        <f>IFERROR(__xludf.DUMMYFUNCTION("""COMPUTED_VALUE"""),72.0)</f>
        <v>72</v>
      </c>
      <c r="L110" s="272" t="str">
        <f>IFERROR(__xludf.DUMMYFUNCTION("""COMPUTED_VALUE"""),"PF,C")</f>
        <v>PF,C</v>
      </c>
      <c r="M110" s="273">
        <f>IFERROR(__xludf.DUMMYFUNCTION("""COMPUTED_VALUE"""),-1.3051445317902188)</f>
        <v>-1.305144532</v>
      </c>
      <c r="N110" s="273">
        <f>IFERROR(__xludf.DUMMYFUNCTION("""COMPUTED_VALUE"""),-1.3113361588235815)</f>
        <v>-1.311336159</v>
      </c>
      <c r="O110" s="274">
        <f>IFERROR(__xludf.DUMMYFUNCTION("""COMPUTED_VALUE"""),-0.006191627033362623)</f>
        <v>-0.006191627033</v>
      </c>
      <c r="P110" s="275">
        <f>IFERROR(__xludf.DUMMYFUNCTION("""COMPUTED_VALUE"""),8.972739726)</f>
        <v>8.972739726</v>
      </c>
      <c r="Q110" s="275">
        <f>IFERROR(__xludf.DUMMYFUNCTION("""COMPUTED_VALUE"""),0.7701369863)</f>
        <v>0.7701369863</v>
      </c>
      <c r="R110" s="275">
        <f>IFERROR(__xludf.DUMMYFUNCTION("""COMPUTED_VALUE"""),9.693972603)</f>
        <v>9.693972603</v>
      </c>
      <c r="S110" s="276">
        <f>IFERROR(__xludf.DUMMYFUNCTION("""COMPUTED_VALUE"""),4.883972603)</f>
        <v>4.883972603</v>
      </c>
      <c r="T110" s="275">
        <f>IFERROR(__xludf.DUMMYFUNCTION("""COMPUTED_VALUE"""),1.086849315)</f>
        <v>1.086849315</v>
      </c>
      <c r="U110" s="275">
        <f>IFERROR(__xludf.DUMMYFUNCTION("""COMPUTED_VALUE"""),0.3756164384)</f>
        <v>0.3756164384</v>
      </c>
      <c r="V110" s="272">
        <f>IFERROR(__xludf.DUMMYFUNCTION("""COMPUTED_VALUE"""),0.4730107449)</f>
        <v>0.4730107449</v>
      </c>
      <c r="W110" s="272">
        <f>IFERROR(__xludf.DUMMYFUNCTION("""COMPUTED_VALUE"""),0.7660477977)</f>
        <v>0.7660477977</v>
      </c>
      <c r="X110" s="275">
        <f>IFERROR(__xludf.DUMMYFUNCTION("""COMPUTED_VALUE"""),1.72369863)</f>
        <v>1.72369863</v>
      </c>
      <c r="Y110" s="273">
        <f>IFERROR(__xludf.DUMMYFUNCTION("""COMPUTED_VALUE"""),-1.535043850171373)</f>
        <v>-1.53504385</v>
      </c>
      <c r="Z110" s="273">
        <f>IFERROR(__xludf.DUMMYFUNCTION("""COMPUTED_VALUE"""),-0.9706315162528633)</f>
        <v>-0.9706315163</v>
      </c>
      <c r="AA110" s="273">
        <f>IFERROR(__xludf.DUMMYFUNCTION("""COMPUTED_VALUE"""),1.4150347910328525)</f>
        <v>1.415034791</v>
      </c>
      <c r="AB110" s="273">
        <f>IFERROR(__xludf.DUMMYFUNCTION("""COMPUTED_VALUE"""),0.4317218059159414)</f>
        <v>0.4317218059</v>
      </c>
      <c r="AC110" s="273">
        <f>IFERROR(__xludf.DUMMYFUNCTION("""COMPUTED_VALUE"""),0.36672427189856893)</f>
        <v>0.3667242719</v>
      </c>
      <c r="AD110" s="273">
        <f>IFERROR(__xludf.DUMMYFUNCTION("""COMPUTED_VALUE"""),-0.6653902278409946)</f>
        <v>-0.6653902278</v>
      </c>
      <c r="AE110" s="273">
        <f>IFERROR(__xludf.DUMMYFUNCTION("""COMPUTED_VALUE"""),-0.2127633283533736)</f>
        <v>-0.2127633284</v>
      </c>
      <c r="AF110" s="273">
        <f>IFERROR(__xludf.DUMMYFUNCTION("""COMPUTED_VALUE"""),-0.14098810505233966)</f>
        <v>-0.1409881051</v>
      </c>
      <c r="AG110" s="277">
        <f>IFERROR(__xludf.DUMMYFUNCTION("""COMPUTED_VALUE"""),0.0)</f>
        <v>0</v>
      </c>
      <c r="AH110" s="265"/>
      <c r="AI110" s="338"/>
      <c r="AJ110" s="339"/>
      <c r="AK110" s="265"/>
      <c r="AL110" s="265"/>
      <c r="AM110" s="265"/>
      <c r="AN110" s="265"/>
      <c r="AO110" s="265"/>
      <c r="AP110" s="265"/>
      <c r="AQ110" s="265"/>
      <c r="AR110" s="265"/>
      <c r="AS110" s="265"/>
      <c r="AT110" s="265"/>
      <c r="AU110" s="265"/>
      <c r="AV110" s="265"/>
      <c r="AW110" s="265"/>
      <c r="AX110" s="265"/>
      <c r="AY110" s="265"/>
      <c r="AZ110" s="265"/>
      <c r="BA110" s="265"/>
      <c r="BB110" s="265"/>
      <c r="BC110" s="265"/>
      <c r="BD110" s="265"/>
      <c r="BE110" s="265"/>
      <c r="BF110" s="265"/>
      <c r="BG110" s="265"/>
      <c r="BH110" s="265"/>
      <c r="BI110" s="265"/>
      <c r="BJ110" s="265"/>
      <c r="BK110" s="265"/>
      <c r="BL110" s="265"/>
      <c r="BM110" s="265"/>
      <c r="BN110" s="265"/>
      <c r="BO110" s="265"/>
      <c r="BP110" s="265"/>
      <c r="BQ110" s="265"/>
      <c r="BR110" s="265"/>
      <c r="BS110" s="265"/>
      <c r="BT110" s="265"/>
      <c r="BU110" s="265"/>
      <c r="BV110" s="265"/>
    </row>
    <row r="111">
      <c r="A111" s="251">
        <f>VLOOKUP($F111,UpdateHashtag!$V$3:$Y$32,COLUMN(B$15),0)</f>
        <v>4</v>
      </c>
      <c r="B111" s="252">
        <f>VLOOKUP($F111,UpdateHashtag!$V$3:$Y$32,COLUMN(C$13),0)</f>
        <v>4</v>
      </c>
      <c r="C111" s="252">
        <f>VLOOKUP($F111,UpdateHashtag!$V$3:$Y$32,COLUMN(D$13),0)</f>
        <v>4</v>
      </c>
      <c r="D111" s="268">
        <f t="shared" si="4"/>
        <v>12</v>
      </c>
      <c r="E111" s="19"/>
      <c r="F111" s="30" t="str">
        <f>IF(VLOOKUP(J111,PasteHashtag!$C$2:$P1015,3,)="BRO","BKN",IF(VLOOKUP(J111,PasteHashtag!$C$2:$P1015,3,)="OKL","OKC",VLOOKUP(J111,PasteHashtag!$C$2:$P1015,3,)))</f>
        <v>MIA</v>
      </c>
      <c r="G111" s="269">
        <v>92.0</v>
      </c>
      <c r="H111" s="270">
        <f>IFERROR(__xludf.DUMMYFUNCTION("""COMPUTED_VALUE"""),98.0)</f>
        <v>98</v>
      </c>
      <c r="I111" s="270">
        <f>IFERROR(__xludf.DUMMYFUNCTION("""COMPUTED_VALUE"""),78.0)</f>
        <v>78</v>
      </c>
      <c r="J111" s="271" t="str">
        <f>IFERROR(__xludf.DUMMYFUNCTION("""COMPUTED_VALUE"""),"Tyler Herro")</f>
        <v>Tyler Herro</v>
      </c>
      <c r="K111" s="270">
        <f>IFERROR(__xludf.DUMMYFUNCTION("""COMPUTED_VALUE"""),72.0)</f>
        <v>72</v>
      </c>
      <c r="L111" s="272" t="str">
        <f>IFERROR(__xludf.DUMMYFUNCTION("""COMPUTED_VALUE"""),"SF,PF")</f>
        <v>SF,PF</v>
      </c>
      <c r="M111" s="273">
        <f>IFERROR(__xludf.DUMMYFUNCTION("""COMPUTED_VALUE"""),-1.391042697652046)</f>
        <v>-1.391042698</v>
      </c>
      <c r="N111" s="273">
        <f>IFERROR(__xludf.DUMMYFUNCTION("""COMPUTED_VALUE"""),-1.3135093814833043)</f>
        <v>-1.313509381</v>
      </c>
      <c r="O111" s="274">
        <f>IFERROR(__xludf.DUMMYFUNCTION("""COMPUTED_VALUE"""),0.0775333161687417)</f>
        <v>0.07753331617</v>
      </c>
      <c r="P111" s="275">
        <f>IFERROR(__xludf.DUMMYFUNCTION("""COMPUTED_VALUE"""),19.46397059)</f>
        <v>19.46397059</v>
      </c>
      <c r="Q111" s="275">
        <f>IFERROR(__xludf.DUMMYFUNCTION("""COMPUTED_VALUE"""),2.970882353)</f>
        <v>2.970882353</v>
      </c>
      <c r="R111" s="275">
        <f>IFERROR(__xludf.DUMMYFUNCTION("""COMPUTED_VALUE"""),5.221764706)</f>
        <v>5.221764706</v>
      </c>
      <c r="S111" s="276">
        <f>IFERROR(__xludf.DUMMYFUNCTION("""COMPUTED_VALUE"""),4.328676471)</f>
        <v>4.328676471</v>
      </c>
      <c r="T111" s="275">
        <f>IFERROR(__xludf.DUMMYFUNCTION("""COMPUTED_VALUE"""),0.6220588235)</f>
        <v>0.6220588235</v>
      </c>
      <c r="U111" s="275">
        <f>IFERROR(__xludf.DUMMYFUNCTION("""COMPUTED_VALUE"""),0.06838235294)</f>
        <v>0.06838235294</v>
      </c>
      <c r="V111" s="272">
        <f>IFERROR(__xludf.DUMMYFUNCTION("""COMPUTED_VALUE"""),0.4448603749)</f>
        <v>0.4448603749</v>
      </c>
      <c r="W111" s="272">
        <f>IFERROR(__xludf.DUMMYFUNCTION("""COMPUTED_VALUE"""),0.8699861687)</f>
        <v>0.8699861687</v>
      </c>
      <c r="X111" s="275">
        <f>IFERROR(__xludf.DUMMYFUNCTION("""COMPUTED_VALUE"""),2.061323529)</f>
        <v>2.061323529</v>
      </c>
      <c r="Y111" s="273">
        <f>IFERROR(__xludf.DUMMYFUNCTION("""COMPUTED_VALUE"""),0.35605967041033393)</f>
        <v>0.3560596704</v>
      </c>
      <c r="Z111" s="273">
        <f>IFERROR(__xludf.DUMMYFUNCTION("""COMPUTED_VALUE"""),1.2123506201357421)</f>
        <v>1.21235062</v>
      </c>
      <c r="AA111" s="273">
        <f>IFERROR(__xludf.DUMMYFUNCTION("""COMPUTED_VALUE"""),-0.33765477287672363)</f>
        <v>-0.3376547729</v>
      </c>
      <c r="AB111" s="273">
        <f>IFERROR(__xludf.DUMMYFUNCTION("""COMPUTED_VALUE"""),0.17954050373889435)</f>
        <v>0.1795405037</v>
      </c>
      <c r="AC111" s="273">
        <f>IFERROR(__xludf.DUMMYFUNCTION("""COMPUTED_VALUE"""),-1.1709483296931917)</f>
        <v>-1.17094833</v>
      </c>
      <c r="AD111" s="273">
        <f>IFERROR(__xludf.DUMMYFUNCTION("""COMPUTED_VALUE"""),-1.2133876357895461)</f>
        <v>-1.213387636</v>
      </c>
      <c r="AE111" s="273">
        <f>IFERROR(__xludf.DUMMYFUNCTION("""COMPUTED_VALUE"""),-0.9838465703486031)</f>
        <v>-0.9838465703</v>
      </c>
      <c r="AF111" s="273">
        <f>IFERROR(__xludf.DUMMYFUNCTION("""COMPUTED_VALUE"""),0.6443771329397897)</f>
        <v>0.6443771329</v>
      </c>
      <c r="AG111" s="277">
        <f>IFERROR(__xludf.DUMMYFUNCTION("""COMPUTED_VALUE"""),0.0)</f>
        <v>0</v>
      </c>
      <c r="AH111" s="265"/>
      <c r="AI111" s="338"/>
      <c r="AJ111" s="339"/>
      <c r="AK111" s="265"/>
      <c r="AL111" s="265"/>
      <c r="AM111" s="265"/>
      <c r="AN111" s="265"/>
      <c r="AO111" s="265"/>
      <c r="AP111" s="265"/>
      <c r="AQ111" s="265"/>
      <c r="AR111" s="265"/>
      <c r="AS111" s="265"/>
      <c r="AT111" s="265"/>
      <c r="AU111" s="265"/>
      <c r="AV111" s="265"/>
      <c r="AW111" s="265"/>
      <c r="AX111" s="265"/>
      <c r="AY111" s="265"/>
      <c r="AZ111" s="265"/>
      <c r="BA111" s="265"/>
      <c r="BB111" s="265"/>
      <c r="BC111" s="265"/>
      <c r="BD111" s="265"/>
      <c r="BE111" s="265"/>
      <c r="BF111" s="265"/>
      <c r="BG111" s="265"/>
      <c r="BH111" s="265"/>
      <c r="BI111" s="265"/>
      <c r="BJ111" s="265"/>
      <c r="BK111" s="265"/>
      <c r="BL111" s="265"/>
      <c r="BM111" s="265"/>
      <c r="BN111" s="265"/>
      <c r="BO111" s="265"/>
      <c r="BP111" s="265"/>
      <c r="BQ111" s="265"/>
      <c r="BR111" s="265"/>
      <c r="BS111" s="265"/>
      <c r="BT111" s="265"/>
      <c r="BU111" s="265"/>
      <c r="BV111" s="265"/>
    </row>
    <row r="112">
      <c r="A112" s="251">
        <f>VLOOKUP($F112,UpdateHashtag!$V$3:$Y$32,COLUMN(B$15),0)</f>
        <v>4</v>
      </c>
      <c r="B112" s="252">
        <f>VLOOKUP($F112,UpdateHashtag!$V$3:$Y$32,COLUMN(C$13),0)</f>
        <v>3</v>
      </c>
      <c r="C112" s="252">
        <f>VLOOKUP($F112,UpdateHashtag!$V$3:$Y$32,COLUMN(D$13),0)</f>
        <v>4</v>
      </c>
      <c r="D112" s="268">
        <f t="shared" si="4"/>
        <v>11</v>
      </c>
      <c r="E112" s="19"/>
      <c r="F112" s="30" t="str">
        <f>IF(VLOOKUP(J112,PasteHashtag!$C$2:$P1015,3,)="BRO","BKN",IF(VLOOKUP(J112,PasteHashtag!$C$2:$P1015,3,)="OKL","OKC",VLOOKUP(J112,PasteHashtag!$C$2:$P1015,3,)))</f>
        <v>CHA</v>
      </c>
      <c r="G112" s="269">
        <v>93.0</v>
      </c>
      <c r="H112" s="270">
        <f>IFERROR(__xludf.DUMMYFUNCTION("""COMPUTED_VALUE"""),80.0)</f>
        <v>80</v>
      </c>
      <c r="I112" s="270">
        <f>IFERROR(__xludf.DUMMYFUNCTION("""COMPUTED_VALUE"""),99.3)</f>
        <v>99.3</v>
      </c>
      <c r="J112" s="271" t="str">
        <f>IFERROR(__xludf.DUMMYFUNCTION("""COMPUTED_VALUE"""),"Mark Williams")</f>
        <v>Mark Williams</v>
      </c>
      <c r="K112" s="270">
        <f>IFERROR(__xludf.DUMMYFUNCTION("""COMPUTED_VALUE"""),65.0)</f>
        <v>65</v>
      </c>
      <c r="L112" s="272" t="str">
        <f>IFERROR(__xludf.DUMMYFUNCTION("""COMPUTED_VALUE"""),"PG")</f>
        <v>PG</v>
      </c>
      <c r="M112" s="273">
        <f>IFERROR(__xludf.DUMMYFUNCTION("""COMPUTED_VALUE"""),-1.1260322050369882)</f>
        <v>-1.126032205</v>
      </c>
      <c r="N112" s="273">
        <f>IFERROR(__xludf.DUMMYFUNCTION("""COMPUTED_VALUE"""),-1.3154282216831759)</f>
        <v>-1.315428222</v>
      </c>
      <c r="O112" s="274">
        <f>IFERROR(__xludf.DUMMYFUNCTION("""COMPUTED_VALUE"""),-0.18939601664618766)</f>
        <v>-0.1893960166</v>
      </c>
      <c r="P112" s="275">
        <f>IFERROR(__xludf.DUMMYFUNCTION("""COMPUTED_VALUE"""),13.07557377)</f>
        <v>13.07557377</v>
      </c>
      <c r="Q112" s="275">
        <f>IFERROR(__xludf.DUMMYFUNCTION("""COMPUTED_VALUE"""),0.0)</f>
        <v>0</v>
      </c>
      <c r="R112" s="275">
        <f>IFERROR(__xludf.DUMMYFUNCTION("""COMPUTED_VALUE"""),9.907377049)</f>
        <v>9.907377049</v>
      </c>
      <c r="S112" s="276">
        <f>IFERROR(__xludf.DUMMYFUNCTION("""COMPUTED_VALUE"""),1.158688525)</f>
        <v>1.158688525</v>
      </c>
      <c r="T112" s="275">
        <f>IFERROR(__xludf.DUMMYFUNCTION("""COMPUTED_VALUE"""),0.8316393443)</f>
        <v>0.8316393443</v>
      </c>
      <c r="U112" s="275">
        <f>IFERROR(__xludf.DUMMYFUNCTION("""COMPUTED_VALUE"""),1.332622951)</f>
        <v>1.332622951</v>
      </c>
      <c r="V112" s="272">
        <f>IFERROR(__xludf.DUMMYFUNCTION("""COMPUTED_VALUE"""),0.643003876)</f>
        <v>0.643003876</v>
      </c>
      <c r="W112" s="272">
        <f>IFERROR(__xludf.DUMMYFUNCTION("""COMPUTED_VALUE"""),0.7020217892)</f>
        <v>0.7020217892</v>
      </c>
      <c r="X112" s="275">
        <f>IFERROR(__xludf.DUMMYFUNCTION("""COMPUTED_VALUE"""),0.9849180328)</f>
        <v>0.9849180328</v>
      </c>
      <c r="Y112" s="273">
        <f>IFERROR(__xludf.DUMMYFUNCTION("""COMPUTED_VALUE"""),-0.7954848789171034)</f>
        <v>-0.7954848789</v>
      </c>
      <c r="Z112" s="273">
        <f>IFERROR(__xludf.DUMMYFUNCTION("""COMPUTED_VALUE"""),-1.7345523719336797)</f>
        <v>-1.734552372</v>
      </c>
      <c r="AA112" s="273">
        <f>IFERROR(__xludf.DUMMYFUNCTION("""COMPUTED_VALUE"""),1.4986694864697547)</f>
        <v>1.498669486</v>
      </c>
      <c r="AB112" s="273">
        <f>IFERROR(__xludf.DUMMYFUNCTION("""COMPUTED_VALUE"""),-1.2600727801292921)</f>
        <v>-1.26007278</v>
      </c>
      <c r="AC112" s="273">
        <f>IFERROR(__xludf.DUMMYFUNCTION("""COMPUTED_VALUE"""),-0.4775902886939987)</f>
        <v>-0.4775902887</v>
      </c>
      <c r="AD112" s="273">
        <f>IFERROR(__xludf.DUMMYFUNCTION("""COMPUTED_VALUE"""),1.0415723557847127)</f>
        <v>1.041572356</v>
      </c>
      <c r="AE112" s="273">
        <f>IFERROR(__xludf.DUMMYFUNCTION("""COMPUTED_VALUE"""),1.4341346705371556)</f>
        <v>1.434134671</v>
      </c>
      <c r="AF112" s="273">
        <f>IFERROR(__xludf.DUMMYFUNCTION("""COMPUTED_VALUE"""),-1.0221044148007254)</f>
        <v>-1.022104415</v>
      </c>
      <c r="AG112" s="277">
        <f>IFERROR(__xludf.DUMMYFUNCTION("""COMPUTED_VALUE"""),0.0)</f>
        <v>0</v>
      </c>
      <c r="AH112" s="265"/>
      <c r="AI112" s="338"/>
      <c r="AJ112" s="339"/>
      <c r="AK112" s="265"/>
      <c r="AL112" s="265"/>
      <c r="AM112" s="265"/>
      <c r="AN112" s="265"/>
      <c r="AO112" s="265"/>
      <c r="AP112" s="265"/>
      <c r="AQ112" s="265"/>
      <c r="AR112" s="265"/>
      <c r="AS112" s="265"/>
      <c r="AT112" s="265"/>
      <c r="AU112" s="265"/>
      <c r="AV112" s="265"/>
      <c r="AW112" s="265"/>
      <c r="AX112" s="265"/>
      <c r="AY112" s="265"/>
      <c r="AZ112" s="265"/>
      <c r="BA112" s="265"/>
      <c r="BB112" s="265"/>
      <c r="BC112" s="265"/>
      <c r="BD112" s="265"/>
      <c r="BE112" s="265"/>
      <c r="BF112" s="265"/>
      <c r="BG112" s="265"/>
      <c r="BH112" s="265"/>
      <c r="BI112" s="265"/>
      <c r="BJ112" s="265"/>
      <c r="BK112" s="265"/>
      <c r="BL112" s="265"/>
      <c r="BM112" s="265"/>
      <c r="BN112" s="265"/>
      <c r="BO112" s="265"/>
      <c r="BP112" s="265"/>
      <c r="BQ112" s="265"/>
      <c r="BR112" s="265"/>
      <c r="BS112" s="265"/>
      <c r="BT112" s="265"/>
      <c r="BU112" s="265"/>
      <c r="BV112" s="265"/>
    </row>
    <row r="113">
      <c r="A113" s="251">
        <f>VLOOKUP($F113,UpdateHashtag!$V$3:$Y$32,COLUMN(B$15),0)</f>
        <v>3</v>
      </c>
      <c r="B113" s="252">
        <f>VLOOKUP($F113,UpdateHashtag!$V$3:$Y$32,COLUMN(C$13),0)</f>
        <v>4</v>
      </c>
      <c r="C113" s="252">
        <f>VLOOKUP($F113,UpdateHashtag!$V$3:$Y$32,COLUMN(D$13),0)</f>
        <v>4</v>
      </c>
      <c r="D113" s="268">
        <f t="shared" si="4"/>
        <v>11</v>
      </c>
      <c r="E113" s="19"/>
      <c r="F113" s="30" t="str">
        <f>IF(VLOOKUP(J113,PasteHashtag!$C$2:$P1015,3,)="BRO","BKN",IF(VLOOKUP(J113,PasteHashtag!$C$2:$P1015,3,)="OKL","OKC",VLOOKUP(J113,PasteHashtag!$C$2:$P1015,3,)))</f>
        <v>SA</v>
      </c>
      <c r="G113" s="269">
        <v>94.0</v>
      </c>
      <c r="H113" s="270">
        <f>IFERROR(__xludf.DUMMYFUNCTION("""COMPUTED_VALUE"""),97.0)</f>
        <v>97</v>
      </c>
      <c r="I113" s="270">
        <f>IFERROR(__xludf.DUMMYFUNCTION("""COMPUTED_VALUE"""),103.8)</f>
        <v>103.8</v>
      </c>
      <c r="J113" s="271" t="str">
        <f>IFERROR(__xludf.DUMMYFUNCTION("""COMPUTED_VALUE"""),"Chris Paul")</f>
        <v>Chris Paul</v>
      </c>
      <c r="K113" s="270">
        <f>IFERROR(__xludf.DUMMYFUNCTION("""COMPUTED_VALUE"""),72.0)</f>
        <v>72</v>
      </c>
      <c r="L113" s="272" t="str">
        <f>IFERROR(__xludf.DUMMYFUNCTION("""COMPUTED_VALUE"""),"SG,SF")</f>
        <v>SG,SF</v>
      </c>
      <c r="M113" s="273">
        <f>IFERROR(__xludf.DUMMYFUNCTION("""COMPUTED_VALUE"""),-1.3284007164910874)</f>
        <v>-1.328400716</v>
      </c>
      <c r="N113" s="273">
        <f>IFERROR(__xludf.DUMMYFUNCTION("""COMPUTED_VALUE"""),-1.342542473705607)</f>
        <v>-1.342542474</v>
      </c>
      <c r="O113" s="274">
        <f>IFERROR(__xludf.DUMMYFUNCTION("""COMPUTED_VALUE"""),-0.014141757214519712)</f>
        <v>-0.01414175721</v>
      </c>
      <c r="P113" s="275">
        <f>IFERROR(__xludf.DUMMYFUNCTION("""COMPUTED_VALUE"""),9.503770492)</f>
        <v>9.503770492</v>
      </c>
      <c r="Q113" s="275">
        <f>IFERROR(__xludf.DUMMYFUNCTION("""COMPUTED_VALUE"""),1.234918033)</f>
        <v>1.234918033</v>
      </c>
      <c r="R113" s="275">
        <f>IFERROR(__xludf.DUMMYFUNCTION("""COMPUTED_VALUE"""),3.675081967)</f>
        <v>3.675081967</v>
      </c>
      <c r="S113" s="276">
        <f>IFERROR(__xludf.DUMMYFUNCTION("""COMPUTED_VALUE"""),8.05)</f>
        <v>8.05</v>
      </c>
      <c r="T113" s="275">
        <f>IFERROR(__xludf.DUMMYFUNCTION("""COMPUTED_VALUE"""),1.298196721)</f>
        <v>1.298196721</v>
      </c>
      <c r="U113" s="275">
        <f>IFERROR(__xludf.DUMMYFUNCTION("""COMPUTED_VALUE"""),0.1737704918)</f>
        <v>0.1737704918</v>
      </c>
      <c r="V113" s="272">
        <f>IFERROR(__xludf.DUMMYFUNCTION("""COMPUTED_VALUE"""),0.4577398819)</f>
        <v>0.4577398819</v>
      </c>
      <c r="W113" s="272">
        <f>IFERROR(__xludf.DUMMYFUNCTION("""COMPUTED_VALUE"""),0.8138942001)</f>
        <v>0.8138942001</v>
      </c>
      <c r="X113" s="275">
        <f>IFERROR(__xludf.DUMMYFUNCTION("""COMPUTED_VALUE"""),1.691639344)</f>
        <v>1.691639344</v>
      </c>
      <c r="Y113" s="273">
        <f>IFERROR(__xludf.DUMMYFUNCTION("""COMPUTED_VALUE"""),-1.4393225602543087)</f>
        <v>-1.43932256</v>
      </c>
      <c r="Z113" s="273">
        <f>IFERROR(__xludf.DUMMYFUNCTION("""COMPUTED_VALUE"""),-0.5096019316264983)</f>
        <v>-0.5096019316</v>
      </c>
      <c r="AA113" s="273">
        <f>IFERROR(__xludf.DUMMYFUNCTION("""COMPUTED_VALUE"""),-0.9438105594050837)</f>
        <v>-0.9438105594</v>
      </c>
      <c r="AB113" s="273">
        <f>IFERROR(__xludf.DUMMYFUNCTION("""COMPUTED_VALUE"""),1.8695364523605995)</f>
        <v>1.869536452</v>
      </c>
      <c r="AC113" s="273">
        <f>IFERROR(__xludf.DUMMYFUNCTION("""COMPUTED_VALUE"""),1.0659277228445745)</f>
        <v>1.065927723</v>
      </c>
      <c r="AD113" s="273">
        <f>IFERROR(__xludf.DUMMYFUNCTION("""COMPUTED_VALUE"""),-1.0254123112504951)</f>
        <v>-1.025412311</v>
      </c>
      <c r="AE113" s="273">
        <f>IFERROR(__xludf.DUMMYFUNCTION("""COMPUTED_VALUE"""),-0.39404124945886726)</f>
        <v>-0.3940412495</v>
      </c>
      <c r="AF113" s="273">
        <f>IFERROR(__xludf.DUMMYFUNCTION("""COMPUTED_VALUE"""),0.03418196308447191)</f>
        <v>0.03418196308</v>
      </c>
      <c r="AG113" s="277">
        <f>IFERROR(__xludf.DUMMYFUNCTION("""COMPUTED_VALUE"""),0.0)</f>
        <v>0</v>
      </c>
      <c r="AH113" s="265"/>
      <c r="AI113" s="338"/>
      <c r="AJ113" s="339"/>
      <c r="AK113" s="265"/>
      <c r="AL113" s="265"/>
      <c r="AM113" s="265"/>
      <c r="AN113" s="265"/>
      <c r="AO113" s="265"/>
      <c r="AP113" s="265"/>
      <c r="AQ113" s="265"/>
      <c r="AR113" s="265"/>
      <c r="AS113" s="265"/>
      <c r="AT113" s="265"/>
      <c r="AU113" s="265"/>
      <c r="AV113" s="265"/>
      <c r="AW113" s="265"/>
      <c r="AX113" s="265"/>
      <c r="AY113" s="265"/>
      <c r="AZ113" s="265"/>
      <c r="BA113" s="265"/>
      <c r="BB113" s="265"/>
      <c r="BC113" s="265"/>
      <c r="BD113" s="265"/>
      <c r="BE113" s="265"/>
      <c r="BF113" s="265"/>
      <c r="BG113" s="265"/>
      <c r="BH113" s="265"/>
      <c r="BI113" s="265"/>
      <c r="BJ113" s="265"/>
      <c r="BK113" s="265"/>
      <c r="BL113" s="265"/>
      <c r="BM113" s="265"/>
      <c r="BN113" s="265"/>
      <c r="BO113" s="265"/>
      <c r="BP113" s="265"/>
      <c r="BQ113" s="265"/>
      <c r="BR113" s="265"/>
      <c r="BS113" s="265"/>
      <c r="BT113" s="265"/>
      <c r="BU113" s="265"/>
      <c r="BV113" s="265"/>
    </row>
    <row r="114">
      <c r="A114" s="251">
        <f>VLOOKUP($F114,UpdateHashtag!$V$3:$Y$32,COLUMN(B$15),0)</f>
        <v>3</v>
      </c>
      <c r="B114" s="252">
        <f>VLOOKUP($F114,UpdateHashtag!$V$3:$Y$32,COLUMN(C$13),0)</f>
        <v>4</v>
      </c>
      <c r="C114" s="252">
        <f>VLOOKUP($F114,UpdateHashtag!$V$3:$Y$32,COLUMN(D$13),0)</f>
        <v>3</v>
      </c>
      <c r="D114" s="268">
        <f t="shared" si="4"/>
        <v>10</v>
      </c>
      <c r="E114" s="19"/>
      <c r="F114" s="30" t="str">
        <f>IF(VLOOKUP(J114,PasteHashtag!$C$2:$P1015,3,)="BRO","BKN",IF(VLOOKUP(J114,PasteHashtag!$C$2:$P1015,3,)="OKL","OKC",VLOOKUP(J114,PasteHashtag!$C$2:$P1015,3,)))</f>
        <v>TOR</v>
      </c>
      <c r="G114" s="269">
        <v>95.0</v>
      </c>
      <c r="H114" s="270">
        <f>IFERROR(__xludf.DUMMYFUNCTION("""COMPUTED_VALUE"""),90.0)</f>
        <v>90</v>
      </c>
      <c r="I114" s="270">
        <f>IFERROR(__xludf.DUMMYFUNCTION("""COMPUTED_VALUE"""),92.7)</f>
        <v>92.7</v>
      </c>
      <c r="J114" s="271" t="str">
        <f>IFERROR(__xludf.DUMMYFUNCTION("""COMPUTED_VALUE"""),"Jakob Poeltl")</f>
        <v>Jakob Poeltl</v>
      </c>
      <c r="K114" s="270">
        <f>IFERROR(__xludf.DUMMYFUNCTION("""COMPUTED_VALUE"""),77.0)</f>
        <v>77</v>
      </c>
      <c r="L114" s="272" t="str">
        <f>IFERROR(__xludf.DUMMYFUNCTION("""COMPUTED_VALUE"""),"SG,SF")</f>
        <v>SG,SF</v>
      </c>
      <c r="M114" s="273">
        <f>IFERROR(__xludf.DUMMYFUNCTION("""COMPUTED_VALUE"""),-1.3600311448533522)</f>
        <v>-1.360031145</v>
      </c>
      <c r="N114" s="273">
        <f>IFERROR(__xludf.DUMMYFUNCTION("""COMPUTED_VALUE"""),-1.4137470192035824)</f>
        <v>-1.413747019</v>
      </c>
      <c r="O114" s="274">
        <f>IFERROR(__xludf.DUMMYFUNCTION("""COMPUTED_VALUE"""),-0.053715874350230175)</f>
        <v>-0.05371587435</v>
      </c>
      <c r="P114" s="275">
        <f>IFERROR(__xludf.DUMMYFUNCTION("""COMPUTED_VALUE"""),12.01561644)</f>
        <v>12.01561644</v>
      </c>
      <c r="Q114" s="275">
        <f>IFERROR(__xludf.DUMMYFUNCTION("""COMPUTED_VALUE"""),0.0)</f>
        <v>0</v>
      </c>
      <c r="R114" s="275">
        <f>IFERROR(__xludf.DUMMYFUNCTION("""COMPUTED_VALUE"""),8.805890411)</f>
        <v>8.805890411</v>
      </c>
      <c r="S114" s="276">
        <f>IFERROR(__xludf.DUMMYFUNCTION("""COMPUTED_VALUE"""),2.684657534)</f>
        <v>2.684657534</v>
      </c>
      <c r="T114" s="275">
        <f>IFERROR(__xludf.DUMMYFUNCTION("""COMPUTED_VALUE"""),0.7971232877)</f>
        <v>0.7971232877</v>
      </c>
      <c r="U114" s="275">
        <f>IFERROR(__xludf.DUMMYFUNCTION("""COMPUTED_VALUE"""),1.704383562)</f>
        <v>1.704383562</v>
      </c>
      <c r="V114" s="272">
        <f>IFERROR(__xludf.DUMMYFUNCTION("""COMPUTED_VALUE"""),0.61)</f>
        <v>0.61</v>
      </c>
      <c r="W114" s="272">
        <f>IFERROR(__xludf.DUMMYFUNCTION("""COMPUTED_VALUE"""),0.590014112)</f>
        <v>0.590014112</v>
      </c>
      <c r="X114" s="275">
        <f>IFERROR(__xludf.DUMMYFUNCTION("""COMPUTED_VALUE"""),1.532054795)</f>
        <v>1.532054795</v>
      </c>
      <c r="Y114" s="273">
        <f>IFERROR(__xludf.DUMMYFUNCTION("""COMPUTED_VALUE"""),-0.9865481644756802)</f>
        <v>-0.9865481645</v>
      </c>
      <c r="Z114" s="273">
        <f>IFERROR(__xludf.DUMMYFUNCTION("""COMPUTED_VALUE"""),-1.7345523719336797)</f>
        <v>-1.734552372</v>
      </c>
      <c r="AA114" s="273">
        <f>IFERROR(__xludf.DUMMYFUNCTION("""COMPUTED_VALUE"""),1.0669891666654168)</f>
        <v>1.066989167</v>
      </c>
      <c r="AB114" s="273">
        <f>IFERROR(__xludf.DUMMYFUNCTION("""COMPUTED_VALUE"""),-0.5670716414657913)</f>
        <v>-0.5670716415</v>
      </c>
      <c r="AC114" s="273">
        <f>IFERROR(__xludf.DUMMYFUNCTION("""COMPUTED_VALUE"""),-0.5917802205437781)</f>
        <v>-0.5917802205</v>
      </c>
      <c r="AD114" s="273">
        <f>IFERROR(__xludf.DUMMYFUNCTION("""COMPUTED_VALUE"""),1.7046623605943954)</f>
        <v>1.704662361</v>
      </c>
      <c r="AE114" s="273">
        <f>IFERROR(__xludf.DUMMYFUNCTION("""COMPUTED_VALUE"""),1.162387240774537)</f>
        <v>1.162387241</v>
      </c>
      <c r="AF114" s="273">
        <f>IFERROR(__xludf.DUMMYFUNCTION("""COMPUTED_VALUE"""),-1.4678333888190025)</f>
        <v>-1.467833389</v>
      </c>
      <c r="AG114" s="277">
        <f>IFERROR(__xludf.DUMMYFUNCTION("""COMPUTED_VALUE"""),0.0)</f>
        <v>0</v>
      </c>
      <c r="AH114" s="265"/>
      <c r="AI114" s="338"/>
      <c r="AJ114" s="339"/>
      <c r="AK114" s="265"/>
      <c r="AL114" s="265"/>
      <c r="AM114" s="265"/>
      <c r="AN114" s="265"/>
      <c r="AO114" s="265"/>
      <c r="AP114" s="265"/>
      <c r="AQ114" s="265"/>
      <c r="AR114" s="265"/>
      <c r="AS114" s="265"/>
      <c r="AT114" s="265"/>
      <c r="AU114" s="265"/>
      <c r="AV114" s="265"/>
      <c r="AW114" s="265"/>
      <c r="AX114" s="265"/>
      <c r="AY114" s="265"/>
      <c r="AZ114" s="265"/>
      <c r="BA114" s="265"/>
      <c r="BB114" s="265"/>
      <c r="BC114" s="265"/>
      <c r="BD114" s="265"/>
      <c r="BE114" s="265"/>
      <c r="BF114" s="265"/>
      <c r="BG114" s="265"/>
      <c r="BH114" s="265"/>
      <c r="BI114" s="265"/>
      <c r="BJ114" s="265"/>
      <c r="BK114" s="265"/>
      <c r="BL114" s="265"/>
      <c r="BM114" s="265"/>
      <c r="BN114" s="265"/>
      <c r="BO114" s="265"/>
      <c r="BP114" s="265"/>
      <c r="BQ114" s="265"/>
      <c r="BR114" s="265"/>
      <c r="BS114" s="265"/>
      <c r="BT114" s="265"/>
      <c r="BU114" s="265"/>
      <c r="BV114" s="265"/>
    </row>
    <row r="115">
      <c r="A115" s="251">
        <f>VLOOKUP($F115,UpdateHashtag!$V$3:$Y$32,COLUMN(B$15),0)</f>
        <v>4</v>
      </c>
      <c r="B115" s="252">
        <f>VLOOKUP($F115,UpdateHashtag!$V$3:$Y$32,COLUMN(C$13),0)</f>
        <v>4</v>
      </c>
      <c r="C115" s="252">
        <f>VLOOKUP($F115,UpdateHashtag!$V$3:$Y$32,COLUMN(D$13),0)</f>
        <v>4</v>
      </c>
      <c r="D115" s="268">
        <f t="shared" si="4"/>
        <v>12</v>
      </c>
      <c r="E115" s="19"/>
      <c r="F115" s="30" t="str">
        <f>IF(VLOOKUP(J115,PasteHashtag!$C$2:$P1015,3,)="BRO","BKN",IF(VLOOKUP(J115,PasteHashtag!$C$2:$P1015,3,)="OKL","OKC",VLOOKUP(J115,PasteHashtag!$C$2:$P1015,3,)))</f>
        <v>MIA</v>
      </c>
      <c r="G115" s="269">
        <v>96.0</v>
      </c>
      <c r="H115" s="270">
        <f>IFERROR(__xludf.DUMMYFUNCTION("""COMPUTED_VALUE"""),102.0)</f>
        <v>102</v>
      </c>
      <c r="I115" s="270">
        <f>IFERROR(__xludf.DUMMYFUNCTION("""COMPUTED_VALUE"""),105.4)</f>
        <v>105.4</v>
      </c>
      <c r="J115" s="271" t="str">
        <f>IFERROR(__xludf.DUMMYFUNCTION("""COMPUTED_VALUE"""),"Terry Rozier")</f>
        <v>Terry Rozier</v>
      </c>
      <c r="K115" s="270">
        <f>IFERROR(__xludf.DUMMYFUNCTION("""COMPUTED_VALUE"""),55.0)</f>
        <v>55</v>
      </c>
      <c r="L115" s="272" t="str">
        <f>IFERROR(__xludf.DUMMYFUNCTION("""COMPUTED_VALUE"""),"PF,C")</f>
        <v>PF,C</v>
      </c>
      <c r="M115" s="273">
        <f>IFERROR(__xludf.DUMMYFUNCTION("""COMPUTED_VALUE"""),-1.3510132380082316)</f>
        <v>-1.351013238</v>
      </c>
      <c r="N115" s="273">
        <f>IFERROR(__xludf.DUMMYFUNCTION("""COMPUTED_VALUE"""),-1.4208469519978322)</f>
        <v>-1.420846952</v>
      </c>
      <c r="O115" s="274">
        <f>IFERROR(__xludf.DUMMYFUNCTION("""COMPUTED_VALUE"""),-0.06983371398960059)</f>
        <v>-0.06983371399</v>
      </c>
      <c r="P115" s="275">
        <f>IFERROR(__xludf.DUMMYFUNCTION("""COMPUTED_VALUE"""),16.37514706)</f>
        <v>16.37514706</v>
      </c>
      <c r="Q115" s="275">
        <f>IFERROR(__xludf.DUMMYFUNCTION("""COMPUTED_VALUE"""),2.146176471)</f>
        <v>2.146176471</v>
      </c>
      <c r="R115" s="275">
        <f>IFERROR(__xludf.DUMMYFUNCTION("""COMPUTED_VALUE"""),3.734558824)</f>
        <v>3.734558824</v>
      </c>
      <c r="S115" s="276">
        <f>IFERROR(__xludf.DUMMYFUNCTION("""COMPUTED_VALUE"""),4.534705882)</f>
        <v>4.534705882</v>
      </c>
      <c r="T115" s="275">
        <f>IFERROR(__xludf.DUMMYFUNCTION("""COMPUTED_VALUE"""),1.070882353)</f>
        <v>1.070882353</v>
      </c>
      <c r="U115" s="275">
        <f>IFERROR(__xludf.DUMMYFUNCTION("""COMPUTED_VALUE"""),0.3326470588)</f>
        <v>0.3326470588</v>
      </c>
      <c r="V115" s="272">
        <f>IFERROR(__xludf.DUMMYFUNCTION("""COMPUTED_VALUE"""),0.4413512506)</f>
        <v>0.4413512506</v>
      </c>
      <c r="W115" s="272">
        <f>IFERROR(__xludf.DUMMYFUNCTION("""COMPUTED_VALUE"""),0.8500332766)</f>
        <v>0.8500332766</v>
      </c>
      <c r="X115" s="275">
        <f>IFERROR(__xludf.DUMMYFUNCTION("""COMPUTED_VALUE"""),1.467058824)</f>
        <v>1.467058824</v>
      </c>
      <c r="Y115" s="273">
        <f>IFERROR(__xludf.DUMMYFUNCTION("""COMPUTED_VALUE"""),-0.20071818795160698)</f>
        <v>-0.200718188</v>
      </c>
      <c r="Z115" s="273">
        <f>IFERROR(__xludf.DUMMYFUNCTION("""COMPUTED_VALUE"""),0.3943013194662277)</f>
        <v>0.3943013195</v>
      </c>
      <c r="AA115" s="273">
        <f>IFERROR(__xludf.DUMMYFUNCTION("""COMPUTED_VALUE"""),-0.920501163026626)</f>
        <v>-0.920501163</v>
      </c>
      <c r="AB115" s="273">
        <f>IFERROR(__xludf.DUMMYFUNCTION("""COMPUTED_VALUE"""),0.273106372756599)</f>
        <v>0.2731063728</v>
      </c>
      <c r="AC115" s="273">
        <f>IFERROR(__xludf.DUMMYFUNCTION("""COMPUTED_VALUE"""),0.3139005578875072)</f>
        <v>0.3139005579</v>
      </c>
      <c r="AD115" s="273">
        <f>IFERROR(__xludf.DUMMYFUNCTION("""COMPUTED_VALUE"""),-0.7420324682574572)</f>
        <v>-0.7420324683</v>
      </c>
      <c r="AE115" s="273">
        <f>IFERROR(__xludf.DUMMYFUNCTION("""COMPUTED_VALUE"""),-0.9235245883137768)</f>
        <v>-0.9235245883</v>
      </c>
      <c r="AF115" s="273">
        <f>IFERROR(__xludf.DUMMYFUNCTION("""COMPUTED_VALUE"""),0.384621205441301)</f>
        <v>0.3846212054</v>
      </c>
      <c r="AG115" s="277">
        <f>IFERROR(__xludf.DUMMYFUNCTION("""COMPUTED_VALUE"""),0.0)</f>
        <v>0</v>
      </c>
      <c r="AH115" s="265"/>
      <c r="AI115" s="338"/>
      <c r="AJ115" s="339"/>
      <c r="AK115" s="265"/>
      <c r="AL115" s="265"/>
      <c r="AM115" s="265"/>
      <c r="AN115" s="265"/>
      <c r="AO115" s="265"/>
      <c r="AP115" s="265"/>
      <c r="AQ115" s="265"/>
      <c r="AR115" s="265"/>
      <c r="AS115" s="265"/>
      <c r="AT115" s="265"/>
      <c r="AU115" s="265"/>
      <c r="AV115" s="265"/>
      <c r="AW115" s="265"/>
      <c r="AX115" s="265"/>
      <c r="AY115" s="265"/>
      <c r="AZ115" s="265"/>
      <c r="BA115" s="265"/>
      <c r="BB115" s="265"/>
      <c r="BC115" s="265"/>
      <c r="BD115" s="265"/>
      <c r="BE115" s="265"/>
      <c r="BF115" s="265"/>
      <c r="BG115" s="265"/>
      <c r="BH115" s="265"/>
      <c r="BI115" s="265"/>
      <c r="BJ115" s="265"/>
      <c r="BK115" s="265"/>
      <c r="BL115" s="265"/>
      <c r="BM115" s="265"/>
      <c r="BN115" s="265"/>
      <c r="BO115" s="265"/>
      <c r="BP115" s="265"/>
      <c r="BQ115" s="265"/>
      <c r="BR115" s="265"/>
      <c r="BS115" s="265"/>
      <c r="BT115" s="265"/>
      <c r="BU115" s="265"/>
      <c r="BV115" s="265"/>
    </row>
    <row r="116">
      <c r="A116" s="251">
        <f>VLOOKUP($F116,UpdateHashtag!$V$3:$Y$32,COLUMN(B$15),0)</f>
        <v>4</v>
      </c>
      <c r="B116" s="252">
        <f>VLOOKUP($F116,UpdateHashtag!$V$3:$Y$32,COLUMN(C$13),0)</f>
        <v>4</v>
      </c>
      <c r="C116" s="252">
        <f>VLOOKUP($F116,UpdateHashtag!$V$3:$Y$32,COLUMN(D$13),0)</f>
        <v>4</v>
      </c>
      <c r="D116" s="268">
        <f t="shared" si="4"/>
        <v>12</v>
      </c>
      <c r="E116" s="19"/>
      <c r="F116" s="30" t="str">
        <f>IF(VLOOKUP(J116,PasteHashtag!$C$2:$P1015,3,)="BRO","BKN",IF(VLOOKUP(J116,PasteHashtag!$C$2:$P1015,3,)="OKL","OKC",VLOOKUP(J116,PasteHashtag!$C$2:$P1015,3,)))</f>
        <v>HOU</v>
      </c>
      <c r="G116" s="269">
        <v>97.0</v>
      </c>
      <c r="H116" s="270">
        <f>IFERROR(__xludf.DUMMYFUNCTION("""COMPUTED_VALUE"""),95.0)</f>
        <v>95</v>
      </c>
      <c r="I116" s="270">
        <f>IFERROR(__xludf.DUMMYFUNCTION("""COMPUTED_VALUE"""),116.8)</f>
        <v>116.8</v>
      </c>
      <c r="J116" s="271" t="str">
        <f>IFERROR(__xludf.DUMMYFUNCTION("""COMPUTED_VALUE"""),"Amen Thompson")</f>
        <v>Amen Thompson</v>
      </c>
      <c r="K116" s="270">
        <f>IFERROR(__xludf.DUMMYFUNCTION("""COMPUTED_VALUE"""),60.0)</f>
        <v>60</v>
      </c>
      <c r="L116" s="272" t="str">
        <f>IFERROR(__xludf.DUMMYFUNCTION("""COMPUTED_VALUE"""),"PF,C")</f>
        <v>PF,C</v>
      </c>
      <c r="M116" s="273">
        <f>IFERROR(__xludf.DUMMYFUNCTION("""COMPUTED_VALUE"""),-1.3653044557770007)</f>
        <v>-1.365304456</v>
      </c>
      <c r="N116" s="273">
        <f>IFERROR(__xludf.DUMMYFUNCTION("""COMPUTED_VALUE"""),-1.4326583484190025)</f>
        <v>-1.432658348</v>
      </c>
      <c r="O116" s="274">
        <f>IFERROR(__xludf.DUMMYFUNCTION("""COMPUTED_VALUE"""),-0.06735389264200187)</f>
        <v>-0.06735389264</v>
      </c>
      <c r="P116" s="275">
        <f>IFERROR(__xludf.DUMMYFUNCTION("""COMPUTED_VALUE"""),11.99764706)</f>
        <v>11.99764706</v>
      </c>
      <c r="Q116" s="275">
        <f>IFERROR(__xludf.DUMMYFUNCTION("""COMPUTED_VALUE"""),0.1511764706)</f>
        <v>0.1511764706</v>
      </c>
      <c r="R116" s="275">
        <f>IFERROR(__xludf.DUMMYFUNCTION("""COMPUTED_VALUE"""),6.947941176)</f>
        <v>6.947941176</v>
      </c>
      <c r="S116" s="276">
        <f>IFERROR(__xludf.DUMMYFUNCTION("""COMPUTED_VALUE"""),3.227794118)</f>
        <v>3.227794118</v>
      </c>
      <c r="T116" s="275">
        <f>IFERROR(__xludf.DUMMYFUNCTION("""COMPUTED_VALUE"""),1.416176471)</f>
        <v>1.416176471</v>
      </c>
      <c r="U116" s="275">
        <f>IFERROR(__xludf.DUMMYFUNCTION("""COMPUTED_VALUE"""),0.7680882353)</f>
        <v>0.7680882353</v>
      </c>
      <c r="V116" s="272">
        <f>IFERROR(__xludf.DUMMYFUNCTION("""COMPUTED_VALUE"""),0.5641206775)</f>
        <v>0.5641206775</v>
      </c>
      <c r="W116" s="272">
        <f>IFERROR(__xludf.DUMMYFUNCTION("""COMPUTED_VALUE"""),0.7019978578)</f>
        <v>0.7019978578</v>
      </c>
      <c r="X116" s="275">
        <f>IFERROR(__xludf.DUMMYFUNCTION("""COMPUTED_VALUE"""),1.477058824)</f>
        <v>1.477058824</v>
      </c>
      <c r="Y116" s="273">
        <f>IFERROR(__xludf.DUMMYFUNCTION("""COMPUTED_VALUE"""),-0.9897872465453806)</f>
        <v>-0.9897872465</v>
      </c>
      <c r="Z116" s="273">
        <f>IFERROR(__xludf.DUMMYFUNCTION("""COMPUTED_VALUE"""),-1.5845961163142788)</f>
        <v>-1.584596116</v>
      </c>
      <c r="AA116" s="273">
        <f>IFERROR(__xludf.DUMMYFUNCTION("""COMPUTED_VALUE"""),0.3388458626292357)</f>
        <v>0.3388458626</v>
      </c>
      <c r="AB116" s="273">
        <f>IFERROR(__xludf.DUMMYFUNCTION("""COMPUTED_VALUE"""),-0.3204124570774639)</f>
        <v>-0.3204124571</v>
      </c>
      <c r="AC116" s="273">
        <f>IFERROR(__xludf.DUMMYFUNCTION("""COMPUTED_VALUE"""),1.4562417082537304)</f>
        <v>1.456241708</v>
      </c>
      <c r="AD116" s="273">
        <f>IFERROR(__xludf.DUMMYFUNCTION("""COMPUTED_VALUE"""),0.03464123862893164)</f>
        <v>0.03464123863</v>
      </c>
      <c r="AE116" s="273">
        <f>IFERROR(__xludf.DUMMYFUNCTION("""COMPUTED_VALUE"""),0.6639087666020693)</f>
        <v>0.6639087666</v>
      </c>
      <c r="AF116" s="273">
        <f>IFERROR(__xludf.DUMMYFUNCTION("""COMPUTED_VALUE"""),-1.0315001045958463)</f>
        <v>-1.031500105</v>
      </c>
      <c r="AG116" s="277">
        <f>IFERROR(__xludf.DUMMYFUNCTION("""COMPUTED_VALUE"""),0.0)</f>
        <v>0</v>
      </c>
      <c r="AH116" s="265"/>
      <c r="AI116" s="338"/>
      <c r="AJ116" s="339"/>
      <c r="AK116" s="265"/>
      <c r="AL116" s="265"/>
      <c r="AM116" s="265"/>
      <c r="AN116" s="265"/>
      <c r="AO116" s="265"/>
      <c r="AP116" s="265"/>
      <c r="AQ116" s="265"/>
      <c r="AR116" s="265"/>
      <c r="AS116" s="265"/>
      <c r="AT116" s="265"/>
      <c r="AU116" s="265"/>
      <c r="AV116" s="265"/>
      <c r="AW116" s="265"/>
      <c r="AX116" s="265"/>
      <c r="AY116" s="265"/>
      <c r="AZ116" s="265"/>
      <c r="BA116" s="265"/>
      <c r="BB116" s="265"/>
      <c r="BC116" s="265"/>
      <c r="BD116" s="265"/>
      <c r="BE116" s="265"/>
      <c r="BF116" s="265"/>
      <c r="BG116" s="265"/>
      <c r="BH116" s="265"/>
      <c r="BI116" s="265"/>
      <c r="BJ116" s="265"/>
      <c r="BK116" s="265"/>
      <c r="BL116" s="265"/>
      <c r="BM116" s="265"/>
      <c r="BN116" s="265"/>
      <c r="BO116" s="265"/>
      <c r="BP116" s="265"/>
      <c r="BQ116" s="265"/>
      <c r="BR116" s="265"/>
      <c r="BS116" s="265"/>
      <c r="BT116" s="265"/>
      <c r="BU116" s="265"/>
      <c r="BV116" s="265"/>
    </row>
    <row r="117">
      <c r="A117" s="251">
        <f>VLOOKUP($F117,UpdateHashtag!$V$3:$Y$32,COLUMN(B$15),0)</f>
        <v>4</v>
      </c>
      <c r="B117" s="252">
        <f>VLOOKUP($F117,UpdateHashtag!$V$3:$Y$32,COLUMN(C$13),0)</f>
        <v>4</v>
      </c>
      <c r="C117" s="252">
        <f>VLOOKUP($F117,UpdateHashtag!$V$3:$Y$32,COLUMN(D$13),0)</f>
        <v>4</v>
      </c>
      <c r="D117" s="268">
        <f t="shared" si="4"/>
        <v>12</v>
      </c>
      <c r="E117" s="19"/>
      <c r="F117" s="30" t="str">
        <f>IF(VLOOKUP(J117,PasteHashtag!$C$2:$P1015,3,)="BRO","BKN",IF(VLOOKUP(J117,PasteHashtag!$C$2:$P1015,3,)="OKL","OKC",VLOOKUP(J117,PasteHashtag!$C$2:$P1015,3,)))</f>
        <v>LAC</v>
      </c>
      <c r="G117" s="269">
        <v>98.0</v>
      </c>
      <c r="H117" s="270">
        <f>IFERROR(__xludf.DUMMYFUNCTION("""COMPUTED_VALUE"""),91.0)</f>
        <v>91</v>
      </c>
      <c r="I117" s="270">
        <f>IFERROR(__xludf.DUMMYFUNCTION("""COMPUTED_VALUE"""),91.6)</f>
        <v>91.6</v>
      </c>
      <c r="J117" s="271" t="str">
        <f>IFERROR(__xludf.DUMMYFUNCTION("""COMPUTED_VALUE"""),"Ivica Zubac")</f>
        <v>Ivica Zubac</v>
      </c>
      <c r="K117" s="270">
        <f>IFERROR(__xludf.DUMMYFUNCTION("""COMPUTED_VALUE"""),67.0)</f>
        <v>67</v>
      </c>
      <c r="L117" s="272" t="str">
        <f>IFERROR(__xludf.DUMMYFUNCTION("""COMPUTED_VALUE"""),"SF,PF,C")</f>
        <v>SF,PF,C</v>
      </c>
      <c r="M117" s="273">
        <f>IFERROR(__xludf.DUMMYFUNCTION("""COMPUTED_VALUE"""),-1.4770255159328256)</f>
        <v>-1.477025516</v>
      </c>
      <c r="N117" s="273">
        <f>IFERROR(__xludf.DUMMYFUNCTION("""COMPUTED_VALUE"""),-1.5907326849953054)</f>
        <v>-1.590732685</v>
      </c>
      <c r="O117" s="274">
        <f>IFERROR(__xludf.DUMMYFUNCTION("""COMPUTED_VALUE"""),-0.1137071690624798)</f>
        <v>-0.1137071691</v>
      </c>
      <c r="P117" s="275">
        <f>IFERROR(__xludf.DUMMYFUNCTION("""COMPUTED_VALUE"""),14.28589041)</f>
        <v>14.28589041</v>
      </c>
      <c r="Q117" s="275">
        <f>IFERROR(__xludf.DUMMYFUNCTION("""COMPUTED_VALUE"""),0.0)</f>
        <v>0</v>
      </c>
      <c r="R117" s="275">
        <f>IFERROR(__xludf.DUMMYFUNCTION("""COMPUTED_VALUE"""),10.12465753)</f>
        <v>10.12465753</v>
      </c>
      <c r="S117" s="276">
        <f>IFERROR(__xludf.DUMMYFUNCTION("""COMPUTED_VALUE"""),1.606712329)</f>
        <v>1.606712329</v>
      </c>
      <c r="T117" s="275">
        <f>IFERROR(__xludf.DUMMYFUNCTION("""COMPUTED_VALUE"""),0.4216438356)</f>
        <v>0.4216438356</v>
      </c>
      <c r="U117" s="275">
        <f>IFERROR(__xludf.DUMMYFUNCTION("""COMPUTED_VALUE"""),1.229452055)</f>
        <v>1.229452055</v>
      </c>
      <c r="V117" s="272">
        <f>IFERROR(__xludf.DUMMYFUNCTION("""COMPUTED_VALUE"""),0.6339964633)</f>
        <v>0.6339964633</v>
      </c>
      <c r="W117" s="272">
        <f>IFERROR(__xludf.DUMMYFUNCTION("""COMPUTED_VALUE"""),0.768009768)</f>
        <v>0.768009768</v>
      </c>
      <c r="X117" s="275">
        <f>IFERROR(__xludf.DUMMYFUNCTION("""COMPUTED_VALUE"""),1.290136986)</f>
        <v>1.290136986</v>
      </c>
      <c r="Y117" s="273">
        <f>IFERROR(__xludf.DUMMYFUNCTION("""COMPUTED_VALUE"""),-0.5773184798936472)</f>
        <v>-0.5773184799</v>
      </c>
      <c r="Z117" s="273">
        <f>IFERROR(__xludf.DUMMYFUNCTION("""COMPUTED_VALUE"""),-1.7345523719336797)</f>
        <v>-1.734552372</v>
      </c>
      <c r="AA117" s="273">
        <f>IFERROR(__xludf.DUMMYFUNCTION("""COMPUTED_VALUE"""),1.5838232271412056)</f>
        <v>1.583823227</v>
      </c>
      <c r="AB117" s="273">
        <f>IFERROR(__xludf.DUMMYFUNCTION("""COMPUTED_VALUE"""),-1.056607962371415)</f>
        <v>-1.056607962</v>
      </c>
      <c r="AC117" s="273">
        <f>IFERROR(__xludf.DUMMYFUNCTION("""COMPUTED_VALUE"""),-1.8339839155710802)</f>
        <v>-1.833983916</v>
      </c>
      <c r="AD117" s="273">
        <f>IFERROR(__xludf.DUMMYFUNCTION("""COMPUTED_VALUE"""),0.8575518116478859)</f>
        <v>0.8575518116</v>
      </c>
      <c r="AE117" s="273">
        <f>IFERROR(__xludf.DUMMYFUNCTION("""COMPUTED_VALUE"""),1.478623853771848)</f>
        <v>1.478623854</v>
      </c>
      <c r="AF117" s="273">
        <f>IFERROR(__xludf.DUMMYFUNCTION("""COMPUTED_VALUE"""),-0.3082688477864227)</f>
        <v>-0.3082688478</v>
      </c>
      <c r="AG117" s="277">
        <f>IFERROR(__xludf.DUMMYFUNCTION("""COMPUTED_VALUE"""),0.0)</f>
        <v>0</v>
      </c>
      <c r="AH117" s="265"/>
      <c r="AI117" s="338"/>
      <c r="AJ117" s="339"/>
      <c r="AK117" s="265"/>
      <c r="AL117" s="265"/>
      <c r="AM117" s="265"/>
      <c r="AN117" s="265"/>
      <c r="AO117" s="265"/>
      <c r="AP117" s="265"/>
      <c r="AQ117" s="265"/>
      <c r="AR117" s="265"/>
      <c r="AS117" s="265"/>
      <c r="AT117" s="265"/>
      <c r="AU117" s="265"/>
      <c r="AV117" s="265"/>
      <c r="AW117" s="265"/>
      <c r="AX117" s="265"/>
      <c r="AY117" s="265"/>
      <c r="AZ117" s="265"/>
      <c r="BA117" s="265"/>
      <c r="BB117" s="265"/>
      <c r="BC117" s="265"/>
      <c r="BD117" s="265"/>
      <c r="BE117" s="265"/>
      <c r="BF117" s="265"/>
      <c r="BG117" s="265"/>
      <c r="BH117" s="265"/>
      <c r="BI117" s="265"/>
      <c r="BJ117" s="265"/>
      <c r="BK117" s="265"/>
      <c r="BL117" s="265"/>
      <c r="BM117" s="265"/>
      <c r="BN117" s="265"/>
      <c r="BO117" s="265"/>
      <c r="BP117" s="265"/>
      <c r="BQ117" s="265"/>
      <c r="BR117" s="265"/>
      <c r="BS117" s="265"/>
      <c r="BT117" s="265"/>
      <c r="BU117" s="265"/>
      <c r="BV117" s="265"/>
    </row>
    <row r="118">
      <c r="A118" s="251">
        <f>VLOOKUP($F118,UpdateHashtag!$V$3:$Y$32,COLUMN(B$15),0)</f>
        <v>3</v>
      </c>
      <c r="B118" s="252">
        <f>VLOOKUP($F118,UpdateHashtag!$V$3:$Y$32,COLUMN(C$13),0)</f>
        <v>4</v>
      </c>
      <c r="C118" s="252">
        <f>VLOOKUP($F118,UpdateHashtag!$V$3:$Y$32,COLUMN(D$13),0)</f>
        <v>4</v>
      </c>
      <c r="D118" s="268">
        <f t="shared" si="4"/>
        <v>11</v>
      </c>
      <c r="E118" s="19"/>
      <c r="F118" s="30" t="str">
        <f>IF(VLOOKUP(J118,PasteHashtag!$C$2:$P1015,3,)="BRO","BKN",IF(VLOOKUP(J118,PasteHashtag!$C$2:$P1015,3,)="OKL","OKC",VLOOKUP(J118,PasteHashtag!$C$2:$P1015,3,)))</f>
        <v>DEN</v>
      </c>
      <c r="G118" s="269">
        <v>99.0</v>
      </c>
      <c r="H118" s="270">
        <f>IFERROR(__xludf.DUMMYFUNCTION("""COMPUTED_VALUE"""),99.0)</f>
        <v>99</v>
      </c>
      <c r="I118" s="270">
        <f>IFERROR(__xludf.DUMMYFUNCTION("""COMPUTED_VALUE"""),73.3)</f>
        <v>73.3</v>
      </c>
      <c r="J118" s="271" t="str">
        <f>IFERROR(__xludf.DUMMYFUNCTION("""COMPUTED_VALUE"""),"Michael Porter Jr.")</f>
        <v>Michael Porter Jr.</v>
      </c>
      <c r="K118" s="270">
        <f>IFERROR(__xludf.DUMMYFUNCTION("""COMPUTED_VALUE"""),74.0)</f>
        <v>74</v>
      </c>
      <c r="L118" s="272" t="str">
        <f>IFERROR(__xludf.DUMMYFUNCTION("""COMPUTED_VALUE"""),"PG")</f>
        <v>PG</v>
      </c>
      <c r="M118" s="273">
        <f>IFERROR(__xludf.DUMMYFUNCTION("""COMPUTED_VALUE"""),-1.433929959352242)</f>
        <v>-1.433929959</v>
      </c>
      <c r="N118" s="273">
        <f>IFERROR(__xludf.DUMMYFUNCTION("""COMPUTED_VALUE"""),-1.6083537855020902)</f>
        <v>-1.608353786</v>
      </c>
      <c r="O118" s="274">
        <f>IFERROR(__xludf.DUMMYFUNCTION("""COMPUTED_VALUE"""),-0.17442382614984808)</f>
        <v>-0.1744238261</v>
      </c>
      <c r="P118" s="275">
        <f>IFERROR(__xludf.DUMMYFUNCTION("""COMPUTED_VALUE"""),16.79617647)</f>
        <v>16.79617647</v>
      </c>
      <c r="Q118" s="275">
        <f>IFERROR(__xludf.DUMMYFUNCTION("""COMPUTED_VALUE"""),2.626470588)</f>
        <v>2.626470588</v>
      </c>
      <c r="R118" s="275">
        <f>IFERROR(__xludf.DUMMYFUNCTION("""COMPUTED_VALUE"""),6.206617647)</f>
        <v>6.206617647</v>
      </c>
      <c r="S118" s="276">
        <f>IFERROR(__xludf.DUMMYFUNCTION("""COMPUTED_VALUE"""),1.372058824)</f>
        <v>1.372058824</v>
      </c>
      <c r="T118" s="275">
        <f>IFERROR(__xludf.DUMMYFUNCTION("""COMPUTED_VALUE"""),0.5895588235)</f>
        <v>0.5895588235</v>
      </c>
      <c r="U118" s="275">
        <f>IFERROR(__xludf.DUMMYFUNCTION("""COMPUTED_VALUE"""),0.5869117647)</f>
        <v>0.5869117647</v>
      </c>
      <c r="V118" s="272">
        <f>IFERROR(__xludf.DUMMYFUNCTION("""COMPUTED_VALUE"""),0.4910021389)</f>
        <v>0.4910021389</v>
      </c>
      <c r="W118" s="272">
        <f>IFERROR(__xludf.DUMMYFUNCTION("""COMPUTED_VALUE"""),0.8779647273)</f>
        <v>0.8779647273</v>
      </c>
      <c r="X118" s="275">
        <f>IFERROR(__xludf.DUMMYFUNCTION("""COMPUTED_VALUE"""),1.045294118)</f>
        <v>1.045294118</v>
      </c>
      <c r="Y118" s="273">
        <f>IFERROR(__xludf.DUMMYFUNCTION("""COMPUTED_VALUE"""),-0.12482526272282542)</f>
        <v>-0.1248252627</v>
      </c>
      <c r="Z118" s="273">
        <f>IFERROR(__xludf.DUMMYFUNCTION("""COMPUTED_VALUE"""),0.8707187612512883)</f>
        <v>0.8707187613</v>
      </c>
      <c r="AA118" s="273">
        <f>IFERROR(__xludf.DUMMYFUNCTION("""COMPUTED_VALUE"""),0.04831598506462005)</f>
        <v>0.04831598506</v>
      </c>
      <c r="AB118" s="273">
        <f>IFERROR(__xludf.DUMMYFUNCTION("""COMPUTED_VALUE"""),-1.1631731319110945)</f>
        <v>-1.163173132</v>
      </c>
      <c r="AC118" s="273">
        <f>IFERROR(__xludf.DUMMYFUNCTION("""COMPUTED_VALUE"""),-1.2784685145198045)</f>
        <v>-1.278468515</v>
      </c>
      <c r="AD118" s="273">
        <f>IFERROR(__xludf.DUMMYFUNCTION("""COMPUTED_VALUE"""),-0.28851377889269425)</f>
        <v>-0.2885137789</v>
      </c>
      <c r="AE118" s="273">
        <f>IFERROR(__xludf.DUMMYFUNCTION("""COMPUTED_VALUE"""),-0.0953843902109194)</f>
        <v>-0.09538439021</v>
      </c>
      <c r="AF118" s="273">
        <f>IFERROR(__xludf.DUMMYFUNCTION("""COMPUTED_VALUE"""),0.42297654643933935)</f>
        <v>0.4229765464</v>
      </c>
      <c r="AG118" s="277">
        <f>IFERROR(__xludf.DUMMYFUNCTION("""COMPUTED_VALUE"""),0.0)</f>
        <v>0</v>
      </c>
      <c r="AH118" s="265"/>
      <c r="AI118" s="338"/>
      <c r="AJ118" s="339"/>
      <c r="AK118" s="265"/>
      <c r="AL118" s="265"/>
      <c r="AM118" s="265"/>
      <c r="AN118" s="265"/>
      <c r="AO118" s="265"/>
      <c r="AP118" s="265"/>
      <c r="AQ118" s="265"/>
      <c r="AR118" s="265"/>
      <c r="AS118" s="265"/>
      <c r="AT118" s="265"/>
      <c r="AU118" s="265"/>
      <c r="AV118" s="265"/>
      <c r="AW118" s="265"/>
      <c r="AX118" s="265"/>
      <c r="AY118" s="265"/>
      <c r="AZ118" s="265"/>
      <c r="BA118" s="265"/>
      <c r="BB118" s="265"/>
      <c r="BC118" s="265"/>
      <c r="BD118" s="265"/>
      <c r="BE118" s="265"/>
      <c r="BF118" s="265"/>
      <c r="BG118" s="265"/>
      <c r="BH118" s="265"/>
      <c r="BI118" s="265"/>
      <c r="BJ118" s="265"/>
      <c r="BK118" s="265"/>
      <c r="BL118" s="265"/>
      <c r="BM118" s="265"/>
      <c r="BN118" s="265"/>
      <c r="BO118" s="265"/>
      <c r="BP118" s="265"/>
      <c r="BQ118" s="265"/>
      <c r="BR118" s="265"/>
      <c r="BS118" s="265"/>
      <c r="BT118" s="265"/>
      <c r="BU118" s="265"/>
      <c r="BV118" s="265"/>
    </row>
    <row r="119">
      <c r="A119" s="251">
        <f>VLOOKUP($F119,UpdateHashtag!$V$3:$Y$32,COLUMN(B$15),0)</f>
        <v>4</v>
      </c>
      <c r="B119" s="252">
        <f>VLOOKUP($F119,UpdateHashtag!$V$3:$Y$32,COLUMN(C$13),0)</f>
        <v>4</v>
      </c>
      <c r="C119" s="252">
        <f>VLOOKUP($F119,UpdateHashtag!$V$3:$Y$32,COLUMN(D$13),0)</f>
        <v>2</v>
      </c>
      <c r="D119" s="268">
        <f t="shared" si="4"/>
        <v>10</v>
      </c>
      <c r="E119" s="19"/>
      <c r="F119" s="30" t="str">
        <f>IF(VLOOKUP(J119,PasteHashtag!$C$2:$P1015,3,)="BRO","BKN",IF(VLOOKUP(J119,PasteHashtag!$C$2:$P1015,3,)="OKL","OKC",VLOOKUP(J119,PasteHashtag!$C$2:$P1015,3,)))</f>
        <v>DAL</v>
      </c>
      <c r="G119" s="269">
        <v>100.0</v>
      </c>
      <c r="H119" s="270">
        <f>IFERROR(__xludf.DUMMYFUNCTION("""COMPUTED_VALUE"""),92.0)</f>
        <v>92</v>
      </c>
      <c r="I119" s="270">
        <f>IFERROR(__xludf.DUMMYFUNCTION("""COMPUTED_VALUE"""),104.5)</f>
        <v>104.5</v>
      </c>
      <c r="J119" s="271" t="str">
        <f>IFERROR(__xludf.DUMMYFUNCTION("""COMPUTED_VALUE"""),"Daniel Gafford")</f>
        <v>Daniel Gafford</v>
      </c>
      <c r="K119" s="270">
        <f>IFERROR(__xludf.DUMMYFUNCTION("""COMPUTED_VALUE"""),76.0)</f>
        <v>76</v>
      </c>
      <c r="L119" s="272" t="str">
        <f>IFERROR(__xludf.DUMMYFUNCTION("""COMPUTED_VALUE"""),"PG,SG")</f>
        <v>PG,SG</v>
      </c>
      <c r="M119" s="273">
        <f>IFERROR(__xludf.DUMMYFUNCTION("""COMPUTED_VALUE"""),-1.480972693957607)</f>
        <v>-1.480972694</v>
      </c>
      <c r="N119" s="273">
        <f>IFERROR(__xludf.DUMMYFUNCTION("""COMPUTED_VALUE"""),-1.6742379669994905)</f>
        <v>-1.674237967</v>
      </c>
      <c r="O119" s="274">
        <f>IFERROR(__xludf.DUMMYFUNCTION("""COMPUTED_VALUE"""),-0.19326527304188357)</f>
        <v>-0.193265273</v>
      </c>
      <c r="P119" s="275">
        <f>IFERROR(__xludf.DUMMYFUNCTION("""COMPUTED_VALUE"""),10.43520548)</f>
        <v>10.43520548</v>
      </c>
      <c r="Q119" s="275">
        <f>IFERROR(__xludf.DUMMYFUNCTION("""COMPUTED_VALUE"""),0.0)</f>
        <v>0</v>
      </c>
      <c r="R119" s="275">
        <f>IFERROR(__xludf.DUMMYFUNCTION("""COMPUTED_VALUE"""),6.630273973)</f>
        <v>6.630273973</v>
      </c>
      <c r="S119" s="276">
        <f>IFERROR(__xludf.DUMMYFUNCTION("""COMPUTED_VALUE"""),1.597123288)</f>
        <v>1.597123288</v>
      </c>
      <c r="T119" s="275">
        <f>IFERROR(__xludf.DUMMYFUNCTION("""COMPUTED_VALUE"""),0.7239726027)</f>
        <v>0.7239726027</v>
      </c>
      <c r="U119" s="275">
        <f>IFERROR(__xludf.DUMMYFUNCTION("""COMPUTED_VALUE"""),1.79369863)</f>
        <v>1.79369863</v>
      </c>
      <c r="V119" s="272">
        <f>IFERROR(__xludf.DUMMYFUNCTION("""COMPUTED_VALUE"""),0.7399957109)</f>
        <v>0.7399957109</v>
      </c>
      <c r="W119" s="272">
        <f>IFERROR(__xludf.DUMMYFUNCTION("""COMPUTED_VALUE"""),0.6680029834)</f>
        <v>0.6680029834</v>
      </c>
      <c r="X119" s="275">
        <f>IFERROR(__xludf.DUMMYFUNCTION("""COMPUTED_VALUE"""),0.9693150685)</f>
        <v>0.9693150685</v>
      </c>
      <c r="Y119" s="273">
        <f>IFERROR(__xludf.DUMMYFUNCTION("""COMPUTED_VALUE"""),-1.271426151545579)</f>
        <v>-1.271426152</v>
      </c>
      <c r="Z119" s="273">
        <f>IFERROR(__xludf.DUMMYFUNCTION("""COMPUTED_VALUE"""),-1.7345523719336797)</f>
        <v>-1.734552372</v>
      </c>
      <c r="AA119" s="273">
        <f>IFERROR(__xludf.DUMMYFUNCTION("""COMPUTED_VALUE"""),0.21434986326660965)</f>
        <v>0.2143498633</v>
      </c>
      <c r="AB119" s="273">
        <f>IFERROR(__xludf.DUMMYFUNCTION("""COMPUTED_VALUE"""),-1.0609627141995968)</f>
        <v>-1.060962714</v>
      </c>
      <c r="AC119" s="273">
        <f>IFERROR(__xludf.DUMMYFUNCTION("""COMPUTED_VALUE"""),-0.8337856104328037)</f>
        <v>-0.8337856104</v>
      </c>
      <c r="AD119" s="273">
        <f>IFERROR(__xludf.DUMMYFUNCTION("""COMPUTED_VALUE"""),1.8639689872711438)</f>
        <v>1.863968987</v>
      </c>
      <c r="AE119" s="273">
        <f>IFERROR(__xludf.DUMMYFUNCTION("""COMPUTED_VALUE"""),1.8035995064573276)</f>
        <v>1.803599506</v>
      </c>
      <c r="AF119" s="273">
        <f>IFERROR(__xludf.DUMMYFUNCTION("""COMPUTED_VALUE"""),-0.6554294758829119)</f>
        <v>-0.6554294759</v>
      </c>
      <c r="AG119" s="277">
        <f>IFERROR(__xludf.DUMMYFUNCTION("""COMPUTED_VALUE"""),0.0)</f>
        <v>0</v>
      </c>
      <c r="AH119" s="265"/>
      <c r="AI119" s="338"/>
      <c r="AJ119" s="339"/>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5"/>
      <c r="BJ119" s="265"/>
      <c r="BK119" s="265"/>
      <c r="BL119" s="265"/>
      <c r="BM119" s="265"/>
      <c r="BN119" s="265"/>
      <c r="BO119" s="265"/>
      <c r="BP119" s="265"/>
      <c r="BQ119" s="265"/>
      <c r="BR119" s="265"/>
      <c r="BS119" s="265"/>
      <c r="BT119" s="265"/>
      <c r="BU119" s="265"/>
      <c r="BV119" s="265"/>
    </row>
    <row r="120">
      <c r="A120" s="251">
        <f>VLOOKUP($F120,UpdateHashtag!$V$3:$Y$32,COLUMN(B$15),0)</f>
        <v>4</v>
      </c>
      <c r="B120" s="252">
        <f>VLOOKUP($F120,UpdateHashtag!$V$3:$Y$32,COLUMN(C$13),0)</f>
        <v>4</v>
      </c>
      <c r="C120" s="252">
        <f>VLOOKUP($F120,UpdateHashtag!$V$3:$Y$32,COLUMN(D$13),0)</f>
        <v>4</v>
      </c>
      <c r="D120" s="268">
        <f t="shared" si="4"/>
        <v>12</v>
      </c>
      <c r="E120" s="19"/>
      <c r="F120" s="30" t="str">
        <f>IF(VLOOKUP(J120,PasteHashtag!$C$2:$P1015,3,)="BRO","BKN",IF(VLOOKUP(J120,PasteHashtag!$C$2:$P1015,3,)="OKL","OKC",VLOOKUP(J120,PasteHashtag!$C$2:$P1015,3,)))</f>
        <v>HOU</v>
      </c>
      <c r="G120" s="269">
        <v>101.0</v>
      </c>
      <c r="H120" s="270">
        <f>IFERROR(__xludf.DUMMYFUNCTION("""COMPUTED_VALUE"""),111.0)</f>
        <v>111</v>
      </c>
      <c r="I120" s="270">
        <f>IFERROR(__xludf.DUMMYFUNCTION("""COMPUTED_VALUE"""),92.2)</f>
        <v>92.2</v>
      </c>
      <c r="J120" s="271" t="str">
        <f>IFERROR(__xludf.DUMMYFUNCTION("""COMPUTED_VALUE"""),"Jalen Green")</f>
        <v>Jalen Green</v>
      </c>
      <c r="K120" s="270">
        <f>IFERROR(__xludf.DUMMYFUNCTION("""COMPUTED_VALUE"""),68.0)</f>
        <v>68</v>
      </c>
      <c r="L120" s="272" t="str">
        <f>IFERROR(__xludf.DUMMYFUNCTION("""COMPUTED_VALUE"""),"SG,SF")</f>
        <v>SG,SF</v>
      </c>
      <c r="M120" s="273">
        <f>IFERROR(__xludf.DUMMYFUNCTION("""COMPUTED_VALUE"""),-1.8861184242693458)</f>
        <v>-1.886118424</v>
      </c>
      <c r="N120" s="273">
        <f>IFERROR(__xludf.DUMMYFUNCTION("""COMPUTED_VALUE"""),-1.7520472795521966)</f>
        <v>-1.75204728</v>
      </c>
      <c r="O120" s="274">
        <f>IFERROR(__xludf.DUMMYFUNCTION("""COMPUTED_VALUE"""),0.1340711447171492)</f>
        <v>0.1340711447</v>
      </c>
      <c r="P120" s="275">
        <f>IFERROR(__xludf.DUMMYFUNCTION("""COMPUTED_VALUE"""),19.86671233)</f>
        <v>19.86671233</v>
      </c>
      <c r="Q120" s="275">
        <f>IFERROR(__xludf.DUMMYFUNCTION("""COMPUTED_VALUE"""),2.66109589)</f>
        <v>2.66109589</v>
      </c>
      <c r="R120" s="275">
        <f>IFERROR(__xludf.DUMMYFUNCTION("""COMPUTED_VALUE"""),4.443972603)</f>
        <v>4.443972603</v>
      </c>
      <c r="S120" s="276">
        <f>IFERROR(__xludf.DUMMYFUNCTION("""COMPUTED_VALUE"""),3.644246575)</f>
        <v>3.644246575</v>
      </c>
      <c r="T120" s="275">
        <f>IFERROR(__xludf.DUMMYFUNCTION("""COMPUTED_VALUE"""),0.8628767123)</f>
        <v>0.8628767123</v>
      </c>
      <c r="U120" s="275">
        <f>IFERROR(__xludf.DUMMYFUNCTION("""COMPUTED_VALUE"""),0.34)</f>
        <v>0.34</v>
      </c>
      <c r="V120" s="272">
        <f>IFERROR(__xludf.DUMMYFUNCTION("""COMPUTED_VALUE"""),0.4297209182)</f>
        <v>0.4297209182</v>
      </c>
      <c r="W120" s="272">
        <f>IFERROR(__xludf.DUMMYFUNCTION("""COMPUTED_VALUE"""),0.801002631)</f>
        <v>0.801002631</v>
      </c>
      <c r="X120" s="275">
        <f>IFERROR(__xludf.DUMMYFUNCTION("""COMPUTED_VALUE"""),2.289315068)</f>
        <v>2.289315068</v>
      </c>
      <c r="Y120" s="273">
        <f>IFERROR(__xludf.DUMMYFUNCTION("""COMPUTED_VALUE"""),0.4286561400021599)</f>
        <v>0.42865614</v>
      </c>
      <c r="Z120" s="273">
        <f>IFERROR(__xludf.DUMMYFUNCTION("""COMPUTED_VALUE"""),0.9050645864779484)</f>
        <v>0.9050645865</v>
      </c>
      <c r="AA120" s="273">
        <f>IFERROR(__xludf.DUMMYFUNCTION("""COMPUTED_VALUE"""),-0.6424769397383869)</f>
        <v>-0.6424769397</v>
      </c>
      <c r="AB120" s="273">
        <f>IFERROR(__xludf.DUMMYFUNCTION("""COMPUTED_VALUE"""),-0.13128540063131774)</f>
        <v>-0.1312854006</v>
      </c>
      <c r="AC120" s="273">
        <f>IFERROR(__xludf.DUMMYFUNCTION("""COMPUTED_VALUE"""),-0.3742472862060935)</f>
        <v>-0.3742472862</v>
      </c>
      <c r="AD120" s="273">
        <f>IFERROR(__xludf.DUMMYFUNCTION("""COMPUTED_VALUE"""),-0.7289174106870538)</f>
        <v>-0.7289174107</v>
      </c>
      <c r="AE120" s="273">
        <f>IFERROR(__xludf.DUMMYFUNCTION("""COMPUTED_VALUE"""),-1.2903596761958462)</f>
        <v>-1.290359676</v>
      </c>
      <c r="AF120" s="273">
        <f>IFERROR(__xludf.DUMMYFUNCTION("""COMPUTED_VALUE"""),0.08151870742639354)</f>
        <v>0.08151870743</v>
      </c>
      <c r="AG120" s="277">
        <f>IFERROR(__xludf.DUMMYFUNCTION("""COMPUTED_VALUE"""),0.0)</f>
        <v>0</v>
      </c>
      <c r="AH120" s="265"/>
      <c r="AI120" s="338"/>
      <c r="AJ120" s="339"/>
      <c r="AK120" s="265"/>
      <c r="AL120" s="265"/>
      <c r="AM120" s="265"/>
      <c r="AN120" s="265"/>
      <c r="AO120" s="265"/>
      <c r="AP120" s="265"/>
      <c r="AQ120" s="265"/>
      <c r="AR120" s="265"/>
      <c r="AS120" s="265"/>
      <c r="AT120" s="265"/>
      <c r="AU120" s="265"/>
      <c r="AV120" s="265"/>
      <c r="AW120" s="265"/>
      <c r="AX120" s="265"/>
      <c r="AY120" s="265"/>
      <c r="AZ120" s="265"/>
      <c r="BA120" s="265"/>
      <c r="BB120" s="265"/>
      <c r="BC120" s="265"/>
      <c r="BD120" s="265"/>
      <c r="BE120" s="265"/>
      <c r="BF120" s="265"/>
      <c r="BG120" s="265"/>
      <c r="BH120" s="265"/>
      <c r="BI120" s="265"/>
      <c r="BJ120" s="265"/>
      <c r="BK120" s="265"/>
      <c r="BL120" s="265"/>
      <c r="BM120" s="265"/>
      <c r="BN120" s="265"/>
      <c r="BO120" s="265"/>
      <c r="BP120" s="265"/>
      <c r="BQ120" s="265"/>
      <c r="BR120" s="265"/>
      <c r="BS120" s="265"/>
      <c r="BT120" s="265"/>
      <c r="BU120" s="265"/>
      <c r="BV120" s="265"/>
    </row>
    <row r="121">
      <c r="A121" s="251">
        <f>VLOOKUP($F121,UpdateHashtag!$V$3:$Y$32,COLUMN(B$15),0)</f>
        <v>3</v>
      </c>
      <c r="B121" s="252">
        <f>VLOOKUP($F121,UpdateHashtag!$V$3:$Y$32,COLUMN(C$13),0)</f>
        <v>4</v>
      </c>
      <c r="C121" s="252">
        <f>VLOOKUP($F121,UpdateHashtag!$V$3:$Y$32,COLUMN(D$13),0)</f>
        <v>3</v>
      </c>
      <c r="D121" s="268">
        <f t="shared" si="4"/>
        <v>10</v>
      </c>
      <c r="E121" s="19"/>
      <c r="F121" s="30" t="str">
        <f>IF(VLOOKUP(J121,PasteHashtag!$C$2:$P1015,3,)="BRO","BKN",IF(VLOOKUP(J121,PasteHashtag!$C$2:$P1015,3,)="OKL","OKC",VLOOKUP(J121,PasteHashtag!$C$2:$P1015,3,)))</f>
        <v>PHO</v>
      </c>
      <c r="G121" s="269">
        <v>102.0</v>
      </c>
      <c r="H121" s="270">
        <f>IFERROR(__xludf.DUMMYFUNCTION("""COMPUTED_VALUE"""),103.0)</f>
        <v>103</v>
      </c>
      <c r="I121" s="270">
        <f>IFERROR(__xludf.DUMMYFUNCTION("""COMPUTED_VALUE"""),84.2)</f>
        <v>84.2</v>
      </c>
      <c r="J121" s="271" t="str">
        <f>IFERROR(__xludf.DUMMYFUNCTION("""COMPUTED_VALUE"""),"Jusuf Nurkic")</f>
        <v>Jusuf Nurkic</v>
      </c>
      <c r="K121" s="270">
        <f>IFERROR(__xludf.DUMMYFUNCTION("""COMPUTED_VALUE"""),48.0)</f>
        <v>48</v>
      </c>
      <c r="L121" s="272" t="str">
        <f>IFERROR(__xludf.DUMMYFUNCTION("""COMPUTED_VALUE"""),"C")</f>
        <v>C</v>
      </c>
      <c r="M121" s="273">
        <f>IFERROR(__xludf.DUMMYFUNCTION("""COMPUTED_VALUE"""),-1.9345415924895948)</f>
        <v>-1.934541592</v>
      </c>
      <c r="N121" s="273">
        <f>IFERROR(__xludf.DUMMYFUNCTION("""COMPUTED_VALUE"""),-1.7699312780090057)</f>
        <v>-1.769931278</v>
      </c>
      <c r="O121" s="274">
        <f>IFERROR(__xludf.DUMMYFUNCTION("""COMPUTED_VALUE"""),0.16461031448058905)</f>
        <v>0.1646103145</v>
      </c>
      <c r="P121" s="275">
        <f>IFERROR(__xludf.DUMMYFUNCTION("""COMPUTED_VALUE"""),11.10712329)</f>
        <v>11.10712329</v>
      </c>
      <c r="Q121" s="275">
        <f>IFERROR(__xludf.DUMMYFUNCTION("""COMPUTED_VALUE"""),0.355890411)</f>
        <v>0.355890411</v>
      </c>
      <c r="R121" s="275">
        <f>IFERROR(__xludf.DUMMYFUNCTION("""COMPUTED_VALUE"""),11.36246575)</f>
        <v>11.36246575</v>
      </c>
      <c r="S121" s="276">
        <f>IFERROR(__xludf.DUMMYFUNCTION("""COMPUTED_VALUE"""),3.431232877)</f>
        <v>3.431232877</v>
      </c>
      <c r="T121" s="275">
        <f>IFERROR(__xludf.DUMMYFUNCTION("""COMPUTED_VALUE"""),1.130410959)</f>
        <v>1.130410959</v>
      </c>
      <c r="U121" s="275">
        <f>IFERROR(__xludf.DUMMYFUNCTION("""COMPUTED_VALUE"""),1.009315068)</f>
        <v>1.009315068</v>
      </c>
      <c r="V121" s="272">
        <f>IFERROR(__xludf.DUMMYFUNCTION("""COMPUTED_VALUE"""),0.5060056601)</f>
        <v>0.5060056601</v>
      </c>
      <c r="W121" s="272">
        <f>IFERROR(__xludf.DUMMYFUNCTION("""COMPUTED_VALUE"""),0.6300048239)</f>
        <v>0.6300048239</v>
      </c>
      <c r="X121" s="275">
        <f>IFERROR(__xludf.DUMMYFUNCTION("""COMPUTED_VALUE"""),2.412465753)</f>
        <v>2.412465753</v>
      </c>
      <c r="Y121" s="273">
        <f>IFERROR(__xludf.DUMMYFUNCTION("""COMPUTED_VALUE"""),-1.1503091775218006)</f>
        <v>-1.150309178</v>
      </c>
      <c r="Z121" s="273">
        <f>IFERROR(__xludf.DUMMYFUNCTION("""COMPUTED_VALUE"""),-1.3815345164922945)</f>
        <v>-1.381534516</v>
      </c>
      <c r="AA121" s="273">
        <f>IFERROR(__xludf.DUMMYFUNCTION("""COMPUTED_VALUE"""),2.068928928683123)</f>
        <v>2.068928929</v>
      </c>
      <c r="AB121" s="273">
        <f>IFERROR(__xludf.DUMMYFUNCTION("""COMPUTED_VALUE"""),-0.22802310263855635)</f>
        <v>-0.2280231026</v>
      </c>
      <c r="AC121" s="273">
        <f>IFERROR(__xludf.DUMMYFUNCTION("""COMPUTED_VALUE"""),0.5108398415672183)</f>
        <v>0.5108398416</v>
      </c>
      <c r="AD121" s="273">
        <f>IFERROR(__xludf.DUMMYFUNCTION("""COMPUTED_VALUE"""),0.4649049538326585)</f>
        <v>0.4649049538</v>
      </c>
      <c r="AE121" s="273">
        <f>IFERROR(__xludf.DUMMYFUNCTION("""COMPUTED_VALUE"""),0.084821017487391)</f>
        <v>0.08482101749</v>
      </c>
      <c r="AF121" s="273">
        <f>IFERROR(__xludf.DUMMYFUNCTION("""COMPUTED_VALUE"""),-2.139559222926745)</f>
        <v>-2.139559223</v>
      </c>
      <c r="AG121" s="277">
        <f>IFERROR(__xludf.DUMMYFUNCTION("""COMPUTED_VALUE"""),0.0)</f>
        <v>0</v>
      </c>
      <c r="AH121" s="265"/>
      <c r="AI121" s="338"/>
      <c r="AJ121" s="339"/>
      <c r="AK121" s="265"/>
      <c r="AL121" s="265"/>
      <c r="AM121" s="265"/>
      <c r="AN121" s="265"/>
      <c r="AO121" s="265"/>
      <c r="AP121" s="265"/>
      <c r="AQ121" s="265"/>
      <c r="AR121" s="265"/>
      <c r="AS121" s="265"/>
      <c r="AT121" s="265"/>
      <c r="AU121" s="265"/>
      <c r="AV121" s="265"/>
      <c r="AW121" s="265"/>
      <c r="AX121" s="265"/>
      <c r="AY121" s="265"/>
      <c r="AZ121" s="265"/>
      <c r="BA121" s="265"/>
      <c r="BB121" s="265"/>
      <c r="BC121" s="265"/>
      <c r="BD121" s="265"/>
      <c r="BE121" s="265"/>
      <c r="BF121" s="265"/>
      <c r="BG121" s="265"/>
      <c r="BH121" s="265"/>
      <c r="BI121" s="265"/>
      <c r="BJ121" s="265"/>
      <c r="BK121" s="265"/>
      <c r="BL121" s="265"/>
      <c r="BM121" s="265"/>
      <c r="BN121" s="265"/>
      <c r="BO121" s="265"/>
      <c r="BP121" s="265"/>
      <c r="BQ121" s="265"/>
      <c r="BR121" s="265"/>
      <c r="BS121" s="265"/>
      <c r="BT121" s="265"/>
      <c r="BU121" s="265"/>
      <c r="BV121" s="265"/>
    </row>
    <row r="122">
      <c r="A122" s="251">
        <f>VLOOKUP($F122,UpdateHashtag!$V$3:$Y$32,COLUMN(B$15),0)</f>
        <v>4</v>
      </c>
      <c r="B122" s="252">
        <f>VLOOKUP($F122,UpdateHashtag!$V$3:$Y$32,COLUMN(C$13),0)</f>
        <v>3</v>
      </c>
      <c r="C122" s="252">
        <f>VLOOKUP($F122,UpdateHashtag!$V$3:$Y$32,COLUMN(D$13),0)</f>
        <v>4</v>
      </c>
      <c r="D122" s="268">
        <f t="shared" si="4"/>
        <v>11</v>
      </c>
      <c r="E122" s="19"/>
      <c r="F122" s="30" t="str">
        <f>IF(VLOOKUP(J122,PasteHashtag!$C$2:$P1015,3,)="BRO","BKN",IF(VLOOKUP(J122,PasteHashtag!$C$2:$P1015,3,)="OKL","OKC",VLOOKUP(J122,PasteHashtag!$C$2:$P1015,3,)))</f>
        <v>GS</v>
      </c>
      <c r="G122" s="269">
        <v>103.0</v>
      </c>
      <c r="H122" s="270">
        <f>IFERROR(__xludf.DUMMYFUNCTION("""COMPUTED_VALUE"""),101.0)</f>
        <v>101</v>
      </c>
      <c r="I122" s="270">
        <f>IFERROR(__xludf.DUMMYFUNCTION("""COMPUTED_VALUE"""),91.0)</f>
        <v>91</v>
      </c>
      <c r="J122" s="271" t="str">
        <f>IFERROR(__xludf.DUMMYFUNCTION("""COMPUTED_VALUE"""),"Jonathan Kuminga")</f>
        <v>Jonathan Kuminga</v>
      </c>
      <c r="K122" s="270">
        <f>IFERROR(__xludf.DUMMYFUNCTION("""COMPUTED_VALUE"""),67.0)</f>
        <v>67</v>
      </c>
      <c r="L122" s="272" t="str">
        <f>IFERROR(__xludf.DUMMYFUNCTION("""COMPUTED_VALUE"""),"SG,SF,PF")</f>
        <v>SG,SF,PF</v>
      </c>
      <c r="M122" s="273">
        <f>IFERROR(__xludf.DUMMYFUNCTION("""COMPUTED_VALUE"""),-1.8701319708233377)</f>
        <v>-1.870131971</v>
      </c>
      <c r="N122" s="273">
        <f>IFERROR(__xludf.DUMMYFUNCTION("""COMPUTED_VALUE"""),-1.856951344585256)</f>
        <v>-1.856951345</v>
      </c>
      <c r="O122" s="274">
        <f>IFERROR(__xludf.DUMMYFUNCTION("""COMPUTED_VALUE"""),0.013180626238081805)</f>
        <v>0.01318062624</v>
      </c>
      <c r="P122" s="275">
        <f>IFERROR(__xludf.DUMMYFUNCTION("""COMPUTED_VALUE"""),18.77363636)</f>
        <v>18.77363636</v>
      </c>
      <c r="Q122" s="275">
        <f>IFERROR(__xludf.DUMMYFUNCTION("""COMPUTED_VALUE"""),0.7936363636)</f>
        <v>0.7936363636</v>
      </c>
      <c r="R122" s="275">
        <f>IFERROR(__xludf.DUMMYFUNCTION("""COMPUTED_VALUE"""),5.437532468)</f>
        <v>5.437532468</v>
      </c>
      <c r="S122" s="276">
        <f>IFERROR(__xludf.DUMMYFUNCTION("""COMPUTED_VALUE"""),3.25)</f>
        <v>3.25</v>
      </c>
      <c r="T122" s="275">
        <f>IFERROR(__xludf.DUMMYFUNCTION("""COMPUTED_VALUE"""),0.8842857143)</f>
        <v>0.8842857143</v>
      </c>
      <c r="U122" s="275">
        <f>IFERROR(__xludf.DUMMYFUNCTION("""COMPUTED_VALUE"""),0.5585714286)</f>
        <v>0.5585714286</v>
      </c>
      <c r="V122" s="272">
        <f>IFERROR(__xludf.DUMMYFUNCTION("""COMPUTED_VALUE"""),0.5313195112)</f>
        <v>0.5313195112</v>
      </c>
      <c r="W122" s="272">
        <f>IFERROR(__xludf.DUMMYFUNCTION("""COMPUTED_VALUE"""),0.7580010849)</f>
        <v>0.7580010849</v>
      </c>
      <c r="X122" s="275">
        <f>IFERROR(__xludf.DUMMYFUNCTION("""COMPUTED_VALUE"""),1.801818182)</f>
        <v>1.801818182</v>
      </c>
      <c r="Y122" s="273">
        <f>IFERROR(__xludf.DUMMYFUNCTION("""COMPUTED_VALUE"""),0.23162303283611216)</f>
        <v>0.2316230328</v>
      </c>
      <c r="Z122" s="273">
        <f>IFERROR(__xludf.DUMMYFUNCTION("""COMPUTED_VALUE"""),-0.9473218132593371)</f>
        <v>-0.9473218133</v>
      </c>
      <c r="AA122" s="273">
        <f>IFERROR(__xludf.DUMMYFUNCTION("""COMPUTED_VALUE"""),-0.2530938773648654)</f>
        <v>-0.2530938774</v>
      </c>
      <c r="AB122" s="273">
        <f>IFERROR(__xludf.DUMMYFUNCTION("""COMPUTED_VALUE"""),-0.31032791314487645)</f>
        <v>-0.3103279131</v>
      </c>
      <c r="AC122" s="273">
        <f>IFERROR(__xludf.DUMMYFUNCTION("""COMPUTED_VALUE"""),-0.3034195984524526)</f>
        <v>-0.3034195985</v>
      </c>
      <c r="AD122" s="273">
        <f>IFERROR(__xludf.DUMMYFUNCTION("""COMPUTED_VALUE"""),-0.3390629577051237)</f>
        <v>-0.3390629577</v>
      </c>
      <c r="AE122" s="273">
        <f>IFERROR(__xludf.DUMMYFUNCTION("""COMPUTED_VALUE"""),0.562288575128439)</f>
        <v>0.5622885751</v>
      </c>
      <c r="AF122" s="273">
        <f>IFERROR(__xludf.DUMMYFUNCTION("""COMPUTED_VALUE"""),-0.497636792623152)</f>
        <v>-0.4976367926</v>
      </c>
      <c r="AG122" s="277">
        <f>IFERROR(__xludf.DUMMYFUNCTION("""COMPUTED_VALUE"""),0.0)</f>
        <v>0</v>
      </c>
      <c r="AH122" s="265"/>
      <c r="AI122" s="338"/>
      <c r="AJ122" s="339"/>
      <c r="AK122" s="265"/>
      <c r="AL122" s="265"/>
      <c r="AM122" s="265"/>
      <c r="AN122" s="265"/>
      <c r="AO122" s="265"/>
      <c r="AP122" s="265"/>
      <c r="AQ122" s="265"/>
      <c r="AR122" s="265"/>
      <c r="AS122" s="265"/>
      <c r="AT122" s="265"/>
      <c r="AU122" s="265"/>
      <c r="AV122" s="265"/>
      <c r="AW122" s="265"/>
      <c r="AX122" s="265"/>
      <c r="AY122" s="265"/>
      <c r="AZ122" s="265"/>
      <c r="BA122" s="265"/>
      <c r="BB122" s="265"/>
      <c r="BC122" s="265"/>
      <c r="BD122" s="265"/>
      <c r="BE122" s="265"/>
      <c r="BF122" s="265"/>
      <c r="BG122" s="265"/>
      <c r="BH122" s="265"/>
      <c r="BI122" s="265"/>
      <c r="BJ122" s="265"/>
      <c r="BK122" s="265"/>
      <c r="BL122" s="265"/>
      <c r="BM122" s="265"/>
      <c r="BN122" s="265"/>
      <c r="BO122" s="265"/>
      <c r="BP122" s="265"/>
      <c r="BQ122" s="265"/>
      <c r="BR122" s="265"/>
      <c r="BS122" s="265"/>
      <c r="BT122" s="265"/>
      <c r="BU122" s="265"/>
      <c r="BV122" s="265"/>
    </row>
    <row r="123">
      <c r="A123" s="251">
        <f>VLOOKUP($F123,UpdateHashtag!$V$3:$Y$32,COLUMN(B$15),0)</f>
        <v>2</v>
      </c>
      <c r="B123" s="252">
        <f>VLOOKUP($F123,UpdateHashtag!$V$3:$Y$32,COLUMN(C$13),0)</f>
        <v>4</v>
      </c>
      <c r="C123" s="252">
        <f>VLOOKUP($F123,UpdateHashtag!$V$3:$Y$32,COLUMN(D$13),0)</f>
        <v>4</v>
      </c>
      <c r="D123" s="268">
        <f t="shared" si="4"/>
        <v>10</v>
      </c>
      <c r="E123" s="19"/>
      <c r="F123" s="30" t="str">
        <f>IF(VLOOKUP(J123,PasteHashtag!$C$2:$P1015,3,)="BRO","BKN",IF(VLOOKUP(J123,PasteHashtag!$C$2:$P1015,3,)="OKL","OKC",VLOOKUP(J123,PasteHashtag!$C$2:$P1015,3,)))</f>
        <v>CHI</v>
      </c>
      <c r="G123" s="269">
        <v>104.0</v>
      </c>
      <c r="H123" s="270">
        <f>IFERROR(__xludf.DUMMYFUNCTION("""COMPUTED_VALUE"""),107.0)</f>
        <v>107</v>
      </c>
      <c r="I123" s="270">
        <f>IFERROR(__xludf.DUMMYFUNCTION("""COMPUTED_VALUE"""),86.5)</f>
        <v>86.5</v>
      </c>
      <c r="J123" s="271" t="str">
        <f>IFERROR(__xludf.DUMMYFUNCTION("""COMPUTED_VALUE"""),"Coby White")</f>
        <v>Coby White</v>
      </c>
      <c r="K123" s="270">
        <f>IFERROR(__xludf.DUMMYFUNCTION("""COMPUTED_VALUE"""),68.0)</f>
        <v>68</v>
      </c>
      <c r="L123" s="272" t="str">
        <f>IFERROR(__xludf.DUMMYFUNCTION("""COMPUTED_VALUE"""),"PF")</f>
        <v>PF</v>
      </c>
      <c r="M123" s="273">
        <f>IFERROR(__xludf.DUMMYFUNCTION("""COMPUTED_VALUE"""),-1.8554082408591954)</f>
        <v>-1.855408241</v>
      </c>
      <c r="N123" s="273">
        <f>IFERROR(__xludf.DUMMYFUNCTION("""COMPUTED_VALUE"""),-1.888062619043175)</f>
        <v>-1.888062619</v>
      </c>
      <c r="O123" s="274">
        <f>IFERROR(__xludf.DUMMYFUNCTION("""COMPUTED_VALUE"""),-0.03265437818397965)</f>
        <v>-0.03265437818</v>
      </c>
      <c r="P123" s="275">
        <f>IFERROR(__xludf.DUMMYFUNCTION("""COMPUTED_VALUE"""),18.96849315)</f>
        <v>18.96849315</v>
      </c>
      <c r="Q123" s="275">
        <f>IFERROR(__xludf.DUMMYFUNCTION("""COMPUTED_VALUE"""),2.273424658)</f>
        <v>2.273424658</v>
      </c>
      <c r="R123" s="275">
        <f>IFERROR(__xludf.DUMMYFUNCTION("""COMPUTED_VALUE"""),3.822054795)</f>
        <v>3.822054795</v>
      </c>
      <c r="S123" s="276">
        <f>IFERROR(__xludf.DUMMYFUNCTION("""COMPUTED_VALUE"""),4.41)</f>
        <v>4.41</v>
      </c>
      <c r="T123" s="275">
        <f>IFERROR(__xludf.DUMMYFUNCTION("""COMPUTED_VALUE"""),0.6620547945)</f>
        <v>0.6620547945</v>
      </c>
      <c r="U123" s="275">
        <f>IFERROR(__xludf.DUMMYFUNCTION("""COMPUTED_VALUE"""),0.2204109589)</f>
        <v>0.2204109589</v>
      </c>
      <c r="V123" s="272">
        <f>IFERROR(__xludf.DUMMYFUNCTION("""COMPUTED_VALUE"""),0.4497405255)</f>
        <v>0.4497405255</v>
      </c>
      <c r="W123" s="272">
        <f>IFERROR(__xludf.DUMMYFUNCTION("""COMPUTED_VALUE"""),0.8560152025)</f>
        <v>0.8560152025</v>
      </c>
      <c r="X123" s="275">
        <f>IFERROR(__xludf.DUMMYFUNCTION("""COMPUTED_VALUE"""),1.616986301)</f>
        <v>1.616986301</v>
      </c>
      <c r="Y123" s="273">
        <f>IFERROR(__xludf.DUMMYFUNCTION("""COMPUTED_VALUE"""),0.26674706798080755)</f>
        <v>0.266747068</v>
      </c>
      <c r="Z123" s="273">
        <f>IFERROR(__xludf.DUMMYFUNCTION("""COMPUTED_VALUE"""),0.5205224276925586)</f>
        <v>0.5205224277</v>
      </c>
      <c r="AA123" s="273">
        <f>IFERROR(__xludf.DUMMYFUNCTION("""COMPUTED_VALUE"""),-0.8862108798403935)</f>
        <v>-0.8862108798</v>
      </c>
      <c r="AB123" s="273">
        <f>IFERROR(__xludf.DUMMYFUNCTION("""COMPUTED_VALUE"""),0.21647264185228024)</f>
        <v>0.2164726419</v>
      </c>
      <c r="AC123" s="273">
        <f>IFERROR(__xludf.DUMMYFUNCTION("""COMPUTED_VALUE"""),-1.0386291237165808)</f>
        <v>-1.038629124</v>
      </c>
      <c r="AD123" s="273">
        <f>IFERROR(__xludf.DUMMYFUNCTION("""COMPUTED_VALUE"""),-0.9422221436034315)</f>
        <v>-0.9422221436</v>
      </c>
      <c r="AE123" s="273">
        <f>IFERROR(__xludf.DUMMYFUNCTION("""COMPUTED_VALUE"""),-0.8284963900960279)</f>
        <v>-0.8284963901</v>
      </c>
      <c r="AF123" s="273">
        <f>IFERROR(__xludf.DUMMYFUNCTION("""COMPUTED_VALUE"""),0.8037537806876122)</f>
        <v>0.8037537807</v>
      </c>
      <c r="AG123" s="277">
        <f>IFERROR(__xludf.DUMMYFUNCTION("""COMPUTED_VALUE"""),0.0)</f>
        <v>0</v>
      </c>
      <c r="AH123" s="265"/>
      <c r="AI123" s="338"/>
      <c r="AJ123" s="339"/>
      <c r="AK123" s="265"/>
      <c r="AL123" s="265"/>
      <c r="AM123" s="265"/>
      <c r="AN123" s="265"/>
      <c r="AO123" s="265"/>
      <c r="AP123" s="265"/>
      <c r="AQ123" s="265"/>
      <c r="AR123" s="265"/>
      <c r="AS123" s="265"/>
      <c r="AT123" s="265"/>
      <c r="AU123" s="265"/>
      <c r="AV123" s="265"/>
      <c r="AW123" s="265"/>
      <c r="AX123" s="265"/>
      <c r="AY123" s="265"/>
      <c r="AZ123" s="265"/>
      <c r="BA123" s="265"/>
      <c r="BB123" s="265"/>
      <c r="BC123" s="265"/>
      <c r="BD123" s="265"/>
      <c r="BE123" s="265"/>
      <c r="BF123" s="265"/>
      <c r="BG123" s="265"/>
      <c r="BH123" s="265"/>
      <c r="BI123" s="265"/>
      <c r="BJ123" s="265"/>
      <c r="BK123" s="265"/>
      <c r="BL123" s="265"/>
      <c r="BM123" s="265"/>
      <c r="BN123" s="265"/>
      <c r="BO123" s="265"/>
      <c r="BP123" s="265"/>
      <c r="BQ123" s="265"/>
      <c r="BR123" s="265"/>
      <c r="BS123" s="265"/>
      <c r="BT123" s="265"/>
      <c r="BU123" s="265"/>
      <c r="BV123" s="265"/>
    </row>
    <row r="124">
      <c r="A124" s="251">
        <f>VLOOKUP($F124,UpdateHashtag!$V$3:$Y$32,COLUMN(B$15),0)</f>
        <v>4</v>
      </c>
      <c r="B124" s="252">
        <f>VLOOKUP($F124,UpdateHashtag!$V$3:$Y$32,COLUMN(C$13),0)</f>
        <v>4</v>
      </c>
      <c r="C124" s="252">
        <f>VLOOKUP($F124,UpdateHashtag!$V$3:$Y$32,COLUMN(D$13),0)</f>
        <v>3</v>
      </c>
      <c r="D124" s="268">
        <f t="shared" si="4"/>
        <v>11</v>
      </c>
      <c r="E124" s="19"/>
      <c r="F124" s="30" t="str">
        <f>IF(VLOOKUP(J124,PasteHashtag!$C$2:$P1015,3,)="BRO","BKN",IF(VLOOKUP(J124,PasteHashtag!$C$2:$P1015,3,)="OKL","OKC",VLOOKUP(J124,PasteHashtag!$C$2:$P1015,3,)))</f>
        <v>ATL</v>
      </c>
      <c r="G124" s="269">
        <v>105.0</v>
      </c>
      <c r="H124" s="270">
        <f>IFERROR(__xludf.DUMMYFUNCTION("""COMPUTED_VALUE"""),106.0)</f>
        <v>106</v>
      </c>
      <c r="I124" s="270">
        <f>IFERROR(__xludf.DUMMYFUNCTION("""COMPUTED_VALUE"""),144.4)</f>
        <v>144.4</v>
      </c>
      <c r="J124" s="271" t="str">
        <f>IFERROR(__xludf.DUMMYFUNCTION("""COMPUTED_VALUE"""),"Dyson Daniels")</f>
        <v>Dyson Daniels</v>
      </c>
      <c r="K124" s="270">
        <f>IFERROR(__xludf.DUMMYFUNCTION("""COMPUTED_VALUE"""),68.0)</f>
        <v>68</v>
      </c>
      <c r="L124" s="272" t="str">
        <f>IFERROR(__xludf.DUMMYFUNCTION("""COMPUTED_VALUE"""),"PG,SG")</f>
        <v>PG,SG</v>
      </c>
      <c r="M124" s="273">
        <f>IFERROR(__xludf.DUMMYFUNCTION("""COMPUTED_VALUE"""),-1.828853420221427)</f>
        <v>-1.82885342</v>
      </c>
      <c r="N124" s="273">
        <f>IFERROR(__xludf.DUMMYFUNCTION("""COMPUTED_VALUE"""),-1.9008312189939105)</f>
        <v>-1.900831219</v>
      </c>
      <c r="O124" s="274">
        <f>IFERROR(__xludf.DUMMYFUNCTION("""COMPUTED_VALUE"""),-0.07197779877248345)</f>
        <v>-0.07197779877</v>
      </c>
      <c r="P124" s="275">
        <f>IFERROR(__xludf.DUMMYFUNCTION("""COMPUTED_VALUE"""),9.287301587)</f>
        <v>9.287301587</v>
      </c>
      <c r="Q124" s="275">
        <f>IFERROR(__xludf.DUMMYFUNCTION("""COMPUTED_VALUE"""),1.195555556)</f>
        <v>1.195555556</v>
      </c>
      <c r="R124" s="275">
        <f>IFERROR(__xludf.DUMMYFUNCTION("""COMPUTED_VALUE"""),5.016666667)</f>
        <v>5.016666667</v>
      </c>
      <c r="S124" s="276">
        <f>IFERROR(__xludf.DUMMYFUNCTION("""COMPUTED_VALUE"""),3.5)</f>
        <v>3.5</v>
      </c>
      <c r="T124" s="275">
        <f>IFERROR(__xludf.DUMMYFUNCTION("""COMPUTED_VALUE"""),1.575079365)</f>
        <v>1.575079365</v>
      </c>
      <c r="U124" s="275">
        <f>IFERROR(__xludf.DUMMYFUNCTION("""COMPUTED_VALUE"""),0.4568253968)</f>
        <v>0.4568253968</v>
      </c>
      <c r="V124" s="272">
        <f>IFERROR(__xludf.DUMMYFUNCTION("""COMPUTED_VALUE"""),0.4659558171)</f>
        <v>0.4659558171</v>
      </c>
      <c r="W124" s="272">
        <f>IFERROR(__xludf.DUMMYFUNCTION("""COMPUTED_VALUE"""),0.6829830118)</f>
        <v>0.6829830118</v>
      </c>
      <c r="X124" s="275">
        <f>IFERROR(__xludf.DUMMYFUNCTION("""COMPUTED_VALUE"""),1.458412698)</f>
        <v>1.458412698</v>
      </c>
      <c r="Y124" s="273">
        <f>IFERROR(__xludf.DUMMYFUNCTION("""COMPUTED_VALUE"""),-1.478342300992898)</f>
        <v>-1.478342301</v>
      </c>
      <c r="Z124" s="273">
        <f>IFERROR(__xludf.DUMMYFUNCTION("""COMPUTED_VALUE"""),-0.548646695930083)</f>
        <v>-0.5486466959</v>
      </c>
      <c r="AA124" s="273">
        <f>IFERROR(__xludf.DUMMYFUNCTION("""COMPUTED_VALUE"""),-0.4180341292959003)</f>
        <v>-0.4180341293</v>
      </c>
      <c r="AB124" s="273">
        <f>IFERROR(__xludf.DUMMYFUNCTION("""COMPUTED_VALUE"""),-0.19679331077479958)</f>
        <v>-0.1967933108</v>
      </c>
      <c r="AC124" s="273">
        <f>IFERROR(__xludf.DUMMYFUNCTION("""COMPUTED_VALUE"""),1.9819422784803045)</f>
        <v>1.981942278</v>
      </c>
      <c r="AD124" s="273">
        <f>IFERROR(__xludf.DUMMYFUNCTION("""COMPUTED_VALUE"""),-0.5205420459123143)</f>
        <v>-0.5205420459</v>
      </c>
      <c r="AE124" s="273">
        <f>IFERROR(__xludf.DUMMYFUNCTION("""COMPUTED_VALUE"""),-0.2866180678808224)</f>
        <v>-0.2866180679</v>
      </c>
      <c r="AF124" s="273">
        <f>IFERROR(__xludf.DUMMYFUNCTION("""COMPUTED_VALUE"""),-0.43379694668739743)</f>
        <v>-0.4337969467</v>
      </c>
      <c r="AG124" s="277">
        <f>IFERROR(__xludf.DUMMYFUNCTION("""COMPUTED_VALUE"""),0.0)</f>
        <v>0</v>
      </c>
      <c r="AH124" s="265"/>
      <c r="AI124" s="338"/>
      <c r="AJ124" s="339"/>
      <c r="AK124" s="265"/>
      <c r="AL124" s="265"/>
      <c r="AM124" s="265"/>
      <c r="AN124" s="265"/>
      <c r="AO124" s="265"/>
      <c r="AP124" s="265"/>
      <c r="AQ124" s="265"/>
      <c r="AR124" s="265"/>
      <c r="AS124" s="265"/>
      <c r="AT124" s="265"/>
      <c r="AU124" s="265"/>
      <c r="AV124" s="265"/>
      <c r="AW124" s="265"/>
      <c r="AX124" s="265"/>
      <c r="AY124" s="265"/>
      <c r="AZ124" s="265"/>
      <c r="BA124" s="265"/>
      <c r="BB124" s="265"/>
      <c r="BC124" s="265"/>
      <c r="BD124" s="265"/>
      <c r="BE124" s="265"/>
      <c r="BF124" s="265"/>
      <c r="BG124" s="265"/>
      <c r="BH124" s="265"/>
      <c r="BI124" s="265"/>
      <c r="BJ124" s="265"/>
      <c r="BK124" s="265"/>
      <c r="BL124" s="265"/>
      <c r="BM124" s="265"/>
      <c r="BN124" s="265"/>
      <c r="BO124" s="265"/>
      <c r="BP124" s="265"/>
      <c r="BQ124" s="265"/>
      <c r="BR124" s="265"/>
      <c r="BS124" s="265"/>
      <c r="BT124" s="265"/>
      <c r="BU124" s="265"/>
      <c r="BV124" s="265"/>
    </row>
    <row r="125">
      <c r="A125" s="251">
        <f>VLOOKUP($F125,UpdateHashtag!$V$3:$Y$32,COLUMN(B$15),0)</f>
        <v>4</v>
      </c>
      <c r="B125" s="252">
        <f>VLOOKUP($F125,UpdateHashtag!$V$3:$Y$32,COLUMN(C$13),0)</f>
        <v>4</v>
      </c>
      <c r="C125" s="252">
        <f>VLOOKUP($F125,UpdateHashtag!$V$3:$Y$32,COLUMN(D$13),0)</f>
        <v>2</v>
      </c>
      <c r="D125" s="268">
        <f t="shared" si="4"/>
        <v>10</v>
      </c>
      <c r="E125" s="19"/>
      <c r="F125" s="30" t="str">
        <f>IF(VLOOKUP(J125,PasteHashtag!$C$2:$P1015,3,)="BRO","BKN",IF(VLOOKUP(J125,PasteHashtag!$C$2:$P1015,3,)="OKL","OKC",VLOOKUP(J125,PasteHashtag!$C$2:$P1015,3,)))</f>
        <v>DAL</v>
      </c>
      <c r="G125" s="269">
        <v>106.0</v>
      </c>
      <c r="H125" s="270">
        <f>IFERROR(__xludf.DUMMYFUNCTION("""COMPUTED_VALUE"""),112.0)</f>
        <v>112</v>
      </c>
      <c r="I125" s="270">
        <f>IFERROR(__xludf.DUMMYFUNCTION("""COMPUTED_VALUE"""),106.5)</f>
        <v>106.5</v>
      </c>
      <c r="J125" s="271" t="str">
        <f>IFERROR(__xludf.DUMMYFUNCTION("""COMPUTED_VALUE"""),"Klay Thompson")</f>
        <v>Klay Thompson</v>
      </c>
      <c r="K125" s="270">
        <f>IFERROR(__xludf.DUMMYFUNCTION("""COMPUTED_VALUE"""),70.0)</f>
        <v>70</v>
      </c>
      <c r="L125" s="272" t="str">
        <f>IFERROR(__xludf.DUMMYFUNCTION("""COMPUTED_VALUE"""),"PG")</f>
        <v>PG</v>
      </c>
      <c r="M125" s="273">
        <f>IFERROR(__xludf.DUMMYFUNCTION("""COMPUTED_VALUE"""),-1.8429003551881535)</f>
        <v>-1.842900355</v>
      </c>
      <c r="N125" s="273">
        <f>IFERROR(__xludf.DUMMYFUNCTION("""COMPUTED_VALUE"""),-1.9478092540035632)</f>
        <v>-1.947809254</v>
      </c>
      <c r="O125" s="274">
        <f>IFERROR(__xludf.DUMMYFUNCTION("""COMPUTED_VALUE"""),-0.10490889881540966)</f>
        <v>-0.1049088988</v>
      </c>
      <c r="P125" s="275">
        <f>IFERROR(__xludf.DUMMYFUNCTION("""COMPUTED_VALUE"""),17.09369863)</f>
        <v>17.09369863</v>
      </c>
      <c r="Q125" s="275">
        <f>IFERROR(__xludf.DUMMYFUNCTION("""COMPUTED_VALUE"""),3.497945205)</f>
        <v>3.497945205</v>
      </c>
      <c r="R125" s="275">
        <f>IFERROR(__xludf.DUMMYFUNCTION("""COMPUTED_VALUE"""),2.90369863)</f>
        <v>2.90369863</v>
      </c>
      <c r="S125" s="276">
        <f>IFERROR(__xludf.DUMMYFUNCTION("""COMPUTED_VALUE"""),2.02)</f>
        <v>2.02</v>
      </c>
      <c r="T125" s="275">
        <f>IFERROR(__xludf.DUMMYFUNCTION("""COMPUTED_VALUE"""),0.7615068493)</f>
        <v>0.7615068493</v>
      </c>
      <c r="U125" s="275">
        <f>IFERROR(__xludf.DUMMYFUNCTION("""COMPUTED_VALUE"""),0.4402739726)</f>
        <v>0.4402739726</v>
      </c>
      <c r="V125" s="272">
        <f>IFERROR(__xludf.DUMMYFUNCTION("""COMPUTED_VALUE"""),0.4461633849)</f>
        <v>0.4461633849</v>
      </c>
      <c r="W125" s="272">
        <f>IFERROR(__xludf.DUMMYFUNCTION("""COMPUTED_VALUE"""),0.9030193781)</f>
        <v>0.9030193781</v>
      </c>
      <c r="X125" s="275">
        <f>IFERROR(__xludf.DUMMYFUNCTION("""COMPUTED_VALUE"""),1.325616438)</f>
        <v>1.325616438</v>
      </c>
      <c r="Y125" s="273">
        <f>IFERROR(__xludf.DUMMYFUNCTION("""COMPUTED_VALUE"""),-0.07119521573208049)</f>
        <v>-0.07119521573</v>
      </c>
      <c r="Z125" s="273">
        <f>IFERROR(__xludf.DUMMYFUNCTION("""COMPUTED_VALUE"""),1.7351593049020768)</f>
        <v>1.735159305</v>
      </c>
      <c r="AA125" s="273">
        <f>IFERROR(__xludf.DUMMYFUNCTION("""COMPUTED_VALUE"""),-1.2461210860334577)</f>
        <v>-1.246121086</v>
      </c>
      <c r="AB125" s="273">
        <f>IFERROR(__xludf.DUMMYFUNCTION("""COMPUTED_VALUE"""),-0.8689181568056545)</f>
        <v>-0.8689181568</v>
      </c>
      <c r="AC125" s="273">
        <f>IFERROR(__xludf.DUMMYFUNCTION("""COMPUTED_VALUE"""),-0.709610560224814)</f>
        <v>-0.7096105602</v>
      </c>
      <c r="AD125" s="273">
        <f>IFERROR(__xludf.DUMMYFUNCTION("""COMPUTED_VALUE"""),-0.5500639576685469)</f>
        <v>-0.5500639577</v>
      </c>
      <c r="AE125" s="273">
        <f>IFERROR(__xludf.DUMMYFUNCTION("""COMPUTED_VALUE"""),-0.8139222573590439)</f>
        <v>-0.8139222574</v>
      </c>
      <c r="AF125" s="273">
        <f>IFERROR(__xludf.DUMMYFUNCTION("""COMPUTED_VALUE"""),0.5768626749179575)</f>
        <v>0.5768626749</v>
      </c>
      <c r="AG125" s="277">
        <f>IFERROR(__xludf.DUMMYFUNCTION("""COMPUTED_VALUE"""),0.0)</f>
        <v>0</v>
      </c>
      <c r="AH125" s="265"/>
      <c r="AI125" s="338"/>
      <c r="AJ125" s="339"/>
      <c r="AK125" s="265"/>
      <c r="AL125" s="265"/>
      <c r="AM125" s="265"/>
      <c r="AN125" s="265"/>
      <c r="AO125" s="265"/>
      <c r="AP125" s="265"/>
      <c r="AQ125" s="265"/>
      <c r="AR125" s="265"/>
      <c r="AS125" s="265"/>
      <c r="AT125" s="265"/>
      <c r="AU125" s="265"/>
      <c r="AV125" s="265"/>
      <c r="AW125" s="265"/>
      <c r="AX125" s="265"/>
      <c r="AY125" s="265"/>
      <c r="AZ125" s="265"/>
      <c r="BA125" s="265"/>
      <c r="BB125" s="265"/>
      <c r="BC125" s="265"/>
      <c r="BD125" s="265"/>
      <c r="BE125" s="265"/>
      <c r="BF125" s="265"/>
      <c r="BG125" s="265"/>
      <c r="BH125" s="265"/>
      <c r="BI125" s="265"/>
      <c r="BJ125" s="265"/>
      <c r="BK125" s="265"/>
      <c r="BL125" s="265"/>
      <c r="BM125" s="265"/>
      <c r="BN125" s="265"/>
      <c r="BO125" s="265"/>
      <c r="BP125" s="265"/>
      <c r="BQ125" s="265"/>
      <c r="BR125" s="265"/>
      <c r="BS125" s="265"/>
      <c r="BT125" s="265"/>
      <c r="BU125" s="265"/>
      <c r="BV125" s="265"/>
    </row>
    <row r="126">
      <c r="A126" s="251">
        <f>VLOOKUP($F126,UpdateHashtag!$V$3:$Y$32,COLUMN(B$15),0)</f>
        <v>3</v>
      </c>
      <c r="B126" s="252">
        <f>VLOOKUP($F126,UpdateHashtag!$V$3:$Y$32,COLUMN(C$13),0)</f>
        <v>5</v>
      </c>
      <c r="C126" s="252">
        <f>VLOOKUP($F126,UpdateHashtag!$V$3:$Y$32,COLUMN(D$13),0)</f>
        <v>3</v>
      </c>
      <c r="D126" s="268">
        <f t="shared" si="4"/>
        <v>11</v>
      </c>
      <c r="E126" s="19"/>
      <c r="F126" s="30" t="str">
        <f>IF(VLOOKUP(J126,PasteHashtag!$C$2:$P1015,3,)="BRO","BKN",IF(VLOOKUP(J126,PasteHashtag!$C$2:$P1015,3,)="OKL","OKC",VLOOKUP(J126,PasteHashtag!$C$2:$P1015,3,)))</f>
        <v>BKN</v>
      </c>
      <c r="G126" s="269">
        <v>107.0</v>
      </c>
      <c r="H126" s="270">
        <f>IFERROR(__xludf.DUMMYFUNCTION("""COMPUTED_VALUE"""),113.0)</f>
        <v>113</v>
      </c>
      <c r="I126" s="270">
        <f>IFERROR(__xludf.DUMMYFUNCTION("""COMPUTED_VALUE"""),124.0)</f>
        <v>124</v>
      </c>
      <c r="J126" s="271" t="str">
        <f>IFERROR(__xludf.DUMMYFUNCTION("""COMPUTED_VALUE"""),"Cameron Johnson")</f>
        <v>Cameron Johnson</v>
      </c>
      <c r="K126" s="270">
        <f>IFERROR(__xludf.DUMMYFUNCTION("""COMPUTED_VALUE"""),73.0)</f>
        <v>73</v>
      </c>
      <c r="L126" s="272" t="str">
        <f>IFERROR(__xludf.DUMMYFUNCTION("""COMPUTED_VALUE"""),"SF,PF")</f>
        <v>SF,PF</v>
      </c>
      <c r="M126" s="273">
        <f>IFERROR(__xludf.DUMMYFUNCTION("""COMPUTED_VALUE"""),-1.8307502327719452)</f>
        <v>-1.830750233</v>
      </c>
      <c r="N126" s="273">
        <f>IFERROR(__xludf.DUMMYFUNCTION("""COMPUTED_VALUE"""),-1.9868109461333976)</f>
        <v>-1.986810946</v>
      </c>
      <c r="O126" s="274">
        <f>IFERROR(__xludf.DUMMYFUNCTION("""COMPUTED_VALUE"""),-0.15606071336145244)</f>
        <v>-0.1560607134</v>
      </c>
      <c r="P126" s="275">
        <f>IFERROR(__xludf.DUMMYFUNCTION("""COMPUTED_VALUE"""),14.85704918)</f>
        <v>14.85704918</v>
      </c>
      <c r="Q126" s="275">
        <f>IFERROR(__xludf.DUMMYFUNCTION("""COMPUTED_VALUE"""),2.645081967)</f>
        <v>2.645081967</v>
      </c>
      <c r="R126" s="275">
        <f>IFERROR(__xludf.DUMMYFUNCTION("""COMPUTED_VALUE"""),4.300983607)</f>
        <v>4.300983607</v>
      </c>
      <c r="S126" s="276">
        <f>IFERROR(__xludf.DUMMYFUNCTION("""COMPUTED_VALUE"""),2.425901639)</f>
        <v>2.425901639</v>
      </c>
      <c r="T126" s="275">
        <f>IFERROR(__xludf.DUMMYFUNCTION("""COMPUTED_VALUE"""),1.013442623)</f>
        <v>1.013442623</v>
      </c>
      <c r="U126" s="275">
        <f>IFERROR(__xludf.DUMMYFUNCTION("""COMPUTED_VALUE"""),0.292295082)</f>
        <v>0.292295082</v>
      </c>
      <c r="V126" s="272">
        <f>IFERROR(__xludf.DUMMYFUNCTION("""COMPUTED_VALUE"""),0.4483718099)</f>
        <v>0.4483718099</v>
      </c>
      <c r="W126" s="272">
        <f>IFERROR(__xludf.DUMMYFUNCTION("""COMPUTED_VALUE"""),0.8309729267)</f>
        <v>0.8309729267</v>
      </c>
      <c r="X126" s="275">
        <f>IFERROR(__xludf.DUMMYFUNCTION("""COMPUTED_VALUE"""),1.119344262)</f>
        <v>1.119344262</v>
      </c>
      <c r="Y126" s="273">
        <f>IFERROR(__xludf.DUMMYFUNCTION("""COMPUTED_VALUE"""),-0.4743638909841148)</f>
        <v>-0.474363891</v>
      </c>
      <c r="Z126" s="273">
        <f>IFERROR(__xludf.DUMMYFUNCTION("""COMPUTED_VALUE"""),0.8891799192322679)</f>
        <v>0.8891799192</v>
      </c>
      <c r="AA126" s="273">
        <f>IFERROR(__xludf.DUMMYFUNCTION("""COMPUTED_VALUE"""),-0.6985153276700443)</f>
        <v>-0.6985153277</v>
      </c>
      <c r="AB126" s="273">
        <f>IFERROR(__xludf.DUMMYFUNCTION("""COMPUTED_VALUE"""),-0.6845826320647446)</f>
        <v>-0.6845826321</v>
      </c>
      <c r="AC126" s="273">
        <f>IFERROR(__xludf.DUMMYFUNCTION("""COMPUTED_VALUE"""),0.12387193062625368)</f>
        <v>0.1238719306</v>
      </c>
      <c r="AD126" s="273">
        <f>IFERROR(__xludf.DUMMYFUNCTION("""COMPUTED_VALUE"""),-0.8140061838655162)</f>
        <v>-0.8140061839</v>
      </c>
      <c r="AE126" s="273">
        <f>IFERROR(__xludf.DUMMYFUNCTION("""COMPUTED_VALUE"""),-0.6430780097742186)</f>
        <v>-0.6430780098</v>
      </c>
      <c r="AF126" s="273">
        <f>IFERROR(__xludf.DUMMYFUNCTION("""COMPUTED_VALUE"""),0.31468324836671935)</f>
        <v>0.3146832484</v>
      </c>
      <c r="AG126" s="277">
        <f>IFERROR(__xludf.DUMMYFUNCTION("""COMPUTED_VALUE"""),0.0)</f>
        <v>0</v>
      </c>
      <c r="AH126" s="265"/>
      <c r="AI126" s="338"/>
      <c r="AJ126" s="339"/>
      <c r="AK126" s="265"/>
      <c r="AL126" s="265"/>
      <c r="AM126" s="265"/>
      <c r="AN126" s="265"/>
      <c r="AO126" s="265"/>
      <c r="AP126" s="265"/>
      <c r="AQ126" s="265"/>
      <c r="AR126" s="265"/>
      <c r="AS126" s="265"/>
      <c r="AT126" s="265"/>
      <c r="AU126" s="265"/>
      <c r="AV126" s="265"/>
      <c r="AW126" s="265"/>
      <c r="AX126" s="265"/>
      <c r="AY126" s="265"/>
      <c r="AZ126" s="265"/>
      <c r="BA126" s="265"/>
      <c r="BB126" s="265"/>
      <c r="BC126" s="265"/>
      <c r="BD126" s="265"/>
      <c r="BE126" s="265"/>
      <c r="BF126" s="265"/>
      <c r="BG126" s="265"/>
      <c r="BH126" s="265"/>
      <c r="BI126" s="265"/>
      <c r="BJ126" s="265"/>
      <c r="BK126" s="265"/>
      <c r="BL126" s="265"/>
      <c r="BM126" s="265"/>
      <c r="BN126" s="265"/>
      <c r="BO126" s="265"/>
      <c r="BP126" s="265"/>
      <c r="BQ126" s="265"/>
      <c r="BR126" s="265"/>
      <c r="BS126" s="265"/>
      <c r="BT126" s="265"/>
      <c r="BU126" s="265"/>
      <c r="BV126" s="265"/>
    </row>
    <row r="127">
      <c r="A127" s="251">
        <f>VLOOKUP($F127,UpdateHashtag!$V$3:$Y$32,COLUMN(B$15),0)</f>
        <v>4</v>
      </c>
      <c r="B127" s="252">
        <f>VLOOKUP($F127,UpdateHashtag!$V$3:$Y$32,COLUMN(C$13),0)</f>
        <v>3</v>
      </c>
      <c r="C127" s="252">
        <f>VLOOKUP($F127,UpdateHashtag!$V$3:$Y$32,COLUMN(D$13),0)</f>
        <v>3</v>
      </c>
      <c r="D127" s="268">
        <f t="shared" si="4"/>
        <v>10</v>
      </c>
      <c r="E127" s="19"/>
      <c r="F127" s="30" t="str">
        <f>IF(VLOOKUP(J127,PasteHashtag!$C$2:$P1015,3,)="BRO","BKN",IF(VLOOKUP(J127,PasteHashtag!$C$2:$P1015,3,)="OKL","OKC",VLOOKUP(J127,PasteHashtag!$C$2:$P1015,3,)))</f>
        <v>MIN</v>
      </c>
      <c r="G127" s="269">
        <v>108.0</v>
      </c>
      <c r="H127" s="270">
        <f>IFERROR(__xludf.DUMMYFUNCTION("""COMPUTED_VALUE"""),109.0)</f>
        <v>109</v>
      </c>
      <c r="I127" s="270">
        <f>IFERROR(__xludf.DUMMYFUNCTION("""COMPUTED_VALUE"""),96.4)</f>
        <v>96.4</v>
      </c>
      <c r="J127" s="271" t="str">
        <f>IFERROR(__xludf.DUMMYFUNCTION("""COMPUTED_VALUE"""),"Naz Reid")</f>
        <v>Naz Reid</v>
      </c>
      <c r="K127" s="270">
        <f>IFERROR(__xludf.DUMMYFUNCTION("""COMPUTED_VALUE"""),74.0)</f>
        <v>74</v>
      </c>
      <c r="L127" s="272" t="str">
        <f>IFERROR(__xludf.DUMMYFUNCTION("""COMPUTED_VALUE"""),"SF,PF")</f>
        <v>SF,PF</v>
      </c>
      <c r="M127" s="273">
        <f>IFERROR(__xludf.DUMMYFUNCTION("""COMPUTED_VALUE"""),-1.9558628017449138)</f>
        <v>-1.955862802</v>
      </c>
      <c r="N127" s="273">
        <f>IFERROR(__xludf.DUMMYFUNCTION("""COMPUTED_VALUE"""),-1.993856670746902)</f>
        <v>-1.993856671</v>
      </c>
      <c r="O127" s="274">
        <f>IFERROR(__xludf.DUMMYFUNCTION("""COMPUTED_VALUE"""),-0.03799386900198831)</f>
        <v>-0.037993869</v>
      </c>
      <c r="P127" s="275">
        <f>IFERROR(__xludf.DUMMYFUNCTION("""COMPUTED_VALUE"""),13.83649351)</f>
        <v>13.83649351</v>
      </c>
      <c r="Q127" s="275">
        <f>IFERROR(__xludf.DUMMYFUNCTION("""COMPUTED_VALUE"""),2.004155844)</f>
        <v>2.004155844</v>
      </c>
      <c r="R127" s="275">
        <f>IFERROR(__xludf.DUMMYFUNCTION("""COMPUTED_VALUE"""),5.888181818)</f>
        <v>5.888181818</v>
      </c>
      <c r="S127" s="276">
        <f>IFERROR(__xludf.DUMMYFUNCTION("""COMPUTED_VALUE"""),1.682857143)</f>
        <v>1.682857143</v>
      </c>
      <c r="T127" s="275">
        <f>IFERROR(__xludf.DUMMYFUNCTION("""COMPUTED_VALUE"""),0.9201298701)</f>
        <v>0.9201298701</v>
      </c>
      <c r="U127" s="275">
        <f>IFERROR(__xludf.DUMMYFUNCTION("""COMPUTED_VALUE"""),1.195844156)</f>
        <v>1.195844156</v>
      </c>
      <c r="V127" s="272">
        <f>IFERROR(__xludf.DUMMYFUNCTION("""COMPUTED_VALUE"""),0.4676141659)</f>
        <v>0.4676141659</v>
      </c>
      <c r="W127" s="272">
        <f>IFERROR(__xludf.DUMMYFUNCTION("""COMPUTED_VALUE"""),0.6939887208)</f>
        <v>0.6939887208</v>
      </c>
      <c r="X127" s="275">
        <f>IFERROR(__xludf.DUMMYFUNCTION("""COMPUTED_VALUE"""),1.595454545)</f>
        <v>1.595454545</v>
      </c>
      <c r="Y127" s="273">
        <f>IFERROR(__xludf.DUMMYFUNCTION("""COMPUTED_VALUE"""),-0.6583248051518905)</f>
        <v>-0.6583248052</v>
      </c>
      <c r="Z127" s="273">
        <f>IFERROR(__xludf.DUMMYFUNCTION("""COMPUTED_VALUE"""),0.25342700641264876)</f>
        <v>0.2534270064</v>
      </c>
      <c r="AA127" s="273">
        <f>IFERROR(__xludf.DUMMYFUNCTION("""COMPUTED_VALUE"""),-0.07648124420497324)</f>
        <v>-0.0764812442</v>
      </c>
      <c r="AB127" s="273">
        <f>IFERROR(__xludf.DUMMYFUNCTION("""COMPUTED_VALUE"""),-1.0220276776512813)</f>
        <v>-1.022027678</v>
      </c>
      <c r="AC127" s="273">
        <f>IFERROR(__xludf.DUMMYFUNCTION("""COMPUTED_VALUE"""),-0.1848358982503016)</f>
        <v>-0.1848358983</v>
      </c>
      <c r="AD127" s="273">
        <f>IFERROR(__xludf.DUMMYFUNCTION("""COMPUTED_VALUE"""),0.7976071557317876)</f>
        <v>0.7976071557</v>
      </c>
      <c r="AE127" s="273">
        <f>IFERROR(__xludf.DUMMYFUNCTION("""COMPUTED_VALUE"""),-0.3842441922452465)</f>
        <v>-0.3842441922</v>
      </c>
      <c r="AF127" s="273">
        <f>IFERROR(__xludf.DUMMYFUNCTION("""COMPUTED_VALUE"""),-0.7189770153876457)</f>
        <v>-0.7189770154</v>
      </c>
      <c r="AG127" s="277">
        <f>IFERROR(__xludf.DUMMYFUNCTION("""COMPUTED_VALUE"""),0.0)</f>
        <v>0</v>
      </c>
      <c r="AH127" s="265"/>
      <c r="AI127" s="338"/>
      <c r="AJ127" s="339"/>
      <c r="AK127" s="265"/>
      <c r="AL127" s="265"/>
      <c r="AM127" s="265"/>
      <c r="AN127" s="265"/>
      <c r="AO127" s="265"/>
      <c r="AP127" s="265"/>
      <c r="AQ127" s="265"/>
      <c r="AR127" s="265"/>
      <c r="AS127" s="265"/>
      <c r="AT127" s="265"/>
      <c r="AU127" s="265"/>
      <c r="AV127" s="265"/>
      <c r="AW127" s="265"/>
      <c r="AX127" s="265"/>
      <c r="AY127" s="265"/>
      <c r="AZ127" s="265"/>
      <c r="BA127" s="265"/>
      <c r="BB127" s="265"/>
      <c r="BC127" s="265"/>
      <c r="BD127" s="265"/>
      <c r="BE127" s="265"/>
      <c r="BF127" s="265"/>
      <c r="BG127" s="265"/>
      <c r="BH127" s="265"/>
      <c r="BI127" s="265"/>
      <c r="BJ127" s="265"/>
      <c r="BK127" s="265"/>
      <c r="BL127" s="265"/>
      <c r="BM127" s="265"/>
      <c r="BN127" s="265"/>
      <c r="BO127" s="265"/>
      <c r="BP127" s="265"/>
      <c r="BQ127" s="265"/>
      <c r="BR127" s="265"/>
      <c r="BS127" s="265"/>
      <c r="BT127" s="265"/>
      <c r="BU127" s="265"/>
      <c r="BV127" s="265"/>
    </row>
    <row r="128">
      <c r="A128" s="251">
        <f>VLOOKUP($F128,UpdateHashtag!$V$3:$Y$32,COLUMN(B$15),0)</f>
        <v>3</v>
      </c>
      <c r="B128" s="252">
        <f>VLOOKUP($F128,UpdateHashtag!$V$3:$Y$32,COLUMN(C$13),0)</f>
        <v>5</v>
      </c>
      <c r="C128" s="252">
        <f>VLOOKUP($F128,UpdateHashtag!$V$3:$Y$32,COLUMN(D$13),0)</f>
        <v>3</v>
      </c>
      <c r="D128" s="268">
        <f t="shared" si="4"/>
        <v>11</v>
      </c>
      <c r="E128" s="19"/>
      <c r="F128" s="30" t="str">
        <f>IF(VLOOKUP(J128,PasteHashtag!$C$2:$P1015,3,)="BRO","BKN",IF(VLOOKUP(J128,PasteHashtag!$C$2:$P1015,3,)="OKL","OKC",VLOOKUP(J128,PasteHashtag!$C$2:$P1015,3,)))</f>
        <v>WAS</v>
      </c>
      <c r="G128" s="269">
        <v>109.0</v>
      </c>
      <c r="H128" s="270">
        <f>IFERROR(__xludf.DUMMYFUNCTION("""COMPUTED_VALUE"""),110.0)</f>
        <v>110</v>
      </c>
      <c r="I128" s="270">
        <f>IFERROR(__xludf.DUMMYFUNCTION("""COMPUTED_VALUE"""),133.4)</f>
        <v>133.4</v>
      </c>
      <c r="J128" s="271" t="str">
        <f>IFERROR(__xludf.DUMMYFUNCTION("""COMPUTED_VALUE"""),"Alexandre Sarr")</f>
        <v>Alexandre Sarr</v>
      </c>
      <c r="K128" s="270">
        <f>IFERROR(__xludf.DUMMYFUNCTION("""COMPUTED_VALUE"""),72.0)</f>
        <v>72</v>
      </c>
      <c r="L128" s="272" t="str">
        <f>IFERROR(__xludf.DUMMYFUNCTION("""COMPUTED_VALUE"""),"SG,SF")</f>
        <v>SG,SF</v>
      </c>
      <c r="M128" s="273">
        <f>IFERROR(__xludf.DUMMYFUNCTION("""COMPUTED_VALUE"""),-2.063417142383422)</f>
        <v>-2.063417142</v>
      </c>
      <c r="N128" s="273">
        <f>IFERROR(__xludf.DUMMYFUNCTION("""COMPUTED_VALUE"""),-1.9973882188660672)</f>
        <v>-1.997388219</v>
      </c>
      <c r="O128" s="274">
        <f>IFERROR(__xludf.DUMMYFUNCTION("""COMPUTED_VALUE"""),0.06602892351735501)</f>
        <v>0.06602892352</v>
      </c>
      <c r="P128" s="275">
        <f>IFERROR(__xludf.DUMMYFUNCTION("""COMPUTED_VALUE"""),11.58890411)</f>
        <v>11.58890411</v>
      </c>
      <c r="Q128" s="275">
        <f>IFERROR(__xludf.DUMMYFUNCTION("""COMPUTED_VALUE"""),1.09)</f>
        <v>1.09</v>
      </c>
      <c r="R128" s="275">
        <f>IFERROR(__xludf.DUMMYFUNCTION("""COMPUTED_VALUE"""),6.716712329)</f>
        <v>6.716712329</v>
      </c>
      <c r="S128" s="276">
        <f>IFERROR(__xludf.DUMMYFUNCTION("""COMPUTED_VALUE"""),2.350821918)</f>
        <v>2.350821918</v>
      </c>
      <c r="T128" s="275">
        <f>IFERROR(__xludf.DUMMYFUNCTION("""COMPUTED_VALUE"""),0.7387671233)</f>
        <v>0.7387671233</v>
      </c>
      <c r="U128" s="275">
        <f>IFERROR(__xludf.DUMMYFUNCTION("""COMPUTED_VALUE"""),2.014931507)</f>
        <v>2.014931507</v>
      </c>
      <c r="V128" s="272">
        <f>IFERROR(__xludf.DUMMYFUNCTION("""COMPUTED_VALUE"""),0.4337825279)</f>
        <v>0.4337825279</v>
      </c>
      <c r="W128" s="272">
        <f>IFERROR(__xludf.DUMMYFUNCTION("""COMPUTED_VALUE"""),0.7160212604)</f>
        <v>0.7160212604</v>
      </c>
      <c r="X128" s="275">
        <f>IFERROR(__xludf.DUMMYFUNCTION("""COMPUTED_VALUE"""),2.014931507)</f>
        <v>2.014931507</v>
      </c>
      <c r="Y128" s="273">
        <f>IFERROR(__xludf.DUMMYFUNCTION("""COMPUTED_VALUE"""),-1.0634654680789826)</f>
        <v>-1.063465468</v>
      </c>
      <c r="Z128" s="273">
        <f>IFERROR(__xludf.DUMMYFUNCTION("""COMPUTED_VALUE"""),-0.6533502643806613)</f>
        <v>-0.6533502644</v>
      </c>
      <c r="AA128" s="273">
        <f>IFERROR(__xludf.DUMMYFUNCTION("""COMPUTED_VALUE"""),0.2482256597349105)</f>
        <v>0.2482256597</v>
      </c>
      <c r="AB128" s="273">
        <f>IFERROR(__xludf.DUMMYFUNCTION("""COMPUTED_VALUE"""),-0.7186792171439099)</f>
        <v>-0.7186792171</v>
      </c>
      <c r="AC128" s="273">
        <f>IFERROR(__xludf.DUMMYFUNCTION("""COMPUTED_VALUE"""),-0.7848406999917841)</f>
        <v>-0.7848407</v>
      </c>
      <c r="AD128" s="273">
        <f>IFERROR(__xludf.DUMMYFUNCTION("""COMPUTED_VALUE"""),2.2585705269000695)</f>
        <v>2.258570527</v>
      </c>
      <c r="AE128" s="273">
        <f>IFERROR(__xludf.DUMMYFUNCTION("""COMPUTED_VALUE"""),-0.7834121852831802)</f>
        <v>-0.7834121853</v>
      </c>
      <c r="AF128" s="273">
        <f>IFERROR(__xludf.DUMMYFUNCTION("""COMPUTED_VALUE"""),-0.5004365706225291)</f>
        <v>-0.5004365706</v>
      </c>
      <c r="AG128" s="277">
        <f>IFERROR(__xludf.DUMMYFUNCTION("""COMPUTED_VALUE"""),0.0)</f>
        <v>0</v>
      </c>
      <c r="AH128" s="265"/>
      <c r="AI128" s="338"/>
      <c r="AJ128" s="339"/>
      <c r="AK128" s="265"/>
      <c r="AL128" s="265"/>
      <c r="AM128" s="265"/>
      <c r="AN128" s="265"/>
      <c r="AO128" s="265"/>
      <c r="AP128" s="265"/>
      <c r="AQ128" s="265"/>
      <c r="AR128" s="265"/>
      <c r="AS128" s="265"/>
      <c r="AT128" s="265"/>
      <c r="AU128" s="265"/>
      <c r="AV128" s="265"/>
      <c r="AW128" s="265"/>
      <c r="AX128" s="265"/>
      <c r="AY128" s="265"/>
      <c r="AZ128" s="265"/>
      <c r="BA128" s="265"/>
      <c r="BB128" s="265"/>
      <c r="BC128" s="265"/>
      <c r="BD128" s="265"/>
      <c r="BE128" s="265"/>
      <c r="BF128" s="265"/>
      <c r="BG128" s="265"/>
      <c r="BH128" s="265"/>
      <c r="BI128" s="265"/>
      <c r="BJ128" s="265"/>
      <c r="BK128" s="265"/>
      <c r="BL128" s="265"/>
      <c r="BM128" s="265"/>
      <c r="BN128" s="265"/>
      <c r="BO128" s="265"/>
      <c r="BP128" s="265"/>
      <c r="BQ128" s="265"/>
      <c r="BR128" s="265"/>
      <c r="BS128" s="265"/>
      <c r="BT128" s="265"/>
      <c r="BU128" s="265"/>
      <c r="BV128" s="265"/>
    </row>
    <row r="129">
      <c r="A129" s="251">
        <f>VLOOKUP($F129,UpdateHashtag!$V$3:$Y$32,COLUMN(B$15),0)</f>
        <v>4</v>
      </c>
      <c r="B129" s="252">
        <f>VLOOKUP($F129,UpdateHashtag!$V$3:$Y$32,COLUMN(C$13),0)</f>
        <v>4</v>
      </c>
      <c r="C129" s="252">
        <f>VLOOKUP($F129,UpdateHashtag!$V$3:$Y$32,COLUMN(D$13),0)</f>
        <v>4</v>
      </c>
      <c r="D129" s="268">
        <f t="shared" si="4"/>
        <v>12</v>
      </c>
      <c r="E129" s="19"/>
      <c r="F129" s="30" t="str">
        <f>IF(VLOOKUP(J129,PasteHashtag!$C$2:$P1015,3,)="BRO","BKN",IF(VLOOKUP(J129,PasteHashtag!$C$2:$P1015,3,)="OKL","OKC",VLOOKUP(J129,PasteHashtag!$C$2:$P1015,3,)))</f>
        <v>HOU</v>
      </c>
      <c r="G129" s="269">
        <v>110.0</v>
      </c>
      <c r="H129" s="270">
        <f>IFERROR(__xludf.DUMMYFUNCTION("""COMPUTED_VALUE"""),108.0)</f>
        <v>108</v>
      </c>
      <c r="I129" s="270">
        <f>IFERROR(__xludf.DUMMYFUNCTION("""COMPUTED_VALUE"""),80.8)</f>
        <v>80.8</v>
      </c>
      <c r="J129" s="271" t="str">
        <f>IFERROR(__xludf.DUMMYFUNCTION("""COMPUTED_VALUE"""),"Jabari Smith Jr.")</f>
        <v>Jabari Smith Jr.</v>
      </c>
      <c r="K129" s="270">
        <f>IFERROR(__xludf.DUMMYFUNCTION("""COMPUTED_VALUE"""),58.0)</f>
        <v>58</v>
      </c>
      <c r="L129" s="272" t="str">
        <f>IFERROR(__xludf.DUMMYFUNCTION("""COMPUTED_VALUE"""),"PG")</f>
        <v>PG</v>
      </c>
      <c r="M129" s="273">
        <f>IFERROR(__xludf.DUMMYFUNCTION("""COMPUTED_VALUE"""),-1.8003561217949673)</f>
        <v>-1.800356122</v>
      </c>
      <c r="N129" s="273">
        <f>IFERROR(__xludf.DUMMYFUNCTION("""COMPUTED_VALUE"""),-2.007549158579451)</f>
        <v>-2.007549159</v>
      </c>
      <c r="O129" s="274">
        <f>IFERROR(__xludf.DUMMYFUNCTION("""COMPUTED_VALUE"""),-0.20719303678448364)</f>
        <v>-0.2071930368</v>
      </c>
      <c r="P129" s="275">
        <f>IFERROR(__xludf.DUMMYFUNCTION("""COMPUTED_VALUE"""),14.23739726)</f>
        <v>14.23739726</v>
      </c>
      <c r="Q129" s="275">
        <f>IFERROR(__xludf.DUMMYFUNCTION("""COMPUTED_VALUE"""),1.953424658)</f>
        <v>1.953424658</v>
      </c>
      <c r="R129" s="275">
        <f>IFERROR(__xludf.DUMMYFUNCTION("""COMPUTED_VALUE"""),7.175205479)</f>
        <v>7.175205479</v>
      </c>
      <c r="S129" s="276">
        <f>IFERROR(__xludf.DUMMYFUNCTION("""COMPUTED_VALUE"""),1.826438356)</f>
        <v>1.826438356</v>
      </c>
      <c r="T129" s="275">
        <f>IFERROR(__xludf.DUMMYFUNCTION("""COMPUTED_VALUE"""),0.7168493151)</f>
        <v>0.7168493151</v>
      </c>
      <c r="U129" s="275">
        <f>IFERROR(__xludf.DUMMYFUNCTION("""COMPUTED_VALUE"""),0.8484931507)</f>
        <v>0.8484931507</v>
      </c>
      <c r="V129" s="272">
        <f>IFERROR(__xludf.DUMMYFUNCTION("""COMPUTED_VALUE"""),0.4621599585)</f>
        <v>0.4621599585</v>
      </c>
      <c r="W129" s="272">
        <f>IFERROR(__xludf.DUMMYFUNCTION("""COMPUTED_VALUE"""),0.7990209264)</f>
        <v>0.7990209264</v>
      </c>
      <c r="X129" s="275">
        <f>IFERROR(__xludf.DUMMYFUNCTION("""COMPUTED_VALUE"""),0.9131506849)</f>
        <v>0.9131506849</v>
      </c>
      <c r="Y129" s="273">
        <f>IFERROR(__xludf.DUMMYFUNCTION("""COMPUTED_VALUE"""),-0.5860596436215163)</f>
        <v>-0.5860596436</v>
      </c>
      <c r="Z129" s="273">
        <f>IFERROR(__xludf.DUMMYFUNCTION("""COMPUTED_VALUE"""),0.2031052951999294)</f>
        <v>0.2031052952</v>
      </c>
      <c r="AA129" s="273">
        <f>IFERROR(__xludf.DUMMYFUNCTION("""COMPUTED_VALUE"""),0.4279123329926737)</f>
        <v>0.427912333</v>
      </c>
      <c r="AB129" s="273">
        <f>IFERROR(__xludf.DUMMYFUNCTION("""COMPUTED_VALUE"""),-0.9568219339482081)</f>
        <v>-0.9568219339</v>
      </c>
      <c r="AC129" s="273">
        <f>IFERROR(__xludf.DUMMYFUNCTION("""COMPUTED_VALUE"""),-0.8573516781043456)</f>
        <v>-0.8573516781</v>
      </c>
      <c r="AD129" s="273">
        <f>IFERROR(__xludf.DUMMYFUNCTION("""COMPUTED_VALUE"""),0.1780552910103661)</f>
        <v>0.178055291</v>
      </c>
      <c r="AE129" s="273">
        <f>IFERROR(__xludf.DUMMYFUNCTION("""COMPUTED_VALUE"""),-0.45253813318109504)</f>
        <v>-0.4525381332</v>
      </c>
      <c r="AF129" s="273">
        <f>IFERROR(__xludf.DUMMYFUNCTION("""COMPUTED_VALUE"""),0.03614931107274497)</f>
        <v>0.03614931107</v>
      </c>
      <c r="AG129" s="277">
        <f>IFERROR(__xludf.DUMMYFUNCTION("""COMPUTED_VALUE"""),0.0)</f>
        <v>0</v>
      </c>
      <c r="AH129" s="265"/>
      <c r="AI129" s="338"/>
      <c r="AJ129" s="339"/>
      <c r="AK129" s="265"/>
      <c r="AL129" s="265"/>
      <c r="AM129" s="265"/>
      <c r="AN129" s="265"/>
      <c r="AO129" s="265"/>
      <c r="AP129" s="265"/>
      <c r="AQ129" s="265"/>
      <c r="AR129" s="265"/>
      <c r="AS129" s="265"/>
      <c r="AT129" s="265"/>
      <c r="AU129" s="265"/>
      <c r="AV129" s="265"/>
      <c r="AW129" s="265"/>
      <c r="AX129" s="265"/>
      <c r="AY129" s="265"/>
      <c r="AZ129" s="265"/>
      <c r="BA129" s="265"/>
      <c r="BB129" s="265"/>
      <c r="BC129" s="265"/>
      <c r="BD129" s="265"/>
      <c r="BE129" s="265"/>
      <c r="BF129" s="265"/>
      <c r="BG129" s="265"/>
      <c r="BH129" s="265"/>
      <c r="BI129" s="265"/>
      <c r="BJ129" s="265"/>
      <c r="BK129" s="265"/>
      <c r="BL129" s="265"/>
      <c r="BM129" s="265"/>
      <c r="BN129" s="265"/>
      <c r="BO129" s="265"/>
      <c r="BP129" s="265"/>
      <c r="BQ129" s="265"/>
      <c r="BR129" s="265"/>
      <c r="BS129" s="265"/>
      <c r="BT129" s="265"/>
      <c r="BU129" s="265"/>
      <c r="BV129" s="265"/>
    </row>
    <row r="130">
      <c r="A130" s="251">
        <f>VLOOKUP($F130,UpdateHashtag!$V$3:$Y$32,COLUMN(B$15),0)</f>
        <v>3</v>
      </c>
      <c r="B130" s="252">
        <f>VLOOKUP($F130,UpdateHashtag!$V$3:$Y$32,COLUMN(C$13),0)</f>
        <v>4</v>
      </c>
      <c r="C130" s="252">
        <f>VLOOKUP($F130,UpdateHashtag!$V$3:$Y$32,COLUMN(D$13),0)</f>
        <v>3</v>
      </c>
      <c r="D130" s="268">
        <f t="shared" si="4"/>
        <v>10</v>
      </c>
      <c r="E130" s="19"/>
      <c r="F130" s="30" t="str">
        <f>IF(VLOOKUP(J130,PasteHashtag!$C$2:$P1015,3,)="BRO","BKN",IF(VLOOKUP(J130,PasteHashtag!$C$2:$P1015,3,)="OKL","OKC",VLOOKUP(J130,PasteHashtag!$C$2:$P1015,3,)))</f>
        <v>BOS</v>
      </c>
      <c r="G130" s="269">
        <v>111.0</v>
      </c>
      <c r="H130" s="270">
        <f>IFERROR(__xludf.DUMMYFUNCTION("""COMPUTED_VALUE"""),104.0)</f>
        <v>104</v>
      </c>
      <c r="I130" s="270">
        <f>IFERROR(__xludf.DUMMYFUNCTION("""COMPUTED_VALUE"""),136.7)</f>
        <v>136.7</v>
      </c>
      <c r="J130" s="271" t="str">
        <f>IFERROR(__xludf.DUMMYFUNCTION("""COMPUTED_VALUE"""),"Al Horford")</f>
        <v>Al Horford</v>
      </c>
      <c r="K130" s="270">
        <f>IFERROR(__xludf.DUMMYFUNCTION("""COMPUTED_VALUE"""),67.0)</f>
        <v>67</v>
      </c>
      <c r="L130" s="272" t="str">
        <f>IFERROR(__xludf.DUMMYFUNCTION("""COMPUTED_VALUE"""),"SF,PF")</f>
        <v>SF,PF</v>
      </c>
      <c r="M130" s="273">
        <f>IFERROR(__xludf.DUMMYFUNCTION("""COMPUTED_VALUE"""),-1.793733896925799)</f>
        <v>-1.793733897</v>
      </c>
      <c r="N130" s="273">
        <f>IFERROR(__xludf.DUMMYFUNCTION("""COMPUTED_VALUE"""),-2.0218173440259766)</f>
        <v>-2.021817344</v>
      </c>
      <c r="O130" s="274">
        <f>IFERROR(__xludf.DUMMYFUNCTION("""COMPUTED_VALUE"""),-0.22808344710017758)</f>
        <v>-0.2280834471</v>
      </c>
      <c r="P130" s="275">
        <f>IFERROR(__xludf.DUMMYFUNCTION("""COMPUTED_VALUE"""),10.16818182)</f>
        <v>10.16818182</v>
      </c>
      <c r="Q130" s="275">
        <f>IFERROR(__xludf.DUMMYFUNCTION("""COMPUTED_VALUE"""),1.853636364)</f>
        <v>1.853636364</v>
      </c>
      <c r="R130" s="275">
        <f>IFERROR(__xludf.DUMMYFUNCTION("""COMPUTED_VALUE"""),6.453636364)</f>
        <v>6.453636364</v>
      </c>
      <c r="S130" s="276">
        <f>IFERROR(__xludf.DUMMYFUNCTION("""COMPUTED_VALUE"""),2.605090909)</f>
        <v>2.605090909</v>
      </c>
      <c r="T130" s="275">
        <f>IFERROR(__xludf.DUMMYFUNCTION("""COMPUTED_VALUE"""),0.6607272727)</f>
        <v>0.6607272727</v>
      </c>
      <c r="U130" s="275">
        <f>IFERROR(__xludf.DUMMYFUNCTION("""COMPUTED_VALUE"""),1.124909091)</f>
        <v>1.124909091</v>
      </c>
      <c r="V130" s="272">
        <f>IFERROR(__xludf.DUMMYFUNCTION("""COMPUTED_VALUE"""),0.4954747447)</f>
        <v>0.4954747447</v>
      </c>
      <c r="W130" s="272">
        <f>IFERROR(__xludf.DUMMYFUNCTION("""COMPUTED_VALUE"""),0.81106229)</f>
        <v>0.81106229</v>
      </c>
      <c r="X130" s="275">
        <f>IFERROR(__xludf.DUMMYFUNCTION("""COMPUTED_VALUE"""),0.8289090909)</f>
        <v>0.8289090909</v>
      </c>
      <c r="Y130" s="273">
        <f>IFERROR(__xludf.DUMMYFUNCTION("""COMPUTED_VALUE"""),-1.3195586719381467)</f>
        <v>-1.319558672</v>
      </c>
      <c r="Z130" s="273">
        <f>IFERROR(__xludf.DUMMYFUNCTION("""COMPUTED_VALUE"""),0.10412243851926857)</f>
        <v>0.1041224385</v>
      </c>
      <c r="AA130" s="273">
        <f>IFERROR(__xludf.DUMMYFUNCTION("""COMPUTED_VALUE"""),0.14512434848320324)</f>
        <v>0.1451243485</v>
      </c>
      <c r="AB130" s="273">
        <f>IFERROR(__xludf.DUMMYFUNCTION("""COMPUTED_VALUE"""),-0.6032059019910073)</f>
        <v>-0.603205902</v>
      </c>
      <c r="AC130" s="273">
        <f>IFERROR(__xludf.DUMMYFUNCTION("""COMPUTED_VALUE"""),-1.0430209818488074)</f>
        <v>-1.043020982</v>
      </c>
      <c r="AD130" s="273">
        <f>IFERROR(__xludf.DUMMYFUNCTION("""COMPUTED_VALUE"""),0.6710839814086608)</f>
        <v>0.6710839814</v>
      </c>
      <c r="AE130" s="273">
        <f>IFERROR(__xludf.DUMMYFUNCTION("""COMPUTED_VALUE"""),-0.01610639857443933)</f>
        <v>-0.01610639857</v>
      </c>
      <c r="AF130" s="273">
        <f>IFERROR(__xludf.DUMMYFUNCTION("""COMPUTED_VALUE"""),0.039743841915291796)</f>
        <v>0.03974384192</v>
      </c>
      <c r="AG130" s="277">
        <f>IFERROR(__xludf.DUMMYFUNCTION("""COMPUTED_VALUE"""),0.0)</f>
        <v>0</v>
      </c>
      <c r="AH130" s="265"/>
      <c r="AI130" s="338"/>
      <c r="AJ130" s="339"/>
      <c r="AK130" s="265"/>
      <c r="AL130" s="265"/>
      <c r="AM130" s="265"/>
      <c r="AN130" s="265"/>
      <c r="AO130" s="265"/>
      <c r="AP130" s="265"/>
      <c r="AQ130" s="265"/>
      <c r="AR130" s="265"/>
      <c r="AS130" s="265"/>
      <c r="AT130" s="265"/>
      <c r="AU130" s="265"/>
      <c r="AV130" s="265"/>
      <c r="AW130" s="265"/>
      <c r="AX130" s="265"/>
      <c r="AY130" s="265"/>
      <c r="AZ130" s="265"/>
      <c r="BA130" s="265"/>
      <c r="BB130" s="265"/>
      <c r="BC130" s="265"/>
      <c r="BD130" s="265"/>
      <c r="BE130" s="265"/>
      <c r="BF130" s="265"/>
      <c r="BG130" s="265"/>
      <c r="BH130" s="265"/>
      <c r="BI130" s="265"/>
      <c r="BJ130" s="265"/>
      <c r="BK130" s="265"/>
      <c r="BL130" s="265"/>
      <c r="BM130" s="265"/>
      <c r="BN130" s="265"/>
      <c r="BO130" s="265"/>
      <c r="BP130" s="265"/>
      <c r="BQ130" s="265"/>
      <c r="BR130" s="265"/>
      <c r="BS130" s="265"/>
      <c r="BT130" s="265"/>
      <c r="BU130" s="265"/>
      <c r="BV130" s="265"/>
    </row>
    <row r="131">
      <c r="A131" s="251">
        <f>VLOOKUP($F131,UpdateHashtag!$V$3:$Y$32,COLUMN(B$15),0)</f>
        <v>4</v>
      </c>
      <c r="B131" s="252">
        <f>VLOOKUP($F131,UpdateHashtag!$V$3:$Y$32,COLUMN(C$13),0)</f>
        <v>4</v>
      </c>
      <c r="C131" s="252">
        <f>VLOOKUP($F131,UpdateHashtag!$V$3:$Y$32,COLUMN(D$13),0)</f>
        <v>3</v>
      </c>
      <c r="D131" s="268">
        <f t="shared" si="4"/>
        <v>11</v>
      </c>
      <c r="E131" s="19"/>
      <c r="F131" s="30" t="str">
        <f>IF(VLOOKUP(J131,PasteHashtag!$C$2:$P1015,3,)="BRO","BKN",IF(VLOOKUP(J131,PasteHashtag!$C$2:$P1015,3,)="OKL","OKC",VLOOKUP(J131,PasteHashtag!$C$2:$P1015,3,)))</f>
        <v>MIL</v>
      </c>
      <c r="G131" s="269">
        <v>112.0</v>
      </c>
      <c r="H131" s="270">
        <f>IFERROR(__xludf.DUMMYFUNCTION("""COMPUTED_VALUE"""),105.0)</f>
        <v>105</v>
      </c>
      <c r="I131" s="270">
        <f>IFERROR(__xludf.DUMMYFUNCTION("""COMPUTED_VALUE"""),76.9)</f>
        <v>76.9</v>
      </c>
      <c r="J131" s="271" t="str">
        <f>IFERROR(__xludf.DUMMYFUNCTION("""COMPUTED_VALUE"""),"Brook Lopez")</f>
        <v>Brook Lopez</v>
      </c>
      <c r="K131" s="270">
        <f>IFERROR(__xludf.DUMMYFUNCTION("""COMPUTED_VALUE"""),69.0)</f>
        <v>69</v>
      </c>
      <c r="L131" s="272" t="str">
        <f>IFERROR(__xludf.DUMMYFUNCTION("""COMPUTED_VALUE"""),"C")</f>
        <v>C</v>
      </c>
      <c r="M131" s="273">
        <f>IFERROR(__xludf.DUMMYFUNCTION("""COMPUTED_VALUE"""),-1.9002135073014268)</f>
        <v>-1.900213507</v>
      </c>
      <c r="N131" s="273">
        <f>IFERROR(__xludf.DUMMYFUNCTION("""COMPUTED_VALUE"""),-2.081045703400614)</f>
        <v>-2.081045703</v>
      </c>
      <c r="O131" s="274">
        <f>IFERROR(__xludf.DUMMYFUNCTION("""COMPUTED_VALUE"""),-0.180832196099187)</f>
        <v>-0.1808321961</v>
      </c>
      <c r="P131" s="275">
        <f>IFERROR(__xludf.DUMMYFUNCTION("""COMPUTED_VALUE"""),11.46547945)</f>
        <v>11.46547945</v>
      </c>
      <c r="Q131" s="275">
        <f>IFERROR(__xludf.DUMMYFUNCTION("""COMPUTED_VALUE"""),1.876575342)</f>
        <v>1.876575342</v>
      </c>
      <c r="R131" s="275">
        <f>IFERROR(__xludf.DUMMYFUNCTION("""COMPUTED_VALUE"""),4.605616438)</f>
        <v>4.605616438</v>
      </c>
      <c r="S131" s="276">
        <f>IFERROR(__xludf.DUMMYFUNCTION("""COMPUTED_VALUE"""),1.315890411)</f>
        <v>1.315890411</v>
      </c>
      <c r="T131" s="275">
        <f>IFERROR(__xludf.DUMMYFUNCTION("""COMPUTED_VALUE"""),0.4763013699)</f>
        <v>0.4763013699</v>
      </c>
      <c r="U131" s="275">
        <f>IFERROR(__xludf.DUMMYFUNCTION("""COMPUTED_VALUE"""),2.039863014)</f>
        <v>2.039863014</v>
      </c>
      <c r="V131" s="272">
        <f>IFERROR(__xludf.DUMMYFUNCTION("""COMPUTED_VALUE"""),0.4835494622)</f>
        <v>0.4835494622</v>
      </c>
      <c r="W131" s="272">
        <f>IFERROR(__xludf.DUMMYFUNCTION("""COMPUTED_VALUE"""),0.8210240569)</f>
        <v>0.8210240569</v>
      </c>
      <c r="X131" s="275">
        <f>IFERROR(__xludf.DUMMYFUNCTION("""COMPUTED_VALUE"""),1.019452055)</f>
        <v>1.019452055</v>
      </c>
      <c r="Y131" s="273">
        <f>IFERROR(__xludf.DUMMYFUNCTION("""COMPUTED_VALUE"""),-1.0857134590038156)</f>
        <v>-1.085713459</v>
      </c>
      <c r="Z131" s="273">
        <f>IFERROR(__xludf.DUMMYFUNCTION("""COMPUTED_VALUE"""),0.12687626545386702)</f>
        <v>0.1268762655</v>
      </c>
      <c r="AA131" s="273">
        <f>IFERROR(__xludf.DUMMYFUNCTION("""COMPUTED_VALUE"""),-0.5791275898870819)</f>
        <v>-0.5791275899</v>
      </c>
      <c r="AB131" s="273">
        <f>IFERROR(__xludf.DUMMYFUNCTION("""COMPUTED_VALUE"""),-1.1886813656539477)</f>
        <v>-1.188681366</v>
      </c>
      <c r="AC131" s="273">
        <f>IFERROR(__xludf.DUMMYFUNCTION("""COMPUTED_VALUE"""),-1.6531596635679129)</f>
        <v>-1.653159664</v>
      </c>
      <c r="AD131" s="273">
        <f>IFERROR(__xludf.DUMMYFUNCTION("""COMPUTED_VALUE"""),2.3030395551063485)</f>
        <v>2.303039555</v>
      </c>
      <c r="AE131" s="273">
        <f>IFERROR(__xludf.DUMMYFUNCTION("""COMPUTED_VALUE"""),-0.13817461900141972)</f>
        <v>-0.138174619</v>
      </c>
      <c r="AF131" s="273">
        <f>IFERROR(__xludf.DUMMYFUNCTION("""COMPUTED_VALUE"""),0.1338951731533487)</f>
        <v>0.1338951732</v>
      </c>
      <c r="AG131" s="277">
        <f>IFERROR(__xludf.DUMMYFUNCTION("""COMPUTED_VALUE"""),0.0)</f>
        <v>0</v>
      </c>
      <c r="AH131" s="265"/>
      <c r="AI131" s="338"/>
      <c r="AJ131" s="339"/>
      <c r="AK131" s="265"/>
      <c r="AL131" s="265"/>
      <c r="AM131" s="265"/>
      <c r="AN131" s="265"/>
      <c r="AO131" s="265"/>
      <c r="AP131" s="265"/>
      <c r="AQ131" s="265"/>
      <c r="AR131" s="265"/>
      <c r="AS131" s="265"/>
      <c r="AT131" s="265"/>
      <c r="AU131" s="265"/>
      <c r="AV131" s="265"/>
      <c r="AW131" s="265"/>
      <c r="AX131" s="265"/>
      <c r="AY131" s="265"/>
      <c r="AZ131" s="265"/>
      <c r="BA131" s="265"/>
      <c r="BB131" s="265"/>
      <c r="BC131" s="265"/>
      <c r="BD131" s="265"/>
      <c r="BE131" s="265"/>
      <c r="BF131" s="265"/>
      <c r="BG131" s="265"/>
      <c r="BH131" s="265"/>
      <c r="BI131" s="265"/>
      <c r="BJ131" s="265"/>
      <c r="BK131" s="265"/>
      <c r="BL131" s="265"/>
      <c r="BM131" s="265"/>
      <c r="BN131" s="265"/>
      <c r="BO131" s="265"/>
      <c r="BP131" s="265"/>
      <c r="BQ131" s="265"/>
      <c r="BR131" s="265"/>
      <c r="BS131" s="265"/>
      <c r="BT131" s="265"/>
      <c r="BU131" s="265"/>
      <c r="BV131" s="265"/>
    </row>
    <row r="132">
      <c r="A132" s="251">
        <f>VLOOKUP($F132,UpdateHashtag!$V$3:$Y$32,COLUMN(B$15),0)</f>
        <v>4</v>
      </c>
      <c r="B132" s="252">
        <f>VLOOKUP($F132,UpdateHashtag!$V$3:$Y$32,COLUMN(C$13),0)</f>
        <v>3</v>
      </c>
      <c r="C132" s="252">
        <f>VLOOKUP($F132,UpdateHashtag!$V$3:$Y$32,COLUMN(D$13),0)</f>
        <v>4</v>
      </c>
      <c r="D132" s="268">
        <f t="shared" si="4"/>
        <v>11</v>
      </c>
      <c r="E132" s="19"/>
      <c r="F132" s="30" t="str">
        <f>IF(VLOOKUP(J132,PasteHashtag!$C$2:$P1015,3,)="BRO","BKN",IF(VLOOKUP(J132,PasteHashtag!$C$2:$P1015,3,)="OKL","OKC",VLOOKUP(J132,PasteHashtag!$C$2:$P1015,3,)))</f>
        <v>POR</v>
      </c>
      <c r="G132" s="269">
        <v>113.0</v>
      </c>
      <c r="H132" s="270">
        <f>IFERROR(__xludf.DUMMYFUNCTION("""COMPUTED_VALUE"""),124.0)</f>
        <v>124</v>
      </c>
      <c r="I132" s="270">
        <f>IFERROR(__xludf.DUMMYFUNCTION("""COMPUTED_VALUE"""),130.8)</f>
        <v>130.8</v>
      </c>
      <c r="J132" s="271" t="str">
        <f>IFERROR(__xludf.DUMMYFUNCTION("""COMPUTED_VALUE"""),"Scoot Henderson")</f>
        <v>Scoot Henderson</v>
      </c>
      <c r="K132" s="270">
        <f>IFERROR(__xludf.DUMMYFUNCTION("""COMPUTED_VALUE"""),68.0)</f>
        <v>68</v>
      </c>
      <c r="L132" s="272" t="str">
        <f>IFERROR(__xludf.DUMMYFUNCTION("""COMPUTED_VALUE"""),"SF")</f>
        <v>SF</v>
      </c>
      <c r="M132" s="273">
        <f>IFERROR(__xludf.DUMMYFUNCTION("""COMPUTED_VALUE"""),-2.547221336245985)</f>
        <v>-2.547221336</v>
      </c>
      <c r="N132" s="273">
        <f>IFERROR(__xludf.DUMMYFUNCTION("""COMPUTED_VALUE"""),-2.12466464096621)</f>
        <v>-2.124664641</v>
      </c>
      <c r="O132" s="274">
        <f>IFERROR(__xludf.DUMMYFUNCTION("""COMPUTED_VALUE"""),0.4225566952797748)</f>
        <v>0.4225566953</v>
      </c>
      <c r="P132" s="275">
        <f>IFERROR(__xludf.DUMMYFUNCTION("""COMPUTED_VALUE"""),16.42367647)</f>
        <v>16.42367647</v>
      </c>
      <c r="Q132" s="275">
        <f>IFERROR(__xludf.DUMMYFUNCTION("""COMPUTED_VALUE"""),1.855441176)</f>
        <v>1.855441176</v>
      </c>
      <c r="R132" s="275">
        <f>IFERROR(__xludf.DUMMYFUNCTION("""COMPUTED_VALUE"""),3.452647059)</f>
        <v>3.452647059</v>
      </c>
      <c r="S132" s="276">
        <f>IFERROR(__xludf.DUMMYFUNCTION("""COMPUTED_VALUE"""),6.841323529)</f>
        <v>6.841323529</v>
      </c>
      <c r="T132" s="275">
        <f>IFERROR(__xludf.DUMMYFUNCTION("""COMPUTED_VALUE"""),0.9064705882)</f>
        <v>0.9064705882</v>
      </c>
      <c r="U132" s="275">
        <f>IFERROR(__xludf.DUMMYFUNCTION("""COMPUTED_VALUE"""),0.1901470588)</f>
        <v>0.1901470588</v>
      </c>
      <c r="V132" s="272">
        <f>IFERROR(__xludf.DUMMYFUNCTION("""COMPUTED_VALUE"""),0.4143974864)</f>
        <v>0.4143974864</v>
      </c>
      <c r="W132" s="272">
        <f>IFERROR(__xludf.DUMMYFUNCTION("""COMPUTED_VALUE"""),0.8190178571)</f>
        <v>0.8190178571</v>
      </c>
      <c r="X132" s="275">
        <f>IFERROR(__xludf.DUMMYFUNCTION("""COMPUTED_VALUE"""),3.452647059)</f>
        <v>3.452647059</v>
      </c>
      <c r="Y132" s="273">
        <f>IFERROR(__xludf.DUMMYFUNCTION("""COMPUTED_VALUE"""),-0.19197048815427709)</f>
        <v>-0.1919704882</v>
      </c>
      <c r="Z132" s="273">
        <f>IFERROR(__xludf.DUMMYFUNCTION("""COMPUTED_VALUE"""),0.10591268304966951)</f>
        <v>0.105912683</v>
      </c>
      <c r="AA132" s="273">
        <f>IFERROR(__xludf.DUMMYFUNCTION("""COMPUTED_VALUE"""),-1.030984356079945)</f>
        <v>-1.030984356</v>
      </c>
      <c r="AB132" s="273">
        <f>IFERROR(__xludf.DUMMYFUNCTION("""COMPUTED_VALUE"""),1.3206300422443884)</f>
        <v>1.320630042</v>
      </c>
      <c r="AC132" s="273">
        <f>IFERROR(__xludf.DUMMYFUNCTION("""COMPUTED_VALUE"""),-0.2300250833114341)</f>
        <v>-0.2300250833</v>
      </c>
      <c r="AD132" s="273">
        <f>IFERROR(__xludf.DUMMYFUNCTION("""COMPUTED_VALUE"""),-0.9962022831585302)</f>
        <v>-0.9962022832</v>
      </c>
      <c r="AE132" s="273">
        <f>IFERROR(__xludf.DUMMYFUNCTION("""COMPUTED_VALUE"""),-1.380201869123272)</f>
        <v>-1.380201869</v>
      </c>
      <c r="AF132" s="273">
        <f>IFERROR(__xludf.DUMMYFUNCTION("""COMPUTED_VALUE"""),0.27817671356719065)</f>
        <v>0.2781767136</v>
      </c>
      <c r="AG132" s="277">
        <f>IFERROR(__xludf.DUMMYFUNCTION("""COMPUTED_VALUE"""),0.0)</f>
        <v>0</v>
      </c>
      <c r="AH132" s="265"/>
      <c r="AI132" s="338"/>
      <c r="AJ132" s="339"/>
      <c r="AK132" s="265"/>
      <c r="AL132" s="265"/>
      <c r="AM132" s="265"/>
      <c r="AN132" s="265"/>
      <c r="AO132" s="265"/>
      <c r="AP132" s="265"/>
      <c r="AQ132" s="265"/>
      <c r="AR132" s="265"/>
      <c r="AS132" s="265"/>
      <c r="AT132" s="265"/>
      <c r="AU132" s="265"/>
      <c r="AV132" s="265"/>
      <c r="AW132" s="265"/>
      <c r="AX132" s="265"/>
      <c r="AY132" s="265"/>
      <c r="AZ132" s="265"/>
      <c r="BA132" s="265"/>
      <c r="BB132" s="265"/>
      <c r="BC132" s="265"/>
      <c r="BD132" s="265"/>
      <c r="BE132" s="265"/>
      <c r="BF132" s="265"/>
      <c r="BG132" s="265"/>
      <c r="BH132" s="265"/>
      <c r="BI132" s="265"/>
      <c r="BJ132" s="265"/>
      <c r="BK132" s="265"/>
      <c r="BL132" s="265"/>
      <c r="BM132" s="265"/>
      <c r="BN132" s="265"/>
      <c r="BO132" s="265"/>
      <c r="BP132" s="265"/>
      <c r="BQ132" s="265"/>
      <c r="BR132" s="265"/>
      <c r="BS132" s="265"/>
      <c r="BT132" s="265"/>
      <c r="BU132" s="265"/>
      <c r="BV132" s="265"/>
    </row>
    <row r="133">
      <c r="A133" s="251">
        <f>VLOOKUP($F133,UpdateHashtag!$V$3:$Y$32,COLUMN(B$15),0)</f>
        <v>4</v>
      </c>
      <c r="B133" s="252">
        <f>VLOOKUP($F133,UpdateHashtag!$V$3:$Y$32,COLUMN(C$13),0)</f>
        <v>3</v>
      </c>
      <c r="C133" s="252">
        <f>VLOOKUP($F133,UpdateHashtag!$V$3:$Y$32,COLUMN(D$13),0)</f>
        <v>3</v>
      </c>
      <c r="D133" s="268">
        <f t="shared" si="4"/>
        <v>10</v>
      </c>
      <c r="E133" s="19"/>
      <c r="F133" s="30" t="str">
        <f>IF(VLOOKUP(J133,PasteHashtag!$C$2:$P1015,3,)="BRO","BKN",IF(VLOOKUP(J133,PasteHashtag!$C$2:$P1015,3,)="OKL","OKC",VLOOKUP(J133,PasteHashtag!$C$2:$P1015,3,)))</f>
        <v>MIN</v>
      </c>
      <c r="G133" s="269">
        <v>114.0</v>
      </c>
      <c r="H133" s="270">
        <f>IFERROR(__xludf.DUMMYFUNCTION("""COMPUTED_VALUE"""),115.0)</f>
        <v>115</v>
      </c>
      <c r="I133" s="270">
        <f>IFERROR(__xludf.DUMMYFUNCTION("""COMPUTED_VALUE"""),132.8)</f>
        <v>132.8</v>
      </c>
      <c r="J133" s="271" t="str">
        <f>IFERROR(__xludf.DUMMYFUNCTION("""COMPUTED_VALUE"""),"Mike Conley")</f>
        <v>Mike Conley</v>
      </c>
      <c r="K133" s="270">
        <f>IFERROR(__xludf.DUMMYFUNCTION("""COMPUTED_VALUE"""),64.0)</f>
        <v>64</v>
      </c>
      <c r="L133" s="272" t="str">
        <f>IFERROR(__xludf.DUMMYFUNCTION("""COMPUTED_VALUE"""),"SG,SF")</f>
        <v>SG,SF</v>
      </c>
      <c r="M133" s="273">
        <f>IFERROR(__xludf.DUMMYFUNCTION("""COMPUTED_VALUE"""),-2.0829976151564207)</f>
        <v>-2.082997615</v>
      </c>
      <c r="N133" s="273">
        <f>IFERROR(__xludf.DUMMYFUNCTION("""COMPUTED_VALUE"""),-2.1338895116089325)</f>
        <v>-2.133889512</v>
      </c>
      <c r="O133" s="274">
        <f>IFERROR(__xludf.DUMMYFUNCTION("""COMPUTED_VALUE"""),-0.0508918964525118)</f>
        <v>-0.05089189645</v>
      </c>
      <c r="P133" s="275">
        <f>IFERROR(__xludf.DUMMYFUNCTION("""COMPUTED_VALUE"""),9.918032787)</f>
        <v>9.918032787</v>
      </c>
      <c r="Q133" s="275">
        <f>IFERROR(__xludf.DUMMYFUNCTION("""COMPUTED_VALUE"""),1.947213115)</f>
        <v>1.947213115</v>
      </c>
      <c r="R133" s="275">
        <f>IFERROR(__xludf.DUMMYFUNCTION("""COMPUTED_VALUE"""),2.686885246)</f>
        <v>2.686885246</v>
      </c>
      <c r="S133" s="276">
        <f>IFERROR(__xludf.DUMMYFUNCTION("""COMPUTED_VALUE"""),5.259344262)</f>
        <v>5.259344262</v>
      </c>
      <c r="T133" s="275">
        <f>IFERROR(__xludf.DUMMYFUNCTION("""COMPUTED_VALUE"""),1.194754098)</f>
        <v>1.194754098</v>
      </c>
      <c r="U133" s="275">
        <f>IFERROR(__xludf.DUMMYFUNCTION("""COMPUTED_VALUE"""),0.2293442623)</f>
        <v>0.2293442623</v>
      </c>
      <c r="V133" s="272">
        <f>IFERROR(__xludf.DUMMYFUNCTION("""COMPUTED_VALUE"""),0.4445775914)</f>
        <v>0.4445775914</v>
      </c>
      <c r="W133" s="272">
        <f>IFERROR(__xludf.DUMMYFUNCTION("""COMPUTED_VALUE"""),0.889979859)</f>
        <v>0.889979859</v>
      </c>
      <c r="X133" s="275">
        <f>IFERROR(__xludf.DUMMYFUNCTION("""COMPUTED_VALUE"""),1.543442623)</f>
        <v>1.543442623</v>
      </c>
      <c r="Y133" s="273">
        <f>IFERROR(__xludf.DUMMYFUNCTION("""COMPUTED_VALUE"""),-1.3646494456622935)</f>
        <v>-1.364649446</v>
      </c>
      <c r="Z133" s="273">
        <f>IFERROR(__xludf.DUMMYFUNCTION("""COMPUTED_VALUE"""),0.19694388842675856)</f>
        <v>0.1969438884</v>
      </c>
      <c r="AA133" s="273">
        <f>IFERROR(__xludf.DUMMYFUNCTION("""COMPUTED_VALUE"""),-1.3310917681226406)</f>
        <v>-1.331091768</v>
      </c>
      <c r="AB133" s="273">
        <f>IFERROR(__xludf.DUMMYFUNCTION("""COMPUTED_VALUE"""),0.6021924940981856)</f>
        <v>0.6021924941</v>
      </c>
      <c r="AC133" s="273">
        <f>IFERROR(__xludf.DUMMYFUNCTION("""COMPUTED_VALUE"""),0.7237071091858165)</f>
        <v>0.7237071092</v>
      </c>
      <c r="AD133" s="273">
        <f>IFERROR(__xludf.DUMMYFUNCTION("""COMPUTED_VALUE"""),-0.9262882764340761)</f>
        <v>-0.9262882764</v>
      </c>
      <c r="AE133" s="273">
        <f>IFERROR(__xludf.DUMMYFUNCTION("""COMPUTED_VALUE"""),-0.46933209063879167)</f>
        <v>-0.4693320906</v>
      </c>
      <c r="AF133" s="273">
        <f>IFERROR(__xludf.DUMMYFUNCTION("""COMPUTED_VALUE"""),0.4346285775381091)</f>
        <v>0.4346285775</v>
      </c>
      <c r="AG133" s="277">
        <f>IFERROR(__xludf.DUMMYFUNCTION("""COMPUTED_VALUE"""),0.0)</f>
        <v>0</v>
      </c>
      <c r="AH133" s="265"/>
      <c r="AI133" s="338"/>
      <c r="AJ133" s="339"/>
      <c r="AK133" s="265"/>
      <c r="AL133" s="265"/>
      <c r="AM133" s="265"/>
      <c r="AN133" s="265"/>
      <c r="AO133" s="265"/>
      <c r="AP133" s="265"/>
      <c r="AQ133" s="265"/>
      <c r="AR133" s="265"/>
      <c r="AS133" s="265"/>
      <c r="AT133" s="265"/>
      <c r="AU133" s="265"/>
      <c r="AV133" s="265"/>
      <c r="AW133" s="265"/>
      <c r="AX133" s="265"/>
      <c r="AY133" s="265"/>
      <c r="AZ133" s="265"/>
      <c r="BA133" s="265"/>
      <c r="BB133" s="265"/>
      <c r="BC133" s="265"/>
      <c r="BD133" s="265"/>
      <c r="BE133" s="265"/>
      <c r="BF133" s="265"/>
      <c r="BG133" s="265"/>
      <c r="BH133" s="265"/>
      <c r="BI133" s="265"/>
      <c r="BJ133" s="265"/>
      <c r="BK133" s="265"/>
      <c r="BL133" s="265"/>
      <c r="BM133" s="265"/>
      <c r="BN133" s="265"/>
      <c r="BO133" s="265"/>
      <c r="BP133" s="265"/>
      <c r="BQ133" s="265"/>
      <c r="BR133" s="265"/>
      <c r="BS133" s="265"/>
      <c r="BT133" s="265"/>
      <c r="BU133" s="265"/>
      <c r="BV133" s="265"/>
    </row>
    <row r="134">
      <c r="A134" s="251">
        <f>VLOOKUP($F134,UpdateHashtag!$V$3:$Y$32,COLUMN(B$15),0)</f>
        <v>4</v>
      </c>
      <c r="B134" s="252">
        <f>VLOOKUP($F134,UpdateHashtag!$V$3:$Y$32,COLUMN(C$13),0)</f>
        <v>3</v>
      </c>
      <c r="C134" s="252">
        <f>VLOOKUP($F134,UpdateHashtag!$V$3:$Y$32,COLUMN(D$13),0)</f>
        <v>4</v>
      </c>
      <c r="D134" s="268">
        <f t="shared" si="4"/>
        <v>11</v>
      </c>
      <c r="E134" s="19"/>
      <c r="F134" s="30" t="str">
        <f>IF(VLOOKUP(J134,PasteHashtag!$C$2:$P1015,3,)="BRO","BKN",IF(VLOOKUP(J134,PasteHashtag!$C$2:$P1015,3,)="OKL","OKC",VLOOKUP(J134,PasteHashtag!$C$2:$P1015,3,)))</f>
        <v>CLE</v>
      </c>
      <c r="G134" s="269">
        <v>115.0</v>
      </c>
      <c r="H134" s="270">
        <f>IFERROR(__xludf.DUMMYFUNCTION("""COMPUTED_VALUE"""),121.0)</f>
        <v>121</v>
      </c>
      <c r="I134" s="270">
        <f>IFERROR(__xludf.DUMMYFUNCTION("""COMPUTED_VALUE"""),144.9)</f>
        <v>144.9</v>
      </c>
      <c r="J134" s="271" t="str">
        <f>IFERROR(__xludf.DUMMYFUNCTION("""COMPUTED_VALUE"""),"Caris LeVert")</f>
        <v>Caris LeVert</v>
      </c>
      <c r="K134" s="270">
        <f>IFERROR(__xludf.DUMMYFUNCTION("""COMPUTED_VALUE"""),60.0)</f>
        <v>60</v>
      </c>
      <c r="L134" s="272" t="str">
        <f>IFERROR(__xludf.DUMMYFUNCTION("""COMPUTED_VALUE"""),"SG")</f>
        <v>SG</v>
      </c>
      <c r="M134" s="273">
        <f>IFERROR(__xludf.DUMMYFUNCTION("""COMPUTED_VALUE"""),-2.1175062093124644)</f>
        <v>-2.117506209</v>
      </c>
      <c r="N134" s="273">
        <f>IFERROR(__xludf.DUMMYFUNCTION("""COMPUTED_VALUE"""),-2.1538258673527095)</f>
        <v>-2.153825867</v>
      </c>
      <c r="O134" s="274">
        <f>IFERROR(__xludf.DUMMYFUNCTION("""COMPUTED_VALUE"""),-0.03631965804024517)</f>
        <v>-0.03631965804</v>
      </c>
      <c r="P134" s="275">
        <f>IFERROR(__xludf.DUMMYFUNCTION("""COMPUTED_VALUE"""),13.56176471)</f>
        <v>13.56176471</v>
      </c>
      <c r="Q134" s="275">
        <f>IFERROR(__xludf.DUMMYFUNCTION("""COMPUTED_VALUE"""),1.524705882)</f>
        <v>1.524705882</v>
      </c>
      <c r="R134" s="275">
        <f>IFERROR(__xludf.DUMMYFUNCTION("""COMPUTED_VALUE"""),4.498676471)</f>
        <v>4.498676471</v>
      </c>
      <c r="S134" s="276">
        <f>IFERROR(__xludf.DUMMYFUNCTION("""COMPUTED_VALUE"""),5.114852941)</f>
        <v>5.114852941</v>
      </c>
      <c r="T134" s="275">
        <f>IFERROR(__xludf.DUMMYFUNCTION("""COMPUTED_VALUE"""),1.213529412)</f>
        <v>1.213529412</v>
      </c>
      <c r="U134" s="275">
        <f>IFERROR(__xludf.DUMMYFUNCTION("""COMPUTED_VALUE"""),0.4313235294)</f>
        <v>0.4313235294</v>
      </c>
      <c r="V134" s="272">
        <f>IFERROR(__xludf.DUMMYFUNCTION("""COMPUTED_VALUE"""),0.4256898479)</f>
        <v>0.4256898479</v>
      </c>
      <c r="W134" s="272">
        <f>IFERROR(__xludf.DUMMYFUNCTION("""COMPUTED_VALUE"""),0.7550187869)</f>
        <v>0.7550187869</v>
      </c>
      <c r="X134" s="275">
        <f>IFERROR(__xludf.DUMMYFUNCTION("""COMPUTED_VALUE"""),1.602205882)</f>
        <v>1.602205882</v>
      </c>
      <c r="Y134" s="273">
        <f>IFERROR(__xludf.DUMMYFUNCTION("""COMPUTED_VALUE"""),-0.7078462204767557)</f>
        <v>-0.7078462205</v>
      </c>
      <c r="Z134" s="273">
        <f>IFERROR(__xludf.DUMMYFUNCTION("""COMPUTED_VALUE"""),-0.22215309393653895)</f>
        <v>-0.2221530939</v>
      </c>
      <c r="AA134" s="273">
        <f>IFERROR(__xludf.DUMMYFUNCTION("""COMPUTED_VALUE"""),-0.6210381111424707)</f>
        <v>-0.6210381111</v>
      </c>
      <c r="AB134" s="273">
        <f>IFERROR(__xludf.DUMMYFUNCTION("""COMPUTED_VALUE"""),0.5365734353955369)</f>
        <v>0.5365734354</v>
      </c>
      <c r="AC134" s="273">
        <f>IFERROR(__xludf.DUMMYFUNCTION("""COMPUTED_VALUE"""),0.7858217316922069)</f>
        <v>0.7858217317</v>
      </c>
      <c r="AD134" s="273">
        <f>IFERROR(__xludf.DUMMYFUNCTION("""COMPUTED_VALUE"""),-0.5660283962048737)</f>
        <v>-0.5660283962</v>
      </c>
      <c r="AE134" s="273">
        <f>IFERROR(__xludf.DUMMYFUNCTION("""COMPUTED_VALUE"""),-0.9745381710749844)</f>
        <v>-0.9745381711</v>
      </c>
      <c r="AF134" s="273">
        <f>IFERROR(__xludf.DUMMYFUNCTION("""COMPUTED_VALUE"""),-0.3846170416048299)</f>
        <v>-0.3846170416</v>
      </c>
      <c r="AG134" s="277">
        <f>IFERROR(__xludf.DUMMYFUNCTION("""COMPUTED_VALUE"""),0.0)</f>
        <v>0</v>
      </c>
      <c r="AH134" s="265"/>
      <c r="AI134" s="338"/>
      <c r="AJ134" s="339"/>
      <c r="AK134" s="265"/>
      <c r="AL134" s="265"/>
      <c r="AM134" s="265"/>
      <c r="AN134" s="265"/>
      <c r="AO134" s="265"/>
      <c r="AP134" s="265"/>
      <c r="AQ134" s="265"/>
      <c r="AR134" s="265"/>
      <c r="AS134" s="265"/>
      <c r="AT134" s="265"/>
      <c r="AU134" s="265"/>
      <c r="AV134" s="265"/>
      <c r="AW134" s="265"/>
      <c r="AX134" s="265"/>
      <c r="AY134" s="265"/>
      <c r="AZ134" s="265"/>
      <c r="BA134" s="265"/>
      <c r="BB134" s="265"/>
      <c r="BC134" s="265"/>
      <c r="BD134" s="265"/>
      <c r="BE134" s="265"/>
      <c r="BF134" s="265"/>
      <c r="BG134" s="265"/>
      <c r="BH134" s="265"/>
      <c r="BI134" s="265"/>
      <c r="BJ134" s="265"/>
      <c r="BK134" s="265"/>
      <c r="BL134" s="265"/>
      <c r="BM134" s="265"/>
      <c r="BN134" s="265"/>
      <c r="BO134" s="265"/>
      <c r="BP134" s="265"/>
      <c r="BQ134" s="265"/>
      <c r="BR134" s="265"/>
      <c r="BS134" s="265"/>
      <c r="BT134" s="265"/>
      <c r="BU134" s="265"/>
      <c r="BV134" s="265"/>
    </row>
    <row r="135">
      <c r="A135" s="251">
        <f>VLOOKUP($F135,UpdateHashtag!$V$3:$Y$32,COLUMN(B$15),0)</f>
        <v>4</v>
      </c>
      <c r="B135" s="252">
        <f>VLOOKUP($F135,UpdateHashtag!$V$3:$Y$32,COLUMN(C$13),0)</f>
        <v>3</v>
      </c>
      <c r="C135" s="252">
        <f>VLOOKUP($F135,UpdateHashtag!$V$3:$Y$32,COLUMN(D$13),0)</f>
        <v>4</v>
      </c>
      <c r="D135" s="268">
        <f t="shared" si="4"/>
        <v>11</v>
      </c>
      <c r="E135" s="19"/>
      <c r="F135" s="30" t="str">
        <f>IF(VLOOKUP(J135,PasteHashtag!$C$2:$P1015,3,)="BRO","BKN",IF(VLOOKUP(J135,PasteHashtag!$C$2:$P1015,3,)="OKL","OKC",VLOOKUP(J135,PasteHashtag!$C$2:$P1015,3,)))</f>
        <v>POR</v>
      </c>
      <c r="G135" s="269">
        <v>116.0</v>
      </c>
      <c r="H135" s="270">
        <f>IFERROR(__xludf.DUMMYFUNCTION("""COMPUTED_VALUE"""),120.0)</f>
        <v>120</v>
      </c>
      <c r="I135" s="270">
        <f>IFERROR(__xludf.DUMMYFUNCTION("""COMPUTED_VALUE"""),109.6)</f>
        <v>109.6</v>
      </c>
      <c r="J135" s="271" t="str">
        <f>IFERROR(__xludf.DUMMYFUNCTION("""COMPUTED_VALUE"""),"Jerami Grant")</f>
        <v>Jerami Grant</v>
      </c>
      <c r="K135" s="270">
        <f>IFERROR(__xludf.DUMMYFUNCTION("""COMPUTED_VALUE"""),79.0)</f>
        <v>79</v>
      </c>
      <c r="L135" s="272" t="str">
        <f>IFERROR(__xludf.DUMMYFUNCTION("""COMPUTED_VALUE"""),"SG,SF")</f>
        <v>SG,SF</v>
      </c>
      <c r="M135" s="273">
        <f>IFERROR(__xludf.DUMMYFUNCTION("""COMPUTED_VALUE"""),-2.224355184023448)</f>
        <v>-2.224355184</v>
      </c>
      <c r="N135" s="273">
        <f>IFERROR(__xludf.DUMMYFUNCTION("""COMPUTED_VALUE"""),-2.17108035540587)</f>
        <v>-2.171080355</v>
      </c>
      <c r="O135" s="274">
        <f>IFERROR(__xludf.DUMMYFUNCTION("""COMPUTED_VALUE"""),0.05327482861757815)</f>
        <v>0.05327482862</v>
      </c>
      <c r="P135" s="275">
        <f>IFERROR(__xludf.DUMMYFUNCTION("""COMPUTED_VALUE"""),19.58816667)</f>
        <v>19.58816667</v>
      </c>
      <c r="Q135" s="275">
        <f>IFERROR(__xludf.DUMMYFUNCTION("""COMPUTED_VALUE"""),1.995)</f>
        <v>1.995</v>
      </c>
      <c r="R135" s="275">
        <f>IFERROR(__xludf.DUMMYFUNCTION("""COMPUTED_VALUE"""),3.295833333)</f>
        <v>3.295833333</v>
      </c>
      <c r="S135" s="276">
        <f>IFERROR(__xludf.DUMMYFUNCTION("""COMPUTED_VALUE"""),2.664666667)</f>
        <v>2.664666667</v>
      </c>
      <c r="T135" s="275">
        <f>IFERROR(__xludf.DUMMYFUNCTION("""COMPUTED_VALUE"""),0.8436666667)</f>
        <v>0.8436666667</v>
      </c>
      <c r="U135" s="275">
        <f>IFERROR(__xludf.DUMMYFUNCTION("""COMPUTED_VALUE"""),0.63)</f>
        <v>0.63</v>
      </c>
      <c r="V135" s="272">
        <f>IFERROR(__xludf.DUMMYFUNCTION("""COMPUTED_VALUE"""),0.4424836746)</f>
        <v>0.4424836746</v>
      </c>
      <c r="W135" s="272">
        <f>IFERROR(__xludf.DUMMYFUNCTION("""COMPUTED_VALUE"""),0.8210001904)</f>
        <v>0.8210001904</v>
      </c>
      <c r="X135" s="275">
        <f>IFERROR(__xludf.DUMMYFUNCTION("""COMPUTED_VALUE"""),1.9635)</f>
        <v>1.9635</v>
      </c>
      <c r="Y135" s="273">
        <f>IFERROR(__xludf.DUMMYFUNCTION("""COMPUTED_VALUE"""),0.3784467141400056)</f>
        <v>0.3784467141</v>
      </c>
      <c r="Z135" s="273">
        <f>IFERROR(__xludf.DUMMYFUNCTION("""COMPUTED_VALUE"""),0.24434506345005558)</f>
        <v>0.2443450635</v>
      </c>
      <c r="AA135" s="273">
        <f>IFERROR(__xludf.DUMMYFUNCTION("""COMPUTED_VALUE"""),-1.0924407524210777)</f>
        <v>-1.092440752</v>
      </c>
      <c r="AB135" s="273">
        <f>IFERROR(__xludf.DUMMYFUNCTION("""COMPUTED_VALUE"""),-0.5761502620093035)</f>
        <v>-0.576150262</v>
      </c>
      <c r="AC135" s="273">
        <f>IFERROR(__xludf.DUMMYFUNCTION("""COMPUTED_VALUE"""),-0.4378001370811598)</f>
        <v>-0.4378001371</v>
      </c>
      <c r="AD135" s="273">
        <f>IFERROR(__xludf.DUMMYFUNCTION("""COMPUTED_VALUE"""),-0.21165954176557225)</f>
        <v>-0.2116595418</v>
      </c>
      <c r="AE135" s="273">
        <f>IFERROR(__xludf.DUMMYFUNCTION("""COMPUTED_VALUE"""),-0.9559401908010251)</f>
        <v>-0.9559401908</v>
      </c>
      <c r="AF135" s="273">
        <f>IFERROR(__xludf.DUMMYFUNCTION("""COMPUTED_VALUE"""),0.4801187510822071)</f>
        <v>0.4801187511</v>
      </c>
      <c r="AG135" s="277">
        <f>IFERROR(__xludf.DUMMYFUNCTION("""COMPUTED_VALUE"""),0.0)</f>
        <v>0</v>
      </c>
      <c r="AH135" s="265"/>
      <c r="AI135" s="338"/>
      <c r="AJ135" s="339"/>
      <c r="AK135" s="265"/>
      <c r="AL135" s="265"/>
      <c r="AM135" s="265"/>
      <c r="AN135" s="265"/>
      <c r="AO135" s="265"/>
      <c r="AP135" s="265"/>
      <c r="AQ135" s="265"/>
      <c r="AR135" s="265"/>
      <c r="AS135" s="265"/>
      <c r="AT135" s="265"/>
      <c r="AU135" s="265"/>
      <c r="AV135" s="265"/>
      <c r="AW135" s="265"/>
      <c r="AX135" s="265"/>
      <c r="AY135" s="265"/>
      <c r="AZ135" s="265"/>
      <c r="BA135" s="265"/>
      <c r="BB135" s="265"/>
      <c r="BC135" s="265"/>
      <c r="BD135" s="265"/>
      <c r="BE135" s="265"/>
      <c r="BF135" s="265"/>
      <c r="BG135" s="265"/>
      <c r="BH135" s="265"/>
      <c r="BI135" s="265"/>
      <c r="BJ135" s="265"/>
      <c r="BK135" s="265"/>
      <c r="BL135" s="265"/>
      <c r="BM135" s="265"/>
      <c r="BN135" s="265"/>
      <c r="BO135" s="265"/>
      <c r="BP135" s="265"/>
      <c r="BQ135" s="265"/>
      <c r="BR135" s="265"/>
      <c r="BS135" s="265"/>
      <c r="BT135" s="265"/>
      <c r="BU135" s="265"/>
      <c r="BV135" s="265"/>
    </row>
    <row r="136">
      <c r="A136" s="251">
        <f>VLOOKUP($F136,UpdateHashtag!$V$3:$Y$32,COLUMN(B$15),0)</f>
        <v>4</v>
      </c>
      <c r="B136" s="252">
        <f>VLOOKUP($F136,UpdateHashtag!$V$3:$Y$32,COLUMN(C$13),0)</f>
        <v>3</v>
      </c>
      <c r="C136" s="252">
        <f>VLOOKUP($F136,UpdateHashtag!$V$3:$Y$32,COLUMN(D$13),0)</f>
        <v>4</v>
      </c>
      <c r="D136" s="268">
        <f t="shared" si="4"/>
        <v>11</v>
      </c>
      <c r="E136" s="19"/>
      <c r="F136" s="30" t="str">
        <f>IF(VLOOKUP(J136,PasteHashtag!$C$2:$P1015,3,)="BRO","BKN",IF(VLOOKUP(J136,PasteHashtag!$C$2:$P1015,3,)="OKL","OKC",VLOOKUP(J136,PasteHashtag!$C$2:$P1015,3,)))</f>
        <v>GS</v>
      </c>
      <c r="G136" s="269">
        <v>117.0</v>
      </c>
      <c r="H136" s="270">
        <f>IFERROR(__xludf.DUMMYFUNCTION("""COMPUTED_VALUE"""),125.0)</f>
        <v>125</v>
      </c>
      <c r="I136" s="270">
        <f>IFERROR(__xludf.DUMMYFUNCTION("""COMPUTED_VALUE"""),142.0)</f>
        <v>142</v>
      </c>
      <c r="J136" s="271" t="str">
        <f>IFERROR(__xludf.DUMMYFUNCTION("""COMPUTED_VALUE"""),"De'Anthony Melton")</f>
        <v>De'Anthony Melton</v>
      </c>
      <c r="K136" s="270">
        <f>IFERROR(__xludf.DUMMYFUNCTION("""COMPUTED_VALUE"""),58.0)</f>
        <v>58</v>
      </c>
      <c r="L136" s="272" t="str">
        <f>IFERROR(__xludf.DUMMYFUNCTION("""COMPUTED_VALUE"""),"PG,SG,SF")</f>
        <v>PG,SG,SF</v>
      </c>
      <c r="M136" s="273">
        <f>IFERROR(__xludf.DUMMYFUNCTION("""COMPUTED_VALUE"""),-2.0492585771844363)</f>
        <v>-2.049258577</v>
      </c>
      <c r="N136" s="273">
        <f>IFERROR(__xludf.DUMMYFUNCTION("""COMPUTED_VALUE"""),-2.198757140179268)</f>
        <v>-2.19875714</v>
      </c>
      <c r="O136" s="274">
        <f>IFERROR(__xludf.DUMMYFUNCTION("""COMPUTED_VALUE"""),-0.14949856299483155)</f>
        <v>-0.149498563</v>
      </c>
      <c r="P136" s="275">
        <f>IFERROR(__xludf.DUMMYFUNCTION("""COMPUTED_VALUE"""),11.52258065)</f>
        <v>11.52258065</v>
      </c>
      <c r="Q136" s="275">
        <f>IFERROR(__xludf.DUMMYFUNCTION("""COMPUTED_VALUE"""),2.155967742)</f>
        <v>2.155967742</v>
      </c>
      <c r="R136" s="275">
        <f>IFERROR(__xludf.DUMMYFUNCTION("""COMPUTED_VALUE"""),3.437419355)</f>
        <v>3.437419355</v>
      </c>
      <c r="S136" s="276">
        <f>IFERROR(__xludf.DUMMYFUNCTION("""COMPUTED_VALUE"""),2.546290323)</f>
        <v>2.546290323</v>
      </c>
      <c r="T136" s="275">
        <f>IFERROR(__xludf.DUMMYFUNCTION("""COMPUTED_VALUE"""),1.405)</f>
        <v>1.405</v>
      </c>
      <c r="U136" s="275">
        <f>IFERROR(__xludf.DUMMYFUNCTION("""COMPUTED_VALUE"""),0.4169354839)</f>
        <v>0.4169354839</v>
      </c>
      <c r="V136" s="272">
        <f>IFERROR(__xludf.DUMMYFUNCTION("""COMPUTED_VALUE"""),0.4041167362)</f>
        <v>0.4041167362</v>
      </c>
      <c r="W136" s="272">
        <f>IFERROR(__xludf.DUMMYFUNCTION("""COMPUTED_VALUE"""),0.8470419686)</f>
        <v>0.8470419686</v>
      </c>
      <c r="X136" s="275">
        <f>IFERROR(__xludf.DUMMYFUNCTION("""COMPUTED_VALUE"""),1.145806452)</f>
        <v>1.145806452</v>
      </c>
      <c r="Y136" s="273">
        <f>IFERROR(__xludf.DUMMYFUNCTION("""COMPUTED_VALUE"""),-1.075420645724872)</f>
        <v>-1.075420646</v>
      </c>
      <c r="Z136" s="273">
        <f>IFERROR(__xludf.DUMMYFUNCTION("""COMPUTED_VALUE"""),0.4040135606045973)</f>
        <v>0.4040135606</v>
      </c>
      <c r="AA136" s="273">
        <f>IFERROR(__xludf.DUMMYFUNCTION("""COMPUTED_VALUE"""),-1.0369521998156996)</f>
        <v>-1.0369522</v>
      </c>
      <c r="AB136" s="273">
        <f>IFERROR(__xludf.DUMMYFUNCTION("""COMPUTED_VALUE"""),-0.6299095065935573)</f>
        <v>-0.6299095066</v>
      </c>
      <c r="AC136" s="273">
        <f>IFERROR(__xludf.DUMMYFUNCTION("""COMPUTED_VALUE"""),1.4192664397112913)</f>
        <v>1.41926644</v>
      </c>
      <c r="AD136" s="273">
        <f>IFERROR(__xludf.DUMMYFUNCTION("""COMPUTED_VALUE"""),-0.5916916022506505)</f>
        <v>-0.5916916023</v>
      </c>
      <c r="AE136" s="273">
        <f>IFERROR(__xludf.DUMMYFUNCTION("""COMPUTED_VALUE"""),-1.0381043810799349)</f>
        <v>-1.038104381</v>
      </c>
      <c r="AF136" s="273">
        <f>IFERROR(__xludf.DUMMYFUNCTION("""COMPUTED_VALUE"""),0.35004119496955804)</f>
        <v>0.350041195</v>
      </c>
      <c r="AG136" s="277">
        <f>IFERROR(__xludf.DUMMYFUNCTION("""COMPUTED_VALUE"""),0.0)</f>
        <v>0</v>
      </c>
      <c r="AH136" s="265"/>
      <c r="AI136" s="338"/>
      <c r="AJ136" s="339"/>
      <c r="AK136" s="265"/>
      <c r="AL136" s="265"/>
      <c r="AM136" s="265"/>
      <c r="AN136" s="265"/>
      <c r="AO136" s="265"/>
      <c r="AP136" s="265"/>
      <c r="AQ136" s="265"/>
      <c r="AR136" s="265"/>
      <c r="AS136" s="265"/>
      <c r="AT136" s="265"/>
      <c r="AU136" s="265"/>
      <c r="AV136" s="265"/>
      <c r="AW136" s="265"/>
      <c r="AX136" s="265"/>
      <c r="AY136" s="265"/>
      <c r="AZ136" s="265"/>
      <c r="BA136" s="265"/>
      <c r="BB136" s="265"/>
      <c r="BC136" s="265"/>
      <c r="BD136" s="265"/>
      <c r="BE136" s="265"/>
      <c r="BF136" s="265"/>
      <c r="BG136" s="265"/>
      <c r="BH136" s="265"/>
      <c r="BI136" s="265"/>
      <c r="BJ136" s="265"/>
      <c r="BK136" s="265"/>
      <c r="BL136" s="265"/>
      <c r="BM136" s="265"/>
      <c r="BN136" s="265"/>
      <c r="BO136" s="265"/>
      <c r="BP136" s="265"/>
      <c r="BQ136" s="265"/>
      <c r="BR136" s="265"/>
      <c r="BS136" s="265"/>
      <c r="BT136" s="265"/>
      <c r="BU136" s="265"/>
      <c r="BV136" s="265"/>
    </row>
    <row r="137">
      <c r="A137" s="251">
        <f>VLOOKUP($F137,UpdateHashtag!$V$3:$Y$32,COLUMN(B$15),0)</f>
        <v>3</v>
      </c>
      <c r="B137" s="252">
        <f>VLOOKUP($F137,UpdateHashtag!$V$3:$Y$32,COLUMN(C$13),0)</f>
        <v>4</v>
      </c>
      <c r="C137" s="252">
        <f>VLOOKUP($F137,UpdateHashtag!$V$3:$Y$32,COLUMN(D$13),0)</f>
        <v>4</v>
      </c>
      <c r="D137" s="268">
        <f t="shared" si="4"/>
        <v>11</v>
      </c>
      <c r="E137" s="19"/>
      <c r="F137" s="30" t="str">
        <f>IF(VLOOKUP(J137,PasteHashtag!$C$2:$P1015,3,)="BRO","BKN",IF(VLOOKUP(J137,PasteHashtag!$C$2:$P1015,3,)="OKL","OKC",VLOOKUP(J137,PasteHashtag!$C$2:$P1015,3,)))</f>
        <v>SA</v>
      </c>
      <c r="G137" s="269">
        <v>118.0</v>
      </c>
      <c r="H137" s="270">
        <f>IFERROR(__xludf.DUMMYFUNCTION("""COMPUTED_VALUE"""),119.0)</f>
        <v>119</v>
      </c>
      <c r="I137" s="270">
        <f>IFERROR(__xludf.DUMMYFUNCTION("""COMPUTED_VALUE"""),141.7)</f>
        <v>141.7</v>
      </c>
      <c r="J137" s="271" t="str">
        <f>IFERROR(__xludf.DUMMYFUNCTION("""COMPUTED_VALUE"""),"Jeremy Sochan")</f>
        <v>Jeremy Sochan</v>
      </c>
      <c r="K137" s="270">
        <f>IFERROR(__xludf.DUMMYFUNCTION("""COMPUTED_VALUE"""),67.0)</f>
        <v>67</v>
      </c>
      <c r="L137" s="272" t="str">
        <f>IFERROR(__xludf.DUMMYFUNCTION("""COMPUTED_VALUE"""),"PG")</f>
        <v>PG</v>
      </c>
      <c r="M137" s="273">
        <f>IFERROR(__xludf.DUMMYFUNCTION("""COMPUTED_VALUE"""),-2.1827471112572243)</f>
        <v>-2.182747111</v>
      </c>
      <c r="N137" s="273">
        <f>IFERROR(__xludf.DUMMYFUNCTION("""COMPUTED_VALUE"""),-2.2196137886248577)</f>
        <v>-2.219613789</v>
      </c>
      <c r="O137" s="274">
        <f>IFERROR(__xludf.DUMMYFUNCTION("""COMPUTED_VALUE"""),-0.03686667736763338)</f>
        <v>-0.03686667737</v>
      </c>
      <c r="P137" s="275">
        <f>IFERROR(__xludf.DUMMYFUNCTION("""COMPUTED_VALUE"""),12.86205479)</f>
        <v>12.86205479</v>
      </c>
      <c r="Q137" s="275">
        <f>IFERROR(__xludf.DUMMYFUNCTION("""COMPUTED_VALUE"""),1.093013699)</f>
        <v>1.093013699</v>
      </c>
      <c r="R137" s="275">
        <f>IFERROR(__xludf.DUMMYFUNCTION("""COMPUTED_VALUE"""),7.266712329)</f>
        <v>7.266712329</v>
      </c>
      <c r="S137" s="276">
        <f>IFERROR(__xludf.DUMMYFUNCTION("""COMPUTED_VALUE"""),2.733287671)</f>
        <v>2.733287671</v>
      </c>
      <c r="T137" s="275">
        <f>IFERROR(__xludf.DUMMYFUNCTION("""COMPUTED_VALUE"""),1.133287671)</f>
        <v>1.133287671</v>
      </c>
      <c r="U137" s="275">
        <f>IFERROR(__xludf.DUMMYFUNCTION("""COMPUTED_VALUE"""),0.6612328767)</f>
        <v>0.6612328767</v>
      </c>
      <c r="V137" s="272">
        <f>IFERROR(__xludf.DUMMYFUNCTION("""COMPUTED_VALUE"""),0.4409704385)</f>
        <v>0.4409704385</v>
      </c>
      <c r="W137" s="272">
        <f>IFERROR(__xludf.DUMMYFUNCTION("""COMPUTED_VALUE"""),0.7570052539)</f>
        <v>0.7570052539</v>
      </c>
      <c r="X137" s="275">
        <f>IFERROR(__xludf.DUMMYFUNCTION("""COMPUTED_VALUE"""),1.6)</f>
        <v>1.6</v>
      </c>
      <c r="Y137" s="273">
        <f>IFERROR(__xludf.DUMMYFUNCTION("""COMPUTED_VALUE"""),-0.8339728790405764)</f>
        <v>-0.833972879</v>
      </c>
      <c r="Z137" s="273">
        <f>IFERROR(__xludf.DUMMYFUNCTION("""COMPUTED_VALUE"""),-0.6503608903344869)</f>
        <v>-0.6503608903</v>
      </c>
      <c r="AA137" s="273">
        <f>IFERROR(__xludf.DUMMYFUNCTION("""COMPUTED_VALUE"""),0.4637745077204688)</f>
        <v>0.4637745077</v>
      </c>
      <c r="AB137" s="273">
        <f>IFERROR(__xludf.DUMMYFUNCTION("""COMPUTED_VALUE"""),-0.5449868283958018)</f>
        <v>-0.5449868284</v>
      </c>
      <c r="AC137" s="273">
        <f>IFERROR(__xludf.DUMMYFUNCTION("""COMPUTED_VALUE"""),0.5203569063651546)</f>
        <v>0.5203569064</v>
      </c>
      <c r="AD137" s="273">
        <f>IFERROR(__xludf.DUMMYFUNCTION("""COMPUTED_VALUE"""),-0.1559510892065054)</f>
        <v>-0.1559510892</v>
      </c>
      <c r="AE137" s="273">
        <f>IFERROR(__xludf.DUMMYFUNCTION("""COMPUTED_VALUE"""),-0.7680325983384617)</f>
        <v>-0.7680325983</v>
      </c>
      <c r="AF137" s="273">
        <f>IFERROR(__xludf.DUMMYFUNCTION("""COMPUTED_VALUE"""),-0.25044091739464874)</f>
        <v>-0.2504409174</v>
      </c>
      <c r="AG137" s="277">
        <f>IFERROR(__xludf.DUMMYFUNCTION("""COMPUTED_VALUE"""),0.0)</f>
        <v>0</v>
      </c>
      <c r="AH137" s="265"/>
      <c r="AI137" s="338"/>
      <c r="AJ137" s="339"/>
      <c r="AK137" s="265"/>
      <c r="AL137" s="265"/>
      <c r="AM137" s="265"/>
      <c r="AN137" s="265"/>
      <c r="AO137" s="265"/>
      <c r="AP137" s="265"/>
      <c r="AQ137" s="265"/>
      <c r="AR137" s="265"/>
      <c r="AS137" s="265"/>
      <c r="AT137" s="265"/>
      <c r="AU137" s="265"/>
      <c r="AV137" s="265"/>
      <c r="AW137" s="265"/>
      <c r="AX137" s="265"/>
      <c r="AY137" s="265"/>
      <c r="AZ137" s="265"/>
      <c r="BA137" s="265"/>
      <c r="BB137" s="265"/>
      <c r="BC137" s="265"/>
      <c r="BD137" s="265"/>
      <c r="BE137" s="265"/>
      <c r="BF137" s="265"/>
      <c r="BG137" s="265"/>
      <c r="BH137" s="265"/>
      <c r="BI137" s="265"/>
      <c r="BJ137" s="265"/>
      <c r="BK137" s="265"/>
      <c r="BL137" s="265"/>
      <c r="BM137" s="265"/>
      <c r="BN137" s="265"/>
      <c r="BO137" s="265"/>
      <c r="BP137" s="265"/>
      <c r="BQ137" s="265"/>
      <c r="BR137" s="265"/>
      <c r="BS137" s="265"/>
      <c r="BT137" s="265"/>
      <c r="BU137" s="265"/>
      <c r="BV137" s="265"/>
    </row>
    <row r="138">
      <c r="A138" s="251">
        <f>VLOOKUP($F138,UpdateHashtag!$V$3:$Y$32,COLUMN(B$15),0)</f>
        <v>4</v>
      </c>
      <c r="B138" s="252">
        <f>VLOOKUP($F138,UpdateHashtag!$V$3:$Y$32,COLUMN(C$13),0)</f>
        <v>4</v>
      </c>
      <c r="C138" s="252">
        <f>VLOOKUP($F138,UpdateHashtag!$V$3:$Y$32,COLUMN(D$13),0)</f>
        <v>3</v>
      </c>
      <c r="D138" s="268">
        <f t="shared" si="4"/>
        <v>11</v>
      </c>
      <c r="E138" s="19"/>
      <c r="F138" s="30" t="str">
        <f>IF(VLOOKUP(J138,PasteHashtag!$C$2:$P1015,3,)="BRO","BKN",IF(VLOOKUP(J138,PasteHashtag!$C$2:$P1015,3,)="OKL","OKC",VLOOKUP(J138,PasteHashtag!$C$2:$P1015,3,)))</f>
        <v>MEM</v>
      </c>
      <c r="G138" s="269">
        <v>119.0</v>
      </c>
      <c r="H138" s="270">
        <f>IFERROR(__xludf.DUMMYFUNCTION("""COMPUTED_VALUE"""),127.0)</f>
        <v>127</v>
      </c>
      <c r="I138" s="270">
        <f>IFERROR(__xludf.DUMMYFUNCTION("""COMPUTED_VALUE"""),130.7)</f>
        <v>130.7</v>
      </c>
      <c r="J138" s="271" t="str">
        <f>IFERROR(__xludf.DUMMYFUNCTION("""COMPUTED_VALUE"""),"Marcus Smart")</f>
        <v>Marcus Smart</v>
      </c>
      <c r="K138" s="270">
        <f>IFERROR(__xludf.DUMMYFUNCTION("""COMPUTED_VALUE"""),28.0)</f>
        <v>28</v>
      </c>
      <c r="L138" s="272" t="str">
        <f>IFERROR(__xludf.DUMMYFUNCTION("""COMPUTED_VALUE"""),"PG")</f>
        <v>PG</v>
      </c>
      <c r="M138" s="273">
        <f>IFERROR(__xludf.DUMMYFUNCTION("""COMPUTED_VALUE"""),-2.312135416142238)</f>
        <v>-2.312135416</v>
      </c>
      <c r="N138" s="273">
        <f>IFERROR(__xludf.DUMMYFUNCTION("""COMPUTED_VALUE"""),-2.249809239605925)</f>
        <v>-2.24980924</v>
      </c>
      <c r="O138" s="274">
        <f>IFERROR(__xludf.DUMMYFUNCTION("""COMPUTED_VALUE"""),0.06232617653631323)</f>
        <v>0.06232617654</v>
      </c>
      <c r="P138" s="275">
        <f>IFERROR(__xludf.DUMMYFUNCTION("""COMPUTED_VALUE"""),10.58455882)</f>
        <v>10.58455882</v>
      </c>
      <c r="Q138" s="275">
        <f>IFERROR(__xludf.DUMMYFUNCTION("""COMPUTED_VALUE"""),1.756323529)</f>
        <v>1.756323529</v>
      </c>
      <c r="R138" s="275">
        <f>IFERROR(__xludf.DUMMYFUNCTION("""COMPUTED_VALUE"""),3.0625)</f>
        <v>3.0625</v>
      </c>
      <c r="S138" s="276">
        <f>IFERROR(__xludf.DUMMYFUNCTION("""COMPUTED_VALUE"""),3.5)</f>
        <v>3.5</v>
      </c>
      <c r="T138" s="275">
        <f>IFERROR(__xludf.DUMMYFUNCTION("""COMPUTED_VALUE"""),1.690294118)</f>
        <v>1.690294118</v>
      </c>
      <c r="U138" s="275">
        <f>IFERROR(__xludf.DUMMYFUNCTION("""COMPUTED_VALUE"""),0.2497058824)</f>
        <v>0.2497058824</v>
      </c>
      <c r="V138" s="272">
        <f>IFERROR(__xludf.DUMMYFUNCTION("""COMPUTED_VALUE"""),0.4153441729)</f>
        <v>0.4153441729</v>
      </c>
      <c r="W138" s="272">
        <f>IFERROR(__xludf.DUMMYFUNCTION("""COMPUTED_VALUE"""),0.7549748057)</f>
        <v>0.7549748057</v>
      </c>
      <c r="X138" s="275">
        <f>IFERROR(__xludf.DUMMYFUNCTION("""COMPUTED_VALUE"""),2.0)</f>
        <v>2</v>
      </c>
      <c r="Y138" s="273">
        <f>IFERROR(__xludf.DUMMYFUNCTION("""COMPUTED_VALUE"""),-1.2445043698456053)</f>
        <v>-1.24450437</v>
      </c>
      <c r="Z138" s="273">
        <f>IFERROR(__xludf.DUMMYFUNCTION("""COMPUTED_VALUE"""),0.007595060267930051)</f>
        <v>0.007595060268</v>
      </c>
      <c r="AA138" s="273">
        <f>IFERROR(__xludf.DUMMYFUNCTION("""COMPUTED_VALUE"""),-1.183885718102497)</f>
        <v>-1.183885718</v>
      </c>
      <c r="AB138" s="273">
        <f>IFERROR(__xludf.DUMMYFUNCTION("""COMPUTED_VALUE"""),-0.19679331077479958)</f>
        <v>-0.1967933108</v>
      </c>
      <c r="AC138" s="273">
        <f>IFERROR(__xludf.DUMMYFUNCTION("""COMPUTED_VALUE"""),2.3631087873206904)</f>
        <v>2.363108787</v>
      </c>
      <c r="AD138" s="273">
        <f>IFERROR(__xludf.DUMMYFUNCTION("""COMPUTED_VALUE"""),-0.8899703170523009)</f>
        <v>-0.8899703171</v>
      </c>
      <c r="AE138" s="273">
        <f>IFERROR(__xludf.DUMMYFUNCTION("""COMPUTED_VALUE"""),-0.8633605812905321)</f>
        <v>-0.8633605813</v>
      </c>
      <c r="AF138" s="273">
        <f>IFERROR(__xludf.DUMMYFUNCTION("""COMPUTED_VALUE"""),-0.24199879012881054)</f>
        <v>-0.2419987901</v>
      </c>
      <c r="AG138" s="277">
        <f>IFERROR(__xludf.DUMMYFUNCTION("""COMPUTED_VALUE"""),0.0)</f>
        <v>0</v>
      </c>
      <c r="AH138" s="265"/>
      <c r="AI138" s="338"/>
      <c r="AJ138" s="339"/>
      <c r="AK138" s="265"/>
      <c r="AL138" s="265"/>
      <c r="AM138" s="265"/>
      <c r="AN138" s="265"/>
      <c r="AO138" s="265"/>
      <c r="AP138" s="265"/>
      <c r="AQ138" s="265"/>
      <c r="AR138" s="265"/>
      <c r="AS138" s="265"/>
      <c r="AT138" s="265"/>
      <c r="AU138" s="265"/>
      <c r="AV138" s="265"/>
      <c r="AW138" s="265"/>
      <c r="AX138" s="265"/>
      <c r="AY138" s="265"/>
      <c r="AZ138" s="265"/>
      <c r="BA138" s="265"/>
      <c r="BB138" s="265"/>
      <c r="BC138" s="265"/>
      <c r="BD138" s="265"/>
      <c r="BE138" s="265"/>
      <c r="BF138" s="265"/>
      <c r="BG138" s="265"/>
      <c r="BH138" s="265"/>
      <c r="BI138" s="265"/>
      <c r="BJ138" s="265"/>
      <c r="BK138" s="265"/>
      <c r="BL138" s="265"/>
      <c r="BM138" s="265"/>
      <c r="BN138" s="265"/>
      <c r="BO138" s="265"/>
      <c r="BP138" s="265"/>
      <c r="BQ138" s="265"/>
      <c r="BR138" s="265"/>
      <c r="BS138" s="265"/>
      <c r="BT138" s="265"/>
      <c r="BU138" s="265"/>
      <c r="BV138" s="265"/>
    </row>
    <row r="139">
      <c r="A139" s="251">
        <f>VLOOKUP($F139,UpdateHashtag!$V$3:$Y$32,COLUMN(B$15),0)</f>
        <v>2</v>
      </c>
      <c r="B139" s="252">
        <f>VLOOKUP($F139,UpdateHashtag!$V$3:$Y$32,COLUMN(C$13),0)</f>
        <v>4</v>
      </c>
      <c r="C139" s="252">
        <f>VLOOKUP($F139,UpdateHashtag!$V$3:$Y$32,COLUMN(D$13),0)</f>
        <v>3</v>
      </c>
      <c r="D139" s="268">
        <f t="shared" si="4"/>
        <v>9</v>
      </c>
      <c r="E139" s="19"/>
      <c r="F139" s="30" t="str">
        <f>IF(VLOOKUP(J139,PasteHashtag!$C$2:$P1015,3,)="BRO","BKN",IF(VLOOKUP(J139,PasteHashtag!$C$2:$P1015,3,)="OKL","OKC",VLOOKUP(J139,PasteHashtag!$C$2:$P1015,3,)))</f>
        <v>ORL</v>
      </c>
      <c r="G139" s="269">
        <v>120.0</v>
      </c>
      <c r="H139" s="270">
        <f>IFERROR(__xludf.DUMMYFUNCTION("""COMPUTED_VALUE"""),117.0)</f>
        <v>117</v>
      </c>
      <c r="I139" s="270">
        <f>IFERROR(__xludf.DUMMYFUNCTION("""COMPUTED_VALUE"""),143.7)</f>
        <v>143.7</v>
      </c>
      <c r="J139" s="271" t="str">
        <f>IFERROR(__xludf.DUMMYFUNCTION("""COMPUTED_VALUE"""),"Jonathan Isaac")</f>
        <v>Jonathan Isaac</v>
      </c>
      <c r="K139" s="270">
        <f>IFERROR(__xludf.DUMMYFUNCTION("""COMPUTED_VALUE"""),68.0)</f>
        <v>68</v>
      </c>
      <c r="L139" s="272" t="str">
        <f>IFERROR(__xludf.DUMMYFUNCTION("""COMPUTED_VALUE"""),"C")</f>
        <v>C</v>
      </c>
      <c r="M139" s="273">
        <f>IFERROR(__xludf.DUMMYFUNCTION("""COMPUTED_VALUE"""),-2.13702981257081)</f>
        <v>-2.137029813</v>
      </c>
      <c r="N139" s="273">
        <f>IFERROR(__xludf.DUMMYFUNCTION("""COMPUTED_VALUE"""),-2.4162990266662128)</f>
        <v>-2.416299027</v>
      </c>
      <c r="O139" s="274">
        <f>IFERROR(__xludf.DUMMYFUNCTION("""COMPUTED_VALUE"""),-0.27926921409540295)</f>
        <v>-0.2792692141</v>
      </c>
      <c r="P139" s="275">
        <f>IFERROR(__xludf.DUMMYFUNCTION("""COMPUTED_VALUE"""),8.962321429)</f>
        <v>8.962321429</v>
      </c>
      <c r="Q139" s="275">
        <f>IFERROR(__xludf.DUMMYFUNCTION("""COMPUTED_VALUE"""),1.009464286)</f>
        <v>1.009464286</v>
      </c>
      <c r="R139" s="275">
        <f>IFERROR(__xludf.DUMMYFUNCTION("""COMPUTED_VALUE"""),6.401964286)</f>
        <v>6.401964286</v>
      </c>
      <c r="S139" s="276">
        <f>IFERROR(__xludf.DUMMYFUNCTION("""COMPUTED_VALUE"""),0.965)</f>
        <v>0.965</v>
      </c>
      <c r="T139" s="275">
        <f>IFERROR(__xludf.DUMMYFUNCTION("""COMPUTED_VALUE"""),1.0225)</f>
        <v>1.0225</v>
      </c>
      <c r="U139" s="275">
        <f>IFERROR(__xludf.DUMMYFUNCTION("""COMPUTED_VALUE"""),1.484107143)</f>
        <v>1.484107143</v>
      </c>
      <c r="V139" s="272">
        <f>IFERROR(__xludf.DUMMYFUNCTION("""COMPUTED_VALUE"""),0.5068315759)</f>
        <v>0.5068315759</v>
      </c>
      <c r="W139" s="272">
        <f>IFERROR(__xludf.DUMMYFUNCTION("""COMPUTED_VALUE"""),0.7100183824)</f>
        <v>0.7100183824</v>
      </c>
      <c r="X139" s="275">
        <f>IFERROR(__xludf.DUMMYFUNCTION("""COMPUTED_VALUE"""),0.6225)</f>
        <v>0.6225</v>
      </c>
      <c r="Y139" s="273">
        <f>IFERROR(__xludf.DUMMYFUNCTION("""COMPUTED_VALUE"""),-1.5369218069517137)</f>
        <v>-1.536921807</v>
      </c>
      <c r="Z139" s="273">
        <f>IFERROR(__xludf.DUMMYFUNCTION("""COMPUTED_VALUE"""),-0.7332359375091817)</f>
        <v>-0.7332359375</v>
      </c>
      <c r="AA139" s="273">
        <f>IFERROR(__xludf.DUMMYFUNCTION("""COMPUTED_VALUE"""),0.12487369959971242)</f>
        <v>0.1248736996</v>
      </c>
      <c r="AB139" s="273">
        <f>IFERROR(__xludf.DUMMYFUNCTION("""COMPUTED_VALUE"""),-1.3480341788073789)</f>
        <v>-1.348034179</v>
      </c>
      <c r="AC139" s="273">
        <f>IFERROR(__xludf.DUMMYFUNCTION("""COMPUTED_VALUE"""),0.15383657213654015)</f>
        <v>0.1538365721</v>
      </c>
      <c r="AD139" s="273">
        <f>IFERROR(__xludf.DUMMYFUNCTION("""COMPUTED_VALUE"""),1.3117668051957903)</f>
        <v>1.311766805</v>
      </c>
      <c r="AE139" s="273">
        <f>IFERROR(__xludf.DUMMYFUNCTION("""COMPUTED_VALUE"""),0.07533202673073025)</f>
        <v>0.07533202673</v>
      </c>
      <c r="AF139" s="273">
        <f>IFERROR(__xludf.DUMMYFUNCTION("""COMPUTED_VALUE"""),-0.46391620706071146)</f>
        <v>-0.4639162071</v>
      </c>
      <c r="AG139" s="277">
        <f>IFERROR(__xludf.DUMMYFUNCTION("""COMPUTED_VALUE"""),0.0)</f>
        <v>0</v>
      </c>
      <c r="AH139" s="265"/>
      <c r="AI139" s="338"/>
      <c r="AJ139" s="339"/>
      <c r="AK139" s="265"/>
      <c r="AL139" s="265"/>
      <c r="AM139" s="265"/>
      <c r="AN139" s="265"/>
      <c r="AO139" s="265"/>
      <c r="AP139" s="265"/>
      <c r="AQ139" s="265"/>
      <c r="AR139" s="265"/>
      <c r="AS139" s="265"/>
      <c r="AT139" s="265"/>
      <c r="AU139" s="265"/>
      <c r="AV139" s="265"/>
      <c r="AW139" s="265"/>
      <c r="AX139" s="265"/>
      <c r="AY139" s="265"/>
      <c r="AZ139" s="265"/>
      <c r="BA139" s="265"/>
      <c r="BB139" s="265"/>
      <c r="BC139" s="265"/>
      <c r="BD139" s="265"/>
      <c r="BE139" s="265"/>
      <c r="BF139" s="265"/>
      <c r="BG139" s="265"/>
      <c r="BH139" s="265"/>
      <c r="BI139" s="265"/>
      <c r="BJ139" s="265"/>
      <c r="BK139" s="265"/>
      <c r="BL139" s="265"/>
      <c r="BM139" s="265"/>
      <c r="BN139" s="265"/>
      <c r="BO139" s="265"/>
      <c r="BP139" s="265"/>
      <c r="BQ139" s="265"/>
      <c r="BR139" s="265"/>
      <c r="BS139" s="265"/>
      <c r="BT139" s="265"/>
      <c r="BU139" s="265"/>
      <c r="BV139" s="265"/>
    </row>
    <row r="140">
      <c r="A140" s="251">
        <f>VLOOKUP($F140,UpdateHashtag!$V$3:$Y$32,COLUMN(B$15),0)</f>
        <v>4</v>
      </c>
      <c r="B140" s="252">
        <f>VLOOKUP($F140,UpdateHashtag!$V$3:$Y$32,COLUMN(C$13),0)</f>
        <v>4</v>
      </c>
      <c r="C140" s="252">
        <f>VLOOKUP($F140,UpdateHashtag!$V$3:$Y$32,COLUMN(D$13),0)</f>
        <v>4</v>
      </c>
      <c r="D140" s="268">
        <f t="shared" si="4"/>
        <v>12</v>
      </c>
      <c r="E140" s="19"/>
      <c r="F140" s="30" t="str">
        <f>IF(VLOOKUP(J140,PasteHashtag!$C$2:$P1015,3,)="BRO","BKN",IF(VLOOKUP(J140,PasteHashtag!$C$2:$P1015,3,)="OKL","OKC",VLOOKUP(J140,PasteHashtag!$C$2:$P1015,3,)))</f>
        <v>UTA</v>
      </c>
      <c r="G140" s="269">
        <v>121.0</v>
      </c>
      <c r="H140" s="270">
        <f>IFERROR(__xludf.DUMMYFUNCTION("""COMPUTED_VALUE"""),122.0)</f>
        <v>122</v>
      </c>
      <c r="I140" s="270">
        <f>IFERROR(__xludf.DUMMYFUNCTION("""COMPUTED_VALUE"""),138.9)</f>
        <v>138.9</v>
      </c>
      <c r="J140" s="271" t="str">
        <f>IFERROR(__xludf.DUMMYFUNCTION("""COMPUTED_VALUE"""),"Taylor Hendricks")</f>
        <v>Taylor Hendricks</v>
      </c>
      <c r="K140" s="270">
        <f>IFERROR(__xludf.DUMMYFUNCTION("""COMPUTED_VALUE"""),70.0)</f>
        <v>70</v>
      </c>
      <c r="L140" s="272" t="str">
        <f>IFERROR(__xludf.DUMMYFUNCTION("""COMPUTED_VALUE"""),"PG,SG")</f>
        <v>PG,SG</v>
      </c>
      <c r="M140" s="273">
        <f>IFERROR(__xludf.DUMMYFUNCTION("""COMPUTED_VALUE"""),-2.210223863281694)</f>
        <v>-2.210223863</v>
      </c>
      <c r="N140" s="273">
        <f>IFERROR(__xludf.DUMMYFUNCTION("""COMPUTED_VALUE"""),-2.4198967214137768)</f>
        <v>-2.419896721</v>
      </c>
      <c r="O140" s="274">
        <f>IFERROR(__xludf.DUMMYFUNCTION("""COMPUTED_VALUE"""),-0.20967285813208258)</f>
        <v>-0.2096728581</v>
      </c>
      <c r="P140" s="275">
        <f>IFERROR(__xludf.DUMMYFUNCTION("""COMPUTED_VALUE"""),10.64863014)</f>
        <v>10.64863014</v>
      </c>
      <c r="Q140" s="275">
        <f>IFERROR(__xludf.DUMMYFUNCTION("""COMPUTED_VALUE"""),1.819452055)</f>
        <v>1.819452055</v>
      </c>
      <c r="R140" s="275">
        <f>IFERROR(__xludf.DUMMYFUNCTION("""COMPUTED_VALUE"""),6.285205479)</f>
        <v>6.285205479</v>
      </c>
      <c r="S140" s="276">
        <f>IFERROR(__xludf.DUMMYFUNCTION("""COMPUTED_VALUE"""),1.169315068)</f>
        <v>1.169315068</v>
      </c>
      <c r="T140" s="275">
        <f>IFERROR(__xludf.DUMMYFUNCTION("""COMPUTED_VALUE"""),0.9153424658)</f>
        <v>0.9153424658</v>
      </c>
      <c r="U140" s="275">
        <f>IFERROR(__xludf.DUMMYFUNCTION("""COMPUTED_VALUE"""),1.021232877)</f>
        <v>1.021232877</v>
      </c>
      <c r="V140" s="272">
        <f>IFERROR(__xludf.DUMMYFUNCTION("""COMPUTED_VALUE"""),0.4610116933)</f>
        <v>0.4610116933</v>
      </c>
      <c r="W140" s="272">
        <f>IFERROR(__xludf.DUMMYFUNCTION("""COMPUTED_VALUE"""),0.7929586563)</f>
        <v>0.7929586563</v>
      </c>
      <c r="X140" s="275">
        <f>IFERROR(__xludf.DUMMYFUNCTION("""COMPUTED_VALUE"""),0.9031506849)</f>
        <v>0.9031506849</v>
      </c>
      <c r="Y140" s="273">
        <f>IFERROR(__xludf.DUMMYFUNCTION("""COMPUTED_VALUE"""),-1.2329551531339524)</f>
        <v>-1.232955153</v>
      </c>
      <c r="Z140" s="273">
        <f>IFERROR(__xludf.DUMMYFUNCTION("""COMPUTED_VALUE"""),0.07021404683482486)</f>
        <v>0.07021404683</v>
      </c>
      <c r="AA140" s="273">
        <f>IFERROR(__xludf.DUMMYFUNCTION("""COMPUTED_VALUE"""),0.07911510625240667)</f>
        <v>0.07911510625</v>
      </c>
      <c r="AB140" s="273">
        <f>IFERROR(__xludf.DUMMYFUNCTION("""COMPUTED_VALUE"""),-1.2552468587929981)</f>
        <v>-1.255246859</v>
      </c>
      <c r="AC140" s="273">
        <f>IFERROR(__xludf.DUMMYFUNCTION("""COMPUTED_VALUE"""),-0.20067413194801617)</f>
        <v>-0.2006741319</v>
      </c>
      <c r="AD140" s="273">
        <f>IFERROR(__xludf.DUMMYFUNCTION("""COMPUTED_VALUE"""),0.48616212792077323)</f>
        <v>0.4861621279</v>
      </c>
      <c r="AE140" s="273">
        <f>IFERROR(__xludf.DUMMYFUNCTION("""COMPUTED_VALUE"""),-0.35747691529524817)</f>
        <v>-0.3574769153</v>
      </c>
      <c r="AF140" s="273">
        <f>IFERROR(__xludf.DUMMYFUNCTION("""COMPUTED_VALUE"""),-0.009034943251566877)</f>
        <v>-0.009034943252</v>
      </c>
      <c r="AG140" s="277">
        <f>IFERROR(__xludf.DUMMYFUNCTION("""COMPUTED_VALUE"""),0.0)</f>
        <v>0</v>
      </c>
      <c r="AH140" s="265"/>
      <c r="AI140" s="338"/>
      <c r="AJ140" s="339"/>
      <c r="AK140" s="265"/>
      <c r="AL140" s="265"/>
      <c r="AM140" s="265"/>
      <c r="AN140" s="265"/>
      <c r="AO140" s="265"/>
      <c r="AP140" s="265"/>
      <c r="AQ140" s="265"/>
      <c r="AR140" s="265"/>
      <c r="AS140" s="265"/>
      <c r="AT140" s="265"/>
      <c r="AU140" s="265"/>
      <c r="AV140" s="265"/>
      <c r="AW140" s="265"/>
      <c r="AX140" s="265"/>
      <c r="AY140" s="265"/>
      <c r="AZ140" s="265"/>
      <c r="BA140" s="265"/>
      <c r="BB140" s="265"/>
      <c r="BC140" s="265"/>
      <c r="BD140" s="265"/>
      <c r="BE140" s="265"/>
      <c r="BF140" s="265"/>
      <c r="BG140" s="265"/>
      <c r="BH140" s="265"/>
      <c r="BI140" s="265"/>
      <c r="BJ140" s="265"/>
      <c r="BK140" s="265"/>
      <c r="BL140" s="265"/>
      <c r="BM140" s="265"/>
      <c r="BN140" s="265"/>
      <c r="BO140" s="265"/>
      <c r="BP140" s="265"/>
      <c r="BQ140" s="265"/>
      <c r="BR140" s="265"/>
      <c r="BS140" s="265"/>
      <c r="BT140" s="265"/>
      <c r="BU140" s="265"/>
      <c r="BV140" s="265"/>
    </row>
    <row r="141">
      <c r="A141" s="251">
        <f>VLOOKUP($F141,UpdateHashtag!$V$3:$Y$32,COLUMN(B$15),0)</f>
        <v>4</v>
      </c>
      <c r="B141" s="252">
        <f>VLOOKUP($F141,UpdateHashtag!$V$3:$Y$32,COLUMN(C$13),0)</f>
        <v>3</v>
      </c>
      <c r="C141" s="252">
        <f>VLOOKUP($F141,UpdateHashtag!$V$3:$Y$32,COLUMN(D$13),0)</f>
        <v>3</v>
      </c>
      <c r="D141" s="268">
        <f t="shared" si="4"/>
        <v>10</v>
      </c>
      <c r="E141" s="19"/>
      <c r="F141" s="30" t="str">
        <f>IF(VLOOKUP(J141,PasteHashtag!$C$2:$P1015,3,)="BRO","BKN",IF(VLOOKUP(J141,PasteHashtag!$C$2:$P1015,3,)="OKL","OKC",VLOOKUP(J141,PasteHashtag!$C$2:$P1015,3,)))</f>
        <v>MIN</v>
      </c>
      <c r="G141" s="269">
        <v>122.0</v>
      </c>
      <c r="H141" s="270">
        <f>IFERROR(__xludf.DUMMYFUNCTION("""COMPUTED_VALUE"""),129.0)</f>
        <v>129</v>
      </c>
      <c r="I141" s="270">
        <f>IFERROR(__xludf.DUMMYFUNCTION("""COMPUTED_VALUE"""),110.3)</f>
        <v>110.3</v>
      </c>
      <c r="J141" s="271" t="str">
        <f>IFERROR(__xludf.DUMMYFUNCTION("""COMPUTED_VALUE"""),"Donte DiVincenzo")</f>
        <v>Donte DiVincenzo</v>
      </c>
      <c r="K141" s="270">
        <f>IFERROR(__xludf.DUMMYFUNCTION("""COMPUTED_VALUE"""),65.0)</f>
        <v>65</v>
      </c>
      <c r="L141" s="272" t="str">
        <f>IFERROR(__xludf.DUMMYFUNCTION("""COMPUTED_VALUE"""),"PF")</f>
        <v>PF</v>
      </c>
      <c r="M141" s="273">
        <f>IFERROR(__xludf.DUMMYFUNCTION("""COMPUTED_VALUE"""),-2.3904054520691687)</f>
        <v>-2.390405452</v>
      </c>
      <c r="N141" s="273">
        <f>IFERROR(__xludf.DUMMYFUNCTION("""COMPUTED_VALUE"""),-2.4837984679809777)</f>
        <v>-2.483798468</v>
      </c>
      <c r="O141" s="274">
        <f>IFERROR(__xludf.DUMMYFUNCTION("""COMPUTED_VALUE"""),-0.09339301591180904)</f>
        <v>-0.09339301591</v>
      </c>
      <c r="P141" s="275">
        <f>IFERROR(__xludf.DUMMYFUNCTION("""COMPUTED_VALUE"""),12.27575342)</f>
        <v>12.27575342</v>
      </c>
      <c r="Q141" s="275">
        <f>IFERROR(__xludf.DUMMYFUNCTION("""COMPUTED_VALUE"""),2.784657534)</f>
        <v>2.784657534</v>
      </c>
      <c r="R141" s="275">
        <f>IFERROR(__xludf.DUMMYFUNCTION("""COMPUTED_VALUE"""),3.503561644)</f>
        <v>3.503561644</v>
      </c>
      <c r="S141" s="276">
        <f>IFERROR(__xludf.DUMMYFUNCTION("""COMPUTED_VALUE"""),2.388767123)</f>
        <v>2.388767123</v>
      </c>
      <c r="T141" s="275">
        <f>IFERROR(__xludf.DUMMYFUNCTION("""COMPUTED_VALUE"""),1.102191781)</f>
        <v>1.102191781</v>
      </c>
      <c r="U141" s="275">
        <f>IFERROR(__xludf.DUMMYFUNCTION("""COMPUTED_VALUE"""),0.4417808219)</f>
        <v>0.4417808219</v>
      </c>
      <c r="V141" s="272">
        <f>IFERROR(__xludf.DUMMYFUNCTION("""COMPUTED_VALUE"""),0.4359206643)</f>
        <v>0.4359206643</v>
      </c>
      <c r="W141" s="272">
        <f>IFERROR(__xludf.DUMMYFUNCTION("""COMPUTED_VALUE"""),0.79)</f>
        <v>0.79</v>
      </c>
      <c r="X141" s="275">
        <f>IFERROR(__xludf.DUMMYFUNCTION("""COMPUTED_VALUE"""),1.372054795)</f>
        <v>1.372054795</v>
      </c>
      <c r="Y141" s="273">
        <f>IFERROR(__xludf.DUMMYFUNCTION("""COMPUTED_VALUE"""),-0.9396570069853257)</f>
        <v>-0.939657007</v>
      </c>
      <c r="Z141" s="273">
        <f>IFERROR(__xludf.DUMMYFUNCTION("""COMPUTED_VALUE"""),1.0276289074921832)</f>
        <v>1.027628907</v>
      </c>
      <c r="AA141" s="273">
        <f>IFERROR(__xludf.DUMMYFUNCTION("""COMPUTED_VALUE"""),-1.011030574002831)</f>
        <v>-1.011030574</v>
      </c>
      <c r="AB141" s="273">
        <f>IFERROR(__xludf.DUMMYFUNCTION("""COMPUTED_VALUE"""),-0.7014468420978056)</f>
        <v>-0.7014468421</v>
      </c>
      <c r="AC141" s="273">
        <f>IFERROR(__xludf.DUMMYFUNCTION("""COMPUTED_VALUE"""),0.41748195743752314)</f>
        <v>0.4174819574</v>
      </c>
      <c r="AD141" s="273">
        <f>IFERROR(__xludf.DUMMYFUNCTION("""COMPUTED_VALUE"""),-0.5473762691937061)</f>
        <v>-0.5473762692</v>
      </c>
      <c r="AE141" s="273">
        <f>IFERROR(__xludf.DUMMYFUNCTION("""COMPUTED_VALUE"""),-0.7119035877285963)</f>
        <v>-0.7119035877</v>
      </c>
      <c r="AF141" s="273">
        <f>IFERROR(__xludf.DUMMYFUNCTION("""COMPUTED_VALUE"""),-0.017495052902419622)</f>
        <v>-0.0174950529</v>
      </c>
      <c r="AG141" s="277">
        <f>IFERROR(__xludf.DUMMYFUNCTION("""COMPUTED_VALUE"""),0.0)</f>
        <v>0</v>
      </c>
      <c r="AH141" s="265"/>
      <c r="AI141" s="338"/>
      <c r="AJ141" s="339"/>
      <c r="AK141" s="265"/>
      <c r="AL141" s="265"/>
      <c r="AM141" s="265"/>
      <c r="AN141" s="265"/>
      <c r="AO141" s="265"/>
      <c r="AP141" s="265"/>
      <c r="AQ141" s="265"/>
      <c r="AR141" s="265"/>
      <c r="AS141" s="265"/>
      <c r="AT141" s="265"/>
      <c r="AU141" s="265"/>
      <c r="AV141" s="265"/>
      <c r="AW141" s="265"/>
      <c r="AX141" s="265"/>
      <c r="AY141" s="265"/>
      <c r="AZ141" s="265"/>
      <c r="BA141" s="265"/>
      <c r="BB141" s="265"/>
      <c r="BC141" s="265"/>
      <c r="BD141" s="265"/>
      <c r="BE141" s="265"/>
      <c r="BF141" s="265"/>
      <c r="BG141" s="265"/>
      <c r="BH141" s="265"/>
      <c r="BI141" s="265"/>
      <c r="BJ141" s="265"/>
      <c r="BK141" s="265"/>
      <c r="BL141" s="265"/>
      <c r="BM141" s="265"/>
      <c r="BN141" s="265"/>
      <c r="BO141" s="265"/>
      <c r="BP141" s="265"/>
      <c r="BQ141" s="265"/>
      <c r="BR141" s="265"/>
      <c r="BS141" s="265"/>
      <c r="BT141" s="265"/>
      <c r="BU141" s="265"/>
      <c r="BV141" s="265"/>
    </row>
    <row r="142">
      <c r="A142" s="251">
        <f>VLOOKUP($F142,UpdateHashtag!$V$3:$Y$32,COLUMN(B$15),0)</f>
        <v>4</v>
      </c>
      <c r="B142" s="252">
        <f>VLOOKUP($F142,UpdateHashtag!$V$3:$Y$32,COLUMN(C$13),0)</f>
        <v>3</v>
      </c>
      <c r="C142" s="252">
        <f>VLOOKUP($F142,UpdateHashtag!$V$3:$Y$32,COLUMN(D$13),0)</f>
        <v>4</v>
      </c>
      <c r="D142" s="268">
        <f t="shared" si="4"/>
        <v>11</v>
      </c>
      <c r="E142" s="19"/>
      <c r="F142" s="30" t="str">
        <f>IF(VLOOKUP(J142,PasteHashtag!$C$2:$P1015,3,)="BRO","BKN",IF(VLOOKUP(J142,PasteHashtag!$C$2:$P1015,3,)="OKL","OKC",VLOOKUP(J142,PasteHashtag!$C$2:$P1015,3,)))</f>
        <v>SAC</v>
      </c>
      <c r="G142" s="269">
        <v>123.0</v>
      </c>
      <c r="H142" s="270">
        <f>IFERROR(__xludf.DUMMYFUNCTION("""COMPUTED_VALUE"""),130.0)</f>
        <v>130</v>
      </c>
      <c r="I142" s="270">
        <f>IFERROR(__xludf.DUMMYFUNCTION("""COMPUTED_VALUE"""),146.3)</f>
        <v>146.3</v>
      </c>
      <c r="J142" s="271" t="str">
        <f>IFERROR(__xludf.DUMMYFUNCTION("""COMPUTED_VALUE"""),"Keon Ellis")</f>
        <v>Keon Ellis</v>
      </c>
      <c r="K142" s="270">
        <f>IFERROR(__xludf.DUMMYFUNCTION("""COMPUTED_VALUE"""),72.0)</f>
        <v>72</v>
      </c>
      <c r="L142" s="272" t="str">
        <f>IFERROR(__xludf.DUMMYFUNCTION("""COMPUTED_VALUE"""),"PG")</f>
        <v>PG</v>
      </c>
      <c r="M142" s="273">
        <f>IFERROR(__xludf.DUMMYFUNCTION("""COMPUTED_VALUE"""),-2.2818614909393067)</f>
        <v>-2.281861491</v>
      </c>
      <c r="N142" s="273">
        <f>IFERROR(__xludf.DUMMYFUNCTION("""COMPUTED_VALUE"""),-2.525572444810835)</f>
        <v>-2.525572445</v>
      </c>
      <c r="O142" s="274">
        <f>IFERROR(__xludf.DUMMYFUNCTION("""COMPUTED_VALUE"""),-0.24371095387152852)</f>
        <v>-0.2437109539</v>
      </c>
      <c r="P142" s="275">
        <f>IFERROR(__xludf.DUMMYFUNCTION("""COMPUTED_VALUE"""),8.132054795)</f>
        <v>8.132054795</v>
      </c>
      <c r="Q142" s="275">
        <f>IFERROR(__xludf.DUMMYFUNCTION("""COMPUTED_VALUE"""),1.812328767)</f>
        <v>1.812328767</v>
      </c>
      <c r="R142" s="275">
        <f>IFERROR(__xludf.DUMMYFUNCTION("""COMPUTED_VALUE"""),3.337260274)</f>
        <v>3.337260274</v>
      </c>
      <c r="S142" s="276">
        <f>IFERROR(__xludf.DUMMYFUNCTION("""COMPUTED_VALUE"""),1.750684932)</f>
        <v>1.750684932</v>
      </c>
      <c r="T142" s="275">
        <f>IFERROR(__xludf.DUMMYFUNCTION("""COMPUTED_VALUE"""),1.491369863)</f>
        <v>1.491369863</v>
      </c>
      <c r="U142" s="275">
        <f>IFERROR(__xludf.DUMMYFUNCTION("""COMPUTED_VALUE"""),0.6564383562)</f>
        <v>0.6564383562</v>
      </c>
      <c r="V142" s="272">
        <f>IFERROR(__xludf.DUMMYFUNCTION("""COMPUTED_VALUE"""),0.4362947585)</f>
        <v>0.4362947585</v>
      </c>
      <c r="W142" s="272">
        <f>IFERROR(__xludf.DUMMYFUNCTION("""COMPUTED_VALUE"""),0.8199327423)</f>
        <v>0.8199327423</v>
      </c>
      <c r="X142" s="275">
        <f>IFERROR(__xludf.DUMMYFUNCTION("""COMPUTED_VALUE"""),0.765890411)</f>
        <v>0.765890411</v>
      </c>
      <c r="Y142" s="273">
        <f>IFERROR(__xludf.DUMMYFUNCTION("""COMPUTED_VALUE"""),-1.6865820493896808)</f>
        <v>-1.686582049</v>
      </c>
      <c r="Z142" s="273">
        <f>IFERROR(__xludf.DUMMYFUNCTION("""COMPUTED_VALUE"""),0.06314825417582744)</f>
        <v>0.06314825418</v>
      </c>
      <c r="AA142" s="273">
        <f>IFERROR(__xludf.DUMMYFUNCTION("""COMPUTED_VALUE"""),-1.076205244406322)</f>
        <v>-1.076205244</v>
      </c>
      <c r="AB142" s="273">
        <f>IFERROR(__xludf.DUMMYFUNCTION("""COMPUTED_VALUE"""),-0.9912244734362554)</f>
        <v>-0.9912244734</v>
      </c>
      <c r="AC142" s="273">
        <f>IFERROR(__xludf.DUMMYFUNCTION("""COMPUTED_VALUE"""),1.705005013040806)</f>
        <v>1.705005013</v>
      </c>
      <c r="AD142" s="273">
        <f>IFERROR(__xludf.DUMMYFUNCTION("""COMPUTED_VALUE"""),-0.1645028252628169)</f>
        <v>-0.1645028253</v>
      </c>
      <c r="AE142" s="273">
        <f>IFERROR(__xludf.DUMMYFUNCTION("""COMPUTED_VALUE"""),-0.4537693836566381)</f>
        <v>-0.4537693837</v>
      </c>
      <c r="AF142" s="273">
        <f>IFERROR(__xludf.DUMMYFUNCTION("""COMPUTED_VALUE"""),0.0785582641242439)</f>
        <v>0.07855826412</v>
      </c>
      <c r="AG142" s="277">
        <f>IFERROR(__xludf.DUMMYFUNCTION("""COMPUTED_VALUE"""),0.0)</f>
        <v>0</v>
      </c>
      <c r="AH142" s="265"/>
      <c r="AI142" s="338"/>
      <c r="AJ142" s="339"/>
      <c r="AK142" s="265"/>
      <c r="AL142" s="265"/>
      <c r="AM142" s="265"/>
      <c r="AN142" s="265"/>
      <c r="AO142" s="265"/>
      <c r="AP142" s="265"/>
      <c r="AQ142" s="265"/>
      <c r="AR142" s="265"/>
      <c r="AS142" s="265"/>
      <c r="AT142" s="265"/>
      <c r="AU142" s="265"/>
      <c r="AV142" s="265"/>
      <c r="AW142" s="265"/>
      <c r="AX142" s="265"/>
      <c r="AY142" s="265"/>
      <c r="AZ142" s="265"/>
      <c r="BA142" s="265"/>
      <c r="BB142" s="265"/>
      <c r="BC142" s="265"/>
      <c r="BD142" s="265"/>
      <c r="BE142" s="265"/>
      <c r="BF142" s="265"/>
      <c r="BG142" s="265"/>
      <c r="BH142" s="265"/>
      <c r="BI142" s="265"/>
      <c r="BJ142" s="265"/>
      <c r="BK142" s="265"/>
      <c r="BL142" s="265"/>
      <c r="BM142" s="265"/>
      <c r="BN142" s="265"/>
      <c r="BO142" s="265"/>
      <c r="BP142" s="265"/>
      <c r="BQ142" s="265"/>
      <c r="BR142" s="265"/>
      <c r="BS142" s="265"/>
      <c r="BT142" s="265"/>
      <c r="BU142" s="265"/>
      <c r="BV142" s="265"/>
    </row>
    <row r="143">
      <c r="A143" s="251">
        <f>VLOOKUP($F143,UpdateHashtag!$V$3:$Y$32,COLUMN(B$15),0)</f>
        <v>3</v>
      </c>
      <c r="B143" s="252">
        <f>VLOOKUP($F143,UpdateHashtag!$V$3:$Y$32,COLUMN(C$13),0)</f>
        <v>4</v>
      </c>
      <c r="C143" s="252">
        <f>VLOOKUP($F143,UpdateHashtag!$V$3:$Y$32,COLUMN(D$13),0)</f>
        <v>4</v>
      </c>
      <c r="D143" s="268">
        <f t="shared" si="4"/>
        <v>11</v>
      </c>
      <c r="E143" s="19"/>
      <c r="F143" s="30" t="str">
        <f>IF(VLOOKUP(J143,PasteHashtag!$C$2:$P1015,3,)="BRO","BKN",IF(VLOOKUP(J143,PasteHashtag!$C$2:$P1015,3,)="OKL","OKC",VLOOKUP(J143,PasteHashtag!$C$2:$P1015,3,)))</f>
        <v>IND</v>
      </c>
      <c r="G143" s="269">
        <v>124.0</v>
      </c>
      <c r="H143" s="270">
        <f>IFERROR(__xludf.DUMMYFUNCTION("""COMPUTED_VALUE"""),126.0)</f>
        <v>126</v>
      </c>
      <c r="I143" s="270">
        <f>IFERROR(__xludf.DUMMYFUNCTION("""COMPUTED_VALUE"""),140.6)</f>
        <v>140.6</v>
      </c>
      <c r="J143" s="271" t="str">
        <f>IFERROR(__xludf.DUMMYFUNCTION("""COMPUTED_VALUE"""),"Andrew Nembhard")</f>
        <v>Andrew Nembhard</v>
      </c>
      <c r="K143" s="270">
        <f>IFERROR(__xludf.DUMMYFUNCTION("""COMPUTED_VALUE"""),60.0)</f>
        <v>60</v>
      </c>
      <c r="L143" s="272" t="str">
        <f>IFERROR(__xludf.DUMMYFUNCTION("""COMPUTED_VALUE"""),"SG,SF")</f>
        <v>SG,SF</v>
      </c>
      <c r="M143" s="273">
        <f>IFERROR(__xludf.DUMMYFUNCTION("""COMPUTED_VALUE"""),-2.447536586267482)</f>
        <v>-2.447536586</v>
      </c>
      <c r="N143" s="273">
        <f>IFERROR(__xludf.DUMMYFUNCTION("""COMPUTED_VALUE"""),-2.540623870956917)</f>
        <v>-2.540623871</v>
      </c>
      <c r="O143" s="274">
        <f>IFERROR(__xludf.DUMMYFUNCTION("""COMPUTED_VALUE"""),-0.09308728468943483)</f>
        <v>-0.09308728469</v>
      </c>
      <c r="P143" s="275">
        <f>IFERROR(__xludf.DUMMYFUNCTION("""COMPUTED_VALUE"""),12.56383562)</f>
        <v>12.56383562</v>
      </c>
      <c r="Q143" s="275">
        <f>IFERROR(__xludf.DUMMYFUNCTION("""COMPUTED_VALUE"""),1.626164384)</f>
        <v>1.626164384</v>
      </c>
      <c r="R143" s="275">
        <f>IFERROR(__xludf.DUMMYFUNCTION("""COMPUTED_VALUE"""),2.677945205)</f>
        <v>2.677945205</v>
      </c>
      <c r="S143" s="276">
        <f>IFERROR(__xludf.DUMMYFUNCTION("""COMPUTED_VALUE"""),5.081369863)</f>
        <v>5.081369863</v>
      </c>
      <c r="T143" s="275">
        <f>IFERROR(__xludf.DUMMYFUNCTION("""COMPUTED_VALUE"""),1.118630137)</f>
        <v>1.118630137</v>
      </c>
      <c r="U143" s="275">
        <f>IFERROR(__xludf.DUMMYFUNCTION("""COMPUTED_VALUE"""),0.1357534247)</f>
        <v>0.1357534247</v>
      </c>
      <c r="V143" s="272">
        <f>IFERROR(__xludf.DUMMYFUNCTION("""COMPUTED_VALUE"""),0.4832456129)</f>
        <v>0.4832456129</v>
      </c>
      <c r="W143" s="272">
        <f>IFERROR(__xludf.DUMMYFUNCTION("""COMPUTED_VALUE"""),0.8149363434)</f>
        <v>0.8149363434</v>
      </c>
      <c r="X143" s="275">
        <f>IFERROR(__xludf.DUMMYFUNCTION("""COMPUTED_VALUE"""),1.373287671)</f>
        <v>1.373287671</v>
      </c>
      <c r="Y143" s="273">
        <f>IFERROR(__xludf.DUMMYFUNCTION("""COMPUTED_VALUE"""),-0.8877285660140809)</f>
        <v>-0.887728566</v>
      </c>
      <c r="Z143" s="273">
        <f>IFERROR(__xludf.DUMMYFUNCTION("""COMPUTED_VALUE"""),-0.12151351027454614)</f>
        <v>-0.1215135103</v>
      </c>
      <c r="AA143" s="273">
        <f>IFERROR(__xludf.DUMMYFUNCTION("""COMPUTED_VALUE"""),-1.3345954327380836)</f>
        <v>-1.334595433</v>
      </c>
      <c r="AB143" s="273">
        <f>IFERROR(__xludf.DUMMYFUNCTION("""COMPUTED_VALUE"""),0.521367483608112)</f>
        <v>0.5213674836</v>
      </c>
      <c r="AC143" s="273">
        <f>IFERROR(__xludf.DUMMYFUNCTION("""COMPUTED_VALUE"""),0.4718651905256976)</f>
        <v>0.4718651905</v>
      </c>
      <c r="AD143" s="273">
        <f>IFERROR(__xludf.DUMMYFUNCTION("""COMPUTED_VALUE"""),-1.0932213702532227)</f>
        <v>-1.09322137</v>
      </c>
      <c r="AE143" s="273">
        <f>IFERROR(__xludf.DUMMYFUNCTION("""COMPUTED_VALUE"""),-0.1699691727372408)</f>
        <v>-0.1699691727</v>
      </c>
      <c r="AF143" s="273">
        <f>IFERROR(__xludf.DUMMYFUNCTION("""COMPUTED_VALUE"""),0.07317150692644783)</f>
        <v>0.07317150693</v>
      </c>
      <c r="AG143" s="277">
        <f>IFERROR(__xludf.DUMMYFUNCTION("""COMPUTED_VALUE"""),0.0)</f>
        <v>0</v>
      </c>
      <c r="AH143" s="265"/>
      <c r="AI143" s="338"/>
      <c r="AJ143" s="339"/>
      <c r="AK143" s="265"/>
      <c r="AL143" s="265"/>
      <c r="AM143" s="265"/>
      <c r="AN143" s="265"/>
      <c r="AO143" s="265"/>
      <c r="AP143" s="265"/>
      <c r="AQ143" s="265"/>
      <c r="AR143" s="265"/>
      <c r="AS143" s="265"/>
      <c r="AT143" s="265"/>
      <c r="AU143" s="265"/>
      <c r="AV143" s="265"/>
      <c r="AW143" s="265"/>
      <c r="AX143" s="265"/>
      <c r="AY143" s="265"/>
      <c r="AZ143" s="265"/>
      <c r="BA143" s="265"/>
      <c r="BB143" s="265"/>
      <c r="BC143" s="265"/>
      <c r="BD143" s="265"/>
      <c r="BE143" s="265"/>
      <c r="BF143" s="265"/>
      <c r="BG143" s="265"/>
      <c r="BH143" s="265"/>
      <c r="BI143" s="265"/>
      <c r="BJ143" s="265"/>
      <c r="BK143" s="265"/>
      <c r="BL143" s="265"/>
      <c r="BM143" s="265"/>
      <c r="BN143" s="265"/>
      <c r="BO143" s="265"/>
      <c r="BP143" s="265"/>
      <c r="BQ143" s="265"/>
      <c r="BR143" s="265"/>
      <c r="BS143" s="265"/>
      <c r="BT143" s="265"/>
      <c r="BU143" s="265"/>
      <c r="BV143" s="265"/>
    </row>
    <row r="144">
      <c r="A144" s="251">
        <f>VLOOKUP($F144,UpdateHashtag!$V$3:$Y$32,COLUMN(B$15),0)</f>
        <v>4</v>
      </c>
      <c r="B144" s="252">
        <f>VLOOKUP($F144,UpdateHashtag!$V$3:$Y$32,COLUMN(C$13),0)</f>
        <v>3</v>
      </c>
      <c r="C144" s="252">
        <f>VLOOKUP($F144,UpdateHashtag!$V$3:$Y$32,COLUMN(D$13),0)</f>
        <v>4</v>
      </c>
      <c r="D144" s="268">
        <f t="shared" si="4"/>
        <v>11</v>
      </c>
      <c r="E144" s="19"/>
      <c r="F144" s="30" t="str">
        <f>IF(VLOOKUP(J144,PasteHashtag!$C$2:$P1015,3,)="BRO","BKN",IF(VLOOKUP(J144,PasteHashtag!$C$2:$P1015,3,)="OKL","OKC",VLOOKUP(J144,PasteHashtag!$C$2:$P1015,3,)))</f>
        <v>SAC</v>
      </c>
      <c r="G144" s="269">
        <v>125.0</v>
      </c>
      <c r="H144" s="270">
        <f>IFERROR(__xludf.DUMMYFUNCTION("""COMPUTED_VALUE"""),128.0)</f>
        <v>128</v>
      </c>
      <c r="I144" s="270">
        <f>IFERROR(__xludf.DUMMYFUNCTION("""COMPUTED_VALUE"""),129.5)</f>
        <v>129.5</v>
      </c>
      <c r="J144" s="271" t="str">
        <f>IFERROR(__xludf.DUMMYFUNCTION("""COMPUTED_VALUE"""),"Malik Monk")</f>
        <v>Malik Monk</v>
      </c>
      <c r="K144" s="270">
        <f>IFERROR(__xludf.DUMMYFUNCTION("""COMPUTED_VALUE"""),67.0)</f>
        <v>67</v>
      </c>
      <c r="L144" s="272" t="str">
        <f>IFERROR(__xludf.DUMMYFUNCTION("""COMPUTED_VALUE"""),"SG")</f>
        <v>SG</v>
      </c>
      <c r="M144" s="273">
        <f>IFERROR(__xludf.DUMMYFUNCTION("""COMPUTED_VALUE"""),-2.578340973783329)</f>
        <v>-2.578340974</v>
      </c>
      <c r="N144" s="273">
        <f>IFERROR(__xludf.DUMMYFUNCTION("""COMPUTED_VALUE"""),-2.5611611339543856)</f>
        <v>-2.561161134</v>
      </c>
      <c r="O144" s="274">
        <f>IFERROR(__xludf.DUMMYFUNCTION("""COMPUTED_VALUE"""),0.017179839828943333)</f>
        <v>0.01717983983</v>
      </c>
      <c r="P144" s="275">
        <f>IFERROR(__xludf.DUMMYFUNCTION("""COMPUTED_VALUE"""),15.73054795)</f>
        <v>15.73054795</v>
      </c>
      <c r="Q144" s="275">
        <f>IFERROR(__xludf.DUMMYFUNCTION("""COMPUTED_VALUE"""),1.898082192)</f>
        <v>1.898082192</v>
      </c>
      <c r="R144" s="275">
        <f>IFERROR(__xludf.DUMMYFUNCTION("""COMPUTED_VALUE"""),3.181506849)</f>
        <v>3.181506849</v>
      </c>
      <c r="S144" s="276">
        <f>IFERROR(__xludf.DUMMYFUNCTION("""COMPUTED_VALUE"""),4.374520548)</f>
        <v>4.374520548</v>
      </c>
      <c r="T144" s="275">
        <f>IFERROR(__xludf.DUMMYFUNCTION("""COMPUTED_VALUE"""),0.6926027397)</f>
        <v>0.6926027397</v>
      </c>
      <c r="U144" s="275">
        <f>IFERROR(__xludf.DUMMYFUNCTION("""COMPUTED_VALUE"""),0.5060273973)</f>
        <v>0.5060273973</v>
      </c>
      <c r="V144" s="272">
        <f>IFERROR(__xludf.DUMMYFUNCTION("""COMPUTED_VALUE"""),0.4548712936)</f>
        <v>0.4548712936</v>
      </c>
      <c r="W144" s="272">
        <f>IFERROR(__xludf.DUMMYFUNCTION("""COMPUTED_VALUE"""),0.8500123426)</f>
        <v>0.8500123426</v>
      </c>
      <c r="X144" s="275">
        <f>IFERROR(__xludf.DUMMYFUNCTION("""COMPUTED_VALUE"""),1.817945205)</f>
        <v>1.817945205</v>
      </c>
      <c r="Y144" s="273">
        <f>IFERROR(__xludf.DUMMYFUNCTION("""COMPUTED_VALUE"""),-0.31691081225728013)</f>
        <v>-0.3169108123</v>
      </c>
      <c r="Z144" s="273">
        <f>IFERROR(__xludf.DUMMYFUNCTION("""COMPUTED_VALUE"""),0.14820952375370794)</f>
        <v>0.1482095238</v>
      </c>
      <c r="AA144" s="273">
        <f>IFERROR(__xludf.DUMMYFUNCTION("""COMPUTED_VALUE"""),-1.1372461013673312)</f>
        <v>-1.137246101</v>
      </c>
      <c r="AB144" s="273">
        <f>IFERROR(__xludf.DUMMYFUNCTION("""COMPUTED_VALUE"""),0.20036005995176706)</f>
        <v>0.20036006</v>
      </c>
      <c r="AC144" s="273">
        <f>IFERROR(__xludf.DUMMYFUNCTION("""COMPUTED_VALUE"""),-0.9375669479018968)</f>
        <v>-0.9375669479</v>
      </c>
      <c r="AD144" s="273">
        <f>IFERROR(__xludf.DUMMYFUNCTION("""COMPUTED_VALUE"""),-0.43278300479057746)</f>
        <v>-0.4327830048</v>
      </c>
      <c r="AE144" s="273">
        <f>IFERROR(__xludf.DUMMYFUNCTION("""COMPUTED_VALUE"""),-0.6216541562857939)</f>
        <v>-0.6216541563</v>
      </c>
      <c r="AF144" s="273">
        <f>IFERROR(__xludf.DUMMYFUNCTION("""COMPUTED_VALUE"""),0.5364303049430188)</f>
        <v>0.5364303049</v>
      </c>
      <c r="AG144" s="277">
        <f>IFERROR(__xludf.DUMMYFUNCTION("""COMPUTED_VALUE"""),0.0)</f>
        <v>0</v>
      </c>
      <c r="AH144" s="265"/>
      <c r="AI144" s="338"/>
      <c r="AJ144" s="339"/>
      <c r="AK144" s="265"/>
      <c r="AL144" s="265"/>
      <c r="AM144" s="265"/>
      <c r="AN144" s="265"/>
      <c r="AO144" s="265"/>
      <c r="AP144" s="265"/>
      <c r="AQ144" s="265"/>
      <c r="AR144" s="265"/>
      <c r="AS144" s="265"/>
      <c r="AT144" s="265"/>
      <c r="AU144" s="265"/>
      <c r="AV144" s="265"/>
      <c r="AW144" s="265"/>
      <c r="AX144" s="265"/>
      <c r="AY144" s="265"/>
      <c r="AZ144" s="265"/>
      <c r="BA144" s="265"/>
      <c r="BB144" s="265"/>
      <c r="BC144" s="265"/>
      <c r="BD144" s="265"/>
      <c r="BE144" s="265"/>
      <c r="BF144" s="265"/>
      <c r="BG144" s="265"/>
      <c r="BH144" s="265"/>
      <c r="BI144" s="265"/>
      <c r="BJ144" s="265"/>
      <c r="BK144" s="265"/>
      <c r="BL144" s="265"/>
      <c r="BM144" s="265"/>
      <c r="BN144" s="265"/>
      <c r="BO144" s="265"/>
      <c r="BP144" s="265"/>
      <c r="BQ144" s="265"/>
      <c r="BR144" s="265"/>
      <c r="BS144" s="265"/>
      <c r="BT144" s="265"/>
      <c r="BU144" s="265"/>
      <c r="BV144" s="265"/>
    </row>
    <row r="145">
      <c r="A145" s="251">
        <f>VLOOKUP($F145,UpdateHashtag!$V$3:$Y$32,COLUMN(B$15),0)</f>
        <v>3</v>
      </c>
      <c r="B145" s="252">
        <f>VLOOKUP($F145,UpdateHashtag!$V$3:$Y$32,COLUMN(C$13),0)</f>
        <v>5</v>
      </c>
      <c r="C145" s="252">
        <f>VLOOKUP($F145,UpdateHashtag!$V$3:$Y$32,COLUMN(D$13),0)</f>
        <v>3</v>
      </c>
      <c r="D145" s="268">
        <f t="shared" si="4"/>
        <v>11</v>
      </c>
      <c r="E145" s="19"/>
      <c r="F145" s="30" t="str">
        <f>IF(VLOOKUP(J145,PasteHashtag!$C$2:$P1015,3,)="BRO","BKN",IF(VLOOKUP(J145,PasteHashtag!$C$2:$P1015,3,)="OKL","OKC",VLOOKUP(J145,PasteHashtag!$C$2:$P1015,3,)))</f>
        <v>WAS</v>
      </c>
      <c r="G145" s="269">
        <v>126.0</v>
      </c>
      <c r="H145" s="270">
        <f>IFERROR(__xludf.DUMMYFUNCTION("""COMPUTED_VALUE"""),116.0)</f>
        <v>116</v>
      </c>
      <c r="I145" s="270">
        <f>IFERROR(__xludf.DUMMYFUNCTION("""COMPUTED_VALUE"""),88.2)</f>
        <v>88.2</v>
      </c>
      <c r="J145" s="271" t="str">
        <f>IFERROR(__xludf.DUMMYFUNCTION("""COMPUTED_VALUE"""),"Jonas Valanciunas")</f>
        <v>Jonas Valanciunas</v>
      </c>
      <c r="K145" s="270">
        <f>IFERROR(__xludf.DUMMYFUNCTION("""COMPUTED_VALUE"""),72.0)</f>
        <v>72</v>
      </c>
      <c r="L145" s="272" t="str">
        <f>IFERROR(__xludf.DUMMYFUNCTION("""COMPUTED_VALUE"""),"PG,SG")</f>
        <v>PG,SG</v>
      </c>
      <c r="M145" s="273">
        <f>IFERROR(__xludf.DUMMYFUNCTION("""COMPUTED_VALUE"""),-2.6205951281485507)</f>
        <v>-2.620595128</v>
      </c>
      <c r="N145" s="273">
        <f>IFERROR(__xludf.DUMMYFUNCTION("""COMPUTED_VALUE"""),-2.641423480356396)</f>
        <v>-2.64142348</v>
      </c>
      <c r="O145" s="274">
        <f>IFERROR(__xludf.DUMMYFUNCTION("""COMPUTED_VALUE"""),-0.020828352207845402)</f>
        <v>-0.02082835221</v>
      </c>
      <c r="P145" s="275">
        <f>IFERROR(__xludf.DUMMYFUNCTION("""COMPUTED_VALUE"""),14.37376623)</f>
        <v>14.37376623</v>
      </c>
      <c r="Q145" s="275">
        <f>IFERROR(__xludf.DUMMYFUNCTION("""COMPUTED_VALUE"""),0.5123376623)</f>
        <v>0.5123376623</v>
      </c>
      <c r="R145" s="275">
        <f>IFERROR(__xludf.DUMMYFUNCTION("""COMPUTED_VALUE"""),10.25272727)</f>
        <v>10.25272727</v>
      </c>
      <c r="S145" s="276">
        <f>IFERROR(__xludf.DUMMYFUNCTION("""COMPUTED_VALUE"""),2.028051948)</f>
        <v>2.028051948</v>
      </c>
      <c r="T145" s="275">
        <f>IFERROR(__xludf.DUMMYFUNCTION("""COMPUTED_VALUE"""),0.3476623377)</f>
        <v>0.3476623377</v>
      </c>
      <c r="U145" s="275">
        <f>IFERROR(__xludf.DUMMYFUNCTION("""COMPUTED_VALUE"""),0.7323376623)</f>
        <v>0.7323376623</v>
      </c>
      <c r="V145" s="272">
        <f>IFERROR(__xludf.DUMMYFUNCTION("""COMPUTED_VALUE"""),0.5421716456)</f>
        <v>0.5421716456</v>
      </c>
      <c r="W145" s="272">
        <f>IFERROR(__xludf.DUMMYFUNCTION("""COMPUTED_VALUE"""),0.7890027724)</f>
        <v>0.7890027724</v>
      </c>
      <c r="X145" s="275">
        <f>IFERROR(__xludf.DUMMYFUNCTION("""COMPUTED_VALUE"""),1.664675325)</f>
        <v>1.664675325</v>
      </c>
      <c r="Y145" s="273">
        <f>IFERROR(__xludf.DUMMYFUNCTION("""COMPUTED_VALUE"""),-0.561478367829557)</f>
        <v>-0.5614783678</v>
      </c>
      <c r="Z145" s="273">
        <f>IFERROR(__xludf.DUMMYFUNCTION("""COMPUTED_VALUE"""),-1.2263500230735453)</f>
        <v>-1.226350023</v>
      </c>
      <c r="AA145" s="273">
        <f>IFERROR(__xludf.DUMMYFUNCTION("""COMPUTED_VALUE"""),1.6340146542663143)</f>
        <v>1.634014654</v>
      </c>
      <c r="AB145" s="273">
        <f>IFERROR(__xludf.DUMMYFUNCTION("""COMPUTED_VALUE"""),-0.8652614579477165)</f>
        <v>-0.8652614579</v>
      </c>
      <c r="AC145" s="273">
        <f>IFERROR(__xludf.DUMMYFUNCTION("""COMPUTED_VALUE"""),-2.0787378948928543)</f>
        <v>-2.078737895</v>
      </c>
      <c r="AD145" s="273">
        <f>IFERROR(__xludf.DUMMYFUNCTION("""COMPUTED_VALUE"""),-0.02912519310452316)</f>
        <v>-0.0291251931</v>
      </c>
      <c r="AE145" s="273">
        <f>IFERROR(__xludf.DUMMYFUNCTION("""COMPUTED_VALUE"""),0.5504352362430711)</f>
        <v>0.5504352362</v>
      </c>
      <c r="AF145" s="273">
        <f>IFERROR(__xludf.DUMMYFUNCTION("""COMPUTED_VALUE"""),-0.0649204340175854)</f>
        <v>-0.06492043402</v>
      </c>
      <c r="AG145" s="277">
        <f>IFERROR(__xludf.DUMMYFUNCTION("""COMPUTED_VALUE"""),0.0)</f>
        <v>0</v>
      </c>
      <c r="AH145" s="265"/>
      <c r="AI145" s="338"/>
      <c r="AJ145" s="339"/>
      <c r="AK145" s="265"/>
      <c r="AL145" s="265"/>
      <c r="AM145" s="265"/>
      <c r="AN145" s="265"/>
      <c r="AO145" s="265"/>
      <c r="AP145" s="265"/>
      <c r="AQ145" s="265"/>
      <c r="AR145" s="265"/>
      <c r="AS145" s="265"/>
      <c r="AT145" s="265"/>
      <c r="AU145" s="265"/>
      <c r="AV145" s="265"/>
      <c r="AW145" s="265"/>
      <c r="AX145" s="265"/>
      <c r="AY145" s="265"/>
      <c r="AZ145" s="265"/>
      <c r="BA145" s="265"/>
      <c r="BB145" s="265"/>
      <c r="BC145" s="265"/>
      <c r="BD145" s="265"/>
      <c r="BE145" s="265"/>
      <c r="BF145" s="265"/>
      <c r="BG145" s="265"/>
      <c r="BH145" s="265"/>
      <c r="BI145" s="265"/>
      <c r="BJ145" s="265"/>
      <c r="BK145" s="265"/>
      <c r="BL145" s="265"/>
      <c r="BM145" s="265"/>
      <c r="BN145" s="265"/>
      <c r="BO145" s="265"/>
      <c r="BP145" s="265"/>
      <c r="BQ145" s="265"/>
      <c r="BR145" s="265"/>
      <c r="BS145" s="265"/>
      <c r="BT145" s="265"/>
      <c r="BU145" s="265"/>
      <c r="BV145" s="265"/>
    </row>
    <row r="146">
      <c r="A146" s="251">
        <f>VLOOKUP($F146,UpdateHashtag!$V$3:$Y$32,COLUMN(B$15),0)</f>
        <v>4</v>
      </c>
      <c r="B146" s="252">
        <f>VLOOKUP($F146,UpdateHashtag!$V$3:$Y$32,COLUMN(C$13),0)</f>
        <v>4</v>
      </c>
      <c r="C146" s="252">
        <f>VLOOKUP($F146,UpdateHashtag!$V$3:$Y$32,COLUMN(D$13),0)</f>
        <v>4</v>
      </c>
      <c r="D146" s="268">
        <f t="shared" si="4"/>
        <v>12</v>
      </c>
      <c r="E146" s="19"/>
      <c r="F146" s="30" t="str">
        <f>IF(VLOOKUP(J146,PasteHashtag!$C$2:$P1015,3,)="BRO","BKN",IF(VLOOKUP(J146,PasteHashtag!$C$2:$P1015,3,)="OKL","OKC",VLOOKUP(J146,PasteHashtag!$C$2:$P1015,3,)))</f>
        <v>LAC</v>
      </c>
      <c r="G146" s="269">
        <v>127.0</v>
      </c>
      <c r="H146" s="270">
        <f>IFERROR(__xludf.DUMMYFUNCTION("""COMPUTED_VALUE"""),133.0)</f>
        <v>133</v>
      </c>
      <c r="I146" s="270">
        <f>IFERROR(__xludf.DUMMYFUNCTION("""COMPUTED_VALUE"""),132.1)</f>
        <v>132.1</v>
      </c>
      <c r="J146" s="271" t="str">
        <f>IFERROR(__xludf.DUMMYFUNCTION("""COMPUTED_VALUE"""),"Norman Powell")</f>
        <v>Norman Powell</v>
      </c>
      <c r="K146" s="270">
        <f>IFERROR(__xludf.DUMMYFUNCTION("""COMPUTED_VALUE"""),68.0)</f>
        <v>68</v>
      </c>
      <c r="L146" s="272" t="str">
        <f>IFERROR(__xludf.DUMMYFUNCTION("""COMPUTED_VALUE"""),"SG,SF")</f>
        <v>SG,SF</v>
      </c>
      <c r="M146" s="273">
        <f>IFERROR(__xludf.DUMMYFUNCTION("""COMPUTED_VALUE"""),-2.6176041125069265)</f>
        <v>-2.617604113</v>
      </c>
      <c r="N146" s="273">
        <f>IFERROR(__xludf.DUMMYFUNCTION("""COMPUTED_VALUE"""),-2.6786235703291217)</f>
        <v>-2.67862357</v>
      </c>
      <c r="O146" s="274">
        <f>IFERROR(__xludf.DUMMYFUNCTION("""COMPUTED_VALUE"""),-0.0610194578221952)</f>
        <v>-0.06101945782</v>
      </c>
      <c r="P146" s="275">
        <f>IFERROR(__xludf.DUMMYFUNCTION("""COMPUTED_VALUE"""),18.81493151)</f>
        <v>18.81493151</v>
      </c>
      <c r="Q146" s="275">
        <f>IFERROR(__xludf.DUMMYFUNCTION("""COMPUTED_VALUE"""),2.610410959)</f>
        <v>2.610410959</v>
      </c>
      <c r="R146" s="275">
        <f>IFERROR(__xludf.DUMMYFUNCTION("""COMPUTED_VALUE"""),3.201369863)</f>
        <v>3.201369863</v>
      </c>
      <c r="S146" s="276">
        <f>IFERROR(__xludf.DUMMYFUNCTION("""COMPUTED_VALUE"""),1.763972603)</f>
        <v>1.763972603</v>
      </c>
      <c r="T146" s="275">
        <f>IFERROR(__xludf.DUMMYFUNCTION("""COMPUTED_VALUE"""),0.7839726027)</f>
        <v>0.7839726027</v>
      </c>
      <c r="U146" s="275">
        <f>IFERROR(__xludf.DUMMYFUNCTION("""COMPUTED_VALUE"""),0.3269863014)</f>
        <v>0.3269863014</v>
      </c>
      <c r="V146" s="272">
        <f>IFERROR(__xludf.DUMMYFUNCTION("""COMPUTED_VALUE"""),0.4720350306)</f>
        <v>0.4720350306</v>
      </c>
      <c r="W146" s="272">
        <f>IFERROR(__xludf.DUMMYFUNCTION("""COMPUTED_VALUE"""),0.8060087769)</f>
        <v>0.8060087769</v>
      </c>
      <c r="X146" s="275">
        <f>IFERROR(__xludf.DUMMYFUNCTION("""COMPUTED_VALUE"""),1.50260274)</f>
        <v>1.50260274</v>
      </c>
      <c r="Y146" s="273">
        <f>IFERROR(__xludf.DUMMYFUNCTION("""COMPUTED_VALUE"""),0.23906671647631514)</f>
        <v>0.2390667165</v>
      </c>
      <c r="Z146" s="273">
        <f>IFERROR(__xludf.DUMMYFUNCTION("""COMPUTED_VALUE"""),0.8547887569198025)</f>
        <v>0.8547887569</v>
      </c>
      <c r="AA146" s="273">
        <f>IFERROR(__xludf.DUMMYFUNCTION("""COMPUTED_VALUE"""),-1.1294616472123837)</f>
        <v>-1.129461647</v>
      </c>
      <c r="AB146" s="273">
        <f>IFERROR(__xludf.DUMMYFUNCTION("""COMPUTED_VALUE"""),-0.9851900316626178)</f>
        <v>-0.9851900317</v>
      </c>
      <c r="AC146" s="273">
        <f>IFERROR(__xludf.DUMMYFUNCTION("""COMPUTED_VALUE"""),-0.6352868076759799)</f>
        <v>-0.6352868077</v>
      </c>
      <c r="AD146" s="273">
        <f>IFERROR(__xludf.DUMMYFUNCTION("""COMPUTED_VALUE"""),-0.7521292658754072)</f>
        <v>-0.7521292659</v>
      </c>
      <c r="AE146" s="273">
        <f>IFERROR(__xludf.DUMMYFUNCTION("""COMPUTED_VALUE"""),-0.41191468104332873)</f>
        <v>-0.411914681</v>
      </c>
      <c r="AF146" s="273">
        <f>IFERROR(__xludf.DUMMYFUNCTION("""COMPUTED_VALUE"""),0.14150338974447815)</f>
        <v>0.1415033897</v>
      </c>
      <c r="AG146" s="277">
        <f>IFERROR(__xludf.DUMMYFUNCTION("""COMPUTED_VALUE"""),0.0)</f>
        <v>0</v>
      </c>
      <c r="AH146" s="265"/>
      <c r="AI146" s="338"/>
      <c r="AJ146" s="339"/>
      <c r="AK146" s="265"/>
      <c r="AL146" s="265"/>
      <c r="AM146" s="265"/>
      <c r="AN146" s="265"/>
      <c r="AO146" s="265"/>
      <c r="AP146" s="265"/>
      <c r="AQ146" s="265"/>
      <c r="AR146" s="265"/>
      <c r="AS146" s="265"/>
      <c r="AT146" s="265"/>
      <c r="AU146" s="265"/>
      <c r="AV146" s="265"/>
      <c r="AW146" s="265"/>
      <c r="AX146" s="265"/>
      <c r="AY146" s="265"/>
      <c r="AZ146" s="265"/>
      <c r="BA146" s="265"/>
      <c r="BB146" s="265"/>
      <c r="BC146" s="265"/>
      <c r="BD146" s="265"/>
      <c r="BE146" s="265"/>
      <c r="BF146" s="265"/>
      <c r="BG146" s="265"/>
      <c r="BH146" s="265"/>
      <c r="BI146" s="265"/>
      <c r="BJ146" s="265"/>
      <c r="BK146" s="265"/>
      <c r="BL146" s="265"/>
      <c r="BM146" s="265"/>
      <c r="BN146" s="265"/>
      <c r="BO146" s="265"/>
      <c r="BP146" s="265"/>
      <c r="BQ146" s="265"/>
      <c r="BR146" s="265"/>
      <c r="BS146" s="265"/>
      <c r="BT146" s="265"/>
      <c r="BU146" s="265"/>
      <c r="BV146" s="265"/>
    </row>
    <row r="147">
      <c r="A147" s="251">
        <f>VLOOKUP($F147,UpdateHashtag!$V$3:$Y$32,COLUMN(B$15),0)</f>
        <v>3</v>
      </c>
      <c r="B147" s="252">
        <f>VLOOKUP($F147,UpdateHashtag!$V$3:$Y$32,COLUMN(C$13),0)</f>
        <v>5</v>
      </c>
      <c r="C147" s="252">
        <f>VLOOKUP($F147,UpdateHashtag!$V$3:$Y$32,COLUMN(D$13),0)</f>
        <v>3</v>
      </c>
      <c r="D147" s="268">
        <f t="shared" si="4"/>
        <v>11</v>
      </c>
      <c r="E147" s="19"/>
      <c r="F147" s="30" t="str">
        <f>IF(VLOOKUP(J147,PasteHashtag!$C$2:$P1015,3,)="BRO","BKN",IF(VLOOKUP(J147,PasteHashtag!$C$2:$P1015,3,)="OKL","OKC",VLOOKUP(J147,PasteHashtag!$C$2:$P1015,3,)))</f>
        <v>BKN</v>
      </c>
      <c r="G147" s="269">
        <v>128.0</v>
      </c>
      <c r="H147" s="270">
        <f>IFERROR(__xludf.DUMMYFUNCTION("""COMPUTED_VALUE"""),123.0)</f>
        <v>123</v>
      </c>
      <c r="I147" s="270">
        <f>IFERROR(__xludf.DUMMYFUNCTION("""COMPUTED_VALUE"""),138.5)</f>
        <v>138.5</v>
      </c>
      <c r="J147" s="271" t="str">
        <f>IFERROR(__xludf.DUMMYFUNCTION("""COMPUTED_VALUE"""),"Ben Simmons")</f>
        <v>Ben Simmons</v>
      </c>
      <c r="K147" s="270">
        <f>IFERROR(__xludf.DUMMYFUNCTION("""COMPUTED_VALUE"""),74.0)</f>
        <v>74</v>
      </c>
      <c r="L147" s="272" t="str">
        <f>IFERROR(__xludf.DUMMYFUNCTION("""COMPUTED_VALUE"""),"C")</f>
        <v>C</v>
      </c>
      <c r="M147" s="273">
        <f>IFERROR(__xludf.DUMMYFUNCTION("""COMPUTED_VALUE"""),-2.800861395837898)</f>
        <v>-2.800861396</v>
      </c>
      <c r="N147" s="273">
        <f>IFERROR(__xludf.DUMMYFUNCTION("""COMPUTED_VALUE"""),-2.688112185316406)</f>
        <v>-2.688112185</v>
      </c>
      <c r="O147" s="274">
        <f>IFERROR(__xludf.DUMMYFUNCTION("""COMPUTED_VALUE"""),0.11274921052149178)</f>
        <v>0.1127492105</v>
      </c>
      <c r="P147" s="275">
        <f>IFERROR(__xludf.DUMMYFUNCTION("""COMPUTED_VALUE"""),7.074615385)</f>
        <v>7.074615385</v>
      </c>
      <c r="Q147" s="275">
        <f>IFERROR(__xludf.DUMMYFUNCTION("""COMPUTED_VALUE"""),0.0)</f>
        <v>0</v>
      </c>
      <c r="R147" s="275">
        <f>IFERROR(__xludf.DUMMYFUNCTION("""COMPUTED_VALUE"""),8.101025641)</f>
        <v>8.101025641</v>
      </c>
      <c r="S147" s="276">
        <f>IFERROR(__xludf.DUMMYFUNCTION("""COMPUTED_VALUE"""),6.47025641)</f>
        <v>6.47025641</v>
      </c>
      <c r="T147" s="275">
        <f>IFERROR(__xludf.DUMMYFUNCTION("""COMPUTED_VALUE"""),1.052051282)</f>
        <v>1.052051282</v>
      </c>
      <c r="U147" s="275">
        <f>IFERROR(__xludf.DUMMYFUNCTION("""COMPUTED_VALUE"""),0.4720512821)</f>
        <v>0.4720512821</v>
      </c>
      <c r="V147" s="272">
        <f>IFERROR(__xludf.DUMMYFUNCTION("""COMPUTED_VALUE"""),0.5859887535)</f>
        <v>0.5859887535</v>
      </c>
      <c r="W147" s="272">
        <f>IFERROR(__xludf.DUMMYFUNCTION("""COMPUTED_VALUE"""),0.5040031244)</f>
        <v>0.5040031244</v>
      </c>
      <c r="X147" s="275">
        <f>IFERROR(__xludf.DUMMYFUNCTION("""COMPUTED_VALUE"""),2.203333333)</f>
        <v>2.203333333</v>
      </c>
      <c r="Y147" s="273">
        <f>IFERROR(__xludf.DUMMYFUNCTION("""COMPUTED_VALUE"""),-1.8771914656703557)</f>
        <v>-1.877191466</v>
      </c>
      <c r="Z147" s="273">
        <f>IFERROR(__xludf.DUMMYFUNCTION("""COMPUTED_VALUE"""),-1.7345523719336797)</f>
        <v>-1.734552372</v>
      </c>
      <c r="AA147" s="273">
        <f>IFERROR(__xludf.DUMMYFUNCTION("""COMPUTED_VALUE"""),0.7907477318306791)</f>
        <v>0.7907477318</v>
      </c>
      <c r="AB147" s="273">
        <f>IFERROR(__xludf.DUMMYFUNCTION("""COMPUTED_VALUE"""),1.1521142110112883)</f>
        <v>1.152114211</v>
      </c>
      <c r="AC147" s="273">
        <f>IFERROR(__xludf.DUMMYFUNCTION("""COMPUTED_VALUE"""),0.25160147375202846)</f>
        <v>0.2516014738</v>
      </c>
      <c r="AD147" s="273">
        <f>IFERROR(__xludf.DUMMYFUNCTION("""COMPUTED_VALUE"""),-0.493384428730518)</f>
        <v>-0.4933844287</v>
      </c>
      <c r="AE147" s="273">
        <f>IFERROR(__xludf.DUMMYFUNCTION("""COMPUTED_VALUE"""),0.5648062178254908)</f>
        <v>0.5648062178</v>
      </c>
      <c r="AF147" s="273">
        <f>IFERROR(__xludf.DUMMYFUNCTION("""COMPUTED_VALUE"""),-1.3422535534013391)</f>
        <v>-1.342253553</v>
      </c>
      <c r="AG147" s="277">
        <f>IFERROR(__xludf.DUMMYFUNCTION("""COMPUTED_VALUE"""),0.0)</f>
        <v>0</v>
      </c>
      <c r="AH147" s="265"/>
      <c r="AI147" s="338"/>
      <c r="AJ147" s="339"/>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5"/>
      <c r="BN147" s="265"/>
      <c r="BO147" s="265"/>
      <c r="BP147" s="265"/>
      <c r="BQ147" s="265"/>
      <c r="BR147" s="265"/>
      <c r="BS147" s="265"/>
      <c r="BT147" s="265"/>
      <c r="BU147" s="265"/>
      <c r="BV147" s="265"/>
    </row>
    <row r="148">
      <c r="A148" s="251">
        <f>VLOOKUP($F148,UpdateHashtag!$V$3:$Y$32,COLUMN(B$15),0)</f>
        <v>4</v>
      </c>
      <c r="B148" s="252">
        <f>VLOOKUP($F148,UpdateHashtag!$V$3:$Y$32,COLUMN(C$13),0)</f>
        <v>4</v>
      </c>
      <c r="C148" s="252">
        <f>VLOOKUP($F148,UpdateHashtag!$V$3:$Y$32,COLUMN(D$13),0)</f>
        <v>2</v>
      </c>
      <c r="D148" s="268">
        <f t="shared" si="4"/>
        <v>10</v>
      </c>
      <c r="E148" s="19"/>
      <c r="F148" s="30" t="str">
        <f>IF(VLOOKUP(J148,PasteHashtag!$C$2:$P1015,3,)="BRO","BKN",IF(VLOOKUP(J148,PasteHashtag!$C$2:$P1015,3,)="OKL","OKC",VLOOKUP(J148,PasteHashtag!$C$2:$P1015,3,)))</f>
        <v>DAL</v>
      </c>
      <c r="G148" s="269">
        <v>129.0</v>
      </c>
      <c r="H148" s="270">
        <f>IFERROR(__xludf.DUMMYFUNCTION("""COMPUTED_VALUE"""),134.0)</f>
        <v>134</v>
      </c>
      <c r="I148" s="270">
        <f>IFERROR(__xludf.DUMMYFUNCTION("""COMPUTED_VALUE"""),134.2)</f>
        <v>134.2</v>
      </c>
      <c r="J148" s="271" t="str">
        <f>IFERROR(__xludf.DUMMYFUNCTION("""COMPUTED_VALUE"""),"P.J. Washington")</f>
        <v>P.J. Washington</v>
      </c>
      <c r="K148" s="270">
        <f>IFERROR(__xludf.DUMMYFUNCTION("""COMPUTED_VALUE"""),72.0)</f>
        <v>72</v>
      </c>
      <c r="L148" s="272" t="str">
        <f>IFERROR(__xludf.DUMMYFUNCTION("""COMPUTED_VALUE"""),"PG")</f>
        <v>PG</v>
      </c>
      <c r="M148" s="273">
        <f>IFERROR(__xludf.DUMMYFUNCTION("""COMPUTED_VALUE"""),-2.515603792713411)</f>
        <v>-2.515603793</v>
      </c>
      <c r="N148" s="273">
        <f>IFERROR(__xludf.DUMMYFUNCTION("""COMPUTED_VALUE"""),-2.690423271383483)</f>
        <v>-2.690423271</v>
      </c>
      <c r="O148" s="274">
        <f>IFERROR(__xludf.DUMMYFUNCTION("""COMPUTED_VALUE"""),-0.17481947867007186)</f>
        <v>-0.1748194787</v>
      </c>
      <c r="P148" s="275">
        <f>IFERROR(__xludf.DUMMYFUNCTION("""COMPUTED_VALUE"""),12.21136986)</f>
        <v>12.21136986</v>
      </c>
      <c r="Q148" s="275">
        <f>IFERROR(__xludf.DUMMYFUNCTION("""COMPUTED_VALUE"""),2.020821918)</f>
        <v>2.020821918</v>
      </c>
      <c r="R148" s="275">
        <f>IFERROR(__xludf.DUMMYFUNCTION("""COMPUTED_VALUE"""),6.196712329)</f>
        <v>6.196712329</v>
      </c>
      <c r="S148" s="276">
        <f>IFERROR(__xludf.DUMMYFUNCTION("""COMPUTED_VALUE"""),1.749452055)</f>
        <v>1.749452055</v>
      </c>
      <c r="T148" s="275">
        <f>IFERROR(__xludf.DUMMYFUNCTION("""COMPUTED_VALUE"""),1.040821918)</f>
        <v>1.040821918</v>
      </c>
      <c r="U148" s="275">
        <f>IFERROR(__xludf.DUMMYFUNCTION("""COMPUTED_VALUE"""),0.8495890411)</f>
        <v>0.8495890411</v>
      </c>
      <c r="V148" s="272">
        <f>IFERROR(__xludf.DUMMYFUNCTION("""COMPUTED_VALUE"""),0.4325703804)</f>
        <v>0.4325703804</v>
      </c>
      <c r="W148" s="272">
        <f>IFERROR(__xludf.DUMMYFUNCTION("""COMPUTED_VALUE"""),0.6900311526)</f>
        <v>0.6900311526</v>
      </c>
      <c r="X148" s="275">
        <f>IFERROR(__xludf.DUMMYFUNCTION("""COMPUTED_VALUE"""),1.04369863)</f>
        <v>1.04369863</v>
      </c>
      <c r="Y148" s="273">
        <f>IFERROR(__xludf.DUMMYFUNCTION("""COMPUTED_VALUE"""),-0.9512625067176195)</f>
        <v>-0.9512625067</v>
      </c>
      <c r="Z148" s="273">
        <f>IFERROR(__xludf.DUMMYFUNCTION("""COMPUTED_VALUE"""),0.2699585608469926)</f>
        <v>0.2699585608</v>
      </c>
      <c r="AA148" s="273">
        <f>IFERROR(__xludf.DUMMYFUNCTION("""COMPUTED_VALUE"""),0.04443402163947367)</f>
        <v>0.04443402164</v>
      </c>
      <c r="AB148" s="273">
        <f>IFERROR(__xludf.DUMMYFUNCTION("""COMPUTED_VALUE"""),-0.9917843702361203)</f>
        <v>-0.9917843702</v>
      </c>
      <c r="AC148" s="273">
        <f>IFERROR(__xludf.DUMMYFUNCTION("""COMPUTED_VALUE"""),0.2144512185900186)</f>
        <v>0.2144512186</v>
      </c>
      <c r="AD148" s="273">
        <f>IFERROR(__xludf.DUMMYFUNCTION("""COMPUTED_VALUE"""),0.18000997353752307)</f>
        <v>0.1800099735</v>
      </c>
      <c r="AE148" s="273">
        <f>IFERROR(__xludf.DUMMYFUNCTION("""COMPUTED_VALUE"""),-0.775311795238667)</f>
        <v>-0.7753117952</v>
      </c>
      <c r="AF148" s="273">
        <f>IFERROR(__xludf.DUMMYFUNCTION("""COMPUTED_VALUE"""),-0.6809183738050841)</f>
        <v>-0.6809183738</v>
      </c>
      <c r="AG148" s="277">
        <f>IFERROR(__xludf.DUMMYFUNCTION("""COMPUTED_VALUE"""),0.0)</f>
        <v>0</v>
      </c>
      <c r="AH148" s="265"/>
      <c r="AI148" s="338"/>
      <c r="AJ148" s="339"/>
      <c r="AK148" s="265"/>
      <c r="AL148" s="265"/>
      <c r="AM148" s="265"/>
      <c r="AN148" s="265"/>
      <c r="AO148" s="265"/>
      <c r="AP148" s="265"/>
      <c r="AQ148" s="265"/>
      <c r="AR148" s="265"/>
      <c r="AS148" s="265"/>
      <c r="AT148" s="265"/>
      <c r="AU148" s="265"/>
      <c r="AV148" s="265"/>
      <c r="AW148" s="265"/>
      <c r="AX148" s="265"/>
      <c r="AY148" s="265"/>
      <c r="AZ148" s="265"/>
      <c r="BA148" s="265"/>
      <c r="BB148" s="265"/>
      <c r="BC148" s="265"/>
      <c r="BD148" s="265"/>
      <c r="BE148" s="265"/>
      <c r="BF148" s="265"/>
      <c r="BG148" s="265"/>
      <c r="BH148" s="265"/>
      <c r="BI148" s="265"/>
      <c r="BJ148" s="265"/>
      <c r="BK148" s="265"/>
      <c r="BL148" s="265"/>
      <c r="BM148" s="265"/>
      <c r="BN148" s="265"/>
      <c r="BO148" s="265"/>
      <c r="BP148" s="265"/>
      <c r="BQ148" s="265"/>
      <c r="BR148" s="265"/>
      <c r="BS148" s="265"/>
      <c r="BT148" s="265"/>
      <c r="BU148" s="265"/>
      <c r="BV148" s="265"/>
    </row>
    <row r="149">
      <c r="A149" s="251">
        <f>VLOOKUP($F149,UpdateHashtag!$V$3:$Y$32,COLUMN(B$15),0)</f>
        <v>4</v>
      </c>
      <c r="B149" s="252">
        <f>VLOOKUP($F149,UpdateHashtag!$V$3:$Y$32,COLUMN(C$13),0)</f>
        <v>4</v>
      </c>
      <c r="C149" s="252">
        <f>VLOOKUP($F149,UpdateHashtag!$V$3:$Y$32,COLUMN(D$13),0)</f>
        <v>3</v>
      </c>
      <c r="D149" s="268">
        <f t="shared" si="4"/>
        <v>11</v>
      </c>
      <c r="E149" s="19"/>
      <c r="F149" s="30" t="str">
        <f>IF(VLOOKUP(J149,PasteHashtag!$C$2:$P1015,3,)="BRO","BKN",IF(VLOOKUP(J149,PasteHashtag!$C$2:$P1015,3,)="OKL","OKC",VLOOKUP(J149,PasteHashtag!$C$2:$P1015,3,)))</f>
        <v>ATL</v>
      </c>
      <c r="G149" s="269">
        <v>130.0</v>
      </c>
      <c r="H149" s="270">
        <f>IFERROR(__xludf.DUMMYFUNCTION("""COMPUTED_VALUE"""),118.0)</f>
        <v>118</v>
      </c>
      <c r="I149" s="270">
        <f>IFERROR(__xludf.DUMMYFUNCTION("""COMPUTED_VALUE"""),117.6)</f>
        <v>117.6</v>
      </c>
      <c r="J149" s="271" t="str">
        <f>IFERROR(__xludf.DUMMYFUNCTION("""COMPUTED_VALUE"""),"Onyeka Okongwu")</f>
        <v>Onyeka Okongwu</v>
      </c>
      <c r="K149" s="270">
        <f>IFERROR(__xludf.DUMMYFUNCTION("""COMPUTED_VALUE"""),73.0)</f>
        <v>73</v>
      </c>
      <c r="L149" s="272" t="str">
        <f>IFERROR(__xludf.DUMMYFUNCTION("""COMPUTED_VALUE"""),"SF")</f>
        <v>SF</v>
      </c>
      <c r="M149" s="273">
        <f>IFERROR(__xludf.DUMMYFUNCTION("""COMPUTED_VALUE"""),-2.5886500967604467)</f>
        <v>-2.588650097</v>
      </c>
      <c r="N149" s="273">
        <f>IFERROR(__xludf.DUMMYFUNCTION("""COMPUTED_VALUE"""),-2.7939191874627167)</f>
        <v>-2.793919187</v>
      </c>
      <c r="O149" s="274">
        <f>IFERROR(__xludf.DUMMYFUNCTION("""COMPUTED_VALUE"""),-0.20526909070227006)</f>
        <v>-0.2052690907</v>
      </c>
      <c r="P149" s="275">
        <f>IFERROR(__xludf.DUMMYFUNCTION("""COMPUTED_VALUE"""),11.36606061)</f>
        <v>11.36606061</v>
      </c>
      <c r="Q149" s="275">
        <f>IFERROR(__xludf.DUMMYFUNCTION("""COMPUTED_VALUE"""),0.4396969697)</f>
        <v>0.4396969697</v>
      </c>
      <c r="R149" s="275">
        <f>IFERROR(__xludf.DUMMYFUNCTION("""COMPUTED_VALUE"""),6.608333333)</f>
        <v>6.608333333</v>
      </c>
      <c r="S149" s="276">
        <f>IFERROR(__xludf.DUMMYFUNCTION("""COMPUTED_VALUE"""),1.354242424)</f>
        <v>1.354242424</v>
      </c>
      <c r="T149" s="275">
        <f>IFERROR(__xludf.DUMMYFUNCTION("""COMPUTED_VALUE"""),0.65)</f>
        <v>0.65</v>
      </c>
      <c r="U149" s="275">
        <f>IFERROR(__xludf.DUMMYFUNCTION("""COMPUTED_VALUE"""),1.186515152)</f>
        <v>1.186515152</v>
      </c>
      <c r="V149" s="272">
        <f>IFERROR(__xludf.DUMMYFUNCTION("""COMPUTED_VALUE"""),0.6178429834)</f>
        <v>0.6178429834</v>
      </c>
      <c r="W149" s="272">
        <f>IFERROR(__xludf.DUMMYFUNCTION("""COMPUTED_VALUE"""),0.7700158114)</f>
        <v>0.7700158114</v>
      </c>
      <c r="X149" s="275">
        <f>IFERROR(__xludf.DUMMYFUNCTION("""COMPUTED_VALUE"""),0.9209090909)</f>
        <v>0.9209090909</v>
      </c>
      <c r="Y149" s="273">
        <f>IFERROR(__xludf.DUMMYFUNCTION("""COMPUTED_VALUE"""),-1.1036342655110194)</f>
        <v>-1.103634266</v>
      </c>
      <c r="Z149" s="273">
        <f>IFERROR(__xludf.DUMMYFUNCTION("""COMPUTED_VALUE"""),-1.2984043991590783)</f>
        <v>-1.298404399</v>
      </c>
      <c r="AA149" s="273">
        <f>IFERROR(__xludf.DUMMYFUNCTION("""COMPUTED_VALUE"""),0.20575117294648976)</f>
        <v>0.2057511729</v>
      </c>
      <c r="AB149" s="273">
        <f>IFERROR(__xludf.DUMMYFUNCTION("""COMPUTED_VALUE"""),-1.1712642434697595)</f>
        <v>-1.171264243</v>
      </c>
      <c r="AC149" s="273">
        <f>IFERROR(__xludf.DUMMYFUNCTION("""COMPUTED_VALUE"""),-1.0785101616454067)</f>
        <v>-1.078510162</v>
      </c>
      <c r="AD149" s="273">
        <f>IFERROR(__xludf.DUMMYFUNCTION("""COMPUTED_VALUE"""),0.7809674980483394)</f>
        <v>0.780967498</v>
      </c>
      <c r="AE149" s="273">
        <f>IFERROR(__xludf.DUMMYFUNCTION("""COMPUTED_VALUE"""),1.056064365513516)</f>
        <v>1.056064366</v>
      </c>
      <c r="AF149" s="273">
        <f>IFERROR(__xludf.DUMMYFUNCTION("""COMPUTED_VALUE"""),-0.1848891541857981)</f>
        <v>-0.1848891542</v>
      </c>
      <c r="AG149" s="277">
        <f>IFERROR(__xludf.DUMMYFUNCTION("""COMPUTED_VALUE"""),0.0)</f>
        <v>0</v>
      </c>
      <c r="AH149" s="265"/>
      <c r="AI149" s="338"/>
      <c r="AJ149" s="339"/>
      <c r="AK149" s="265"/>
      <c r="AL149" s="265"/>
      <c r="AM149" s="265"/>
      <c r="AN149" s="265"/>
      <c r="AO149" s="265"/>
      <c r="AP149" s="265"/>
      <c r="AQ149" s="265"/>
      <c r="AR149" s="265"/>
      <c r="AS149" s="265"/>
      <c r="AT149" s="265"/>
      <c r="AU149" s="265"/>
      <c r="AV149" s="265"/>
      <c r="AW149" s="265"/>
      <c r="AX149" s="265"/>
      <c r="AY149" s="265"/>
      <c r="AZ149" s="265"/>
      <c r="BA149" s="265"/>
      <c r="BB149" s="265"/>
      <c r="BC149" s="265"/>
      <c r="BD149" s="265"/>
      <c r="BE149" s="265"/>
      <c r="BF149" s="265"/>
      <c r="BG149" s="265"/>
      <c r="BH149" s="265"/>
      <c r="BI149" s="265"/>
      <c r="BJ149" s="265"/>
      <c r="BK149" s="265"/>
      <c r="BL149" s="265"/>
      <c r="BM149" s="265"/>
      <c r="BN149" s="265"/>
      <c r="BO149" s="265"/>
      <c r="BP149" s="265"/>
      <c r="BQ149" s="265"/>
      <c r="BR149" s="265"/>
      <c r="BS149" s="265"/>
      <c r="BT149" s="265"/>
      <c r="BU149" s="265"/>
      <c r="BV149" s="265"/>
    </row>
    <row r="150">
      <c r="A150" s="251">
        <f>VLOOKUP($F150,UpdateHashtag!$V$3:$Y$32,COLUMN(B$15),0)</f>
        <v>4</v>
      </c>
      <c r="B150" s="252">
        <f>VLOOKUP($F150,UpdateHashtag!$V$3:$Y$32,COLUMN(C$13),0)</f>
        <v>3</v>
      </c>
      <c r="C150" s="252">
        <f>VLOOKUP($F150,UpdateHashtag!$V$3:$Y$32,COLUMN(D$13),0)</f>
        <v>4</v>
      </c>
      <c r="D150" s="268">
        <f t="shared" si="4"/>
        <v>11</v>
      </c>
      <c r="E150" s="19"/>
      <c r="F150" s="30" t="str">
        <f>IF(VLOOKUP(J150,PasteHashtag!$C$2:$P1015,3,)="BRO","BKN",IF(VLOOKUP(J150,PasteHashtag!$C$2:$P1015,3,)="OKL","OKC",VLOOKUP(J150,PasteHashtag!$C$2:$P1015,3,)))</f>
        <v>GS</v>
      </c>
      <c r="G150" s="269">
        <v>131.0</v>
      </c>
      <c r="H150" s="270">
        <f>IFERROR(__xludf.DUMMYFUNCTION("""COMPUTED_VALUE"""),135.0)</f>
        <v>135</v>
      </c>
      <c r="I150" s="270">
        <f>IFERROR(__xludf.DUMMYFUNCTION("""COMPUTED_VALUE"""),116.6)</f>
        <v>116.6</v>
      </c>
      <c r="J150" s="271" t="str">
        <f>IFERROR(__xludf.DUMMYFUNCTION("""COMPUTED_VALUE"""),"Brandin Podziemski")</f>
        <v>Brandin Podziemski</v>
      </c>
      <c r="K150" s="270">
        <f>IFERROR(__xludf.DUMMYFUNCTION("""COMPUTED_VALUE"""),43.0)</f>
        <v>43</v>
      </c>
      <c r="L150" s="272" t="str">
        <f>IFERROR(__xludf.DUMMYFUNCTION("""COMPUTED_VALUE"""),"PG,SG")</f>
        <v>PG,SG</v>
      </c>
      <c r="M150" s="273">
        <f>IFERROR(__xludf.DUMMYFUNCTION("""COMPUTED_VALUE"""),-2.711205920858377)</f>
        <v>-2.711205921</v>
      </c>
      <c r="N150" s="273">
        <f>IFERROR(__xludf.DUMMYFUNCTION("""COMPUTED_VALUE"""),-2.8382633609026495)</f>
        <v>-2.838263361</v>
      </c>
      <c r="O150" s="274">
        <f>IFERROR(__xludf.DUMMYFUNCTION("""COMPUTED_VALUE"""),-0.12705744004427233)</f>
        <v>-0.12705744</v>
      </c>
      <c r="P150" s="275">
        <f>IFERROR(__xludf.DUMMYFUNCTION("""COMPUTED_VALUE"""),11.81726027)</f>
        <v>11.81726027</v>
      </c>
      <c r="Q150" s="275">
        <f>IFERROR(__xludf.DUMMYFUNCTION("""COMPUTED_VALUE"""),1.636575342)</f>
        <v>1.636575342</v>
      </c>
      <c r="R150" s="275">
        <f>IFERROR(__xludf.DUMMYFUNCTION("""COMPUTED_VALUE"""),6.437534247)</f>
        <v>6.437534247</v>
      </c>
      <c r="S150" s="276">
        <f>IFERROR(__xludf.DUMMYFUNCTION("""COMPUTED_VALUE"""),4.312465753)</f>
        <v>4.312465753</v>
      </c>
      <c r="T150" s="275">
        <f>IFERROR(__xludf.DUMMYFUNCTION("""COMPUTED_VALUE"""),0.8923287671)</f>
        <v>0.8923287671</v>
      </c>
      <c r="U150" s="275">
        <f>IFERROR(__xludf.DUMMYFUNCTION("""COMPUTED_VALUE"""),0.2467123288)</f>
        <v>0.2467123288</v>
      </c>
      <c r="V150" s="272">
        <f>IFERROR(__xludf.DUMMYFUNCTION("""COMPUTED_VALUE"""),0.4582322453)</f>
        <v>0.4582322453</v>
      </c>
      <c r="W150" s="272">
        <f>IFERROR(__xludf.DUMMYFUNCTION("""COMPUTED_VALUE"""),0.7199963242)</f>
        <v>0.7199963242</v>
      </c>
      <c r="X150" s="275">
        <f>IFERROR(__xludf.DUMMYFUNCTION("""COMPUTED_VALUE"""),1.23630137)</f>
        <v>1.23630137</v>
      </c>
      <c r="Y150" s="273">
        <f>IFERROR(__xludf.DUMMYFUNCTION("""COMPUTED_VALUE"""),-1.0223029825974772)</f>
        <v>-1.022302983</v>
      </c>
      <c r="Z150" s="273">
        <f>IFERROR(__xludf.DUMMYFUNCTION("""COMPUTED_VALUE"""),-0.11118658391560488)</f>
        <v>-0.1111865839</v>
      </c>
      <c r="AA150" s="273">
        <f>IFERROR(__xludf.DUMMYFUNCTION("""COMPUTED_VALUE"""),0.13881381617506022)</f>
        <v>0.1388138162</v>
      </c>
      <c r="AB150" s="273">
        <f>IFERROR(__xludf.DUMMYFUNCTION("""COMPUTED_VALUE"""),0.17217859404984057)</f>
        <v>0.172178594</v>
      </c>
      <c r="AC150" s="273">
        <f>IFERROR(__xludf.DUMMYFUNCTION("""COMPUTED_VALUE"""),-0.2768106592639541)</f>
        <v>-0.2768106593</v>
      </c>
      <c r="AD150" s="273">
        <f>IFERROR(__xludf.DUMMYFUNCTION("""COMPUTED_VALUE"""),-0.8953097624165707)</f>
        <v>-0.8953097624</v>
      </c>
      <c r="AE150" s="273">
        <f>IFERROR(__xludf.DUMMYFUNCTION("""COMPUTED_VALUE"""),-0.45096603350311076)</f>
        <v>-0.4509660335</v>
      </c>
      <c r="AF150" s="273">
        <f>IFERROR(__xludf.DUMMYFUNCTION("""COMPUTED_VALUE"""),-0.3926797494308325)</f>
        <v>-0.3926797494</v>
      </c>
      <c r="AG150" s="277">
        <f>IFERROR(__xludf.DUMMYFUNCTION("""COMPUTED_VALUE"""),0.0)</f>
        <v>0</v>
      </c>
      <c r="AH150" s="265"/>
      <c r="AI150" s="338"/>
      <c r="AJ150" s="339"/>
      <c r="AK150" s="265"/>
      <c r="AL150" s="265"/>
      <c r="AM150" s="265"/>
      <c r="AN150" s="265"/>
      <c r="AO150" s="265"/>
      <c r="AP150" s="265"/>
      <c r="AQ150" s="265"/>
      <c r="AR150" s="265"/>
      <c r="AS150" s="265"/>
      <c r="AT150" s="265"/>
      <c r="AU150" s="265"/>
      <c r="AV150" s="265"/>
      <c r="AW150" s="265"/>
      <c r="AX150" s="265"/>
      <c r="AY150" s="265"/>
      <c r="AZ150" s="265"/>
      <c r="BA150" s="265"/>
      <c r="BB150" s="265"/>
      <c r="BC150" s="265"/>
      <c r="BD150" s="265"/>
      <c r="BE150" s="265"/>
      <c r="BF150" s="265"/>
      <c r="BG150" s="265"/>
      <c r="BH150" s="265"/>
      <c r="BI150" s="265"/>
      <c r="BJ150" s="265"/>
      <c r="BK150" s="265"/>
      <c r="BL150" s="265"/>
      <c r="BM150" s="265"/>
      <c r="BN150" s="265"/>
      <c r="BO150" s="265"/>
      <c r="BP150" s="265"/>
      <c r="BQ150" s="265"/>
      <c r="BR150" s="265"/>
      <c r="BS150" s="265"/>
      <c r="BT150" s="265"/>
      <c r="BU150" s="265"/>
      <c r="BV150" s="265"/>
    </row>
    <row r="151">
      <c r="A151" s="251">
        <f>VLOOKUP($F151,UpdateHashtag!$V$3:$Y$32,COLUMN(B$15),0)</f>
        <v>4</v>
      </c>
      <c r="B151" s="252">
        <f>VLOOKUP($F151,UpdateHashtag!$V$3:$Y$32,COLUMN(C$13),0)</f>
        <v>3</v>
      </c>
      <c r="C151" s="252">
        <f>VLOOKUP($F151,UpdateHashtag!$V$3:$Y$32,COLUMN(D$13),0)</f>
        <v>4</v>
      </c>
      <c r="D151" s="268">
        <f t="shared" si="4"/>
        <v>11</v>
      </c>
      <c r="E151" s="19"/>
      <c r="F151" s="30" t="str">
        <f>IF(VLOOKUP(J151,PasteHashtag!$C$2:$P1015,3,)="BRO","BKN",IF(VLOOKUP(J151,PasteHashtag!$C$2:$P1015,3,)="OKL","OKC",VLOOKUP(J151,PasteHashtag!$C$2:$P1015,3,)))</f>
        <v>GS</v>
      </c>
      <c r="G151" s="269">
        <v>132.0</v>
      </c>
      <c r="H151" s="270">
        <f>IFERROR(__xludf.DUMMYFUNCTION("""COMPUTED_VALUE"""),136.0)</f>
        <v>136</v>
      </c>
      <c r="I151" s="270">
        <f>IFERROR(__xludf.DUMMYFUNCTION("""COMPUTED_VALUE"""),139.4)</f>
        <v>139.4</v>
      </c>
      <c r="J151" s="271" t="str">
        <f>IFERROR(__xludf.DUMMYFUNCTION("""COMPUTED_VALUE"""),"Andrew Wiggins")</f>
        <v>Andrew Wiggins</v>
      </c>
      <c r="K151" s="270">
        <f>IFERROR(__xludf.DUMMYFUNCTION("""COMPUTED_VALUE"""),55.0)</f>
        <v>55</v>
      </c>
      <c r="L151" s="272" t="str">
        <f>IFERROR(__xludf.DUMMYFUNCTION("""COMPUTED_VALUE"""),"SF,PF")</f>
        <v>SF,PF</v>
      </c>
      <c r="M151" s="273">
        <f>IFERROR(__xludf.DUMMYFUNCTION("""COMPUTED_VALUE"""),-2.7631089759461656)</f>
        <v>-2.763108976</v>
      </c>
      <c r="N151" s="273">
        <f>IFERROR(__xludf.DUMMYFUNCTION("""COMPUTED_VALUE"""),-2.8671346506792004)</f>
        <v>-2.867134651</v>
      </c>
      <c r="O151" s="274">
        <f>IFERROR(__xludf.DUMMYFUNCTION("""COMPUTED_VALUE"""),-0.10402567473303481)</f>
        <v>-0.1040256747</v>
      </c>
      <c r="P151" s="275">
        <f>IFERROR(__xludf.DUMMYFUNCTION("""COMPUTED_VALUE"""),16.31821918)</f>
        <v>16.31821918</v>
      </c>
      <c r="Q151" s="275">
        <f>IFERROR(__xludf.DUMMYFUNCTION("""COMPUTED_VALUE"""),1.830273973)</f>
        <v>1.830273973</v>
      </c>
      <c r="R151" s="275">
        <f>IFERROR(__xludf.DUMMYFUNCTION("""COMPUTED_VALUE"""),4.833287671)</f>
        <v>4.833287671</v>
      </c>
      <c r="S151" s="276">
        <f>IFERROR(__xludf.DUMMYFUNCTION("""COMPUTED_VALUE"""),2.018767123)</f>
        <v>2.018767123</v>
      </c>
      <c r="T151" s="275">
        <f>IFERROR(__xludf.DUMMYFUNCTION("""COMPUTED_VALUE"""),0.7994520548)</f>
        <v>0.7994520548</v>
      </c>
      <c r="U151" s="275">
        <f>IFERROR(__xludf.DUMMYFUNCTION("""COMPUTED_VALUE"""),0.7165753425)</f>
        <v>0.7165753425</v>
      </c>
      <c r="V151" s="272">
        <f>IFERROR(__xludf.DUMMYFUNCTION("""COMPUTED_VALUE"""),0.4621657323)</f>
        <v>0.4621657323</v>
      </c>
      <c r="W151" s="272">
        <f>IFERROR(__xludf.DUMMYFUNCTION("""COMPUTED_VALUE"""),0.7759864039)</f>
        <v>0.7759864039</v>
      </c>
      <c r="X151" s="275">
        <f>IFERROR(__xludf.DUMMYFUNCTION("""COMPUTED_VALUE"""),1.329178082)</f>
        <v>1.329178082</v>
      </c>
      <c r="Y151" s="273">
        <f>IFERROR(__xludf.DUMMYFUNCTION("""COMPUTED_VALUE"""),-0.2109797593232436)</f>
        <v>-0.2109797593</v>
      </c>
      <c r="Z151" s="273">
        <f>IFERROR(__xludf.DUMMYFUNCTION("""COMPUTED_VALUE"""),0.08094861614616976)</f>
        <v>0.08094861615</v>
      </c>
      <c r="AA151" s="273">
        <f>IFERROR(__xludf.DUMMYFUNCTION("""COMPUTED_VALUE"""),-0.4899016408096245)</f>
        <v>-0.4899016408</v>
      </c>
      <c r="AB151" s="273">
        <f>IFERROR(__xludf.DUMMYFUNCTION("""COMPUTED_VALUE"""),-0.8694780536055194)</f>
        <v>-0.8694780536</v>
      </c>
      <c r="AC151" s="273">
        <f>IFERROR(__xludf.DUMMYFUNCTION("""COMPUTED_VALUE"""),-0.5840759291896199)</f>
        <v>-0.5840759292</v>
      </c>
      <c r="AD151" s="273">
        <f>IFERROR(__xludf.DUMMYFUNCTION("""COMPUTED_VALUE"""),-0.05723962051489166)</f>
        <v>-0.05723962051</v>
      </c>
      <c r="AE151" s="273">
        <f>IFERROR(__xludf.DUMMYFUNCTION("""COMPUTED_VALUE"""),-0.5374102992083916)</f>
        <v>-0.5374102992</v>
      </c>
      <c r="AF151" s="273">
        <f>IFERROR(__xludf.DUMMYFUNCTION("""COMPUTED_VALUE"""),-0.19899796417407933)</f>
        <v>-0.1989979642</v>
      </c>
      <c r="AG151" s="277">
        <f>IFERROR(__xludf.DUMMYFUNCTION("""COMPUTED_VALUE"""),0.0)</f>
        <v>0</v>
      </c>
      <c r="AH151" s="265"/>
      <c r="AI151" s="338"/>
      <c r="AJ151" s="339"/>
      <c r="AK151" s="265"/>
      <c r="AL151" s="265"/>
      <c r="AM151" s="265"/>
      <c r="AN151" s="265"/>
      <c r="AO151" s="265"/>
      <c r="AP151" s="265"/>
      <c r="AQ151" s="265"/>
      <c r="AR151" s="265"/>
      <c r="AS151" s="265"/>
      <c r="AT151" s="265"/>
      <c r="AU151" s="265"/>
      <c r="AV151" s="265"/>
      <c r="AW151" s="265"/>
      <c r="AX151" s="265"/>
      <c r="AY151" s="265"/>
      <c r="AZ151" s="265"/>
      <c r="BA151" s="265"/>
      <c r="BB151" s="265"/>
      <c r="BC151" s="265"/>
      <c r="BD151" s="265"/>
      <c r="BE151" s="265"/>
      <c r="BF151" s="265"/>
      <c r="BG151" s="265"/>
      <c r="BH151" s="265"/>
      <c r="BI151" s="265"/>
      <c r="BJ151" s="265"/>
      <c r="BK151" s="265"/>
      <c r="BL151" s="265"/>
      <c r="BM151" s="265"/>
      <c r="BN151" s="265"/>
      <c r="BO151" s="265"/>
      <c r="BP151" s="265"/>
      <c r="BQ151" s="265"/>
      <c r="BR151" s="265"/>
      <c r="BS151" s="265"/>
      <c r="BT151" s="265"/>
      <c r="BU151" s="265"/>
      <c r="BV151" s="265"/>
    </row>
    <row r="152">
      <c r="A152" s="251">
        <f>VLOOKUP($F152,UpdateHashtag!$V$3:$Y$32,COLUMN(B$15),0)</f>
        <v>4</v>
      </c>
      <c r="B152" s="252">
        <f>VLOOKUP($F152,UpdateHashtag!$V$3:$Y$32,COLUMN(C$13),0)</f>
        <v>3</v>
      </c>
      <c r="C152" s="252">
        <f>VLOOKUP($F152,UpdateHashtag!$V$3:$Y$32,COLUMN(D$13),0)</f>
        <v>4</v>
      </c>
      <c r="D152" s="268">
        <f t="shared" si="4"/>
        <v>11</v>
      </c>
      <c r="E152" s="19"/>
      <c r="F152" s="30" t="str">
        <f>IF(VLOOKUP(J152,PasteHashtag!$C$2:$P1015,3,)="BRO","BKN",IF(VLOOKUP(J152,PasteHashtag!$C$2:$P1015,3,)="OKL","OKC",VLOOKUP(J152,PasteHashtag!$C$2:$P1015,3,)))</f>
        <v>POR</v>
      </c>
      <c r="G152" s="269">
        <v>133.0</v>
      </c>
      <c r="H152" s="270">
        <f>IFERROR(__xludf.DUMMYFUNCTION("""COMPUTED_VALUE"""),140.0)</f>
        <v>140</v>
      </c>
      <c r="I152" s="270">
        <f>IFERROR(__xludf.DUMMYFUNCTION("""COMPUTED_VALUE"""),140.6)</f>
        <v>140.6</v>
      </c>
      <c r="J152" s="271" t="str">
        <f>IFERROR(__xludf.DUMMYFUNCTION("""COMPUTED_VALUE"""),"Shaedon Sharpe")</f>
        <v>Shaedon Sharpe</v>
      </c>
      <c r="K152" s="270">
        <f>IFERROR(__xludf.DUMMYFUNCTION("""COMPUTED_VALUE"""),68.0)</f>
        <v>68</v>
      </c>
      <c r="L152" s="272" t="str">
        <f>IFERROR(__xludf.DUMMYFUNCTION("""COMPUTED_VALUE"""),"SG,SF")</f>
        <v>SG,SF</v>
      </c>
      <c r="M152" s="273">
        <f>IFERROR(__xludf.DUMMYFUNCTION("""COMPUTED_VALUE"""),-2.9250482508252555)</f>
        <v>-2.925048251</v>
      </c>
      <c r="N152" s="273">
        <f>IFERROR(__xludf.DUMMYFUNCTION("""COMPUTED_VALUE"""),-2.8861150555852957)</f>
        <v>-2.886115056</v>
      </c>
      <c r="O152" s="274">
        <f>IFERROR(__xludf.DUMMYFUNCTION("""COMPUTED_VALUE"""),0.03893319523995986)</f>
        <v>0.03893319524</v>
      </c>
      <c r="P152" s="275">
        <f>IFERROR(__xludf.DUMMYFUNCTION("""COMPUTED_VALUE"""),16.22216667)</f>
        <v>16.22216667</v>
      </c>
      <c r="Q152" s="275">
        <f>IFERROR(__xludf.DUMMYFUNCTION("""COMPUTED_VALUE"""),1.953166667)</f>
        <v>1.953166667</v>
      </c>
      <c r="R152" s="275">
        <f>IFERROR(__xludf.DUMMYFUNCTION("""COMPUTED_VALUE"""),4.764333333)</f>
        <v>4.764333333</v>
      </c>
      <c r="S152" s="276">
        <f>IFERROR(__xludf.DUMMYFUNCTION("""COMPUTED_VALUE"""),2.926666667)</f>
        <v>2.926666667</v>
      </c>
      <c r="T152" s="275">
        <f>IFERROR(__xludf.DUMMYFUNCTION("""COMPUTED_VALUE"""),0.8256666667)</f>
        <v>0.8256666667</v>
      </c>
      <c r="U152" s="275">
        <f>IFERROR(__xludf.DUMMYFUNCTION("""COMPUTED_VALUE"""),0.4053333333)</f>
        <v>0.4053333333</v>
      </c>
      <c r="V152" s="272">
        <f>IFERROR(__xludf.DUMMYFUNCTION("""COMPUTED_VALUE"""),0.4255115049)</f>
        <v>0.4255115049</v>
      </c>
      <c r="W152" s="272">
        <f>IFERROR(__xludf.DUMMYFUNCTION("""COMPUTED_VALUE"""),0.8199972952)</f>
        <v>0.8199972952</v>
      </c>
      <c r="X152" s="275">
        <f>IFERROR(__xludf.DUMMYFUNCTION("""COMPUTED_VALUE"""),1.905666667)</f>
        <v>1.905666667</v>
      </c>
      <c r="Y152" s="273">
        <f>IFERROR(__xludf.DUMMYFUNCTION("""COMPUTED_VALUE"""),-0.22829376586608058)</f>
        <v>-0.2282937659</v>
      </c>
      <c r="Z152" s="273">
        <f>IFERROR(__xludf.DUMMYFUNCTION("""COMPUTED_VALUE"""),0.20284938656421406)</f>
        <v>0.2028493866</v>
      </c>
      <c r="AA152" s="273">
        <f>IFERROR(__xludf.DUMMYFUNCTION("""COMPUTED_VALUE"""),-0.516925328299637)</f>
        <v>-0.5169253283</v>
      </c>
      <c r="AB152" s="273">
        <f>IFERROR(__xludf.DUMMYFUNCTION("""COMPUTED_VALUE"""),-0.457165998725463)</f>
        <v>-0.4571659987</v>
      </c>
      <c r="AC152" s="273">
        <f>IFERROR(__xludf.DUMMYFUNCTION("""COMPUTED_VALUE"""),-0.49734977790820695)</f>
        <v>-0.4973497779</v>
      </c>
      <c r="AD152" s="273">
        <f>IFERROR(__xludf.DUMMYFUNCTION("""COMPUTED_VALUE"""),-0.6123857529205199)</f>
        <v>-0.6123857529</v>
      </c>
      <c r="AE152" s="273">
        <f>IFERROR(__xludf.DUMMYFUNCTION("""COMPUTED_VALUE"""),-1.1017779250598871)</f>
        <v>-1.101777925</v>
      </c>
      <c r="AF152" s="273">
        <f>IFERROR(__xludf.DUMMYFUNCTION("""COMPUTED_VALUE"""),0.32493410663028505)</f>
        <v>0.3249341066</v>
      </c>
      <c r="AG152" s="277">
        <f>IFERROR(__xludf.DUMMYFUNCTION("""COMPUTED_VALUE"""),0.0)</f>
        <v>0</v>
      </c>
      <c r="AH152" s="265"/>
      <c r="AI152" s="338"/>
      <c r="AJ152" s="339"/>
      <c r="AK152" s="265"/>
      <c r="AL152" s="265"/>
      <c r="AM152" s="265"/>
      <c r="AN152" s="265"/>
      <c r="AO152" s="265"/>
      <c r="AP152" s="265"/>
      <c r="AQ152" s="265"/>
      <c r="AR152" s="265"/>
      <c r="AS152" s="265"/>
      <c r="AT152" s="265"/>
      <c r="AU152" s="265"/>
      <c r="AV152" s="265"/>
      <c r="AW152" s="265"/>
      <c r="AX152" s="265"/>
      <c r="AY152" s="265"/>
      <c r="AZ152" s="265"/>
      <c r="BA152" s="265"/>
      <c r="BB152" s="265"/>
      <c r="BC152" s="265"/>
      <c r="BD152" s="265"/>
      <c r="BE152" s="265"/>
      <c r="BF152" s="265"/>
      <c r="BG152" s="265"/>
      <c r="BH152" s="265"/>
      <c r="BI152" s="265"/>
      <c r="BJ152" s="265"/>
      <c r="BK152" s="265"/>
      <c r="BL152" s="265"/>
      <c r="BM152" s="265"/>
      <c r="BN152" s="265"/>
      <c r="BO152" s="265"/>
      <c r="BP152" s="265"/>
      <c r="BQ152" s="265"/>
      <c r="BR152" s="265"/>
      <c r="BS152" s="265"/>
      <c r="BT152" s="265"/>
      <c r="BU152" s="265"/>
      <c r="BV152" s="265"/>
    </row>
    <row r="153">
      <c r="A153" s="251">
        <f>VLOOKUP($F153,UpdateHashtag!$V$3:$Y$32,COLUMN(B$15),0)</f>
        <v>4</v>
      </c>
      <c r="B153" s="252">
        <f>VLOOKUP($F153,UpdateHashtag!$V$3:$Y$32,COLUMN(C$13),0)</f>
        <v>4</v>
      </c>
      <c r="C153" s="252">
        <f>VLOOKUP($F153,UpdateHashtag!$V$3:$Y$32,COLUMN(D$13),0)</f>
        <v>2</v>
      </c>
      <c r="D153" s="268">
        <f t="shared" si="4"/>
        <v>10</v>
      </c>
      <c r="E153" s="19"/>
      <c r="F153" s="30" t="str">
        <f>IF(VLOOKUP(J153,PasteHashtag!$C$2:$P1015,3,)="BRO","BKN",IF(VLOOKUP(J153,PasteHashtag!$C$2:$P1015,3,)="OKL","OKC",VLOOKUP(J153,PasteHashtag!$C$2:$P1015,3,)))</f>
        <v>DAL</v>
      </c>
      <c r="G153" s="269">
        <v>134.0</v>
      </c>
      <c r="H153" s="270">
        <f>IFERROR(__xludf.DUMMYFUNCTION("""COMPUTED_VALUE"""),114.0)</f>
        <v>114</v>
      </c>
      <c r="I153" s="270">
        <f>IFERROR(__xludf.DUMMYFUNCTION("""COMPUTED_VALUE"""),108.3)</f>
        <v>108.3</v>
      </c>
      <c r="J153" s="271" t="str">
        <f>IFERROR(__xludf.DUMMYFUNCTION("""COMPUTED_VALUE"""),"Dereck Lively II")</f>
        <v>Dereck Lively II</v>
      </c>
      <c r="K153" s="270">
        <f>IFERROR(__xludf.DUMMYFUNCTION("""COMPUTED_VALUE"""),44.0)</f>
        <v>44</v>
      </c>
      <c r="L153" s="272" t="str">
        <f>IFERROR(__xludf.DUMMYFUNCTION("""COMPUTED_VALUE"""),"PG")</f>
        <v>PG</v>
      </c>
      <c r="M153" s="273">
        <f>IFERROR(__xludf.DUMMYFUNCTION("""COMPUTED_VALUE"""),-2.648490969509301)</f>
        <v>-2.64849097</v>
      </c>
      <c r="N153" s="273">
        <f>IFERROR(__xludf.DUMMYFUNCTION("""COMPUTED_VALUE"""),-2.88644198378818)</f>
        <v>-2.886441984</v>
      </c>
      <c r="O153" s="274">
        <f>IFERROR(__xludf.DUMMYFUNCTION("""COMPUTED_VALUE"""),-0.23795101427887877)</f>
        <v>-0.2379510143</v>
      </c>
      <c r="P153" s="275">
        <f>IFERROR(__xludf.DUMMYFUNCTION("""COMPUTED_VALUE"""),10.26867647)</f>
        <v>10.26867647</v>
      </c>
      <c r="Q153" s="275">
        <f>IFERROR(__xludf.DUMMYFUNCTION("""COMPUTED_VALUE"""),0.01264705882)</f>
        <v>0.01264705882</v>
      </c>
      <c r="R153" s="275">
        <f>IFERROR(__xludf.DUMMYFUNCTION("""COMPUTED_VALUE"""),7.259411765)</f>
        <v>7.259411765</v>
      </c>
      <c r="S153" s="276">
        <f>IFERROR(__xludf.DUMMYFUNCTION("""COMPUTED_VALUE"""),1.215)</f>
        <v>1.215</v>
      </c>
      <c r="T153" s="275">
        <f>IFERROR(__xludf.DUMMYFUNCTION("""COMPUTED_VALUE"""),0.6970588235)</f>
        <v>0.6970588235</v>
      </c>
      <c r="U153" s="275">
        <f>IFERROR(__xludf.DUMMYFUNCTION("""COMPUTED_VALUE"""),1.507205882)</f>
        <v>1.507205882</v>
      </c>
      <c r="V153" s="272">
        <f>IFERROR(__xludf.DUMMYFUNCTION("""COMPUTED_VALUE"""),0.7474900417)</f>
        <v>0.7474900417</v>
      </c>
      <c r="W153" s="272">
        <f>IFERROR(__xludf.DUMMYFUNCTION("""COMPUTED_VALUE"""),0.5399922345)</f>
        <v>0.5399922345</v>
      </c>
      <c r="X153" s="275">
        <f>IFERROR(__xludf.DUMMYFUNCTION("""COMPUTED_VALUE"""),0.7891176471)</f>
        <v>0.7891176471</v>
      </c>
      <c r="Y153" s="273">
        <f>IFERROR(__xludf.DUMMYFUNCTION("""COMPUTED_VALUE"""),-1.3014439446122272)</f>
        <v>-1.301443945</v>
      </c>
      <c r="Z153" s="273">
        <f>IFERROR(__xludf.DUMMYFUNCTION("""COMPUTED_VALUE"""),-1.722007393355211)</f>
        <v>-1.722007393</v>
      </c>
      <c r="AA153" s="273">
        <f>IFERROR(__xludf.DUMMYFUNCTION("""COMPUTED_VALUE"""),0.46091336561166024)</f>
        <v>0.4609133656</v>
      </c>
      <c r="AB153" s="273">
        <f>IFERROR(__xludf.DUMMYFUNCTION("""COMPUTED_VALUE"""),-1.2344995764373021)</f>
        <v>-1.234499576</v>
      </c>
      <c r="AC153" s="273">
        <f>IFERROR(__xludf.DUMMYFUNCTION("""COMPUTED_VALUE"""),-0.9228248262471619)</f>
        <v>-0.9228248262</v>
      </c>
      <c r="AD153" s="273">
        <f>IFERROR(__xludf.DUMMYFUNCTION("""COMPUTED_VALUE"""),1.3529668207472165)</f>
        <v>1.352966821</v>
      </c>
      <c r="AE153" s="273">
        <f>IFERROR(__xludf.DUMMYFUNCTION("""COMPUTED_VALUE"""),1.8375724534450568)</f>
        <v>1.837572453</v>
      </c>
      <c r="AF153" s="273">
        <f>IFERROR(__xludf.DUMMYFUNCTION("""COMPUTED_VALUE"""),-1.3571188829402114)</f>
        <v>-1.357118883</v>
      </c>
      <c r="AG153" s="277">
        <f>IFERROR(__xludf.DUMMYFUNCTION("""COMPUTED_VALUE"""),0.0)</f>
        <v>0</v>
      </c>
      <c r="AH153" s="265"/>
      <c r="AI153" s="338"/>
      <c r="AJ153" s="339"/>
      <c r="AK153" s="265"/>
      <c r="AL153" s="265"/>
      <c r="AM153" s="265"/>
      <c r="AN153" s="265"/>
      <c r="AO153" s="265"/>
      <c r="AP153" s="265"/>
      <c r="AQ153" s="265"/>
      <c r="AR153" s="265"/>
      <c r="AS153" s="265"/>
      <c r="AT153" s="265"/>
      <c r="AU153" s="265"/>
      <c r="AV153" s="265"/>
      <c r="AW153" s="265"/>
      <c r="AX153" s="265"/>
      <c r="AY153" s="265"/>
      <c r="AZ153" s="265"/>
      <c r="BA153" s="265"/>
      <c r="BB153" s="265"/>
      <c r="BC153" s="265"/>
      <c r="BD153" s="265"/>
      <c r="BE153" s="265"/>
      <c r="BF153" s="265"/>
      <c r="BG153" s="265"/>
      <c r="BH153" s="265"/>
      <c r="BI153" s="265"/>
      <c r="BJ153" s="265"/>
      <c r="BK153" s="265"/>
      <c r="BL153" s="265"/>
      <c r="BM153" s="265"/>
      <c r="BN153" s="265"/>
      <c r="BO153" s="265"/>
      <c r="BP153" s="265"/>
      <c r="BQ153" s="265"/>
      <c r="BR153" s="265"/>
      <c r="BS153" s="265"/>
      <c r="BT153" s="265"/>
      <c r="BU153" s="265"/>
      <c r="BV153" s="265"/>
    </row>
    <row r="154">
      <c r="A154" s="251">
        <f>VLOOKUP($F154,UpdateHashtag!$V$3:$Y$32,COLUMN(B$15),0)</f>
        <v>3</v>
      </c>
      <c r="B154" s="252">
        <f>VLOOKUP($F154,UpdateHashtag!$V$3:$Y$32,COLUMN(C$13),0)</f>
        <v>4</v>
      </c>
      <c r="C154" s="252">
        <f>VLOOKUP($F154,UpdateHashtag!$V$3:$Y$32,COLUMN(D$13),0)</f>
        <v>3</v>
      </c>
      <c r="D154" s="268">
        <f t="shared" si="4"/>
        <v>10</v>
      </c>
      <c r="E154" s="19"/>
      <c r="F154" s="30" t="str">
        <f>IF(VLOOKUP(J154,PasteHashtag!$C$2:$P1015,3,)="BRO","BKN",IF(VLOOKUP(J154,PasteHashtag!$C$2:$P1015,3,)="OKL","OKC",VLOOKUP(J154,PasteHashtag!$C$2:$P1015,3,)))</f>
        <v>TOR</v>
      </c>
      <c r="G154" s="269">
        <v>135.0</v>
      </c>
      <c r="H154" s="270">
        <f>IFERROR(__xludf.DUMMYFUNCTION("""COMPUTED_VALUE"""),131.0)</f>
        <v>131</v>
      </c>
      <c r="I154" s="270">
        <f>IFERROR(__xludf.DUMMYFUNCTION("""COMPUTED_VALUE"""),107.7)</f>
        <v>107.7</v>
      </c>
      <c r="J154" s="271" t="str">
        <f>IFERROR(__xludf.DUMMYFUNCTION("""COMPUTED_VALUE"""),"RJ Barrett")</f>
        <v>RJ Barrett</v>
      </c>
      <c r="K154" s="270">
        <f>IFERROR(__xludf.DUMMYFUNCTION("""COMPUTED_VALUE"""),78.0)</f>
        <v>78</v>
      </c>
      <c r="L154" s="272" t="str">
        <f>IFERROR(__xludf.DUMMYFUNCTION("""COMPUTED_VALUE"""),"SG,SF")</f>
        <v>SG,SF</v>
      </c>
      <c r="M154" s="273">
        <f>IFERROR(__xludf.DUMMYFUNCTION("""COMPUTED_VALUE"""),-3.055735265680692)</f>
        <v>-3.055735266</v>
      </c>
      <c r="N154" s="273">
        <f>IFERROR(__xludf.DUMMYFUNCTION("""COMPUTED_VALUE"""),-2.891554074117037)</f>
        <v>-2.891554074</v>
      </c>
      <c r="O154" s="274">
        <f>IFERROR(__xludf.DUMMYFUNCTION("""COMPUTED_VALUE"""),0.16418119156365485)</f>
        <v>0.1641811916</v>
      </c>
      <c r="P154" s="275">
        <f>IFERROR(__xludf.DUMMYFUNCTION("""COMPUTED_VALUE"""),21.90529412)</f>
        <v>21.90529412</v>
      </c>
      <c r="Q154" s="275">
        <f>IFERROR(__xludf.DUMMYFUNCTION("""COMPUTED_VALUE"""),1.264558824)</f>
        <v>1.264558824</v>
      </c>
      <c r="R154" s="275">
        <f>IFERROR(__xludf.DUMMYFUNCTION("""COMPUTED_VALUE"""),6.186176471)</f>
        <v>6.186176471</v>
      </c>
      <c r="S154" s="276">
        <f>IFERROR(__xludf.DUMMYFUNCTION("""COMPUTED_VALUE"""),4.197794118)</f>
        <v>4.197794118</v>
      </c>
      <c r="T154" s="275">
        <f>IFERROR(__xludf.DUMMYFUNCTION("""COMPUTED_VALUE"""),0.5973529412)</f>
        <v>0.5973529412</v>
      </c>
      <c r="U154" s="275">
        <f>IFERROR(__xludf.DUMMYFUNCTION("""COMPUTED_VALUE"""),0.3647058824)</f>
        <v>0.3647058824</v>
      </c>
      <c r="V154" s="272">
        <f>IFERROR(__xludf.DUMMYFUNCTION("""COMPUTED_VALUE"""),0.5216020917)</f>
        <v>0.5216020917</v>
      </c>
      <c r="W154" s="272">
        <f>IFERROR(__xludf.DUMMYFUNCTION("""COMPUTED_VALUE"""),0.6889948007)</f>
        <v>0.6889948007</v>
      </c>
      <c r="X154" s="275">
        <f>IFERROR(__xludf.DUMMYFUNCTION("""COMPUTED_VALUE"""),2.410735294)</f>
        <v>2.410735294</v>
      </c>
      <c r="Y154" s="273">
        <f>IFERROR(__xludf.DUMMYFUNCTION("""COMPUTED_VALUE"""),0.7961220026867314)</f>
        <v>0.7961220027</v>
      </c>
      <c r="Z154" s="273">
        <f>IFERROR(__xludf.DUMMYFUNCTION("""COMPUTED_VALUE"""),-0.48020038511389407)</f>
        <v>-0.4802003851</v>
      </c>
      <c r="AA154" s="273">
        <f>IFERROR(__xludf.DUMMYFUNCTION("""COMPUTED_VALUE"""),0.04030494517685622)</f>
        <v>0.04030494518</v>
      </c>
      <c r="AB154" s="273">
        <f>IFERROR(__xludf.DUMMYFUNCTION("""COMPUTED_VALUE"""),0.12010180011843437)</f>
        <v>0.1201018001</v>
      </c>
      <c r="AC154" s="273">
        <f>IFERROR(__xludf.DUMMYFUNCTION("""COMPUTED_VALUE"""),-1.2526831306532082)</f>
        <v>-1.252683131</v>
      </c>
      <c r="AD154" s="273">
        <f>IFERROR(__xludf.DUMMYFUNCTION("""COMPUTED_VALUE"""),-0.6848508173075755)</f>
        <v>-0.6848508173</v>
      </c>
      <c r="AE154" s="273">
        <f>IFERROR(__xludf.DUMMYFUNCTION("""COMPUTED_VALUE"""),0.4652628112668551)</f>
        <v>0.4652628113</v>
      </c>
      <c r="AF154" s="273">
        <f>IFERROR(__xludf.DUMMYFUNCTION("""COMPUTED_VALUE"""),-1.8956113002912363)</f>
        <v>-1.8956113</v>
      </c>
      <c r="AG154" s="277">
        <f>IFERROR(__xludf.DUMMYFUNCTION("""COMPUTED_VALUE"""),0.0)</f>
        <v>0</v>
      </c>
      <c r="AH154" s="265"/>
      <c r="AI154" s="338"/>
      <c r="AJ154" s="339"/>
      <c r="AK154" s="265"/>
      <c r="AL154" s="265"/>
      <c r="AM154" s="265"/>
      <c r="AN154" s="265"/>
      <c r="AO154" s="265"/>
      <c r="AP154" s="265"/>
      <c r="AQ154" s="265"/>
      <c r="AR154" s="265"/>
      <c r="AS154" s="265"/>
      <c r="AT154" s="265"/>
      <c r="AU154" s="265"/>
      <c r="AV154" s="265"/>
      <c r="AW154" s="265"/>
      <c r="AX154" s="265"/>
      <c r="AY154" s="265"/>
      <c r="AZ154" s="265"/>
      <c r="BA154" s="265"/>
      <c r="BB154" s="265"/>
      <c r="BC154" s="265"/>
      <c r="BD154" s="265"/>
      <c r="BE154" s="265"/>
      <c r="BF154" s="265"/>
      <c r="BG154" s="265"/>
      <c r="BH154" s="265"/>
      <c r="BI154" s="265"/>
      <c r="BJ154" s="265"/>
      <c r="BK154" s="265"/>
      <c r="BL154" s="265"/>
      <c r="BM154" s="265"/>
      <c r="BN154" s="265"/>
      <c r="BO154" s="265"/>
      <c r="BP154" s="265"/>
      <c r="BQ154" s="265"/>
      <c r="BR154" s="265"/>
      <c r="BS154" s="265"/>
      <c r="BT154" s="265"/>
      <c r="BU154" s="265"/>
      <c r="BV154" s="265"/>
    </row>
    <row r="155">
      <c r="A155" s="251">
        <f>VLOOKUP($F155,UpdateHashtag!$V$3:$Y$32,COLUMN(B$15),0)</f>
        <v>4</v>
      </c>
      <c r="B155" s="252">
        <f>VLOOKUP($F155,UpdateHashtag!$V$3:$Y$32,COLUMN(C$13),0)</f>
        <v>4</v>
      </c>
      <c r="C155" s="252">
        <f>VLOOKUP($F155,UpdateHashtag!$V$3:$Y$32,COLUMN(D$13),0)</f>
        <v>3</v>
      </c>
      <c r="D155" s="268">
        <f t="shared" si="4"/>
        <v>11</v>
      </c>
      <c r="E155" s="19"/>
      <c r="F155" s="30" t="str">
        <f>IF(VLOOKUP(J155,PasteHashtag!$C$2:$P1015,3,)="BRO","BKN",IF(VLOOKUP(J155,PasteHashtag!$C$2:$P1015,3,)="OKL","OKC",VLOOKUP(J155,PasteHashtag!$C$2:$P1015,3,)))</f>
        <v>MIL</v>
      </c>
      <c r="G155" s="269">
        <v>136.0</v>
      </c>
      <c r="H155" s="270">
        <f>IFERROR(__xludf.DUMMYFUNCTION("""COMPUTED_VALUE"""),143.0)</f>
        <v>143</v>
      </c>
      <c r="I155" s="270">
        <f>IFERROR(__xludf.DUMMYFUNCTION("""COMPUTED_VALUE"""),143.9)</f>
        <v>143.9</v>
      </c>
      <c r="J155" s="271" t="str">
        <f>IFERROR(__xludf.DUMMYFUNCTION("""COMPUTED_VALUE"""),"Gary Trent Jr.")</f>
        <v>Gary Trent Jr.</v>
      </c>
      <c r="K155" s="270">
        <f>IFERROR(__xludf.DUMMYFUNCTION("""COMPUTED_VALUE"""),67.0)</f>
        <v>67</v>
      </c>
      <c r="L155" s="272" t="str">
        <f>IFERROR(__xludf.DUMMYFUNCTION("""COMPUTED_VALUE"""),"SG,SF")</f>
        <v>SG,SF</v>
      </c>
      <c r="M155" s="273">
        <f>IFERROR(__xludf.DUMMYFUNCTION("""COMPUTED_VALUE"""),-2.67191700154966)</f>
        <v>-2.671917002</v>
      </c>
      <c r="N155" s="273">
        <f>IFERROR(__xludf.DUMMYFUNCTION("""COMPUTED_VALUE"""),-2.926736196265121)</f>
        <v>-2.926736196</v>
      </c>
      <c r="O155" s="274">
        <f>IFERROR(__xludf.DUMMYFUNCTION("""COMPUTED_VALUE"""),-0.254819194715461)</f>
        <v>-0.2548191947</v>
      </c>
      <c r="P155" s="275">
        <f>IFERROR(__xludf.DUMMYFUNCTION("""COMPUTED_VALUE"""),14.87479452)</f>
        <v>14.87479452</v>
      </c>
      <c r="Q155" s="275">
        <f>IFERROR(__xludf.DUMMYFUNCTION("""COMPUTED_VALUE"""),2.742054795)</f>
        <v>2.742054795</v>
      </c>
      <c r="R155" s="275">
        <f>IFERROR(__xludf.DUMMYFUNCTION("""COMPUTED_VALUE"""),2.706027397)</f>
        <v>2.706027397</v>
      </c>
      <c r="S155" s="276">
        <f>IFERROR(__xludf.DUMMYFUNCTION("""COMPUTED_VALUE"""),1.583972603)</f>
        <v>1.583972603</v>
      </c>
      <c r="T155" s="275">
        <f>IFERROR(__xludf.DUMMYFUNCTION("""COMPUTED_VALUE"""),1.187945205)</f>
        <v>1.187945205</v>
      </c>
      <c r="U155" s="275">
        <f>IFERROR(__xludf.DUMMYFUNCTION("""COMPUTED_VALUE"""),0.1964383562)</f>
        <v>0.1964383562</v>
      </c>
      <c r="V155" s="272">
        <f>IFERROR(__xludf.DUMMYFUNCTION("""COMPUTED_VALUE"""),0.4240654708)</f>
        <v>0.4240654708</v>
      </c>
      <c r="W155" s="272">
        <f>IFERROR(__xludf.DUMMYFUNCTION("""COMPUTED_VALUE"""),0.853010989)</f>
        <v>0.853010989</v>
      </c>
      <c r="X155" s="275">
        <f>IFERROR(__xludf.DUMMYFUNCTION("""COMPUTED_VALUE"""),0.7210958904)</f>
        <v>0.7210958904</v>
      </c>
      <c r="Y155" s="273">
        <f>IFERROR(__xludf.DUMMYFUNCTION("""COMPUTED_VALUE"""),-0.4711651933877183)</f>
        <v>-0.4711651934</v>
      </c>
      <c r="Z155" s="273">
        <f>IFERROR(__xludf.DUMMYFUNCTION("""COMPUTED_VALUE"""),0.9853700348368335)</f>
        <v>0.9853700348</v>
      </c>
      <c r="AA155" s="273">
        <f>IFERROR(__xludf.DUMMYFUNCTION("""COMPUTED_VALUE"""),-1.323589825220794)</f>
        <v>-1.323589825</v>
      </c>
      <c r="AB155" s="273">
        <f>IFERROR(__xludf.DUMMYFUNCTION("""COMPUTED_VALUE"""),-1.066934945369073)</f>
        <v>-1.066934945</v>
      </c>
      <c r="AC155" s="273">
        <f>IFERROR(__xludf.DUMMYFUNCTION("""COMPUTED_VALUE"""),0.7011811573758275)</f>
        <v>0.7011811574</v>
      </c>
      <c r="AD155" s="273">
        <f>IFERROR(__xludf.DUMMYFUNCTION("""COMPUTED_VALUE"""),-0.984980824241719)</f>
        <v>-0.9849808242</v>
      </c>
      <c r="AE155" s="273">
        <f>IFERROR(__xludf.DUMMYFUNCTION("""COMPUTED_VALUE"""),-1.0842853067481153)</f>
        <v>-1.084285307</v>
      </c>
      <c r="AF155" s="273">
        <f>IFERROR(__xludf.DUMMYFUNCTION("""COMPUTED_VALUE"""),0.3176687064896379)</f>
        <v>0.3176687065</v>
      </c>
      <c r="AG155" s="277">
        <f>IFERROR(__xludf.DUMMYFUNCTION("""COMPUTED_VALUE"""),0.0)</f>
        <v>0</v>
      </c>
      <c r="AH155" s="265"/>
      <c r="AI155" s="338"/>
      <c r="AJ155" s="339"/>
      <c r="AK155" s="265"/>
      <c r="AL155" s="265"/>
      <c r="AM155" s="265"/>
      <c r="AN155" s="265"/>
      <c r="AO155" s="265"/>
      <c r="AP155" s="265"/>
      <c r="AQ155" s="265"/>
      <c r="AR155" s="265"/>
      <c r="AS155" s="265"/>
      <c r="AT155" s="265"/>
      <c r="AU155" s="265"/>
      <c r="AV155" s="265"/>
      <c r="AW155" s="265"/>
      <c r="AX155" s="265"/>
      <c r="AY155" s="265"/>
      <c r="AZ155" s="265"/>
      <c r="BA155" s="265"/>
      <c r="BB155" s="265"/>
      <c r="BC155" s="265"/>
      <c r="BD155" s="265"/>
      <c r="BE155" s="265"/>
      <c r="BF155" s="265"/>
      <c r="BG155" s="265"/>
      <c r="BH155" s="265"/>
      <c r="BI155" s="265"/>
      <c r="BJ155" s="265"/>
      <c r="BK155" s="265"/>
      <c r="BL155" s="265"/>
      <c r="BM155" s="265"/>
      <c r="BN155" s="265"/>
      <c r="BO155" s="265"/>
      <c r="BP155" s="265"/>
      <c r="BQ155" s="265"/>
      <c r="BR155" s="265"/>
      <c r="BS155" s="265"/>
      <c r="BT155" s="265"/>
      <c r="BU155" s="265"/>
      <c r="BV155" s="265"/>
    </row>
    <row r="156">
      <c r="A156" s="251">
        <f>VLOOKUP($F156,UpdateHashtag!$V$3:$Y$32,COLUMN(B$15),0)</f>
        <v>4</v>
      </c>
      <c r="B156" s="252">
        <f>VLOOKUP($F156,UpdateHashtag!$V$3:$Y$32,COLUMN(C$13),0)</f>
        <v>3</v>
      </c>
      <c r="C156" s="252">
        <f>VLOOKUP($F156,UpdateHashtag!$V$3:$Y$32,COLUMN(D$13),0)</f>
        <v>4</v>
      </c>
      <c r="D156" s="268">
        <f t="shared" si="4"/>
        <v>11</v>
      </c>
      <c r="E156" s="19"/>
      <c r="F156" s="30" t="str">
        <f>IF(VLOOKUP(J156,PasteHashtag!$C$2:$P1015,3,)="BRO","BKN",IF(VLOOKUP(J156,PasteHashtag!$C$2:$P1015,3,)="OKL","OKC",VLOOKUP(J156,PasteHashtag!$C$2:$P1015,3,)))</f>
        <v>DET</v>
      </c>
      <c r="G156" s="269">
        <v>137.0</v>
      </c>
      <c r="H156" s="270">
        <f>IFERROR(__xludf.DUMMYFUNCTION("""COMPUTED_VALUE"""),142.0)</f>
        <v>142</v>
      </c>
      <c r="I156" s="270">
        <f>IFERROR(__xludf.DUMMYFUNCTION("""COMPUTED_VALUE"""),132.1)</f>
        <v>132.1</v>
      </c>
      <c r="J156" s="271" t="str">
        <f>IFERROR(__xludf.DUMMYFUNCTION("""COMPUTED_VALUE"""),"Jaden Ivey")</f>
        <v>Jaden Ivey</v>
      </c>
      <c r="K156" s="270">
        <f>IFERROR(__xludf.DUMMYFUNCTION("""COMPUTED_VALUE"""),60.0)</f>
        <v>60</v>
      </c>
      <c r="L156" s="272" t="str">
        <f>IFERROR(__xludf.DUMMYFUNCTION("""COMPUTED_VALUE"""),"PF,C")</f>
        <v>PF,C</v>
      </c>
      <c r="M156" s="273">
        <f>IFERROR(__xludf.DUMMYFUNCTION("""COMPUTED_VALUE"""),-3.1775083361892653)</f>
        <v>-3.177508336</v>
      </c>
      <c r="N156" s="273">
        <f>IFERROR(__xludf.DUMMYFUNCTION("""COMPUTED_VALUE"""),-3.005560467908017)</f>
        <v>-3.005560468</v>
      </c>
      <c r="O156" s="274">
        <f>IFERROR(__xludf.DUMMYFUNCTION("""COMPUTED_VALUE"""),0.17194786828124853)</f>
        <v>0.1719478683</v>
      </c>
      <c r="P156" s="275">
        <f>IFERROR(__xludf.DUMMYFUNCTION("""COMPUTED_VALUE"""),17.90013699)</f>
        <v>17.90013699</v>
      </c>
      <c r="Q156" s="275">
        <f>IFERROR(__xludf.DUMMYFUNCTION("""COMPUTED_VALUE"""),2.133424658)</f>
        <v>2.133424658</v>
      </c>
      <c r="R156" s="275">
        <f>IFERROR(__xludf.DUMMYFUNCTION("""COMPUTED_VALUE"""),3.366027397)</f>
        <v>3.366027397</v>
      </c>
      <c r="S156" s="276">
        <f>IFERROR(__xludf.DUMMYFUNCTION("""COMPUTED_VALUE"""),4.62)</f>
        <v>4.62</v>
      </c>
      <c r="T156" s="275">
        <f>IFERROR(__xludf.DUMMYFUNCTION("""COMPUTED_VALUE"""),0.708630137)</f>
        <v>0.708630137</v>
      </c>
      <c r="U156" s="275">
        <f>IFERROR(__xludf.DUMMYFUNCTION("""COMPUTED_VALUE"""),0.4694520548)</f>
        <v>0.4694520548</v>
      </c>
      <c r="V156" s="272">
        <f>IFERROR(__xludf.DUMMYFUNCTION("""COMPUTED_VALUE"""),0.4420107856)</f>
        <v>0.4420107856</v>
      </c>
      <c r="W156" s="272">
        <f>IFERROR(__xludf.DUMMYFUNCTION("""COMPUTED_VALUE"""),0.7660149531)</f>
        <v>0.7660149531</v>
      </c>
      <c r="X156" s="275">
        <f>IFERROR(__xludf.DUMMYFUNCTION("""COMPUTED_VALUE"""),2.442054795)</f>
        <v>2.442054795</v>
      </c>
      <c r="Y156" s="273">
        <f>IFERROR(__xludf.DUMMYFUNCTION("""COMPUTED_VALUE"""),0.07416984595589392)</f>
        <v>0.07416984596</v>
      </c>
      <c r="Z156" s="273">
        <f>IFERROR(__xludf.DUMMYFUNCTION("""COMPUTED_VALUE"""),0.38165243222703327)</f>
        <v>0.3816524322</v>
      </c>
      <c r="AA156" s="273">
        <f>IFERROR(__xludf.DUMMYFUNCTION("""COMPUTED_VALUE"""),-1.064931207638124)</f>
        <v>-1.064931208</v>
      </c>
      <c r="AB156" s="273">
        <f>IFERROR(__xludf.DUMMYFUNCTION("""COMPUTED_VALUE"""),0.31184170784314474)</f>
        <v>0.3118417078</v>
      </c>
      <c r="AC156" s="273">
        <f>IFERROR(__xludf.DUMMYFUNCTION("""COMPUTED_VALUE"""),-0.8845432949792642)</f>
        <v>-0.884543295</v>
      </c>
      <c r="AD156" s="273">
        <f>IFERROR(__xludf.DUMMYFUNCTION("""COMPUTED_VALUE"""),-0.49802053484789915)</f>
        <v>-0.4980205348</v>
      </c>
      <c r="AE156" s="273">
        <f>IFERROR(__xludf.DUMMYFUNCTION("""COMPUTED_VALUE"""),-0.9286160562044492)</f>
        <v>-0.9286160562</v>
      </c>
      <c r="AF156" s="273">
        <f>IFERROR(__xludf.DUMMYFUNCTION("""COMPUTED_VALUE"""),-0.3971133602643521)</f>
        <v>-0.3971133603</v>
      </c>
      <c r="AG156" s="277">
        <f>IFERROR(__xludf.DUMMYFUNCTION("""COMPUTED_VALUE"""),0.0)</f>
        <v>0</v>
      </c>
      <c r="AH156" s="265"/>
      <c r="AI156" s="338"/>
      <c r="AJ156" s="339"/>
      <c r="AK156" s="265"/>
      <c r="AL156" s="265"/>
      <c r="AM156" s="265"/>
      <c r="AN156" s="265"/>
      <c r="AO156" s="265"/>
      <c r="AP156" s="265"/>
      <c r="AQ156" s="265"/>
      <c r="AR156" s="265"/>
      <c r="AS156" s="265"/>
      <c r="AT156" s="265"/>
      <c r="AU156" s="265"/>
      <c r="AV156" s="265"/>
      <c r="AW156" s="265"/>
      <c r="AX156" s="265"/>
      <c r="AY156" s="265"/>
      <c r="AZ156" s="265"/>
      <c r="BA156" s="265"/>
      <c r="BB156" s="265"/>
      <c r="BC156" s="265"/>
      <c r="BD156" s="265"/>
      <c r="BE156" s="265"/>
      <c r="BF156" s="265"/>
      <c r="BG156" s="265"/>
      <c r="BH156" s="265"/>
      <c r="BI156" s="265"/>
      <c r="BJ156" s="265"/>
      <c r="BK156" s="265"/>
      <c r="BL156" s="265"/>
      <c r="BM156" s="265"/>
      <c r="BN156" s="265"/>
      <c r="BO156" s="265"/>
      <c r="BP156" s="265"/>
      <c r="BQ156" s="265"/>
      <c r="BR156" s="265"/>
      <c r="BS156" s="265"/>
      <c r="BT156" s="265"/>
      <c r="BU156" s="265"/>
      <c r="BV156" s="265"/>
    </row>
    <row r="157">
      <c r="A157" s="251">
        <f>VLOOKUP($F157,UpdateHashtag!$V$3:$Y$32,COLUMN(B$15),0)</f>
        <v>4</v>
      </c>
      <c r="B157" s="252">
        <f>VLOOKUP($F157,UpdateHashtag!$V$3:$Y$32,COLUMN(C$13),0)</f>
        <v>3</v>
      </c>
      <c r="C157" s="252">
        <f>VLOOKUP($F157,UpdateHashtag!$V$3:$Y$32,COLUMN(D$13),0)</f>
        <v>4</v>
      </c>
      <c r="D157" s="268">
        <f t="shared" si="4"/>
        <v>11</v>
      </c>
      <c r="E157" s="19"/>
      <c r="F157" s="30" t="str">
        <f>IF(VLOOKUP(J157,PasteHashtag!$C$2:$P1015,3,)="BRO","BKN",IF(VLOOKUP(J157,PasteHashtag!$C$2:$P1015,3,)="OKL","OKC",VLOOKUP(J157,PasteHashtag!$C$2:$P1015,3,)))</f>
        <v>CLE</v>
      </c>
      <c r="G157" s="269">
        <v>138.0</v>
      </c>
      <c r="H157" s="270">
        <f>IFERROR(__xludf.DUMMYFUNCTION("""COMPUTED_VALUE"""),139.0)</f>
        <v>139</v>
      </c>
      <c r="I157" s="270">
        <f>IFERROR(__xludf.DUMMYFUNCTION("""COMPUTED_VALUE"""),144.8)</f>
        <v>144.8</v>
      </c>
      <c r="J157" s="271" t="str">
        <f>IFERROR(__xludf.DUMMYFUNCTION("""COMPUTED_VALUE"""),"Max Strus")</f>
        <v>Max Strus</v>
      </c>
      <c r="K157" s="270">
        <f>IFERROR(__xludf.DUMMYFUNCTION("""COMPUTED_VALUE"""),70.0)</f>
        <v>70</v>
      </c>
      <c r="L157" s="272" t="str">
        <f>IFERROR(__xludf.DUMMYFUNCTION("""COMPUTED_VALUE"""),"SF,PF")</f>
        <v>SF,PF</v>
      </c>
      <c r="M157" s="273">
        <f>IFERROR(__xludf.DUMMYFUNCTION("""COMPUTED_VALUE"""),-2.9921328135584093)</f>
        <v>-2.992132814</v>
      </c>
      <c r="N157" s="273">
        <f>IFERROR(__xludf.DUMMYFUNCTION("""COMPUTED_VALUE"""),-3.014727866128835)</f>
        <v>-3.014727866</v>
      </c>
      <c r="O157" s="274">
        <f>IFERROR(__xludf.DUMMYFUNCTION("""COMPUTED_VALUE"""),-0.02259505257042571)</f>
        <v>-0.02259505257</v>
      </c>
      <c r="P157" s="275">
        <f>IFERROR(__xludf.DUMMYFUNCTION("""COMPUTED_VALUE"""),11.57183673)</f>
        <v>11.57183673</v>
      </c>
      <c r="Q157" s="275">
        <f>IFERROR(__xludf.DUMMYFUNCTION("""COMPUTED_VALUE"""),2.281836735)</f>
        <v>2.281836735</v>
      </c>
      <c r="R157" s="275">
        <f>IFERROR(__xludf.DUMMYFUNCTION("""COMPUTED_VALUE"""),4.653673469)</f>
        <v>4.653673469</v>
      </c>
      <c r="S157" s="276">
        <f>IFERROR(__xludf.DUMMYFUNCTION("""COMPUTED_VALUE"""),4.27122449)</f>
        <v>4.27122449</v>
      </c>
      <c r="T157" s="275">
        <f>IFERROR(__xludf.DUMMYFUNCTION("""COMPUTED_VALUE"""),0.7651020408)</f>
        <v>0.7651020408</v>
      </c>
      <c r="U157" s="275">
        <f>IFERROR(__xludf.DUMMYFUNCTION("""COMPUTED_VALUE"""),0.3197959184)</f>
        <v>0.3197959184</v>
      </c>
      <c r="V157" s="272">
        <f>IFERROR(__xludf.DUMMYFUNCTION("""COMPUTED_VALUE"""),0.4321658788)</f>
        <v>0.4321658788</v>
      </c>
      <c r="W157" s="272">
        <f>IFERROR(__xludf.DUMMYFUNCTION("""COMPUTED_VALUE"""),0.819025522)</f>
        <v>0.819025522</v>
      </c>
      <c r="X157" s="275">
        <f>IFERROR(__xludf.DUMMYFUNCTION("""COMPUTED_VALUE"""),1.65755102)</f>
        <v>1.65755102</v>
      </c>
      <c r="Y157" s="273">
        <f>IFERROR(__xludf.DUMMYFUNCTION("""COMPUTED_VALUE"""),-1.0665419595625376)</f>
        <v>-1.06654196</v>
      </c>
      <c r="Z157" s="273">
        <f>IFERROR(__xludf.DUMMYFUNCTION("""COMPUTED_VALUE"""),0.5288666069414562)</f>
        <v>0.5288666069</v>
      </c>
      <c r="AA157" s="273">
        <f>IFERROR(__xludf.DUMMYFUNCTION("""COMPUTED_VALUE"""),-0.5602937032149796)</f>
        <v>-0.5602937032</v>
      </c>
      <c r="AB157" s="273">
        <f>IFERROR(__xludf.DUMMYFUNCTION("""COMPUTED_VALUE"""),0.1534493524660616)</f>
        <v>0.1534493525</v>
      </c>
      <c r="AC157" s="273">
        <f>IFERROR(__xludf.DUMMYFUNCTION("""COMPUTED_VALUE"""),-0.6977165400842888)</f>
        <v>-0.6977165401</v>
      </c>
      <c r="AD157" s="273">
        <f>IFERROR(__xludf.DUMMYFUNCTION("""COMPUTED_VALUE"""),-0.7649543768661288)</f>
        <v>-0.7649543769</v>
      </c>
      <c r="AE157" s="273">
        <f>IFERROR(__xludf.DUMMYFUNCTION("""COMPUTED_VALUE"""),-0.7189904544583172)</f>
        <v>-0.7189904545</v>
      </c>
      <c r="AF157" s="273">
        <f>IFERROR(__xludf.DUMMYFUNCTION("""COMPUTED_VALUE"""),0.11145320864989895)</f>
        <v>0.1114532086</v>
      </c>
      <c r="AG157" s="277">
        <f>IFERROR(__xludf.DUMMYFUNCTION("""COMPUTED_VALUE"""),0.0)</f>
        <v>0</v>
      </c>
      <c r="AH157" s="265"/>
      <c r="AI157" s="338"/>
      <c r="AJ157" s="339"/>
      <c r="AK157" s="265"/>
      <c r="AL157" s="265"/>
      <c r="AM157" s="265"/>
      <c r="AN157" s="265"/>
      <c r="AO157" s="265"/>
      <c r="AP157" s="265"/>
      <c r="AQ157" s="265"/>
      <c r="AR157" s="265"/>
      <c r="AS157" s="265"/>
      <c r="AT157" s="265"/>
      <c r="AU157" s="265"/>
      <c r="AV157" s="265"/>
      <c r="AW157" s="265"/>
      <c r="AX157" s="265"/>
      <c r="AY157" s="265"/>
      <c r="AZ157" s="265"/>
      <c r="BA157" s="265"/>
      <c r="BB157" s="265"/>
      <c r="BC157" s="265"/>
      <c r="BD157" s="265"/>
      <c r="BE157" s="265"/>
      <c r="BF157" s="265"/>
      <c r="BG157" s="265"/>
      <c r="BH157" s="265"/>
      <c r="BI157" s="265"/>
      <c r="BJ157" s="265"/>
      <c r="BK157" s="265"/>
      <c r="BL157" s="265"/>
      <c r="BM157" s="265"/>
      <c r="BN157" s="265"/>
      <c r="BO157" s="265"/>
      <c r="BP157" s="265"/>
      <c r="BQ157" s="265"/>
      <c r="BR157" s="265"/>
      <c r="BS157" s="265"/>
      <c r="BT157" s="265"/>
      <c r="BU157" s="265"/>
      <c r="BV157" s="265"/>
    </row>
    <row r="158">
      <c r="A158" s="251">
        <f>VLOOKUP($F158,UpdateHashtag!$V$3:$Y$32,COLUMN(B$15),0)</f>
        <v>4</v>
      </c>
      <c r="B158" s="252">
        <f>VLOOKUP($F158,UpdateHashtag!$V$3:$Y$32,COLUMN(C$13),0)</f>
        <v>4</v>
      </c>
      <c r="C158" s="252">
        <f>VLOOKUP($F158,UpdateHashtag!$V$3:$Y$32,COLUMN(D$13),0)</f>
        <v>4</v>
      </c>
      <c r="D158" s="268">
        <f t="shared" si="4"/>
        <v>12</v>
      </c>
      <c r="E158" s="19"/>
      <c r="F158" s="30" t="str">
        <f>IF(VLOOKUP(J158,PasteHashtag!$C$2:$P1015,3,)="BRO","BKN",IF(VLOOKUP(J158,PasteHashtag!$C$2:$P1015,3,)="OKL","OKC",VLOOKUP(J158,PasteHashtag!$C$2:$P1015,3,)))</f>
        <v>UTA</v>
      </c>
      <c r="G158" s="269">
        <v>139.0</v>
      </c>
      <c r="H158" s="270">
        <f>IFERROR(__xludf.DUMMYFUNCTION("""COMPUTED_VALUE"""),132.0)</f>
        <v>132</v>
      </c>
      <c r="I158" s="270">
        <f>IFERROR(__xludf.DUMMYFUNCTION("""COMPUTED_VALUE"""),106.7)</f>
        <v>106.7</v>
      </c>
      <c r="J158" s="271" t="str">
        <f>IFERROR(__xludf.DUMMYFUNCTION("""COMPUTED_VALUE"""),"John Collins")</f>
        <v>John Collins</v>
      </c>
      <c r="K158" s="270">
        <f>IFERROR(__xludf.DUMMYFUNCTION("""COMPUTED_VALUE"""),60.0)</f>
        <v>60</v>
      </c>
      <c r="L158" s="272" t="str">
        <f>IFERROR(__xludf.DUMMYFUNCTION("""COMPUTED_VALUE"""),"PG,SG")</f>
        <v>PG,SG</v>
      </c>
      <c r="M158" s="273">
        <f>IFERROR(__xludf.DUMMYFUNCTION("""COMPUTED_VALUE"""),-2.8889838124760314)</f>
        <v>-2.888983812</v>
      </c>
      <c r="N158" s="273">
        <f>IFERROR(__xludf.DUMMYFUNCTION("""COMPUTED_VALUE"""),-3.022950994485575)</f>
        <v>-3.022950994</v>
      </c>
      <c r="O158" s="274">
        <f>IFERROR(__xludf.DUMMYFUNCTION("""COMPUTED_VALUE"""),-0.1339671820095436)</f>
        <v>-0.133967182</v>
      </c>
      <c r="P158" s="275">
        <f>IFERROR(__xludf.DUMMYFUNCTION("""COMPUTED_VALUE"""),13.5875)</f>
        <v>13.5875</v>
      </c>
      <c r="Q158" s="275">
        <f>IFERROR(__xludf.DUMMYFUNCTION("""COMPUTED_VALUE"""),1.01265625)</f>
        <v>1.01265625</v>
      </c>
      <c r="R158" s="275">
        <f>IFERROR(__xludf.DUMMYFUNCTION("""COMPUTED_VALUE"""),7.7328125)</f>
        <v>7.7328125</v>
      </c>
      <c r="S158" s="276">
        <f>IFERROR(__xludf.DUMMYFUNCTION("""COMPUTED_VALUE"""),1.16375)</f>
        <v>1.16375</v>
      </c>
      <c r="T158" s="275">
        <f>IFERROR(__xludf.DUMMYFUNCTION("""COMPUTED_VALUE"""),0.5271875)</f>
        <v>0.5271875</v>
      </c>
      <c r="U158" s="275">
        <f>IFERROR(__xludf.DUMMYFUNCTION("""COMPUTED_VALUE"""),0.78796875)</f>
        <v>0.78796875</v>
      </c>
      <c r="V158" s="272">
        <f>IFERROR(__xludf.DUMMYFUNCTION("""COMPUTED_VALUE"""),0.5304874154)</f>
        <v>0.5304874154</v>
      </c>
      <c r="W158" s="272">
        <f>IFERROR(__xludf.DUMMYFUNCTION("""COMPUTED_VALUE"""),0.8010151705)</f>
        <v>0.8010151705</v>
      </c>
      <c r="X158" s="275">
        <f>IFERROR(__xludf.DUMMYFUNCTION("""COMPUTED_VALUE"""),1.2084375)</f>
        <v>1.2084375</v>
      </c>
      <c r="Y158" s="273">
        <f>IFERROR(__xludf.DUMMYFUNCTION("""COMPUTED_VALUE"""),-0.7032072893395912)</f>
        <v>-0.7032072893</v>
      </c>
      <c r="Z158" s="273">
        <f>IFERROR(__xludf.DUMMYFUNCTION("""COMPUTED_VALUE"""),-0.7300697373219952)</f>
        <v>-0.7300697373</v>
      </c>
      <c r="AA158" s="273">
        <f>IFERROR(__xludf.DUMMYFUNCTION("""COMPUTED_VALUE"""),0.6464424257294175)</f>
        <v>0.6464424257</v>
      </c>
      <c r="AB158" s="273">
        <f>IFERROR(__xludf.DUMMYFUNCTION("""COMPUTED_VALUE"""),-1.2577741699231677)</f>
        <v>-1.25777417</v>
      </c>
      <c r="AC158" s="273">
        <f>IFERROR(__xludf.DUMMYFUNCTION("""COMPUTED_VALUE"""),-1.48481239853828)</f>
        <v>-1.484812399</v>
      </c>
      <c r="AD158" s="273">
        <f>IFERROR(__xludf.DUMMYFUNCTION("""COMPUTED_VALUE"""),0.07010107541094603)</f>
        <v>0.07010107541</v>
      </c>
      <c r="AE158" s="273">
        <f>IFERROR(__xludf.DUMMYFUNCTION("""COMPUTED_VALUE"""),0.3782824282230936)</f>
        <v>0.3782824282</v>
      </c>
      <c r="AF158" s="273">
        <f>IFERROR(__xludf.DUMMYFUNCTION("""COMPUTED_VALUE"""),0.05808667127400217)</f>
        <v>0.05808667127</v>
      </c>
      <c r="AG158" s="277">
        <f>IFERROR(__xludf.DUMMYFUNCTION("""COMPUTED_VALUE"""),0.0)</f>
        <v>0</v>
      </c>
      <c r="AH158" s="265"/>
      <c r="AI158" s="338"/>
      <c r="AJ158" s="339"/>
      <c r="AK158" s="265"/>
      <c r="AL158" s="265"/>
      <c r="AM158" s="265"/>
      <c r="AN158" s="265"/>
      <c r="AO158" s="265"/>
      <c r="AP158" s="265"/>
      <c r="AQ158" s="265"/>
      <c r="AR158" s="265"/>
      <c r="AS158" s="265"/>
      <c r="AT158" s="265"/>
      <c r="AU158" s="265"/>
      <c r="AV158" s="265"/>
      <c r="AW158" s="265"/>
      <c r="AX158" s="265"/>
      <c r="AY158" s="265"/>
      <c r="AZ158" s="265"/>
      <c r="BA158" s="265"/>
      <c r="BB158" s="265"/>
      <c r="BC158" s="265"/>
      <c r="BD158" s="265"/>
      <c r="BE158" s="265"/>
      <c r="BF158" s="265"/>
      <c r="BG158" s="265"/>
      <c r="BH158" s="265"/>
      <c r="BI158" s="265"/>
      <c r="BJ158" s="265"/>
      <c r="BK158" s="265"/>
      <c r="BL158" s="265"/>
      <c r="BM158" s="265"/>
      <c r="BN158" s="265"/>
      <c r="BO158" s="265"/>
      <c r="BP158" s="265"/>
      <c r="BQ158" s="265"/>
      <c r="BR158" s="265"/>
      <c r="BS158" s="265"/>
      <c r="BT158" s="265"/>
      <c r="BU158" s="265"/>
      <c r="BV158" s="265"/>
    </row>
    <row r="159">
      <c r="A159" s="251">
        <f>VLOOKUP($F159,UpdateHashtag!$V$3:$Y$32,COLUMN(B$15),0)</f>
        <v>4</v>
      </c>
      <c r="B159" s="252">
        <f>VLOOKUP($F159,UpdateHashtag!$V$3:$Y$32,COLUMN(C$13),0)</f>
        <v>4</v>
      </c>
      <c r="C159" s="252">
        <f>VLOOKUP($F159,UpdateHashtag!$V$3:$Y$32,COLUMN(D$13),0)</f>
        <v>3</v>
      </c>
      <c r="D159" s="268">
        <f t="shared" si="4"/>
        <v>11</v>
      </c>
      <c r="E159" s="19"/>
      <c r="F159" s="30" t="str">
        <f>IF(VLOOKUP(J159,PasteHashtag!$C$2:$P1015,3,)="BRO","BKN",IF(VLOOKUP(J159,PasteHashtag!$C$2:$P1015,3,)="OKL","OKC",VLOOKUP(J159,PasteHashtag!$C$2:$P1015,3,)))</f>
        <v>OKC</v>
      </c>
      <c r="G159" s="269">
        <v>140.0</v>
      </c>
      <c r="H159" s="270">
        <f>IFERROR(__xludf.DUMMYFUNCTION("""COMPUTED_VALUE"""),148.0)</f>
        <v>148</v>
      </c>
      <c r="I159" s="270">
        <f>IFERROR(__xludf.DUMMYFUNCTION("""COMPUTED_VALUE"""),139.5)</f>
        <v>139.5</v>
      </c>
      <c r="J159" s="271" t="str">
        <f>IFERROR(__xludf.DUMMYFUNCTION("""COMPUTED_VALUE"""),"Luguentz Dort")</f>
        <v>Luguentz Dort</v>
      </c>
      <c r="K159" s="270">
        <f>IFERROR(__xludf.DUMMYFUNCTION("""COMPUTED_VALUE"""),64.0)</f>
        <v>64</v>
      </c>
      <c r="L159" s="272" t="str">
        <f>IFERROR(__xludf.DUMMYFUNCTION("""COMPUTED_VALUE"""),"PG,SG")</f>
        <v>PG,SG</v>
      </c>
      <c r="M159" s="273">
        <f>IFERROR(__xludf.DUMMYFUNCTION("""COMPUTED_VALUE"""),-3.003355593967157)</f>
        <v>-3.003355594</v>
      </c>
      <c r="N159" s="273">
        <f>IFERROR(__xludf.DUMMYFUNCTION("""COMPUTED_VALUE"""),-3.1239247344604144)</f>
        <v>-3.123924734</v>
      </c>
      <c r="O159" s="274">
        <f>IFERROR(__xludf.DUMMYFUNCTION("""COMPUTED_VALUE"""),-0.12056914049325762)</f>
        <v>-0.1205691405</v>
      </c>
      <c r="P159" s="275">
        <f>IFERROR(__xludf.DUMMYFUNCTION("""COMPUTED_VALUE"""),13.75945205)</f>
        <v>13.75945205</v>
      </c>
      <c r="Q159" s="275">
        <f>IFERROR(__xludf.DUMMYFUNCTION("""COMPUTED_VALUE"""),2.385205479)</f>
        <v>2.385205479</v>
      </c>
      <c r="R159" s="275">
        <f>IFERROR(__xludf.DUMMYFUNCTION("""COMPUTED_VALUE"""),3.724383562)</f>
        <v>3.724383562</v>
      </c>
      <c r="S159" s="276">
        <f>IFERROR(__xludf.DUMMYFUNCTION("""COMPUTED_VALUE"""),1.830684932)</f>
        <v>1.830684932</v>
      </c>
      <c r="T159" s="275">
        <f>IFERROR(__xludf.DUMMYFUNCTION("""COMPUTED_VALUE"""),1.013561644)</f>
        <v>1.013561644</v>
      </c>
      <c r="U159" s="275">
        <f>IFERROR(__xludf.DUMMYFUNCTION("""COMPUTED_VALUE"""),0.5038356164)</f>
        <v>0.5038356164</v>
      </c>
      <c r="V159" s="272">
        <f>IFERROR(__xludf.DUMMYFUNCTION("""COMPUTED_VALUE"""),0.4070840609)</f>
        <v>0.4070840609</v>
      </c>
      <c r="W159" s="272">
        <f>IFERROR(__xludf.DUMMYFUNCTION("""COMPUTED_VALUE"""),0.8199916855)</f>
        <v>0.8199916855</v>
      </c>
      <c r="X159" s="275">
        <f>IFERROR(__xludf.DUMMYFUNCTION("""COMPUTED_VALUE"""),1.262465753)</f>
        <v>1.262465753</v>
      </c>
      <c r="Y159" s="273">
        <f>IFERROR(__xludf.DUMMYFUNCTION("""COMPUTED_VALUE"""),-0.6722119627338186)</f>
        <v>-0.6722119627</v>
      </c>
      <c r="Z159" s="273">
        <f>IFERROR(__xludf.DUMMYFUNCTION("""COMPUTED_VALUE"""),0.6314010141597207)</f>
        <v>0.6314010142</v>
      </c>
      <c r="AA159" s="273">
        <f>IFERROR(__xludf.DUMMYFUNCTION("""COMPUTED_VALUE"""),-0.9244889193939919)</f>
        <v>-0.9244889194</v>
      </c>
      <c r="AB159" s="273">
        <f>IFERROR(__xludf.DUMMYFUNCTION("""COMPUTED_VALUE"""),-0.9548934006778308)</f>
        <v>-0.9548934007</v>
      </c>
      <c r="AC159" s="273">
        <f>IFERROR(__xludf.DUMMYFUNCTION("""COMPUTED_VALUE"""),0.12426568939296882)</f>
        <v>0.1242656894</v>
      </c>
      <c r="AD159" s="273">
        <f>IFERROR(__xludf.DUMMYFUNCTION("""COMPUTED_VALUE"""),-0.4366923700232562)</f>
        <v>-0.43669237</v>
      </c>
      <c r="AE159" s="273">
        <f>IFERROR(__xludf.DUMMYFUNCTION("""COMPUTED_VALUE"""),-1.1518864514046407)</f>
        <v>-1.151886451</v>
      </c>
      <c r="AF159" s="273">
        <f>IFERROR(__xludf.DUMMYFUNCTION("""COMPUTED_VALUE"""),0.2605816662204341)</f>
        <v>0.2605816662</v>
      </c>
      <c r="AG159" s="277">
        <f>IFERROR(__xludf.DUMMYFUNCTION("""COMPUTED_VALUE"""),0.0)</f>
        <v>0</v>
      </c>
      <c r="AH159" s="265"/>
      <c r="AI159" s="338"/>
      <c r="AJ159" s="339"/>
      <c r="AK159" s="265"/>
      <c r="AL159" s="265"/>
      <c r="AM159" s="265"/>
      <c r="AN159" s="265"/>
      <c r="AO159" s="265"/>
      <c r="AP159" s="265"/>
      <c r="AQ159" s="265"/>
      <c r="AR159" s="265"/>
      <c r="AS159" s="265"/>
      <c r="AT159" s="265"/>
      <c r="AU159" s="265"/>
      <c r="AV159" s="265"/>
      <c r="AW159" s="265"/>
      <c r="AX159" s="265"/>
      <c r="AY159" s="265"/>
      <c r="AZ159" s="265"/>
      <c r="BA159" s="265"/>
      <c r="BB159" s="265"/>
      <c r="BC159" s="265"/>
      <c r="BD159" s="265"/>
      <c r="BE159" s="265"/>
      <c r="BF159" s="265"/>
      <c r="BG159" s="265"/>
      <c r="BH159" s="265"/>
      <c r="BI159" s="265"/>
      <c r="BJ159" s="265"/>
      <c r="BK159" s="265"/>
      <c r="BL159" s="265"/>
      <c r="BM159" s="265"/>
      <c r="BN159" s="265"/>
      <c r="BO159" s="265"/>
      <c r="BP159" s="265"/>
      <c r="BQ159" s="265"/>
      <c r="BR159" s="265"/>
      <c r="BS159" s="265"/>
      <c r="BT159" s="265"/>
      <c r="BU159" s="265"/>
      <c r="BV159" s="265"/>
    </row>
    <row r="160">
      <c r="A160" s="251">
        <f>VLOOKUP($F160,UpdateHashtag!$V$3:$Y$32,COLUMN(B$15),0)</f>
        <v>3</v>
      </c>
      <c r="B160" s="252">
        <f>VLOOKUP($F160,UpdateHashtag!$V$3:$Y$32,COLUMN(C$13),0)</f>
        <v>4</v>
      </c>
      <c r="C160" s="252">
        <f>VLOOKUP($F160,UpdateHashtag!$V$3:$Y$32,COLUMN(D$13),0)</f>
        <v>3</v>
      </c>
      <c r="D160" s="268">
        <f t="shared" si="4"/>
        <v>10</v>
      </c>
      <c r="E160" s="19"/>
      <c r="F160" s="30" t="str">
        <f>IF(VLOOKUP(J160,PasteHashtag!$C$2:$P1015,3,)="BRO","BKN",IF(VLOOKUP(J160,PasteHashtag!$C$2:$P1015,3,)="OKL","OKC",VLOOKUP(J160,PasteHashtag!$C$2:$P1015,3,)))</f>
        <v>PHO</v>
      </c>
      <c r="G160" s="269">
        <v>141.0</v>
      </c>
      <c r="H160" s="270">
        <f>IFERROR(__xludf.DUMMYFUNCTION("""COMPUTED_VALUE"""),144.0)</f>
        <v>144</v>
      </c>
      <c r="I160" s="270">
        <f>IFERROR(__xludf.DUMMYFUNCTION("""COMPUTED_VALUE"""),116.1)</f>
        <v>116.1</v>
      </c>
      <c r="J160" s="271" t="str">
        <f>IFERROR(__xludf.DUMMYFUNCTION("""COMPUTED_VALUE"""),"Tyus Jones")</f>
        <v>Tyus Jones</v>
      </c>
      <c r="K160" s="270">
        <f>IFERROR(__xludf.DUMMYFUNCTION("""COMPUTED_VALUE"""),74.0)</f>
        <v>74</v>
      </c>
      <c r="L160" s="272" t="str">
        <f>IFERROR(__xludf.DUMMYFUNCTION("""COMPUTED_VALUE"""),"SG,SF")</f>
        <v>SG,SF</v>
      </c>
      <c r="M160" s="273">
        <f>IFERROR(__xludf.DUMMYFUNCTION("""COMPUTED_VALUE"""),-2.954936744704518)</f>
        <v>-2.954936745</v>
      </c>
      <c r="N160" s="273">
        <f>IFERROR(__xludf.DUMMYFUNCTION("""COMPUTED_VALUE"""),-3.165390916404058)</f>
        <v>-3.165390916</v>
      </c>
      <c r="O160" s="274">
        <f>IFERROR(__xludf.DUMMYFUNCTION("""COMPUTED_VALUE"""),-0.21045417169953984)</f>
        <v>-0.2104541717</v>
      </c>
      <c r="P160" s="275">
        <f>IFERROR(__xludf.DUMMYFUNCTION("""COMPUTED_VALUE"""),9.478630137)</f>
        <v>9.478630137</v>
      </c>
      <c r="Q160" s="275">
        <f>IFERROR(__xludf.DUMMYFUNCTION("""COMPUTED_VALUE"""),1.654246575)</f>
        <v>1.654246575</v>
      </c>
      <c r="R160" s="275">
        <f>IFERROR(__xludf.DUMMYFUNCTION("""COMPUTED_VALUE"""),2.30630137)</f>
        <v>2.30630137</v>
      </c>
      <c r="S160" s="276">
        <f>IFERROR(__xludf.DUMMYFUNCTION("""COMPUTED_VALUE"""),5.625068493)</f>
        <v>5.625068493</v>
      </c>
      <c r="T160" s="275">
        <f>IFERROR(__xludf.DUMMYFUNCTION("""COMPUTED_VALUE"""),1.125068493)</f>
        <v>1.125068493</v>
      </c>
      <c r="U160" s="275">
        <f>IFERROR(__xludf.DUMMYFUNCTION("""COMPUTED_VALUE"""),0.2280821918)</f>
        <v>0.2280821918</v>
      </c>
      <c r="V160" s="272">
        <f>IFERROR(__xludf.DUMMYFUNCTION("""COMPUTED_VALUE"""),0.442868117)</f>
        <v>0.442868117</v>
      </c>
      <c r="W160" s="272">
        <f>IFERROR(__xludf.DUMMYFUNCTION("""COMPUTED_VALUE"""),0.8239932413)</f>
        <v>0.8239932413</v>
      </c>
      <c r="X160" s="275">
        <f>IFERROR(__xludf.DUMMYFUNCTION("""COMPUTED_VALUE"""),0.9)</f>
        <v>0.9</v>
      </c>
      <c r="Y160" s="273">
        <f>IFERROR(__xludf.DUMMYFUNCTION("""COMPUTED_VALUE"""),-1.443854251003038)</f>
        <v>-1.443854251</v>
      </c>
      <c r="Z160" s="273">
        <f>IFERROR(__xludf.DUMMYFUNCTION("""COMPUTED_VALUE"""),-0.09365798358288892)</f>
        <v>-0.09365798358</v>
      </c>
      <c r="AA160" s="273">
        <f>IFERROR(__xludf.DUMMYFUNCTION("""COMPUTED_VALUE"""),-1.480245251820238)</f>
        <v>-1.480245252</v>
      </c>
      <c r="AB160" s="273">
        <f>IFERROR(__xludf.DUMMYFUNCTION("""COMPUTED_VALUE"""),0.768281914672934)</f>
        <v>0.7682819147</v>
      </c>
      <c r="AC160" s="273">
        <f>IFERROR(__xludf.DUMMYFUNCTION("""COMPUTED_VALUE"""),0.4931652898210674)</f>
        <v>0.4931652898</v>
      </c>
      <c r="AD160" s="273">
        <f>IFERROR(__xludf.DUMMYFUNCTION("""COMPUTED_VALUE"""),-0.9285393657349681)</f>
        <v>-0.9285393657</v>
      </c>
      <c r="AE160" s="273">
        <f>IFERROR(__xludf.DUMMYFUNCTION("""COMPUTED_VALUE"""),-0.5301216634272193)</f>
        <v>-0.5301216634</v>
      </c>
      <c r="AF160" s="273">
        <f>IFERROR(__xludf.DUMMYFUNCTION("""COMPUTED_VALUE"""),0.04958039467029265)</f>
        <v>0.04958039467</v>
      </c>
      <c r="AG160" s="277">
        <f>IFERROR(__xludf.DUMMYFUNCTION("""COMPUTED_VALUE"""),0.0)</f>
        <v>0</v>
      </c>
      <c r="AH160" s="265"/>
      <c r="AI160" s="338"/>
      <c r="AJ160" s="339"/>
      <c r="AK160" s="265"/>
      <c r="AL160" s="265"/>
      <c r="AM160" s="265"/>
      <c r="AN160" s="265"/>
      <c r="AO160" s="265"/>
      <c r="AP160" s="265"/>
      <c r="AQ160" s="265"/>
      <c r="AR160" s="265"/>
      <c r="AS160" s="265"/>
      <c r="AT160" s="265"/>
      <c r="AU160" s="265"/>
      <c r="AV160" s="265"/>
      <c r="AW160" s="265"/>
      <c r="AX160" s="265"/>
      <c r="AY160" s="265"/>
      <c r="AZ160" s="265"/>
      <c r="BA160" s="265"/>
      <c r="BB160" s="265"/>
      <c r="BC160" s="265"/>
      <c r="BD160" s="265"/>
      <c r="BE160" s="265"/>
      <c r="BF160" s="265"/>
      <c r="BG160" s="265"/>
      <c r="BH160" s="265"/>
      <c r="BI160" s="265"/>
      <c r="BJ160" s="265"/>
      <c r="BK160" s="265"/>
      <c r="BL160" s="265"/>
      <c r="BM160" s="265"/>
      <c r="BN160" s="265"/>
      <c r="BO160" s="265"/>
      <c r="BP160" s="265"/>
      <c r="BQ160" s="265"/>
      <c r="BR160" s="265"/>
      <c r="BS160" s="265"/>
      <c r="BT160" s="265"/>
      <c r="BU160" s="265"/>
      <c r="BV160" s="265"/>
    </row>
    <row r="161">
      <c r="A161" s="251">
        <f>VLOOKUP($F161,UpdateHashtag!$V$3:$Y$32,COLUMN(B$15),0)</f>
        <v>2</v>
      </c>
      <c r="B161" s="252">
        <f>VLOOKUP($F161,UpdateHashtag!$V$3:$Y$32,COLUMN(C$13),0)</f>
        <v>4</v>
      </c>
      <c r="C161" s="252">
        <f>VLOOKUP($F161,UpdateHashtag!$V$3:$Y$32,COLUMN(D$13),0)</f>
        <v>3</v>
      </c>
      <c r="D161" s="268">
        <f t="shared" si="4"/>
        <v>9</v>
      </c>
      <c r="E161" s="19"/>
      <c r="F161" s="30" t="str">
        <f>IF(VLOOKUP(J161,PasteHashtag!$C$2:$P1015,3,)="BRO","BKN",IF(VLOOKUP(J161,PasteHashtag!$C$2:$P1015,3,)="OKL","OKC",VLOOKUP(J161,PasteHashtag!$C$2:$P1015,3,)))</f>
        <v>ORL</v>
      </c>
      <c r="G161" s="269">
        <v>142.0</v>
      </c>
      <c r="H161" s="270">
        <f>IFERROR(__xludf.DUMMYFUNCTION("""COMPUTED_VALUE"""),146.0)</f>
        <v>146</v>
      </c>
      <c r="I161" s="270">
        <f>IFERROR(__xludf.DUMMYFUNCTION("""COMPUTED_VALUE"""),140.4)</f>
        <v>140.4</v>
      </c>
      <c r="J161" s="271" t="str">
        <f>IFERROR(__xludf.DUMMYFUNCTION("""COMPUTED_VALUE"""),"Kentavious Caldwell-Pope")</f>
        <v>Kentavious Caldwell-Pope</v>
      </c>
      <c r="K161" s="270">
        <f>IFERROR(__xludf.DUMMYFUNCTION("""COMPUTED_VALUE"""),78.0)</f>
        <v>78</v>
      </c>
      <c r="L161" s="272" t="str">
        <f>IFERROR(__xludf.DUMMYFUNCTION("""COMPUTED_VALUE"""),"SF,PF")</f>
        <v>SF,PF</v>
      </c>
      <c r="M161" s="273">
        <f>IFERROR(__xludf.DUMMYFUNCTION("""COMPUTED_VALUE"""),-3.009656657818715)</f>
        <v>-3.009656658</v>
      </c>
      <c r="N161" s="273">
        <f>IFERROR(__xludf.DUMMYFUNCTION("""COMPUTED_VALUE"""),-3.2102594844380743)</f>
        <v>-3.210259484</v>
      </c>
      <c r="O161" s="274">
        <f>IFERROR(__xludf.DUMMYFUNCTION("""COMPUTED_VALUE"""),-0.20060282661935913)</f>
        <v>-0.2006028266</v>
      </c>
      <c r="P161" s="275">
        <f>IFERROR(__xludf.DUMMYFUNCTION("""COMPUTED_VALUE"""),9.478219178)</f>
        <v>9.478219178</v>
      </c>
      <c r="Q161" s="275">
        <f>IFERROR(__xludf.DUMMYFUNCTION("""COMPUTED_VALUE"""),1.793424658)</f>
        <v>1.793424658</v>
      </c>
      <c r="R161" s="275">
        <f>IFERROR(__xludf.DUMMYFUNCTION("""COMPUTED_VALUE"""),2.819041096)</f>
        <v>2.819041096</v>
      </c>
      <c r="S161" s="276">
        <f>IFERROR(__xludf.DUMMYFUNCTION("""COMPUTED_VALUE"""),2.31739726)</f>
        <v>2.31739726</v>
      </c>
      <c r="T161" s="275">
        <f>IFERROR(__xludf.DUMMYFUNCTION("""COMPUTED_VALUE"""),1.252739726)</f>
        <v>1.252739726</v>
      </c>
      <c r="U161" s="275">
        <f>IFERROR(__xludf.DUMMYFUNCTION("""COMPUTED_VALUE"""),0.4384931507)</f>
        <v>0.4384931507</v>
      </c>
      <c r="V161" s="272">
        <f>IFERROR(__xludf.DUMMYFUNCTION("""COMPUTED_VALUE"""),0.4456973508)</f>
        <v>0.4456973508</v>
      </c>
      <c r="W161" s="272">
        <f>IFERROR(__xludf.DUMMYFUNCTION("""COMPUTED_VALUE"""),0.874015748)</f>
        <v>0.874015748</v>
      </c>
      <c r="X161" s="275">
        <f>IFERROR(__xludf.DUMMYFUNCTION("""COMPUTED_VALUE"""),0.9397260274)</f>
        <v>0.9397260274</v>
      </c>
      <c r="Y161" s="273">
        <f>IFERROR(__xludf.DUMMYFUNCTION("""COMPUTED_VALUE"""),-1.44392832868008)</f>
        <v>-1.443928329</v>
      </c>
      <c r="Z161" s="273">
        <f>IFERROR(__xludf.DUMMYFUNCTION("""COMPUTED_VALUE"""),0.04439672895361467)</f>
        <v>0.04439672895</v>
      </c>
      <c r="AA161" s="273">
        <f>IFERROR(__xludf.DUMMYFUNCTION("""COMPUTED_VALUE"""),-1.2792989659007274)</f>
        <v>-1.279298966</v>
      </c>
      <c r="AB161" s="273">
        <f>IFERROR(__xludf.DUMMYFUNCTION("""COMPUTED_VALUE"""),-0.7338586381654532)</f>
        <v>-0.7338586382</v>
      </c>
      <c r="AC161" s="273">
        <f>IFERROR(__xludf.DUMMYFUNCTION("""COMPUTED_VALUE"""),0.9155417381041921)</f>
        <v>0.9155417381</v>
      </c>
      <c r="AD161" s="273">
        <f>IFERROR(__xludf.DUMMYFUNCTION("""COMPUTED_VALUE"""),-0.5532403167751768)</f>
        <v>-0.5532403168</v>
      </c>
      <c r="AE161" s="273">
        <f>IFERROR(__xludf.DUMMYFUNCTION("""COMPUTED_VALUE"""),-0.4545310211842989)</f>
        <v>-0.4545310212</v>
      </c>
      <c r="AF161" s="273">
        <f>IFERROR(__xludf.DUMMYFUNCTION("""COMPUTED_VALUE"""),0.2946593192098554)</f>
        <v>0.2946593192</v>
      </c>
      <c r="AG161" s="277">
        <f>IFERROR(__xludf.DUMMYFUNCTION("""COMPUTED_VALUE"""),0.0)</f>
        <v>0</v>
      </c>
      <c r="AH161" s="265"/>
      <c r="AI161" s="338"/>
      <c r="AJ161" s="339"/>
      <c r="AK161" s="265"/>
      <c r="AL161" s="265"/>
      <c r="AM161" s="265"/>
      <c r="AN161" s="265"/>
      <c r="AO161" s="265"/>
      <c r="AP161" s="265"/>
      <c r="AQ161" s="265"/>
      <c r="AR161" s="265"/>
      <c r="AS161" s="265"/>
      <c r="AT161" s="265"/>
      <c r="AU161" s="265"/>
      <c r="AV161" s="265"/>
      <c r="AW161" s="265"/>
      <c r="AX161" s="265"/>
      <c r="AY161" s="265"/>
      <c r="AZ161" s="265"/>
      <c r="BA161" s="265"/>
      <c r="BB161" s="265"/>
      <c r="BC161" s="265"/>
      <c r="BD161" s="265"/>
      <c r="BE161" s="265"/>
      <c r="BF161" s="265"/>
      <c r="BG161" s="265"/>
      <c r="BH161" s="265"/>
      <c r="BI161" s="265"/>
      <c r="BJ161" s="265"/>
      <c r="BK161" s="265"/>
      <c r="BL161" s="265"/>
      <c r="BM161" s="265"/>
      <c r="BN161" s="265"/>
      <c r="BO161" s="265"/>
      <c r="BP161" s="265"/>
      <c r="BQ161" s="265"/>
      <c r="BR161" s="265"/>
      <c r="BS161" s="265"/>
      <c r="BT161" s="265"/>
      <c r="BU161" s="265"/>
      <c r="BV161" s="265"/>
    </row>
    <row r="162">
      <c r="A162" s="251">
        <f>VLOOKUP($F162,UpdateHashtag!$V$3:$Y$32,COLUMN(B$15),0)</f>
        <v>3</v>
      </c>
      <c r="B162" s="252">
        <f>VLOOKUP($F162,UpdateHashtag!$V$3:$Y$32,COLUMN(C$13),0)</f>
        <v>4</v>
      </c>
      <c r="C162" s="252">
        <f>VLOOKUP($F162,UpdateHashtag!$V$3:$Y$32,COLUMN(D$13),0)</f>
        <v>4</v>
      </c>
      <c r="D162" s="268">
        <f t="shared" si="4"/>
        <v>11</v>
      </c>
      <c r="E162" s="19"/>
      <c r="F162" s="30" t="str">
        <f>IF(VLOOKUP(J162,PasteHashtag!$C$2:$P1015,3,)="BRO","BKN",IF(VLOOKUP(J162,PasteHashtag!$C$2:$P1015,3,)="OKL","OKC",VLOOKUP(J162,PasteHashtag!$C$2:$P1015,3,)))</f>
        <v>IND</v>
      </c>
      <c r="G162" s="269">
        <v>143.0</v>
      </c>
      <c r="H162" s="270">
        <f>IFERROR(__xludf.DUMMYFUNCTION("""COMPUTED_VALUE"""),138.0)</f>
        <v>138</v>
      </c>
      <c r="I162" s="270">
        <f>IFERROR(__xludf.DUMMYFUNCTION("""COMPUTED_VALUE"""),143.4)</f>
        <v>143.4</v>
      </c>
      <c r="J162" s="271" t="str">
        <f>IFERROR(__xludf.DUMMYFUNCTION("""COMPUTED_VALUE"""),"T.J. McConnell")</f>
        <v>T.J. McConnell</v>
      </c>
      <c r="K162" s="270">
        <f>IFERROR(__xludf.DUMMYFUNCTION("""COMPUTED_VALUE"""),68.0)</f>
        <v>68</v>
      </c>
      <c r="L162" s="272" t="str">
        <f>IFERROR(__xludf.DUMMYFUNCTION("""COMPUTED_VALUE"""),"PG,SG")</f>
        <v>PG,SG</v>
      </c>
      <c r="M162" s="273">
        <f>IFERROR(__xludf.DUMMYFUNCTION("""COMPUTED_VALUE"""),-3.2594653740851)</f>
        <v>-3.259465374</v>
      </c>
      <c r="N162" s="273">
        <f>IFERROR(__xludf.DUMMYFUNCTION("""COMPUTED_VALUE"""),-3.267321538793093)</f>
        <v>-3.267321539</v>
      </c>
      <c r="O162" s="274">
        <f>IFERROR(__xludf.DUMMYFUNCTION("""COMPUTED_VALUE"""),-0.00785616470799333)</f>
        <v>-0.007856164708</v>
      </c>
      <c r="P162" s="275">
        <f>IFERROR(__xludf.DUMMYFUNCTION("""COMPUTED_VALUE"""),10.5009589)</f>
        <v>10.5009589</v>
      </c>
      <c r="Q162" s="275">
        <f>IFERROR(__xludf.DUMMYFUNCTION("""COMPUTED_VALUE"""),0.2819178082)</f>
        <v>0.2819178082</v>
      </c>
      <c r="R162" s="275">
        <f>IFERROR(__xludf.DUMMYFUNCTION("""COMPUTED_VALUE"""),2.961232877)</f>
        <v>2.961232877</v>
      </c>
      <c r="S162" s="276">
        <f>IFERROR(__xludf.DUMMYFUNCTION("""COMPUTED_VALUE"""),5.917260274)</f>
        <v>5.917260274</v>
      </c>
      <c r="T162" s="275">
        <f>IFERROR(__xludf.DUMMYFUNCTION("""COMPUTED_VALUE"""),1.07260274)</f>
        <v>1.07260274</v>
      </c>
      <c r="U162" s="275">
        <f>IFERROR(__xludf.DUMMYFUNCTION("""COMPUTED_VALUE"""),0.1287671233)</f>
        <v>0.1287671233</v>
      </c>
      <c r="V162" s="272">
        <f>IFERROR(__xludf.DUMMYFUNCTION("""COMPUTED_VALUE"""),0.5480603977)</f>
        <v>0.5480603977</v>
      </c>
      <c r="W162" s="272">
        <f>IFERROR(__xludf.DUMMYFUNCTION("""COMPUTED_VALUE"""),0.8099744246)</f>
        <v>0.8099744246</v>
      </c>
      <c r="X162" s="275">
        <f>IFERROR(__xludf.DUMMYFUNCTION("""COMPUTED_VALUE"""),1.716986301)</f>
        <v>1.716986301</v>
      </c>
      <c r="Y162" s="273">
        <f>IFERROR(__xludf.DUMMYFUNCTION("""COMPUTED_VALUE"""),-1.259573726823998)</f>
        <v>-1.259573727</v>
      </c>
      <c r="Z162" s="273">
        <f>IFERROR(__xludf.DUMMYFUNCTION("""COMPUTED_VALUE"""),-1.4549100523166452)</f>
        <v>-1.454910052</v>
      </c>
      <c r="AA162" s="273">
        <f>IFERROR(__xludf.DUMMYFUNCTION("""COMPUTED_VALUE"""),-1.223573012105155)</f>
        <v>-1.223573012</v>
      </c>
      <c r="AB162" s="273">
        <f>IFERROR(__xludf.DUMMYFUNCTION("""COMPUTED_VALUE"""),0.9009774253594927)</f>
        <v>0.9009774254</v>
      </c>
      <c r="AC162" s="273">
        <f>IFERROR(__xludf.DUMMYFUNCTION("""COMPUTED_VALUE"""),0.31959213721714724)</f>
        <v>0.3195921372</v>
      </c>
      <c r="AD162" s="273">
        <f>IFERROR(__xludf.DUMMYFUNCTION("""COMPUTED_VALUE"""),-1.1056824715422129)</f>
        <v>-1.105682472</v>
      </c>
      <c r="AE162" s="273">
        <f>IFERROR(__xludf.DUMMYFUNCTION("""COMPUTED_VALUE"""),0.5276338393653612)</f>
        <v>0.5276338394</v>
      </c>
      <c r="AF162" s="273">
        <f>IFERROR(__xludf.DUMMYFUNCTION("""COMPUTED_VALUE"""),0.028214322052917355)</f>
        <v>0.02821432205</v>
      </c>
      <c r="AG162" s="277">
        <f>IFERROR(__xludf.DUMMYFUNCTION("""COMPUTED_VALUE"""),0.0)</f>
        <v>0</v>
      </c>
      <c r="AH162" s="265"/>
      <c r="AI162" s="338"/>
      <c r="AJ162" s="339"/>
      <c r="AK162" s="265"/>
      <c r="AL162" s="265"/>
      <c r="AM162" s="265"/>
      <c r="AN162" s="265"/>
      <c r="AO162" s="265"/>
      <c r="AP162" s="265"/>
      <c r="AQ162" s="265"/>
      <c r="AR162" s="265"/>
      <c r="AS162" s="265"/>
      <c r="AT162" s="265"/>
      <c r="AU162" s="265"/>
      <c r="AV162" s="265"/>
      <c r="AW162" s="265"/>
      <c r="AX162" s="265"/>
      <c r="AY162" s="265"/>
      <c r="AZ162" s="265"/>
      <c r="BA162" s="265"/>
      <c r="BB162" s="265"/>
      <c r="BC162" s="265"/>
      <c r="BD162" s="265"/>
      <c r="BE162" s="265"/>
      <c r="BF162" s="265"/>
      <c r="BG162" s="265"/>
      <c r="BH162" s="265"/>
      <c r="BI162" s="265"/>
      <c r="BJ162" s="265"/>
      <c r="BK162" s="265"/>
      <c r="BL162" s="265"/>
      <c r="BM162" s="265"/>
      <c r="BN162" s="265"/>
      <c r="BO162" s="265"/>
      <c r="BP162" s="265"/>
      <c r="BQ162" s="265"/>
      <c r="BR162" s="265"/>
      <c r="BS162" s="265"/>
      <c r="BT162" s="265"/>
      <c r="BU162" s="265"/>
      <c r="BV162" s="265"/>
    </row>
    <row r="163">
      <c r="A163" s="251">
        <f>VLOOKUP($F163,UpdateHashtag!$V$3:$Y$32,COLUMN(B$15),0)</f>
        <v>2</v>
      </c>
      <c r="B163" s="252">
        <f>VLOOKUP($F163,UpdateHashtag!$V$3:$Y$32,COLUMN(C$13),0)</f>
        <v>4</v>
      </c>
      <c r="C163" s="252">
        <f>VLOOKUP($F163,UpdateHashtag!$V$3:$Y$32,COLUMN(D$13),0)</f>
        <v>4</v>
      </c>
      <c r="D163" s="268">
        <f t="shared" si="4"/>
        <v>10</v>
      </c>
      <c r="E163" s="19"/>
      <c r="F163" s="30" t="str">
        <f>IF(VLOOKUP(J163,PasteHashtag!$C$2:$P1015,3,)="BRO","BKN",IF(VLOOKUP(J163,PasteHashtag!$C$2:$P1015,3,)="OKL","OKC",VLOOKUP(J163,PasteHashtag!$C$2:$P1015,3,)))</f>
        <v>CHI</v>
      </c>
      <c r="G163" s="269">
        <v>144.0</v>
      </c>
      <c r="H163" s="270">
        <f>IFERROR(__xludf.DUMMYFUNCTION("""COMPUTED_VALUE"""),145.0)</f>
        <v>145</v>
      </c>
      <c r="I163" s="270">
        <f>IFERROR(__xludf.DUMMYFUNCTION("""COMPUTED_VALUE"""),139.1)</f>
        <v>139.1</v>
      </c>
      <c r="J163" s="271" t="str">
        <f>IFERROR(__xludf.DUMMYFUNCTION("""COMPUTED_VALUE"""),"Ayo Dosunmu")</f>
        <v>Ayo Dosunmu</v>
      </c>
      <c r="K163" s="270">
        <f>IFERROR(__xludf.DUMMYFUNCTION("""COMPUTED_VALUE"""),64.0)</f>
        <v>64</v>
      </c>
      <c r="L163" s="272" t="str">
        <f>IFERROR(__xludf.DUMMYFUNCTION("""COMPUTED_VALUE"""),"SG,SF")</f>
        <v>SG,SF</v>
      </c>
      <c r="M163" s="273">
        <f>IFERROR(__xludf.DUMMYFUNCTION("""COMPUTED_VALUE"""),-3.2814992268111376)</f>
        <v>-3.281499227</v>
      </c>
      <c r="N163" s="273">
        <f>IFERROR(__xludf.DUMMYFUNCTION("""COMPUTED_VALUE"""),-3.3435038192058264)</f>
        <v>-3.343503819</v>
      </c>
      <c r="O163" s="274">
        <f>IFERROR(__xludf.DUMMYFUNCTION("""COMPUTED_VALUE"""),-0.06200459239468881)</f>
        <v>-0.06200459239</v>
      </c>
      <c r="P163" s="275">
        <f>IFERROR(__xludf.DUMMYFUNCTION("""COMPUTED_VALUE"""),12.60123288)</f>
        <v>12.60123288</v>
      </c>
      <c r="Q163" s="275">
        <f>IFERROR(__xludf.DUMMYFUNCTION("""COMPUTED_VALUE"""),1.560136986)</f>
        <v>1.560136986</v>
      </c>
      <c r="R163" s="275">
        <f>IFERROR(__xludf.DUMMYFUNCTION("""COMPUTED_VALUE"""),2.817534247)</f>
        <v>2.817534247</v>
      </c>
      <c r="S163" s="276">
        <f>IFERROR(__xludf.DUMMYFUNCTION("""COMPUTED_VALUE"""),3.341369863)</f>
        <v>3.341369863</v>
      </c>
      <c r="T163" s="275">
        <f>IFERROR(__xludf.DUMMYFUNCTION("""COMPUTED_VALUE"""),0.8887671233)</f>
        <v>0.8887671233</v>
      </c>
      <c r="U163" s="275">
        <f>IFERROR(__xludf.DUMMYFUNCTION("""COMPUTED_VALUE"""),0.438630137)</f>
        <v>0.438630137</v>
      </c>
      <c r="V163" s="272">
        <f>IFERROR(__xludf.DUMMYFUNCTION("""COMPUTED_VALUE"""),0.4892553029)</f>
        <v>0.4892553029</v>
      </c>
      <c r="W163" s="272">
        <f>IFERROR(__xludf.DUMMYFUNCTION("""COMPUTED_VALUE"""),0.8300375878)</f>
        <v>0.8300375878</v>
      </c>
      <c r="X163" s="275">
        <f>IFERROR(__xludf.DUMMYFUNCTION("""COMPUTED_VALUE"""),1.498630137)</f>
        <v>1.498630137</v>
      </c>
      <c r="Y163" s="273">
        <f>IFERROR(__xludf.DUMMYFUNCTION("""COMPUTED_VALUE"""),-0.8809874990255747)</f>
        <v>-0.880987499</v>
      </c>
      <c r="Z163" s="273">
        <f>IFERROR(__xludf.DUMMYFUNCTION("""COMPUTED_VALUE"""),-0.18700797070926342)</f>
        <v>-0.1870079707</v>
      </c>
      <c r="AA163" s="273">
        <f>IFERROR(__xludf.DUMMYFUNCTION("""COMPUTED_VALUE"""),-1.2798895105662513)</f>
        <v>-1.279889511</v>
      </c>
      <c r="AB163" s="273">
        <f>IFERROR(__xludf.DUMMYFUNCTION("""COMPUTED_VALUE"""),-0.2688333488876228)</f>
        <v>-0.2688333489</v>
      </c>
      <c r="AC163" s="273">
        <f>IFERROR(__xludf.DUMMYFUNCTION("""COMPUTED_VALUE"""),-0.2885936930997252)</f>
        <v>-0.2885936931</v>
      </c>
      <c r="AD163" s="273">
        <f>IFERROR(__xludf.DUMMYFUNCTION("""COMPUTED_VALUE"""),-0.5529959814592823)</f>
        <v>-0.5529959815</v>
      </c>
      <c r="AE163" s="273">
        <f>IFERROR(__xludf.DUMMYFUNCTION("""COMPUTED_VALUE"""),-0.09166513970388371)</f>
        <v>-0.0916651397</v>
      </c>
      <c r="AF163" s="273">
        <f>IFERROR(__xludf.DUMMYFUNCTION("""COMPUTED_VALUE"""),0.20646932424577752)</f>
        <v>0.2064693242</v>
      </c>
      <c r="AG163" s="277">
        <f>IFERROR(__xludf.DUMMYFUNCTION("""COMPUTED_VALUE"""),0.0)</f>
        <v>0</v>
      </c>
      <c r="AH163" s="265"/>
      <c r="AI163" s="338"/>
      <c r="AJ163" s="339"/>
      <c r="AK163" s="265"/>
      <c r="AL163" s="265"/>
      <c r="AM163" s="265"/>
      <c r="AN163" s="265"/>
      <c r="AO163" s="265"/>
      <c r="AP163" s="265"/>
      <c r="AQ163" s="265"/>
      <c r="AR163" s="265"/>
      <c r="AS163" s="265"/>
      <c r="AT163" s="265"/>
      <c r="AU163" s="265"/>
      <c r="AV163" s="265"/>
      <c r="AW163" s="265"/>
      <c r="AX163" s="265"/>
      <c r="AY163" s="265"/>
      <c r="AZ163" s="265"/>
      <c r="BA163" s="265"/>
      <c r="BB163" s="265"/>
      <c r="BC163" s="265"/>
      <c r="BD163" s="265"/>
      <c r="BE163" s="265"/>
      <c r="BF163" s="265"/>
      <c r="BG163" s="265"/>
      <c r="BH163" s="265"/>
      <c r="BI163" s="265"/>
      <c r="BJ163" s="265"/>
      <c r="BK163" s="265"/>
      <c r="BL163" s="265"/>
      <c r="BM163" s="265"/>
      <c r="BN163" s="265"/>
      <c r="BO163" s="265"/>
      <c r="BP163" s="265"/>
      <c r="BQ163" s="265"/>
      <c r="BR163" s="265"/>
      <c r="BS163" s="265"/>
      <c r="BT163" s="265"/>
      <c r="BU163" s="265"/>
      <c r="BV163" s="265"/>
    </row>
    <row r="164">
      <c r="A164" s="251">
        <f>VLOOKUP($F164,UpdateHashtag!$V$3:$Y$32,COLUMN(B$15),0)</f>
        <v>4</v>
      </c>
      <c r="B164" s="252">
        <f>VLOOKUP($F164,UpdateHashtag!$V$3:$Y$32,COLUMN(C$13),0)</f>
        <v>3</v>
      </c>
      <c r="C164" s="252">
        <f>VLOOKUP($F164,UpdateHashtag!$V$3:$Y$32,COLUMN(D$13),0)</f>
        <v>4</v>
      </c>
      <c r="D164" s="268">
        <f t="shared" si="4"/>
        <v>11</v>
      </c>
      <c r="E164" s="19"/>
      <c r="F164" s="30" t="str">
        <f>IF(VLOOKUP(J164,PasteHashtag!$C$2:$P1015,3,)="BRO","BKN",IF(VLOOKUP(J164,PasteHashtag!$C$2:$P1015,3,)="OKL","OKC",VLOOKUP(J164,PasteHashtag!$C$2:$P1015,3,)))</f>
        <v>POR</v>
      </c>
      <c r="G164" s="269">
        <v>145.0</v>
      </c>
      <c r="H164" s="270">
        <f>IFERROR(__xludf.DUMMYFUNCTION("""COMPUTED_VALUE"""),147.0)</f>
        <v>147</v>
      </c>
      <c r="I164" s="270">
        <f>IFERROR(__xludf.DUMMYFUNCTION("""COMPUTED_VALUE"""),123.8)</f>
        <v>123.8</v>
      </c>
      <c r="J164" s="271" t="str">
        <f>IFERROR(__xludf.DUMMYFUNCTION("""COMPUTED_VALUE"""),"Deni Avdija")</f>
        <v>Deni Avdija</v>
      </c>
      <c r="K164" s="270">
        <f>IFERROR(__xludf.DUMMYFUNCTION("""COMPUTED_VALUE"""),67.0)</f>
        <v>67</v>
      </c>
      <c r="L164" s="272" t="str">
        <f>IFERROR(__xludf.DUMMYFUNCTION("""COMPUTED_VALUE"""),"C")</f>
        <v>C</v>
      </c>
      <c r="M164" s="273">
        <f>IFERROR(__xludf.DUMMYFUNCTION("""COMPUTED_VALUE"""),-3.431040136343761)</f>
        <v>-3.431040136</v>
      </c>
      <c r="N164" s="273">
        <f>IFERROR(__xludf.DUMMYFUNCTION("""COMPUTED_VALUE"""),-3.3890336900763294)</f>
        <v>-3.38903369</v>
      </c>
      <c r="O164" s="274">
        <f>IFERROR(__xludf.DUMMYFUNCTION("""COMPUTED_VALUE"""),0.04200644626743166)</f>
        <v>0.04200644627</v>
      </c>
      <c r="P164" s="275">
        <f>IFERROR(__xludf.DUMMYFUNCTION("""COMPUTED_VALUE"""),12.90701493)</f>
        <v>12.90701493</v>
      </c>
      <c r="Q164" s="275">
        <f>IFERROR(__xludf.DUMMYFUNCTION("""COMPUTED_VALUE"""),1.275522388)</f>
        <v>1.275522388</v>
      </c>
      <c r="R164" s="275">
        <f>IFERROR(__xludf.DUMMYFUNCTION("""COMPUTED_VALUE"""),6.393731343)</f>
        <v>6.393731343</v>
      </c>
      <c r="S164" s="276">
        <f>IFERROR(__xludf.DUMMYFUNCTION("""COMPUTED_VALUE"""),3.196865672)</f>
        <v>3.196865672</v>
      </c>
      <c r="T164" s="275">
        <f>IFERROR(__xludf.DUMMYFUNCTION("""COMPUTED_VALUE"""),0.8311940299)</f>
        <v>0.8311940299</v>
      </c>
      <c r="U164" s="275">
        <f>IFERROR(__xludf.DUMMYFUNCTION("""COMPUTED_VALUE"""),0.4514925373)</f>
        <v>0.4514925373</v>
      </c>
      <c r="V164" s="272">
        <f>IFERROR(__xludf.DUMMYFUNCTION("""COMPUTED_VALUE"""),0.4801892371)</f>
        <v>0.4801892371</v>
      </c>
      <c r="W164" s="272">
        <f>IFERROR(__xludf.DUMMYFUNCTION("""COMPUTED_VALUE"""),0.7359894723)</f>
        <v>0.7359894723</v>
      </c>
      <c r="X164" s="275">
        <f>IFERROR(__xludf.DUMMYFUNCTION("""COMPUTED_VALUE"""),1.918059701)</f>
        <v>1.918059701</v>
      </c>
      <c r="Y164" s="273">
        <f>IFERROR(__xludf.DUMMYFUNCTION("""COMPUTED_VALUE"""),-0.8258685602869397)</f>
        <v>-0.8258685603</v>
      </c>
      <c r="Z164" s="273">
        <f>IFERROR(__xludf.DUMMYFUNCTION("""COMPUTED_VALUE"""),-0.46932531309270853)</f>
        <v>-0.4693253131</v>
      </c>
      <c r="AA164" s="273">
        <f>IFERROR(__xludf.DUMMYFUNCTION("""COMPUTED_VALUE"""),0.12164715163756544)</f>
        <v>0.1216471516</v>
      </c>
      <c r="AB164" s="273">
        <f>IFERROR(__xludf.DUMMYFUNCTION("""COMPUTED_VALUE"""),-0.3344582523516014)</f>
        <v>-0.3344582524</v>
      </c>
      <c r="AC164" s="273">
        <f>IFERROR(__xludf.DUMMYFUNCTION("""COMPUTED_VALUE"""),-0.4790635282815048)</f>
        <v>-0.4790635283</v>
      </c>
      <c r="AD164" s="273">
        <f>IFERROR(__xludf.DUMMYFUNCTION("""COMPUTED_VALUE"""),-0.5300539891544788)</f>
        <v>-0.5300539892</v>
      </c>
      <c r="AE164" s="273">
        <f>IFERROR(__xludf.DUMMYFUNCTION("""COMPUTED_VALUE"""),-0.19028563856465452)</f>
        <v>-0.1902856386</v>
      </c>
      <c r="AF164" s="273">
        <f>IFERROR(__xludf.DUMMYFUNCTION("""COMPUTED_VALUE"""),-0.6816255599820072)</f>
        <v>-0.68162556</v>
      </c>
      <c r="AG164" s="277">
        <f>IFERROR(__xludf.DUMMYFUNCTION("""COMPUTED_VALUE"""),0.0)</f>
        <v>0</v>
      </c>
      <c r="AH164" s="265"/>
      <c r="AI164" s="338"/>
      <c r="AJ164" s="339"/>
      <c r="AK164" s="265"/>
      <c r="AL164" s="265"/>
      <c r="AM164" s="265"/>
      <c r="AN164" s="265"/>
      <c r="AO164" s="265"/>
      <c r="AP164" s="265"/>
      <c r="AQ164" s="265"/>
      <c r="AR164" s="265"/>
      <c r="AS164" s="265"/>
      <c r="AT164" s="265"/>
      <c r="AU164" s="265"/>
      <c r="AV164" s="265"/>
      <c r="AW164" s="265"/>
      <c r="AX164" s="265"/>
      <c r="AY164" s="265"/>
      <c r="AZ164" s="265"/>
      <c r="BA164" s="265"/>
      <c r="BB164" s="265"/>
      <c r="BC164" s="265"/>
      <c r="BD164" s="265"/>
      <c r="BE164" s="265"/>
      <c r="BF164" s="265"/>
      <c r="BG164" s="265"/>
      <c r="BH164" s="265"/>
      <c r="BI164" s="265"/>
      <c r="BJ164" s="265"/>
      <c r="BK164" s="265"/>
      <c r="BL164" s="265"/>
      <c r="BM164" s="265"/>
      <c r="BN164" s="265"/>
      <c r="BO164" s="265"/>
      <c r="BP164" s="265"/>
      <c r="BQ164" s="265"/>
      <c r="BR164" s="265"/>
      <c r="BS164" s="265"/>
      <c r="BT164" s="265"/>
      <c r="BU164" s="265"/>
      <c r="BV164" s="265"/>
    </row>
    <row r="165">
      <c r="A165" s="251">
        <f>VLOOKUP($F165,UpdateHashtag!$V$3:$Y$32,COLUMN(B$15),0)</f>
        <v>4</v>
      </c>
      <c r="B165" s="252">
        <f>VLOOKUP($F165,UpdateHashtag!$V$3:$Y$32,COLUMN(C$13),0)</f>
        <v>4</v>
      </c>
      <c r="C165" s="252">
        <f>VLOOKUP($F165,UpdateHashtag!$V$3:$Y$32,COLUMN(D$13),0)</f>
        <v>4</v>
      </c>
      <c r="D165" s="268">
        <f t="shared" si="4"/>
        <v>12</v>
      </c>
      <c r="E165" s="19"/>
      <c r="F165" s="30" t="str">
        <f>IF(VLOOKUP(J165,PasteHashtag!$C$2:$P1015,3,)="BRO","BKN",IF(VLOOKUP(J165,PasteHashtag!$C$2:$P1015,3,)="OKL","OKC",VLOOKUP(J165,PasteHashtag!$C$2:$P1015,3,)))</f>
        <v>PHI</v>
      </c>
      <c r="G165" s="269">
        <v>146.0</v>
      </c>
      <c r="H165" s="270">
        <f>IFERROR(__xludf.DUMMYFUNCTION("""COMPUTED_VALUE"""),141.0)</f>
        <v>141</v>
      </c>
      <c r="I165" s="270">
        <f>IFERROR(__xludf.DUMMYFUNCTION("""COMPUTED_VALUE"""),139.1)</f>
        <v>139.1</v>
      </c>
      <c r="J165" s="271" t="str">
        <f>IFERROR(__xludf.DUMMYFUNCTION("""COMPUTED_VALUE"""),"Andre Drummond")</f>
        <v>Andre Drummond</v>
      </c>
      <c r="K165" s="270">
        <f>IFERROR(__xludf.DUMMYFUNCTION("""COMPUTED_VALUE"""),68.0)</f>
        <v>68</v>
      </c>
      <c r="L165" s="272" t="str">
        <f>IFERROR(__xludf.DUMMYFUNCTION("""COMPUTED_VALUE"""),"SG,SF")</f>
        <v>SG,SF</v>
      </c>
      <c r="M165" s="273">
        <f>IFERROR(__xludf.DUMMYFUNCTION("""COMPUTED_VALUE"""),-3.3471455098764293)</f>
        <v>-3.34714551</v>
      </c>
      <c r="N165" s="273">
        <f>IFERROR(__xludf.DUMMYFUNCTION("""COMPUTED_VALUE"""),-3.39800789124728)</f>
        <v>-3.398007891</v>
      </c>
      <c r="O165" s="274">
        <f>IFERROR(__xludf.DUMMYFUNCTION("""COMPUTED_VALUE"""),-0.05086238137085086)</f>
        <v>-0.05086238137</v>
      </c>
      <c r="P165" s="275">
        <f>IFERROR(__xludf.DUMMYFUNCTION("""COMPUTED_VALUE"""),8.595068493)</f>
        <v>8.595068493</v>
      </c>
      <c r="Q165" s="275">
        <f>IFERROR(__xludf.DUMMYFUNCTION("""COMPUTED_VALUE"""),0.0)</f>
        <v>0</v>
      </c>
      <c r="R165" s="275">
        <f>IFERROR(__xludf.DUMMYFUNCTION("""COMPUTED_VALUE"""),11.06178082)</f>
        <v>11.06178082</v>
      </c>
      <c r="S165" s="276">
        <f>IFERROR(__xludf.DUMMYFUNCTION("""COMPUTED_VALUE"""),1.029041096)</f>
        <v>1.029041096</v>
      </c>
      <c r="T165" s="275">
        <f>IFERROR(__xludf.DUMMYFUNCTION("""COMPUTED_VALUE"""),1.098219178)</f>
        <v>1.098219178</v>
      </c>
      <c r="U165" s="275">
        <f>IFERROR(__xludf.DUMMYFUNCTION("""COMPUTED_VALUE"""),0.9004109589)</f>
        <v>0.9004109589</v>
      </c>
      <c r="V165" s="272">
        <f>IFERROR(__xludf.DUMMYFUNCTION("""COMPUTED_VALUE"""),0.5779897937)</f>
        <v>0.5779897937</v>
      </c>
      <c r="W165" s="272">
        <f>IFERROR(__xludf.DUMMYFUNCTION("""COMPUTED_VALUE"""),0.5760051951)</f>
        <v>0.5760051951</v>
      </c>
      <c r="X165" s="275">
        <f>IFERROR(__xludf.DUMMYFUNCTION("""COMPUTED_VALUE"""),1.543561644)</f>
        <v>1.543561644</v>
      </c>
      <c r="Y165" s="273">
        <f>IFERROR(__xludf.DUMMYFUNCTION("""COMPUTED_VALUE"""),-1.6031212195103246)</f>
        <v>-1.60312122</v>
      </c>
      <c r="Z165" s="273">
        <f>IFERROR(__xludf.DUMMYFUNCTION("""COMPUTED_VALUE"""),-1.7345523719336797)</f>
        <v>-1.734552372</v>
      </c>
      <c r="AA165" s="273">
        <f>IFERROR(__xludf.DUMMYFUNCTION("""COMPUTED_VALUE"""),1.9510884009229075)</f>
        <v>1.951088401</v>
      </c>
      <c r="AB165" s="273">
        <f>IFERROR(__xludf.DUMMYFUNCTION("""COMPUTED_VALUE"""),-1.318950657328563)</f>
        <v>-1.318950657</v>
      </c>
      <c r="AC165" s="273">
        <f>IFERROR(__xludf.DUMMYFUNCTION("""COMPUTED_VALUE"""),0.40433934178205366)</f>
        <v>0.4043393418</v>
      </c>
      <c r="AD165" s="273">
        <f>IFERROR(__xludf.DUMMYFUNCTION("""COMPUTED_VALUE"""),0.2706583766262497)</f>
        <v>0.2706583766</v>
      </c>
      <c r="AE165" s="273">
        <f>IFERROR(__xludf.DUMMYFUNCTION("""COMPUTED_VALUE"""),0.5798428237230918)</f>
        <v>0.5798428237</v>
      </c>
      <c r="AF165" s="273">
        <f>IFERROR(__xludf.DUMMYFUNCTION("""COMPUTED_VALUE"""),-1.9473125855290154)</f>
        <v>-1.947312586</v>
      </c>
      <c r="AG165" s="277">
        <f>IFERROR(__xludf.DUMMYFUNCTION("""COMPUTED_VALUE"""),0.0)</f>
        <v>0</v>
      </c>
      <c r="AH165" s="265"/>
      <c r="AI165" s="338"/>
      <c r="AJ165" s="339"/>
      <c r="AK165" s="265"/>
      <c r="AL165" s="265"/>
      <c r="AM165" s="265"/>
      <c r="AN165" s="265"/>
      <c r="AO165" s="265"/>
      <c r="AP165" s="265"/>
      <c r="AQ165" s="265"/>
      <c r="AR165" s="265"/>
      <c r="AS165" s="265"/>
      <c r="AT165" s="265"/>
      <c r="AU165" s="265"/>
      <c r="AV165" s="265"/>
      <c r="AW165" s="265"/>
      <c r="AX165" s="265"/>
      <c r="AY165" s="265"/>
      <c r="AZ165" s="265"/>
      <c r="BA165" s="265"/>
      <c r="BB165" s="265"/>
      <c r="BC165" s="265"/>
      <c r="BD165" s="265"/>
      <c r="BE165" s="265"/>
      <c r="BF165" s="265"/>
      <c r="BG165" s="265"/>
      <c r="BH165" s="265"/>
      <c r="BI165" s="265"/>
      <c r="BJ165" s="265"/>
      <c r="BK165" s="265"/>
      <c r="BL165" s="265"/>
      <c r="BM165" s="265"/>
      <c r="BN165" s="265"/>
      <c r="BO165" s="265"/>
      <c r="BP165" s="265"/>
      <c r="BQ165" s="265"/>
      <c r="BR165" s="265"/>
      <c r="BS165" s="265"/>
      <c r="BT165" s="265"/>
      <c r="BU165" s="265"/>
      <c r="BV165" s="265"/>
    </row>
    <row r="166">
      <c r="A166" s="251">
        <f>VLOOKUP($F166,UpdateHashtag!$V$3:$Y$32,COLUMN(B$15),0)</f>
        <v>3</v>
      </c>
      <c r="B166" s="252">
        <f>VLOOKUP($F166,UpdateHashtag!$V$3:$Y$32,COLUMN(C$13),0)</f>
        <v>4</v>
      </c>
      <c r="C166" s="252">
        <f>VLOOKUP($F166,UpdateHashtag!$V$3:$Y$32,COLUMN(D$13),0)</f>
        <v>4</v>
      </c>
      <c r="D166" s="268">
        <f t="shared" si="4"/>
        <v>11</v>
      </c>
      <c r="E166" s="19"/>
      <c r="F166" s="30" t="str">
        <f>IF(VLOOKUP(J166,PasteHashtag!$C$2:$P1015,3,)="BRO","BKN",IF(VLOOKUP(J166,PasteHashtag!$C$2:$P1015,3,)="OKL","OKC",VLOOKUP(J166,PasteHashtag!$C$2:$P1015,3,)))</f>
        <v>DEN</v>
      </c>
      <c r="G166" s="269">
        <v>147.0</v>
      </c>
      <c r="H166" s="270">
        <f>IFERROR(__xludf.DUMMYFUNCTION("""COMPUTED_VALUE"""),150.0)</f>
        <v>150</v>
      </c>
      <c r="I166" s="270">
        <f>IFERROR(__xludf.DUMMYFUNCTION("""COMPUTED_VALUE"""),139.1)</f>
        <v>139.1</v>
      </c>
      <c r="J166" s="271" t="str">
        <f>IFERROR(__xludf.DUMMYFUNCTION("""COMPUTED_VALUE"""),"Russell Westbrook")</f>
        <v>Russell Westbrook</v>
      </c>
      <c r="K166" s="270">
        <f>IFERROR(__xludf.DUMMYFUNCTION("""COMPUTED_VALUE"""),67.0)</f>
        <v>67</v>
      </c>
      <c r="L166" s="272" t="str">
        <f>IFERROR(__xludf.DUMMYFUNCTION("""COMPUTED_VALUE"""),"C")</f>
        <v>C</v>
      </c>
      <c r="M166" s="273">
        <f>IFERROR(__xludf.DUMMYFUNCTION("""COMPUTED_VALUE"""),-3.5967112513456825)</f>
        <v>-3.596711251</v>
      </c>
      <c r="N166" s="273">
        <f>IFERROR(__xludf.DUMMYFUNCTION("""COMPUTED_VALUE"""),-3.419803740369237)</f>
        <v>-3.41980374</v>
      </c>
      <c r="O166" s="274">
        <f>IFERROR(__xludf.DUMMYFUNCTION("""COMPUTED_VALUE"""),0.17690751097644553)</f>
        <v>0.176907511</v>
      </c>
      <c r="P166" s="275">
        <f>IFERROR(__xludf.DUMMYFUNCTION("""COMPUTED_VALUE"""),12.70205479)</f>
        <v>12.70205479</v>
      </c>
      <c r="Q166" s="275">
        <f>IFERROR(__xludf.DUMMYFUNCTION("""COMPUTED_VALUE"""),0.7453424658)</f>
        <v>0.7453424658</v>
      </c>
      <c r="R166" s="275">
        <f>IFERROR(__xludf.DUMMYFUNCTION("""COMPUTED_VALUE"""),5.361369863)</f>
        <v>5.361369863</v>
      </c>
      <c r="S166" s="276">
        <f>IFERROR(__xludf.DUMMYFUNCTION("""COMPUTED_VALUE"""),5.042876712)</f>
        <v>5.042876712</v>
      </c>
      <c r="T166" s="275">
        <f>IFERROR(__xludf.DUMMYFUNCTION("""COMPUTED_VALUE"""),1.061643836)</f>
        <v>1.061643836</v>
      </c>
      <c r="U166" s="275">
        <f>IFERROR(__xludf.DUMMYFUNCTION("""COMPUTED_VALUE"""),0.4180821918)</f>
        <v>0.4180821918</v>
      </c>
      <c r="V166" s="272">
        <f>IFERROR(__xludf.DUMMYFUNCTION("""COMPUTED_VALUE"""),0.4572066175)</f>
        <v>0.4572066175</v>
      </c>
      <c r="W166" s="272">
        <f>IFERROR(__xludf.DUMMYFUNCTION("""COMPUTED_VALUE"""),0.6950234367)</f>
        <v>0.6950234367</v>
      </c>
      <c r="X166" s="275">
        <f>IFERROR(__xludf.DUMMYFUNCTION("""COMPUTED_VALUE"""),2.462054795)</f>
        <v>2.462054795</v>
      </c>
      <c r="Y166" s="273">
        <f>IFERROR(__xludf.DUMMYFUNCTION("""COMPUTED_VALUE"""),-0.8628137812393208)</f>
        <v>-0.8628137812</v>
      </c>
      <c r="Z166" s="273">
        <f>IFERROR(__xludf.DUMMYFUNCTION("""COMPUTED_VALUE"""),-0.9952259087486125)</f>
        <v>-0.9952259087</v>
      </c>
      <c r="AA166" s="273">
        <f>IFERROR(__xludf.DUMMYFUNCTION("""COMPUTED_VALUE"""),-0.2829425351236454)</f>
        <v>-0.2829425351</v>
      </c>
      <c r="AB166" s="273">
        <f>IFERROR(__xludf.DUMMYFUNCTION("""COMPUTED_VALUE"""),0.5038862652370867)</f>
        <v>0.5038862652</v>
      </c>
      <c r="AC166" s="273">
        <f>IFERROR(__xludf.DUMMYFUNCTION("""COMPUTED_VALUE"""),0.2833366484916978)</f>
        <v>0.2833366485</v>
      </c>
      <c r="AD166" s="273">
        <f>IFERROR(__xludf.DUMMYFUNCTION("""COMPUTED_VALUE"""),-0.5896462792002043)</f>
        <v>-0.5896462792</v>
      </c>
      <c r="AE166" s="273">
        <f>IFERROR(__xludf.DUMMYFUNCTION("""COMPUTED_VALUE"""),-0.5117356776691171)</f>
        <v>-0.5117356777</v>
      </c>
      <c r="AF166" s="273">
        <f>IFERROR(__xludf.DUMMYFUNCTION("""COMPUTED_VALUE"""),-0.9646624721171216)</f>
        <v>-0.9646624721</v>
      </c>
      <c r="AG166" s="277">
        <f>IFERROR(__xludf.DUMMYFUNCTION("""COMPUTED_VALUE"""),0.0)</f>
        <v>0</v>
      </c>
      <c r="AH166" s="265"/>
      <c r="AI166" s="338"/>
      <c r="AJ166" s="339"/>
      <c r="AK166" s="265"/>
      <c r="AL166" s="265"/>
      <c r="AM166" s="265"/>
      <c r="AN166" s="265"/>
      <c r="AO166" s="265"/>
      <c r="AP166" s="265"/>
      <c r="AQ166" s="265"/>
      <c r="AR166" s="265"/>
      <c r="AS166" s="265"/>
      <c r="AT166" s="265"/>
      <c r="AU166" s="265"/>
      <c r="AV166" s="265"/>
      <c r="AW166" s="265"/>
      <c r="AX166" s="265"/>
      <c r="AY166" s="265"/>
      <c r="AZ166" s="265"/>
      <c r="BA166" s="265"/>
      <c r="BB166" s="265"/>
      <c r="BC166" s="265"/>
      <c r="BD166" s="265"/>
      <c r="BE166" s="265"/>
      <c r="BF166" s="265"/>
      <c r="BG166" s="265"/>
      <c r="BH166" s="265"/>
      <c r="BI166" s="265"/>
      <c r="BJ166" s="265"/>
      <c r="BK166" s="265"/>
      <c r="BL166" s="265"/>
      <c r="BM166" s="265"/>
      <c r="BN166" s="265"/>
      <c r="BO166" s="265"/>
      <c r="BP166" s="265"/>
      <c r="BQ166" s="265"/>
      <c r="BR166" s="265"/>
      <c r="BS166" s="265"/>
      <c r="BT166" s="265"/>
      <c r="BU166" s="265"/>
      <c r="BV166" s="265"/>
    </row>
    <row r="167">
      <c r="A167" s="251">
        <f>VLOOKUP($F167,UpdateHashtag!$V$3:$Y$32,COLUMN(B$15),0)</f>
        <v>4</v>
      </c>
      <c r="B167" s="252">
        <f>VLOOKUP($F167,UpdateHashtag!$V$3:$Y$32,COLUMN(C$13),0)</f>
        <v>4</v>
      </c>
      <c r="C167" s="252">
        <f>VLOOKUP($F167,UpdateHashtag!$V$3:$Y$32,COLUMN(D$13),0)</f>
        <v>4</v>
      </c>
      <c r="D167" s="268">
        <f t="shared" si="4"/>
        <v>12</v>
      </c>
      <c r="E167" s="19"/>
      <c r="F167" s="30" t="str">
        <f>IF(VLOOKUP(J167,PasteHashtag!$C$2:$P1015,3,)="BRO","BKN",IF(VLOOKUP(J167,PasteHashtag!$C$2:$P1015,3,)="OKL","OKC",VLOOKUP(J167,PasteHashtag!$C$2:$P1015,3,)))</f>
        <v>PHI</v>
      </c>
      <c r="G167" s="269">
        <v>148.0</v>
      </c>
      <c r="H167" s="270">
        <f>IFERROR(__xludf.DUMMYFUNCTION("""COMPUTED_VALUE"""),154.0)</f>
        <v>154</v>
      </c>
      <c r="I167" s="270">
        <f>IFERROR(__xludf.DUMMYFUNCTION("""COMPUTED_VALUE"""),142.5)</f>
        <v>142.5</v>
      </c>
      <c r="J167" s="271" t="str">
        <f>IFERROR(__xludf.DUMMYFUNCTION("""COMPUTED_VALUE"""),"Kelly Oubre Jr.")</f>
        <v>Kelly Oubre Jr.</v>
      </c>
      <c r="K167" s="270">
        <f>IFERROR(__xludf.DUMMYFUNCTION("""COMPUTED_VALUE"""),62.0)</f>
        <v>62</v>
      </c>
      <c r="L167" s="272" t="str">
        <f>IFERROR(__xludf.DUMMYFUNCTION("""COMPUTED_VALUE"""),"SF,PF")</f>
        <v>SF,PF</v>
      </c>
      <c r="M167" s="273">
        <f>IFERROR(__xludf.DUMMYFUNCTION("""COMPUTED_VALUE"""),-3.3215609299146767)</f>
        <v>-3.32156093</v>
      </c>
      <c r="N167" s="273">
        <f>IFERROR(__xludf.DUMMYFUNCTION("""COMPUTED_VALUE"""),-3.4311577100356394)</f>
        <v>-3.43115771</v>
      </c>
      <c r="O167" s="274">
        <f>IFERROR(__xludf.DUMMYFUNCTION("""COMPUTED_VALUE"""),-0.10959678012096274)</f>
        <v>-0.1095967801</v>
      </c>
      <c r="P167" s="275">
        <f>IFERROR(__xludf.DUMMYFUNCTION("""COMPUTED_VALUE"""),14.67972603)</f>
        <v>14.67972603</v>
      </c>
      <c r="Q167" s="275">
        <f>IFERROR(__xludf.DUMMYFUNCTION("""COMPUTED_VALUE"""),1.59)</f>
        <v>1.59</v>
      </c>
      <c r="R167" s="275">
        <f>IFERROR(__xludf.DUMMYFUNCTION("""COMPUTED_VALUE"""),5.226712329)</f>
        <v>5.226712329</v>
      </c>
      <c r="S167" s="276">
        <f>IFERROR(__xludf.DUMMYFUNCTION("""COMPUTED_VALUE"""),1.43739726)</f>
        <v>1.43739726</v>
      </c>
      <c r="T167" s="275">
        <f>IFERROR(__xludf.DUMMYFUNCTION("""COMPUTED_VALUE"""),1.102739726)</f>
        <v>1.102739726</v>
      </c>
      <c r="U167" s="275">
        <f>IFERROR(__xludf.DUMMYFUNCTION("""COMPUTED_VALUE"""),0.5226027397)</f>
        <v>0.5226027397</v>
      </c>
      <c r="V167" s="272">
        <f>IFERROR(__xludf.DUMMYFUNCTION("""COMPUTED_VALUE"""),0.4298018301)</f>
        <v>0.4298018301</v>
      </c>
      <c r="W167" s="272">
        <f>IFERROR(__xludf.DUMMYFUNCTION("""COMPUTED_VALUE"""),0.7630009775)</f>
        <v>0.7630009775</v>
      </c>
      <c r="X167" s="275">
        <f>IFERROR(__xludf.DUMMYFUNCTION("""COMPUTED_VALUE"""),1.306712329)</f>
        <v>1.306712329</v>
      </c>
      <c r="Y167" s="273">
        <f>IFERROR(__xludf.DUMMYFUNCTION("""COMPUTED_VALUE"""),-0.5063273886511356)</f>
        <v>-0.5063273887</v>
      </c>
      <c r="Z167" s="273">
        <f>IFERROR(__xludf.DUMMYFUNCTION("""COMPUTED_VALUE"""),-0.15738599486092827)</f>
        <v>-0.1573859949</v>
      </c>
      <c r="AA167" s="273">
        <f>IFERROR(__xludf.DUMMYFUNCTION("""COMPUTED_VALUE"""),-0.3357157648077841)</f>
        <v>-0.3357157648</v>
      </c>
      <c r="AB167" s="273">
        <f>IFERROR(__xludf.DUMMYFUNCTION("""COMPUTED_VALUE"""),-1.1335004385081235)</f>
        <v>-1.133500439</v>
      </c>
      <c r="AC167" s="273">
        <f>IFERROR(__xludf.DUMMYFUNCTION("""COMPUTED_VALUE"""),0.4192947312121333)</f>
        <v>0.4192947312</v>
      </c>
      <c r="AD167" s="273">
        <f>IFERROR(__xludf.DUMMYFUNCTION("""COMPUTED_VALUE"""),-0.40321843138896407)</f>
        <v>-0.4032184314</v>
      </c>
      <c r="AE167" s="273">
        <f>IFERROR(__xludf.DUMMYFUNCTION("""COMPUTED_VALUE"""),-0.9994325474303937)</f>
        <v>-0.9994325474</v>
      </c>
      <c r="AF167" s="273">
        <f>IFERROR(__xludf.DUMMYFUNCTION("""COMPUTED_VALUE"""),-0.3148718756004439)</f>
        <v>-0.3148718756</v>
      </c>
      <c r="AG167" s="277">
        <f>IFERROR(__xludf.DUMMYFUNCTION("""COMPUTED_VALUE"""),0.0)</f>
        <v>0</v>
      </c>
      <c r="AH167" s="265"/>
      <c r="AI167" s="338"/>
      <c r="AJ167" s="339"/>
      <c r="AK167" s="265"/>
      <c r="AL167" s="265"/>
      <c r="AM167" s="265"/>
      <c r="AN167" s="265"/>
      <c r="AO167" s="265"/>
      <c r="AP167" s="265"/>
      <c r="AQ167" s="265"/>
      <c r="AR167" s="265"/>
      <c r="AS167" s="265"/>
      <c r="AT167" s="265"/>
      <c r="AU167" s="265"/>
      <c r="AV167" s="265"/>
      <c r="AW167" s="265"/>
      <c r="AX167" s="265"/>
      <c r="AY167" s="265"/>
      <c r="AZ167" s="265"/>
      <c r="BA167" s="265"/>
      <c r="BB167" s="265"/>
      <c r="BC167" s="265"/>
      <c r="BD167" s="265"/>
      <c r="BE167" s="265"/>
      <c r="BF167" s="265"/>
      <c r="BG167" s="265"/>
      <c r="BH167" s="265"/>
      <c r="BI167" s="265"/>
      <c r="BJ167" s="265"/>
      <c r="BK167" s="265"/>
      <c r="BL167" s="265"/>
      <c r="BM167" s="265"/>
      <c r="BN167" s="265"/>
      <c r="BO167" s="265"/>
      <c r="BP167" s="265"/>
      <c r="BQ167" s="265"/>
      <c r="BR167" s="265"/>
      <c r="BS167" s="265"/>
      <c r="BT167" s="265"/>
      <c r="BU167" s="265"/>
      <c r="BV167" s="265"/>
    </row>
    <row r="168">
      <c r="A168" s="251">
        <f>VLOOKUP($F168,UpdateHashtag!$V$3:$Y$32,COLUMN(B$15),0)</f>
        <v>4</v>
      </c>
      <c r="B168" s="252">
        <f>VLOOKUP($F168,UpdateHashtag!$V$3:$Y$32,COLUMN(C$13),0)</f>
        <v>4</v>
      </c>
      <c r="C168" s="252">
        <f>VLOOKUP($F168,UpdateHashtag!$V$3:$Y$32,COLUMN(D$13),0)</f>
        <v>3</v>
      </c>
      <c r="D168" s="268">
        <f t="shared" si="4"/>
        <v>11</v>
      </c>
      <c r="E168" s="19"/>
      <c r="F168" s="30" t="str">
        <f>IF(VLOOKUP(J168,PasteHashtag!$C$2:$P1015,3,)="BRO","BKN",IF(VLOOKUP(J168,PasteHashtag!$C$2:$P1015,3,)="OKL","OKC",VLOOKUP(J168,PasteHashtag!$C$2:$P1015,3,)))</f>
        <v>MEM</v>
      </c>
      <c r="G168" s="269">
        <v>149.0</v>
      </c>
      <c r="H168" s="270">
        <f>IFERROR(__xludf.DUMMYFUNCTION("""COMPUTED_VALUE"""),149.0)</f>
        <v>149</v>
      </c>
      <c r="I168" s="270">
        <f>IFERROR(__xludf.DUMMYFUNCTION("""COMPUTED_VALUE"""),146.7)</f>
        <v>146.7</v>
      </c>
      <c r="J168" s="271" t="str">
        <f>IFERROR(__xludf.DUMMYFUNCTION("""COMPUTED_VALUE"""),"Vince Williams Jr.")</f>
        <v>Vince Williams Jr.</v>
      </c>
      <c r="K168" s="270">
        <f>IFERROR(__xludf.DUMMYFUNCTION("""COMPUTED_VALUE"""),80.0)</f>
        <v>80</v>
      </c>
      <c r="L168" s="272" t="str">
        <f>IFERROR(__xludf.DUMMYFUNCTION("""COMPUTED_VALUE"""),"SF,PF")</f>
        <v>SF,PF</v>
      </c>
      <c r="M168" s="273">
        <f>IFERROR(__xludf.DUMMYFUNCTION("""COMPUTED_VALUE"""),-3.4409842720015926)</f>
        <v>-3.440984272</v>
      </c>
      <c r="N168" s="273">
        <f>IFERROR(__xludf.DUMMYFUNCTION("""COMPUTED_VALUE"""),-3.52589748797895)</f>
        <v>-3.525897488</v>
      </c>
      <c r="O168" s="274">
        <f>IFERROR(__xludf.DUMMYFUNCTION("""COMPUTED_VALUE"""),-0.08491321597735757)</f>
        <v>-0.08491321598</v>
      </c>
      <c r="P168" s="275">
        <f>IFERROR(__xludf.DUMMYFUNCTION("""COMPUTED_VALUE"""),8.904642857)</f>
        <v>8.904642857</v>
      </c>
      <c r="Q168" s="275">
        <f>IFERROR(__xludf.DUMMYFUNCTION("""COMPUTED_VALUE"""),1.300892857)</f>
        <v>1.300892857</v>
      </c>
      <c r="R168" s="275">
        <f>IFERROR(__xludf.DUMMYFUNCTION("""COMPUTED_VALUE"""),5.0625)</f>
        <v>5.0625</v>
      </c>
      <c r="S168" s="276">
        <f>IFERROR(__xludf.DUMMYFUNCTION("""COMPUTED_VALUE"""),2.75625)</f>
        <v>2.75625</v>
      </c>
      <c r="T168" s="275">
        <f>IFERROR(__xludf.DUMMYFUNCTION("""COMPUTED_VALUE"""),0.9403571429)</f>
        <v>0.9403571429</v>
      </c>
      <c r="U168" s="275">
        <f>IFERROR(__xludf.DUMMYFUNCTION("""COMPUTED_VALUE"""),0.6255357143)</f>
        <v>0.6255357143</v>
      </c>
      <c r="V168" s="272">
        <f>IFERROR(__xludf.DUMMYFUNCTION("""COMPUTED_VALUE"""),0.4638133531)</f>
        <v>0.4638133531</v>
      </c>
      <c r="W168" s="272">
        <f>IFERROR(__xludf.DUMMYFUNCTION("""COMPUTED_VALUE"""),0.795026455)</f>
        <v>0.795026455</v>
      </c>
      <c r="X168" s="275">
        <f>IFERROR(__xludf.DUMMYFUNCTION("""COMPUTED_VALUE"""),1.40625)</f>
        <v>1.40625</v>
      </c>
      <c r="Y168" s="273">
        <f>IFERROR(__xludf.DUMMYFUNCTION("""COMPUTED_VALUE"""),-1.5473186947893087)</f>
        <v>-1.547318695</v>
      </c>
      <c r="Z168" s="273">
        <f>IFERROR(__xludf.DUMMYFUNCTION("""COMPUTED_VALUE"""),-0.44415962084279237)</f>
        <v>-0.4441596208</v>
      </c>
      <c r="AA168" s="273">
        <f>IFERROR(__xludf.DUMMYFUNCTION("""COMPUTED_VALUE"""),-0.4000717254277394)</f>
        <v>-0.4000717254</v>
      </c>
      <c r="AB168" s="273">
        <f>IFERROR(__xludf.DUMMYFUNCTION("""COMPUTED_VALUE"""),-0.5345587528257781)</f>
        <v>-0.5345587528</v>
      </c>
      <c r="AC168" s="273">
        <f>IFERROR(__xludf.DUMMYFUNCTION("""COMPUTED_VALUE"""),-0.11791774101970712)</f>
        <v>-0.117917741</v>
      </c>
      <c r="AD168" s="273">
        <f>IFERROR(__xludf.DUMMYFUNCTION("""COMPUTED_VALUE"""),-0.21962225523949863)</f>
        <v>-0.2196222552</v>
      </c>
      <c r="AE168" s="273">
        <f>IFERROR(__xludf.DUMMYFUNCTION("""COMPUTED_VALUE"""),-0.2625240967100026)</f>
        <v>-0.2625240967</v>
      </c>
      <c r="AF168" s="273">
        <f>IFERROR(__xludf.DUMMYFUNCTION("""COMPUTED_VALUE"""),2.7539887587689054E-4)</f>
        <v>0.0002753988759</v>
      </c>
      <c r="AG168" s="277">
        <f>IFERROR(__xludf.DUMMYFUNCTION("""COMPUTED_VALUE"""),0.0)</f>
        <v>0</v>
      </c>
      <c r="AH168" s="265"/>
      <c r="AI168" s="338"/>
      <c r="AJ168" s="339"/>
      <c r="AK168" s="265"/>
      <c r="AL168" s="265"/>
      <c r="AM168" s="265"/>
      <c r="AN168" s="265"/>
      <c r="AO168" s="265"/>
      <c r="AP168" s="265"/>
      <c r="AQ168" s="265"/>
      <c r="AR168" s="265"/>
      <c r="AS168" s="265"/>
      <c r="AT168" s="265"/>
      <c r="AU168" s="265"/>
      <c r="AV168" s="265"/>
      <c r="AW168" s="265"/>
      <c r="AX168" s="265"/>
      <c r="AY168" s="265"/>
      <c r="AZ168" s="265"/>
      <c r="BA168" s="265"/>
      <c r="BB168" s="265"/>
      <c r="BC168" s="265"/>
      <c r="BD168" s="265"/>
      <c r="BE168" s="265"/>
      <c r="BF168" s="265"/>
      <c r="BG168" s="265"/>
      <c r="BH168" s="265"/>
      <c r="BI168" s="265"/>
      <c r="BJ168" s="265"/>
      <c r="BK168" s="265"/>
      <c r="BL168" s="265"/>
      <c r="BM168" s="265"/>
      <c r="BN168" s="265"/>
      <c r="BO168" s="265"/>
      <c r="BP168" s="265"/>
      <c r="BQ168" s="265"/>
      <c r="BR168" s="265"/>
      <c r="BS168" s="265"/>
      <c r="BT168" s="265"/>
      <c r="BU168" s="265"/>
      <c r="BV168" s="265"/>
    </row>
    <row r="169">
      <c r="A169" s="251">
        <f>VLOOKUP($F169,UpdateHashtag!$V$3:$Y$32,COLUMN(B$15),0)</f>
        <v>4</v>
      </c>
      <c r="B169" s="252">
        <f>VLOOKUP($F169,UpdateHashtag!$V$3:$Y$32,COLUMN(C$13),0)</f>
        <v>4</v>
      </c>
      <c r="C169" s="252">
        <f>VLOOKUP($F169,UpdateHashtag!$V$3:$Y$32,COLUMN(D$13),0)</f>
        <v>4</v>
      </c>
      <c r="D169" s="268">
        <f t="shared" si="4"/>
        <v>12</v>
      </c>
      <c r="E169" s="19"/>
      <c r="F169" s="30" t="str">
        <f>IF(VLOOKUP(J169,PasteHashtag!$C$2:$P1015,3,)="BRO","BKN",IF(VLOOKUP(J169,PasteHashtag!$C$2:$P1015,3,)="OKL","OKC",VLOOKUP(J169,PasteHashtag!$C$2:$P1015,3,)))</f>
        <v>PHI</v>
      </c>
      <c r="G169" s="269">
        <v>150.0</v>
      </c>
      <c r="H169" s="270">
        <f>IFERROR(__xludf.DUMMYFUNCTION("""COMPUTED_VALUE"""),151.0)</f>
        <v>151</v>
      </c>
      <c r="I169" s="270"/>
      <c r="J169" s="271" t="str">
        <f>IFERROR(__xludf.DUMMYFUNCTION("""COMPUTED_VALUE"""),"Caleb Martin")</f>
        <v>Caleb Martin</v>
      </c>
      <c r="K169" s="270">
        <f>IFERROR(__xludf.DUMMYFUNCTION("""COMPUTED_VALUE"""),80.0)</f>
        <v>80</v>
      </c>
      <c r="L169" s="272" t="str">
        <f>IFERROR(__xludf.DUMMYFUNCTION("""COMPUTED_VALUE"""),"SF,PF")</f>
        <v>SF,PF</v>
      </c>
      <c r="M169" s="273">
        <f>IFERROR(__xludf.DUMMYFUNCTION("""COMPUTED_VALUE"""),-3.385250055070244)</f>
        <v>-3.385250055</v>
      </c>
      <c r="N169" s="273">
        <f>IFERROR(__xludf.DUMMYFUNCTION("""COMPUTED_VALUE"""),-3.5272538639255133)</f>
        <v>-3.527253864</v>
      </c>
      <c r="O169" s="274">
        <f>IFERROR(__xludf.DUMMYFUNCTION("""COMPUTED_VALUE"""),-0.1420038088552693)</f>
        <v>-0.1420038089</v>
      </c>
      <c r="P169" s="275">
        <f>IFERROR(__xludf.DUMMYFUNCTION("""COMPUTED_VALUE"""),9.806029412)</f>
        <v>9.806029412</v>
      </c>
      <c r="Q169" s="275">
        <f>IFERROR(__xludf.DUMMYFUNCTION("""COMPUTED_VALUE"""),1.432058824)</f>
        <v>1.432058824</v>
      </c>
      <c r="R169" s="275">
        <f>IFERROR(__xludf.DUMMYFUNCTION("""COMPUTED_VALUE"""),4.965294118)</f>
        <v>4.965294118</v>
      </c>
      <c r="S169" s="276">
        <f>IFERROR(__xludf.DUMMYFUNCTION("""COMPUTED_VALUE"""),2.156029412)</f>
        <v>2.156029412</v>
      </c>
      <c r="T169" s="275">
        <f>IFERROR(__xludf.DUMMYFUNCTION("""COMPUTED_VALUE"""),1.045294118)</f>
        <v>1.045294118</v>
      </c>
      <c r="U169" s="275">
        <f>IFERROR(__xludf.DUMMYFUNCTION("""COMPUTED_VALUE"""),0.5780882353)</f>
        <v>0.5780882353</v>
      </c>
      <c r="V169" s="272">
        <f>IFERROR(__xludf.DUMMYFUNCTION("""COMPUTED_VALUE"""),0.4403147848)</f>
        <v>0.4403147848</v>
      </c>
      <c r="W169" s="272">
        <f>IFERROR(__xludf.DUMMYFUNCTION("""COMPUTED_VALUE"""),0.8070547177)</f>
        <v>0.8070547177</v>
      </c>
      <c r="X169" s="275">
        <f>IFERROR(__xludf.DUMMYFUNCTION("""COMPUTED_VALUE"""),1.176029412)</f>
        <v>1.176029412</v>
      </c>
      <c r="Y169" s="273">
        <f>IFERROR(__xludf.DUMMYFUNCTION("""COMPUTED_VALUE"""),-1.3848386855641954)</f>
        <v>-1.384838686</v>
      </c>
      <c r="Z169" s="273">
        <f>IFERROR(__xludf.DUMMYFUNCTION("""COMPUTED_VALUE"""),-0.3140523548247835)</f>
        <v>-0.3140523548</v>
      </c>
      <c r="AA169" s="273">
        <f>IFERROR(__xludf.DUMMYFUNCTION("""COMPUTED_VALUE"""),-0.43816739066868504)</f>
        <v>-0.4381673907</v>
      </c>
      <c r="AB169" s="273">
        <f>IFERROR(__xludf.DUMMYFUNCTION("""COMPUTED_VALUE"""),-0.8071419759974331)</f>
        <v>-0.807141976</v>
      </c>
      <c r="AC169" s="273">
        <f>IFERROR(__xludf.DUMMYFUNCTION("""COMPUTED_VALUE"""),0.22924665768483612)</f>
        <v>0.2292466577</v>
      </c>
      <c r="AD169" s="273">
        <f>IFERROR(__xludf.DUMMYFUNCTION("""COMPUTED_VALUE"""),-0.3042518479058323)</f>
        <v>-0.3042518479</v>
      </c>
      <c r="AE169" s="273">
        <f>IFERROR(__xludf.DUMMYFUNCTION("""COMPUTED_VALUE"""),-0.5580967340267711)</f>
        <v>-0.558096734</v>
      </c>
      <c r="AF169" s="273">
        <f>IFERROR(__xludf.DUMMYFUNCTION("""COMPUTED_VALUE"""),0.050048467377351365)</f>
        <v>0.05004846738</v>
      </c>
      <c r="AG169" s="277">
        <f>IFERROR(__xludf.DUMMYFUNCTION("""COMPUTED_VALUE"""),0.0)</f>
        <v>0</v>
      </c>
      <c r="AH169" s="265"/>
      <c r="AI169" s="338"/>
      <c r="AJ169" s="339"/>
      <c r="AK169" s="265"/>
      <c r="AL169" s="265"/>
      <c r="AM169" s="265"/>
      <c r="AN169" s="265"/>
      <c r="AO169" s="265"/>
      <c r="AP169" s="265"/>
      <c r="AQ169" s="265"/>
      <c r="AR169" s="265"/>
      <c r="AS169" s="265"/>
      <c r="AT169" s="265"/>
      <c r="AU169" s="265"/>
      <c r="AV169" s="265"/>
      <c r="AW169" s="265"/>
      <c r="AX169" s="265"/>
      <c r="AY169" s="265"/>
      <c r="AZ169" s="265"/>
      <c r="BA169" s="265"/>
      <c r="BB169" s="265"/>
      <c r="BC169" s="265"/>
      <c r="BD169" s="265"/>
      <c r="BE169" s="265"/>
      <c r="BF169" s="265"/>
      <c r="BG169" s="265"/>
      <c r="BH169" s="265"/>
      <c r="BI169" s="265"/>
      <c r="BJ169" s="265"/>
      <c r="BK169" s="265"/>
      <c r="BL169" s="265"/>
      <c r="BM169" s="265"/>
      <c r="BN169" s="265"/>
      <c r="BO169" s="265"/>
      <c r="BP169" s="265"/>
      <c r="BQ169" s="265"/>
      <c r="BR169" s="265"/>
      <c r="BS169" s="265"/>
      <c r="BT169" s="265"/>
      <c r="BU169" s="265"/>
      <c r="BV169" s="265"/>
    </row>
    <row r="170">
      <c r="A170" s="251">
        <f>VLOOKUP($F170,UpdateHashtag!$V$3:$Y$32,COLUMN(B$15),0)</f>
        <v>4</v>
      </c>
      <c r="B170" s="252">
        <f>VLOOKUP($F170,UpdateHashtag!$V$3:$Y$32,COLUMN(C$13),0)</f>
        <v>3</v>
      </c>
      <c r="C170" s="252">
        <f>VLOOKUP($F170,UpdateHashtag!$V$3:$Y$32,COLUMN(D$13),0)</f>
        <v>4</v>
      </c>
      <c r="D170" s="268">
        <f t="shared" si="4"/>
        <v>11</v>
      </c>
      <c r="E170" s="19"/>
      <c r="F170" s="30" t="str">
        <f>IF(VLOOKUP(J170,PasteHashtag!$C$2:$P1015,3,)="BRO","BKN",IF(VLOOKUP(J170,PasteHashtag!$C$2:$P1015,3,)="OKL","OKC",VLOOKUP(J170,PasteHashtag!$C$2:$P1015,3,)))</f>
        <v>GS</v>
      </c>
      <c r="G170" s="269">
        <v>151.0</v>
      </c>
      <c r="H170" s="270">
        <f>IFERROR(__xludf.DUMMYFUNCTION("""COMPUTED_VALUE"""),137.0)</f>
        <v>137</v>
      </c>
      <c r="I170" s="270">
        <f>IFERROR(__xludf.DUMMYFUNCTION("""COMPUTED_VALUE"""),125.6)</f>
        <v>125.6</v>
      </c>
      <c r="J170" s="271" t="str">
        <f>IFERROR(__xludf.DUMMYFUNCTION("""COMPUTED_VALUE"""),"Trayce Jackson-Davis")</f>
        <v>Trayce Jackson-Davis</v>
      </c>
      <c r="K170" s="270">
        <f>IFERROR(__xludf.DUMMYFUNCTION("""COMPUTED_VALUE"""),52.0)</f>
        <v>52</v>
      </c>
      <c r="L170" s="272" t="str">
        <f>IFERROR(__xludf.DUMMYFUNCTION("""COMPUTED_VALUE"""),"PF,C")</f>
        <v>PF,C</v>
      </c>
      <c r="M170" s="273">
        <f>IFERROR(__xludf.DUMMYFUNCTION("""COMPUTED_VALUE"""),-3.4091133568749155)</f>
        <v>-3.409113357</v>
      </c>
      <c r="N170" s="273">
        <f>IFERROR(__xludf.DUMMYFUNCTION("""COMPUTED_VALUE"""),-3.6090707505472444)</f>
        <v>-3.609070751</v>
      </c>
      <c r="O170" s="274">
        <f>IFERROR(__xludf.DUMMYFUNCTION("""COMPUTED_VALUE"""),-0.1999573936723289)</f>
        <v>-0.1999573937</v>
      </c>
      <c r="P170" s="275">
        <f>IFERROR(__xludf.DUMMYFUNCTION("""COMPUTED_VALUE"""),11.94)</f>
        <v>11.94</v>
      </c>
      <c r="Q170" s="275">
        <f>IFERROR(__xludf.DUMMYFUNCTION("""COMPUTED_VALUE"""),0.0)</f>
        <v>0</v>
      </c>
      <c r="R170" s="275">
        <f>IFERROR(__xludf.DUMMYFUNCTION("""COMPUTED_VALUE"""),6.416712329)</f>
        <v>6.416712329</v>
      </c>
      <c r="S170" s="276">
        <f>IFERROR(__xludf.DUMMYFUNCTION("""COMPUTED_VALUE"""),1.783150685)</f>
        <v>1.783150685</v>
      </c>
      <c r="T170" s="275">
        <f>IFERROR(__xludf.DUMMYFUNCTION("""COMPUTED_VALUE"""),0.6204109589)</f>
        <v>0.6204109589</v>
      </c>
      <c r="U170" s="275">
        <f>IFERROR(__xludf.DUMMYFUNCTION("""COMPUTED_VALUE"""),1.420821918)</f>
        <v>1.420821918</v>
      </c>
      <c r="V170" s="272">
        <f>IFERROR(__xludf.DUMMYFUNCTION("""COMPUTED_VALUE"""),0.7080075188)</f>
        <v>0.7080075188</v>
      </c>
      <c r="W170" s="272">
        <f>IFERROR(__xludf.DUMMYFUNCTION("""COMPUTED_VALUE"""),0.6009957326)</f>
        <v>0.6009957326</v>
      </c>
      <c r="X170" s="275">
        <f>IFERROR(__xludf.DUMMYFUNCTION("""COMPUTED_VALUE"""),0.9423287671)</f>
        <v>0.9423287671</v>
      </c>
      <c r="Y170" s="273">
        <f>IFERROR(__xludf.DUMMYFUNCTION("""COMPUTED_VALUE"""),-1.000178454167288)</f>
        <v>-1.000178454</v>
      </c>
      <c r="Z170" s="273">
        <f>IFERROR(__xludf.DUMMYFUNCTION("""COMPUTED_VALUE"""),-1.7345523719336797)</f>
        <v>-1.734552372</v>
      </c>
      <c r="AA170" s="273">
        <f>IFERROR(__xludf.DUMMYFUNCTION("""COMPUTED_VALUE"""),0.13065356083369692)</f>
        <v>0.1306535608</v>
      </c>
      <c r="AB170" s="273">
        <f>IFERROR(__xludf.DUMMYFUNCTION("""COMPUTED_VALUE"""),-0.976480528006255)</f>
        <v>-0.976480528</v>
      </c>
      <c r="AC170" s="273">
        <f>IFERROR(__xludf.DUMMYFUNCTION("""COMPUTED_VALUE"""),-1.1763999821966142)</f>
        <v>-1.176399982</v>
      </c>
      <c r="AD170" s="273">
        <f>IFERROR(__xludf.DUMMYFUNCTION("""COMPUTED_VALUE"""),1.1988882513415955)</f>
        <v>1.198888251</v>
      </c>
      <c r="AE170" s="273">
        <f>IFERROR(__xludf.DUMMYFUNCTION("""COMPUTED_VALUE"""),1.7865646716251977)</f>
        <v>1.786564672</v>
      </c>
      <c r="AF170" s="273">
        <f>IFERROR(__xludf.DUMMYFUNCTION("""COMPUTED_VALUE"""),-1.8375658980438982)</f>
        <v>-1.837565898</v>
      </c>
      <c r="AG170" s="277">
        <f>IFERROR(__xludf.DUMMYFUNCTION("""COMPUTED_VALUE"""),0.0)</f>
        <v>0</v>
      </c>
      <c r="AH170" s="265"/>
      <c r="AI170" s="338"/>
      <c r="AJ170" s="339"/>
      <c r="AK170" s="265"/>
      <c r="AL170" s="265"/>
      <c r="AM170" s="265"/>
      <c r="AN170" s="265"/>
      <c r="AO170" s="265"/>
      <c r="AP170" s="265"/>
      <c r="AQ170" s="265"/>
      <c r="AR170" s="265"/>
      <c r="AS170" s="265"/>
      <c r="AT170" s="265"/>
      <c r="AU170" s="265"/>
      <c r="AV170" s="265"/>
      <c r="AW170" s="265"/>
      <c r="AX170" s="265"/>
      <c r="AY170" s="265"/>
      <c r="AZ170" s="265"/>
      <c r="BA170" s="265"/>
      <c r="BB170" s="265"/>
      <c r="BC170" s="265"/>
      <c r="BD170" s="265"/>
      <c r="BE170" s="265"/>
      <c r="BF170" s="265"/>
      <c r="BG170" s="265"/>
      <c r="BH170" s="265"/>
      <c r="BI170" s="265"/>
      <c r="BJ170" s="265"/>
      <c r="BK170" s="265"/>
      <c r="BL170" s="265"/>
      <c r="BM170" s="265"/>
      <c r="BN170" s="265"/>
      <c r="BO170" s="265"/>
      <c r="BP170" s="265"/>
      <c r="BQ170" s="265"/>
      <c r="BR170" s="265"/>
      <c r="BS170" s="265"/>
      <c r="BT170" s="265"/>
      <c r="BU170" s="265"/>
      <c r="BV170" s="265"/>
    </row>
    <row r="171">
      <c r="A171" s="251">
        <f>VLOOKUP($F171,UpdateHashtag!$V$3:$Y$32,COLUMN(B$15),0)</f>
        <v>4</v>
      </c>
      <c r="B171" s="252">
        <f>VLOOKUP($F171,UpdateHashtag!$V$3:$Y$32,COLUMN(C$13),0)</f>
        <v>3</v>
      </c>
      <c r="C171" s="252">
        <f>VLOOKUP($F171,UpdateHashtag!$V$3:$Y$32,COLUMN(D$13),0)</f>
        <v>4</v>
      </c>
      <c r="D171" s="268">
        <f t="shared" si="4"/>
        <v>11</v>
      </c>
      <c r="E171" s="19"/>
      <c r="F171" s="30" t="str">
        <f>IF(VLOOKUP(J171,PasteHashtag!$C$2:$P1015,3,)="BRO","BKN",IF(VLOOKUP(J171,PasteHashtag!$C$2:$P1015,3,)="OKL","OKC",VLOOKUP(J171,PasteHashtag!$C$2:$P1015,3,)))</f>
        <v>DET</v>
      </c>
      <c r="G171" s="269">
        <v>152.0</v>
      </c>
      <c r="H171" s="270">
        <f>IFERROR(__xludf.DUMMYFUNCTION("""COMPUTED_VALUE"""),153.0)</f>
        <v>153</v>
      </c>
      <c r="I171" s="270">
        <f>IFERROR(__xludf.DUMMYFUNCTION("""COMPUTED_VALUE"""),138.1)</f>
        <v>138.1</v>
      </c>
      <c r="J171" s="271" t="str">
        <f>IFERROR(__xludf.DUMMYFUNCTION("""COMPUTED_VALUE"""),"Ausar Thompson")</f>
        <v>Ausar Thompson</v>
      </c>
      <c r="K171" s="270">
        <f>IFERROR(__xludf.DUMMYFUNCTION("""COMPUTED_VALUE"""),74.0)</f>
        <v>74</v>
      </c>
      <c r="L171" s="272" t="str">
        <f>IFERROR(__xludf.DUMMYFUNCTION("""COMPUTED_VALUE"""),"PG,SG")</f>
        <v>PG,SG</v>
      </c>
      <c r="M171" s="273">
        <f>IFERROR(__xludf.DUMMYFUNCTION("""COMPUTED_VALUE"""),-3.5730499222155507)</f>
        <v>-3.573049922</v>
      </c>
      <c r="N171" s="273">
        <f>IFERROR(__xludf.DUMMYFUNCTION("""COMPUTED_VALUE"""),-3.6884585274544026)</f>
        <v>-3.688458527</v>
      </c>
      <c r="O171" s="274">
        <f>IFERROR(__xludf.DUMMYFUNCTION("""COMPUTED_VALUE"""),-0.11540860523885188)</f>
        <v>-0.1154086052</v>
      </c>
      <c r="P171" s="275">
        <f>IFERROR(__xludf.DUMMYFUNCTION("""COMPUTED_VALUE"""),9.374310345)</f>
        <v>9.374310345</v>
      </c>
      <c r="Q171" s="275">
        <f>IFERROR(__xludf.DUMMYFUNCTION("""COMPUTED_VALUE"""),0.5210344828)</f>
        <v>0.5210344828</v>
      </c>
      <c r="R171" s="275">
        <f>IFERROR(__xludf.DUMMYFUNCTION("""COMPUTED_VALUE"""),5.568793103)</f>
        <v>5.568793103</v>
      </c>
      <c r="S171" s="276">
        <f>IFERROR(__xludf.DUMMYFUNCTION("""COMPUTED_VALUE"""),2.060517241)</f>
        <v>2.060517241</v>
      </c>
      <c r="T171" s="275">
        <f>IFERROR(__xludf.DUMMYFUNCTION("""COMPUTED_VALUE"""),1.336551724)</f>
        <v>1.336551724</v>
      </c>
      <c r="U171" s="275">
        <f>IFERROR(__xludf.DUMMYFUNCTION("""COMPUTED_VALUE"""),0.8910344828)</f>
        <v>0.8910344828</v>
      </c>
      <c r="V171" s="272">
        <f>IFERROR(__xludf.DUMMYFUNCTION("""COMPUTED_VALUE"""),0.5096156019)</f>
        <v>0.5096156019</v>
      </c>
      <c r="W171" s="272">
        <f>IFERROR(__xludf.DUMMYFUNCTION("""COMPUTED_VALUE"""),0.5679607237)</f>
        <v>0.5679607237</v>
      </c>
      <c r="X171" s="275">
        <f>IFERROR(__xludf.DUMMYFUNCTION("""COMPUTED_VALUE"""),1.283275862)</f>
        <v>1.283275862</v>
      </c>
      <c r="Y171" s="273">
        <f>IFERROR(__xludf.DUMMYFUNCTION("""COMPUTED_VALUE"""),-1.4626584817434465)</f>
        <v>-1.462658482</v>
      </c>
      <c r="Z171" s="273">
        <f>IFERROR(__xludf.DUMMYFUNCTION("""COMPUTED_VALUE"""),-1.217723398620692)</f>
        <v>-1.217723399</v>
      </c>
      <c r="AA171" s="273">
        <f>IFERROR(__xludf.DUMMYFUNCTION("""COMPUTED_VALUE"""),-0.20165191616467823)</f>
        <v>-0.2016519162</v>
      </c>
      <c r="AB171" s="273">
        <f>IFERROR(__xludf.DUMMYFUNCTION("""COMPUTED_VALUE"""),-0.8505177214213843)</f>
        <v>-0.8505177214</v>
      </c>
      <c r="AC171" s="273">
        <f>IFERROR(__xludf.DUMMYFUNCTION("""COMPUTED_VALUE"""),1.192818092431814)</f>
        <v>1.192818092</v>
      </c>
      <c r="AD171" s="273">
        <f>IFERROR(__xludf.DUMMYFUNCTION("""COMPUTED_VALUE"""),0.253934045434942)</f>
        <v>0.2539340454</v>
      </c>
      <c r="AE171" s="273">
        <f>IFERROR(__xludf.DUMMYFUNCTION("""COMPUTED_VALUE"""),0.10976589811870971)</f>
        <v>0.1097658981</v>
      </c>
      <c r="AF171" s="273">
        <f>IFERROR(__xludf.DUMMYFUNCTION("""COMPUTED_VALUE"""),-1.5124250454896666)</f>
        <v>-1.512425045</v>
      </c>
      <c r="AG171" s="277">
        <f>IFERROR(__xludf.DUMMYFUNCTION("""COMPUTED_VALUE"""),0.0)</f>
        <v>0</v>
      </c>
      <c r="AH171" s="265"/>
      <c r="AI171" s="338"/>
      <c r="AJ171" s="339"/>
      <c r="AK171" s="265"/>
      <c r="AL171" s="265"/>
      <c r="AM171" s="265"/>
      <c r="AN171" s="265"/>
      <c r="AO171" s="265"/>
      <c r="AP171" s="265"/>
      <c r="AQ171" s="265"/>
      <c r="AR171" s="265"/>
      <c r="AS171" s="265"/>
      <c r="AT171" s="265"/>
      <c r="AU171" s="265"/>
      <c r="AV171" s="265"/>
      <c r="AW171" s="265"/>
      <c r="AX171" s="265"/>
      <c r="AY171" s="265"/>
      <c r="AZ171" s="265"/>
      <c r="BA171" s="265"/>
      <c r="BB171" s="265"/>
      <c r="BC171" s="265"/>
      <c r="BD171" s="265"/>
      <c r="BE171" s="265"/>
      <c r="BF171" s="265"/>
      <c r="BG171" s="265"/>
      <c r="BH171" s="265"/>
      <c r="BI171" s="265"/>
      <c r="BJ171" s="265"/>
      <c r="BK171" s="265"/>
      <c r="BL171" s="265"/>
      <c r="BM171" s="265"/>
      <c r="BN171" s="265"/>
      <c r="BO171" s="265"/>
      <c r="BP171" s="265"/>
      <c r="BQ171" s="265"/>
      <c r="BR171" s="265"/>
      <c r="BS171" s="265"/>
      <c r="BT171" s="265"/>
      <c r="BU171" s="265"/>
      <c r="BV171" s="265"/>
    </row>
    <row r="172">
      <c r="A172" s="251">
        <f>VLOOKUP($F172,UpdateHashtag!$V$3:$Y$32,COLUMN(B$15),0)</f>
        <v>4</v>
      </c>
      <c r="B172" s="252">
        <f>VLOOKUP($F172,UpdateHashtag!$V$3:$Y$32,COLUMN(C$13),0)</f>
        <v>4</v>
      </c>
      <c r="C172" s="252">
        <f>VLOOKUP($F172,UpdateHashtag!$V$3:$Y$32,COLUMN(D$13),0)</f>
        <v>4</v>
      </c>
      <c r="D172" s="268">
        <f t="shared" si="4"/>
        <v>12</v>
      </c>
      <c r="E172" s="19"/>
      <c r="F172" s="30" t="str">
        <f>IF(VLOOKUP(J172,PasteHashtag!$C$2:$P1015,3,)="BRO","BKN",IF(VLOOKUP(J172,PasteHashtag!$C$2:$P1015,3,)="OKL","OKC",VLOOKUP(J172,PasteHashtag!$C$2:$P1015,3,)))</f>
        <v>LAC</v>
      </c>
      <c r="G172" s="269">
        <v>153.0</v>
      </c>
      <c r="H172" s="270">
        <f>IFERROR(__xludf.DUMMYFUNCTION("""COMPUTED_VALUE"""),158.0)</f>
        <v>158</v>
      </c>
      <c r="I172" s="270">
        <f>IFERROR(__xludf.DUMMYFUNCTION("""COMPUTED_VALUE"""),144.2)</f>
        <v>144.2</v>
      </c>
      <c r="J172" s="271" t="str">
        <f>IFERROR(__xludf.DUMMYFUNCTION("""COMPUTED_VALUE"""),"Kevin Porter Jr.")</f>
        <v>Kevin Porter Jr.</v>
      </c>
      <c r="K172" s="270">
        <f>IFERROR(__xludf.DUMMYFUNCTION("""COMPUTED_VALUE"""),59.0)</f>
        <v>59</v>
      </c>
      <c r="L172" s="272" t="str">
        <f>IFERROR(__xludf.DUMMYFUNCTION("""COMPUTED_VALUE"""),"C")</f>
        <v>C</v>
      </c>
      <c r="M172" s="273">
        <f>IFERROR(__xludf.DUMMYFUNCTION("""COMPUTED_VALUE"""),-3.8101703437625414)</f>
        <v>-3.810170344</v>
      </c>
      <c r="N172" s="273">
        <f>IFERROR(__xludf.DUMMYFUNCTION("""COMPUTED_VALUE"""),-3.7040826140916594)</f>
        <v>-3.704082614</v>
      </c>
      <c r="O172" s="274">
        <f>IFERROR(__xludf.DUMMYFUNCTION("""COMPUTED_VALUE"""),0.10608772967088198)</f>
        <v>0.1060877297</v>
      </c>
      <c r="P172" s="275">
        <f>IFERROR(__xludf.DUMMYFUNCTION("""COMPUTED_VALUE"""),14.79735294)</f>
        <v>14.79735294</v>
      </c>
      <c r="Q172" s="275">
        <f>IFERROR(__xludf.DUMMYFUNCTION("""COMPUTED_VALUE"""),1.981323529)</f>
        <v>1.981323529</v>
      </c>
      <c r="R172" s="275">
        <f>IFERROR(__xludf.DUMMYFUNCTION("""COMPUTED_VALUE"""),3.503529412)</f>
        <v>3.503529412</v>
      </c>
      <c r="S172" s="276">
        <f>IFERROR(__xludf.DUMMYFUNCTION("""COMPUTED_VALUE"""),3.397352941)</f>
        <v>3.397352941</v>
      </c>
      <c r="T172" s="275">
        <f>IFERROR(__xludf.DUMMYFUNCTION("""COMPUTED_VALUE"""),0.9176470588)</f>
        <v>0.9176470588</v>
      </c>
      <c r="U172" s="275">
        <f>IFERROR(__xludf.DUMMYFUNCTION("""COMPUTED_VALUE"""),0.2182352941)</f>
        <v>0.2182352941</v>
      </c>
      <c r="V172" s="272">
        <f>IFERROR(__xludf.DUMMYFUNCTION("""COMPUTED_VALUE"""),0.4538563244)</f>
        <v>0.4538563244</v>
      </c>
      <c r="W172" s="272">
        <f>IFERROR(__xludf.DUMMYFUNCTION("""COMPUTED_VALUE"""),0.75)</f>
        <v>0.75</v>
      </c>
      <c r="X172" s="275">
        <f>IFERROR(__xludf.DUMMYFUNCTION("""COMPUTED_VALUE"""),2.176470588)</f>
        <v>2.176470588</v>
      </c>
      <c r="Y172" s="273">
        <f>IFERROR(__xludf.DUMMYFUNCTION("""COMPUTED_VALUE"""),-0.48512447485581983)</f>
        <v>-0.4851244749</v>
      </c>
      <c r="Z172" s="273">
        <f>IFERROR(__xludf.DUMMYFUNCTION("""COMPUTED_VALUE"""),0.23077898155180981)</f>
        <v>0.2307789816</v>
      </c>
      <c r="AA172" s="273">
        <f>IFERROR(__xludf.DUMMYFUNCTION("""COMPUTED_VALUE"""),-1.0110432059491368)</f>
        <v>-1.011043206</v>
      </c>
      <c r="AB172" s="273">
        <f>IFERROR(__xludf.DUMMYFUNCTION("""COMPUTED_VALUE"""),-0.24340928288689093)</f>
        <v>-0.2434092829</v>
      </c>
      <c r="AC172" s="273">
        <f>IFERROR(__xludf.DUMMYFUNCTION("""COMPUTED_VALUE"""),-0.19304981609232036)</f>
        <v>-0.1930498161</v>
      </c>
      <c r="AD172" s="273">
        <f>IFERROR(__xludf.DUMMYFUNCTION("""COMPUTED_VALUE"""),-0.9461027633894159)</f>
        <v>-0.9461027634</v>
      </c>
      <c r="AE172" s="273">
        <f>IFERROR(__xludf.DUMMYFUNCTION("""COMPUTED_VALUE"""),-0.5894225231597318)</f>
        <v>-0.5894225232</v>
      </c>
      <c r="AF172" s="273">
        <f>IFERROR(__xludf.DUMMYFUNCTION("""COMPUTED_VALUE"""),-0.4667095293101537)</f>
        <v>-0.4667095293</v>
      </c>
      <c r="AG172" s="277">
        <f>IFERROR(__xludf.DUMMYFUNCTION("""COMPUTED_VALUE"""),0.0)</f>
        <v>0</v>
      </c>
      <c r="AH172" s="265"/>
      <c r="AI172" s="338"/>
      <c r="AJ172" s="339"/>
      <c r="AK172" s="265"/>
      <c r="AL172" s="265"/>
      <c r="AM172" s="265"/>
      <c r="AN172" s="265"/>
      <c r="AO172" s="265"/>
      <c r="AP172" s="265"/>
      <c r="AQ172" s="265"/>
      <c r="AR172" s="265"/>
      <c r="AS172" s="265"/>
      <c r="AT172" s="265"/>
      <c r="AU172" s="265"/>
      <c r="AV172" s="265"/>
      <c r="AW172" s="265"/>
      <c r="AX172" s="265"/>
      <c r="AY172" s="265"/>
      <c r="AZ172" s="265"/>
      <c r="BA172" s="265"/>
      <c r="BB172" s="265"/>
      <c r="BC172" s="265"/>
      <c r="BD172" s="265"/>
      <c r="BE172" s="265"/>
      <c r="BF172" s="265"/>
      <c r="BG172" s="265"/>
      <c r="BH172" s="265"/>
      <c r="BI172" s="265"/>
      <c r="BJ172" s="265"/>
      <c r="BK172" s="265"/>
      <c r="BL172" s="265"/>
      <c r="BM172" s="265"/>
      <c r="BN172" s="265"/>
      <c r="BO172" s="265"/>
      <c r="BP172" s="265"/>
      <c r="BQ172" s="265"/>
      <c r="BR172" s="265"/>
      <c r="BS172" s="265"/>
      <c r="BT172" s="265"/>
      <c r="BU172" s="265"/>
      <c r="BV172" s="265"/>
    </row>
    <row r="173">
      <c r="A173" s="251">
        <f>VLOOKUP($F173,UpdateHashtag!$V$3:$Y$32,COLUMN(B$15),0)</f>
        <v>3</v>
      </c>
      <c r="B173" s="252">
        <f>VLOOKUP($F173,UpdateHashtag!$V$3:$Y$32,COLUMN(C$13),0)</f>
        <v>5</v>
      </c>
      <c r="C173" s="252">
        <f>VLOOKUP($F173,UpdateHashtag!$V$3:$Y$32,COLUMN(D$13),0)</f>
        <v>3</v>
      </c>
      <c r="D173" s="268">
        <f t="shared" si="4"/>
        <v>11</v>
      </c>
      <c r="E173" s="19"/>
      <c r="F173" s="30" t="str">
        <f>IF(VLOOKUP(J173,PasteHashtag!$C$2:$P1015,3,)="BRO","BKN",IF(VLOOKUP(J173,PasteHashtag!$C$2:$P1015,3,)="OKL","OKC",VLOOKUP(J173,PasteHashtag!$C$2:$P1015,3,)))</f>
        <v>BKN</v>
      </c>
      <c r="G173" s="269">
        <v>154.0</v>
      </c>
      <c r="H173" s="270">
        <f>IFERROR(__xludf.DUMMYFUNCTION("""COMPUTED_VALUE"""),163.0)</f>
        <v>163</v>
      </c>
      <c r="I173" s="270">
        <f>IFERROR(__xludf.DUMMYFUNCTION("""COMPUTED_VALUE"""),139.0)</f>
        <v>139</v>
      </c>
      <c r="J173" s="271" t="str">
        <f>IFERROR(__xludf.DUMMYFUNCTION("""COMPUTED_VALUE"""),"Dennis Schröder")</f>
        <v>Dennis Schröder</v>
      </c>
      <c r="K173" s="270">
        <f>IFERROR(__xludf.DUMMYFUNCTION("""COMPUTED_VALUE"""),38.0)</f>
        <v>38</v>
      </c>
      <c r="L173" s="272" t="str">
        <f>IFERROR(__xludf.DUMMYFUNCTION("""COMPUTED_VALUE"""),"C")</f>
        <v>C</v>
      </c>
      <c r="M173" s="273">
        <f>IFERROR(__xludf.DUMMYFUNCTION("""COMPUTED_VALUE"""),-3.8728637638393963)</f>
        <v>-3.872863764</v>
      </c>
      <c r="N173" s="273">
        <f>IFERROR(__xludf.DUMMYFUNCTION("""COMPUTED_VALUE"""),-3.8374079801661933)</f>
        <v>-3.83740798</v>
      </c>
      <c r="O173" s="274">
        <f>IFERROR(__xludf.DUMMYFUNCTION("""COMPUTED_VALUE"""),0.03545578367320301)</f>
        <v>0.03545578367</v>
      </c>
      <c r="P173" s="275">
        <f>IFERROR(__xludf.DUMMYFUNCTION("""COMPUTED_VALUE"""),13.64767123)</f>
        <v>13.64767123</v>
      </c>
      <c r="Q173" s="275">
        <f>IFERROR(__xludf.DUMMYFUNCTION("""COMPUTED_VALUE"""),1.700410959)</f>
        <v>1.700410959</v>
      </c>
      <c r="R173" s="275">
        <f>IFERROR(__xludf.DUMMYFUNCTION("""COMPUTED_VALUE"""),3.112054795)</f>
        <v>3.112054795</v>
      </c>
      <c r="S173" s="276">
        <f>IFERROR(__xludf.DUMMYFUNCTION("""COMPUTED_VALUE"""),5.735890411)</f>
        <v>5.735890411</v>
      </c>
      <c r="T173" s="275">
        <f>IFERROR(__xludf.DUMMYFUNCTION("""COMPUTED_VALUE"""),0.6102739726)</f>
        <v>0.6102739726</v>
      </c>
      <c r="U173" s="275">
        <f>IFERROR(__xludf.DUMMYFUNCTION("""COMPUTED_VALUE"""),0.2468493151)</f>
        <v>0.2468493151</v>
      </c>
      <c r="V173" s="272">
        <f>IFERROR(__xludf.DUMMYFUNCTION("""COMPUTED_VALUE"""),0.4200946529)</f>
        <v>0.4200946529</v>
      </c>
      <c r="W173" s="272">
        <f>IFERROR(__xludf.DUMMYFUNCTION("""COMPUTED_VALUE"""),0.8450011571)</f>
        <v>0.8450011571</v>
      </c>
      <c r="X173" s="275">
        <f>IFERROR(__xludf.DUMMYFUNCTION("""COMPUTED_VALUE"""),1.891643836)</f>
        <v>1.891643836</v>
      </c>
      <c r="Y173" s="273">
        <f>IFERROR(__xludf.DUMMYFUNCTION("""COMPUTED_VALUE"""),-0.6923610858420401)</f>
        <v>-0.6923610858</v>
      </c>
      <c r="Z173" s="273">
        <f>IFERROR(__xludf.DUMMYFUNCTION("""COMPUTED_VALUE"""),-0.04786621360611189)</f>
        <v>-0.04786621361</v>
      </c>
      <c r="AA173" s="273">
        <f>IFERROR(__xludf.DUMMYFUNCTION("""COMPUTED_VALUE"""),-1.1644648472399326)</f>
        <v>-1.164464847</v>
      </c>
      <c r="AB173" s="273">
        <f>IFERROR(__xludf.DUMMYFUNCTION("""COMPUTED_VALUE"""),0.8186104042490111)</f>
        <v>0.8186104042</v>
      </c>
      <c r="AC173" s="273">
        <f>IFERROR(__xludf.DUMMYFUNCTION("""COMPUTED_VALUE"""),-1.209936309598486)</f>
        <v>-1.20993631</v>
      </c>
      <c r="AD173" s="273">
        <f>IFERROR(__xludf.DUMMYFUNCTION("""COMPUTED_VALUE"""),-0.8950654271006762)</f>
        <v>-0.8950654271</v>
      </c>
      <c r="AE173" s="273">
        <f>IFERROR(__xludf.DUMMYFUNCTION("""COMPUTED_VALUE"""),-1.0623893714148633)</f>
        <v>-1.062389371</v>
      </c>
      <c r="AF173" s="273">
        <f>IFERROR(__xludf.DUMMYFUNCTION("""COMPUTED_VALUE"""),0.416064870386905)</f>
        <v>0.4160648704</v>
      </c>
      <c r="AG173" s="277">
        <f>IFERROR(__xludf.DUMMYFUNCTION("""COMPUTED_VALUE"""),0.0)</f>
        <v>0</v>
      </c>
      <c r="AH173" s="265"/>
      <c r="AI173" s="338"/>
      <c r="AJ173" s="339"/>
      <c r="AK173" s="265"/>
      <c r="AL173" s="265"/>
      <c r="AM173" s="265"/>
      <c r="AN173" s="265"/>
      <c r="AO173" s="265"/>
      <c r="AP173" s="265"/>
      <c r="AQ173" s="265"/>
      <c r="AR173" s="265"/>
      <c r="AS173" s="265"/>
      <c r="AT173" s="265"/>
      <c r="AU173" s="265"/>
      <c r="AV173" s="265"/>
      <c r="AW173" s="265"/>
      <c r="AX173" s="265"/>
      <c r="AY173" s="265"/>
      <c r="AZ173" s="265"/>
      <c r="BA173" s="265"/>
      <c r="BB173" s="265"/>
      <c r="BC173" s="265"/>
      <c r="BD173" s="265"/>
      <c r="BE173" s="265"/>
      <c r="BF173" s="265"/>
      <c r="BG173" s="265"/>
      <c r="BH173" s="265"/>
      <c r="BI173" s="265"/>
      <c r="BJ173" s="265"/>
      <c r="BK173" s="265"/>
      <c r="BL173" s="265"/>
      <c r="BM173" s="265"/>
      <c r="BN173" s="265"/>
      <c r="BO173" s="265"/>
      <c r="BP173" s="265"/>
      <c r="BQ173" s="265"/>
      <c r="BR173" s="265"/>
      <c r="BS173" s="265"/>
      <c r="BT173" s="265"/>
      <c r="BU173" s="265"/>
      <c r="BV173" s="265"/>
    </row>
    <row r="174">
      <c r="A174" s="251">
        <f>VLOOKUP($F174,UpdateHashtag!$V$3:$Y$32,COLUMN(B$15),0)</f>
        <v>2</v>
      </c>
      <c r="B174" s="252">
        <f>VLOOKUP($F174,UpdateHashtag!$V$3:$Y$32,COLUMN(C$13),0)</f>
        <v>4</v>
      </c>
      <c r="C174" s="252">
        <f>VLOOKUP($F174,UpdateHashtag!$V$3:$Y$32,COLUMN(D$13),0)</f>
        <v>3</v>
      </c>
      <c r="D174" s="268">
        <f t="shared" si="4"/>
        <v>9</v>
      </c>
      <c r="E174" s="19"/>
      <c r="F174" s="30" t="str">
        <f>IF(VLOOKUP(J174,PasteHashtag!$C$2:$P1015,3,)="BRO","BKN",IF(VLOOKUP(J174,PasteHashtag!$C$2:$P1015,3,)="OKL","OKC",VLOOKUP(J174,PasteHashtag!$C$2:$P1015,3,)))</f>
        <v>ORL</v>
      </c>
      <c r="G174" s="269">
        <v>155.0</v>
      </c>
      <c r="H174" s="270">
        <f>IFERROR(__xludf.DUMMYFUNCTION("""COMPUTED_VALUE"""),152.0)</f>
        <v>152</v>
      </c>
      <c r="I174" s="270">
        <f>IFERROR(__xludf.DUMMYFUNCTION("""COMPUTED_VALUE"""),142.1)</f>
        <v>142.1</v>
      </c>
      <c r="J174" s="271" t="str">
        <f>IFERROR(__xludf.DUMMYFUNCTION("""COMPUTED_VALUE"""),"Wendell Carter Jr.")</f>
        <v>Wendell Carter Jr.</v>
      </c>
      <c r="K174" s="270">
        <f>IFERROR(__xludf.DUMMYFUNCTION("""COMPUTED_VALUE"""),60.0)</f>
        <v>60</v>
      </c>
      <c r="L174" s="272" t="str">
        <f>IFERROR(__xludf.DUMMYFUNCTION("""COMPUTED_VALUE"""),"SF,PF")</f>
        <v>SF,PF</v>
      </c>
      <c r="M174" s="273">
        <f>IFERROR(__xludf.DUMMYFUNCTION("""COMPUTED_VALUE"""),-3.7184325939530134)</f>
        <v>-3.718432594</v>
      </c>
      <c r="N174" s="273">
        <f>IFERROR(__xludf.DUMMYFUNCTION("""COMPUTED_VALUE"""),-3.840853107812801)</f>
        <v>-3.840853108</v>
      </c>
      <c r="O174" s="274">
        <f>IFERROR(__xludf.DUMMYFUNCTION("""COMPUTED_VALUE"""),-0.12242051385978758)</f>
        <v>-0.1224205139</v>
      </c>
      <c r="P174" s="275">
        <f>IFERROR(__xludf.DUMMYFUNCTION("""COMPUTED_VALUE"""),11.59955882)</f>
        <v>11.59955882</v>
      </c>
      <c r="Q174" s="275">
        <f>IFERROR(__xludf.DUMMYFUNCTION("""COMPUTED_VALUE"""),1.245)</f>
        <v>1.245</v>
      </c>
      <c r="R174" s="275">
        <f>IFERROR(__xludf.DUMMYFUNCTION("""COMPUTED_VALUE"""),7.828676471)</f>
        <v>7.828676471</v>
      </c>
      <c r="S174" s="276">
        <f>IFERROR(__xludf.DUMMYFUNCTION("""COMPUTED_VALUE"""),2.101617647)</f>
        <v>2.101617647</v>
      </c>
      <c r="T174" s="275">
        <f>IFERROR(__xludf.DUMMYFUNCTION("""COMPUTED_VALUE"""),0.6360294118)</f>
        <v>0.6360294118</v>
      </c>
      <c r="U174" s="275">
        <f>IFERROR(__xludf.DUMMYFUNCTION("""COMPUTED_VALUE"""),0.4702941176)</f>
        <v>0.4702941176</v>
      </c>
      <c r="V174" s="272">
        <f>IFERROR(__xludf.DUMMYFUNCTION("""COMPUTED_VALUE"""),0.5240795247)</f>
        <v>0.5240795247</v>
      </c>
      <c r="W174" s="272">
        <f>IFERROR(__xludf.DUMMYFUNCTION("""COMPUTED_VALUE"""),0.7099793294)</f>
        <v>0.7099793294</v>
      </c>
      <c r="X174" s="275">
        <f>IFERROR(__xludf.DUMMYFUNCTION("""COMPUTED_VALUE"""),1.255)</f>
        <v>1.255</v>
      </c>
      <c r="Y174" s="273">
        <f>IFERROR(__xludf.DUMMYFUNCTION("""COMPUTED_VALUE"""),-1.06154489652232)</f>
        <v>-1.061544897</v>
      </c>
      <c r="Z174" s="273">
        <f>IFERROR(__xludf.DUMMYFUNCTION("""COMPUTED_VALUE"""),-0.4996013408295441)</f>
        <v>-0.4996013408</v>
      </c>
      <c r="AA174" s="273">
        <f>IFERROR(__xludf.DUMMYFUNCTION("""COMPUTED_VALUE"""),0.684012186661001)</f>
        <v>0.6840121867</v>
      </c>
      <c r="AB174" s="273">
        <f>IFERROR(__xludf.DUMMYFUNCTION("""COMPUTED_VALUE"""),-0.8318524484115495)</f>
        <v>-0.8318524484</v>
      </c>
      <c r="AC174" s="273">
        <f>IFERROR(__xludf.DUMMYFUNCTION("""COMPUTED_VALUE"""),-1.1247292455038833)</f>
        <v>-1.124729246</v>
      </c>
      <c r="AD174" s="273">
        <f>IFERROR(__xludf.DUMMYFUNCTION("""COMPUTED_VALUE"""),-0.4965185913671197)</f>
        <v>-0.4965185914</v>
      </c>
      <c r="AE174" s="273">
        <f>IFERROR(__xludf.DUMMYFUNCTION("""COMPUTED_VALUE"""),0.25418104054194884)</f>
        <v>0.2541810405</v>
      </c>
      <c r="AF174" s="273">
        <f>IFERROR(__xludf.DUMMYFUNCTION("""COMPUTED_VALUE"""),-0.7647998123813343)</f>
        <v>-0.7647998124</v>
      </c>
      <c r="AG174" s="277">
        <f>IFERROR(__xludf.DUMMYFUNCTION("""COMPUTED_VALUE"""),0.0)</f>
        <v>0</v>
      </c>
      <c r="AH174" s="265"/>
      <c r="AI174" s="338"/>
      <c r="AJ174" s="339"/>
      <c r="AK174" s="265"/>
      <c r="AL174" s="265"/>
      <c r="AM174" s="265"/>
      <c r="AN174" s="265"/>
      <c r="AO174" s="265"/>
      <c r="AP174" s="265"/>
      <c r="AQ174" s="265"/>
      <c r="AR174" s="265"/>
      <c r="AS174" s="265"/>
      <c r="AT174" s="265"/>
      <c r="AU174" s="265"/>
      <c r="AV174" s="265"/>
      <c r="AW174" s="265"/>
      <c r="AX174" s="265"/>
      <c r="AY174" s="265"/>
      <c r="AZ174" s="265"/>
      <c r="BA174" s="265"/>
      <c r="BB174" s="265"/>
      <c r="BC174" s="265"/>
      <c r="BD174" s="265"/>
      <c r="BE174" s="265"/>
      <c r="BF174" s="265"/>
      <c r="BG174" s="265"/>
      <c r="BH174" s="265"/>
      <c r="BI174" s="265"/>
      <c r="BJ174" s="265"/>
      <c r="BK174" s="265"/>
      <c r="BL174" s="265"/>
      <c r="BM174" s="265"/>
      <c r="BN174" s="265"/>
      <c r="BO174" s="265"/>
      <c r="BP174" s="265"/>
      <c r="BQ174" s="265"/>
      <c r="BR174" s="265"/>
      <c r="BS174" s="265"/>
      <c r="BT174" s="265"/>
      <c r="BU174" s="265"/>
      <c r="BV174" s="265"/>
    </row>
    <row r="175">
      <c r="A175" s="251">
        <f>VLOOKUP($F175,UpdateHashtag!$V$3:$Y$32,COLUMN(B$15),0)</f>
        <v>3</v>
      </c>
      <c r="B175" s="252">
        <f>VLOOKUP($F175,UpdateHashtag!$V$3:$Y$32,COLUMN(C$13),0)</f>
        <v>5</v>
      </c>
      <c r="C175" s="252">
        <f>VLOOKUP($F175,UpdateHashtag!$V$3:$Y$32,COLUMN(D$13),0)</f>
        <v>3</v>
      </c>
      <c r="D175" s="268">
        <f t="shared" si="4"/>
        <v>11</v>
      </c>
      <c r="E175" s="19"/>
      <c r="F175" s="30" t="str">
        <f>IF(VLOOKUP(J175,PasteHashtag!$C$2:$P1015,3,)="BRO","BKN",IF(VLOOKUP(J175,PasteHashtag!$C$2:$P1015,3,)="OKL","OKC",VLOOKUP(J175,PasteHashtag!$C$2:$P1015,3,)))</f>
        <v>WAS</v>
      </c>
      <c r="G175" s="269">
        <v>156.0</v>
      </c>
      <c r="H175" s="270">
        <f>IFERROR(__xludf.DUMMYFUNCTION("""COMPUTED_VALUE"""),162.0)</f>
        <v>162</v>
      </c>
      <c r="I175" s="270">
        <f>IFERROR(__xludf.DUMMYFUNCTION("""COMPUTED_VALUE"""),138.6)</f>
        <v>138.6</v>
      </c>
      <c r="J175" s="271" t="str">
        <f>IFERROR(__xludf.DUMMYFUNCTION("""COMPUTED_VALUE"""),"Malcolm Brogdon")</f>
        <v>Malcolm Brogdon</v>
      </c>
      <c r="K175" s="270">
        <f>IFERROR(__xludf.DUMMYFUNCTION("""COMPUTED_VALUE"""),76.0)</f>
        <v>76</v>
      </c>
      <c r="L175" s="272" t="str">
        <f>IFERROR(__xludf.DUMMYFUNCTION("""COMPUTED_VALUE"""),"SF,PF")</f>
        <v>SF,PF</v>
      </c>
      <c r="M175" s="273">
        <f>IFERROR(__xludf.DUMMYFUNCTION("""COMPUTED_VALUE"""),-3.8428644596289723)</f>
        <v>-3.84286446</v>
      </c>
      <c r="N175" s="273">
        <f>IFERROR(__xludf.DUMMYFUNCTION("""COMPUTED_VALUE"""),-3.8713844211384516)</f>
        <v>-3.871384421</v>
      </c>
      <c r="O175" s="274">
        <f>IFERROR(__xludf.DUMMYFUNCTION("""COMPUTED_VALUE"""),-0.02851996150947933)</f>
        <v>-0.02851996151</v>
      </c>
      <c r="P175" s="275">
        <f>IFERROR(__xludf.DUMMYFUNCTION("""COMPUTED_VALUE"""),12.63585366)</f>
        <v>12.63585366</v>
      </c>
      <c r="Q175" s="275">
        <f>IFERROR(__xludf.DUMMYFUNCTION("""COMPUTED_VALUE"""),1.608292683)</f>
        <v>1.608292683</v>
      </c>
      <c r="R175" s="275">
        <f>IFERROR(__xludf.DUMMYFUNCTION("""COMPUTED_VALUE"""),3.436341463)</f>
        <v>3.436341463</v>
      </c>
      <c r="S175" s="276">
        <f>IFERROR(__xludf.DUMMYFUNCTION("""COMPUTED_VALUE"""),5.013658537)</f>
        <v>5.013658537</v>
      </c>
      <c r="T175" s="275">
        <f>IFERROR(__xludf.DUMMYFUNCTION("""COMPUTED_VALUE"""),0.6668292683)</f>
        <v>0.6668292683</v>
      </c>
      <c r="U175" s="275">
        <f>IFERROR(__xludf.DUMMYFUNCTION("""COMPUTED_VALUE"""),0.2273170732)</f>
        <v>0.2273170732</v>
      </c>
      <c r="V175" s="272">
        <f>IFERROR(__xludf.DUMMYFUNCTION("""COMPUTED_VALUE"""),0.4446902134)</f>
        <v>0.4446902134</v>
      </c>
      <c r="W175" s="272">
        <f>IFERROR(__xludf.DUMMYFUNCTION("""COMPUTED_VALUE"""),0.8310364146)</f>
        <v>0.8310364146</v>
      </c>
      <c r="X175" s="275">
        <f>IFERROR(__xludf.DUMMYFUNCTION("""COMPUTED_VALUE"""),1.633658537)</f>
        <v>1.633658537</v>
      </c>
      <c r="Y175" s="273">
        <f>IFERROR(__xludf.DUMMYFUNCTION("""COMPUTED_VALUE"""),-0.874746908212923)</f>
        <v>-0.8747469082</v>
      </c>
      <c r="Z175" s="273">
        <f>IFERROR(__xludf.DUMMYFUNCTION("""COMPUTED_VALUE"""),-0.13924096053762633)</f>
        <v>-0.1392409605</v>
      </c>
      <c r="AA175" s="273">
        <f>IFERROR(__xludf.DUMMYFUNCTION("""COMPUTED_VALUE"""),-1.0373746332317957)</f>
        <v>-1.037374633</v>
      </c>
      <c r="AB175" s="273">
        <f>IFERROR(__xludf.DUMMYFUNCTION("""COMPUTED_VALUE"""),0.4906171697146697)</f>
        <v>0.4906171697</v>
      </c>
      <c r="AC175" s="273">
        <f>IFERROR(__xludf.DUMMYFUNCTION("""COMPUTED_VALUE"""),-1.0228336681650172)</f>
        <v>-1.022833668</v>
      </c>
      <c r="AD175" s="273">
        <f>IFERROR(__xludf.DUMMYFUNCTION("""COMPUTED_VALUE"""),-0.9299040678608586)</f>
        <v>-0.9299040679</v>
      </c>
      <c r="AE175" s="273">
        <f>IFERROR(__xludf.DUMMYFUNCTION("""COMPUTED_VALUE"""),-0.6336369420927823)</f>
        <v>-0.6336369421</v>
      </c>
      <c r="AF175" s="273">
        <f>IFERROR(__xludf.DUMMYFUNCTION("""COMPUTED_VALUE"""),0.2757355892478821)</f>
        <v>0.2757355892</v>
      </c>
      <c r="AG175" s="277">
        <f>IFERROR(__xludf.DUMMYFUNCTION("""COMPUTED_VALUE"""),0.0)</f>
        <v>0</v>
      </c>
      <c r="AH175" s="265"/>
      <c r="AI175" s="338"/>
      <c r="AJ175" s="339"/>
      <c r="AK175" s="265"/>
      <c r="AL175" s="265"/>
      <c r="AM175" s="265"/>
      <c r="AN175" s="265"/>
      <c r="AO175" s="265"/>
      <c r="AP175" s="265"/>
      <c r="AQ175" s="265"/>
      <c r="AR175" s="265"/>
      <c r="AS175" s="265"/>
      <c r="AT175" s="265"/>
      <c r="AU175" s="265"/>
      <c r="AV175" s="265"/>
      <c r="AW175" s="265"/>
      <c r="AX175" s="265"/>
      <c r="AY175" s="265"/>
      <c r="AZ175" s="265"/>
      <c r="BA175" s="265"/>
      <c r="BB175" s="265"/>
      <c r="BC175" s="265"/>
      <c r="BD175" s="265"/>
      <c r="BE175" s="265"/>
      <c r="BF175" s="265"/>
      <c r="BG175" s="265"/>
      <c r="BH175" s="265"/>
      <c r="BI175" s="265"/>
      <c r="BJ175" s="265"/>
      <c r="BK175" s="265"/>
      <c r="BL175" s="265"/>
      <c r="BM175" s="265"/>
      <c r="BN175" s="265"/>
      <c r="BO175" s="265"/>
      <c r="BP175" s="265"/>
      <c r="BQ175" s="265"/>
      <c r="BR175" s="265"/>
      <c r="BS175" s="265"/>
      <c r="BT175" s="265"/>
      <c r="BU175" s="265"/>
      <c r="BV175" s="265"/>
    </row>
    <row r="176">
      <c r="A176" s="251">
        <f>VLOOKUP($F176,UpdateHashtag!$V$3:$Y$32,COLUMN(B$15),0)</f>
        <v>3</v>
      </c>
      <c r="B176" s="252">
        <f>VLOOKUP($F176,UpdateHashtag!$V$3:$Y$32,COLUMN(C$13),0)</f>
        <v>4</v>
      </c>
      <c r="C176" s="252">
        <f>VLOOKUP($F176,UpdateHashtag!$V$3:$Y$32,COLUMN(D$13),0)</f>
        <v>3</v>
      </c>
      <c r="D176" s="268">
        <f t="shared" si="4"/>
        <v>10</v>
      </c>
      <c r="E176" s="19"/>
      <c r="F176" s="30" t="str">
        <f>IF(VLOOKUP(J176,PasteHashtag!$C$2:$P1015,3,)="BRO","BKN",IF(VLOOKUP(J176,PasteHashtag!$C$2:$P1015,3,)="OKL","OKC",VLOOKUP(J176,PasteHashtag!$C$2:$P1015,3,)))</f>
        <v>TOR</v>
      </c>
      <c r="G176" s="269">
        <v>157.0</v>
      </c>
      <c r="H176" s="270">
        <f>IFERROR(__xludf.DUMMYFUNCTION("""COMPUTED_VALUE"""),164.0)</f>
        <v>164</v>
      </c>
      <c r="I176" s="270">
        <f>IFERROR(__xludf.DUMMYFUNCTION("""COMPUTED_VALUE"""),143.5)</f>
        <v>143.5</v>
      </c>
      <c r="J176" s="271" t="str">
        <f>IFERROR(__xludf.DUMMYFUNCTION("""COMPUTED_VALUE"""),"Gradey Dick")</f>
        <v>Gradey Dick</v>
      </c>
      <c r="K176" s="270">
        <f>IFERROR(__xludf.DUMMYFUNCTION("""COMPUTED_VALUE"""),74.0)</f>
        <v>74</v>
      </c>
      <c r="L176" s="272" t="str">
        <f>IFERROR(__xludf.DUMMYFUNCTION("""COMPUTED_VALUE"""),"PG")</f>
        <v>PG</v>
      </c>
      <c r="M176" s="273">
        <f>IFERROR(__xludf.DUMMYFUNCTION("""COMPUTED_VALUE"""),-3.701901865629903)</f>
        <v>-3.701901866</v>
      </c>
      <c r="N176" s="273">
        <f>IFERROR(__xludf.DUMMYFUNCTION("""COMPUTED_VALUE"""),-3.8928911382548295)</f>
        <v>-3.892891138</v>
      </c>
      <c r="O176" s="274">
        <f>IFERROR(__xludf.DUMMYFUNCTION("""COMPUTED_VALUE"""),-0.19098927262492627)</f>
        <v>-0.1909892726</v>
      </c>
      <c r="P176" s="275">
        <f>IFERROR(__xludf.DUMMYFUNCTION("""COMPUTED_VALUE"""),14.5839726)</f>
        <v>14.5839726</v>
      </c>
      <c r="Q176" s="275">
        <f>IFERROR(__xludf.DUMMYFUNCTION("""COMPUTED_VALUE"""),2.41)</f>
        <v>2.41</v>
      </c>
      <c r="R176" s="275">
        <f>IFERROR(__xludf.DUMMYFUNCTION("""COMPUTED_VALUE"""),3.587671233)</f>
        <v>3.587671233</v>
      </c>
      <c r="S176" s="276">
        <f>IFERROR(__xludf.DUMMYFUNCTION("""COMPUTED_VALUE"""),1.435068493)</f>
        <v>1.435068493</v>
      </c>
      <c r="T176" s="275">
        <f>IFERROR(__xludf.DUMMYFUNCTION("""COMPUTED_VALUE"""),0.8878082192)</f>
        <v>0.8878082192</v>
      </c>
      <c r="U176" s="275">
        <f>IFERROR(__xludf.DUMMYFUNCTION("""COMPUTED_VALUE"""),0.06328767123)</f>
        <v>0.06328767123</v>
      </c>
      <c r="V176" s="272">
        <f>IFERROR(__xludf.DUMMYFUNCTION("""COMPUTED_VALUE"""),0.4415175295)</f>
        <v>0.4415175295</v>
      </c>
      <c r="W176" s="272">
        <f>IFERROR(__xludf.DUMMYFUNCTION("""COMPUTED_VALUE"""),0.86)</f>
        <v>0.86</v>
      </c>
      <c r="X176" s="275">
        <f>IFERROR(__xludf.DUMMYFUNCTION("""COMPUTED_VALUE"""),0.9784931507)</f>
        <v>0.9784931507</v>
      </c>
      <c r="Y176" s="273">
        <f>IFERROR(__xludf.DUMMYFUNCTION("""COMPUTED_VALUE"""),-0.5235874843375377)</f>
        <v>-0.5235874843</v>
      </c>
      <c r="Z176" s="273">
        <f>IFERROR(__xludf.DUMMYFUNCTION("""COMPUTED_VALUE"""),0.6559954071514341)</f>
        <v>0.6559954072</v>
      </c>
      <c r="AA176" s="273">
        <f>IFERROR(__xludf.DUMMYFUNCTION("""COMPUTED_VALUE"""),-0.9780674376146694)</f>
        <v>-0.9780674376</v>
      </c>
      <c r="AB176" s="273">
        <f>IFERROR(__xludf.DUMMYFUNCTION("""COMPUTED_VALUE"""),-1.1345580210495538)</f>
        <v>-1.134558021</v>
      </c>
      <c r="AC176" s="273">
        <f>IFERROR(__xludf.DUMMYFUNCTION("""COMPUTED_VALUE"""),-0.291766048363202)</f>
        <v>-0.2917660484</v>
      </c>
      <c r="AD176" s="273">
        <f>IFERROR(__xludf.DUMMYFUNCTION("""COMPUTED_VALUE"""),-1.2224747537348835)</f>
        <v>-1.222474754</v>
      </c>
      <c r="AE176" s="273">
        <f>IFERROR(__xludf.DUMMYFUNCTION("""COMPUTED_VALUE"""),-0.7864327841482182)</f>
        <v>-0.7864327841</v>
      </c>
      <c r="AF176" s="273">
        <f>IFERROR(__xludf.DUMMYFUNCTION("""COMPUTED_VALUE"""),0.38799998384180073)</f>
        <v>0.3879999838</v>
      </c>
      <c r="AG176" s="277">
        <f>IFERROR(__xludf.DUMMYFUNCTION("""COMPUTED_VALUE"""),0.0)</f>
        <v>0</v>
      </c>
      <c r="AH176" s="265"/>
      <c r="AI176" s="338"/>
      <c r="AJ176" s="339"/>
      <c r="AK176" s="265"/>
      <c r="AL176" s="265"/>
      <c r="AM176" s="265"/>
      <c r="AN176" s="265"/>
      <c r="AO176" s="265"/>
      <c r="AP176" s="265"/>
      <c r="AQ176" s="265"/>
      <c r="AR176" s="265"/>
      <c r="AS176" s="265"/>
      <c r="AT176" s="265"/>
      <c r="AU176" s="265"/>
      <c r="AV176" s="265"/>
      <c r="AW176" s="265"/>
      <c r="AX176" s="265"/>
      <c r="AY176" s="265"/>
      <c r="AZ176" s="265"/>
      <c r="BA176" s="265"/>
      <c r="BB176" s="265"/>
      <c r="BC176" s="265"/>
      <c r="BD176" s="265"/>
      <c r="BE176" s="265"/>
      <c r="BF176" s="265"/>
      <c r="BG176" s="265"/>
      <c r="BH176" s="265"/>
      <c r="BI176" s="265"/>
      <c r="BJ176" s="265"/>
      <c r="BK176" s="265"/>
      <c r="BL176" s="265"/>
      <c r="BM176" s="265"/>
      <c r="BN176" s="265"/>
      <c r="BO176" s="265"/>
      <c r="BP176" s="265"/>
      <c r="BQ176" s="265"/>
      <c r="BR176" s="265"/>
      <c r="BS176" s="265"/>
      <c r="BT176" s="265"/>
      <c r="BU176" s="265"/>
      <c r="BV176" s="265"/>
    </row>
    <row r="177">
      <c r="A177" s="251">
        <f>VLOOKUP($F177,UpdateHashtag!$V$3:$Y$32,COLUMN(B$15),0)</f>
        <v>4</v>
      </c>
      <c r="B177" s="252">
        <f>VLOOKUP($F177,UpdateHashtag!$V$3:$Y$32,COLUMN(C$13),0)</f>
        <v>4</v>
      </c>
      <c r="C177" s="252">
        <f>VLOOKUP($F177,UpdateHashtag!$V$3:$Y$32,COLUMN(D$13),0)</f>
        <v>4</v>
      </c>
      <c r="D177" s="268">
        <f t="shared" si="4"/>
        <v>12</v>
      </c>
      <c r="E177" s="19"/>
      <c r="F177" s="30" t="str">
        <f>IF(VLOOKUP(J177,PasteHashtag!$C$2:$P1015,3,)="BRO","BKN",IF(VLOOKUP(J177,PasteHashtag!$C$2:$P1015,3,)="OKL","OKC",VLOOKUP(J177,PasteHashtag!$C$2:$P1015,3,)))</f>
        <v>HOU</v>
      </c>
      <c r="G177" s="269">
        <v>158.0</v>
      </c>
      <c r="H177" s="270">
        <f>IFERROR(__xludf.DUMMYFUNCTION("""COMPUTED_VALUE"""),160.0)</f>
        <v>160</v>
      </c>
      <c r="I177" s="270">
        <f>IFERROR(__xludf.DUMMYFUNCTION("""COMPUTED_VALUE"""),144.0)</f>
        <v>144</v>
      </c>
      <c r="J177" s="271" t="str">
        <f>IFERROR(__xludf.DUMMYFUNCTION("""COMPUTED_VALUE"""),"Tari Eason")</f>
        <v>Tari Eason</v>
      </c>
      <c r="K177" s="270">
        <f>IFERROR(__xludf.DUMMYFUNCTION("""COMPUTED_VALUE"""),63.0)</f>
        <v>63</v>
      </c>
      <c r="L177" s="272" t="str">
        <f>IFERROR(__xludf.DUMMYFUNCTION("""COMPUTED_VALUE"""),"SG,SF")</f>
        <v>SG,SF</v>
      </c>
      <c r="M177" s="273">
        <f>IFERROR(__xludf.DUMMYFUNCTION("""COMPUTED_VALUE"""),-3.69570074162607)</f>
        <v>-3.695700742</v>
      </c>
      <c r="N177" s="273">
        <f>IFERROR(__xludf.DUMMYFUNCTION("""COMPUTED_VALUE"""),-3.8992260007294375)</f>
        <v>-3.899226001</v>
      </c>
      <c r="O177" s="274">
        <f>IFERROR(__xludf.DUMMYFUNCTION("""COMPUTED_VALUE"""),-0.2035252591033676)</f>
        <v>-0.2035252591</v>
      </c>
      <c r="P177" s="275">
        <f>IFERROR(__xludf.DUMMYFUNCTION("""COMPUTED_VALUE"""),8.913970588)</f>
        <v>8.913970588</v>
      </c>
      <c r="Q177" s="275">
        <f>IFERROR(__xludf.DUMMYFUNCTION("""COMPUTED_VALUE"""),0.7308823529)</f>
        <v>0.7308823529</v>
      </c>
      <c r="R177" s="275">
        <f>IFERROR(__xludf.DUMMYFUNCTION("""COMPUTED_VALUE"""),5.921176471)</f>
        <v>5.921176471</v>
      </c>
      <c r="S177" s="276">
        <f>IFERROR(__xludf.DUMMYFUNCTION("""COMPUTED_VALUE"""),1.085294118)</f>
        <v>1.085294118</v>
      </c>
      <c r="T177" s="275">
        <f>IFERROR(__xludf.DUMMYFUNCTION("""COMPUTED_VALUE"""),1.237205882)</f>
        <v>1.237205882</v>
      </c>
      <c r="U177" s="275">
        <f>IFERROR(__xludf.DUMMYFUNCTION("""COMPUTED_VALUE"""),0.6213235294)</f>
        <v>0.6213235294</v>
      </c>
      <c r="V177" s="272">
        <f>IFERROR(__xludf.DUMMYFUNCTION("""COMPUTED_VALUE"""),0.4693368128)</f>
        <v>0.4693368128</v>
      </c>
      <c r="W177" s="272">
        <f>IFERROR(__xludf.DUMMYFUNCTION("""COMPUTED_VALUE"""),0.7099633613)</f>
        <v>0.7099633613</v>
      </c>
      <c r="X177" s="275">
        <f>IFERROR(__xludf.DUMMYFUNCTION("""COMPUTED_VALUE"""),0.9279411765)</f>
        <v>0.9279411765</v>
      </c>
      <c r="Y177" s="273">
        <f>IFERROR(__xludf.DUMMYFUNCTION("""COMPUTED_VALUE"""),-1.5456373186798888)</f>
        <v>-1.545637319</v>
      </c>
      <c r="Z177" s="273">
        <f>IFERROR(__xludf.DUMMYFUNCTION("""COMPUTED_VALUE"""),-1.009569307411855)</f>
        <v>-1.009569307</v>
      </c>
      <c r="AA177" s="273">
        <f>IFERROR(__xludf.DUMMYFUNCTION("""COMPUTED_VALUE"""),-0.06355040885254905)</f>
        <v>-0.06355040885</v>
      </c>
      <c r="AB177" s="273">
        <f>IFERROR(__xludf.DUMMYFUNCTION("""COMPUTED_VALUE"""),-1.2934039993890223)</f>
        <v>-1.293403999</v>
      </c>
      <c r="AC177" s="273">
        <f>IFERROR(__xludf.DUMMYFUNCTION("""COMPUTED_VALUE"""),0.864150914167338)</f>
        <v>0.8641509142</v>
      </c>
      <c r="AD177" s="273">
        <f>IFERROR(__xludf.DUMMYFUNCTION("""COMPUTED_VALUE"""),-0.22713530967010978)</f>
        <v>-0.2271353097</v>
      </c>
      <c r="AE177" s="273">
        <f>IFERROR(__xludf.DUMMYFUNCTION("""COMPUTED_VALUE"""),-0.2524575323545769)</f>
        <v>-0.2524575324</v>
      </c>
      <c r="AF177" s="273">
        <f>IFERROR(__xludf.DUMMYFUNCTION("""COMPUTED_VALUE"""),-0.37162303853877376)</f>
        <v>-0.3716230385</v>
      </c>
      <c r="AG177" s="277">
        <f>IFERROR(__xludf.DUMMYFUNCTION("""COMPUTED_VALUE"""),0.0)</f>
        <v>0</v>
      </c>
      <c r="AH177" s="265"/>
      <c r="AI177" s="338"/>
      <c r="AJ177" s="339"/>
      <c r="AK177" s="265"/>
      <c r="AL177" s="265"/>
      <c r="AM177" s="265"/>
      <c r="AN177" s="265"/>
      <c r="AO177" s="265"/>
      <c r="AP177" s="265"/>
      <c r="AQ177" s="265"/>
      <c r="AR177" s="265"/>
      <c r="AS177" s="265"/>
      <c r="AT177" s="265"/>
      <c r="AU177" s="265"/>
      <c r="AV177" s="265"/>
      <c r="AW177" s="265"/>
      <c r="AX177" s="265"/>
      <c r="AY177" s="265"/>
      <c r="AZ177" s="265"/>
      <c r="BA177" s="265"/>
      <c r="BB177" s="265"/>
      <c r="BC177" s="265"/>
      <c r="BD177" s="265"/>
      <c r="BE177" s="265"/>
      <c r="BF177" s="265"/>
      <c r="BG177" s="265"/>
      <c r="BH177" s="265"/>
      <c r="BI177" s="265"/>
      <c r="BJ177" s="265"/>
      <c r="BK177" s="265"/>
      <c r="BL177" s="265"/>
      <c r="BM177" s="265"/>
      <c r="BN177" s="265"/>
      <c r="BO177" s="265"/>
      <c r="BP177" s="265"/>
      <c r="BQ177" s="265"/>
      <c r="BR177" s="265"/>
      <c r="BS177" s="265"/>
      <c r="BT177" s="265"/>
      <c r="BU177" s="265"/>
      <c r="BV177" s="265"/>
    </row>
    <row r="178">
      <c r="A178" s="251">
        <f>VLOOKUP($F178,UpdateHashtag!$V$3:$Y$32,COLUMN(B$15),0)</f>
        <v>4</v>
      </c>
      <c r="B178" s="252">
        <f>VLOOKUP($F178,UpdateHashtag!$V$3:$Y$32,COLUMN(C$13),0)</f>
        <v>4</v>
      </c>
      <c r="C178" s="252">
        <f>VLOOKUP($F178,UpdateHashtag!$V$3:$Y$32,COLUMN(D$13),0)</f>
        <v>3</v>
      </c>
      <c r="D178" s="268">
        <f t="shared" si="4"/>
        <v>11</v>
      </c>
      <c r="E178" s="19"/>
      <c r="F178" s="30" t="str">
        <f>IF(VLOOKUP(J178,PasteHashtag!$C$2:$P1015,3,)="BRO","BKN",IF(VLOOKUP(J178,PasteHashtag!$C$2:$P1015,3,)="OKL","OKC",VLOOKUP(J178,PasteHashtag!$C$2:$P1015,3,)))</f>
        <v>MIL</v>
      </c>
      <c r="G178" s="269">
        <v>159.0</v>
      </c>
      <c r="H178" s="270">
        <f>IFERROR(__xludf.DUMMYFUNCTION("""COMPUTED_VALUE"""),155.0)</f>
        <v>155</v>
      </c>
      <c r="I178" s="270">
        <f>IFERROR(__xludf.DUMMYFUNCTION("""COMPUTED_VALUE"""),115.9)</f>
        <v>115.9</v>
      </c>
      <c r="J178" s="271" t="str">
        <f>IFERROR(__xludf.DUMMYFUNCTION("""COMPUTED_VALUE"""),"Bobby Portis")</f>
        <v>Bobby Portis</v>
      </c>
      <c r="K178" s="270">
        <f>IFERROR(__xludf.DUMMYFUNCTION("""COMPUTED_VALUE"""),69.0)</f>
        <v>69</v>
      </c>
      <c r="L178" s="272" t="str">
        <f>IFERROR(__xludf.DUMMYFUNCTION("""COMPUTED_VALUE"""),"SG,SF")</f>
        <v>SG,SF</v>
      </c>
      <c r="M178" s="273">
        <f>IFERROR(__xludf.DUMMYFUNCTION("""COMPUTED_VALUE"""),-3.763051549210833)</f>
        <v>-3.763051549</v>
      </c>
      <c r="N178" s="273">
        <f>IFERROR(__xludf.DUMMYFUNCTION("""COMPUTED_VALUE"""),-3.9025892714570194)</f>
        <v>-3.902589271</v>
      </c>
      <c r="O178" s="274">
        <f>IFERROR(__xludf.DUMMYFUNCTION("""COMPUTED_VALUE"""),-0.1395377222461862)</f>
        <v>-0.1395377222</v>
      </c>
      <c r="P178" s="275">
        <f>IFERROR(__xludf.DUMMYFUNCTION("""COMPUTED_VALUE"""),12.80181818)</f>
        <v>12.80181818</v>
      </c>
      <c r="Q178" s="275">
        <f>IFERROR(__xludf.DUMMYFUNCTION("""COMPUTED_VALUE"""),1.000909091)</f>
        <v>1.000909091</v>
      </c>
      <c r="R178" s="275">
        <f>IFERROR(__xludf.DUMMYFUNCTION("""COMPUTED_VALUE"""),7.352857143)</f>
        <v>7.352857143</v>
      </c>
      <c r="S178" s="276">
        <f>IFERROR(__xludf.DUMMYFUNCTION("""COMPUTED_VALUE"""),1.375714286)</f>
        <v>1.375714286</v>
      </c>
      <c r="T178" s="275">
        <f>IFERROR(__xludf.DUMMYFUNCTION("""COMPUTED_VALUE"""),0.6641558442)</f>
        <v>0.6641558442</v>
      </c>
      <c r="U178" s="275">
        <f>IFERROR(__xludf.DUMMYFUNCTION("""COMPUTED_VALUE"""),0.3337662338)</f>
        <v>0.3337662338</v>
      </c>
      <c r="V178" s="272">
        <f>IFERROR(__xludf.DUMMYFUNCTION("""COMPUTED_VALUE"""),0.5113625351)</f>
        <v>0.5113625351</v>
      </c>
      <c r="W178" s="272">
        <f>IFERROR(__xludf.DUMMYFUNCTION("""COMPUTED_VALUE"""),0.7800121139)</f>
        <v>0.7800121139</v>
      </c>
      <c r="X178" s="275">
        <f>IFERROR(__xludf.DUMMYFUNCTION("""COMPUTED_VALUE"""),1.185974026)</f>
        <v>1.185974026</v>
      </c>
      <c r="Y178" s="273">
        <f>IFERROR(__xludf.DUMMYFUNCTION("""COMPUTED_VALUE"""),-0.8448308676517884)</f>
        <v>-0.8448308677</v>
      </c>
      <c r="Z178" s="273">
        <f>IFERROR(__xludf.DUMMYFUNCTION("""COMPUTED_VALUE"""),-0.7417220795867295)</f>
        <v>-0.7417220796</v>
      </c>
      <c r="AA178" s="273">
        <f>IFERROR(__xludf.DUMMYFUNCTION("""COMPUTED_VALUE"""),0.4975352630252509)</f>
        <v>0.497535263</v>
      </c>
      <c r="AB178" s="273">
        <f>IFERROR(__xludf.DUMMYFUNCTION("""COMPUTED_VALUE"""),-1.1615130462124987)</f>
        <v>-1.161513046</v>
      </c>
      <c r="AC178" s="273">
        <f>IFERROR(__xludf.DUMMYFUNCTION("""COMPUTED_VALUE"""),-1.0316781928835381)</f>
        <v>-1.031678193</v>
      </c>
      <c r="AD178" s="273">
        <f>IFERROR(__xludf.DUMMYFUNCTION("""COMPUTED_VALUE"""),-0.7400362542041807)</f>
        <v>-0.7400362542</v>
      </c>
      <c r="AE178" s="273">
        <f>IFERROR(__xludf.DUMMYFUNCTION("""COMPUTED_VALUE"""),0.17602911271904098)</f>
        <v>0.1760291127</v>
      </c>
      <c r="AF178" s="273">
        <f>IFERROR(__xludf.DUMMYFUNCTION("""COMPUTED_VALUE"""),-0.05637320666257555)</f>
        <v>-0.05637320666</v>
      </c>
      <c r="AG178" s="277">
        <f>IFERROR(__xludf.DUMMYFUNCTION("""COMPUTED_VALUE"""),0.0)</f>
        <v>0</v>
      </c>
      <c r="AH178" s="265"/>
      <c r="AI178" s="338"/>
      <c r="AJ178" s="339"/>
      <c r="AK178" s="265"/>
      <c r="AL178" s="265"/>
      <c r="AM178" s="265"/>
      <c r="AN178" s="265"/>
      <c r="AO178" s="265"/>
      <c r="AP178" s="265"/>
      <c r="AQ178" s="265"/>
      <c r="AR178" s="265"/>
      <c r="AS178" s="265"/>
      <c r="AT178" s="265"/>
      <c r="AU178" s="265"/>
      <c r="AV178" s="265"/>
      <c r="AW178" s="265"/>
      <c r="AX178" s="265"/>
      <c r="AY178" s="265"/>
      <c r="AZ178" s="265"/>
      <c r="BA178" s="265"/>
      <c r="BB178" s="265"/>
      <c r="BC178" s="265"/>
      <c r="BD178" s="265"/>
      <c r="BE178" s="265"/>
      <c r="BF178" s="265"/>
      <c r="BG178" s="265"/>
      <c r="BH178" s="265"/>
      <c r="BI178" s="265"/>
      <c r="BJ178" s="265"/>
      <c r="BK178" s="265"/>
      <c r="BL178" s="265"/>
      <c r="BM178" s="265"/>
      <c r="BN178" s="265"/>
      <c r="BO178" s="265"/>
      <c r="BP178" s="265"/>
      <c r="BQ178" s="265"/>
      <c r="BR178" s="265"/>
      <c r="BS178" s="265"/>
      <c r="BT178" s="265"/>
      <c r="BU178" s="265"/>
      <c r="BV178" s="265"/>
    </row>
    <row r="179">
      <c r="A179" s="251">
        <f>VLOOKUP($F179,UpdateHashtag!$V$3:$Y$32,COLUMN(B$15),0)</f>
        <v>3</v>
      </c>
      <c r="B179" s="252">
        <f>VLOOKUP($F179,UpdateHashtag!$V$3:$Y$32,COLUMN(C$13),0)</f>
        <v>4</v>
      </c>
      <c r="C179" s="252">
        <f>VLOOKUP($F179,UpdateHashtag!$V$3:$Y$32,COLUMN(D$13),0)</f>
        <v>4</v>
      </c>
      <c r="D179" s="268">
        <f t="shared" si="4"/>
        <v>11</v>
      </c>
      <c r="E179" s="19"/>
      <c r="F179" s="30" t="str">
        <f>IF(VLOOKUP(J179,PasteHashtag!$C$2:$P1015,3,)="BRO","BKN",IF(VLOOKUP(J179,PasteHashtag!$C$2:$P1015,3,)="OKL","OKC",VLOOKUP(J179,PasteHashtag!$C$2:$P1015,3,)))</f>
        <v>IND</v>
      </c>
      <c r="G179" s="269">
        <v>160.0</v>
      </c>
      <c r="H179" s="270">
        <f>IFERROR(__xludf.DUMMYFUNCTION("""COMPUTED_VALUE"""),161.0)</f>
        <v>161</v>
      </c>
      <c r="I179" s="270">
        <f>IFERROR(__xludf.DUMMYFUNCTION("""COMPUTED_VALUE"""),137.4)</f>
        <v>137.4</v>
      </c>
      <c r="J179" s="271" t="str">
        <f>IFERROR(__xludf.DUMMYFUNCTION("""COMPUTED_VALUE"""),"Aaron Nesmith")</f>
        <v>Aaron Nesmith</v>
      </c>
      <c r="K179" s="270">
        <f>IFERROR(__xludf.DUMMYFUNCTION("""COMPUTED_VALUE"""),68.0)</f>
        <v>68</v>
      </c>
      <c r="L179" s="272" t="str">
        <f>IFERROR(__xludf.DUMMYFUNCTION("""COMPUTED_VALUE"""),"PF")</f>
        <v>PF</v>
      </c>
      <c r="M179" s="273">
        <f>IFERROR(__xludf.DUMMYFUNCTION("""COMPUTED_VALUE"""),-3.7631699936304055)</f>
        <v>-3.763169994</v>
      </c>
      <c r="N179" s="273">
        <f>IFERROR(__xludf.DUMMYFUNCTION("""COMPUTED_VALUE"""),-3.971857717239591)</f>
        <v>-3.971857717</v>
      </c>
      <c r="O179" s="274">
        <f>IFERROR(__xludf.DUMMYFUNCTION("""COMPUTED_VALUE"""),-0.2086877236091853)</f>
        <v>-0.2086877236</v>
      </c>
      <c r="P179" s="275">
        <f>IFERROR(__xludf.DUMMYFUNCTION("""COMPUTED_VALUE"""),11.86547945)</f>
        <v>11.86547945</v>
      </c>
      <c r="Q179" s="275">
        <f>IFERROR(__xludf.DUMMYFUNCTION("""COMPUTED_VALUE"""),1.862876712)</f>
        <v>1.862876712</v>
      </c>
      <c r="R179" s="275">
        <f>IFERROR(__xludf.DUMMYFUNCTION("""COMPUTED_VALUE"""),4.025616438)</f>
        <v>4.025616438</v>
      </c>
      <c r="S179" s="276">
        <f>IFERROR(__xludf.DUMMYFUNCTION("""COMPUTED_VALUE"""),1.634109589)</f>
        <v>1.634109589</v>
      </c>
      <c r="T179" s="275">
        <f>IFERROR(__xludf.DUMMYFUNCTION("""COMPUTED_VALUE"""),0.7209589041)</f>
        <v>0.7209589041</v>
      </c>
      <c r="U179" s="275">
        <f>IFERROR(__xludf.DUMMYFUNCTION("""COMPUTED_VALUE"""),0.5406849315)</f>
        <v>0.5406849315</v>
      </c>
      <c r="V179" s="272">
        <f>IFERROR(__xludf.DUMMYFUNCTION("""COMPUTED_VALUE"""),0.4760066272)</f>
        <v>0.4760066272</v>
      </c>
      <c r="W179" s="272">
        <f>IFERROR(__xludf.DUMMYFUNCTION("""COMPUTED_VALUE"""),0.83096)</f>
        <v>0.83096</v>
      </c>
      <c r="X179" s="275">
        <f>IFERROR(__xludf.DUMMYFUNCTION("""COMPUTED_VALUE"""),0.9071232877)</f>
        <v>0.9071232877</v>
      </c>
      <c r="Y179" s="273">
        <f>IFERROR(__xludf.DUMMYFUNCTION("""COMPUTED_VALUE"""),-1.0136112035069544)</f>
        <v>-1.013611204</v>
      </c>
      <c r="Z179" s="273">
        <f>IFERROR(__xludf.DUMMYFUNCTION("""COMPUTED_VALUE"""),0.11328820341112489)</f>
        <v>0.1132882034</v>
      </c>
      <c r="AA179" s="273">
        <f>IFERROR(__xludf.DUMMYFUNCTION("""COMPUTED_VALUE"""),-0.8064336477627617)</f>
        <v>-0.8064336478</v>
      </c>
      <c r="AB179" s="273">
        <f>IFERROR(__xludf.DUMMYFUNCTION("""COMPUTED_VALUE"""),-1.0441658142908967)</f>
        <v>-1.044165814</v>
      </c>
      <c r="AC179" s="273">
        <f>IFERROR(__xludf.DUMMYFUNCTION("""COMPUTED_VALUE"""),-0.8437558698323023)</f>
        <v>-0.8437558698</v>
      </c>
      <c r="AD179" s="273">
        <f>IFERROR(__xludf.DUMMYFUNCTION("""COMPUTED_VALUE"""),-0.3709661693341453)</f>
        <v>-0.3709661693</v>
      </c>
      <c r="AE179" s="273">
        <f>IFERROR(__xludf.DUMMYFUNCTION("""COMPUTED_VALUE"""),-0.22265157325152357)</f>
        <v>-0.2226515733</v>
      </c>
      <c r="AF179" s="273">
        <f>IFERROR(__xludf.DUMMYFUNCTION("""COMPUTED_VALUE"""),0.2164383573278684)</f>
        <v>0.2164383573</v>
      </c>
      <c r="AG179" s="277">
        <f>IFERROR(__xludf.DUMMYFUNCTION("""COMPUTED_VALUE"""),0.0)</f>
        <v>0</v>
      </c>
      <c r="AH179" s="265"/>
      <c r="AI179" s="338"/>
      <c r="AJ179" s="339"/>
      <c r="AK179" s="265"/>
      <c r="AL179" s="265"/>
      <c r="AM179" s="265"/>
      <c r="AN179" s="265"/>
      <c r="AO179" s="265"/>
      <c r="AP179" s="265"/>
      <c r="AQ179" s="265"/>
      <c r="AR179" s="265"/>
      <c r="AS179" s="265"/>
      <c r="AT179" s="265"/>
      <c r="AU179" s="265"/>
      <c r="AV179" s="265"/>
      <c r="AW179" s="265"/>
      <c r="AX179" s="265"/>
      <c r="AY179" s="265"/>
      <c r="AZ179" s="265"/>
      <c r="BA179" s="265"/>
      <c r="BB179" s="265"/>
      <c r="BC179" s="265"/>
      <c r="BD179" s="265"/>
      <c r="BE179" s="265"/>
      <c r="BF179" s="265"/>
      <c r="BG179" s="265"/>
      <c r="BH179" s="265"/>
      <c r="BI179" s="265"/>
      <c r="BJ179" s="265"/>
      <c r="BK179" s="265"/>
      <c r="BL179" s="265"/>
      <c r="BM179" s="265"/>
      <c r="BN179" s="265"/>
      <c r="BO179" s="265"/>
      <c r="BP179" s="265"/>
      <c r="BQ179" s="265"/>
      <c r="BR179" s="265"/>
      <c r="BS179" s="265"/>
      <c r="BT179" s="265"/>
      <c r="BU179" s="265"/>
      <c r="BV179" s="265"/>
    </row>
    <row r="180">
      <c r="A180" s="251">
        <f>VLOOKUP($F180,UpdateHashtag!$V$3:$Y$32,COLUMN(B$15),0)</f>
        <v>3</v>
      </c>
      <c r="B180" s="252">
        <f>VLOOKUP($F180,UpdateHashtag!$V$3:$Y$32,COLUMN(C$13),0)</f>
        <v>4</v>
      </c>
      <c r="C180" s="252">
        <f>VLOOKUP($F180,UpdateHashtag!$V$3:$Y$32,COLUMN(D$13),0)</f>
        <v>4</v>
      </c>
      <c r="D180" s="268">
        <f t="shared" si="4"/>
        <v>11</v>
      </c>
      <c r="E180" s="19"/>
      <c r="F180" s="30" t="str">
        <f>IF(VLOOKUP(J180,PasteHashtag!$C$2:$P1015,3,)="BRO","BKN",IF(VLOOKUP(J180,PasteHashtag!$C$2:$P1015,3,)="OKL","OKC",VLOOKUP(J180,PasteHashtag!$C$2:$P1015,3,)))</f>
        <v>IND</v>
      </c>
      <c r="G180" s="269">
        <v>161.0</v>
      </c>
      <c r="H180" s="270">
        <f>IFERROR(__xludf.DUMMYFUNCTION("""COMPUTED_VALUE"""),156.0)</f>
        <v>156</v>
      </c>
      <c r="I180" s="270">
        <f>IFERROR(__xludf.DUMMYFUNCTION("""COMPUTED_VALUE"""),140.4)</f>
        <v>140.4</v>
      </c>
      <c r="J180" s="271" t="str">
        <f>IFERROR(__xludf.DUMMYFUNCTION("""COMPUTED_VALUE"""),"Obi Toppin")</f>
        <v>Obi Toppin</v>
      </c>
      <c r="K180" s="270">
        <f>IFERROR(__xludf.DUMMYFUNCTION("""COMPUTED_VALUE"""),68.0)</f>
        <v>68</v>
      </c>
      <c r="L180" s="272" t="str">
        <f>IFERROR(__xludf.DUMMYFUNCTION("""COMPUTED_VALUE"""),"SG,SF")</f>
        <v>SG,SF</v>
      </c>
      <c r="M180" s="273">
        <f>IFERROR(__xludf.DUMMYFUNCTION("""COMPUTED_VALUE"""),-3.7535664302484335)</f>
        <v>-3.75356643</v>
      </c>
      <c r="N180" s="273">
        <f>IFERROR(__xludf.DUMMYFUNCTION("""COMPUTED_VALUE"""),-3.9756145718963922)</f>
        <v>-3.975614572</v>
      </c>
      <c r="O180" s="274">
        <f>IFERROR(__xludf.DUMMYFUNCTION("""COMPUTED_VALUE"""),-0.22204814164795872)</f>
        <v>-0.2220481416</v>
      </c>
      <c r="P180" s="275">
        <f>IFERROR(__xludf.DUMMYFUNCTION("""COMPUTED_VALUE"""),10.74987013)</f>
        <v>10.74987013</v>
      </c>
      <c r="Q180" s="275">
        <f>IFERROR(__xludf.DUMMYFUNCTION("""COMPUTED_VALUE"""),1.365844156)</f>
        <v>1.365844156</v>
      </c>
      <c r="R180" s="275">
        <f>IFERROR(__xludf.DUMMYFUNCTION("""COMPUTED_VALUE"""),4.280909091)</f>
        <v>4.280909091</v>
      </c>
      <c r="S180" s="276">
        <f>IFERROR(__xludf.DUMMYFUNCTION("""COMPUTED_VALUE"""),1.697532468)</f>
        <v>1.697532468</v>
      </c>
      <c r="T180" s="275">
        <f>IFERROR(__xludf.DUMMYFUNCTION("""COMPUTED_VALUE"""),0.7661038961)</f>
        <v>0.7661038961</v>
      </c>
      <c r="U180" s="275">
        <f>IFERROR(__xludf.DUMMYFUNCTION("""COMPUTED_VALUE"""),0.4936363636)</f>
        <v>0.4936363636</v>
      </c>
      <c r="V180" s="272">
        <f>IFERROR(__xludf.DUMMYFUNCTION("""COMPUTED_VALUE"""),0.5431027218)</f>
        <v>0.5431027218</v>
      </c>
      <c r="W180" s="272">
        <f>IFERROR(__xludf.DUMMYFUNCTION("""COMPUTED_VALUE"""),0.8129751119)</f>
        <v>0.8129751119</v>
      </c>
      <c r="X180" s="275">
        <f>IFERROR(__xludf.DUMMYFUNCTION("""COMPUTED_VALUE"""),0.8532467532)</f>
        <v>0.8532467532</v>
      </c>
      <c r="Y180" s="273">
        <f>IFERROR(__xludf.DUMMYFUNCTION("""COMPUTED_VALUE"""),-1.2147060740702533)</f>
        <v>-1.214706074</v>
      </c>
      <c r="Z180" s="273">
        <f>IFERROR(__xludf.DUMMYFUNCTION("""COMPUTED_VALUE"""),-0.37973257371700675)</f>
        <v>-0.3797325737</v>
      </c>
      <c r="AA180" s="273">
        <f>IFERROR(__xludf.DUMMYFUNCTION("""COMPUTED_VALUE"""),-0.7063826709385311)</f>
        <v>-0.7063826709</v>
      </c>
      <c r="AB180" s="273">
        <f>IFERROR(__xludf.DUMMYFUNCTION("""COMPUTED_VALUE"""),-1.0153630488971748)</f>
        <v>-1.015363049</v>
      </c>
      <c r="AC180" s="273">
        <f>IFERROR(__xludf.DUMMYFUNCTION("""COMPUTED_VALUE"""),-0.694402088791196)</f>
        <v>-0.6944020888</v>
      </c>
      <c r="AD180" s="273">
        <f>IFERROR(__xludf.DUMMYFUNCTION("""COMPUTED_VALUE"""),-0.4548842450850473)</f>
        <v>-0.4548842451</v>
      </c>
      <c r="AE180" s="273">
        <f>IFERROR(__xludf.DUMMYFUNCTION("""COMPUTED_VALUE"""),0.4110143038884677)</f>
        <v>0.4110143039</v>
      </c>
      <c r="AF180" s="273">
        <f>IFERROR(__xludf.DUMMYFUNCTION("""COMPUTED_VALUE"""),0.0788418257143487)</f>
        <v>0.07884182571</v>
      </c>
      <c r="AG180" s="277">
        <f>IFERROR(__xludf.DUMMYFUNCTION("""COMPUTED_VALUE"""),0.0)</f>
        <v>0</v>
      </c>
      <c r="AH180" s="265"/>
      <c r="AI180" s="338"/>
      <c r="AJ180" s="339"/>
      <c r="AK180" s="265"/>
      <c r="AL180" s="265"/>
      <c r="AM180" s="265"/>
      <c r="AN180" s="265"/>
      <c r="AO180" s="265"/>
      <c r="AP180" s="265"/>
      <c r="AQ180" s="265"/>
      <c r="AR180" s="265"/>
      <c r="AS180" s="265"/>
      <c r="AT180" s="265"/>
      <c r="AU180" s="265"/>
      <c r="AV180" s="265"/>
      <c r="AW180" s="265"/>
      <c r="AX180" s="265"/>
      <c r="AY180" s="265"/>
      <c r="AZ180" s="265"/>
      <c r="BA180" s="265"/>
      <c r="BB180" s="265"/>
      <c r="BC180" s="265"/>
      <c r="BD180" s="265"/>
      <c r="BE180" s="265"/>
      <c r="BF180" s="265"/>
      <c r="BG180" s="265"/>
      <c r="BH180" s="265"/>
      <c r="BI180" s="265"/>
      <c r="BJ180" s="265"/>
      <c r="BK180" s="265"/>
      <c r="BL180" s="265"/>
      <c r="BM180" s="265"/>
      <c r="BN180" s="265"/>
      <c r="BO180" s="265"/>
      <c r="BP180" s="265"/>
      <c r="BQ180" s="265"/>
      <c r="BR180" s="265"/>
      <c r="BS180" s="265"/>
      <c r="BT180" s="265"/>
      <c r="BU180" s="265"/>
      <c r="BV180" s="265"/>
    </row>
    <row r="181">
      <c r="A181" s="251">
        <f>VLOOKUP($F181,UpdateHashtag!$V$3:$Y$32,COLUMN(B$15),0)</f>
        <v>4</v>
      </c>
      <c r="B181" s="252">
        <f>VLOOKUP($F181,UpdateHashtag!$V$3:$Y$32,COLUMN(C$13),0)</f>
        <v>3</v>
      </c>
      <c r="C181" s="252">
        <f>VLOOKUP($F181,UpdateHashtag!$V$3:$Y$32,COLUMN(D$13),0)</f>
        <v>4</v>
      </c>
      <c r="D181" s="268">
        <f t="shared" si="4"/>
        <v>11</v>
      </c>
      <c r="E181" s="19"/>
      <c r="F181" s="30" t="str">
        <f>IF(VLOOKUP(J181,PasteHashtag!$C$2:$P1015,3,)="BRO","BKN",IF(VLOOKUP(J181,PasteHashtag!$C$2:$P1015,3,)="OKL","OKC",VLOOKUP(J181,PasteHashtag!$C$2:$P1015,3,)))</f>
        <v>GS</v>
      </c>
      <c r="G181" s="269">
        <v>162.0</v>
      </c>
      <c r="H181" s="270">
        <f>IFERROR(__xludf.DUMMYFUNCTION("""COMPUTED_VALUE"""),166.0)</f>
        <v>166</v>
      </c>
      <c r="I181" s="270">
        <f>IFERROR(__xludf.DUMMYFUNCTION("""COMPUTED_VALUE"""),126.5)</f>
        <v>126.5</v>
      </c>
      <c r="J181" s="271" t="str">
        <f>IFERROR(__xludf.DUMMYFUNCTION("""COMPUTED_VALUE"""),"Buddy Hield")</f>
        <v>Buddy Hield</v>
      </c>
      <c r="K181" s="270">
        <f>IFERROR(__xludf.DUMMYFUNCTION("""COMPUTED_VALUE"""),64.0)</f>
        <v>64</v>
      </c>
      <c r="L181" s="272" t="str">
        <f>IFERROR(__xludf.DUMMYFUNCTION("""COMPUTED_VALUE"""),"SG,SF")</f>
        <v>SG,SF</v>
      </c>
      <c r="M181" s="273">
        <f>IFERROR(__xludf.DUMMYFUNCTION("""COMPUTED_VALUE"""),-3.8371576927295243)</f>
        <v>-3.837157693</v>
      </c>
      <c r="N181" s="273">
        <f>IFERROR(__xludf.DUMMYFUNCTION("""COMPUTED_VALUE"""),-4.007612668221091)</f>
        <v>-4.007612668</v>
      </c>
      <c r="O181" s="274">
        <f>IFERROR(__xludf.DUMMYFUNCTION("""COMPUTED_VALUE"""),-0.17045497549156652)</f>
        <v>-0.1704549755</v>
      </c>
      <c r="P181" s="275">
        <f>IFERROR(__xludf.DUMMYFUNCTION("""COMPUTED_VALUE"""),12.02805195)</f>
        <v>12.02805195</v>
      </c>
      <c r="Q181" s="275">
        <f>IFERROR(__xludf.DUMMYFUNCTION("""COMPUTED_VALUE"""),2.535454545)</f>
        <v>2.535454545</v>
      </c>
      <c r="R181" s="275">
        <f>IFERROR(__xludf.DUMMYFUNCTION("""COMPUTED_VALUE"""),3.018701299)</f>
        <v>3.018701299</v>
      </c>
      <c r="S181" s="276">
        <f>IFERROR(__xludf.DUMMYFUNCTION("""COMPUTED_VALUE"""),2.06038961)</f>
        <v>2.06038961</v>
      </c>
      <c r="T181" s="275">
        <f>IFERROR(__xludf.DUMMYFUNCTION("""COMPUTED_VALUE"""),0.8042857143)</f>
        <v>0.8042857143</v>
      </c>
      <c r="U181" s="275">
        <f>IFERROR(__xludf.DUMMYFUNCTION("""COMPUTED_VALUE"""),0.2875324675)</f>
        <v>0.2875324675</v>
      </c>
      <c r="V181" s="272">
        <f>IFERROR(__xludf.DUMMYFUNCTION("""COMPUTED_VALUE"""),0.4418891989)</f>
        <v>0.4418891989</v>
      </c>
      <c r="W181" s="272">
        <f>IFERROR(__xludf.DUMMYFUNCTION("""COMPUTED_VALUE"""),0.8729905673)</f>
        <v>0.8729905673</v>
      </c>
      <c r="X181" s="275">
        <f>IFERROR(__xludf.DUMMYFUNCTION("""COMPUTED_VALUE"""),1.061298701)</f>
        <v>1.061298701</v>
      </c>
      <c r="Y181" s="273">
        <f>IFERROR(__xludf.DUMMYFUNCTION("""COMPUTED_VALUE"""),-0.9843065936775458)</f>
        <v>-0.9843065937</v>
      </c>
      <c r="Z181" s="273">
        <f>IFERROR(__xludf.DUMMYFUNCTION("""COMPUTED_VALUE"""),0.7804373506891449)</f>
        <v>0.7804373507</v>
      </c>
      <c r="AA181" s="273">
        <f>IFERROR(__xludf.DUMMYFUNCTION("""COMPUTED_VALUE"""),-1.201050735454886)</f>
        <v>-1.201050735</v>
      </c>
      <c r="AB181" s="273">
        <f>IFERROR(__xludf.DUMMYFUNCTION("""COMPUTED_VALUE"""),-0.8505756835607245)</f>
        <v>-0.8505756836</v>
      </c>
      <c r="AC181" s="273">
        <f>IFERROR(__xludf.DUMMYFUNCTION("""COMPUTED_VALUE"""),-0.5680846687948844)</f>
        <v>-0.5680846688</v>
      </c>
      <c r="AD181" s="273">
        <f>IFERROR(__xludf.DUMMYFUNCTION("""COMPUTED_VALUE"""),-0.8225010108543593)</f>
        <v>-0.8225010109</v>
      </c>
      <c r="AE181" s="273">
        <f>IFERROR(__xludf.DUMMYFUNCTION("""COMPUTED_VALUE"""),-0.6294299884013864)</f>
        <v>-0.6294299884</v>
      </c>
      <c r="AF181" s="273">
        <f>IFERROR(__xludf.DUMMYFUNCTION("""COMPUTED_VALUE"""),0.2678986618335502)</f>
        <v>0.2678986618</v>
      </c>
      <c r="AG181" s="277">
        <f>IFERROR(__xludf.DUMMYFUNCTION("""COMPUTED_VALUE"""),0.0)</f>
        <v>0</v>
      </c>
      <c r="AH181" s="265"/>
      <c r="AI181" s="338"/>
      <c r="AJ181" s="339"/>
      <c r="AK181" s="265"/>
      <c r="AL181" s="265"/>
      <c r="AM181" s="265"/>
      <c r="AN181" s="265"/>
      <c r="AO181" s="265"/>
      <c r="AP181" s="265"/>
      <c r="AQ181" s="265"/>
      <c r="AR181" s="265"/>
      <c r="AS181" s="265"/>
      <c r="AT181" s="265"/>
      <c r="AU181" s="265"/>
      <c r="AV181" s="265"/>
      <c r="AW181" s="265"/>
      <c r="AX181" s="265"/>
      <c r="AY181" s="265"/>
      <c r="AZ181" s="265"/>
      <c r="BA181" s="265"/>
      <c r="BB181" s="265"/>
      <c r="BC181" s="265"/>
      <c r="BD181" s="265"/>
      <c r="BE181" s="265"/>
      <c r="BF181" s="265"/>
      <c r="BG181" s="265"/>
      <c r="BH181" s="265"/>
      <c r="BI181" s="265"/>
      <c r="BJ181" s="265"/>
      <c r="BK181" s="265"/>
      <c r="BL181" s="265"/>
      <c r="BM181" s="265"/>
      <c r="BN181" s="265"/>
      <c r="BO181" s="265"/>
      <c r="BP181" s="265"/>
      <c r="BQ181" s="265"/>
      <c r="BR181" s="265"/>
      <c r="BS181" s="265"/>
      <c r="BT181" s="265"/>
      <c r="BU181" s="265"/>
      <c r="BV181" s="265"/>
    </row>
    <row r="182">
      <c r="A182" s="251">
        <f>VLOOKUP($F182,UpdateHashtag!$V$3:$Y$32,COLUMN(B$15),0)</f>
        <v>3</v>
      </c>
      <c r="B182" s="252">
        <f>VLOOKUP($F182,UpdateHashtag!$V$3:$Y$32,COLUMN(C$13),0)</f>
        <v>4</v>
      </c>
      <c r="C182" s="252">
        <f>VLOOKUP($F182,UpdateHashtag!$V$3:$Y$32,COLUMN(D$13),0)</f>
        <v>3</v>
      </c>
      <c r="D182" s="268">
        <f t="shared" si="4"/>
        <v>10</v>
      </c>
      <c r="E182" s="19"/>
      <c r="F182" s="30" t="str">
        <f>IF(VLOOKUP(J182,PasteHashtag!$C$2:$P1015,3,)="BRO","BKN",IF(VLOOKUP(J182,PasteHashtag!$C$2:$P1015,3,)="OKL","OKC",VLOOKUP(J182,PasteHashtag!$C$2:$P1015,3,)))</f>
        <v>PHO</v>
      </c>
      <c r="G182" s="269">
        <v>163.0</v>
      </c>
      <c r="H182" s="270">
        <f>IFERROR(__xludf.DUMMYFUNCTION("""COMPUTED_VALUE"""),165.0)</f>
        <v>165</v>
      </c>
      <c r="I182" s="270">
        <f>IFERROR(__xludf.DUMMYFUNCTION("""COMPUTED_VALUE"""),138.2)</f>
        <v>138.2</v>
      </c>
      <c r="J182" s="271" t="str">
        <f>IFERROR(__xludf.DUMMYFUNCTION("""COMPUTED_VALUE"""),"Grayson Allen")</f>
        <v>Grayson Allen</v>
      </c>
      <c r="K182" s="270">
        <f>IFERROR(__xludf.DUMMYFUNCTION("""COMPUTED_VALUE"""),71.0)</f>
        <v>71</v>
      </c>
      <c r="L182" s="272" t="str">
        <f>IFERROR(__xludf.DUMMYFUNCTION("""COMPUTED_VALUE"""),"SF,PF")</f>
        <v>SF,PF</v>
      </c>
      <c r="M182" s="273">
        <f>IFERROR(__xludf.DUMMYFUNCTION("""COMPUTED_VALUE"""),-3.8334702253179698)</f>
        <v>-3.833470225</v>
      </c>
      <c r="N182" s="273">
        <f>IFERROR(__xludf.DUMMYFUNCTION("""COMPUTED_VALUE"""),-4.041122520949122)</f>
        <v>-4.041122521</v>
      </c>
      <c r="O182" s="274">
        <f>IFERROR(__xludf.DUMMYFUNCTION("""COMPUTED_VALUE"""),-0.20765229563115195)</f>
        <v>-0.2076522956</v>
      </c>
      <c r="P182" s="275">
        <f>IFERROR(__xludf.DUMMYFUNCTION("""COMPUTED_VALUE"""),11.43285714)</f>
        <v>11.43285714</v>
      </c>
      <c r="Q182" s="275">
        <f>IFERROR(__xludf.DUMMYFUNCTION("""COMPUTED_VALUE"""),2.325324675)</f>
        <v>2.325324675</v>
      </c>
      <c r="R182" s="275">
        <f>IFERROR(__xludf.DUMMYFUNCTION("""COMPUTED_VALUE"""),3.037532468)</f>
        <v>3.037532468</v>
      </c>
      <c r="S182" s="276">
        <f>IFERROR(__xludf.DUMMYFUNCTION("""COMPUTED_VALUE"""),1.856233766)</f>
        <v>1.856233766</v>
      </c>
      <c r="T182" s="275">
        <f>IFERROR(__xludf.DUMMYFUNCTION("""COMPUTED_VALUE"""),0.7706493506)</f>
        <v>0.7706493506</v>
      </c>
      <c r="U182" s="275">
        <f>IFERROR(__xludf.DUMMYFUNCTION("""COMPUTED_VALUE"""),0.3375324675)</f>
        <v>0.3375324675</v>
      </c>
      <c r="V182" s="272">
        <f>IFERROR(__xludf.DUMMYFUNCTION("""COMPUTED_VALUE"""),0.4566430099)</f>
        <v>0.4566430099</v>
      </c>
      <c r="W182" s="272">
        <f>IFERROR(__xludf.DUMMYFUNCTION("""COMPUTED_VALUE"""),0.8669714109)</f>
        <v>0.8669714109</v>
      </c>
      <c r="X182" s="275">
        <f>IFERROR(__xludf.DUMMYFUNCTION("""COMPUTED_VALUE"""),0.9112987013)</f>
        <v>0.9112987013</v>
      </c>
      <c r="Y182" s="273">
        <f>IFERROR(__xludf.DUMMYFUNCTION("""COMPUTED_VALUE"""),-1.0915938143301103)</f>
        <v>-1.091593814</v>
      </c>
      <c r="Z182" s="273">
        <f>IFERROR(__xludf.DUMMYFUNCTION("""COMPUTED_VALUE"""),0.5720035357314921)</f>
        <v>0.5720035357</v>
      </c>
      <c r="AA182" s="273">
        <f>IFERROR(__xludf.DUMMYFUNCTION("""COMPUTED_VALUE"""),-1.1936706685745744)</f>
        <v>-1.193670669</v>
      </c>
      <c r="AB182" s="273">
        <f>IFERROR(__xludf.DUMMYFUNCTION("""COMPUTED_VALUE"""),-0.9432906938409944)</f>
        <v>-0.9432906938</v>
      </c>
      <c r="AC182" s="273">
        <f>IFERROR(__xludf.DUMMYFUNCTION("""COMPUTED_VALUE"""),-0.6793643008539357)</f>
        <v>-0.6793643009</v>
      </c>
      <c r="AD182" s="273">
        <f>IFERROR(__xludf.DUMMYFUNCTION("""COMPUTED_VALUE"""),-0.7333186196610004)</f>
        <v>-0.7333186197</v>
      </c>
      <c r="AE182" s="273">
        <f>IFERROR(__xludf.DUMMYFUNCTION("""COMPUTED_VALUE"""),-0.3958248275967933)</f>
        <v>-0.3958248276</v>
      </c>
      <c r="AF182" s="273">
        <f>IFERROR(__xludf.DUMMYFUNCTION("""COMPUTED_VALUE"""),0.42393686817679443)</f>
        <v>0.4239368682</v>
      </c>
      <c r="AG182" s="277">
        <f>IFERROR(__xludf.DUMMYFUNCTION("""COMPUTED_VALUE"""),0.0)</f>
        <v>0</v>
      </c>
      <c r="AH182" s="265"/>
      <c r="AI182" s="338"/>
      <c r="AJ182" s="339"/>
      <c r="AK182" s="265"/>
      <c r="AL182" s="265"/>
      <c r="AM182" s="265"/>
      <c r="AN182" s="265"/>
      <c r="AO182" s="265"/>
      <c r="AP182" s="265"/>
      <c r="AQ182" s="265"/>
      <c r="AR182" s="265"/>
      <c r="AS182" s="265"/>
      <c r="AT182" s="265"/>
      <c r="AU182" s="265"/>
      <c r="AV182" s="265"/>
      <c r="AW182" s="265"/>
      <c r="AX182" s="265"/>
      <c r="AY182" s="265"/>
      <c r="AZ182" s="265"/>
      <c r="BA182" s="265"/>
      <c r="BB182" s="265"/>
      <c r="BC182" s="265"/>
      <c r="BD182" s="265"/>
      <c r="BE182" s="265"/>
      <c r="BF182" s="265"/>
      <c r="BG182" s="265"/>
      <c r="BH182" s="265"/>
      <c r="BI182" s="265"/>
      <c r="BJ182" s="265"/>
      <c r="BK182" s="265"/>
      <c r="BL182" s="265"/>
      <c r="BM182" s="265"/>
      <c r="BN182" s="265"/>
      <c r="BO182" s="265"/>
      <c r="BP182" s="265"/>
      <c r="BQ182" s="265"/>
      <c r="BR182" s="265"/>
      <c r="BS182" s="265"/>
      <c r="BT182" s="265"/>
      <c r="BU182" s="265"/>
      <c r="BV182" s="265"/>
    </row>
    <row r="183">
      <c r="A183" s="251">
        <f>VLOOKUP($F183,UpdateHashtag!$V$3:$Y$32,COLUMN(B$15),0)</f>
        <v>3</v>
      </c>
      <c r="B183" s="252">
        <f>VLOOKUP($F183,UpdateHashtag!$V$3:$Y$32,COLUMN(C$13),0)</f>
        <v>4</v>
      </c>
      <c r="C183" s="252">
        <f>VLOOKUP($F183,UpdateHashtag!$V$3:$Y$32,COLUMN(D$13),0)</f>
        <v>4</v>
      </c>
      <c r="D183" s="268">
        <f t="shared" si="4"/>
        <v>11</v>
      </c>
      <c r="E183" s="19"/>
      <c r="F183" s="30" t="str">
        <f>IF(VLOOKUP(J183,PasteHashtag!$C$2:$P1015,3,)="BRO","BKN",IF(VLOOKUP(J183,PasteHashtag!$C$2:$P1015,3,)="OKL","OKC",VLOOKUP(J183,PasteHashtag!$C$2:$P1015,3,)))</f>
        <v>DEN</v>
      </c>
      <c r="G183" s="269">
        <v>164.0</v>
      </c>
      <c r="H183" s="270">
        <f>IFERROR(__xludf.DUMMYFUNCTION("""COMPUTED_VALUE"""),157.0)</f>
        <v>157</v>
      </c>
      <c r="I183" s="270">
        <f>IFERROR(__xludf.DUMMYFUNCTION("""COMPUTED_VALUE"""),116.7)</f>
        <v>116.7</v>
      </c>
      <c r="J183" s="271" t="str">
        <f>IFERROR(__xludf.DUMMYFUNCTION("""COMPUTED_VALUE"""),"Aaron Gordon")</f>
        <v>Aaron Gordon</v>
      </c>
      <c r="K183" s="270">
        <f>IFERROR(__xludf.DUMMYFUNCTION("""COMPUTED_VALUE"""),78.0)</f>
        <v>78</v>
      </c>
      <c r="L183" s="272" t="str">
        <f>IFERROR(__xludf.DUMMYFUNCTION("""COMPUTED_VALUE"""),"PG,SG")</f>
        <v>PG,SG</v>
      </c>
      <c r="M183" s="273">
        <f>IFERROR(__xludf.DUMMYFUNCTION("""COMPUTED_VALUE"""),-3.9729528607071254)</f>
        <v>-3.972952861</v>
      </c>
      <c r="N183" s="273">
        <f>IFERROR(__xludf.DUMMYFUNCTION("""COMPUTED_VALUE"""),-4.0451145295531585)</f>
        <v>-4.04511453</v>
      </c>
      <c r="O183" s="274">
        <f>IFERROR(__xludf.DUMMYFUNCTION("""COMPUTED_VALUE"""),-0.07216166884603314)</f>
        <v>-0.07216166885</v>
      </c>
      <c r="P183" s="275">
        <f>IFERROR(__xludf.DUMMYFUNCTION("""COMPUTED_VALUE"""),13.13726027)</f>
        <v>13.13726027</v>
      </c>
      <c r="Q183" s="275">
        <f>IFERROR(__xludf.DUMMYFUNCTION("""COMPUTED_VALUE"""),0.5547945205)</f>
        <v>0.5547945205</v>
      </c>
      <c r="R183" s="275">
        <f>IFERROR(__xludf.DUMMYFUNCTION("""COMPUTED_VALUE"""),5.822876712)</f>
        <v>5.822876712</v>
      </c>
      <c r="S183" s="276">
        <f>IFERROR(__xludf.DUMMYFUNCTION("""COMPUTED_VALUE"""),3.291232877)</f>
        <v>3.291232877</v>
      </c>
      <c r="T183" s="275">
        <f>IFERROR(__xludf.DUMMYFUNCTION("""COMPUTED_VALUE"""),0.7576712329)</f>
        <v>0.7576712329</v>
      </c>
      <c r="U183" s="275">
        <f>IFERROR(__xludf.DUMMYFUNCTION("""COMPUTED_VALUE"""),0.6339726027)</f>
        <v>0.6339726027</v>
      </c>
      <c r="V183" s="272">
        <f>IFERROR(__xludf.DUMMYFUNCTION("""COMPUTED_VALUE"""),0.5683235454)</f>
        <v>0.5683235454</v>
      </c>
      <c r="W183" s="272">
        <f>IFERROR(__xludf.DUMMYFUNCTION("""COMPUTED_VALUE"""),0.6699988004)</f>
        <v>0.6699988004</v>
      </c>
      <c r="X183" s="275">
        <f>IFERROR(__xludf.DUMMYFUNCTION("""COMPUTED_VALUE"""),1.457671233)</f>
        <v>1.457671233</v>
      </c>
      <c r="Y183" s="273">
        <f>IFERROR(__xludf.DUMMYFUNCTION("""COMPUTED_VALUE"""),-0.7843655394578355)</f>
        <v>-0.7843655395</v>
      </c>
      <c r="Z183" s="273">
        <f>IFERROR(__xludf.DUMMYFUNCTION("""COMPUTED_VALUE"""),-1.1842358537470135)</f>
        <v>-1.184235854</v>
      </c>
      <c r="AA183" s="273">
        <f>IFERROR(__xludf.DUMMYFUNCTION("""COMPUTED_VALUE"""),-0.10207477214292714)</f>
        <v>-0.1020747721</v>
      </c>
      <c r="AB183" s="273">
        <f>IFERROR(__xludf.DUMMYFUNCTION("""COMPUTED_VALUE"""),-0.29160247996579924)</f>
        <v>-0.29160248</v>
      </c>
      <c r="AC183" s="273">
        <f>IFERROR(__xludf.DUMMYFUNCTION("""COMPUTED_VALUE"""),-0.7222999812787212)</f>
        <v>-0.7222999813</v>
      </c>
      <c r="AD183" s="273">
        <f>IFERROR(__xludf.DUMMYFUNCTION("""COMPUTED_VALUE"""),-0.2045738176046284)</f>
        <v>-0.2045738176</v>
      </c>
      <c r="AE183" s="273">
        <f>IFERROR(__xludf.DUMMYFUNCTION("""COMPUTED_VALUE"""),0.748232678499067)</f>
        <v>0.7482326785</v>
      </c>
      <c r="AF183" s="273">
        <f>IFERROR(__xludf.DUMMYFUNCTION("""COMPUTED_VALUE"""),-1.5041947638553004)</f>
        <v>-1.504194764</v>
      </c>
      <c r="AG183" s="277">
        <f>IFERROR(__xludf.DUMMYFUNCTION("""COMPUTED_VALUE"""),0.0)</f>
        <v>0</v>
      </c>
      <c r="AH183" s="265"/>
      <c r="AI183" s="338"/>
      <c r="AJ183" s="339"/>
      <c r="AK183" s="265"/>
      <c r="AL183" s="265"/>
      <c r="AM183" s="265"/>
      <c r="AN183" s="265"/>
      <c r="AO183" s="265"/>
      <c r="AP183" s="265"/>
      <c r="AQ183" s="265"/>
      <c r="AR183" s="265"/>
      <c r="AS183" s="265"/>
      <c r="AT183" s="265"/>
      <c r="AU183" s="265"/>
      <c r="AV183" s="265"/>
      <c r="AW183" s="265"/>
      <c r="AX183" s="265"/>
      <c r="AY183" s="265"/>
      <c r="AZ183" s="265"/>
      <c r="BA183" s="265"/>
      <c r="BB183" s="265"/>
      <c r="BC183" s="265"/>
      <c r="BD183" s="265"/>
      <c r="BE183" s="265"/>
      <c r="BF183" s="265"/>
      <c r="BG183" s="265"/>
      <c r="BH183" s="265"/>
      <c r="BI183" s="265"/>
      <c r="BJ183" s="265"/>
      <c r="BK183" s="265"/>
      <c r="BL183" s="265"/>
      <c r="BM183" s="265"/>
      <c r="BN183" s="265"/>
      <c r="BO183" s="265"/>
      <c r="BP183" s="265"/>
      <c r="BQ183" s="265"/>
      <c r="BR183" s="265"/>
      <c r="BS183" s="265"/>
      <c r="BT183" s="265"/>
      <c r="BU183" s="265"/>
      <c r="BV183" s="265"/>
    </row>
    <row r="184">
      <c r="A184" s="251">
        <f>VLOOKUP($F184,UpdateHashtag!$V$3:$Y$32,COLUMN(B$15),0)</f>
        <v>4</v>
      </c>
      <c r="B184" s="252">
        <f>VLOOKUP($F184,UpdateHashtag!$V$3:$Y$32,COLUMN(C$13),0)</f>
        <v>4</v>
      </c>
      <c r="C184" s="252">
        <f>VLOOKUP($F184,UpdateHashtag!$V$3:$Y$32,COLUMN(D$13),0)</f>
        <v>3</v>
      </c>
      <c r="D184" s="268">
        <f t="shared" si="4"/>
        <v>11</v>
      </c>
      <c r="E184" s="19"/>
      <c r="F184" s="30" t="str">
        <f>IF(VLOOKUP(J184,PasteHashtag!$C$2:$P1015,3,)="BRO","BKN",IF(VLOOKUP(J184,PasteHashtag!$C$2:$P1015,3,)="OKL","OKC",VLOOKUP(J184,PasteHashtag!$C$2:$P1015,3,)))</f>
        <v>MIL</v>
      </c>
      <c r="G184" s="269">
        <v>165.0</v>
      </c>
      <c r="H184" s="270">
        <f>IFERROR(__xludf.DUMMYFUNCTION("""COMPUTED_VALUE"""),169.0)</f>
        <v>169</v>
      </c>
      <c r="I184" s="270"/>
      <c r="J184" s="271" t="str">
        <f>IFERROR(__xludf.DUMMYFUNCTION("""COMPUTED_VALUE"""),"Delon Wright")</f>
        <v>Delon Wright</v>
      </c>
      <c r="K184" s="270">
        <f>IFERROR(__xludf.DUMMYFUNCTION("""COMPUTED_VALUE"""),67.0)</f>
        <v>67</v>
      </c>
      <c r="L184" s="272" t="str">
        <f>IFERROR(__xludf.DUMMYFUNCTION("""COMPUTED_VALUE"""),"C")</f>
        <v>C</v>
      </c>
      <c r="M184" s="273">
        <f>IFERROR(__xludf.DUMMYFUNCTION("""COMPUTED_VALUE"""),-3.835546994662601)</f>
        <v>-3.835546995</v>
      </c>
      <c r="N184" s="273">
        <f>IFERROR(__xludf.DUMMYFUNCTION("""COMPUTED_VALUE"""),-4.108069635962426)</f>
        <v>-4.108069636</v>
      </c>
      <c r="O184" s="274">
        <f>IFERROR(__xludf.DUMMYFUNCTION("""COMPUTED_VALUE"""),-0.2725226412998252)</f>
        <v>-0.2725226413</v>
      </c>
      <c r="P184" s="275">
        <f>IFERROR(__xludf.DUMMYFUNCTION("""COMPUTED_VALUE"""),6.068382353)</f>
        <v>6.068382353</v>
      </c>
      <c r="Q184" s="275">
        <f>IFERROR(__xludf.DUMMYFUNCTION("""COMPUTED_VALUE"""),0.7470588235)</f>
        <v>0.7470588235</v>
      </c>
      <c r="R184" s="275">
        <f>IFERROR(__xludf.DUMMYFUNCTION("""COMPUTED_VALUE"""),3.031911765)</f>
        <v>3.031911765</v>
      </c>
      <c r="S184" s="276">
        <f>IFERROR(__xludf.DUMMYFUNCTION("""COMPUTED_VALUE"""),2.988529412)</f>
        <v>2.988529412</v>
      </c>
      <c r="T184" s="275">
        <f>IFERROR(__xludf.DUMMYFUNCTION("""COMPUTED_VALUE"""),1.455441176)</f>
        <v>1.455441176</v>
      </c>
      <c r="U184" s="275">
        <f>IFERROR(__xludf.DUMMYFUNCTION("""COMPUTED_VALUE"""),0.2998529412)</f>
        <v>0.2998529412</v>
      </c>
      <c r="V184" s="272">
        <f>IFERROR(__xludf.DUMMYFUNCTION("""COMPUTED_VALUE"""),0.4372374101)</f>
        <v>0.4372374101</v>
      </c>
      <c r="W184" s="272">
        <f>IFERROR(__xludf.DUMMYFUNCTION("""COMPUTED_VALUE"""),0.8339807222)</f>
        <v>0.8339807222</v>
      </c>
      <c r="X184" s="275">
        <f>IFERROR(__xludf.DUMMYFUNCTION("""COMPUTED_VALUE"""),0.6497058824)</f>
        <v>0.6497058824</v>
      </c>
      <c r="Y184" s="273">
        <f>IFERROR(__xludf.DUMMYFUNCTION("""COMPUTED_VALUE"""),-2.058570643576969)</f>
        <v>-2.058570644</v>
      </c>
      <c r="Z184" s="273">
        <f>IFERROR(__xludf.DUMMYFUNCTION("""COMPUTED_VALUE"""),-0.9935234045627822)</f>
        <v>-0.9935234046</v>
      </c>
      <c r="AA184" s="273">
        <f>IFERROR(__xludf.DUMMYFUNCTION("""COMPUTED_VALUE"""),-1.1958734614046092)</f>
        <v>-1.195873461</v>
      </c>
      <c r="AB184" s="273">
        <f>IFERROR(__xludf.DUMMYFUNCTION("""COMPUTED_VALUE"""),-0.42907175010507714)</f>
        <v>-0.4290717501</v>
      </c>
      <c r="AC184" s="273">
        <f>IFERROR(__xludf.DUMMYFUNCTION("""COMPUTED_VALUE"""),1.586141657138728)</f>
        <v>1.586141657</v>
      </c>
      <c r="AD184" s="273">
        <f>IFERROR(__xludf.DUMMYFUNCTION("""COMPUTED_VALUE"""),-0.8005256247503415)</f>
        <v>-0.8005256248</v>
      </c>
      <c r="AE184" s="273">
        <f>IFERROR(__xludf.DUMMYFUNCTION("""COMPUTED_VALUE"""),-0.35670086830466585)</f>
        <v>-0.3567008683</v>
      </c>
      <c r="AF184" s="273">
        <f>IFERROR(__xludf.DUMMYFUNCTION("""COMPUTED_VALUE"""),0.14005445960329085)</f>
        <v>0.1400544596</v>
      </c>
      <c r="AG184" s="277">
        <f>IFERROR(__xludf.DUMMYFUNCTION("""COMPUTED_VALUE"""),0.0)</f>
        <v>0</v>
      </c>
      <c r="AH184" s="265"/>
      <c r="AI184" s="338"/>
      <c r="AJ184" s="339"/>
      <c r="AK184" s="265"/>
      <c r="AL184" s="265"/>
      <c r="AM184" s="265"/>
      <c r="AN184" s="265"/>
      <c r="AO184" s="265"/>
      <c r="AP184" s="265"/>
      <c r="AQ184" s="265"/>
      <c r="AR184" s="265"/>
      <c r="AS184" s="265"/>
      <c r="AT184" s="265"/>
      <c r="AU184" s="265"/>
      <c r="AV184" s="265"/>
      <c r="AW184" s="265"/>
      <c r="AX184" s="265"/>
      <c r="AY184" s="265"/>
      <c r="AZ184" s="265"/>
      <c r="BA184" s="265"/>
      <c r="BB184" s="265"/>
      <c r="BC184" s="265"/>
      <c r="BD184" s="265"/>
      <c r="BE184" s="265"/>
      <c r="BF184" s="265"/>
      <c r="BG184" s="265"/>
      <c r="BH184" s="265"/>
      <c r="BI184" s="265"/>
      <c r="BJ184" s="265"/>
      <c r="BK184" s="265"/>
      <c r="BL184" s="265"/>
      <c r="BM184" s="265"/>
      <c r="BN184" s="265"/>
      <c r="BO184" s="265"/>
      <c r="BP184" s="265"/>
      <c r="BQ184" s="265"/>
      <c r="BR184" s="265"/>
      <c r="BS184" s="265"/>
      <c r="BT184" s="265"/>
      <c r="BU184" s="265"/>
      <c r="BV184" s="265"/>
    </row>
    <row r="185">
      <c r="A185" s="251">
        <f>VLOOKUP($F185,UpdateHashtag!$V$3:$Y$32,COLUMN(B$15),0)</f>
        <v>4</v>
      </c>
      <c r="B185" s="252">
        <f>VLOOKUP($F185,UpdateHashtag!$V$3:$Y$32,COLUMN(C$13),0)</f>
        <v>4</v>
      </c>
      <c r="C185" s="252">
        <f>VLOOKUP($F185,UpdateHashtag!$V$3:$Y$32,COLUMN(D$13),0)</f>
        <v>4</v>
      </c>
      <c r="D185" s="268">
        <f t="shared" si="4"/>
        <v>12</v>
      </c>
      <c r="E185" s="19"/>
      <c r="F185" s="30" t="str">
        <f>IF(VLOOKUP(J185,PasteHashtag!$C$2:$P1015,3,)="BRO","BKN",IF(VLOOKUP(J185,PasteHashtag!$C$2:$P1015,3,)="OKL","OKC",VLOOKUP(J185,PasteHashtag!$C$2:$P1015,3,)))</f>
        <v>MIA</v>
      </c>
      <c r="G185" s="269">
        <v>166.0</v>
      </c>
      <c r="H185" s="270">
        <f>IFERROR(__xludf.DUMMYFUNCTION("""COMPUTED_VALUE"""),167.0)</f>
        <v>167</v>
      </c>
      <c r="I185" s="270">
        <f>IFERROR(__xludf.DUMMYFUNCTION("""COMPUTED_VALUE"""),133.6)</f>
        <v>133.6</v>
      </c>
      <c r="J185" s="271" t="str">
        <f>IFERROR(__xludf.DUMMYFUNCTION("""COMPUTED_VALUE"""),"Jaime Jaquez Jr.")</f>
        <v>Jaime Jaquez Jr.</v>
      </c>
      <c r="K185" s="270">
        <f>IFERROR(__xludf.DUMMYFUNCTION("""COMPUTED_VALUE"""),69.0)</f>
        <v>69</v>
      </c>
      <c r="L185" s="272" t="str">
        <f>IFERROR(__xludf.DUMMYFUNCTION("""COMPUTED_VALUE"""),"SF,PF")</f>
        <v>SF,PF</v>
      </c>
      <c r="M185" s="273">
        <f>IFERROR(__xludf.DUMMYFUNCTION("""COMPUTED_VALUE"""),-4.1048378012488955)</f>
        <v>-4.104837801</v>
      </c>
      <c r="N185" s="273">
        <f>IFERROR(__xludf.DUMMYFUNCTION("""COMPUTED_VALUE"""),-4.187428307935917)</f>
        <v>-4.187428308</v>
      </c>
      <c r="O185" s="274">
        <f>IFERROR(__xludf.DUMMYFUNCTION("""COMPUTED_VALUE"""),-0.08259050668702184)</f>
        <v>-0.08259050669</v>
      </c>
      <c r="P185" s="275">
        <f>IFERROR(__xludf.DUMMYFUNCTION("""COMPUTED_VALUE"""),10.93315068)</f>
        <v>10.93315068</v>
      </c>
      <c r="Q185" s="275">
        <f>IFERROR(__xludf.DUMMYFUNCTION("""COMPUTED_VALUE"""),0.8743835616)</f>
        <v>0.8743835616</v>
      </c>
      <c r="R185" s="275">
        <f>IFERROR(__xludf.DUMMYFUNCTION("""COMPUTED_VALUE"""),3.904246575)</f>
        <v>3.904246575</v>
      </c>
      <c r="S185" s="276">
        <f>IFERROR(__xludf.DUMMYFUNCTION("""COMPUTED_VALUE"""),2.829178082)</f>
        <v>2.829178082</v>
      </c>
      <c r="T185" s="275">
        <f>IFERROR(__xludf.DUMMYFUNCTION("""COMPUTED_VALUE"""),1.017123288)</f>
        <v>1.017123288</v>
      </c>
      <c r="U185" s="275">
        <f>IFERROR(__xludf.DUMMYFUNCTION("""COMPUTED_VALUE"""),0.2831506849)</f>
        <v>0.2831506849</v>
      </c>
      <c r="V185" s="272">
        <f>IFERROR(__xludf.DUMMYFUNCTION("""COMPUTED_VALUE"""),0.4849727217)</f>
        <v>0.4849727217</v>
      </c>
      <c r="W185" s="272">
        <f>IFERROR(__xludf.DUMMYFUNCTION("""COMPUTED_VALUE"""),0.7990055116)</f>
        <v>0.7990055116</v>
      </c>
      <c r="X185" s="275">
        <f>IFERROR(__xludf.DUMMYFUNCTION("""COMPUTED_VALUE"""),1.415616438)</f>
        <v>1.415616438</v>
      </c>
      <c r="Y185" s="273">
        <f>IFERROR(__xludf.DUMMYFUNCTION("""COMPUTED_VALUE"""),-1.18166872146099)</f>
        <v>-1.181668721</v>
      </c>
      <c r="Z185" s="273">
        <f>IFERROR(__xludf.DUMMYFUNCTION("""COMPUTED_VALUE"""),-0.8672263631156666)</f>
        <v>-0.8672263631</v>
      </c>
      <c r="AA185" s="273">
        <f>IFERROR(__xludf.DUMMYFUNCTION("""COMPUTED_VALUE"""),-0.8539993462169708)</f>
        <v>-0.8539993462</v>
      </c>
      <c r="AB185" s="273">
        <f>IFERROR(__xludf.DUMMYFUNCTION("""COMPUTED_VALUE"""),-0.5014393096598488)</f>
        <v>-0.5014393097</v>
      </c>
      <c r="AC185" s="273">
        <f>IFERROR(__xludf.DUMMYFUNCTION("""COMPUTED_VALUE"""),0.13604872389040304)</f>
        <v>0.1360487239</v>
      </c>
      <c r="AD185" s="273">
        <f>IFERROR(__xludf.DUMMYFUNCTION("""COMPUTED_VALUE"""),-0.8303165678535084)</f>
        <v>-0.8303165679</v>
      </c>
      <c r="AE185" s="273">
        <f>IFERROR(__xludf.DUMMYFUNCTION("""COMPUTED_VALUE"""),-0.12116318659782258)</f>
        <v>-0.1211631866</v>
      </c>
      <c r="AF185" s="273">
        <f>IFERROR(__xludf.DUMMYFUNCTION("""COMPUTED_VALUE"""),0.03233646307848617)</f>
        <v>0.03233646308</v>
      </c>
      <c r="AG185" s="277">
        <f>IFERROR(__xludf.DUMMYFUNCTION("""COMPUTED_VALUE"""),0.0)</f>
        <v>0</v>
      </c>
      <c r="AH185" s="265"/>
      <c r="AI185" s="338"/>
      <c r="AJ185" s="339"/>
      <c r="AK185" s="265"/>
      <c r="AL185" s="265"/>
      <c r="AM185" s="265"/>
      <c r="AN185" s="265"/>
      <c r="AO185" s="265"/>
      <c r="AP185" s="265"/>
      <c r="AQ185" s="265"/>
      <c r="AR185" s="265"/>
      <c r="AS185" s="265"/>
      <c r="AT185" s="265"/>
      <c r="AU185" s="265"/>
      <c r="AV185" s="265"/>
      <c r="AW185" s="265"/>
      <c r="AX185" s="265"/>
      <c r="AY185" s="265"/>
      <c r="AZ185" s="265"/>
      <c r="BA185" s="265"/>
      <c r="BB185" s="265"/>
      <c r="BC185" s="265"/>
      <c r="BD185" s="265"/>
      <c r="BE185" s="265"/>
      <c r="BF185" s="265"/>
      <c r="BG185" s="265"/>
      <c r="BH185" s="265"/>
      <c r="BI185" s="265"/>
      <c r="BJ185" s="265"/>
      <c r="BK185" s="265"/>
      <c r="BL185" s="265"/>
      <c r="BM185" s="265"/>
      <c r="BN185" s="265"/>
      <c r="BO185" s="265"/>
      <c r="BP185" s="265"/>
      <c r="BQ185" s="265"/>
      <c r="BR185" s="265"/>
      <c r="BS185" s="265"/>
      <c r="BT185" s="265"/>
      <c r="BU185" s="265"/>
      <c r="BV185" s="265"/>
    </row>
    <row r="186">
      <c r="A186" s="251">
        <f>VLOOKUP($F186,UpdateHashtag!$V$3:$Y$32,COLUMN(B$15),0)</f>
        <v>4</v>
      </c>
      <c r="B186" s="252">
        <f>VLOOKUP($F186,UpdateHashtag!$V$3:$Y$32,COLUMN(C$13),0)</f>
        <v>4</v>
      </c>
      <c r="C186" s="252">
        <f>VLOOKUP($F186,UpdateHashtag!$V$3:$Y$32,COLUMN(D$13),0)</f>
        <v>3</v>
      </c>
      <c r="D186" s="268">
        <f t="shared" si="4"/>
        <v>11</v>
      </c>
      <c r="E186" s="19"/>
      <c r="F186" s="30" t="str">
        <f>IF(VLOOKUP(J186,PasteHashtag!$C$2:$P1015,3,)="BRO","BKN",IF(VLOOKUP(J186,PasteHashtag!$C$2:$P1015,3,)="OKL","OKC",VLOOKUP(J186,PasteHashtag!$C$2:$P1015,3,)))</f>
        <v>ATL</v>
      </c>
      <c r="G186" s="269">
        <v>167.0</v>
      </c>
      <c r="H186" s="270">
        <f>IFERROR(__xludf.DUMMYFUNCTION("""COMPUTED_VALUE"""),159.0)</f>
        <v>159</v>
      </c>
      <c r="I186" s="270">
        <f>IFERROR(__xludf.DUMMYFUNCTION("""COMPUTED_VALUE"""),102.7)</f>
        <v>102.7</v>
      </c>
      <c r="J186" s="271" t="str">
        <f>IFERROR(__xludf.DUMMYFUNCTION("""COMPUTED_VALUE"""),"Clint Capela")</f>
        <v>Clint Capela</v>
      </c>
      <c r="K186" s="270">
        <f>IFERROR(__xludf.DUMMYFUNCTION("""COMPUTED_VALUE"""),70.0)</f>
        <v>70</v>
      </c>
      <c r="L186" s="272" t="str">
        <f>IFERROR(__xludf.DUMMYFUNCTION("""COMPUTED_VALUE"""),"SG,SF")</f>
        <v>SG,SF</v>
      </c>
      <c r="M186" s="273">
        <f>IFERROR(__xludf.DUMMYFUNCTION("""COMPUTED_VALUE"""),-4.082952310938625)</f>
        <v>-4.082952311</v>
      </c>
      <c r="N186" s="273">
        <f>IFERROR(__xludf.DUMMYFUNCTION("""COMPUTED_VALUE"""),-4.2438100556861915)</f>
        <v>-4.243810056</v>
      </c>
      <c r="O186" s="274">
        <f>IFERROR(__xludf.DUMMYFUNCTION("""COMPUTED_VALUE"""),-0.16085774474756676)</f>
        <v>-0.1608577447</v>
      </c>
      <c r="P186" s="275">
        <f>IFERROR(__xludf.DUMMYFUNCTION("""COMPUTED_VALUE"""),9.419558824)</f>
        <v>9.419558824</v>
      </c>
      <c r="Q186" s="275">
        <f>IFERROR(__xludf.DUMMYFUNCTION("""COMPUTED_VALUE"""),0.0)</f>
        <v>0</v>
      </c>
      <c r="R186" s="275">
        <f>IFERROR(__xludf.DUMMYFUNCTION("""COMPUTED_VALUE"""),9.8)</f>
        <v>9.8</v>
      </c>
      <c r="S186" s="276">
        <f>IFERROR(__xludf.DUMMYFUNCTION("""COMPUTED_VALUE"""),1.25)</f>
        <v>1.25</v>
      </c>
      <c r="T186" s="275">
        <f>IFERROR(__xludf.DUMMYFUNCTION("""COMPUTED_VALUE"""),0.6)</f>
        <v>0.6</v>
      </c>
      <c r="U186" s="275">
        <f>IFERROR(__xludf.DUMMYFUNCTION("""COMPUTED_VALUE"""),1.15)</f>
        <v>1.15</v>
      </c>
      <c r="V186" s="272">
        <f>IFERROR(__xludf.DUMMYFUNCTION("""COMPUTED_VALUE"""),0.569995915)</f>
        <v>0.569995915</v>
      </c>
      <c r="W186" s="272">
        <f>IFERROR(__xludf.DUMMYFUNCTION("""COMPUTED_VALUE"""),0.600992049)</f>
        <v>0.600992049</v>
      </c>
      <c r="X186" s="275">
        <f>IFERROR(__xludf.DUMMYFUNCTION("""COMPUTED_VALUE"""),1.1)</f>
        <v>1.1</v>
      </c>
      <c r="Y186" s="273">
        <f>IFERROR(__xludf.DUMMYFUNCTION("""COMPUTED_VALUE"""),-1.4545021882591909)</f>
        <v>-1.454502188</v>
      </c>
      <c r="Z186" s="273">
        <f>IFERROR(__xludf.DUMMYFUNCTION("""COMPUTED_VALUE"""),-1.7345523719336797)</f>
        <v>-1.734552372</v>
      </c>
      <c r="AA186" s="273">
        <f>IFERROR(__xludf.DUMMYFUNCTION("""COMPUTED_VALUE"""),1.4565876697205933)</f>
        <v>1.45658767</v>
      </c>
      <c r="AB186" s="273">
        <f>IFERROR(__xludf.DUMMYFUNCTION("""COMPUTED_VALUE"""),-1.2186047321054914)</f>
        <v>-1.218604732</v>
      </c>
      <c r="AC186" s="273">
        <f>IFERROR(__xludf.DUMMYFUNCTION("""COMPUTED_VALUE"""),-1.2439258306094265)</f>
        <v>-1.243925831</v>
      </c>
      <c r="AD186" s="273">
        <f>IFERROR(__xludf.DUMMYFUNCTION("""COMPUTED_VALUE"""),0.7158373266453602)</f>
        <v>0.7158373266</v>
      </c>
      <c r="AE186" s="273">
        <f>IFERROR(__xludf.DUMMYFUNCTION("""COMPUTED_VALUE"""),0.6092577056165875)</f>
        <v>0.6092577056</v>
      </c>
      <c r="AF186" s="273">
        <f>IFERROR(__xludf.DUMMYFUNCTION("""COMPUTED_VALUE"""),-1.373907634760944)</f>
        <v>-1.373907635</v>
      </c>
      <c r="AG186" s="277">
        <f>IFERROR(__xludf.DUMMYFUNCTION("""COMPUTED_VALUE"""),0.0)</f>
        <v>0</v>
      </c>
      <c r="AH186" s="265"/>
      <c r="AI186" s="338"/>
      <c r="AJ186" s="339"/>
      <c r="AK186" s="265"/>
      <c r="AL186" s="265"/>
      <c r="AM186" s="265"/>
      <c r="AN186" s="265"/>
      <c r="AO186" s="265"/>
      <c r="AP186" s="265"/>
      <c r="AQ186" s="265"/>
      <c r="AR186" s="265"/>
      <c r="AS186" s="265"/>
      <c r="AT186" s="265"/>
      <c r="AU186" s="265"/>
      <c r="AV186" s="265"/>
      <c r="AW186" s="265"/>
      <c r="AX186" s="265"/>
      <c r="AY186" s="265"/>
      <c r="AZ186" s="265"/>
      <c r="BA186" s="265"/>
      <c r="BB186" s="265"/>
      <c r="BC186" s="265"/>
      <c r="BD186" s="265"/>
      <c r="BE186" s="265"/>
      <c r="BF186" s="265"/>
      <c r="BG186" s="265"/>
      <c r="BH186" s="265"/>
      <c r="BI186" s="265"/>
      <c r="BJ186" s="265"/>
      <c r="BK186" s="265"/>
      <c r="BL186" s="265"/>
      <c r="BM186" s="265"/>
      <c r="BN186" s="265"/>
      <c r="BO186" s="265"/>
      <c r="BP186" s="265"/>
      <c r="BQ186" s="265"/>
      <c r="BR186" s="265"/>
      <c r="BS186" s="265"/>
      <c r="BT186" s="265"/>
      <c r="BU186" s="265"/>
      <c r="BV186" s="265"/>
    </row>
    <row r="187">
      <c r="A187" s="251">
        <f>VLOOKUP($F187,UpdateHashtag!$V$3:$Y$32,COLUMN(B$15),0)</f>
        <v>3</v>
      </c>
      <c r="B187" s="252">
        <f>VLOOKUP($F187,UpdateHashtag!$V$3:$Y$32,COLUMN(C$13),0)</f>
        <v>5</v>
      </c>
      <c r="C187" s="252">
        <f>VLOOKUP($F187,UpdateHashtag!$V$3:$Y$32,COLUMN(D$13),0)</f>
        <v>3</v>
      </c>
      <c r="D187" s="268">
        <f t="shared" si="4"/>
        <v>11</v>
      </c>
      <c r="E187" s="19"/>
      <c r="F187" s="30" t="str">
        <f>IF(VLOOKUP(J187,PasteHashtag!$C$2:$P1015,3,)="BRO","BKN",IF(VLOOKUP(J187,PasteHashtag!$C$2:$P1015,3,)="OKL","OKC",VLOOKUP(J187,PasteHashtag!$C$2:$P1015,3,)))</f>
        <v>WAS</v>
      </c>
      <c r="G187" s="269">
        <v>168.0</v>
      </c>
      <c r="H187" s="270">
        <f>IFERROR(__xludf.DUMMYFUNCTION("""COMPUTED_VALUE"""),174.0)</f>
        <v>174</v>
      </c>
      <c r="I187" s="270">
        <f>IFERROR(__xludf.DUMMYFUNCTION("""COMPUTED_VALUE"""),144.6)</f>
        <v>144.6</v>
      </c>
      <c r="J187" s="271" t="str">
        <f>IFERROR(__xludf.DUMMYFUNCTION("""COMPUTED_VALUE"""),"Bilal Coulibaly")</f>
        <v>Bilal Coulibaly</v>
      </c>
      <c r="K187" s="270">
        <f>IFERROR(__xludf.DUMMYFUNCTION("""COMPUTED_VALUE"""),74.0)</f>
        <v>74</v>
      </c>
      <c r="L187" s="272" t="str">
        <f>IFERROR(__xludf.DUMMYFUNCTION("""COMPUTED_VALUE"""),"SG")</f>
        <v>SG</v>
      </c>
      <c r="M187" s="273">
        <f>IFERROR(__xludf.DUMMYFUNCTION("""COMPUTED_VALUE"""),-4.215371941133303)</f>
        <v>-4.215371941</v>
      </c>
      <c r="N187" s="273">
        <f>IFERROR(__xludf.DUMMYFUNCTION("""COMPUTED_VALUE"""),-4.315898689865533)</f>
        <v>-4.31589869</v>
      </c>
      <c r="O187" s="274">
        <f>IFERROR(__xludf.DUMMYFUNCTION("""COMPUTED_VALUE"""),-0.10052674873223033)</f>
        <v>-0.1005267487</v>
      </c>
      <c r="P187" s="275">
        <f>IFERROR(__xludf.DUMMYFUNCTION("""COMPUTED_VALUE"""),9.973287671)</f>
        <v>9.973287671</v>
      </c>
      <c r="Q187" s="275">
        <f>IFERROR(__xludf.DUMMYFUNCTION("""COMPUTED_VALUE"""),1.186027397)</f>
        <v>1.186027397</v>
      </c>
      <c r="R187" s="275">
        <f>IFERROR(__xludf.DUMMYFUNCTION("""COMPUTED_VALUE"""),4.097123288)</f>
        <v>4.097123288</v>
      </c>
      <c r="S187" s="276">
        <f>IFERROR(__xludf.DUMMYFUNCTION("""COMPUTED_VALUE"""),2.149315068)</f>
        <v>2.149315068</v>
      </c>
      <c r="T187" s="275">
        <f>IFERROR(__xludf.DUMMYFUNCTION("""COMPUTED_VALUE"""),1.141780822)</f>
        <v>1.141780822</v>
      </c>
      <c r="U187" s="275">
        <f>IFERROR(__xludf.DUMMYFUNCTION("""COMPUTED_VALUE"""),0.7387671233)</f>
        <v>0.7387671233</v>
      </c>
      <c r="V187" s="272">
        <f>IFERROR(__xludf.DUMMYFUNCTION("""COMPUTED_VALUE"""),0.4276560668)</f>
        <v>0.4276560668</v>
      </c>
      <c r="W187" s="272">
        <f>IFERROR(__xludf.DUMMYFUNCTION("""COMPUTED_VALUE"""),0.7199854159)</f>
        <v>0.7199854159</v>
      </c>
      <c r="X187" s="275">
        <f>IFERROR(__xludf.DUMMYFUNCTION("""COMPUTED_VALUE"""),1.343287671)</f>
        <v>1.343287671</v>
      </c>
      <c r="Y187" s="273">
        <f>IFERROR(__xludf.DUMMYFUNCTION("""COMPUTED_VALUE"""),-1.35468944125325)</f>
        <v>-1.354689441</v>
      </c>
      <c r="Z187" s="273">
        <f>IFERROR(__xludf.DUMMYFUNCTION("""COMPUTED_VALUE"""),-0.5580979487666887)</f>
        <v>-0.5580979488</v>
      </c>
      <c r="AA187" s="273">
        <f>IFERROR(__xludf.DUMMYFUNCTION("""COMPUTED_VALUE"""),-0.7784096129617144)</f>
        <v>-0.778409613</v>
      </c>
      <c r="AB187" s="273">
        <f>IFERROR(__xludf.DUMMYFUNCTION("""COMPUTED_VALUE"""),-0.8101912175022968)</f>
        <v>-0.8101912175</v>
      </c>
      <c r="AC187" s="273">
        <f>IFERROR(__xludf.DUMMYFUNCTION("""COMPUTED_VALUE"""),0.5484549114507038)</f>
        <v>0.5484549115</v>
      </c>
      <c r="AD187" s="273">
        <f>IFERROR(__xludf.DUMMYFUNCTION("""COMPUTED_VALUE"""),-0.017657298983234128)</f>
        <v>-0.01765729898</v>
      </c>
      <c r="AE187" s="273">
        <f>IFERROR(__xludf.DUMMYFUNCTION("""COMPUTED_VALUE"""),-0.6524064776983406)</f>
        <v>-0.6524064777</v>
      </c>
      <c r="AF187" s="273">
        <f>IFERROR(__xludf.DUMMYFUNCTION("""COMPUTED_VALUE"""),-0.6929016041507131)</f>
        <v>-0.6929016042</v>
      </c>
      <c r="AG187" s="277">
        <f>IFERROR(__xludf.DUMMYFUNCTION("""COMPUTED_VALUE"""),0.0)</f>
        <v>0</v>
      </c>
      <c r="AH187" s="265"/>
      <c r="AI187" s="338"/>
      <c r="AJ187" s="339"/>
      <c r="AK187" s="265"/>
      <c r="AL187" s="265"/>
      <c r="AM187" s="265"/>
      <c r="AN187" s="265"/>
      <c r="AO187" s="265"/>
      <c r="AP187" s="265"/>
      <c r="AQ187" s="265"/>
      <c r="AR187" s="265"/>
      <c r="AS187" s="265"/>
      <c r="AT187" s="265"/>
      <c r="AU187" s="265"/>
      <c r="AV187" s="265"/>
      <c r="AW187" s="265"/>
      <c r="AX187" s="265"/>
      <c r="AY187" s="265"/>
      <c r="AZ187" s="265"/>
      <c r="BA187" s="265"/>
      <c r="BB187" s="265"/>
      <c r="BC187" s="265"/>
      <c r="BD187" s="265"/>
      <c r="BE187" s="265"/>
      <c r="BF187" s="265"/>
      <c r="BG187" s="265"/>
      <c r="BH187" s="265"/>
      <c r="BI187" s="265"/>
      <c r="BJ187" s="265"/>
      <c r="BK187" s="265"/>
      <c r="BL187" s="265"/>
      <c r="BM187" s="265"/>
      <c r="BN187" s="265"/>
      <c r="BO187" s="265"/>
      <c r="BP187" s="265"/>
      <c r="BQ187" s="265"/>
      <c r="BR187" s="265"/>
      <c r="BS187" s="265"/>
      <c r="BT187" s="265"/>
      <c r="BU187" s="265"/>
      <c r="BV187" s="265"/>
    </row>
    <row r="188">
      <c r="A188" s="251">
        <f>VLOOKUP($F188,UpdateHashtag!$V$3:$Y$32,COLUMN(B$15),0)</f>
        <v>4</v>
      </c>
      <c r="B188" s="252">
        <f>VLOOKUP($F188,UpdateHashtag!$V$3:$Y$32,COLUMN(C$13),0)</f>
        <v>4</v>
      </c>
      <c r="C188" s="252">
        <f>VLOOKUP($F188,UpdateHashtag!$V$3:$Y$32,COLUMN(D$13),0)</f>
        <v>4</v>
      </c>
      <c r="D188" s="268">
        <f t="shared" si="4"/>
        <v>12</v>
      </c>
      <c r="E188" s="19"/>
      <c r="F188" s="30" t="str">
        <f>IF(VLOOKUP(J188,PasteHashtag!$C$2:$P1015,3,)="BRO","BKN",IF(VLOOKUP(J188,PasteHashtag!$C$2:$P1015,3,)="OKL","OKC",VLOOKUP(J188,PasteHashtag!$C$2:$P1015,3,)))</f>
        <v>UTA</v>
      </c>
      <c r="G188" s="269">
        <v>169.0</v>
      </c>
      <c r="H188" s="270">
        <f>IFERROR(__xludf.DUMMYFUNCTION("""COMPUTED_VALUE"""),171.0)</f>
        <v>171</v>
      </c>
      <c r="I188" s="270">
        <f>IFERROR(__xludf.DUMMYFUNCTION("""COMPUTED_VALUE"""),138.9)</f>
        <v>138.9</v>
      </c>
      <c r="J188" s="271" t="str">
        <f>IFERROR(__xludf.DUMMYFUNCTION("""COMPUTED_VALUE"""),"Jordan Clarkson")</f>
        <v>Jordan Clarkson</v>
      </c>
      <c r="K188" s="270">
        <f>IFERROR(__xludf.DUMMYFUNCTION("""COMPUTED_VALUE"""),64.0)</f>
        <v>64</v>
      </c>
      <c r="L188" s="272" t="str">
        <f>IFERROR(__xludf.DUMMYFUNCTION("""COMPUTED_VALUE"""),"PF,C")</f>
        <v>PF,C</v>
      </c>
      <c r="M188" s="273">
        <f>IFERROR(__xludf.DUMMYFUNCTION("""COMPUTED_VALUE"""),-4.433225254648967)</f>
        <v>-4.433225255</v>
      </c>
      <c r="N188" s="274">
        <f>IFERROR(__xludf.DUMMYFUNCTION("""COMPUTED_VALUE"""),-4.340880188010993)</f>
        <v>-4.340880188</v>
      </c>
      <c r="O188" s="274">
        <f>IFERROR(__xludf.DUMMYFUNCTION("""COMPUTED_VALUE"""),0.09234506663797415)</f>
        <v>0.09234506664</v>
      </c>
      <c r="P188" s="275">
        <f>IFERROR(__xludf.DUMMYFUNCTION("""COMPUTED_VALUE"""),15.37947368)</f>
        <v>15.37947368</v>
      </c>
      <c r="Q188" s="275">
        <f>IFERROR(__xludf.DUMMYFUNCTION("""COMPUTED_VALUE"""),1.58245614)</f>
        <v>1.58245614</v>
      </c>
      <c r="R188" s="275">
        <f>IFERROR(__xludf.DUMMYFUNCTION("""COMPUTED_VALUE"""),3.181578947)</f>
        <v>3.181578947</v>
      </c>
      <c r="S188" s="276">
        <f>IFERROR(__xludf.DUMMYFUNCTION("""COMPUTED_VALUE"""),4.302982456)</f>
        <v>4.302982456</v>
      </c>
      <c r="T188" s="275">
        <f>IFERROR(__xludf.DUMMYFUNCTION("""COMPUTED_VALUE"""),0.5243859649)</f>
        <v>0.5243859649</v>
      </c>
      <c r="U188" s="275">
        <f>IFERROR(__xludf.DUMMYFUNCTION("""COMPUTED_VALUE"""),0.05929824561)</f>
        <v>0.05929824561</v>
      </c>
      <c r="V188" s="272">
        <f>IFERROR(__xludf.DUMMYFUNCTION("""COMPUTED_VALUE"""),0.4368494386)</f>
        <v>0.4368494386</v>
      </c>
      <c r="W188" s="272">
        <f>IFERROR(__xludf.DUMMYFUNCTION("""COMPUTED_VALUE"""),0.8720156788)</f>
        <v>0.8720156788</v>
      </c>
      <c r="X188" s="275">
        <f>IFERROR(__xludf.DUMMYFUNCTION("""COMPUTED_VALUE"""),2.121052632)</f>
        <v>2.121052632</v>
      </c>
      <c r="Y188" s="273">
        <f>IFERROR(__xludf.DUMMYFUNCTION("""COMPUTED_VALUE"""),-0.3801939290420651)</f>
        <v>-0.380193929</v>
      </c>
      <c r="Z188" s="273">
        <f>IFERROR(__xludf.DUMMYFUNCTION("""COMPUTED_VALUE"""),-0.16486896488944672)</f>
        <v>-0.1648689649</v>
      </c>
      <c r="AA188" s="273">
        <f>IFERROR(__xludf.DUMMYFUNCTION("""COMPUTED_VALUE"""),-1.137217845656709)</f>
        <v>-1.137217846</v>
      </c>
      <c r="AB188" s="273">
        <f>IFERROR(__xludf.DUMMYFUNCTION("""COMPUTED_VALUE"""),0.16787186463363118)</f>
        <v>0.1678718646</v>
      </c>
      <c r="AC188" s="273">
        <f>IFERROR(__xludf.DUMMYFUNCTION("""COMPUTED_VALUE"""),-1.4940807545921337)</f>
        <v>-1.494080755</v>
      </c>
      <c r="AD188" s="273">
        <f>IFERROR(__xludf.DUMMYFUNCTION("""COMPUTED_VALUE"""),-1.2295904840604766)</f>
        <v>-1.229590484</v>
      </c>
      <c r="AE188" s="273">
        <f>IFERROR(__xludf.DUMMYFUNCTION("""COMPUTED_VALUE"""),-0.9022540757814447)</f>
        <v>-0.9022540758</v>
      </c>
      <c r="AF188" s="273">
        <f>IFERROR(__xludf.DUMMYFUNCTION("""COMPUTED_VALUE"""),0.799454001377652)</f>
        <v>0.7994540014</v>
      </c>
      <c r="AG188" s="277">
        <f>IFERROR(__xludf.DUMMYFUNCTION("""COMPUTED_VALUE"""),0.0)</f>
        <v>0</v>
      </c>
      <c r="AH188" s="265"/>
      <c r="AI188" s="338"/>
      <c r="AJ188" s="339"/>
      <c r="AK188" s="265"/>
      <c r="AL188" s="265"/>
      <c r="AM188" s="265"/>
      <c r="AN188" s="265"/>
      <c r="AO188" s="265"/>
      <c r="AP188" s="265"/>
      <c r="AQ188" s="265"/>
      <c r="AR188" s="265"/>
      <c r="AS188" s="265"/>
      <c r="AT188" s="265"/>
      <c r="AU188" s="265"/>
      <c r="AV188" s="265"/>
      <c r="AW188" s="265"/>
      <c r="AX188" s="265"/>
      <c r="AY188" s="265"/>
      <c r="AZ188" s="265"/>
      <c r="BA188" s="265"/>
      <c r="BB188" s="265"/>
      <c r="BC188" s="265"/>
      <c r="BD188" s="265"/>
      <c r="BE188" s="265"/>
      <c r="BF188" s="265"/>
      <c r="BG188" s="265"/>
      <c r="BH188" s="265"/>
      <c r="BI188" s="265"/>
      <c r="BJ188" s="265"/>
      <c r="BK188" s="265"/>
      <c r="BL188" s="265"/>
      <c r="BM188" s="265"/>
      <c r="BN188" s="265"/>
      <c r="BO188" s="265"/>
      <c r="BP188" s="265"/>
      <c r="BQ188" s="265"/>
      <c r="BR188" s="265"/>
      <c r="BS188" s="265"/>
      <c r="BT188" s="265"/>
      <c r="BU188" s="265"/>
      <c r="BV188" s="265"/>
    </row>
    <row r="189">
      <c r="A189" s="251">
        <f>VLOOKUP($F189,UpdateHashtag!$V$3:$Y$32,COLUMN(B$15),0)</f>
        <v>3</v>
      </c>
      <c r="B189" s="252">
        <f>VLOOKUP($F189,UpdateHashtag!$V$3:$Y$32,COLUMN(C$13),0)</f>
        <v>4</v>
      </c>
      <c r="C189" s="252">
        <f>VLOOKUP($F189,UpdateHashtag!$V$3:$Y$32,COLUMN(D$13),0)</f>
        <v>3</v>
      </c>
      <c r="D189" s="268">
        <f t="shared" si="4"/>
        <v>10</v>
      </c>
      <c r="E189" s="19"/>
      <c r="F189" s="30" t="str">
        <f>IF(VLOOKUP(J189,PasteHashtag!$C$2:$P1015,3,)="BRO","BKN",IF(VLOOKUP(J189,PasteHashtag!$C$2:$P1015,3,)="OKL","OKC",VLOOKUP(J189,PasteHashtag!$C$2:$P1015,3,)))</f>
        <v>TOR</v>
      </c>
      <c r="G189" s="269">
        <v>170.0</v>
      </c>
      <c r="H189" s="270">
        <f>IFERROR(__xludf.DUMMYFUNCTION("""COMPUTED_VALUE"""),168.0)</f>
        <v>168</v>
      </c>
      <c r="I189" s="270">
        <f>IFERROR(__xludf.DUMMYFUNCTION("""COMPUTED_VALUE"""),140.3)</f>
        <v>140.3</v>
      </c>
      <c r="J189" s="271" t="str">
        <f>IFERROR(__xludf.DUMMYFUNCTION("""COMPUTED_VALUE"""),"Kelly Olynyk")</f>
        <v>Kelly Olynyk</v>
      </c>
      <c r="K189" s="270">
        <f>IFERROR(__xludf.DUMMYFUNCTION("""COMPUTED_VALUE"""),62.0)</f>
        <v>62</v>
      </c>
      <c r="L189" s="272" t="str">
        <f>IFERROR(__xludf.DUMMYFUNCTION("""COMPUTED_VALUE"""),"PF,C")</f>
        <v>PF,C</v>
      </c>
      <c r="M189" s="273">
        <f>IFERROR(__xludf.DUMMYFUNCTION("""COMPUTED_VALUE"""),-4.45000141554869)</f>
        <v>-4.450001416</v>
      </c>
      <c r="N189" s="274">
        <f>IFERROR(__xludf.DUMMYFUNCTION("""COMPUTED_VALUE"""),-4.4124734524883635)</f>
        <v>-4.412473452</v>
      </c>
      <c r="O189" s="274">
        <f>IFERROR(__xludf.DUMMYFUNCTION("""COMPUTED_VALUE"""),0.037527963060326464)</f>
        <v>0.03752796306</v>
      </c>
      <c r="P189" s="275">
        <f>IFERROR(__xludf.DUMMYFUNCTION("""COMPUTED_VALUE"""),8.761176471)</f>
        <v>8.761176471</v>
      </c>
      <c r="Q189" s="275">
        <f>IFERROR(__xludf.DUMMYFUNCTION("""COMPUTED_VALUE"""),0.5997058824)</f>
        <v>0.5997058824</v>
      </c>
      <c r="R189" s="275">
        <f>IFERROR(__xludf.DUMMYFUNCTION("""COMPUTED_VALUE"""),4.639705882)</f>
        <v>4.639705882</v>
      </c>
      <c r="S189" s="276">
        <f>IFERROR(__xludf.DUMMYFUNCTION("""COMPUTED_VALUE"""),3.606764706)</f>
        <v>3.606764706</v>
      </c>
      <c r="T189" s="275">
        <f>IFERROR(__xludf.DUMMYFUNCTION("""COMPUTED_VALUE"""),0.7070588235)</f>
        <v>0.7070588235</v>
      </c>
      <c r="U189" s="275">
        <f>IFERROR(__xludf.DUMMYFUNCTION("""COMPUTED_VALUE"""),0.3589705882)</f>
        <v>0.3589705882</v>
      </c>
      <c r="V189" s="272">
        <f>IFERROR(__xludf.DUMMYFUNCTION("""COMPUTED_VALUE"""),0.5456924367)</f>
        <v>0.5456924367</v>
      </c>
      <c r="W189" s="272">
        <f>IFERROR(__xludf.DUMMYFUNCTION("""COMPUTED_VALUE"""),0.8299688927)</f>
        <v>0.8299688927</v>
      </c>
      <c r="X189" s="275">
        <f>IFERROR(__xludf.DUMMYFUNCTION("""COMPUTED_VALUE"""),1.9)</f>
        <v>1.9</v>
      </c>
      <c r="Y189" s="273">
        <f>IFERROR(__xludf.DUMMYFUNCTION("""COMPUTED_VALUE"""),-1.573179319835767)</f>
        <v>-1.57317932</v>
      </c>
      <c r="Z189" s="273">
        <f>IFERROR(__xludf.DUMMYFUNCTION("""COMPUTED_VALUE"""),-1.1396869921512738)</f>
        <v>-1.139686992</v>
      </c>
      <c r="AA189" s="273">
        <f>IFERROR(__xludf.DUMMYFUNCTION("""COMPUTED_VALUE"""),-0.5657676982822306)</f>
        <v>-0.5657676983</v>
      </c>
      <c r="AB189" s="273">
        <f>IFERROR(__xludf.DUMMYFUNCTION("""COMPUTED_VALUE"""),-0.148307357003327)</f>
        <v>-0.148307357</v>
      </c>
      <c r="AC189" s="273">
        <f>IFERROR(__xludf.DUMMYFUNCTION("""COMPUTED_VALUE"""),-0.889741692454358)</f>
        <v>-0.8897416925</v>
      </c>
      <c r="AD189" s="273">
        <f>IFERROR(__xludf.DUMMYFUNCTION("""COMPUTED_VALUE"""),-0.6950805623266435)</f>
        <v>-0.6950805623</v>
      </c>
      <c r="AE189" s="273">
        <f>IFERROR(__xludf.DUMMYFUNCTION("""COMPUTED_VALUE"""),0.32617682268902154)</f>
        <v>0.3261768227</v>
      </c>
      <c r="AF189" s="273">
        <f>IFERROR(__xludf.DUMMYFUNCTION("""COMPUTED_VALUE"""),0.27311334687621525)</f>
        <v>0.2731133469</v>
      </c>
      <c r="AG189" s="277">
        <f>IFERROR(__xludf.DUMMYFUNCTION("""COMPUTED_VALUE"""),0.0)</f>
        <v>0</v>
      </c>
      <c r="AH189" s="265"/>
      <c r="AI189" s="338"/>
      <c r="AJ189" s="339"/>
      <c r="AK189" s="265"/>
      <c r="AL189" s="265"/>
      <c r="AM189" s="265"/>
      <c r="AN189" s="265"/>
      <c r="AO189" s="265"/>
      <c r="AP189" s="265"/>
      <c r="AQ189" s="265"/>
      <c r="AR189" s="265"/>
      <c r="AS189" s="265"/>
      <c r="AT189" s="265"/>
      <c r="AU189" s="265"/>
      <c r="AV189" s="265"/>
      <c r="AW189" s="265"/>
      <c r="AX189" s="265"/>
      <c r="AY189" s="265"/>
      <c r="AZ189" s="265"/>
      <c r="BA189" s="265"/>
      <c r="BB189" s="265"/>
      <c r="BC189" s="265"/>
      <c r="BD189" s="265"/>
      <c r="BE189" s="265"/>
      <c r="BF189" s="265"/>
      <c r="BG189" s="265"/>
      <c r="BH189" s="265"/>
      <c r="BI189" s="265"/>
      <c r="BJ189" s="265"/>
      <c r="BK189" s="265"/>
      <c r="BL189" s="265"/>
      <c r="BM189" s="265"/>
      <c r="BN189" s="265"/>
      <c r="BO189" s="265"/>
      <c r="BP189" s="265"/>
      <c r="BQ189" s="265"/>
      <c r="BR189" s="265"/>
      <c r="BS189" s="265"/>
      <c r="BT189" s="265"/>
      <c r="BU189" s="265"/>
      <c r="BV189" s="265"/>
    </row>
    <row r="190">
      <c r="A190" s="251">
        <f>VLOOKUP($F190,UpdateHashtag!$V$3:$Y$32,COLUMN(B$15),0)</f>
        <v>4</v>
      </c>
      <c r="B190" s="252">
        <f>VLOOKUP($F190,UpdateHashtag!$V$3:$Y$32,COLUMN(C$13),0)</f>
        <v>4</v>
      </c>
      <c r="C190" s="252">
        <f>VLOOKUP($F190,UpdateHashtag!$V$3:$Y$32,COLUMN(D$13),0)</f>
        <v>3</v>
      </c>
      <c r="D190" s="268">
        <f t="shared" si="4"/>
        <v>11</v>
      </c>
      <c r="E190" s="19"/>
      <c r="F190" s="30" t="str">
        <f>IF(VLOOKUP(J190,PasteHashtag!$C$2:$P1015,3,)="BRO","BKN",IF(VLOOKUP(J190,PasteHashtag!$C$2:$P1015,3,)="OKL","OKC",VLOOKUP(J190,PasteHashtag!$C$2:$P1015,3,)))</f>
        <v>ATL</v>
      </c>
      <c r="G190" s="269">
        <v>171.0</v>
      </c>
      <c r="H190" s="270">
        <f>IFERROR(__xludf.DUMMYFUNCTION("""COMPUTED_VALUE"""),178.0)</f>
        <v>178</v>
      </c>
      <c r="I190" s="270">
        <f>IFERROR(__xludf.DUMMYFUNCTION("""COMPUTED_VALUE"""),139.0)</f>
        <v>139</v>
      </c>
      <c r="J190" s="271" t="str">
        <f>IFERROR(__xludf.DUMMYFUNCTION("""COMPUTED_VALUE"""),"Zaccharie Risacher")</f>
        <v>Zaccharie Risacher</v>
      </c>
      <c r="K190" s="270">
        <f>IFERROR(__xludf.DUMMYFUNCTION("""COMPUTED_VALUE"""),62.0)</f>
        <v>62</v>
      </c>
      <c r="L190" s="272" t="str">
        <f>IFERROR(__xludf.DUMMYFUNCTION("""COMPUTED_VALUE"""),"PG,SG")</f>
        <v>PG,SG</v>
      </c>
      <c r="M190" s="273">
        <f>IFERROR(__xludf.DUMMYFUNCTION("""COMPUTED_VALUE"""),-4.507869854904154)</f>
        <v>-4.507869855</v>
      </c>
      <c r="N190" s="274">
        <f>IFERROR(__xludf.DUMMYFUNCTION("""COMPUTED_VALUE"""),-4.414528926482501)</f>
        <v>-4.414528926</v>
      </c>
      <c r="O190" s="274">
        <f>IFERROR(__xludf.DUMMYFUNCTION("""COMPUTED_VALUE"""),0.09334092842165287)</f>
        <v>0.09334092842</v>
      </c>
      <c r="P190" s="275">
        <f>IFERROR(__xludf.DUMMYFUNCTION("""COMPUTED_VALUE"""),12.11739726)</f>
        <v>12.11739726</v>
      </c>
      <c r="Q190" s="275">
        <f>IFERROR(__xludf.DUMMYFUNCTION("""COMPUTED_VALUE"""),1.839863014)</f>
        <v>1.839863014</v>
      </c>
      <c r="R190" s="275">
        <f>IFERROR(__xludf.DUMMYFUNCTION("""COMPUTED_VALUE"""),5.062465753)</f>
        <v>5.062465753</v>
      </c>
      <c r="S190" s="276">
        <f>IFERROR(__xludf.DUMMYFUNCTION("""COMPUTED_VALUE"""),1.624931507)</f>
        <v>1.624931507</v>
      </c>
      <c r="T190" s="275">
        <f>IFERROR(__xludf.DUMMYFUNCTION("""COMPUTED_VALUE"""),0.9375342466)</f>
        <v>0.9375342466</v>
      </c>
      <c r="U190" s="275">
        <f>IFERROR(__xludf.DUMMYFUNCTION("""COMPUTED_VALUE"""),0.4375342466)</f>
        <v>0.4375342466</v>
      </c>
      <c r="V190" s="272">
        <f>IFERROR(__xludf.DUMMYFUNCTION("""COMPUTED_VALUE"""),0.4216554538)</f>
        <v>0.4216554538</v>
      </c>
      <c r="W190" s="272">
        <f>IFERROR(__xludf.DUMMYFUNCTION("""COMPUTED_VALUE"""),0.7150337838)</f>
        <v>0.7150337838</v>
      </c>
      <c r="X190" s="275">
        <f>IFERROR(__xludf.DUMMYFUNCTION("""COMPUTED_VALUE"""),2.125068493)</f>
        <v>2.125068493</v>
      </c>
      <c r="Y190" s="273">
        <f>IFERROR(__xludf.DUMMYFUNCTION("""COMPUTED_VALUE"""),-0.96820159775488)</f>
        <v>-0.9682015978</v>
      </c>
      <c r="Z190" s="273">
        <f>IFERROR(__xludf.DUMMYFUNCTION("""COMPUTED_VALUE"""),0.09046025957608943)</f>
        <v>0.09046025958</v>
      </c>
      <c r="AA190" s="273">
        <f>IFERROR(__xludf.DUMMYFUNCTION("""COMPUTED_VALUE"""),-0.4000851470666431)</f>
        <v>-0.4000851471</v>
      </c>
      <c r="AB190" s="273">
        <f>IFERROR(__xludf.DUMMYFUNCTION("""COMPUTED_VALUE"""),-1.0483339338524564)</f>
        <v>-1.048333934</v>
      </c>
      <c r="AC190" s="273">
        <f>IFERROR(__xludf.DUMMYFUNCTION("""COMPUTED_VALUE"""),-0.12725676661731858)</f>
        <v>-0.1272567666</v>
      </c>
      <c r="AD190" s="273">
        <f>IFERROR(__xludf.DUMMYFUNCTION("""COMPUTED_VALUE"""),-0.5549506639864392)</f>
        <v>-0.554950664</v>
      </c>
      <c r="AE190" s="273">
        <f>IFERROR(__xludf.DUMMYFUNCTION("""COMPUTED_VALUE"""),-0.9506355980470744)</f>
        <v>-0.950635598</v>
      </c>
      <c r="AF190" s="273">
        <f>IFERROR(__xludf.DUMMYFUNCTION("""COMPUTED_VALUE"""),-0.45552547873377847)</f>
        <v>-0.4555254787</v>
      </c>
      <c r="AG190" s="277">
        <f>IFERROR(__xludf.DUMMYFUNCTION("""COMPUTED_VALUE"""),0.0)</f>
        <v>0</v>
      </c>
      <c r="AH190" s="265"/>
      <c r="AI190" s="338"/>
      <c r="AJ190" s="339"/>
      <c r="AK190" s="265"/>
      <c r="AL190" s="265"/>
      <c r="AM190" s="265"/>
      <c r="AN190" s="265"/>
      <c r="AO190" s="265"/>
      <c r="AP190" s="265"/>
      <c r="AQ190" s="265"/>
      <c r="AR190" s="265"/>
      <c r="AS190" s="265"/>
      <c r="AT190" s="265"/>
      <c r="AU190" s="265"/>
      <c r="AV190" s="265"/>
      <c r="AW190" s="265"/>
      <c r="AX190" s="265"/>
      <c r="AY190" s="265"/>
      <c r="AZ190" s="265"/>
      <c r="BA190" s="265"/>
      <c r="BB190" s="265"/>
      <c r="BC190" s="265"/>
      <c r="BD190" s="265"/>
      <c r="BE190" s="265"/>
      <c r="BF190" s="265"/>
      <c r="BG190" s="265"/>
      <c r="BH190" s="265"/>
      <c r="BI190" s="265"/>
      <c r="BJ190" s="265"/>
      <c r="BK190" s="265"/>
      <c r="BL190" s="265"/>
      <c r="BM190" s="265"/>
      <c r="BN190" s="265"/>
      <c r="BO190" s="265"/>
      <c r="BP190" s="265"/>
      <c r="BQ190" s="265"/>
      <c r="BR190" s="265"/>
      <c r="BS190" s="265"/>
      <c r="BT190" s="265"/>
      <c r="BU190" s="265"/>
      <c r="BV190" s="265"/>
    </row>
    <row r="191">
      <c r="A191" s="251">
        <f>VLOOKUP($F191,UpdateHashtag!$V$3:$Y$32,COLUMN(B$15),0)</f>
        <v>4</v>
      </c>
      <c r="B191" s="252">
        <f>VLOOKUP($F191,UpdateHashtag!$V$3:$Y$32,COLUMN(C$13),0)</f>
        <v>4</v>
      </c>
      <c r="C191" s="252">
        <f>VLOOKUP($F191,UpdateHashtag!$V$3:$Y$32,COLUMN(D$13),0)</f>
        <v>4</v>
      </c>
      <c r="D191" s="268">
        <f t="shared" si="4"/>
        <v>12</v>
      </c>
      <c r="E191" s="19"/>
      <c r="F191" s="30" t="str">
        <f>IF(VLOOKUP(J191,PasteHashtag!$C$2:$P1015,3,)="BRO","BKN",IF(VLOOKUP(J191,PasteHashtag!$C$2:$P1015,3,)="OKL","OKC",VLOOKUP(J191,PasteHashtag!$C$2:$P1015,3,)))</f>
        <v>HOU</v>
      </c>
      <c r="G191" s="269">
        <v>172.0</v>
      </c>
      <c r="H191" s="270">
        <f>IFERROR(__xludf.DUMMYFUNCTION("""COMPUTED_VALUE"""),175.0)</f>
        <v>175</v>
      </c>
      <c r="I191" s="270">
        <f>IFERROR(__xludf.DUMMYFUNCTION("""COMPUTED_VALUE"""),140.9)</f>
        <v>140.9</v>
      </c>
      <c r="J191" s="271" t="str">
        <f>IFERROR(__xludf.DUMMYFUNCTION("""COMPUTED_VALUE"""),"Reed Sheppard")</f>
        <v>Reed Sheppard</v>
      </c>
      <c r="K191" s="270">
        <f>IFERROR(__xludf.DUMMYFUNCTION("""COMPUTED_VALUE"""),77.0)</f>
        <v>77</v>
      </c>
      <c r="L191" s="272" t="str">
        <f>IFERROR(__xludf.DUMMYFUNCTION("""COMPUTED_VALUE"""),"PF,C")</f>
        <v>PF,C</v>
      </c>
      <c r="M191" s="273">
        <f>IFERROR(__xludf.DUMMYFUNCTION("""COMPUTED_VALUE"""),-4.368631898177338)</f>
        <v>-4.368631898</v>
      </c>
      <c r="N191" s="274">
        <f>IFERROR(__xludf.DUMMYFUNCTION("""COMPUTED_VALUE"""),-4.4161312341182155)</f>
        <v>-4.416131234</v>
      </c>
      <c r="O191" s="274">
        <f>IFERROR(__xludf.DUMMYFUNCTION("""COMPUTED_VALUE"""),-0.047499335940877074)</f>
        <v>-0.04749933594</v>
      </c>
      <c r="P191" s="275">
        <f>IFERROR(__xludf.DUMMYFUNCTION("""COMPUTED_VALUE"""),8.668630137)</f>
        <v>8.668630137</v>
      </c>
      <c r="Q191" s="275">
        <f>IFERROR(__xludf.DUMMYFUNCTION("""COMPUTED_VALUE"""),1.620684932)</f>
        <v>1.620684932</v>
      </c>
      <c r="R191" s="275">
        <f>IFERROR(__xludf.DUMMYFUNCTION("""COMPUTED_VALUE"""),2.230410959)</f>
        <v>2.230410959</v>
      </c>
      <c r="S191" s="276">
        <f>IFERROR(__xludf.DUMMYFUNCTION("""COMPUTED_VALUE"""),2.819589041)</f>
        <v>2.819589041</v>
      </c>
      <c r="T191" s="275">
        <f>IFERROR(__xludf.DUMMYFUNCTION("""COMPUTED_VALUE"""),1.13630137)</f>
        <v>1.13630137</v>
      </c>
      <c r="U191" s="275">
        <f>IFERROR(__xludf.DUMMYFUNCTION("""COMPUTED_VALUE"""),0.3787671233)</f>
        <v>0.3787671233</v>
      </c>
      <c r="V191" s="272">
        <f>IFERROR(__xludf.DUMMYFUNCTION("""COMPUTED_VALUE"""),0.4223179775)</f>
        <v>0.4223179775</v>
      </c>
      <c r="W191" s="272">
        <f>IFERROR(__xludf.DUMMYFUNCTION("""COMPUTED_VALUE"""),0.8220230474)</f>
        <v>0.8220230474</v>
      </c>
      <c r="X191" s="275">
        <f>IFERROR(__xludf.DUMMYFUNCTION("""COMPUTED_VALUE"""),1.557123288)</f>
        <v>1.557123288</v>
      </c>
      <c r="Y191" s="273">
        <f>IFERROR(__xludf.DUMMYFUNCTION("""COMPUTED_VALUE"""),-1.5898613183841819)</f>
        <v>-1.589861318</v>
      </c>
      <c r="Z191" s="273">
        <f>IFERROR(__xludf.DUMMYFUNCTION("""COMPUTED_VALUE"""),-0.1269487350916429)</f>
        <v>-0.1269487351</v>
      </c>
      <c r="AA191" s="273">
        <f>IFERROR(__xludf.DUMMYFUNCTION("""COMPUTED_VALUE"""),-1.5099872348460572)</f>
        <v>-1.509987235</v>
      </c>
      <c r="AB191" s="273">
        <f>IFERROR(__xludf.DUMMYFUNCTION("""COMPUTED_VALUE"""),-0.5057940614880303)</f>
        <v>-0.5057940615</v>
      </c>
      <c r="AC191" s="273">
        <f>IFERROR(__xludf.DUMMYFUNCTION("""COMPUTED_VALUE"""),0.5303271670879787)</f>
        <v>0.5303271671</v>
      </c>
      <c r="AD191" s="273">
        <f>IFERROR(__xludf.DUMMYFUNCTION("""COMPUTED_VALUE"""),-0.6597705155754183)</f>
        <v>-0.6597705156</v>
      </c>
      <c r="AE191" s="273">
        <f>IFERROR(__xludf.DUMMYFUNCTION("""COMPUTED_VALUE"""),-0.6455736024721995)</f>
        <v>-0.6455736025</v>
      </c>
      <c r="AF191" s="273">
        <f>IFERROR(__xludf.DUMMYFUNCTION("""COMPUTED_VALUE"""),0.09147706665133598)</f>
        <v>0.09147706665</v>
      </c>
      <c r="AG191" s="277">
        <f>IFERROR(__xludf.DUMMYFUNCTION("""COMPUTED_VALUE"""),0.0)</f>
        <v>0</v>
      </c>
      <c r="AH191" s="265"/>
      <c r="AI191" s="338"/>
      <c r="AJ191" s="339"/>
      <c r="AK191" s="265"/>
      <c r="AL191" s="265"/>
      <c r="AM191" s="265"/>
      <c r="AN191" s="265"/>
      <c r="AO191" s="265"/>
      <c r="AP191" s="265"/>
      <c r="AQ191" s="265"/>
      <c r="AR191" s="265"/>
      <c r="AS191" s="265"/>
      <c r="AT191" s="265"/>
      <c r="AU191" s="265"/>
      <c r="AV191" s="265"/>
      <c r="AW191" s="265"/>
      <c r="AX191" s="265"/>
      <c r="AY191" s="265"/>
      <c r="AZ191" s="265"/>
      <c r="BA191" s="265"/>
      <c r="BB191" s="265"/>
      <c r="BC191" s="265"/>
      <c r="BD191" s="265"/>
      <c r="BE191" s="265"/>
      <c r="BF191" s="265"/>
      <c r="BG191" s="265"/>
      <c r="BH191" s="265"/>
      <c r="BI191" s="265"/>
      <c r="BJ191" s="265"/>
      <c r="BK191" s="265"/>
      <c r="BL191" s="265"/>
      <c r="BM191" s="265"/>
      <c r="BN191" s="265"/>
      <c r="BO191" s="265"/>
      <c r="BP191" s="265"/>
      <c r="BQ191" s="265"/>
      <c r="BR191" s="265"/>
      <c r="BS191" s="265"/>
      <c r="BT191" s="265"/>
      <c r="BU191" s="265"/>
      <c r="BV191" s="265"/>
    </row>
    <row r="192">
      <c r="A192" s="251">
        <f>VLOOKUP($F192,UpdateHashtag!$V$3:$Y$32,COLUMN(B$15),0)</f>
        <v>3</v>
      </c>
      <c r="B192" s="252">
        <f>VLOOKUP($F192,UpdateHashtag!$V$3:$Y$32,COLUMN(C$13),0)</f>
        <v>4</v>
      </c>
      <c r="C192" s="252">
        <f>VLOOKUP($F192,UpdateHashtag!$V$3:$Y$32,COLUMN(D$13),0)</f>
        <v>4</v>
      </c>
      <c r="D192" s="268">
        <f t="shared" si="4"/>
        <v>11</v>
      </c>
      <c r="E192" s="19"/>
      <c r="F192" s="30" t="str">
        <f>IF(VLOOKUP(J192,PasteHashtag!$C$2:$P1015,3,)="BRO","BKN",IF(VLOOKUP(J192,PasteHashtag!$C$2:$P1015,3,)="OKL","OKC",VLOOKUP(J192,PasteHashtag!$C$2:$P1015,3,)))</f>
        <v>SA</v>
      </c>
      <c r="G192" s="269">
        <v>173.0</v>
      </c>
      <c r="H192" s="270">
        <f>IFERROR(__xludf.DUMMYFUNCTION("""COMPUTED_VALUE"""),173.0)</f>
        <v>173</v>
      </c>
      <c r="I192" s="270">
        <f>IFERROR(__xludf.DUMMYFUNCTION("""COMPUTED_VALUE"""),143.3)</f>
        <v>143.3</v>
      </c>
      <c r="J192" s="271" t="str">
        <f>IFERROR(__xludf.DUMMYFUNCTION("""COMPUTED_VALUE"""),"Keldon Johnson")</f>
        <v>Keldon Johnson</v>
      </c>
      <c r="K192" s="270">
        <f>IFERROR(__xludf.DUMMYFUNCTION("""COMPUTED_VALUE"""),60.0)</f>
        <v>60</v>
      </c>
      <c r="L192" s="272" t="str">
        <f>IFERROR(__xludf.DUMMYFUNCTION("""COMPUTED_VALUE"""),"PF,C")</f>
        <v>PF,C</v>
      </c>
      <c r="M192" s="273">
        <f>IFERROR(__xludf.DUMMYFUNCTION("""COMPUTED_VALUE"""),-4.330695704354165)</f>
        <v>-4.330695704</v>
      </c>
      <c r="N192" s="274">
        <f>IFERROR(__xludf.DUMMYFUNCTION("""COMPUTED_VALUE"""),-4.443213917863914)</f>
        <v>-4.443213918</v>
      </c>
      <c r="O192" s="274">
        <f>IFERROR(__xludf.DUMMYFUNCTION("""COMPUTED_VALUE"""),-0.11251821350974911)</f>
        <v>-0.1125182135</v>
      </c>
      <c r="P192" s="275">
        <f>IFERROR(__xludf.DUMMYFUNCTION("""COMPUTED_VALUE"""),13.09657534)</f>
        <v>13.09657534</v>
      </c>
      <c r="Q192" s="275">
        <f>IFERROR(__xludf.DUMMYFUNCTION("""COMPUTED_VALUE"""),1.703561644)</f>
        <v>1.703561644</v>
      </c>
      <c r="R192" s="275">
        <f>IFERROR(__xludf.DUMMYFUNCTION("""COMPUTED_VALUE"""),4.781232877)</f>
        <v>4.781232877</v>
      </c>
      <c r="S192" s="276">
        <f>IFERROR(__xludf.DUMMYFUNCTION("""COMPUTED_VALUE"""),2.240958904)</f>
        <v>2.240958904</v>
      </c>
      <c r="T192" s="275">
        <f>IFERROR(__xludf.DUMMYFUNCTION("""COMPUTED_VALUE"""),0.6178082192)</f>
        <v>0.6178082192</v>
      </c>
      <c r="U192" s="275">
        <f>IFERROR(__xludf.DUMMYFUNCTION("""COMPUTED_VALUE"""),0.2815068493)</f>
        <v>0.2815068493</v>
      </c>
      <c r="V192" s="272">
        <f>IFERROR(__xludf.DUMMYFUNCTION("""COMPUTED_VALUE"""),0.4582896047)</f>
        <v>0.4582896047</v>
      </c>
      <c r="W192" s="272">
        <f>IFERROR(__xludf.DUMMYFUNCTION("""COMPUTED_VALUE"""),0.8119907183)</f>
        <v>0.8119907183</v>
      </c>
      <c r="X192" s="275">
        <f>IFERROR(__xludf.DUMMYFUNCTION("""COMPUTED_VALUE"""),1.294931507)</f>
        <v>1.294931507</v>
      </c>
      <c r="Y192" s="273">
        <f>IFERROR(__xludf.DUMMYFUNCTION("""COMPUTED_VALUE"""),-0.7916992275021655)</f>
        <v>-0.7916992275</v>
      </c>
      <c r="Z192" s="273">
        <f>IFERROR(__xludf.DUMMYFUNCTION("""COMPUTED_VALUE"""),-0.04474095923708828)</f>
        <v>-0.04474095924</v>
      </c>
      <c r="AA192" s="273">
        <f>IFERROR(__xludf.DUMMYFUNCTION("""COMPUTED_VALUE"""),-0.5103022787711256)</f>
        <v>-0.5103022788</v>
      </c>
      <c r="AB192" s="273">
        <f>IFERROR(__xludf.DUMMYFUNCTION("""COMPUTED_VALUE"""),-0.7685722315825825)</f>
        <v>-0.7685722316</v>
      </c>
      <c r="AC192" s="273">
        <f>IFERROR(__xludf.DUMMYFUNCTION("""COMPUTED_VALUE"""),-1.1850106607689086)</f>
        <v>-1.185010661</v>
      </c>
      <c r="AD192" s="273">
        <f>IFERROR(__xludf.DUMMYFUNCTION("""COMPUTED_VALUE"""),-0.8332485916442438)</f>
        <v>-0.8332485916</v>
      </c>
      <c r="AE192" s="273">
        <f>IFERROR(__xludf.DUMMYFUNCTION("""COMPUTED_VALUE"""),-0.46133961387360817)</f>
        <v>-0.4613396139</v>
      </c>
      <c r="AF192" s="273">
        <f>IFERROR(__xludf.DUMMYFUNCTION("""COMPUTED_VALUE"""),0.15169964551580883)</f>
        <v>0.1516996455</v>
      </c>
      <c r="AG192" s="277">
        <f>IFERROR(__xludf.DUMMYFUNCTION("""COMPUTED_VALUE"""),0.0)</f>
        <v>0</v>
      </c>
      <c r="AH192" s="265"/>
      <c r="AI192" s="338"/>
      <c r="AJ192" s="339"/>
      <c r="AK192" s="265"/>
      <c r="AL192" s="265"/>
      <c r="AM192" s="265"/>
      <c r="AN192" s="265"/>
      <c r="AO192" s="265"/>
      <c r="AP192" s="265"/>
      <c r="AQ192" s="265"/>
      <c r="AR192" s="265"/>
      <c r="AS192" s="265"/>
      <c r="AT192" s="265"/>
      <c r="AU192" s="265"/>
      <c r="AV192" s="265"/>
      <c r="AW192" s="265"/>
      <c r="AX192" s="265"/>
      <c r="AY192" s="265"/>
      <c r="AZ192" s="265"/>
      <c r="BA192" s="265"/>
      <c r="BB192" s="265"/>
      <c r="BC192" s="265"/>
      <c r="BD192" s="265"/>
      <c r="BE192" s="265"/>
      <c r="BF192" s="265"/>
      <c r="BG192" s="265"/>
      <c r="BH192" s="265"/>
      <c r="BI192" s="265"/>
      <c r="BJ192" s="265"/>
      <c r="BK192" s="265"/>
      <c r="BL192" s="265"/>
      <c r="BM192" s="265"/>
      <c r="BN192" s="265"/>
      <c r="BO192" s="265"/>
      <c r="BP192" s="265"/>
      <c r="BQ192" s="265"/>
      <c r="BR192" s="265"/>
      <c r="BS192" s="265"/>
      <c r="BT192" s="265"/>
      <c r="BU192" s="265"/>
      <c r="BV192" s="265"/>
    </row>
    <row r="193">
      <c r="A193" s="251">
        <f>VLOOKUP($F193,UpdateHashtag!$V$3:$Y$32,COLUMN(B$15),0)</f>
        <v>4</v>
      </c>
      <c r="B193" s="252">
        <f>VLOOKUP($F193,UpdateHashtag!$V$3:$Y$32,COLUMN(C$13),0)</f>
        <v>3</v>
      </c>
      <c r="C193" s="252">
        <f>VLOOKUP($F193,UpdateHashtag!$V$3:$Y$32,COLUMN(D$13),0)</f>
        <v>4</v>
      </c>
      <c r="D193" s="268">
        <f t="shared" si="4"/>
        <v>11</v>
      </c>
      <c r="E193" s="19"/>
      <c r="F193" s="30" t="str">
        <f>IF(VLOOKUP(J193,PasteHashtag!$C$2:$P1015,3,)="BRO","BKN",IF(VLOOKUP(J193,PasteHashtag!$C$2:$P1015,3,)="OKL","OKC",VLOOKUP(J193,PasteHashtag!$C$2:$P1015,3,)))</f>
        <v>CHA</v>
      </c>
      <c r="G193" s="269">
        <v>174.0</v>
      </c>
      <c r="H193" s="270">
        <f>IFERROR(__xludf.DUMMYFUNCTION("""COMPUTED_VALUE"""),176.0)</f>
        <v>176</v>
      </c>
      <c r="I193" s="270">
        <f>IFERROR(__xludf.DUMMYFUNCTION("""COMPUTED_VALUE"""),144.0)</f>
        <v>144</v>
      </c>
      <c r="J193" s="271" t="str">
        <f>IFERROR(__xludf.DUMMYFUNCTION("""COMPUTED_VALUE"""),"Tre Mann")</f>
        <v>Tre Mann</v>
      </c>
      <c r="K193" s="270">
        <f>IFERROR(__xludf.DUMMYFUNCTION("""COMPUTED_VALUE"""),62.0)</f>
        <v>62</v>
      </c>
      <c r="L193" s="272" t="str">
        <f>IFERROR(__xludf.DUMMYFUNCTION("""COMPUTED_VALUE"""),"PF,C")</f>
        <v>PF,C</v>
      </c>
      <c r="M193" s="273">
        <f>IFERROR(__xludf.DUMMYFUNCTION("""COMPUTED_VALUE"""),-4.375659386037394)</f>
        <v>-4.375659386</v>
      </c>
      <c r="N193" s="274">
        <f>IFERROR(__xludf.DUMMYFUNCTION("""COMPUTED_VALUE"""),-4.490029212216433)</f>
        <v>-4.490029212</v>
      </c>
      <c r="O193" s="274">
        <f>IFERROR(__xludf.DUMMYFUNCTION("""COMPUTED_VALUE"""),-0.1143698261790389)</f>
        <v>-0.1143698262</v>
      </c>
      <c r="P193" s="275">
        <f>IFERROR(__xludf.DUMMYFUNCTION("""COMPUTED_VALUE"""),10.61028169)</f>
        <v>10.61028169</v>
      </c>
      <c r="Q193" s="275">
        <f>IFERROR(__xludf.DUMMYFUNCTION("""COMPUTED_VALUE"""),1.353943662)</f>
        <v>1.353943662</v>
      </c>
      <c r="R193" s="275">
        <f>IFERROR(__xludf.DUMMYFUNCTION("""COMPUTED_VALUE"""),3.192957746)</f>
        <v>3.192957746</v>
      </c>
      <c r="S193" s="276">
        <f>IFERROR(__xludf.DUMMYFUNCTION("""COMPUTED_VALUE"""),3.45056338)</f>
        <v>3.45056338</v>
      </c>
      <c r="T193" s="275">
        <f>IFERROR(__xludf.DUMMYFUNCTION("""COMPUTED_VALUE"""),1.03)</f>
        <v>1.03</v>
      </c>
      <c r="U193" s="275">
        <f>IFERROR(__xludf.DUMMYFUNCTION("""COMPUTED_VALUE"""),0.1043661972)</f>
        <v>0.1043661972</v>
      </c>
      <c r="V193" s="272">
        <f>IFERROR(__xludf.DUMMYFUNCTION("""COMPUTED_VALUE"""),0.4500104564)</f>
        <v>0.4500104564</v>
      </c>
      <c r="W193" s="272">
        <f>IFERROR(__xludf.DUMMYFUNCTION("""COMPUTED_VALUE"""),0.786036036)</f>
        <v>0.786036036</v>
      </c>
      <c r="X193" s="275">
        <f>IFERROR(__xludf.DUMMYFUNCTION("""COMPUTED_VALUE"""),1.287464789)</f>
        <v>1.287464789</v>
      </c>
      <c r="Y193" s="273">
        <f>IFERROR(__xludf.DUMMYFUNCTION("""COMPUTED_VALUE"""),-1.2398676774834736)</f>
        <v>-1.239867677</v>
      </c>
      <c r="Z193" s="273">
        <f>IFERROR(__xludf.DUMMYFUNCTION("""COMPUTED_VALUE"""),-0.39153701334427476)</f>
        <v>-0.3915370133</v>
      </c>
      <c r="AA193" s="273">
        <f>IFERROR(__xludf.DUMMYFUNCTION("""COMPUTED_VALUE"""),-1.1327584147186924)</f>
        <v>-1.132758415</v>
      </c>
      <c r="AB193" s="273">
        <f>IFERROR(__xludf.DUMMYFUNCTION("""COMPUTED_VALUE"""),-0.21924437875168185)</f>
        <v>-0.2192443788</v>
      </c>
      <c r="AC193" s="273">
        <f>IFERROR(__xludf.DUMMYFUNCTION("""COMPUTED_VALUE"""),0.1786489224811433)</f>
        <v>0.1786489225</v>
      </c>
      <c r="AD193" s="273">
        <f>IFERROR(__xludf.DUMMYFUNCTION("""COMPUTED_VALUE"""),-1.1492051302808217)</f>
        <v>-1.14920513</v>
      </c>
      <c r="AE193" s="273">
        <f>IFERROR(__xludf.DUMMYFUNCTION("""COMPUTED_VALUE"""),-0.48104830385124736)</f>
        <v>-0.4810483039</v>
      </c>
      <c r="AF193" s="273">
        <f>IFERROR(__xludf.DUMMYFUNCTION("""COMPUTED_VALUE"""),-0.055017216267384005)</f>
        <v>-0.05501721627</v>
      </c>
      <c r="AG193" s="277">
        <f>IFERROR(__xludf.DUMMYFUNCTION("""COMPUTED_VALUE"""),0.0)</f>
        <v>0</v>
      </c>
      <c r="AH193" s="265"/>
      <c r="AI193" s="338"/>
      <c r="AJ193" s="339"/>
      <c r="AK193" s="265"/>
      <c r="AL193" s="265"/>
      <c r="AM193" s="265"/>
      <c r="AN193" s="265"/>
      <c r="AO193" s="265"/>
      <c r="AP193" s="265"/>
      <c r="AQ193" s="265"/>
      <c r="AR193" s="265"/>
      <c r="AS193" s="265"/>
      <c r="AT193" s="265"/>
      <c r="AU193" s="265"/>
      <c r="AV193" s="265"/>
      <c r="AW193" s="265"/>
      <c r="AX193" s="265"/>
      <c r="AY193" s="265"/>
      <c r="AZ193" s="265"/>
      <c r="BA193" s="265"/>
      <c r="BB193" s="265"/>
      <c r="BC193" s="265"/>
      <c r="BD193" s="265"/>
      <c r="BE193" s="265"/>
      <c r="BF193" s="265"/>
      <c r="BG193" s="265"/>
      <c r="BH193" s="265"/>
      <c r="BI193" s="265"/>
      <c r="BJ193" s="265"/>
      <c r="BK193" s="265"/>
      <c r="BL193" s="265"/>
      <c r="BM193" s="265"/>
      <c r="BN193" s="265"/>
      <c r="BO193" s="265"/>
      <c r="BP193" s="265"/>
      <c r="BQ193" s="265"/>
      <c r="BR193" s="265"/>
      <c r="BS193" s="265"/>
      <c r="BT193" s="265"/>
      <c r="BU193" s="265"/>
      <c r="BV193" s="265"/>
    </row>
    <row r="194">
      <c r="A194" s="251">
        <f>VLOOKUP($F194,UpdateHashtag!$V$3:$Y$32,COLUMN(B$15),0)</f>
        <v>3</v>
      </c>
      <c r="B194" s="252">
        <f>VLOOKUP($F194,UpdateHashtag!$V$3:$Y$32,COLUMN(C$13),0)</f>
        <v>5</v>
      </c>
      <c r="C194" s="252">
        <f>VLOOKUP($F194,UpdateHashtag!$V$3:$Y$32,COLUMN(D$13),0)</f>
        <v>3</v>
      </c>
      <c r="D194" s="268">
        <f t="shared" si="4"/>
        <v>11</v>
      </c>
      <c r="E194" s="19"/>
      <c r="F194" s="30" t="str">
        <f>IF(VLOOKUP(J194,PasteHashtag!$C$2:$P1015,3,)="BRO","BKN",IF(VLOOKUP(J194,PasteHashtag!$C$2:$P1015,3,)="OKL","OKC",VLOOKUP(J194,PasteHashtag!$C$2:$P1015,3,)))</f>
        <v>BKN</v>
      </c>
      <c r="G194" s="269">
        <v>175.0</v>
      </c>
      <c r="H194" s="270">
        <f>IFERROR(__xludf.DUMMYFUNCTION("""COMPUTED_VALUE"""),170.0)</f>
        <v>170</v>
      </c>
      <c r="I194" s="270">
        <f>IFERROR(__xludf.DUMMYFUNCTION("""COMPUTED_VALUE"""),144.2)</f>
        <v>144.2</v>
      </c>
      <c r="J194" s="271" t="str">
        <f>IFERROR(__xludf.DUMMYFUNCTION("""COMPUTED_VALUE"""),"Noah Clowney")</f>
        <v>Noah Clowney</v>
      </c>
      <c r="K194" s="270">
        <f>IFERROR(__xludf.DUMMYFUNCTION("""COMPUTED_VALUE"""),62.0)</f>
        <v>62</v>
      </c>
      <c r="L194" s="272" t="str">
        <f>IFERROR(__xludf.DUMMYFUNCTION("""COMPUTED_VALUE"""),"SF,PF")</f>
        <v>SF,PF</v>
      </c>
      <c r="M194" s="273">
        <f>IFERROR(__xludf.DUMMYFUNCTION("""COMPUTED_VALUE"""),-4.4334662306575385)</f>
        <v>-4.433466231</v>
      </c>
      <c r="N194" s="274">
        <f>IFERROR(__xludf.DUMMYFUNCTION("""COMPUTED_VALUE"""),-4.609542605041765)</f>
        <v>-4.609542605</v>
      </c>
      <c r="O194" s="274">
        <f>IFERROR(__xludf.DUMMYFUNCTION("""COMPUTED_VALUE"""),-0.17607637438422685)</f>
        <v>-0.1760763744</v>
      </c>
      <c r="P194" s="275">
        <f>IFERROR(__xludf.DUMMYFUNCTION("""COMPUTED_VALUE"""),10.57438356)</f>
        <v>10.57438356</v>
      </c>
      <c r="Q194" s="275">
        <f>IFERROR(__xludf.DUMMYFUNCTION("""COMPUTED_VALUE"""),0.8934246575)</f>
        <v>0.8934246575</v>
      </c>
      <c r="R194" s="275">
        <f>IFERROR(__xludf.DUMMYFUNCTION("""COMPUTED_VALUE"""),5.733835616)</f>
        <v>5.733835616</v>
      </c>
      <c r="S194" s="276">
        <f>IFERROR(__xludf.DUMMYFUNCTION("""COMPUTED_VALUE"""),1.367671233)</f>
        <v>1.367671233</v>
      </c>
      <c r="T194" s="275">
        <f>IFERROR(__xludf.DUMMYFUNCTION("""COMPUTED_VALUE"""),0.5936986301)</f>
        <v>0.5936986301</v>
      </c>
      <c r="U194" s="275">
        <f>IFERROR(__xludf.DUMMYFUNCTION("""COMPUTED_VALUE"""),1.104657534)</f>
        <v>1.104657534</v>
      </c>
      <c r="V194" s="272">
        <f>IFERROR(__xludf.DUMMYFUNCTION("""COMPUTED_VALUE"""),0.5183383369)</f>
        <v>0.5183383369</v>
      </c>
      <c r="W194" s="272">
        <f>IFERROR(__xludf.DUMMYFUNCTION("""COMPUTED_VALUE"""),0.7100154247)</f>
        <v>0.7100154247</v>
      </c>
      <c r="X194" s="275">
        <f>IFERROR(__xludf.DUMMYFUNCTION("""COMPUTED_VALUE"""),1.038630137)</f>
        <v>1.038630137</v>
      </c>
      <c r="Y194" s="273">
        <f>IFERROR(__xludf.DUMMYFUNCTION("""COMPUTED_VALUE"""),-1.2463385178362727)</f>
        <v>-1.246338518</v>
      </c>
      <c r="Z194" s="273">
        <f>IFERROR(__xludf.DUMMYFUNCTION("""COMPUTED_VALUE"""),-0.8483389566778692)</f>
        <v>-0.8483389567</v>
      </c>
      <c r="AA194" s="273">
        <f>IFERROR(__xludf.DUMMYFUNCTION("""COMPUTED_VALUE"""),-0.1369706006268753)</f>
        <v>-0.1369706006</v>
      </c>
      <c r="AB194" s="273">
        <f>IFERROR(__xludf.DUMMYFUNCTION("""COMPUTED_VALUE"""),-1.1651657055092846)</f>
        <v>-1.165165706</v>
      </c>
      <c r="AC194" s="273">
        <f>IFERROR(__xludf.DUMMYFUNCTION("""COMPUTED_VALUE"""),-1.2647727369573911)</f>
        <v>-1.264772737</v>
      </c>
      <c r="AD194" s="273">
        <f>IFERROR(__xludf.DUMMYFUNCTION("""COMPUTED_VALUE"""),0.6349623358356888)</f>
        <v>0.6349623358</v>
      </c>
      <c r="AE194" s="273">
        <f>IFERROR(__xludf.DUMMYFUNCTION("""COMPUTED_VALUE"""),0.18582585701860077)</f>
        <v>0.185825857</v>
      </c>
      <c r="AF194" s="273">
        <f>IFERROR(__xludf.DUMMYFUNCTION("""COMPUTED_VALUE"""),-0.7687442802883631)</f>
        <v>-0.7687442803</v>
      </c>
      <c r="AG194" s="277">
        <f>IFERROR(__xludf.DUMMYFUNCTION("""COMPUTED_VALUE"""),0.0)</f>
        <v>0</v>
      </c>
      <c r="AH194" s="265"/>
      <c r="AI194" s="338"/>
      <c r="AJ194" s="339"/>
      <c r="AK194" s="265"/>
      <c r="AL194" s="265"/>
      <c r="AM194" s="265"/>
      <c r="AN194" s="265"/>
      <c r="AO194" s="265"/>
      <c r="AP194" s="265"/>
      <c r="AQ194" s="265"/>
      <c r="AR194" s="265"/>
      <c r="AS194" s="265"/>
      <c r="AT194" s="265"/>
      <c r="AU194" s="265"/>
      <c r="AV194" s="265"/>
      <c r="AW194" s="265"/>
      <c r="AX194" s="265"/>
      <c r="AY194" s="265"/>
      <c r="AZ194" s="265"/>
      <c r="BA194" s="265"/>
      <c r="BB194" s="265"/>
      <c r="BC194" s="265"/>
      <c r="BD194" s="265"/>
      <c r="BE194" s="265"/>
      <c r="BF194" s="265"/>
      <c r="BG194" s="265"/>
      <c r="BH194" s="265"/>
      <c r="BI194" s="265"/>
      <c r="BJ194" s="265"/>
      <c r="BK194" s="265"/>
      <c r="BL194" s="265"/>
      <c r="BM194" s="265"/>
      <c r="BN194" s="265"/>
      <c r="BO194" s="265"/>
      <c r="BP194" s="265"/>
      <c r="BQ194" s="265"/>
      <c r="BR194" s="265"/>
      <c r="BS194" s="265"/>
      <c r="BT194" s="265"/>
      <c r="BU194" s="265"/>
      <c r="BV194" s="265"/>
    </row>
    <row r="195">
      <c r="A195" s="251">
        <f>VLOOKUP($F195,UpdateHashtag!$V$3:$Y$32,COLUMN(B$15),0)</f>
        <v>3</v>
      </c>
      <c r="B195" s="252">
        <f>VLOOKUP($F195,UpdateHashtag!$V$3:$Y$32,COLUMN(C$13),0)</f>
        <v>4</v>
      </c>
      <c r="C195" s="252">
        <f>VLOOKUP($F195,UpdateHashtag!$V$3:$Y$32,COLUMN(D$13),0)</f>
        <v>3</v>
      </c>
      <c r="D195" s="268">
        <f t="shared" si="4"/>
        <v>10</v>
      </c>
      <c r="E195" s="19"/>
      <c r="F195" s="30" t="str">
        <f>IF(VLOOKUP(J195,PasteHashtag!$C$2:$P1015,3,)="BRO","BKN",IF(VLOOKUP(J195,PasteHashtag!$C$2:$P1015,3,)="OKL","OKC",VLOOKUP(J195,PasteHashtag!$C$2:$P1015,3,)))</f>
        <v>LAL</v>
      </c>
      <c r="G195" s="269">
        <v>176.0</v>
      </c>
      <c r="H195" s="270">
        <f>IFERROR(__xludf.DUMMYFUNCTION("""COMPUTED_VALUE"""),172.0)</f>
        <v>172</v>
      </c>
      <c r="I195" s="270">
        <f>IFERROR(__xludf.DUMMYFUNCTION("""COMPUTED_VALUE"""),136.5)</f>
        <v>136.5</v>
      </c>
      <c r="J195" s="271" t="str">
        <f>IFERROR(__xludf.DUMMYFUNCTION("""COMPUTED_VALUE"""),"Rui Hachimura")</f>
        <v>Rui Hachimura</v>
      </c>
      <c r="K195" s="270">
        <f>IFERROR(__xludf.DUMMYFUNCTION("""COMPUTED_VALUE"""),64.0)</f>
        <v>64</v>
      </c>
      <c r="L195" s="272" t="str">
        <f>IFERROR(__xludf.DUMMYFUNCTION("""COMPUTED_VALUE"""),"SG")</f>
        <v>SG</v>
      </c>
      <c r="M195" s="273">
        <f>IFERROR(__xludf.DUMMYFUNCTION("""COMPUTED_VALUE"""),-4.4075055048239475)</f>
        <v>-4.407505505</v>
      </c>
      <c r="N195" s="274">
        <f>IFERROR(__xludf.DUMMYFUNCTION("""COMPUTED_VALUE"""),-4.666638909287576)</f>
        <v>-4.666638909</v>
      </c>
      <c r="O195" s="274">
        <f>IFERROR(__xludf.DUMMYFUNCTION("""COMPUTED_VALUE"""),-0.2591334044636282)</f>
        <v>-0.2591334045</v>
      </c>
      <c r="P195" s="275">
        <f>IFERROR(__xludf.DUMMYFUNCTION("""COMPUTED_VALUE"""),14.13136986)</f>
        <v>14.13136986</v>
      </c>
      <c r="Q195" s="275">
        <f>IFERROR(__xludf.DUMMYFUNCTION("""COMPUTED_VALUE"""),1.405890411)</f>
        <v>1.405890411</v>
      </c>
      <c r="R195" s="275">
        <f>IFERROR(__xludf.DUMMYFUNCTION("""COMPUTED_VALUE"""),5.227534247)</f>
        <v>5.227534247</v>
      </c>
      <c r="S195" s="276">
        <f>IFERROR(__xludf.DUMMYFUNCTION("""COMPUTED_VALUE"""),1.255342466)</f>
        <v>1.255342466</v>
      </c>
      <c r="T195" s="275">
        <f>IFERROR(__xludf.DUMMYFUNCTION("""COMPUTED_VALUE"""),0.5068493151)</f>
        <v>0.5068493151</v>
      </c>
      <c r="U195" s="275">
        <f>IFERROR(__xludf.DUMMYFUNCTION("""COMPUTED_VALUE"""),0.4480821918)</f>
        <v>0.4480821918</v>
      </c>
      <c r="V195" s="272">
        <f>IFERROR(__xludf.DUMMYFUNCTION("""COMPUTED_VALUE"""),0.5170341683)</f>
        <v>0.5170341683</v>
      </c>
      <c r="W195" s="272">
        <f>IFERROR(__xludf.DUMMYFUNCTION("""COMPUTED_VALUE"""),0.7439741329)</f>
        <v>0.7439741329</v>
      </c>
      <c r="X195" s="275">
        <f>IFERROR(__xludf.DUMMYFUNCTION("""COMPUTED_VALUE"""),0.7036986301)</f>
        <v>0.7036986301</v>
      </c>
      <c r="Y195" s="273">
        <f>IFERROR(__xludf.DUMMYFUNCTION("""COMPUTED_VALUE"""),-0.6051716803326861)</f>
        <v>-0.6051716803</v>
      </c>
      <c r="Z195" s="273">
        <f>IFERROR(__xludf.DUMMYFUNCTION("""COMPUTED_VALUE"""),-0.340009550500855)</f>
        <v>-0.3400095505</v>
      </c>
      <c r="AA195" s="273">
        <f>IFERROR(__xludf.DUMMYFUNCTION("""COMPUTED_VALUE"""),-0.3353936493931682)</f>
        <v>-0.3353936494</v>
      </c>
      <c r="AB195" s="273">
        <f>IFERROR(__xludf.DUMMYFUNCTION("""COMPUTED_VALUE"""),-1.2161785130935485)</f>
        <v>-1.216178513</v>
      </c>
      <c r="AC195" s="273">
        <f>IFERROR(__xludf.DUMMYFUNCTION("""COMPUTED_VALUE"""),-1.5520974877532288)</f>
        <v>-1.552097488</v>
      </c>
      <c r="AD195" s="273">
        <f>IFERROR(__xludf.DUMMYFUNCTION("""COMPUTED_VALUE"""),-0.536136844484189)</f>
        <v>-0.5361368445</v>
      </c>
      <c r="AE195" s="273">
        <f>IFERROR(__xludf.DUMMYFUNCTION("""COMPUTED_VALUE"""),0.25237267803650054)</f>
        <v>0.252372678</v>
      </c>
      <c r="AF195" s="273">
        <f>IFERROR(__xludf.DUMMYFUNCTION("""COMPUTED_VALUE"""),-0.3340238617664004)</f>
        <v>-0.3340238618</v>
      </c>
      <c r="AG195" s="277">
        <f>IFERROR(__xludf.DUMMYFUNCTION("""COMPUTED_VALUE"""),0.0)</f>
        <v>0</v>
      </c>
      <c r="AH195" s="265"/>
      <c r="AI195" s="338"/>
      <c r="AJ195" s="339"/>
      <c r="AK195" s="265"/>
      <c r="AL195" s="265"/>
      <c r="AM195" s="265"/>
      <c r="AN195" s="265"/>
      <c r="AO195" s="265"/>
      <c r="AP195" s="265"/>
      <c r="AQ195" s="265"/>
      <c r="AR195" s="265"/>
      <c r="AS195" s="265"/>
      <c r="AT195" s="265"/>
      <c r="AU195" s="265"/>
      <c r="AV195" s="265"/>
      <c r="AW195" s="265"/>
      <c r="AX195" s="265"/>
      <c r="AY195" s="265"/>
      <c r="AZ195" s="265"/>
      <c r="BA195" s="265"/>
      <c r="BB195" s="265"/>
      <c r="BC195" s="265"/>
      <c r="BD195" s="265"/>
      <c r="BE195" s="265"/>
      <c r="BF195" s="265"/>
      <c r="BG195" s="265"/>
      <c r="BH195" s="265"/>
      <c r="BI195" s="265"/>
      <c r="BJ195" s="265"/>
      <c r="BK195" s="265"/>
      <c r="BL195" s="265"/>
      <c r="BM195" s="265"/>
      <c r="BN195" s="265"/>
      <c r="BO195" s="265"/>
      <c r="BP195" s="265"/>
      <c r="BQ195" s="265"/>
      <c r="BR195" s="265"/>
      <c r="BS195" s="265"/>
      <c r="BT195" s="265"/>
      <c r="BU195" s="265"/>
      <c r="BV195" s="265"/>
    </row>
    <row r="196">
      <c r="A196" s="251">
        <f>VLOOKUP($F196,UpdateHashtag!$V$3:$Y$32,COLUMN(B$15),0)</f>
        <v>3</v>
      </c>
      <c r="B196" s="252">
        <f>VLOOKUP($F196,UpdateHashtag!$V$3:$Y$32,COLUMN(C$13),0)</f>
        <v>4</v>
      </c>
      <c r="C196" s="252">
        <f>VLOOKUP($F196,UpdateHashtag!$V$3:$Y$32,COLUMN(D$13),0)</f>
        <v>3</v>
      </c>
      <c r="D196" s="268">
        <f t="shared" si="4"/>
        <v>10</v>
      </c>
      <c r="E196" s="19"/>
      <c r="F196" s="30" t="str">
        <f>IF(VLOOKUP(J196,PasteHashtag!$C$2:$P1015,3,)="BRO","BKN",IF(VLOOKUP(J196,PasteHashtag!$C$2:$P1015,3,)="OKL","OKC",VLOOKUP(J196,PasteHashtag!$C$2:$P1015,3,)))</f>
        <v>PHO</v>
      </c>
      <c r="G196" s="269">
        <v>177.0</v>
      </c>
      <c r="H196" s="270">
        <f>IFERROR(__xludf.DUMMYFUNCTION("""COMPUTED_VALUE"""),183.0)</f>
        <v>183</v>
      </c>
      <c r="I196" s="270"/>
      <c r="J196" s="271" t="str">
        <f>IFERROR(__xludf.DUMMYFUNCTION("""COMPUTED_VALUE"""),"Royce O'Neale")</f>
        <v>Royce O'Neale</v>
      </c>
      <c r="K196" s="270">
        <f>IFERROR(__xludf.DUMMYFUNCTION("""COMPUTED_VALUE"""),58.0)</f>
        <v>58</v>
      </c>
      <c r="L196" s="272" t="str">
        <f>IFERROR(__xludf.DUMMYFUNCTION("""COMPUTED_VALUE"""),"SG,SF")</f>
        <v>SG,SF</v>
      </c>
      <c r="M196" s="273">
        <f>IFERROR(__xludf.DUMMYFUNCTION("""COMPUTED_VALUE"""),-4.520532671326453)</f>
        <v>-4.520532671</v>
      </c>
      <c r="N196" s="274">
        <f>IFERROR(__xludf.DUMMYFUNCTION("""COMPUTED_VALUE"""),-4.768184163239973)</f>
        <v>-4.768184163</v>
      </c>
      <c r="O196" s="274">
        <f>IFERROR(__xludf.DUMMYFUNCTION("""COMPUTED_VALUE"""),-0.24765149191351998)</f>
        <v>-0.2476514919</v>
      </c>
      <c r="P196" s="275">
        <f>IFERROR(__xludf.DUMMYFUNCTION("""COMPUTED_VALUE"""),8.216027397)</f>
        <v>8.216027397</v>
      </c>
      <c r="Q196" s="275">
        <f>IFERROR(__xludf.DUMMYFUNCTION("""COMPUTED_VALUE"""),2.054520548)</f>
        <v>2.054520548</v>
      </c>
      <c r="R196" s="275">
        <f>IFERROR(__xludf.DUMMYFUNCTION("""COMPUTED_VALUE"""),4.8)</f>
        <v>4.8</v>
      </c>
      <c r="S196" s="276">
        <f>IFERROR(__xludf.DUMMYFUNCTION("""COMPUTED_VALUE"""),2.4)</f>
        <v>2.4</v>
      </c>
      <c r="T196" s="275">
        <f>IFERROR(__xludf.DUMMYFUNCTION("""COMPUTED_VALUE"""),0.7076712329)</f>
        <v>0.7076712329</v>
      </c>
      <c r="U196" s="275">
        <f>IFERROR(__xludf.DUMMYFUNCTION("""COMPUTED_VALUE"""),0.4965753425)</f>
        <v>0.4965753425</v>
      </c>
      <c r="V196" s="272">
        <f>IFERROR(__xludf.DUMMYFUNCTION("""COMPUTED_VALUE"""),0.408165628)</f>
        <v>0.408165628</v>
      </c>
      <c r="W196" s="272">
        <f>IFERROR(__xludf.DUMMYFUNCTION("""COMPUTED_VALUE"""),0.7230644288)</f>
        <v>0.7230644288</v>
      </c>
      <c r="X196" s="275">
        <f>IFERROR(__xludf.DUMMYFUNCTION("""COMPUTED_VALUE"""),0.75)</f>
        <v>0.75</v>
      </c>
      <c r="Y196" s="273">
        <f>IFERROR(__xludf.DUMMYFUNCTION("""COMPUTED_VALUE"""),-1.6714455143793303)</f>
        <v>-1.671445514</v>
      </c>
      <c r="Z196" s="273">
        <f>IFERROR(__xludf.DUMMYFUNCTION("""COMPUTED_VALUE"""),0.3033851936705241)</f>
        <v>0.3033851937</v>
      </c>
      <c r="AA196" s="273">
        <f>IFERROR(__xludf.DUMMYFUNCTION("""COMPUTED_VALUE"""),-0.5029473119663014)</f>
        <v>-0.502947312</v>
      </c>
      <c r="AB196" s="273">
        <f>IFERROR(__xludf.DUMMYFUNCTION("""COMPUTED_VALUE"""),-0.6963455612031377)</f>
        <v>-0.6963455612</v>
      </c>
      <c r="AC196" s="273">
        <f>IFERROR(__xludf.DUMMYFUNCTION("""COMPUTED_VALUE"""),-0.887715650242741)</f>
        <v>-0.8877156502</v>
      </c>
      <c r="AD196" s="273">
        <f>IFERROR(__xludf.DUMMYFUNCTION("""COMPUTED_VALUE"""),-0.4496421417656708)</f>
        <v>-0.4496421418</v>
      </c>
      <c r="AE196" s="273">
        <f>IFERROR(__xludf.DUMMYFUNCTION("""COMPUTED_VALUE"""),-0.735628431965171)</f>
        <v>-0.735628432</v>
      </c>
      <c r="AF196" s="273">
        <f>IFERROR(__xludf.DUMMYFUNCTION("""COMPUTED_VALUE"""),-0.12784474538814566)</f>
        <v>-0.1278447454</v>
      </c>
      <c r="AG196" s="277">
        <f>IFERROR(__xludf.DUMMYFUNCTION("""COMPUTED_VALUE"""),0.0)</f>
        <v>0</v>
      </c>
      <c r="AH196" s="265"/>
      <c r="AI196" s="338"/>
      <c r="AJ196" s="339"/>
      <c r="AK196" s="265"/>
      <c r="AL196" s="265"/>
      <c r="AM196" s="265"/>
      <c r="AN196" s="265"/>
      <c r="AO196" s="265"/>
      <c r="AP196" s="265"/>
      <c r="AQ196" s="265"/>
      <c r="AR196" s="265"/>
      <c r="AS196" s="265"/>
      <c r="AT196" s="265"/>
      <c r="AU196" s="265"/>
      <c r="AV196" s="265"/>
      <c r="AW196" s="265"/>
      <c r="AX196" s="265"/>
      <c r="AY196" s="265"/>
      <c r="AZ196" s="265"/>
      <c r="BA196" s="265"/>
      <c r="BB196" s="265"/>
      <c r="BC196" s="265"/>
      <c r="BD196" s="265"/>
      <c r="BE196" s="265"/>
      <c r="BF196" s="265"/>
      <c r="BG196" s="265"/>
      <c r="BH196" s="265"/>
      <c r="BI196" s="265"/>
      <c r="BJ196" s="265"/>
      <c r="BK196" s="265"/>
      <c r="BL196" s="265"/>
      <c r="BM196" s="265"/>
      <c r="BN196" s="265"/>
      <c r="BO196" s="265"/>
      <c r="BP196" s="265"/>
      <c r="BQ196" s="265"/>
      <c r="BR196" s="265"/>
      <c r="BS196" s="265"/>
      <c r="BT196" s="265"/>
      <c r="BU196" s="265"/>
      <c r="BV196" s="265"/>
    </row>
    <row r="197">
      <c r="A197" s="251">
        <f>VLOOKUP($F197,UpdateHashtag!$V$3:$Y$32,COLUMN(B$15),0)</f>
        <v>4</v>
      </c>
      <c r="B197" s="252">
        <f>VLOOKUP($F197,UpdateHashtag!$V$3:$Y$32,COLUMN(C$13),0)</f>
        <v>4</v>
      </c>
      <c r="C197" s="252">
        <f>VLOOKUP($F197,UpdateHashtag!$V$3:$Y$32,COLUMN(D$13),0)</f>
        <v>3</v>
      </c>
      <c r="D197" s="268">
        <f t="shared" si="4"/>
        <v>11</v>
      </c>
      <c r="E197" s="19"/>
      <c r="F197" s="30" t="str">
        <f>IF(VLOOKUP(J197,PasteHashtag!$C$2:$P1015,3,)="BRO","BKN",IF(VLOOKUP(J197,PasteHashtag!$C$2:$P1015,3,)="OKL","OKC",VLOOKUP(J197,PasteHashtag!$C$2:$P1015,3,)))</f>
        <v>MEM</v>
      </c>
      <c r="G197" s="269">
        <v>178.0</v>
      </c>
      <c r="H197" s="270">
        <f>IFERROR(__xludf.DUMMYFUNCTION("""COMPUTED_VALUE"""),182.0)</f>
        <v>182</v>
      </c>
      <c r="I197" s="270"/>
      <c r="J197" s="271" t="str">
        <f>IFERROR(__xludf.DUMMYFUNCTION("""COMPUTED_VALUE"""),"Scotty Pippen Jr.")</f>
        <v>Scotty Pippen Jr.</v>
      </c>
      <c r="K197" s="270">
        <f>IFERROR(__xludf.DUMMYFUNCTION("""COMPUTED_VALUE"""),64.0)</f>
        <v>64</v>
      </c>
      <c r="L197" s="272" t="str">
        <f>IFERROR(__xludf.DUMMYFUNCTION("""COMPUTED_VALUE"""),"SF,PF")</f>
        <v>SF,PF</v>
      </c>
      <c r="M197" s="273">
        <f>IFERROR(__xludf.DUMMYFUNCTION("""COMPUTED_VALUE"""),-4.822903252510841)</f>
        <v>-4.822903253</v>
      </c>
      <c r="N197" s="274">
        <f>IFERROR(__xludf.DUMMYFUNCTION("""COMPUTED_VALUE"""),-4.801307292270024)</f>
        <v>-4.801307292</v>
      </c>
      <c r="O197" s="274">
        <f>IFERROR(__xludf.DUMMYFUNCTION("""COMPUTED_VALUE"""),0.021595960240817114)</f>
        <v>0.02159596024</v>
      </c>
      <c r="P197" s="275">
        <f>IFERROR(__xludf.DUMMYFUNCTION("""COMPUTED_VALUE"""),7.461369863)</f>
        <v>7.461369863</v>
      </c>
      <c r="Q197" s="275">
        <f>IFERROR(__xludf.DUMMYFUNCTION("""COMPUTED_VALUE"""),0.7536986301)</f>
        <v>0.7536986301</v>
      </c>
      <c r="R197" s="275">
        <f>IFERROR(__xludf.DUMMYFUNCTION("""COMPUTED_VALUE"""),2.273013699)</f>
        <v>2.273013699</v>
      </c>
      <c r="S197" s="276">
        <f>IFERROR(__xludf.DUMMYFUNCTION("""COMPUTED_VALUE"""),3.364520548)</f>
        <v>3.364520548</v>
      </c>
      <c r="T197" s="275">
        <f>IFERROR(__xludf.DUMMYFUNCTION("""COMPUTED_VALUE"""),1.227123288)</f>
        <v>1.227123288</v>
      </c>
      <c r="U197" s="275">
        <f>IFERROR(__xludf.DUMMYFUNCTION("""COMPUTED_VALUE"""),0.3269863014)</f>
        <v>0.3269863014</v>
      </c>
      <c r="V197" s="272">
        <f>IFERROR(__xludf.DUMMYFUNCTION("""COMPUTED_VALUE"""),0.4687966428)</f>
        <v>0.4687966428</v>
      </c>
      <c r="W197" s="272">
        <f>IFERROR(__xludf.DUMMYFUNCTION("""COMPUTED_VALUE"""),0.7600378532)</f>
        <v>0.7600378532</v>
      </c>
      <c r="X197" s="275">
        <f>IFERROR(__xludf.DUMMYFUNCTION("""COMPUTED_VALUE"""),1.835753425)</f>
        <v>1.835753425</v>
      </c>
      <c r="Y197" s="273">
        <f>IFERROR(__xludf.DUMMYFUNCTION("""COMPUTED_VALUE"""),-1.807476790202078)</f>
        <v>-1.80747679</v>
      </c>
      <c r="Z197" s="273">
        <f>IFERROR(__xludf.DUMMYFUNCTION("""COMPUTED_VALUE"""),-0.9869371909025395)</f>
        <v>-0.9869371909</v>
      </c>
      <c r="AA197" s="273">
        <f>IFERROR(__xludf.DUMMYFUNCTION("""COMPUTED_VALUE"""),-1.493290922976915)</f>
        <v>-1.493290923</v>
      </c>
      <c r="AB197" s="273">
        <f>IFERROR(__xludf.DUMMYFUNCTION("""COMPUTED_VALUE"""),-0.25831973362334315)</f>
        <v>-0.2583197336</v>
      </c>
      <c r="AC197" s="273">
        <f>IFERROR(__xludf.DUMMYFUNCTION("""COMPUTED_VALUE"""),0.8307945335392858)</f>
        <v>0.8307945335</v>
      </c>
      <c r="AD197" s="273">
        <f>IFERROR(__xludf.DUMMYFUNCTION("""COMPUTED_VALUE"""),-0.7521292658754072)</f>
        <v>-0.7521292659</v>
      </c>
      <c r="AE197" s="273">
        <f>IFERROR(__xludf.DUMMYFUNCTION("""COMPUTED_VALUE"""),-0.20956285084520213)</f>
        <v>-0.2095628508</v>
      </c>
      <c r="AF197" s="273">
        <f>IFERROR(__xludf.DUMMYFUNCTION("""COMPUTED_VALUE"""),-0.12438507138382325)</f>
        <v>-0.1243850714</v>
      </c>
      <c r="AG197" s="277">
        <f>IFERROR(__xludf.DUMMYFUNCTION("""COMPUTED_VALUE"""),0.0)</f>
        <v>0</v>
      </c>
      <c r="AH197" s="265"/>
      <c r="AI197" s="338"/>
      <c r="AJ197" s="339"/>
      <c r="AK197" s="265"/>
      <c r="AL197" s="265"/>
      <c r="AM197" s="265"/>
      <c r="AN197" s="265"/>
      <c r="AO197" s="265"/>
      <c r="AP197" s="265"/>
      <c r="AQ197" s="265"/>
      <c r="AR197" s="265"/>
      <c r="AS197" s="265"/>
      <c r="AT197" s="265"/>
      <c r="AU197" s="265"/>
      <c r="AV197" s="265"/>
      <c r="AW197" s="265"/>
      <c r="AX197" s="265"/>
      <c r="AY197" s="265"/>
      <c r="AZ197" s="265"/>
      <c r="BA197" s="265"/>
      <c r="BB197" s="265"/>
      <c r="BC197" s="265"/>
      <c r="BD197" s="265"/>
      <c r="BE197" s="265"/>
      <c r="BF197" s="265"/>
      <c r="BG197" s="265"/>
      <c r="BH197" s="265"/>
      <c r="BI197" s="265"/>
      <c r="BJ197" s="265"/>
      <c r="BK197" s="265"/>
      <c r="BL197" s="265"/>
      <c r="BM197" s="265"/>
      <c r="BN197" s="265"/>
      <c r="BO197" s="265"/>
      <c r="BP197" s="265"/>
      <c r="BQ197" s="265"/>
      <c r="BR197" s="265"/>
      <c r="BS197" s="265"/>
      <c r="BT197" s="265"/>
      <c r="BU197" s="265"/>
      <c r="BV197" s="265"/>
    </row>
    <row r="198">
      <c r="A198" s="251">
        <f>VLOOKUP($F198,UpdateHashtag!$V$3:$Y$32,COLUMN(B$15),0)</f>
        <v>4</v>
      </c>
      <c r="B198" s="252">
        <f>VLOOKUP($F198,UpdateHashtag!$V$3:$Y$32,COLUMN(C$13),0)</f>
        <v>3</v>
      </c>
      <c r="C198" s="252">
        <f>VLOOKUP($F198,UpdateHashtag!$V$3:$Y$32,COLUMN(D$13),0)</f>
        <v>4</v>
      </c>
      <c r="D198" s="268">
        <f t="shared" si="4"/>
        <v>11</v>
      </c>
      <c r="E198" s="19"/>
      <c r="F198" s="30" t="str">
        <f>IF(VLOOKUP(J198,PasteHashtag!$C$2:$P1015,3,)="BRO","BKN",IF(VLOOKUP(J198,PasteHashtag!$C$2:$P1015,3,)="OKL","OKC",VLOOKUP(J198,PasteHashtag!$C$2:$P1015,3,)))</f>
        <v>POR</v>
      </c>
      <c r="G198" s="269">
        <v>179.0</v>
      </c>
      <c r="H198" s="270">
        <f>IFERROR(__xludf.DUMMYFUNCTION("""COMPUTED_VALUE"""),181.0)</f>
        <v>181</v>
      </c>
      <c r="I198" s="270"/>
      <c r="J198" s="271" t="str">
        <f>IFERROR(__xludf.DUMMYFUNCTION("""COMPUTED_VALUE"""),"Toumani Camara")</f>
        <v>Toumani Camara</v>
      </c>
      <c r="K198" s="270">
        <f>IFERROR(__xludf.DUMMYFUNCTION("""COMPUTED_VALUE"""),68.0)</f>
        <v>68</v>
      </c>
      <c r="L198" s="272" t="str">
        <f>IFERROR(__xludf.DUMMYFUNCTION("""COMPUTED_VALUE"""),"SF,PF,C")</f>
        <v>SF,PF,C</v>
      </c>
      <c r="M198" s="273">
        <f>IFERROR(__xludf.DUMMYFUNCTION("""COMPUTED_VALUE"""),-4.715107165118792)</f>
        <v>-4.715107165</v>
      </c>
      <c r="N198" s="274">
        <f>IFERROR(__xludf.DUMMYFUNCTION("""COMPUTED_VALUE"""),-4.820219884666457)</f>
        <v>-4.820219885</v>
      </c>
      <c r="O198" s="274">
        <f>IFERROR(__xludf.DUMMYFUNCTION("""COMPUTED_VALUE"""),-0.1051127195476651)</f>
        <v>-0.1051127195</v>
      </c>
      <c r="P198" s="275">
        <f>IFERROR(__xludf.DUMMYFUNCTION("""COMPUTED_VALUE"""),9.245342466)</f>
        <v>9.245342466</v>
      </c>
      <c r="Q198" s="275">
        <f>IFERROR(__xludf.DUMMYFUNCTION("""COMPUTED_VALUE"""),1.032876712)</f>
        <v>1.032876712</v>
      </c>
      <c r="R198" s="275">
        <f>IFERROR(__xludf.DUMMYFUNCTION("""COMPUTED_VALUE"""),4.29)</f>
        <v>4.29</v>
      </c>
      <c r="S198" s="276">
        <f>IFERROR(__xludf.DUMMYFUNCTION("""COMPUTED_VALUE"""),1.608767123)</f>
        <v>1.608767123</v>
      </c>
      <c r="T198" s="275">
        <f>IFERROR(__xludf.DUMMYFUNCTION("""COMPUTED_VALUE"""),0.9130136986)</f>
        <v>0.9130136986</v>
      </c>
      <c r="U198" s="275">
        <f>IFERROR(__xludf.DUMMYFUNCTION("""COMPUTED_VALUE"""),0.4993150685)</f>
        <v>0.4993150685</v>
      </c>
      <c r="V198" s="272">
        <f>IFERROR(__xludf.DUMMYFUNCTION("""COMPUTED_VALUE"""),0.4808047284)</f>
        <v>0.4808047284</v>
      </c>
      <c r="W198" s="272">
        <f>IFERROR(__xludf.DUMMYFUNCTION("""COMPUTED_VALUE"""),0.7809994406)</f>
        <v>0.7809994406</v>
      </c>
      <c r="X198" s="275">
        <f>IFERROR(__xludf.DUMMYFUNCTION("""COMPUTED_VALUE"""),1.324794521)</f>
        <v>1.324794521</v>
      </c>
      <c r="Y198" s="273">
        <f>IFERROR(__xludf.DUMMYFUNCTION("""COMPUTED_VALUE"""),-1.485905669149812)</f>
        <v>-1.485905669</v>
      </c>
      <c r="Z198" s="273">
        <f>IFERROR(__xludf.DUMMYFUNCTION("""COMPUTED_VALUE"""),-0.7100124839916322)</f>
        <v>-0.710012484</v>
      </c>
      <c r="AA198" s="273">
        <f>IFERROR(__xludf.DUMMYFUNCTION("""COMPUTED_VALUE"""),-0.7028198800983646)</f>
        <v>-0.7028198801</v>
      </c>
      <c r="AB198" s="273">
        <f>IFERROR(__xludf.DUMMYFUNCTION("""COMPUTED_VALUE"""),-1.0556748014924455)</f>
        <v>-1.055674801</v>
      </c>
      <c r="AC198" s="273">
        <f>IFERROR(__xludf.DUMMYFUNCTION("""COMPUTED_VALUE"""),-0.20837842363300543)</f>
        <v>-0.2083784236</v>
      </c>
      <c r="AD198" s="273">
        <f>IFERROR(__xludf.DUMMYFUNCTION("""COMPUTED_VALUE"""),-0.44475543544777846)</f>
        <v>-0.4447554354</v>
      </c>
      <c r="AE198" s="273">
        <f>IFERROR(__xludf.DUMMYFUNCTION("""COMPUTED_VALUE"""),-0.14050839311716665)</f>
        <v>-0.1405083931</v>
      </c>
      <c r="AF198" s="273">
        <f>IFERROR(__xludf.DUMMYFUNCTION("""COMPUTED_VALUE"""),-0.07216479773625196)</f>
        <v>-0.07216479774</v>
      </c>
      <c r="AG198" s="277">
        <f>IFERROR(__xludf.DUMMYFUNCTION("""COMPUTED_VALUE"""),0.0)</f>
        <v>0</v>
      </c>
      <c r="AH198" s="265"/>
      <c r="AI198" s="338"/>
      <c r="AJ198" s="339"/>
      <c r="AK198" s="265"/>
      <c r="AL198" s="265"/>
      <c r="AM198" s="265"/>
      <c r="AN198" s="265"/>
      <c r="AO198" s="265"/>
      <c r="AP198" s="265"/>
      <c r="AQ198" s="265"/>
      <c r="AR198" s="265"/>
      <c r="AS198" s="265"/>
      <c r="AT198" s="265"/>
      <c r="AU198" s="265"/>
      <c r="AV198" s="265"/>
      <c r="AW198" s="265"/>
      <c r="AX198" s="265"/>
      <c r="AY198" s="265"/>
      <c r="AZ198" s="265"/>
      <c r="BA198" s="265"/>
      <c r="BB198" s="265"/>
      <c r="BC198" s="265"/>
      <c r="BD198" s="265"/>
      <c r="BE198" s="265"/>
      <c r="BF198" s="265"/>
      <c r="BG198" s="265"/>
      <c r="BH198" s="265"/>
      <c r="BI198" s="265"/>
      <c r="BJ198" s="265"/>
      <c r="BK198" s="265"/>
      <c r="BL198" s="265"/>
      <c r="BM198" s="265"/>
      <c r="BN198" s="265"/>
      <c r="BO198" s="265"/>
      <c r="BP198" s="265"/>
      <c r="BQ198" s="265"/>
      <c r="BR198" s="265"/>
      <c r="BS198" s="265"/>
      <c r="BT198" s="265"/>
      <c r="BU198" s="265"/>
      <c r="BV198" s="265"/>
    </row>
    <row r="199">
      <c r="A199" s="251">
        <f>VLOOKUP($F199,UpdateHashtag!$V$3:$Y$32,COLUMN(B$15),0)</f>
        <v>3</v>
      </c>
      <c r="B199" s="252">
        <f>VLOOKUP($F199,UpdateHashtag!$V$3:$Y$32,COLUMN(C$13),0)</f>
        <v>3</v>
      </c>
      <c r="C199" s="252">
        <f>VLOOKUP($F199,UpdateHashtag!$V$3:$Y$32,COLUMN(D$13),0)</f>
        <v>4</v>
      </c>
      <c r="D199" s="268">
        <f t="shared" si="4"/>
        <v>10</v>
      </c>
      <c r="E199" s="19"/>
      <c r="F199" s="30" t="str">
        <f>IF(VLOOKUP(J199,PasteHashtag!$C$2:$P1015,3,)="BRO","BKN",IF(VLOOKUP(J199,PasteHashtag!$C$2:$P1015,3,)="OKL","OKC",VLOOKUP(J199,PasteHashtag!$C$2:$P1015,3,)))</f>
        <v>NY</v>
      </c>
      <c r="G199" s="269">
        <v>180.0</v>
      </c>
      <c r="H199" s="270">
        <f>IFERROR(__xludf.DUMMYFUNCTION("""COMPUTED_VALUE"""),188.0)</f>
        <v>188</v>
      </c>
      <c r="I199" s="270"/>
      <c r="J199" s="271" t="str">
        <f>IFERROR(__xludf.DUMMYFUNCTION("""COMPUTED_VALUE"""),"Miles McBride")</f>
        <v>Miles McBride</v>
      </c>
      <c r="K199" s="270">
        <f>IFERROR(__xludf.DUMMYFUNCTION("""COMPUTED_VALUE"""),52.0)</f>
        <v>52</v>
      </c>
      <c r="L199" s="272" t="str">
        <f>IFERROR(__xludf.DUMMYFUNCTION("""COMPUTED_VALUE"""),"PF,C")</f>
        <v>PF,C</v>
      </c>
      <c r="M199" s="273">
        <f>IFERROR(__xludf.DUMMYFUNCTION("""COMPUTED_VALUE"""),-4.55693869525432)</f>
        <v>-4.556938695</v>
      </c>
      <c r="N199" s="274">
        <f>IFERROR(__xludf.DUMMYFUNCTION("""COMPUTED_VALUE"""),-4.848343747391837)</f>
        <v>-4.848343747</v>
      </c>
      <c r="O199" s="274">
        <f>IFERROR(__xludf.DUMMYFUNCTION("""COMPUTED_VALUE"""),-0.29140505213751755)</f>
        <v>-0.2914050521</v>
      </c>
      <c r="P199" s="275">
        <f>IFERROR(__xludf.DUMMYFUNCTION("""COMPUTED_VALUE"""),10.69945205)</f>
        <v>10.69945205</v>
      </c>
      <c r="Q199" s="275">
        <f>IFERROR(__xludf.DUMMYFUNCTION("""COMPUTED_VALUE"""),2.144383562)</f>
        <v>2.144383562</v>
      </c>
      <c r="R199" s="275">
        <f>IFERROR(__xludf.DUMMYFUNCTION("""COMPUTED_VALUE"""),1.976027397)</f>
        <v>1.976027397</v>
      </c>
      <c r="S199" s="276">
        <f>IFERROR(__xludf.DUMMYFUNCTION("""COMPUTED_VALUE"""),2.258767123)</f>
        <v>2.258767123</v>
      </c>
      <c r="T199" s="275">
        <f>IFERROR(__xludf.DUMMYFUNCTION("""COMPUTED_VALUE"""),0.9830136986)</f>
        <v>0.9830136986</v>
      </c>
      <c r="U199" s="275">
        <f>IFERROR(__xludf.DUMMYFUNCTION("""COMPUTED_VALUE"""),0.1564383562)</f>
        <v>0.1564383562</v>
      </c>
      <c r="V199" s="272">
        <f>IFERROR(__xludf.DUMMYFUNCTION("""COMPUTED_VALUE"""),0.4227665662)</f>
        <v>0.4227665662</v>
      </c>
      <c r="W199" s="272">
        <f>IFERROR(__xludf.DUMMYFUNCTION("""COMPUTED_VALUE"""),0.8399491094)</f>
        <v>0.8399491094</v>
      </c>
      <c r="X199" s="275">
        <f>IFERROR(__xludf.DUMMYFUNCTION("""COMPUTED_VALUE"""),0.5735616438)</f>
        <v>0.5735616438</v>
      </c>
      <c r="Y199" s="273">
        <f>IFERROR(__xludf.DUMMYFUNCTION("""COMPUTED_VALUE"""),-1.2237942172848062)</f>
        <v>-1.223794217</v>
      </c>
      <c r="Z199" s="273">
        <f>IFERROR(__xludf.DUMMYFUNCTION("""COMPUTED_VALUE"""),0.3925228818612268)</f>
        <v>0.3925228819</v>
      </c>
      <c r="AA199" s="273">
        <f>IFERROR(__xludf.DUMMYFUNCTION("""COMPUTED_VALUE"""),-1.6096819325470806)</f>
        <v>-1.609681933</v>
      </c>
      <c r="AB199" s="273">
        <f>IFERROR(__xludf.DUMMYFUNCTION("""COMPUTED_VALUE"""),-0.7604848353302456)</f>
        <v>-0.7604848353</v>
      </c>
      <c r="AC199" s="273">
        <f>IFERROR(__xludf.DUMMYFUNCTION("""COMPUTED_VALUE"""),0.02320351291662203)</f>
        <v>0.02320351292</v>
      </c>
      <c r="AD199" s="273">
        <f>IFERROR(__xludf.DUMMYFUNCTION("""COMPUTED_VALUE"""),-1.056326737196406)</f>
        <v>-1.056326737</v>
      </c>
      <c r="AE199" s="273">
        <f>IFERROR(__xludf.DUMMYFUNCTION("""COMPUTED_VALUE"""),-0.7838806871833653)</f>
        <v>-0.7838806872</v>
      </c>
      <c r="AF199" s="273">
        <f>IFERROR(__xludf.DUMMYFUNCTION("""COMPUTED_VALUE"""),0.17009826737221811)</f>
        <v>0.1700982674</v>
      </c>
      <c r="AG199" s="277">
        <f>IFERROR(__xludf.DUMMYFUNCTION("""COMPUTED_VALUE"""),0.0)</f>
        <v>0</v>
      </c>
      <c r="AH199" s="265"/>
      <c r="AI199" s="338"/>
      <c r="AJ199" s="339"/>
      <c r="AK199" s="265"/>
      <c r="AL199" s="265"/>
      <c r="AM199" s="265"/>
      <c r="AN199" s="265"/>
      <c r="AO199" s="265"/>
      <c r="AP199" s="265"/>
      <c r="AQ199" s="265"/>
      <c r="AR199" s="265"/>
      <c r="AS199" s="265"/>
      <c r="AT199" s="265"/>
      <c r="AU199" s="265"/>
      <c r="AV199" s="265"/>
      <c r="AW199" s="265"/>
      <c r="AX199" s="265"/>
      <c r="AY199" s="265"/>
      <c r="AZ199" s="265"/>
      <c r="BA199" s="265"/>
      <c r="BB199" s="265"/>
      <c r="BC199" s="265"/>
      <c r="BD199" s="265"/>
      <c r="BE199" s="265"/>
      <c r="BF199" s="265"/>
      <c r="BG199" s="265"/>
      <c r="BH199" s="265"/>
      <c r="BI199" s="265"/>
      <c r="BJ199" s="265"/>
      <c r="BK199" s="265"/>
      <c r="BL199" s="265"/>
      <c r="BM199" s="265"/>
      <c r="BN199" s="265"/>
      <c r="BO199" s="265"/>
      <c r="BP199" s="265"/>
      <c r="BQ199" s="265"/>
      <c r="BR199" s="265"/>
      <c r="BS199" s="265"/>
      <c r="BT199" s="265"/>
      <c r="BU199" s="265"/>
      <c r="BV199" s="265"/>
    </row>
    <row r="200">
      <c r="A200" s="251">
        <f>VLOOKUP($F200,UpdateHashtag!$V$3:$Y$32,COLUMN(B$15),0)</f>
        <v>3</v>
      </c>
      <c r="B200" s="252">
        <f>VLOOKUP($F200,UpdateHashtag!$V$3:$Y$32,COLUMN(C$13),0)</f>
        <v>4</v>
      </c>
      <c r="C200" s="252">
        <f>VLOOKUP($F200,UpdateHashtag!$V$3:$Y$32,COLUMN(D$13),0)</f>
        <v>3</v>
      </c>
      <c r="D200" s="268">
        <f t="shared" si="4"/>
        <v>10</v>
      </c>
      <c r="E200" s="19"/>
      <c r="F200" s="30" t="str">
        <f>IF(VLOOKUP(J200,PasteHashtag!$C$2:$P1015,3,)="BRO","BKN",IF(VLOOKUP(J200,PasteHashtag!$C$2:$P1015,3,)="OKL","OKC",VLOOKUP(J200,PasteHashtag!$C$2:$P1015,3,)))</f>
        <v>BOS</v>
      </c>
      <c r="G200" s="269">
        <v>181.0</v>
      </c>
      <c r="H200" s="270">
        <f>IFERROR(__xludf.DUMMYFUNCTION("""COMPUTED_VALUE"""),185.0)</f>
        <v>185</v>
      </c>
      <c r="I200" s="270">
        <f>IFERROR(__xludf.DUMMYFUNCTION("""COMPUTED_VALUE"""),146.0)</f>
        <v>146</v>
      </c>
      <c r="J200" s="271" t="str">
        <f>IFERROR(__xludf.DUMMYFUNCTION("""COMPUTED_VALUE"""),"Sam Hauser")</f>
        <v>Sam Hauser</v>
      </c>
      <c r="K200" s="270">
        <f>IFERROR(__xludf.DUMMYFUNCTION("""COMPUTED_VALUE"""),58.0)</f>
        <v>58</v>
      </c>
      <c r="L200" s="272" t="str">
        <f>IFERROR(__xludf.DUMMYFUNCTION("""COMPUTED_VALUE"""),"C")</f>
        <v>C</v>
      </c>
      <c r="M200" s="273">
        <f>IFERROR(__xludf.DUMMYFUNCTION("""COMPUTED_VALUE"""),-4.612416584852124)</f>
        <v>-4.612416585</v>
      </c>
      <c r="N200" s="274">
        <f>IFERROR(__xludf.DUMMYFUNCTION("""COMPUTED_VALUE"""),-4.937232387797352)</f>
        <v>-4.937232388</v>
      </c>
      <c r="O200" s="274">
        <f>IFERROR(__xludf.DUMMYFUNCTION("""COMPUTED_VALUE"""),-0.3248158029452286)</f>
        <v>-0.3248158029</v>
      </c>
      <c r="P200" s="275">
        <f>IFERROR(__xludf.DUMMYFUNCTION("""COMPUTED_VALUE"""),10.31064935)</f>
        <v>10.31064935</v>
      </c>
      <c r="Q200" s="275">
        <f>IFERROR(__xludf.DUMMYFUNCTION("""COMPUTED_VALUE"""),2.681428571)</f>
        <v>2.681428571</v>
      </c>
      <c r="R200" s="275">
        <f>IFERROR(__xludf.DUMMYFUNCTION("""COMPUTED_VALUE"""),3.871038961)</f>
        <v>3.871038961</v>
      </c>
      <c r="S200" s="276">
        <f>IFERROR(__xludf.DUMMYFUNCTION("""COMPUTED_VALUE"""),1.322987013)</f>
        <v>1.322987013</v>
      </c>
      <c r="T200" s="275">
        <f>IFERROR(__xludf.DUMMYFUNCTION("""COMPUTED_VALUE"""),0.544025974)</f>
        <v>0.544025974</v>
      </c>
      <c r="U200" s="275">
        <f>IFERROR(__xludf.DUMMYFUNCTION("""COMPUTED_VALUE"""),0.3897402597)</f>
        <v>0.3897402597</v>
      </c>
      <c r="V200" s="272">
        <f>IFERROR(__xludf.DUMMYFUNCTION("""COMPUTED_VALUE"""),0.4414773256)</f>
        <v>0.4414773256</v>
      </c>
      <c r="W200" s="272">
        <f>IFERROR(__xludf.DUMMYFUNCTION("""COMPUTED_VALUE"""),0.9028484232)</f>
        <v>0.9028484232</v>
      </c>
      <c r="X200" s="275">
        <f>IFERROR(__xludf.DUMMYFUNCTION("""COMPUTED_VALUE"""),0.4388311688)</f>
        <v>0.4388311688</v>
      </c>
      <c r="Y200" s="273">
        <f>IFERROR(__xludf.DUMMYFUNCTION("""COMPUTED_VALUE"""),-1.2938780963179797)</f>
        <v>-1.293878096</v>
      </c>
      <c r="Z200" s="273">
        <f>IFERROR(__xludf.DUMMYFUNCTION("""COMPUTED_VALUE"""),0.9252331530370341)</f>
        <v>0.925233153</v>
      </c>
      <c r="AA200" s="273">
        <f>IFERROR(__xludf.DUMMYFUNCTION("""COMPUTED_VALUE"""),-0.867013642475242)</f>
        <v>-0.8670136425</v>
      </c>
      <c r="AB200" s="273">
        <f>IFERROR(__xludf.DUMMYFUNCTION("""COMPUTED_VALUE"""),-1.1854585261089527)</f>
        <v>-1.185458526</v>
      </c>
      <c r="AC200" s="273">
        <f>IFERROR(__xludf.DUMMYFUNCTION("""COMPUTED_VALUE"""),-1.4291054497174152)</f>
        <v>-1.42910545</v>
      </c>
      <c r="AD200" s="273">
        <f>IFERROR(__xludf.DUMMYFUNCTION("""COMPUTED_VALUE"""),-0.6401983047145606)</f>
        <v>-0.6401983047</v>
      </c>
      <c r="AE200" s="273">
        <f>IFERROR(__xludf.DUMMYFUNCTION("""COMPUTED_VALUE"""),-0.5435664365426867)</f>
        <v>-0.5435664365</v>
      </c>
      <c r="AF200" s="273">
        <f>IFERROR(__xludf.DUMMYFUNCTION("""COMPUTED_VALUE"""),0.09675491504245062)</f>
        <v>0.09675491504</v>
      </c>
      <c r="AG200" s="277">
        <f>IFERROR(__xludf.DUMMYFUNCTION("""COMPUTED_VALUE"""),0.0)</f>
        <v>0</v>
      </c>
      <c r="AH200" s="265"/>
      <c r="AI200" s="338"/>
      <c r="AJ200" s="339"/>
      <c r="AK200" s="265"/>
      <c r="AL200" s="265"/>
      <c r="AM200" s="265"/>
      <c r="AN200" s="265"/>
      <c r="AO200" s="265"/>
      <c r="AP200" s="265"/>
      <c r="AQ200" s="265"/>
      <c r="AR200" s="265"/>
      <c r="AS200" s="265"/>
      <c r="AT200" s="265"/>
      <c r="AU200" s="265"/>
      <c r="AV200" s="265"/>
      <c r="AW200" s="265"/>
      <c r="AX200" s="265"/>
      <c r="AY200" s="265"/>
      <c r="AZ200" s="265"/>
      <c r="BA200" s="265"/>
      <c r="BB200" s="265"/>
      <c r="BC200" s="265"/>
      <c r="BD200" s="265"/>
      <c r="BE200" s="265"/>
      <c r="BF200" s="265"/>
      <c r="BG200" s="265"/>
      <c r="BH200" s="265"/>
      <c r="BI200" s="265"/>
      <c r="BJ200" s="265"/>
      <c r="BK200" s="265"/>
      <c r="BL200" s="265"/>
      <c r="BM200" s="265"/>
      <c r="BN200" s="265"/>
      <c r="BO200" s="265"/>
      <c r="BP200" s="265"/>
      <c r="BQ200" s="265"/>
      <c r="BR200" s="265"/>
      <c r="BS200" s="265"/>
      <c r="BT200" s="265"/>
      <c r="BU200" s="265"/>
      <c r="BV200" s="265"/>
    </row>
    <row r="201">
      <c r="A201" s="251">
        <f>VLOOKUP($F201,UpdateHashtag!$V$3:$Y$32,COLUMN(B$15),0)</f>
        <v>4</v>
      </c>
      <c r="B201" s="252">
        <f>VLOOKUP($F201,UpdateHashtag!$V$3:$Y$32,COLUMN(C$13),0)</f>
        <v>4</v>
      </c>
      <c r="C201" s="252">
        <f>VLOOKUP($F201,UpdateHashtag!$V$3:$Y$32,COLUMN(D$13),0)</f>
        <v>4</v>
      </c>
      <c r="D201" s="268">
        <f t="shared" si="4"/>
        <v>12</v>
      </c>
      <c r="E201" s="19"/>
      <c r="F201" s="30" t="str">
        <f>IF(VLOOKUP(J201,PasteHashtag!$C$2:$P1015,3,)="BRO","BKN",IF(VLOOKUP(J201,PasteHashtag!$C$2:$P1015,3,)="OKL","OKC",VLOOKUP(J201,PasteHashtag!$C$2:$P1015,3,)))</f>
        <v>PHI</v>
      </c>
      <c r="G201" s="269">
        <v>182.0</v>
      </c>
      <c r="H201" s="270">
        <f>IFERROR(__xludf.DUMMYFUNCTION("""COMPUTED_VALUE"""),186.0)</f>
        <v>186</v>
      </c>
      <c r="I201" s="270">
        <f>IFERROR(__xludf.DUMMYFUNCTION("""COMPUTED_VALUE"""),140.2)</f>
        <v>140.2</v>
      </c>
      <c r="J201" s="271" t="str">
        <f>IFERROR(__xludf.DUMMYFUNCTION("""COMPUTED_VALUE"""),"Kyle Lowry")</f>
        <v>Kyle Lowry</v>
      </c>
      <c r="K201" s="270">
        <f>IFERROR(__xludf.DUMMYFUNCTION("""COMPUTED_VALUE"""),65.0)</f>
        <v>65</v>
      </c>
      <c r="L201" s="272" t="str">
        <f>IFERROR(__xludf.DUMMYFUNCTION("""COMPUTED_VALUE"""),"PF,C")</f>
        <v>PF,C</v>
      </c>
      <c r="M201" s="273">
        <f>IFERROR(__xludf.DUMMYFUNCTION("""COMPUTED_VALUE"""),-4.878045469839464)</f>
        <v>-4.87804547</v>
      </c>
      <c r="N201" s="274">
        <f>IFERROR(__xludf.DUMMYFUNCTION("""COMPUTED_VALUE"""),-4.968702389746328)</f>
        <v>-4.96870239</v>
      </c>
      <c r="O201" s="274">
        <f>IFERROR(__xludf.DUMMYFUNCTION("""COMPUTED_VALUE"""),-0.09065691990686364)</f>
        <v>-0.09065691991</v>
      </c>
      <c r="P201" s="275">
        <f>IFERROR(__xludf.DUMMYFUNCTION("""COMPUTED_VALUE"""),6.032794118)</f>
        <v>6.032794118</v>
      </c>
      <c r="Q201" s="275">
        <f>IFERROR(__xludf.DUMMYFUNCTION("""COMPUTED_VALUE"""),1.206617647)</f>
        <v>1.206617647</v>
      </c>
      <c r="R201" s="275">
        <f>IFERROR(__xludf.DUMMYFUNCTION("""COMPUTED_VALUE"""),3.252352941)</f>
        <v>3.252352941</v>
      </c>
      <c r="S201" s="276">
        <f>IFERROR(__xludf.DUMMYFUNCTION("""COMPUTED_VALUE"""),4.1225)</f>
        <v>4.1225</v>
      </c>
      <c r="T201" s="275">
        <f>IFERROR(__xludf.DUMMYFUNCTION("""COMPUTED_VALUE"""),0.8763235294)</f>
        <v>0.8763235294</v>
      </c>
      <c r="U201" s="275">
        <f>IFERROR(__xludf.DUMMYFUNCTION("""COMPUTED_VALUE"""),0.3322058824)</f>
        <v>0.3322058824</v>
      </c>
      <c r="V201" s="272">
        <f>IFERROR(__xludf.DUMMYFUNCTION("""COMPUTED_VALUE"""),0.4196100074)</f>
        <v>0.4196100074</v>
      </c>
      <c r="W201" s="272">
        <f>IFERROR(__xludf.DUMMYFUNCTION("""COMPUTED_VALUE"""),0.8439485511)</f>
        <v>0.8439485511</v>
      </c>
      <c r="X201" s="275">
        <f>IFERROR(__xludf.DUMMYFUNCTION("""COMPUTED_VALUE"""),1.383088235)</f>
        <v>1.383088235</v>
      </c>
      <c r="Y201" s="273">
        <f>IFERROR(__xludf.DUMMYFUNCTION("""COMPUTED_VALUE"""),-2.0649856236086)</f>
        <v>-2.064985624</v>
      </c>
      <c r="Z201" s="273">
        <f>IFERROR(__xludf.DUMMYFUNCTION("""COMPUTED_VALUE"""),-0.5376738921657312)</f>
        <v>-0.5376738922</v>
      </c>
      <c r="AA201" s="273">
        <f>IFERROR(__xludf.DUMMYFUNCTION("""COMPUTED_VALUE"""),-1.1094810222493696)</f>
        <v>-1.109481022</v>
      </c>
      <c r="AB201" s="273">
        <f>IFERROR(__xludf.DUMMYFUNCTION("""COMPUTED_VALUE"""),0.08590784912669161)</f>
        <v>0.08590784913</v>
      </c>
      <c r="AC201" s="273">
        <f>IFERROR(__xludf.DUMMYFUNCTION("""COMPUTED_VALUE"""),-0.3297610012854269)</f>
        <v>-0.3297610013</v>
      </c>
      <c r="AD201" s="273">
        <f>IFERROR(__xludf.DUMMYFUNCTION("""COMPUTED_VALUE"""),-0.7428193715832588)</f>
        <v>-0.7428193716</v>
      </c>
      <c r="AE201" s="273">
        <f>IFERROR(__xludf.DUMMYFUNCTION("""COMPUTED_VALUE"""),-0.43314035564095615)</f>
        <v>-0.4331403556</v>
      </c>
      <c r="AF201" s="273">
        <f>IFERROR(__xludf.DUMMYFUNCTION("""COMPUTED_VALUE"""),0.1632510276603235)</f>
        <v>0.1632510277</v>
      </c>
      <c r="AG201" s="277">
        <f>IFERROR(__xludf.DUMMYFUNCTION("""COMPUTED_VALUE"""),0.0)</f>
        <v>0</v>
      </c>
      <c r="AH201" s="265"/>
      <c r="AI201" s="338"/>
      <c r="AJ201" s="339"/>
      <c r="AK201" s="265"/>
      <c r="AL201" s="265"/>
      <c r="AM201" s="265"/>
      <c r="AN201" s="265"/>
      <c r="AO201" s="265"/>
      <c r="AP201" s="265"/>
      <c r="AQ201" s="265"/>
      <c r="AR201" s="265"/>
      <c r="AS201" s="265"/>
      <c r="AT201" s="265"/>
      <c r="AU201" s="265"/>
      <c r="AV201" s="265"/>
      <c r="AW201" s="265"/>
      <c r="AX201" s="265"/>
      <c r="AY201" s="265"/>
      <c r="AZ201" s="265"/>
      <c r="BA201" s="265"/>
      <c r="BB201" s="265"/>
      <c r="BC201" s="265"/>
      <c r="BD201" s="265"/>
      <c r="BE201" s="265"/>
      <c r="BF201" s="265"/>
      <c r="BG201" s="265"/>
      <c r="BH201" s="265"/>
      <c r="BI201" s="265"/>
      <c r="BJ201" s="265"/>
      <c r="BK201" s="265"/>
      <c r="BL201" s="265"/>
      <c r="BM201" s="265"/>
      <c r="BN201" s="265"/>
      <c r="BO201" s="265"/>
      <c r="BP201" s="265"/>
      <c r="BQ201" s="265"/>
      <c r="BR201" s="265"/>
      <c r="BS201" s="265"/>
      <c r="BT201" s="265"/>
      <c r="BU201" s="265"/>
      <c r="BV201" s="265"/>
    </row>
    <row r="202">
      <c r="A202" s="251">
        <f>VLOOKUP($F202,UpdateHashtag!$V$3:$Y$32,COLUMN(B$15),0)</f>
        <v>4</v>
      </c>
      <c r="B202" s="252">
        <f>VLOOKUP($F202,UpdateHashtag!$V$3:$Y$32,COLUMN(C$13),0)</f>
        <v>4</v>
      </c>
      <c r="C202" s="252">
        <f>VLOOKUP($F202,UpdateHashtag!$V$3:$Y$32,COLUMN(D$13),0)</f>
        <v>3</v>
      </c>
      <c r="D202" s="268">
        <f t="shared" si="4"/>
        <v>11</v>
      </c>
      <c r="E202" s="19"/>
      <c r="F202" s="30" t="str">
        <f>IF(VLOOKUP(J202,PasteHashtag!$C$2:$P1015,3,)="BRO","BKN",IF(VLOOKUP(J202,PasteHashtag!$C$2:$P1015,3,)="OKL","OKC",VLOOKUP(J202,PasteHashtag!$C$2:$P1015,3,)))</f>
        <v>MEM</v>
      </c>
      <c r="G202" s="269">
        <v>183.0</v>
      </c>
      <c r="H202" s="270">
        <f>IFERROR(__xludf.DUMMYFUNCTION("""COMPUTED_VALUE"""),177.0)</f>
        <v>177</v>
      </c>
      <c r="I202" s="270">
        <f>IFERROR(__xludf.DUMMYFUNCTION("""COMPUTED_VALUE"""),103.5)</f>
        <v>103.5</v>
      </c>
      <c r="J202" s="271" t="str">
        <f>IFERROR(__xludf.DUMMYFUNCTION("""COMPUTED_VALUE"""),"Zach Edey")</f>
        <v>Zach Edey</v>
      </c>
      <c r="K202" s="270">
        <f>IFERROR(__xludf.DUMMYFUNCTION("""COMPUTED_VALUE"""),64.0)</f>
        <v>64</v>
      </c>
      <c r="L202" s="272" t="str">
        <f>IFERROR(__xludf.DUMMYFUNCTION("""COMPUTED_VALUE"""),"C")</f>
        <v>C</v>
      </c>
      <c r="M202" s="273">
        <f>IFERROR(__xludf.DUMMYFUNCTION("""COMPUTED_VALUE"""),-4.939189595675138)</f>
        <v>-4.939189596</v>
      </c>
      <c r="N202" s="274">
        <f>IFERROR(__xludf.DUMMYFUNCTION("""COMPUTED_VALUE"""),-4.980724171947906)</f>
        <v>-4.980724172</v>
      </c>
      <c r="O202" s="274">
        <f>IFERROR(__xludf.DUMMYFUNCTION("""COMPUTED_VALUE"""),-0.04153457627276769)</f>
        <v>-0.04153457627</v>
      </c>
      <c r="P202" s="275">
        <f>IFERROR(__xludf.DUMMYFUNCTION("""COMPUTED_VALUE"""),11.82176471)</f>
        <v>11.82176471</v>
      </c>
      <c r="Q202" s="275">
        <f>IFERROR(__xludf.DUMMYFUNCTION("""COMPUTED_VALUE"""),0.05029411765)</f>
        <v>0.05029411765</v>
      </c>
      <c r="R202" s="275">
        <f>IFERROR(__xludf.DUMMYFUNCTION("""COMPUTED_VALUE"""),8.145882353)</f>
        <v>8.145882353</v>
      </c>
      <c r="S202" s="276">
        <f>IFERROR(__xludf.DUMMYFUNCTION("""COMPUTED_VALUE"""),0.9583823529)</f>
        <v>0.9583823529</v>
      </c>
      <c r="T202" s="275">
        <f>IFERROR(__xludf.DUMMYFUNCTION("""COMPUTED_VALUE"""),0.2875)</f>
        <v>0.2875</v>
      </c>
      <c r="U202" s="275">
        <f>IFERROR(__xludf.DUMMYFUNCTION("""COMPUTED_VALUE"""),1.245882353)</f>
        <v>1.245882353</v>
      </c>
      <c r="V202" s="272">
        <f>IFERROR(__xludf.DUMMYFUNCTION("""COMPUTED_VALUE"""),0.5588993529)</f>
        <v>0.5588993529</v>
      </c>
      <c r="W202" s="272">
        <f>IFERROR(__xludf.DUMMYFUNCTION("""COMPUTED_VALUE"""),0.7150122764)</f>
        <v>0.7150122764</v>
      </c>
      <c r="X202" s="275">
        <f>IFERROR(__xludf.DUMMYFUNCTION("""COMPUTED_VALUE"""),1.581176471)</f>
        <v>1.581176471</v>
      </c>
      <c r="Y202" s="273">
        <f>IFERROR(__xludf.DUMMYFUNCTION("""COMPUTED_VALUE"""),-1.0214910318881016)</f>
        <v>-1.021491032</v>
      </c>
      <c r="Z202" s="273">
        <f>IFERROR(__xludf.DUMMYFUNCTION("""COMPUTED_VALUE"""),-1.6846642012908362)</f>
        <v>-1.684664201</v>
      </c>
      <c r="AA202" s="273">
        <f>IFERROR(__xludf.DUMMYFUNCTION("""COMPUTED_VALUE"""),0.8083273910961699)</f>
        <v>0.8083273911</v>
      </c>
      <c r="AB202" s="273">
        <f>IFERROR(__xludf.DUMMYFUNCTION("""COMPUTED_VALUE"""),-1.3510395065358747)</f>
        <v>-1.351039507</v>
      </c>
      <c r="AC202" s="273">
        <f>IFERROR(__xludf.DUMMYFUNCTION("""COMPUTED_VALUE"""),-2.27777376163455)</f>
        <v>-2.277773762</v>
      </c>
      <c r="AD202" s="273">
        <f>IFERROR(__xludf.DUMMYFUNCTION("""COMPUTED_VALUE"""),0.886857676921075)</f>
        <v>0.8868576769</v>
      </c>
      <c r="AE202" s="273">
        <f>IFERROR(__xludf.DUMMYFUNCTION("""COMPUTED_VALUE"""),0.6013370244031545)</f>
        <v>0.6013370244</v>
      </c>
      <c r="AF202" s="273">
        <f>IFERROR(__xludf.DUMMYFUNCTION("""COMPUTED_VALUE"""),-0.9422777630189418)</f>
        <v>-0.942277763</v>
      </c>
      <c r="AG202" s="277">
        <f>IFERROR(__xludf.DUMMYFUNCTION("""COMPUTED_VALUE"""),0.0)</f>
        <v>0</v>
      </c>
      <c r="AH202" s="265"/>
      <c r="AI202" s="338"/>
      <c r="AJ202" s="339"/>
      <c r="AK202" s="265"/>
      <c r="AL202" s="265"/>
      <c r="AM202" s="265"/>
      <c r="AN202" s="265"/>
      <c r="AO202" s="265"/>
      <c r="AP202" s="265"/>
      <c r="AQ202" s="265"/>
      <c r="AR202" s="265"/>
      <c r="AS202" s="265"/>
      <c r="AT202" s="265"/>
      <c r="AU202" s="265"/>
      <c r="AV202" s="265"/>
      <c r="AW202" s="265"/>
      <c r="AX202" s="265"/>
      <c r="AY202" s="265"/>
      <c r="AZ202" s="265"/>
      <c r="BA202" s="265"/>
      <c r="BB202" s="265"/>
      <c r="BC202" s="265"/>
      <c r="BD202" s="265"/>
      <c r="BE202" s="265"/>
      <c r="BF202" s="265"/>
      <c r="BG202" s="265"/>
      <c r="BH202" s="265"/>
      <c r="BI202" s="265"/>
      <c r="BJ202" s="265"/>
      <c r="BK202" s="265"/>
      <c r="BL202" s="265"/>
      <c r="BM202" s="265"/>
      <c r="BN202" s="265"/>
      <c r="BO202" s="265"/>
      <c r="BP202" s="265"/>
      <c r="BQ202" s="265"/>
      <c r="BR202" s="265"/>
      <c r="BS202" s="265"/>
      <c r="BT202" s="265"/>
      <c r="BU202" s="265"/>
      <c r="BV202" s="265"/>
    </row>
    <row r="203">
      <c r="A203" s="251">
        <f>VLOOKUP($F203,UpdateHashtag!$V$3:$Y$32,COLUMN(B$15),0)</f>
        <v>4</v>
      </c>
      <c r="B203" s="252">
        <f>VLOOKUP($F203,UpdateHashtag!$V$3:$Y$32,COLUMN(C$13),0)</f>
        <v>4</v>
      </c>
      <c r="C203" s="252">
        <f>VLOOKUP($F203,UpdateHashtag!$V$3:$Y$32,COLUMN(D$13),0)</f>
        <v>3</v>
      </c>
      <c r="D203" s="268">
        <f t="shared" si="4"/>
        <v>11</v>
      </c>
      <c r="E203" s="19"/>
      <c r="F203" s="30" t="str">
        <f>IF(VLOOKUP(J203,PasteHashtag!$C$2:$P1015,3,)="BRO","BKN",IF(VLOOKUP(J203,PasteHashtag!$C$2:$P1015,3,)="OKL","OKC",VLOOKUP(J203,PasteHashtag!$C$2:$P1015,3,)))</f>
        <v>MEM</v>
      </c>
      <c r="G203" s="269">
        <v>184.0</v>
      </c>
      <c r="H203" s="270">
        <f>IFERROR(__xludf.DUMMYFUNCTION("""COMPUTED_VALUE"""),179.0)</f>
        <v>179</v>
      </c>
      <c r="I203" s="270"/>
      <c r="J203" s="271" t="str">
        <f>IFERROR(__xludf.DUMMYFUNCTION("""COMPUTED_VALUE"""),"Brandon Clarke")</f>
        <v>Brandon Clarke</v>
      </c>
      <c r="K203" s="270">
        <f>IFERROR(__xludf.DUMMYFUNCTION("""COMPUTED_VALUE"""),68.0)</f>
        <v>68</v>
      </c>
      <c r="L203" s="272" t="str">
        <f>IFERROR(__xludf.DUMMYFUNCTION("""COMPUTED_VALUE"""),"PG")</f>
        <v>PG</v>
      </c>
      <c r="M203" s="273">
        <f>IFERROR(__xludf.DUMMYFUNCTION("""COMPUTED_VALUE"""),-4.814792646198352)</f>
        <v>-4.814792646</v>
      </c>
      <c r="N203" s="274">
        <f>IFERROR(__xludf.DUMMYFUNCTION("""COMPUTED_VALUE"""),-5.044428965386623)</f>
        <v>-5.044428965</v>
      </c>
      <c r="O203" s="274">
        <f>IFERROR(__xludf.DUMMYFUNCTION("""COMPUTED_VALUE"""),-0.22963631918827065)</f>
        <v>-0.2296363192</v>
      </c>
      <c r="P203" s="275">
        <f>IFERROR(__xludf.DUMMYFUNCTION("""COMPUTED_VALUE"""),8.978529412)</f>
        <v>8.978529412</v>
      </c>
      <c r="Q203" s="275">
        <f>IFERROR(__xludf.DUMMYFUNCTION("""COMPUTED_VALUE"""),0.06470588235)</f>
        <v>0.06470588235</v>
      </c>
      <c r="R203" s="275">
        <f>IFERROR(__xludf.DUMMYFUNCTION("""COMPUTED_VALUE"""),5.3375)</f>
        <v>5.3375</v>
      </c>
      <c r="S203" s="276">
        <f>IFERROR(__xludf.DUMMYFUNCTION("""COMPUTED_VALUE"""),1.428529412)</f>
        <v>1.428529412</v>
      </c>
      <c r="T203" s="275">
        <f>IFERROR(__xludf.DUMMYFUNCTION("""COMPUTED_VALUE"""),0.7139705882)</f>
        <v>0.7139705882</v>
      </c>
      <c r="U203" s="275">
        <f>IFERROR(__xludf.DUMMYFUNCTION("""COMPUTED_VALUE"""),0.8311764706)</f>
        <v>0.8311764706</v>
      </c>
      <c r="V203" s="272">
        <f>IFERROR(__xludf.DUMMYFUNCTION("""COMPUTED_VALUE"""),0.6084892805)</f>
        <v>0.6084892805</v>
      </c>
      <c r="W203" s="272">
        <f>IFERROR(__xludf.DUMMYFUNCTION("""COMPUTED_VALUE"""),0.6939863731)</f>
        <v>0.6939863731</v>
      </c>
      <c r="X203" s="275">
        <f>IFERROR(__xludf.DUMMYFUNCTION("""COMPUTED_VALUE"""),0.8226470588)</f>
        <v>0.8226470588</v>
      </c>
      <c r="Y203" s="273">
        <f>IFERROR(__xludf.DUMMYFUNCTION("""COMPUTED_VALUE"""),-1.5340002266233266)</f>
        <v>-1.534000227</v>
      </c>
      <c r="Z203" s="273">
        <f>IFERROR(__xludf.DUMMYFUNCTION("""COMPUTED_VALUE"""),-1.6703687605869846)</f>
        <v>-1.670368761</v>
      </c>
      <c r="AA203" s="273">
        <f>IFERROR(__xludf.DUMMYFUNCTION("""COMPUTED_VALUE"""),-0.2922973014349601)</f>
        <v>-0.2922973014</v>
      </c>
      <c r="AB203" s="273">
        <f>IFERROR(__xludf.DUMMYFUNCTION("""COMPUTED_VALUE"""),-1.1375276688943567)</f>
        <v>-1.137527669</v>
      </c>
      <c r="AC203" s="273">
        <f>IFERROR(__xludf.DUMMYFUNCTION("""COMPUTED_VALUE"""),-0.86687540882291)</f>
        <v>-0.8668754088</v>
      </c>
      <c r="AD203" s="273">
        <f>IFERROR(__xludf.DUMMYFUNCTION("""COMPUTED_VALUE"""),0.14716843223339707)</f>
        <v>0.1471684322</v>
      </c>
      <c r="AE203" s="273">
        <f>IFERROR(__xludf.DUMMYFUNCTION("""COMPUTED_VALUE"""),0.837858554468087)</f>
        <v>0.8378585545</v>
      </c>
      <c r="AF203" s="273">
        <f>IFERROR(__xludf.DUMMYFUNCTION("""COMPUTED_VALUE"""),-0.5283865857255696)</f>
        <v>-0.5283865857</v>
      </c>
      <c r="AG203" s="277">
        <f>IFERROR(__xludf.DUMMYFUNCTION("""COMPUTED_VALUE"""),0.0)</f>
        <v>0</v>
      </c>
      <c r="AH203" s="265"/>
      <c r="AI203" s="338"/>
      <c r="AJ203" s="339"/>
      <c r="AK203" s="265"/>
      <c r="AL203" s="265"/>
      <c r="AM203" s="265"/>
      <c r="AN203" s="265"/>
      <c r="AO203" s="265"/>
      <c r="AP203" s="265"/>
      <c r="AQ203" s="265"/>
      <c r="AR203" s="265"/>
      <c r="AS203" s="265"/>
      <c r="AT203" s="265"/>
      <c r="AU203" s="265"/>
      <c r="AV203" s="265"/>
      <c r="AW203" s="265"/>
      <c r="AX203" s="265"/>
      <c r="AY203" s="265"/>
      <c r="AZ203" s="265"/>
      <c r="BA203" s="265"/>
      <c r="BB203" s="265"/>
      <c r="BC203" s="265"/>
      <c r="BD203" s="265"/>
      <c r="BE203" s="265"/>
      <c r="BF203" s="265"/>
      <c r="BG203" s="265"/>
      <c r="BH203" s="265"/>
      <c r="BI203" s="265"/>
      <c r="BJ203" s="265"/>
      <c r="BK203" s="265"/>
      <c r="BL203" s="265"/>
      <c r="BM203" s="265"/>
      <c r="BN203" s="265"/>
      <c r="BO203" s="265"/>
      <c r="BP203" s="265"/>
      <c r="BQ203" s="265"/>
      <c r="BR203" s="265"/>
      <c r="BS203" s="265"/>
      <c r="BT203" s="265"/>
      <c r="BU203" s="265"/>
      <c r="BV203" s="265"/>
    </row>
    <row r="204">
      <c r="A204" s="251">
        <f>VLOOKUP($F204,UpdateHashtag!$V$3:$Y$32,COLUMN(B$15),0)</f>
        <v>3</v>
      </c>
      <c r="B204" s="252">
        <f>VLOOKUP($F204,UpdateHashtag!$V$3:$Y$32,COLUMN(C$13),0)</f>
        <v>4</v>
      </c>
      <c r="C204" s="252">
        <f>VLOOKUP($F204,UpdateHashtag!$V$3:$Y$32,COLUMN(D$13),0)</f>
        <v>4</v>
      </c>
      <c r="D204" s="268">
        <f t="shared" si="4"/>
        <v>11</v>
      </c>
      <c r="E204" s="19"/>
      <c r="F204" s="30" t="str">
        <f>IF(VLOOKUP(J204,PasteHashtag!$C$2:$P1015,3,)="BRO","BKN",IF(VLOOKUP(J204,PasteHashtag!$C$2:$P1015,3,)="OKL","OKC",VLOOKUP(J204,PasteHashtag!$C$2:$P1015,3,)))</f>
        <v>IND</v>
      </c>
      <c r="G204" s="269">
        <v>185.0</v>
      </c>
      <c r="H204" s="270">
        <f>IFERROR(__xludf.DUMMYFUNCTION("""COMPUTED_VALUE"""),180.0)</f>
        <v>180</v>
      </c>
      <c r="I204" s="270"/>
      <c r="J204" s="271" t="str">
        <f>IFERROR(__xludf.DUMMYFUNCTION("""COMPUTED_VALUE"""),"Isaiah Jackson")</f>
        <v>Isaiah Jackson</v>
      </c>
      <c r="K204" s="270">
        <f>IFERROR(__xludf.DUMMYFUNCTION("""COMPUTED_VALUE"""),68.0)</f>
        <v>68</v>
      </c>
      <c r="L204" s="272" t="str">
        <f>IFERROR(__xludf.DUMMYFUNCTION("""COMPUTED_VALUE"""),"SG,SF")</f>
        <v>SG,SF</v>
      </c>
      <c r="M204" s="273">
        <f>IFERROR(__xludf.DUMMYFUNCTION("""COMPUTED_VALUE"""),-4.811990600779328)</f>
        <v>-4.811990601</v>
      </c>
      <c r="N204" s="274">
        <f>IFERROR(__xludf.DUMMYFUNCTION("""COMPUTED_VALUE"""),-5.044471420916386)</f>
        <v>-5.044471421</v>
      </c>
      <c r="O204" s="274">
        <f>IFERROR(__xludf.DUMMYFUNCTION("""COMPUTED_VALUE"""),-0.23248082013705762)</f>
        <v>-0.2324808201</v>
      </c>
      <c r="P204" s="275">
        <f>IFERROR(__xludf.DUMMYFUNCTION("""COMPUTED_VALUE"""),7.695588235)</f>
        <v>7.695588235</v>
      </c>
      <c r="Q204" s="275">
        <f>IFERROR(__xludf.DUMMYFUNCTION("""COMPUTED_VALUE"""),0.0)</f>
        <v>0</v>
      </c>
      <c r="R204" s="275">
        <f>IFERROR(__xludf.DUMMYFUNCTION("""COMPUTED_VALUE"""),5.252941176)</f>
        <v>5.252941176</v>
      </c>
      <c r="S204" s="276">
        <f>IFERROR(__xludf.DUMMYFUNCTION("""COMPUTED_VALUE"""),0.9675)</f>
        <v>0.9675</v>
      </c>
      <c r="T204" s="275">
        <f>IFERROR(__xludf.DUMMYFUNCTION("""COMPUTED_VALUE"""),0.6566176471)</f>
        <v>0.6566176471</v>
      </c>
      <c r="U204" s="275">
        <f>IFERROR(__xludf.DUMMYFUNCTION("""COMPUTED_VALUE"""),1.441617647)</f>
        <v>1.441617647</v>
      </c>
      <c r="V204" s="272">
        <f>IFERROR(__xludf.DUMMYFUNCTION("""COMPUTED_VALUE"""),0.630990041)</f>
        <v>0.630990041</v>
      </c>
      <c r="W204" s="272">
        <f>IFERROR(__xludf.DUMMYFUNCTION("""COMPUTED_VALUE"""),0.6769658808)</f>
        <v>0.6769658808</v>
      </c>
      <c r="X204" s="275">
        <f>IFERROR(__xludf.DUMMYFUNCTION("""COMPUTED_VALUE"""),0.8111764706)</f>
        <v>0.8111764706</v>
      </c>
      <c r="Y204" s="273">
        <f>IFERROR(__xludf.DUMMYFUNCTION("""COMPUTED_VALUE"""),-1.7652576079520712)</f>
        <v>-1.765257608</v>
      </c>
      <c r="Z204" s="273">
        <f>IFERROR(__xludf.DUMMYFUNCTION("""COMPUTED_VALUE"""),-1.7345523719336797)</f>
        <v>-1.734552372</v>
      </c>
      <c r="AA204" s="273">
        <f>IFERROR(__xludf.DUMMYFUNCTION("""COMPUTED_VALUE"""),-0.3254364961626212)</f>
        <v>-0.3254364962</v>
      </c>
      <c r="AB204" s="273">
        <f>IFERROR(__xludf.DUMMYFUNCTION("""COMPUTED_VALUE"""),-1.346898832783678)</f>
        <v>-1.346898833</v>
      </c>
      <c r="AC204" s="273">
        <f>IFERROR(__xludf.DUMMYFUNCTION("""COMPUTED_VALUE"""),-1.0566169112051205)</f>
        <v>-1.056616911</v>
      </c>
      <c r="AD204" s="273">
        <f>IFERROR(__xludf.DUMMYFUNCTION("""COMPUTED_VALUE"""),1.2359805081181772)</f>
        <v>1.235980508</v>
      </c>
      <c r="AE204" s="273">
        <f>IFERROR(__xludf.DUMMYFUNCTION("""COMPUTED_VALUE"""),0.7810285401687446)</f>
        <v>0.7810285402</v>
      </c>
      <c r="AF204" s="273">
        <f>IFERROR(__xludf.DUMMYFUNCTION("""COMPUTED_VALUE"""),-0.8327182491661373)</f>
        <v>-0.8327182492</v>
      </c>
      <c r="AG204" s="277">
        <f>IFERROR(__xludf.DUMMYFUNCTION("""COMPUTED_VALUE"""),0.0)</f>
        <v>0</v>
      </c>
      <c r="AH204" s="265"/>
      <c r="AI204" s="338"/>
      <c r="AJ204" s="339"/>
      <c r="AK204" s="265"/>
      <c r="AL204" s="265"/>
      <c r="AM204" s="265"/>
      <c r="AN204" s="265"/>
      <c r="AO204" s="265"/>
      <c r="AP204" s="265"/>
      <c r="AQ204" s="265"/>
      <c r="AR204" s="265"/>
      <c r="AS204" s="265"/>
      <c r="AT204" s="265"/>
      <c r="AU204" s="265"/>
      <c r="AV204" s="265"/>
      <c r="AW204" s="265"/>
      <c r="AX204" s="265"/>
      <c r="AY204" s="265"/>
      <c r="AZ204" s="265"/>
      <c r="BA204" s="265"/>
      <c r="BB204" s="265"/>
      <c r="BC204" s="265"/>
      <c r="BD204" s="265"/>
      <c r="BE204" s="265"/>
      <c r="BF204" s="265"/>
      <c r="BG204" s="265"/>
      <c r="BH204" s="265"/>
      <c r="BI204" s="265"/>
      <c r="BJ204" s="265"/>
      <c r="BK204" s="265"/>
      <c r="BL204" s="265"/>
      <c r="BM204" s="265"/>
      <c r="BN204" s="265"/>
      <c r="BO204" s="265"/>
      <c r="BP204" s="265"/>
      <c r="BQ204" s="265"/>
      <c r="BR204" s="265"/>
      <c r="BS204" s="265"/>
      <c r="BT204" s="265"/>
      <c r="BU204" s="265"/>
      <c r="BV204" s="265"/>
    </row>
    <row r="205">
      <c r="A205" s="251">
        <f>VLOOKUP($F205,UpdateHashtag!$V$3:$Y$32,COLUMN(B$15),0)</f>
        <v>3</v>
      </c>
      <c r="B205" s="252">
        <f>VLOOKUP($F205,UpdateHashtag!$V$3:$Y$32,COLUMN(C$13),0)</f>
        <v>4</v>
      </c>
      <c r="C205" s="252">
        <f>VLOOKUP($F205,UpdateHashtag!$V$3:$Y$32,COLUMN(D$13),0)</f>
        <v>3</v>
      </c>
      <c r="D205" s="268">
        <f t="shared" si="4"/>
        <v>10</v>
      </c>
      <c r="E205" s="19"/>
      <c r="F205" s="30" t="str">
        <f>IF(VLOOKUP(J205,PasteHashtag!$C$2:$P1015,3,)="BRO","BKN",IF(VLOOKUP(J205,PasteHashtag!$C$2:$P1015,3,)="OKL","OKC",VLOOKUP(J205,PasteHashtag!$C$2:$P1015,3,)))</f>
        <v>BOS</v>
      </c>
      <c r="G205" s="269">
        <v>186.0</v>
      </c>
      <c r="H205" s="270">
        <f>IFERROR(__xludf.DUMMYFUNCTION("""COMPUTED_VALUE"""),184.0)</f>
        <v>184</v>
      </c>
      <c r="I205" s="270">
        <f>IFERROR(__xludf.DUMMYFUNCTION("""COMPUTED_VALUE"""),143.0)</f>
        <v>143</v>
      </c>
      <c r="J205" s="271" t="str">
        <f>IFERROR(__xludf.DUMMYFUNCTION("""COMPUTED_VALUE"""),"Payton Pritchard")</f>
        <v>Payton Pritchard</v>
      </c>
      <c r="K205" s="270">
        <f>IFERROR(__xludf.DUMMYFUNCTION("""COMPUTED_VALUE"""),64.0)</f>
        <v>64</v>
      </c>
      <c r="L205" s="272" t="str">
        <f>IFERROR(__xludf.DUMMYFUNCTION("""COMPUTED_VALUE"""),"PF,C")</f>
        <v>PF,C</v>
      </c>
      <c r="M205" s="273">
        <f>IFERROR(__xludf.DUMMYFUNCTION("""COMPUTED_VALUE"""),-4.859216190696542)</f>
        <v>-4.859216191</v>
      </c>
      <c r="N205" s="274">
        <f>IFERROR(__xludf.DUMMYFUNCTION("""COMPUTED_VALUE"""),-5.071602690720819)</f>
        <v>-5.071602691</v>
      </c>
      <c r="O205" s="274">
        <f>IFERROR(__xludf.DUMMYFUNCTION("""COMPUTED_VALUE"""),-0.21238650002427661)</f>
        <v>-0.2123865</v>
      </c>
      <c r="P205" s="275">
        <f>IFERROR(__xludf.DUMMYFUNCTION("""COMPUTED_VALUE"""),11.11766234)</f>
        <v>11.11766234</v>
      </c>
      <c r="Q205" s="275">
        <f>IFERROR(__xludf.DUMMYFUNCTION("""COMPUTED_VALUE"""),1.834415584)</f>
        <v>1.834415584</v>
      </c>
      <c r="R205" s="275">
        <f>IFERROR(__xludf.DUMMYFUNCTION("""COMPUTED_VALUE"""),3.099220779)</f>
        <v>3.099220779</v>
      </c>
      <c r="S205" s="276">
        <f>IFERROR(__xludf.DUMMYFUNCTION("""COMPUTED_VALUE"""),3.662727273)</f>
        <v>3.662727273</v>
      </c>
      <c r="T205" s="275">
        <f>IFERROR(__xludf.DUMMYFUNCTION("""COMPUTED_VALUE"""),0.5123376623)</f>
        <v>0.5123376623</v>
      </c>
      <c r="U205" s="275">
        <f>IFERROR(__xludf.DUMMYFUNCTION("""COMPUTED_VALUE"""),0.04714285714)</f>
        <v>0.04714285714</v>
      </c>
      <c r="V205" s="272">
        <f>IFERROR(__xludf.DUMMYFUNCTION("""COMPUTED_VALUE"""),0.4891643132)</f>
        <v>0.4891643132</v>
      </c>
      <c r="W205" s="272">
        <f>IFERROR(__xludf.DUMMYFUNCTION("""COMPUTED_VALUE"""),0.8570634038)</f>
        <v>0.8570634038</v>
      </c>
      <c r="X205" s="275">
        <f>IFERROR(__xludf.DUMMYFUNCTION("""COMPUTED_VALUE"""),0.8922077922)</f>
        <v>0.8922077922</v>
      </c>
      <c r="Y205" s="273">
        <f>IFERROR(__xludf.DUMMYFUNCTION("""COMPUTED_VALUE"""),-1.1484094543323151)</f>
        <v>-1.148409454</v>
      </c>
      <c r="Z205" s="273">
        <f>IFERROR(__xludf.DUMMYFUNCTION("""COMPUTED_VALUE"""),0.08505679829466964)</f>
        <v>0.08505679829</v>
      </c>
      <c r="AA205" s="273">
        <f>IFERROR(__xludf.DUMMYFUNCTION("""COMPUTED_VALUE"""),-1.1694945879014385)</f>
        <v>-1.169494588</v>
      </c>
      <c r="AB205" s="273">
        <f>IFERROR(__xludf.DUMMYFUNCTION("""COMPUTED_VALUE"""),-0.12289260583551191)</f>
        <v>-0.1228926058</v>
      </c>
      <c r="AC205" s="273">
        <f>IFERROR(__xludf.DUMMYFUNCTION("""COMPUTED_VALUE"""),-1.5339403152813325)</f>
        <v>-1.533940315</v>
      </c>
      <c r="AD205" s="273">
        <f>IFERROR(__xludf.DUMMYFUNCTION("""COMPUTED_VALUE"""),-1.2512714162532521)</f>
        <v>-1.251271416</v>
      </c>
      <c r="AE205" s="273">
        <f>IFERROR(__xludf.DUMMYFUNCTION("""COMPUTED_VALUE"""),-0.08343643846781577)</f>
        <v>-0.08343643847</v>
      </c>
      <c r="AF205" s="273">
        <f>IFERROR(__xludf.DUMMYFUNCTION("""COMPUTED_VALUE"""),0.15278532905617712)</f>
        <v>0.1527853291</v>
      </c>
      <c r="AG205" s="277">
        <f>IFERROR(__xludf.DUMMYFUNCTION("""COMPUTED_VALUE"""),0.0)</f>
        <v>0</v>
      </c>
      <c r="AH205" s="265"/>
      <c r="AI205" s="338"/>
      <c r="AJ205" s="339"/>
      <c r="AK205" s="265"/>
      <c r="AL205" s="265"/>
      <c r="AM205" s="265"/>
      <c r="AN205" s="265"/>
      <c r="AO205" s="265"/>
      <c r="AP205" s="265"/>
      <c r="AQ205" s="265"/>
      <c r="AR205" s="265"/>
      <c r="AS205" s="265"/>
      <c r="AT205" s="265"/>
      <c r="AU205" s="265"/>
      <c r="AV205" s="265"/>
      <c r="AW205" s="265"/>
      <c r="AX205" s="265"/>
      <c r="AY205" s="265"/>
      <c r="AZ205" s="265"/>
      <c r="BA205" s="265"/>
      <c r="BB205" s="265"/>
      <c r="BC205" s="265"/>
      <c r="BD205" s="265"/>
      <c r="BE205" s="265"/>
      <c r="BF205" s="265"/>
      <c r="BG205" s="265"/>
      <c r="BH205" s="265"/>
      <c r="BI205" s="265"/>
      <c r="BJ205" s="265"/>
      <c r="BK205" s="265"/>
      <c r="BL205" s="265"/>
      <c r="BM205" s="265"/>
      <c r="BN205" s="265"/>
      <c r="BO205" s="265"/>
      <c r="BP205" s="265"/>
      <c r="BQ205" s="265"/>
      <c r="BR205" s="265"/>
      <c r="BS205" s="265"/>
      <c r="BT205" s="265"/>
      <c r="BU205" s="265"/>
      <c r="BV205" s="265"/>
    </row>
    <row r="206">
      <c r="A206" s="251">
        <f>VLOOKUP($F206,UpdateHashtag!$V$3:$Y$32,COLUMN(B$15),0)</f>
        <v>4</v>
      </c>
      <c r="B206" s="252">
        <f>VLOOKUP($F206,UpdateHashtag!$V$3:$Y$32,COLUMN(C$13),0)</f>
        <v>4</v>
      </c>
      <c r="C206" s="252">
        <f>VLOOKUP($F206,UpdateHashtag!$V$3:$Y$32,COLUMN(D$13),0)</f>
        <v>4</v>
      </c>
      <c r="D206" s="268">
        <f t="shared" si="4"/>
        <v>12</v>
      </c>
      <c r="E206" s="19"/>
      <c r="F206" s="30" t="str">
        <f>IF(VLOOKUP(J206,PasteHashtag!$C$2:$P1015,3,)="BRO","BKN",IF(VLOOKUP(J206,PasteHashtag!$C$2:$P1015,3,)="OKL","OKC",VLOOKUP(J206,PasteHashtag!$C$2:$P1015,3,)))</f>
        <v>LAC</v>
      </c>
      <c r="G206" s="269">
        <v>187.0</v>
      </c>
      <c r="H206" s="270">
        <f>IFERROR(__xludf.DUMMYFUNCTION("""COMPUTED_VALUE"""),190.0)</f>
        <v>190</v>
      </c>
      <c r="I206" s="270"/>
      <c r="J206" s="271" t="str">
        <f>IFERROR(__xludf.DUMMYFUNCTION("""COMPUTED_VALUE"""),"Kris Dunn")</f>
        <v>Kris Dunn</v>
      </c>
      <c r="K206" s="270">
        <f>IFERROR(__xludf.DUMMYFUNCTION("""COMPUTED_VALUE"""),54.0)</f>
        <v>54</v>
      </c>
      <c r="L206" s="272" t="str">
        <f>IFERROR(__xludf.DUMMYFUNCTION("""COMPUTED_VALUE"""),"PF,C")</f>
        <v>PF,C</v>
      </c>
      <c r="M206" s="273">
        <f>IFERROR(__xludf.DUMMYFUNCTION("""COMPUTED_VALUE"""),-4.903488301514703)</f>
        <v>-4.903488302</v>
      </c>
      <c r="N206" s="274">
        <f>IFERROR(__xludf.DUMMYFUNCTION("""COMPUTED_VALUE"""),-5.092572248068785)</f>
        <v>-5.092572248</v>
      </c>
      <c r="O206" s="274">
        <f>IFERROR(__xludf.DUMMYFUNCTION("""COMPUTED_VALUE"""),-0.18908394655408145)</f>
        <v>-0.1890839466</v>
      </c>
      <c r="P206" s="275">
        <f>IFERROR(__xludf.DUMMYFUNCTION("""COMPUTED_VALUE"""),6.855)</f>
        <v>6.855</v>
      </c>
      <c r="Q206" s="275">
        <f>IFERROR(__xludf.DUMMYFUNCTION("""COMPUTED_VALUE"""),0.5558823529)</f>
        <v>0.5558823529</v>
      </c>
      <c r="R206" s="275">
        <f>IFERROR(__xludf.DUMMYFUNCTION("""COMPUTED_VALUE"""),3.087058824)</f>
        <v>3.087058824</v>
      </c>
      <c r="S206" s="276">
        <f>IFERROR(__xludf.DUMMYFUNCTION("""COMPUTED_VALUE"""),3.172794118)</f>
        <v>3.172794118</v>
      </c>
      <c r="T206" s="275">
        <f>IFERROR(__xludf.DUMMYFUNCTION("""COMPUTED_VALUE"""),1.134705882)</f>
        <v>1.134705882</v>
      </c>
      <c r="U206" s="275">
        <f>IFERROR(__xludf.DUMMYFUNCTION("""COMPUTED_VALUE"""),0.3429411765)</f>
        <v>0.3429411765</v>
      </c>
      <c r="V206" s="272">
        <f>IFERROR(__xludf.DUMMYFUNCTION("""COMPUTED_VALUE"""),0.4780382646)</f>
        <v>0.4780382646</v>
      </c>
      <c r="W206" s="272">
        <f>IFERROR(__xludf.DUMMYFUNCTION("""COMPUTED_VALUE"""),0.7420549815)</f>
        <v>0.7420549815</v>
      </c>
      <c r="X206" s="275">
        <f>IFERROR(__xludf.DUMMYFUNCTION("""COMPUTED_VALUE"""),0.9861764706)</f>
        <v>0.9861764706</v>
      </c>
      <c r="Y206" s="273">
        <f>IFERROR(__xludf.DUMMYFUNCTION("""COMPUTED_VALUE"""),-1.9167783771711346)</f>
        <v>-1.916778377</v>
      </c>
      <c r="Z206" s="273">
        <f>IFERROR(__xludf.DUMMYFUNCTION("""COMPUTED_VALUE"""),-1.1831568017437617)</f>
        <v>-1.183156802</v>
      </c>
      <c r="AA206" s="273">
        <f>IFERROR(__xludf.DUMMYFUNCTION("""COMPUTED_VALUE"""),-1.1742609431550788)</f>
        <v>-1.174260943</v>
      </c>
      <c r="AB206" s="273">
        <f>IFERROR(__xludf.DUMMYFUNCTION("""COMPUTED_VALUE"""),-0.3453900695988807)</f>
        <v>-0.3453900696</v>
      </c>
      <c r="AC206" s="273">
        <f>IFERROR(__xludf.DUMMYFUNCTION("""COMPUTED_VALUE"""),0.5250487927910974)</f>
        <v>0.5250487928</v>
      </c>
      <c r="AD206" s="273">
        <f>IFERROR(__xludf.DUMMYFUNCTION("""COMPUTED_VALUE"""),-0.7236713876232196)</f>
        <v>-0.7236713876</v>
      </c>
      <c r="AE206" s="273">
        <f>IFERROR(__xludf.DUMMYFUNCTION("""COMPUTED_VALUE"""),-0.13412384290150858)</f>
        <v>-0.1341238429</v>
      </c>
      <c r="AF206" s="273">
        <f>IFERROR(__xludf.DUMMYFUNCTION("""COMPUTED_VALUE"""),-0.14023961866629914)</f>
        <v>-0.1402396187</v>
      </c>
      <c r="AG206" s="277">
        <f>IFERROR(__xludf.DUMMYFUNCTION("""COMPUTED_VALUE"""),0.0)</f>
        <v>0</v>
      </c>
      <c r="AH206" s="265"/>
      <c r="AI206" s="338"/>
      <c r="AJ206" s="339"/>
      <c r="AK206" s="265"/>
      <c r="AL206" s="265"/>
      <c r="AM206" s="265"/>
      <c r="AN206" s="265"/>
      <c r="AO206" s="265"/>
      <c r="AP206" s="265"/>
      <c r="AQ206" s="265"/>
      <c r="AR206" s="265"/>
      <c r="AS206" s="265"/>
      <c r="AT206" s="265"/>
      <c r="AU206" s="265"/>
      <c r="AV206" s="265"/>
      <c r="AW206" s="265"/>
      <c r="AX206" s="265"/>
      <c r="AY206" s="265"/>
      <c r="AZ206" s="265"/>
      <c r="BA206" s="265"/>
      <c r="BB206" s="265"/>
      <c r="BC206" s="265"/>
      <c r="BD206" s="265"/>
      <c r="BE206" s="265"/>
      <c r="BF206" s="265"/>
      <c r="BG206" s="265"/>
      <c r="BH206" s="265"/>
      <c r="BI206" s="265"/>
      <c r="BJ206" s="265"/>
      <c r="BK206" s="265"/>
      <c r="BL206" s="265"/>
      <c r="BM206" s="265"/>
      <c r="BN206" s="265"/>
      <c r="BO206" s="265"/>
      <c r="BP206" s="265"/>
      <c r="BQ206" s="265"/>
      <c r="BR206" s="265"/>
      <c r="BS206" s="265"/>
      <c r="BT206" s="265"/>
      <c r="BU206" s="265"/>
      <c r="BV206" s="265"/>
    </row>
    <row r="207">
      <c r="A207" s="251">
        <f>VLOOKUP($F207,UpdateHashtag!$V$3:$Y$32,COLUMN(B$15),0)</f>
        <v>3</v>
      </c>
      <c r="B207" s="252">
        <f>VLOOKUP($F207,UpdateHashtag!$V$3:$Y$32,COLUMN(C$13),0)</f>
        <v>5</v>
      </c>
      <c r="C207" s="252">
        <f>VLOOKUP($F207,UpdateHashtag!$V$3:$Y$32,COLUMN(D$13),0)</f>
        <v>3</v>
      </c>
      <c r="D207" s="268">
        <f t="shared" si="4"/>
        <v>11</v>
      </c>
      <c r="E207" s="19"/>
      <c r="F207" s="30" t="str">
        <f>IF(VLOOKUP(J207,PasteHashtag!$C$2:$P1015,3,)="BRO","BKN",IF(VLOOKUP(J207,PasteHashtag!$C$2:$P1015,3,)="OKL","OKC",VLOOKUP(J207,PasteHashtag!$C$2:$P1015,3,)))</f>
        <v>BKN</v>
      </c>
      <c r="G207" s="269">
        <v>188.0</v>
      </c>
      <c r="H207" s="270">
        <f>IFERROR(__xludf.DUMMYFUNCTION("""COMPUTED_VALUE"""),195.0)</f>
        <v>195</v>
      </c>
      <c r="I207" s="270">
        <f>IFERROR(__xludf.DUMMYFUNCTION("""COMPUTED_VALUE"""),144.4)</f>
        <v>144.4</v>
      </c>
      <c r="J207" s="271" t="str">
        <f>IFERROR(__xludf.DUMMYFUNCTION("""COMPUTED_VALUE"""),"Bojan Bogdanovic")</f>
        <v>Bojan Bogdanovic</v>
      </c>
      <c r="K207" s="270">
        <f>IFERROR(__xludf.DUMMYFUNCTION("""COMPUTED_VALUE"""),68.0)</f>
        <v>68</v>
      </c>
      <c r="L207" s="272" t="str">
        <f>IFERROR(__xludf.DUMMYFUNCTION("""COMPUTED_VALUE"""),"PG")</f>
        <v>PG</v>
      </c>
      <c r="M207" s="273">
        <f>IFERROR(__xludf.DUMMYFUNCTION("""COMPUTED_VALUE"""),-5.073694246340089)</f>
        <v>-5.073694246</v>
      </c>
      <c r="N207" s="274">
        <f>IFERROR(__xludf.DUMMYFUNCTION("""COMPUTED_VALUE"""),-5.127451782432906)</f>
        <v>-5.127451782</v>
      </c>
      <c r="O207" s="274">
        <f>IFERROR(__xludf.DUMMYFUNCTION("""COMPUTED_VALUE"""),-0.053757536092816416)</f>
        <v>-0.05375753609</v>
      </c>
      <c r="P207" s="275">
        <f>IFERROR(__xludf.DUMMYFUNCTION("""COMPUTED_VALUE"""),15.81622642)</f>
        <v>15.81622642</v>
      </c>
      <c r="Q207" s="275">
        <f>IFERROR(__xludf.DUMMYFUNCTION("""COMPUTED_VALUE"""),2.423018868)</f>
        <v>2.423018868</v>
      </c>
      <c r="R207" s="275">
        <f>IFERROR(__xludf.DUMMYFUNCTION("""COMPUTED_VALUE"""),2.954339623)</f>
        <v>2.954339623</v>
      </c>
      <c r="S207" s="276">
        <f>IFERROR(__xludf.DUMMYFUNCTION("""COMPUTED_VALUE"""),1.477169811)</f>
        <v>1.477169811</v>
      </c>
      <c r="T207" s="275">
        <f>IFERROR(__xludf.DUMMYFUNCTION("""COMPUTED_VALUE"""),0.5077358491)</f>
        <v>0.5077358491</v>
      </c>
      <c r="U207" s="275">
        <f>IFERROR(__xludf.DUMMYFUNCTION("""COMPUTED_VALUE"""),0.1073584906)</f>
        <v>0.1073584906</v>
      </c>
      <c r="V207" s="272">
        <f>IFERROR(__xludf.DUMMYFUNCTION("""COMPUTED_VALUE"""),0.4501109645)</f>
        <v>0.4501109645</v>
      </c>
      <c r="W207" s="272">
        <f>IFERROR(__xludf.DUMMYFUNCTION("""COMPUTED_VALUE"""),0.8209626631)</f>
        <v>0.8209626631</v>
      </c>
      <c r="X207" s="275">
        <f>IFERROR(__xludf.DUMMYFUNCTION("""COMPUTED_VALUE"""),1.531886792)</f>
        <v>1.531886792</v>
      </c>
      <c r="Y207" s="273">
        <f>IFERROR(__xludf.DUMMYFUNCTION("""COMPUTED_VALUE"""),-0.30146678492097984)</f>
        <v>-0.3014667849</v>
      </c>
      <c r="Z207" s="273">
        <f>IFERROR(__xludf.DUMMYFUNCTION("""COMPUTED_VALUE"""),0.6689091938666218)</f>
        <v>0.6689091939</v>
      </c>
      <c r="AA207" s="273">
        <f>IFERROR(__xludf.DUMMYFUNCTION("""COMPUTED_VALUE"""),-1.2262745265752857)</f>
        <v>-1.226274527</v>
      </c>
      <c r="AB207" s="273">
        <f>IFERROR(__xludf.DUMMYFUNCTION("""COMPUTED_VALUE"""),-1.1154381954560093)</f>
        <v>-1.115438195</v>
      </c>
      <c r="AC207" s="273">
        <f>IFERROR(__xludf.DUMMYFUNCTION("""COMPUTED_VALUE"""),-1.5491645554598417)</f>
        <v>-1.549164555</v>
      </c>
      <c r="AD207" s="273">
        <f>IFERROR(__xludf.DUMMYFUNCTION("""COMPUTED_VALUE"""),-1.1438679326695396)</f>
        <v>-1.143867933</v>
      </c>
      <c r="AE207" s="273">
        <f>IFERROR(__xludf.DUMMYFUNCTION("""COMPUTED_VALUE"""),-0.6898613726089479)</f>
        <v>-0.6898613726</v>
      </c>
      <c r="AF207" s="273">
        <f>IFERROR(__xludf.DUMMYFUNCTION("""COMPUTED_VALUE"""),0.22971239139107635)</f>
        <v>0.2297123914</v>
      </c>
      <c r="AG207" s="277">
        <f>IFERROR(__xludf.DUMMYFUNCTION("""COMPUTED_VALUE"""),0.0)</f>
        <v>0</v>
      </c>
      <c r="AH207" s="265"/>
      <c r="AI207" s="338"/>
      <c r="AJ207" s="339"/>
      <c r="AK207" s="265"/>
      <c r="AL207" s="265"/>
      <c r="AM207" s="265"/>
      <c r="AN207" s="265"/>
      <c r="AO207" s="265"/>
      <c r="AP207" s="265"/>
      <c r="AQ207" s="265"/>
      <c r="AR207" s="265"/>
      <c r="AS207" s="265"/>
      <c r="AT207" s="265"/>
      <c r="AU207" s="265"/>
      <c r="AV207" s="265"/>
      <c r="AW207" s="265"/>
      <c r="AX207" s="265"/>
      <c r="AY207" s="265"/>
      <c r="AZ207" s="265"/>
      <c r="BA207" s="265"/>
      <c r="BB207" s="265"/>
      <c r="BC207" s="265"/>
      <c r="BD207" s="265"/>
      <c r="BE207" s="265"/>
      <c r="BF207" s="265"/>
      <c r="BG207" s="265"/>
      <c r="BH207" s="265"/>
      <c r="BI207" s="265"/>
      <c r="BJ207" s="265"/>
      <c r="BK207" s="265"/>
      <c r="BL207" s="265"/>
      <c r="BM207" s="265"/>
      <c r="BN207" s="265"/>
      <c r="BO207" s="265"/>
      <c r="BP207" s="265"/>
      <c r="BQ207" s="265"/>
      <c r="BR207" s="265"/>
      <c r="BS207" s="265"/>
      <c r="BT207" s="265"/>
      <c r="BU207" s="265"/>
      <c r="BV207" s="265"/>
    </row>
    <row r="208">
      <c r="A208" s="251">
        <f>VLOOKUP($F208,UpdateHashtag!$V$3:$Y$32,COLUMN(B$15),0)</f>
        <v>4</v>
      </c>
      <c r="B208" s="252">
        <f>VLOOKUP($F208,UpdateHashtag!$V$3:$Y$32,COLUMN(C$13),0)</f>
        <v>4</v>
      </c>
      <c r="C208" s="252">
        <f>VLOOKUP($F208,UpdateHashtag!$V$3:$Y$32,COLUMN(D$13),0)</f>
        <v>4</v>
      </c>
      <c r="D208" s="268">
        <f t="shared" si="4"/>
        <v>12</v>
      </c>
      <c r="E208" s="19"/>
      <c r="F208" s="30" t="str">
        <f>IF(VLOOKUP(J208,PasteHashtag!$C$2:$P1015,3,)="BRO","BKN",IF(VLOOKUP(J208,PasteHashtag!$C$2:$P1015,3,)="OKL","OKC",VLOOKUP(J208,PasteHashtag!$C$2:$P1015,3,)))</f>
        <v>LAC</v>
      </c>
      <c r="G208" s="269">
        <v>189.0</v>
      </c>
      <c r="H208" s="270">
        <f>IFERROR(__xludf.DUMMYFUNCTION("""COMPUTED_VALUE"""),187.0)</f>
        <v>187</v>
      </c>
      <c r="I208" s="270">
        <f>IFERROR(__xludf.DUMMYFUNCTION("""COMPUTED_VALUE"""),144.9)</f>
        <v>144.9</v>
      </c>
      <c r="J208" s="271" t="str">
        <f>IFERROR(__xludf.DUMMYFUNCTION("""COMPUTED_VALUE"""),"Terance Mann")</f>
        <v>Terance Mann</v>
      </c>
      <c r="K208" s="270">
        <f>IFERROR(__xludf.DUMMYFUNCTION("""COMPUTED_VALUE"""),67.0)</f>
        <v>67</v>
      </c>
      <c r="L208" s="272" t="str">
        <f>IFERROR(__xludf.DUMMYFUNCTION("""COMPUTED_VALUE"""),"SF")</f>
        <v>SF</v>
      </c>
      <c r="M208" s="273">
        <f>IFERROR(__xludf.DUMMYFUNCTION("""COMPUTED_VALUE"""),-5.030230199726902)</f>
        <v>-5.0302302</v>
      </c>
      <c r="N208" s="274">
        <f>IFERROR(__xludf.DUMMYFUNCTION("""COMPUTED_VALUE"""),-5.1945189300658665)</f>
        <v>-5.19451893</v>
      </c>
      <c r="O208" s="274">
        <f>IFERROR(__xludf.DUMMYFUNCTION("""COMPUTED_VALUE"""),-0.1642887303389644)</f>
        <v>-0.1642887303</v>
      </c>
      <c r="P208" s="275">
        <f>IFERROR(__xludf.DUMMYFUNCTION("""COMPUTED_VALUE"""),11.33246575)</f>
        <v>11.33246575</v>
      </c>
      <c r="Q208" s="275">
        <f>IFERROR(__xludf.DUMMYFUNCTION("""COMPUTED_VALUE"""),1.172191781)</f>
        <v>1.172191781</v>
      </c>
      <c r="R208" s="275">
        <f>IFERROR(__xludf.DUMMYFUNCTION("""COMPUTED_VALUE"""),4.230273973)</f>
        <v>4.230273973</v>
      </c>
      <c r="S208" s="276">
        <f>IFERROR(__xludf.DUMMYFUNCTION("""COMPUTED_VALUE"""),2.286712329)</f>
        <v>2.286712329</v>
      </c>
      <c r="T208" s="275">
        <f>IFERROR(__xludf.DUMMYFUNCTION("""COMPUTED_VALUE"""),0.5839726027)</f>
        <v>0.5839726027</v>
      </c>
      <c r="U208" s="275">
        <f>IFERROR(__xludf.DUMMYFUNCTION("""COMPUTED_VALUE"""),0.1691780822)</f>
        <v>0.1691780822</v>
      </c>
      <c r="V208" s="272">
        <f>IFERROR(__xludf.DUMMYFUNCTION("""COMPUTED_VALUE"""),0.5102572821)</f>
        <v>0.5102572821</v>
      </c>
      <c r="W208" s="272">
        <f>IFERROR(__xludf.DUMMYFUNCTION("""COMPUTED_VALUE"""),0.8199882249)</f>
        <v>0.8199882249</v>
      </c>
      <c r="X208" s="275">
        <f>IFERROR(__xludf.DUMMYFUNCTION("""COMPUTED_VALUE"""),1.086164384)</f>
        <v>1.086164384</v>
      </c>
      <c r="Y208" s="273">
        <f>IFERROR(__xludf.DUMMYFUNCTION("""COMPUTED_VALUE"""),-1.1096899284587725)</f>
        <v>-1.109689928</v>
      </c>
      <c r="Z208" s="273">
        <f>IFERROR(__xludf.DUMMYFUNCTION("""COMPUTED_VALUE"""),-0.5718218911322798)</f>
        <v>-0.5718218911</v>
      </c>
      <c r="AA208" s="273">
        <f>IFERROR(__xludf.DUMMYFUNCTION("""COMPUTED_VALUE"""),-0.7262269279430997)</f>
        <v>-0.7262269279</v>
      </c>
      <c r="AB208" s="273">
        <f>IFERROR(__xludf.DUMMYFUNCTION("""COMPUTED_VALUE"""),-0.747793843924806)</f>
        <v>-0.7477938439</v>
      </c>
      <c r="AC208" s="273">
        <f>IFERROR(__xludf.DUMMYFUNCTION("""COMPUTED_VALUE"""),-1.296949483532059)</f>
        <v>-1.296949484</v>
      </c>
      <c r="AD208" s="273">
        <f>IFERROR(__xludf.DUMMYFUNCTION("""COMPUTED_VALUE"""),-1.033603552639842)</f>
        <v>-1.033603553</v>
      </c>
      <c r="AE208" s="273">
        <f>IFERROR(__xludf.DUMMYFUNCTION("""COMPUTED_VALUE"""),0.12803518199607758)</f>
        <v>0.128035182</v>
      </c>
      <c r="AF208" s="273">
        <f>IFERROR(__xludf.DUMMYFUNCTION("""COMPUTED_VALUE"""),0.16353151556891543)</f>
        <v>0.1635315156</v>
      </c>
      <c r="AG208" s="277">
        <f>IFERROR(__xludf.DUMMYFUNCTION("""COMPUTED_VALUE"""),0.0)</f>
        <v>0</v>
      </c>
      <c r="AH208" s="265"/>
      <c r="AI208" s="338"/>
      <c r="AJ208" s="339"/>
      <c r="AK208" s="265"/>
      <c r="AL208" s="265"/>
      <c r="AM208" s="265"/>
      <c r="AN208" s="265"/>
      <c r="AO208" s="265"/>
      <c r="AP208" s="265"/>
      <c r="AQ208" s="265"/>
      <c r="AR208" s="265"/>
      <c r="AS208" s="265"/>
      <c r="AT208" s="265"/>
      <c r="AU208" s="265"/>
      <c r="AV208" s="265"/>
      <c r="AW208" s="265"/>
      <c r="AX208" s="265"/>
      <c r="AY208" s="265"/>
      <c r="AZ208" s="265"/>
      <c r="BA208" s="265"/>
      <c r="BB208" s="265"/>
      <c r="BC208" s="265"/>
      <c r="BD208" s="265"/>
      <c r="BE208" s="265"/>
      <c r="BF208" s="265"/>
      <c r="BG208" s="265"/>
      <c r="BH208" s="265"/>
      <c r="BI208" s="265"/>
      <c r="BJ208" s="265"/>
      <c r="BK208" s="265"/>
      <c r="BL208" s="265"/>
      <c r="BM208" s="265"/>
      <c r="BN208" s="265"/>
      <c r="BO208" s="265"/>
      <c r="BP208" s="265"/>
      <c r="BQ208" s="265"/>
      <c r="BR208" s="265"/>
      <c r="BS208" s="265"/>
      <c r="BT208" s="265"/>
      <c r="BU208" s="265"/>
      <c r="BV208" s="265"/>
    </row>
    <row r="209">
      <c r="A209" s="251">
        <f>VLOOKUP($F209,UpdateHashtag!$V$3:$Y$32,COLUMN(B$15),0)</f>
        <v>4</v>
      </c>
      <c r="B209" s="252">
        <f>VLOOKUP($F209,UpdateHashtag!$V$3:$Y$32,COLUMN(C$13),0)</f>
        <v>4</v>
      </c>
      <c r="C209" s="252">
        <f>VLOOKUP($F209,UpdateHashtag!$V$3:$Y$32,COLUMN(D$13),0)</f>
        <v>4</v>
      </c>
      <c r="D209" s="268">
        <f t="shared" si="4"/>
        <v>12</v>
      </c>
      <c r="E209" s="19"/>
      <c r="F209" s="30" t="str">
        <f>IF(VLOOKUP(J209,PasteHashtag!$C$2:$P1015,3,)="BRO","BKN",IF(VLOOKUP(J209,PasteHashtag!$C$2:$P1015,3,)="OKL","OKC",VLOOKUP(J209,PasteHashtag!$C$2:$P1015,3,)))</f>
        <v>MIA</v>
      </c>
      <c r="G209" s="269">
        <v>190.0</v>
      </c>
      <c r="H209" s="270">
        <f>IFERROR(__xludf.DUMMYFUNCTION("""COMPUTED_VALUE"""),194.0)</f>
        <v>194</v>
      </c>
      <c r="I209" s="270">
        <f>IFERROR(__xludf.DUMMYFUNCTION("""COMPUTED_VALUE"""),142.6)</f>
        <v>142.6</v>
      </c>
      <c r="J209" s="271" t="str">
        <f>IFERROR(__xludf.DUMMYFUNCTION("""COMPUTED_VALUE"""),"Nikola Jovic")</f>
        <v>Nikola Jovic</v>
      </c>
      <c r="K209" s="270">
        <f>IFERROR(__xludf.DUMMYFUNCTION("""COMPUTED_VALUE"""),60.0)</f>
        <v>60</v>
      </c>
      <c r="L209" s="272" t="str">
        <f>IFERROR(__xludf.DUMMYFUNCTION("""COMPUTED_VALUE"""),"SF,PF")</f>
        <v>SF,PF</v>
      </c>
      <c r="M209" s="273">
        <f>IFERROR(__xludf.DUMMYFUNCTION("""COMPUTED_VALUE"""),-5.007398999000863)</f>
        <v>-5.007398999</v>
      </c>
      <c r="N209" s="274">
        <f>IFERROR(__xludf.DUMMYFUNCTION("""COMPUTED_VALUE"""),-5.210515617122927)</f>
        <v>-5.210515617</v>
      </c>
      <c r="O209" s="274">
        <f>IFERROR(__xludf.DUMMYFUNCTION("""COMPUTED_VALUE"""),-0.20311661812206427)</f>
        <v>-0.2031166181</v>
      </c>
      <c r="P209" s="275">
        <f>IFERROR(__xludf.DUMMYFUNCTION("""COMPUTED_VALUE"""),9.088630137)</f>
        <v>9.088630137</v>
      </c>
      <c r="Q209" s="275">
        <f>IFERROR(__xludf.DUMMYFUNCTION("""COMPUTED_VALUE"""),1.663972603)</f>
        <v>1.663972603</v>
      </c>
      <c r="R209" s="275">
        <f>IFERROR(__xludf.DUMMYFUNCTION("""COMPUTED_VALUE"""),4.694383562)</f>
        <v>4.694383562</v>
      </c>
      <c r="S209" s="276">
        <f>IFERROR(__xludf.DUMMYFUNCTION("""COMPUTED_VALUE"""),2.249589041)</f>
        <v>2.249589041</v>
      </c>
      <c r="T209" s="275">
        <f>IFERROR(__xludf.DUMMYFUNCTION("""COMPUTED_VALUE"""),0.6689041096)</f>
        <v>0.6689041096</v>
      </c>
      <c r="U209" s="275">
        <f>IFERROR(__xludf.DUMMYFUNCTION("""COMPUTED_VALUE"""),0.32)</f>
        <v>0.32</v>
      </c>
      <c r="V209" s="272">
        <f>IFERROR(__xludf.DUMMYFUNCTION("""COMPUTED_VALUE"""),0.445809156)</f>
        <v>0.445809156</v>
      </c>
      <c r="W209" s="272">
        <f>IFERROR(__xludf.DUMMYFUNCTION("""COMPUTED_VALUE"""),0.773021684)</f>
        <v>0.773021684</v>
      </c>
      <c r="X209" s="275">
        <f>IFERROR(__xludf.DUMMYFUNCTION("""COMPUTED_VALUE"""),0.9295890411)</f>
        <v>0.9295890411</v>
      </c>
      <c r="Y209" s="273">
        <f>IFERROR(__xludf.DUMMYFUNCTION("""COMPUTED_VALUE"""),-1.5141539501124774)</f>
        <v>-1.51415395</v>
      </c>
      <c r="Z209" s="273">
        <f>IFERROR(__xludf.DUMMYFUNCTION("""COMPUTED_VALUE"""),-0.08401045883819197)</f>
        <v>-0.08401045884</v>
      </c>
      <c r="AA209" s="273">
        <f>IFERROR(__xludf.DUMMYFUNCTION("""COMPUTED_VALUE"""),-0.5443391329467345)</f>
        <v>-0.5443391329</v>
      </c>
      <c r="AB209" s="273">
        <f>IFERROR(__xludf.DUMMYFUNCTION("""COMPUTED_VALUE"""),-0.7646529548918054)</f>
        <v>-0.7646529549</v>
      </c>
      <c r="AC209" s="273">
        <f>IFERROR(__xludf.DUMMYFUNCTION("""COMPUTED_VALUE"""),-1.0159694429323436)</f>
        <v>-1.015969443</v>
      </c>
      <c r="AD209" s="273">
        <f>IFERROR(__xludf.DUMMYFUNCTION("""COMPUTED_VALUE"""),-0.7645903671643974)</f>
        <v>-0.7645903672</v>
      </c>
      <c r="AE209" s="273">
        <f>IFERROR(__xludf.DUMMYFUNCTION("""COMPUTED_VALUE"""),-0.44775068246004096)</f>
        <v>-0.4477506825</v>
      </c>
      <c r="AF209" s="273">
        <f>IFERROR(__xludf.DUMMYFUNCTION("""COMPUTED_VALUE"""),-0.07504862777693636)</f>
        <v>-0.07504862778</v>
      </c>
      <c r="AG209" s="277">
        <f>IFERROR(__xludf.DUMMYFUNCTION("""COMPUTED_VALUE"""),0.0)</f>
        <v>0</v>
      </c>
      <c r="AH209" s="265"/>
      <c r="AI209" s="338"/>
      <c r="AJ209" s="339"/>
      <c r="AK209" s="265"/>
      <c r="AL209" s="265"/>
      <c r="AM209" s="265"/>
      <c r="AN209" s="265"/>
      <c r="AO209" s="265"/>
      <c r="AP209" s="265"/>
      <c r="AQ209" s="265"/>
      <c r="AR209" s="265"/>
      <c r="AS209" s="265"/>
      <c r="AT209" s="265"/>
      <c r="AU209" s="265"/>
      <c r="AV209" s="265"/>
      <c r="AW209" s="265"/>
      <c r="AX209" s="265"/>
      <c r="AY209" s="265"/>
      <c r="AZ209" s="265"/>
      <c r="BA209" s="265"/>
      <c r="BB209" s="265"/>
      <c r="BC209" s="265"/>
      <c r="BD209" s="265"/>
      <c r="BE209" s="265"/>
      <c r="BF209" s="265"/>
      <c r="BG209" s="265"/>
      <c r="BH209" s="265"/>
      <c r="BI209" s="265"/>
      <c r="BJ209" s="265"/>
      <c r="BK209" s="265"/>
      <c r="BL209" s="265"/>
      <c r="BM209" s="265"/>
      <c r="BN209" s="265"/>
      <c r="BO209" s="265"/>
      <c r="BP209" s="265"/>
      <c r="BQ209" s="265"/>
      <c r="BR209" s="265"/>
      <c r="BS209" s="265"/>
      <c r="BT209" s="265"/>
      <c r="BU209" s="265"/>
      <c r="BV209" s="265"/>
    </row>
    <row r="210">
      <c r="A210" s="251">
        <f>VLOOKUP($F210,UpdateHashtag!$V$3:$Y$32,COLUMN(B$15),0)</f>
        <v>4</v>
      </c>
      <c r="B210" s="252">
        <f>VLOOKUP($F210,UpdateHashtag!$V$3:$Y$32,COLUMN(C$13),0)</f>
        <v>4</v>
      </c>
      <c r="C210" s="252">
        <f>VLOOKUP($F210,UpdateHashtag!$V$3:$Y$32,COLUMN(D$13),0)</f>
        <v>3</v>
      </c>
      <c r="D210" s="268">
        <f t="shared" si="4"/>
        <v>11</v>
      </c>
      <c r="E210" s="19"/>
      <c r="F210" s="30" t="str">
        <f>IF(VLOOKUP(J210,PasteHashtag!$C$2:$P1015,3,)="BRO","BKN",IF(VLOOKUP(J210,PasteHashtag!$C$2:$P1015,3,)="OKL","OKC",VLOOKUP(J210,PasteHashtag!$C$2:$P1015,3,)))</f>
        <v>ATL</v>
      </c>
      <c r="G210" s="269">
        <v>191.0</v>
      </c>
      <c r="H210" s="270">
        <f>IFERROR(__xludf.DUMMYFUNCTION("""COMPUTED_VALUE"""),198.0)</f>
        <v>198</v>
      </c>
      <c r="I210" s="270">
        <f>IFERROR(__xludf.DUMMYFUNCTION("""COMPUTED_VALUE"""),146.5)</f>
        <v>146.5</v>
      </c>
      <c r="J210" s="271" t="str">
        <f>IFERROR(__xludf.DUMMYFUNCTION("""COMPUTED_VALUE"""),"De'Andre Hunter")</f>
        <v>De'Andre Hunter</v>
      </c>
      <c r="K210" s="270">
        <f>IFERROR(__xludf.DUMMYFUNCTION("""COMPUTED_VALUE"""),71.0)</f>
        <v>71</v>
      </c>
      <c r="L210" s="272" t="str">
        <f>IFERROR(__xludf.DUMMYFUNCTION("""COMPUTED_VALUE"""),"PG,SG")</f>
        <v>PG,SG</v>
      </c>
      <c r="M210" s="273">
        <f>IFERROR(__xludf.DUMMYFUNCTION("""COMPUTED_VALUE"""),-5.1014743429753215)</f>
        <v>-5.101474343</v>
      </c>
      <c r="N210" s="274">
        <f>IFERROR(__xludf.DUMMYFUNCTION("""COMPUTED_VALUE"""),-5.2105810617935004)</f>
        <v>-5.210581062</v>
      </c>
      <c r="O210" s="274">
        <f>IFERROR(__xludf.DUMMYFUNCTION("""COMPUTED_VALUE"""),-0.1091067188181789)</f>
        <v>-0.1091067188</v>
      </c>
      <c r="P210" s="275">
        <f>IFERROR(__xludf.DUMMYFUNCTION("""COMPUTED_VALUE"""),13.77540984)</f>
        <v>13.77540984</v>
      </c>
      <c r="Q210" s="275">
        <f>IFERROR(__xludf.DUMMYFUNCTION("""COMPUTED_VALUE"""),1.90852459)</f>
        <v>1.90852459</v>
      </c>
      <c r="R210" s="275">
        <f>IFERROR(__xludf.DUMMYFUNCTION("""COMPUTED_VALUE"""),3.487540984)</f>
        <v>3.487540984</v>
      </c>
      <c r="S210" s="276">
        <f>IFERROR(__xludf.DUMMYFUNCTION("""COMPUTED_VALUE"""),1.518688525)</f>
        <v>1.518688525</v>
      </c>
      <c r="T210" s="275">
        <f>IFERROR(__xludf.DUMMYFUNCTION("""COMPUTED_VALUE"""),0.551147541)</f>
        <v>0.551147541</v>
      </c>
      <c r="U210" s="275">
        <f>IFERROR(__xludf.DUMMYFUNCTION("""COMPUTED_VALUE"""),0.2280327869)</f>
        <v>0.2280327869</v>
      </c>
      <c r="V210" s="272">
        <f>IFERROR(__xludf.DUMMYFUNCTION("""COMPUTED_VALUE"""),0.4539943879)</f>
        <v>0.4539943879</v>
      </c>
      <c r="W210" s="272">
        <f>IFERROR(__xludf.DUMMYFUNCTION("""COMPUTED_VALUE"""),0.8239923682)</f>
        <v>0.8239923682</v>
      </c>
      <c r="X210" s="275">
        <f>IFERROR(__xludf.DUMMYFUNCTION("""COMPUTED_VALUE"""),1.308688525)</f>
        <v>1.308688525</v>
      </c>
      <c r="Y210" s="273">
        <f>IFERROR(__xludf.DUMMYFUNCTION("""COMPUTED_VALUE"""),-0.6693354811044555)</f>
        <v>-0.6693354811</v>
      </c>
      <c r="Z210" s="273">
        <f>IFERROR(__xludf.DUMMYFUNCTION("""COMPUTED_VALUE"""),0.1585676363459167)</f>
        <v>0.1585676363</v>
      </c>
      <c r="AA210" s="273">
        <f>IFERROR(__xludf.DUMMYFUNCTION("""COMPUTED_VALUE"""),-1.0173091827427734)</f>
        <v>-1.017309183</v>
      </c>
      <c r="AB210" s="273">
        <f>IFERROR(__xludf.DUMMYFUNCTION("""COMPUTED_VALUE"""),-1.0965829527163815)</f>
        <v>-1.096582953</v>
      </c>
      <c r="AC210" s="273">
        <f>IFERROR(__xludf.DUMMYFUNCTION("""COMPUTED_VALUE"""),-1.4055450743298734)</f>
        <v>-1.405545074</v>
      </c>
      <c r="AD210" s="273">
        <f>IFERROR(__xludf.DUMMYFUNCTION("""COMPUTED_VALUE"""),-0.9286274866773416)</f>
        <v>-0.9286274867</v>
      </c>
      <c r="AE210" s="273">
        <f>IFERROR(__xludf.DUMMYFUNCTION("""COMPUTED_VALUE"""),-0.5319846439514486)</f>
        <v>-0.531984644</v>
      </c>
      <c r="AF210" s="273">
        <f>IFERROR(__xludf.DUMMYFUNCTION("""COMPUTED_VALUE"""),0.2802361233828571)</f>
        <v>0.2802361234</v>
      </c>
      <c r="AG210" s="277">
        <f>IFERROR(__xludf.DUMMYFUNCTION("""COMPUTED_VALUE"""),0.0)</f>
        <v>0</v>
      </c>
      <c r="AH210" s="265"/>
      <c r="AI210" s="338"/>
      <c r="AJ210" s="339"/>
      <c r="AK210" s="265"/>
      <c r="AL210" s="265"/>
      <c r="AM210" s="265"/>
      <c r="AN210" s="265"/>
      <c r="AO210" s="265"/>
      <c r="AP210" s="265"/>
      <c r="AQ210" s="265"/>
      <c r="AR210" s="265"/>
      <c r="AS210" s="265"/>
      <c r="AT210" s="265"/>
      <c r="AU210" s="265"/>
      <c r="AV210" s="265"/>
      <c r="AW210" s="265"/>
      <c r="AX210" s="265"/>
      <c r="AY210" s="265"/>
      <c r="AZ210" s="265"/>
      <c r="BA210" s="265"/>
      <c r="BB210" s="265"/>
      <c r="BC210" s="265"/>
      <c r="BD210" s="265"/>
      <c r="BE210" s="265"/>
      <c r="BF210" s="265"/>
      <c r="BG210" s="265"/>
      <c r="BH210" s="265"/>
      <c r="BI210" s="265"/>
      <c r="BJ210" s="265"/>
      <c r="BK210" s="265"/>
      <c r="BL210" s="265"/>
      <c r="BM210" s="265"/>
      <c r="BN210" s="265"/>
      <c r="BO210" s="265"/>
      <c r="BP210" s="265"/>
      <c r="BQ210" s="265"/>
      <c r="BR210" s="265"/>
      <c r="BS210" s="265"/>
      <c r="BT210" s="265"/>
      <c r="BU210" s="265"/>
      <c r="BV210" s="265"/>
    </row>
    <row r="211">
      <c r="A211" s="251">
        <f>VLOOKUP($F211,UpdateHashtag!$V$3:$Y$32,COLUMN(B$15),0)</f>
        <v>3</v>
      </c>
      <c r="B211" s="252">
        <f>VLOOKUP($F211,UpdateHashtag!$V$3:$Y$32,COLUMN(C$13),0)</f>
        <v>5</v>
      </c>
      <c r="C211" s="252">
        <f>VLOOKUP($F211,UpdateHashtag!$V$3:$Y$32,COLUMN(D$13),0)</f>
        <v>3</v>
      </c>
      <c r="D211" s="268">
        <f t="shared" si="4"/>
        <v>11</v>
      </c>
      <c r="E211" s="19"/>
      <c r="F211" s="30" t="str">
        <f>IF(VLOOKUP(J211,PasteHashtag!$C$2:$P1015,3,)="BRO","BKN",IF(VLOOKUP(J211,PasteHashtag!$C$2:$P1015,3,)="OKL","OKC",VLOOKUP(J211,PasteHashtag!$C$2:$P1015,3,)))</f>
        <v>WAS</v>
      </c>
      <c r="G211" s="269">
        <v>192.0</v>
      </c>
      <c r="H211" s="270">
        <f>IFERROR(__xludf.DUMMYFUNCTION("""COMPUTED_VALUE"""),191.0)</f>
        <v>191</v>
      </c>
      <c r="I211" s="270">
        <f>IFERROR(__xludf.DUMMYFUNCTION("""COMPUTED_VALUE"""),145.4)</f>
        <v>145.4</v>
      </c>
      <c r="J211" s="271" t="str">
        <f>IFERROR(__xludf.DUMMYFUNCTION("""COMPUTED_VALUE"""),"Corey Kispert")</f>
        <v>Corey Kispert</v>
      </c>
      <c r="K211" s="270">
        <f>IFERROR(__xludf.DUMMYFUNCTION("""COMPUTED_VALUE"""),64.0)</f>
        <v>64</v>
      </c>
      <c r="L211" s="272" t="str">
        <f>IFERROR(__xludf.DUMMYFUNCTION("""COMPUTED_VALUE"""),"SF,PF")</f>
        <v>SF,PF</v>
      </c>
      <c r="M211" s="273">
        <f>IFERROR(__xludf.DUMMYFUNCTION("""COMPUTED_VALUE"""),-5.088929320497779)</f>
        <v>-5.08892932</v>
      </c>
      <c r="N211" s="274">
        <f>IFERROR(__xludf.DUMMYFUNCTION("""COMPUTED_VALUE"""),-5.214232224199145)</f>
        <v>-5.214232224</v>
      </c>
      <c r="O211" s="274">
        <f>IFERROR(__xludf.DUMMYFUNCTION("""COMPUTED_VALUE"""),-0.12530290370136576)</f>
        <v>-0.1253029037</v>
      </c>
      <c r="P211" s="275">
        <f>IFERROR(__xludf.DUMMYFUNCTION("""COMPUTED_VALUE"""),12.64012987)</f>
        <v>12.64012987</v>
      </c>
      <c r="Q211" s="275">
        <f>IFERROR(__xludf.DUMMYFUNCTION("""COMPUTED_VALUE"""),2.248311688)</f>
        <v>2.248311688</v>
      </c>
      <c r="R211" s="275">
        <f>IFERROR(__xludf.DUMMYFUNCTION("""COMPUTED_VALUE"""),2.983506494)</f>
        <v>2.983506494</v>
      </c>
      <c r="S211" s="276">
        <f>IFERROR(__xludf.DUMMYFUNCTION("""COMPUTED_VALUE"""),1.942857143)</f>
        <v>1.942857143</v>
      </c>
      <c r="T211" s="275">
        <f>IFERROR(__xludf.DUMMYFUNCTION("""COMPUTED_VALUE"""),0.5153246753)</f>
        <v>0.5153246753</v>
      </c>
      <c r="U211" s="275">
        <f>IFERROR(__xludf.DUMMYFUNCTION("""COMPUTED_VALUE"""),0.1780519481)</f>
        <v>0.1780519481</v>
      </c>
      <c r="V211" s="272">
        <f>IFERROR(__xludf.DUMMYFUNCTION("""COMPUTED_VALUE"""),0.4888235212)</f>
        <v>0.4888235212</v>
      </c>
      <c r="W211" s="272">
        <f>IFERROR(__xludf.DUMMYFUNCTION("""COMPUTED_VALUE"""),0.7800359125)</f>
        <v>0.7800359125</v>
      </c>
      <c r="X211" s="275">
        <f>IFERROR(__xludf.DUMMYFUNCTION("""COMPUTED_VALUE"""),1.243376623)</f>
        <v>1.243376623</v>
      </c>
      <c r="Y211" s="273">
        <f>IFERROR(__xludf.DUMMYFUNCTION("""COMPUTED_VALUE"""),-0.8739760972479774)</f>
        <v>-0.8739760972</v>
      </c>
      <c r="Z211" s="273">
        <f>IFERROR(__xludf.DUMMYFUNCTION("""COMPUTED_VALUE"""),0.49561215604951636)</f>
        <v>0.495612156</v>
      </c>
      <c r="AA211" s="273">
        <f>IFERROR(__xludf.DUMMYFUNCTION("""COMPUTED_VALUE"""),-1.2148438257691159)</f>
        <v>-1.214843826</v>
      </c>
      <c r="AB211" s="273">
        <f>IFERROR(__xludf.DUMMYFUNCTION("""COMPUTED_VALUE"""),-0.9039516911864014)</f>
        <v>-0.9039516912</v>
      </c>
      <c r="AC211" s="273">
        <f>IFERROR(__xludf.DUMMYFUNCTION("""COMPUTED_VALUE"""),-1.524058340209348)</f>
        <v>-1.52405834</v>
      </c>
      <c r="AD211" s="273">
        <f>IFERROR(__xludf.DUMMYFUNCTION("""COMPUTED_VALUE"""),-1.0177757010380177)</f>
        <v>-1.017775701</v>
      </c>
      <c r="AE211" s="273">
        <f>IFERROR(__xludf.DUMMYFUNCTION("""COMPUTED_VALUE"""),-0.0917031275542431)</f>
        <v>-0.09170312755</v>
      </c>
      <c r="AF211" s="273">
        <f>IFERROR(__xludf.DUMMYFUNCTION("""COMPUTED_VALUE"""),-0.08353559724355669)</f>
        <v>-0.08353559724</v>
      </c>
      <c r="AG211" s="277">
        <f>IFERROR(__xludf.DUMMYFUNCTION("""COMPUTED_VALUE"""),0.0)</f>
        <v>0</v>
      </c>
      <c r="AH211" s="265"/>
      <c r="AI211" s="338"/>
      <c r="AJ211" s="339"/>
      <c r="AK211" s="265"/>
      <c r="AL211" s="265"/>
      <c r="AM211" s="265"/>
      <c r="AN211" s="265"/>
      <c r="AO211" s="265"/>
      <c r="AP211" s="265"/>
      <c r="AQ211" s="265"/>
      <c r="AR211" s="265"/>
      <c r="AS211" s="265"/>
      <c r="AT211" s="265"/>
      <c r="AU211" s="265"/>
      <c r="AV211" s="265"/>
      <c r="AW211" s="265"/>
      <c r="AX211" s="265"/>
      <c r="AY211" s="265"/>
      <c r="AZ211" s="265"/>
      <c r="BA211" s="265"/>
      <c r="BB211" s="265"/>
      <c r="BC211" s="265"/>
      <c r="BD211" s="265"/>
      <c r="BE211" s="265"/>
      <c r="BF211" s="265"/>
      <c r="BG211" s="265"/>
      <c r="BH211" s="265"/>
      <c r="BI211" s="265"/>
      <c r="BJ211" s="265"/>
      <c r="BK211" s="265"/>
      <c r="BL211" s="265"/>
      <c r="BM211" s="265"/>
      <c r="BN211" s="265"/>
      <c r="BO211" s="265"/>
      <c r="BP211" s="265"/>
      <c r="BQ211" s="265"/>
      <c r="BR211" s="265"/>
      <c r="BS211" s="265"/>
      <c r="BT211" s="265"/>
      <c r="BU211" s="265"/>
      <c r="BV211" s="265"/>
    </row>
    <row r="212">
      <c r="A212" s="251">
        <f>VLOOKUP($F212,UpdateHashtag!$V$3:$Y$32,COLUMN(B$15),0)</f>
        <v>4</v>
      </c>
      <c r="B212" s="252">
        <f>VLOOKUP($F212,UpdateHashtag!$V$3:$Y$32,COLUMN(C$13),0)</f>
        <v>4</v>
      </c>
      <c r="C212" s="252">
        <f>VLOOKUP($F212,UpdateHashtag!$V$3:$Y$32,COLUMN(D$13),0)</f>
        <v>3</v>
      </c>
      <c r="D212" s="268">
        <f t="shared" si="4"/>
        <v>11</v>
      </c>
      <c r="E212" s="19"/>
      <c r="F212" s="30" t="str">
        <f>IF(VLOOKUP(J212,PasteHashtag!$C$2:$P1015,3,)="BRO","BKN",IF(VLOOKUP(J212,PasteHashtag!$C$2:$P1015,3,)="OKL","OKC",VLOOKUP(J212,PasteHashtag!$C$2:$P1015,3,)))</f>
        <v>MIL</v>
      </c>
      <c r="G212" s="269">
        <v>193.0</v>
      </c>
      <c r="H212" s="270">
        <f>IFERROR(__xludf.DUMMYFUNCTION("""COMPUTED_VALUE"""),199.0)</f>
        <v>199</v>
      </c>
      <c r="I212" s="270"/>
      <c r="J212" s="271" t="str">
        <f>IFERROR(__xludf.DUMMYFUNCTION("""COMPUTED_VALUE"""),"Taurean Prince")</f>
        <v>Taurean Prince</v>
      </c>
      <c r="K212" s="270">
        <f>IFERROR(__xludf.DUMMYFUNCTION("""COMPUTED_VALUE"""),60.0)</f>
        <v>60</v>
      </c>
      <c r="L212" s="272" t="str">
        <f>IFERROR(__xludf.DUMMYFUNCTION("""COMPUTED_VALUE"""),"C")</f>
        <v>C</v>
      </c>
      <c r="M212" s="273">
        <f>IFERROR(__xludf.DUMMYFUNCTION("""COMPUTED_VALUE"""),-5.063838730705735)</f>
        <v>-5.063838731</v>
      </c>
      <c r="N212" s="274">
        <f>IFERROR(__xludf.DUMMYFUNCTION("""COMPUTED_VALUE"""),-5.225375878555439)</f>
        <v>-5.225375879</v>
      </c>
      <c r="O212" s="274">
        <f>IFERROR(__xludf.DUMMYFUNCTION("""COMPUTED_VALUE"""),-0.16153714784970408)</f>
        <v>-0.1615371478</v>
      </c>
      <c r="P212" s="275">
        <f>IFERROR(__xludf.DUMMYFUNCTION("""COMPUTED_VALUE"""),9.083561644)</f>
        <v>9.083561644</v>
      </c>
      <c r="Q212" s="275">
        <f>IFERROR(__xludf.DUMMYFUNCTION("""COMPUTED_VALUE"""),1.741643836)</f>
        <v>1.741643836</v>
      </c>
      <c r="R212" s="275">
        <f>IFERROR(__xludf.DUMMYFUNCTION("""COMPUTED_VALUE"""),3.580547945)</f>
        <v>3.580547945</v>
      </c>
      <c r="S212" s="276">
        <f>IFERROR(__xludf.DUMMYFUNCTION("""COMPUTED_VALUE"""),1.591506849)</f>
        <v>1.591506849</v>
      </c>
      <c r="T212" s="275">
        <f>IFERROR(__xludf.DUMMYFUNCTION("""COMPUTED_VALUE"""),0.8084931507)</f>
        <v>0.8084931507</v>
      </c>
      <c r="U212" s="275">
        <f>IFERROR(__xludf.DUMMYFUNCTION("""COMPUTED_VALUE"""),0.4552054795)</f>
        <v>0.4552054795</v>
      </c>
      <c r="V212" s="272">
        <f>IFERROR(__xludf.DUMMYFUNCTION("""COMPUTED_VALUE"""),0.4406308493)</f>
        <v>0.4406308493</v>
      </c>
      <c r="W212" s="272">
        <f>IFERROR(__xludf.DUMMYFUNCTION("""COMPUTED_VALUE"""),0.7699363057)</f>
        <v>0.7699363057</v>
      </c>
      <c r="X212" s="275">
        <f>IFERROR(__xludf.DUMMYFUNCTION("""COMPUTED_VALUE"""),1.097260274)</f>
        <v>1.097260274</v>
      </c>
      <c r="Y212" s="273">
        <f>IFERROR(__xludf.DUMMYFUNCTION("""COMPUTED_VALUE"""),-1.5150675745556528)</f>
        <v>-1.515067575</v>
      </c>
      <c r="Z212" s="273">
        <f>IFERROR(__xludf.DUMMYFUNCTION("""COMPUTED_VALUE"""),-0.006966146163107987)</f>
        <v>-0.006966146163</v>
      </c>
      <c r="AA212" s="273">
        <f>IFERROR(__xludf.DUMMYFUNCTION("""COMPUTED_VALUE"""),-0.9808591040187954)</f>
        <v>-0.980859104</v>
      </c>
      <c r="AB212" s="273">
        <f>IFERROR(__xludf.DUMMYFUNCTION("""COMPUTED_VALUE"""),-1.0635133548739997)</f>
        <v>-1.063513355</v>
      </c>
      <c r="AC212" s="273">
        <f>IFERROR(__xludf.DUMMYFUNCTION("""COMPUTED_VALUE"""),-0.5541651506602927)</f>
        <v>-0.5541651507</v>
      </c>
      <c r="AD212" s="273">
        <f>IFERROR(__xludf.DUMMYFUNCTION("""COMPUTED_VALUE"""),-0.5234314078793041)</f>
        <v>-0.5234314079</v>
      </c>
      <c r="AE212" s="273">
        <f>IFERROR(__xludf.DUMMYFUNCTION("""COMPUTED_VALUE"""),-0.48676443323326096)</f>
        <v>-0.4867644332</v>
      </c>
      <c r="AF212" s="273">
        <f>IFERROR(__xludf.DUMMYFUNCTION("""COMPUTED_VALUE"""),-0.09460870717102561)</f>
        <v>-0.09460870717</v>
      </c>
      <c r="AG212" s="277">
        <f>IFERROR(__xludf.DUMMYFUNCTION("""COMPUTED_VALUE"""),0.0)</f>
        <v>0</v>
      </c>
      <c r="AH212" s="265"/>
      <c r="AI212" s="338"/>
      <c r="AJ212" s="339"/>
      <c r="AK212" s="265"/>
      <c r="AL212" s="265"/>
      <c r="AM212" s="265"/>
      <c r="AN212" s="265"/>
      <c r="AO212" s="265"/>
      <c r="AP212" s="265"/>
      <c r="AQ212" s="265"/>
      <c r="AR212" s="265"/>
      <c r="AS212" s="265"/>
      <c r="AT212" s="265"/>
      <c r="AU212" s="265"/>
      <c r="AV212" s="265"/>
      <c r="AW212" s="265"/>
      <c r="AX212" s="265"/>
      <c r="AY212" s="265"/>
      <c r="AZ212" s="265"/>
      <c r="BA212" s="265"/>
      <c r="BB212" s="265"/>
      <c r="BC212" s="265"/>
      <c r="BD212" s="265"/>
      <c r="BE212" s="265"/>
      <c r="BF212" s="265"/>
      <c r="BG212" s="265"/>
      <c r="BH212" s="265"/>
      <c r="BI212" s="265"/>
      <c r="BJ212" s="265"/>
      <c r="BK212" s="265"/>
      <c r="BL212" s="265"/>
      <c r="BM212" s="265"/>
      <c r="BN212" s="265"/>
      <c r="BO212" s="265"/>
      <c r="BP212" s="265"/>
      <c r="BQ212" s="265"/>
      <c r="BR212" s="265"/>
      <c r="BS212" s="265"/>
      <c r="BT212" s="265"/>
      <c r="BU212" s="265"/>
      <c r="BV212" s="265"/>
    </row>
    <row r="213">
      <c r="A213" s="251">
        <f>VLOOKUP($F213,UpdateHashtag!$V$3:$Y$32,COLUMN(B$15),0)</f>
        <v>4</v>
      </c>
      <c r="B213" s="252">
        <f>VLOOKUP($F213,UpdateHashtag!$V$3:$Y$32,COLUMN(C$13),0)</f>
        <v>3</v>
      </c>
      <c r="C213" s="252">
        <f>VLOOKUP($F213,UpdateHashtag!$V$3:$Y$32,COLUMN(D$13),0)</f>
        <v>3</v>
      </c>
      <c r="D213" s="268">
        <f t="shared" si="4"/>
        <v>10</v>
      </c>
      <c r="E213" s="19"/>
      <c r="F213" s="30" t="str">
        <f>IF(VLOOKUP(J213,PasteHashtag!$C$2:$P1015,3,)="BRO","BKN",IF(VLOOKUP(J213,PasteHashtag!$C$2:$P1015,3,)="OKL","OKC",VLOOKUP(J213,PasteHashtag!$C$2:$P1015,3,)))</f>
        <v>MIN</v>
      </c>
      <c r="G213" s="269">
        <v>194.0</v>
      </c>
      <c r="H213" s="270">
        <f>IFERROR(__xludf.DUMMYFUNCTION("""COMPUTED_VALUE"""),196.0)</f>
        <v>196</v>
      </c>
      <c r="I213" s="270">
        <f>IFERROR(__xludf.DUMMYFUNCTION("""COMPUTED_VALUE"""),141.2)</f>
        <v>141.2</v>
      </c>
      <c r="J213" s="271" t="str">
        <f>IFERROR(__xludf.DUMMYFUNCTION("""COMPUTED_VALUE"""),"Jaden McDaniels")</f>
        <v>Jaden McDaniels</v>
      </c>
      <c r="K213" s="270">
        <f>IFERROR(__xludf.DUMMYFUNCTION("""COMPUTED_VALUE"""),34.0)</f>
        <v>34</v>
      </c>
      <c r="L213" s="272" t="str">
        <f>IFERROR(__xludf.DUMMYFUNCTION("""COMPUTED_VALUE"""),"PG,SG")</f>
        <v>PG,SG</v>
      </c>
      <c r="M213" s="273">
        <f>IFERROR(__xludf.DUMMYFUNCTION("""COMPUTED_VALUE"""),-5.1798492548132336)</f>
        <v>-5.179849255</v>
      </c>
      <c r="N213" s="274">
        <f>IFERROR(__xludf.DUMMYFUNCTION("""COMPUTED_VALUE"""),-5.3052081871021635)</f>
        <v>-5.305208187</v>
      </c>
      <c r="O213" s="274">
        <f>IFERROR(__xludf.DUMMYFUNCTION("""COMPUTED_VALUE"""),-0.12535893228892991)</f>
        <v>-0.1253589323</v>
      </c>
      <c r="P213" s="275">
        <f>IFERROR(__xludf.DUMMYFUNCTION("""COMPUTED_VALUE"""),9.067123288)</f>
        <v>9.067123288</v>
      </c>
      <c r="Q213" s="275">
        <f>IFERROR(__xludf.DUMMYFUNCTION("""COMPUTED_VALUE"""),1.049863014)</f>
        <v>1.049863014</v>
      </c>
      <c r="R213" s="275">
        <f>IFERROR(__xludf.DUMMYFUNCTION("""COMPUTED_VALUE"""),3.315616438)</f>
        <v>3.315616438</v>
      </c>
      <c r="S213" s="276">
        <f>IFERROR(__xludf.DUMMYFUNCTION("""COMPUTED_VALUE"""),1.422328767)</f>
        <v>1.422328767</v>
      </c>
      <c r="T213" s="275">
        <f>IFERROR(__xludf.DUMMYFUNCTION("""COMPUTED_VALUE"""),0.8291780822)</f>
        <v>0.8291780822</v>
      </c>
      <c r="U213" s="275">
        <f>IFERROR(__xludf.DUMMYFUNCTION("""COMPUTED_VALUE"""),0.7697260274)</f>
        <v>0.7697260274</v>
      </c>
      <c r="V213" s="272">
        <f>IFERROR(__xludf.DUMMYFUNCTION("""COMPUTED_VALUE"""),0.4829948083)</f>
        <v>0.4829948083</v>
      </c>
      <c r="W213" s="272">
        <f>IFERROR(__xludf.DUMMYFUNCTION("""COMPUTED_VALUE"""),0.7149544863)</f>
        <v>0.7149544863</v>
      </c>
      <c r="X213" s="275">
        <f>IFERROR(__xludf.DUMMYFUNCTION("""COMPUTED_VALUE"""),1.243150685)</f>
        <v>1.243150685</v>
      </c>
      <c r="Y213" s="273">
        <f>IFERROR(__xludf.DUMMYFUNCTION("""COMPUTED_VALUE"""),-1.5180306809163038)</f>
        <v>-1.518030681</v>
      </c>
      <c r="Z213" s="273">
        <f>IFERROR(__xludf.DUMMYFUNCTION("""COMPUTED_VALUE"""),-0.6931632862650889)</f>
        <v>-0.6931632863</v>
      </c>
      <c r="AA213" s="273">
        <f>IFERROR(__xludf.DUMMYFUNCTION("""COMPUTED_VALUE"""),-1.0846876151623006)</f>
        <v>-1.084687615</v>
      </c>
      <c r="AB213" s="273">
        <f>IFERROR(__xludf.DUMMYFUNCTION("""COMPUTED_VALUE"""),-1.1403436199524088)</f>
        <v>-1.14034362</v>
      </c>
      <c r="AC213" s="273">
        <f>IFERROR(__xludf.DUMMYFUNCTION("""COMPUTED_VALUE"""),-0.4857329150293444)</f>
        <v>-0.485732915</v>
      </c>
      <c r="AD213" s="273">
        <f>IFERROR(__xludf.DUMMYFUNCTION("""COMPUTED_VALUE"""),0.037562482944043366)</f>
        <v>0.03756248294</v>
      </c>
      <c r="AE213" s="273">
        <f>IFERROR(__xludf.DUMMYFUNCTION("""COMPUTED_VALUE"""),-0.12465837200104284)</f>
        <v>-0.124658372</v>
      </c>
      <c r="AF213" s="273">
        <f>IFERROR(__xludf.DUMMYFUNCTION("""COMPUTED_VALUE"""),-0.29615418071971833)</f>
        <v>-0.2961541807</v>
      </c>
      <c r="AG213" s="277">
        <f>IFERROR(__xludf.DUMMYFUNCTION("""COMPUTED_VALUE"""),0.0)</f>
        <v>0</v>
      </c>
      <c r="AH213" s="265"/>
      <c r="AI213" s="338"/>
      <c r="AJ213" s="339"/>
      <c r="AK213" s="265"/>
      <c r="AL213" s="265"/>
      <c r="AM213" s="265"/>
      <c r="AN213" s="265"/>
      <c r="AO213" s="265"/>
      <c r="AP213" s="265"/>
      <c r="AQ213" s="265"/>
      <c r="AR213" s="265"/>
      <c r="AS213" s="265"/>
      <c r="AT213" s="265"/>
      <c r="AU213" s="265"/>
      <c r="AV213" s="265"/>
      <c r="AW213" s="265"/>
      <c r="AX213" s="265"/>
      <c r="AY213" s="265"/>
      <c r="AZ213" s="265"/>
      <c r="BA213" s="265"/>
      <c r="BB213" s="265"/>
      <c r="BC213" s="265"/>
      <c r="BD213" s="265"/>
      <c r="BE213" s="265"/>
      <c r="BF213" s="265"/>
      <c r="BG213" s="265"/>
      <c r="BH213" s="265"/>
      <c r="BI213" s="265"/>
      <c r="BJ213" s="265"/>
      <c r="BK213" s="265"/>
      <c r="BL213" s="265"/>
      <c r="BM213" s="265"/>
      <c r="BN213" s="265"/>
      <c r="BO213" s="265"/>
      <c r="BP213" s="265"/>
      <c r="BQ213" s="265"/>
      <c r="BR213" s="265"/>
      <c r="BS213" s="265"/>
      <c r="BT213" s="265"/>
      <c r="BU213" s="265"/>
      <c r="BV213" s="265"/>
    </row>
    <row r="214">
      <c r="A214" s="251">
        <f>VLOOKUP($F214,UpdateHashtag!$V$3:$Y$32,COLUMN(B$15),0)</f>
        <v>3</v>
      </c>
      <c r="B214" s="252">
        <f>VLOOKUP($F214,UpdateHashtag!$V$3:$Y$32,COLUMN(C$13),0)</f>
        <v>4</v>
      </c>
      <c r="C214" s="252">
        <f>VLOOKUP($F214,UpdateHashtag!$V$3:$Y$32,COLUMN(D$13),0)</f>
        <v>4</v>
      </c>
      <c r="D214" s="268">
        <f t="shared" si="4"/>
        <v>11</v>
      </c>
      <c r="E214" s="19"/>
      <c r="F214" s="30" t="str">
        <f>IF(VLOOKUP(J214,PasteHashtag!$C$2:$P1015,3,)="BRO","BKN",IF(VLOOKUP(J214,PasteHashtag!$C$2:$P1015,3,)="OKL","OKC",VLOOKUP(J214,PasteHashtag!$C$2:$P1015,3,)))</f>
        <v>SA</v>
      </c>
      <c r="G214" s="269">
        <v>195.0</v>
      </c>
      <c r="H214" s="270">
        <f>IFERROR(__xludf.DUMMYFUNCTION("""COMPUTED_VALUE"""),193.0)</f>
        <v>193</v>
      </c>
      <c r="I214" s="270">
        <f>IFERROR(__xludf.DUMMYFUNCTION("""COMPUTED_VALUE"""),141.5)</f>
        <v>141.5</v>
      </c>
      <c r="J214" s="271" t="str">
        <f>IFERROR(__xludf.DUMMYFUNCTION("""COMPUTED_VALUE"""),"Tre Jones")</f>
        <v>Tre Jones</v>
      </c>
      <c r="K214" s="270">
        <f>IFERROR(__xludf.DUMMYFUNCTION("""COMPUTED_VALUE"""),78.0)</f>
        <v>78</v>
      </c>
      <c r="L214" s="272" t="str">
        <f>IFERROR(__xludf.DUMMYFUNCTION("""COMPUTED_VALUE"""),"SF,PF")</f>
        <v>SF,PF</v>
      </c>
      <c r="M214" s="273">
        <f>IFERROR(__xludf.DUMMYFUNCTION("""COMPUTED_VALUE"""),-5.197567106437892)</f>
        <v>-5.197567106</v>
      </c>
      <c r="N214" s="274">
        <f>IFERROR(__xludf.DUMMYFUNCTION("""COMPUTED_VALUE"""),-5.338779513291699)</f>
        <v>-5.338779513</v>
      </c>
      <c r="O214" s="274">
        <f>IFERROR(__xludf.DUMMYFUNCTION("""COMPUTED_VALUE"""),-0.14121240685380698)</f>
        <v>-0.1412124069</v>
      </c>
      <c r="P214" s="275">
        <f>IFERROR(__xludf.DUMMYFUNCTION("""COMPUTED_VALUE"""),7.865584416)</f>
        <v>7.865584416</v>
      </c>
      <c r="Q214" s="275">
        <f>IFERROR(__xludf.DUMMYFUNCTION("""COMPUTED_VALUE"""),0.7527272727)</f>
        <v>0.7527272727</v>
      </c>
      <c r="R214" s="275">
        <f>IFERROR(__xludf.DUMMYFUNCTION("""COMPUTED_VALUE"""),3.162467532)</f>
        <v>3.162467532</v>
      </c>
      <c r="S214" s="276">
        <f>IFERROR(__xludf.DUMMYFUNCTION("""COMPUTED_VALUE"""),4.674935065)</f>
        <v>4.674935065</v>
      </c>
      <c r="T214" s="275">
        <f>IFERROR(__xludf.DUMMYFUNCTION("""COMPUTED_VALUE"""),0.7392207792)</f>
        <v>0.7392207792</v>
      </c>
      <c r="U214" s="275">
        <f>IFERROR(__xludf.DUMMYFUNCTION("""COMPUTED_VALUE"""),0.09480519481)</f>
        <v>0.09480519481</v>
      </c>
      <c r="V214" s="272">
        <f>IFERROR(__xludf.DUMMYFUNCTION("""COMPUTED_VALUE"""),0.4952052404)</f>
        <v>0.4952052404</v>
      </c>
      <c r="W214" s="272">
        <f>IFERROR(__xludf.DUMMYFUNCTION("""COMPUTED_VALUE"""),0.8389373717)</f>
        <v>0.8389373717</v>
      </c>
      <c r="X214" s="275">
        <f>IFERROR(__xludf.DUMMYFUNCTION("""COMPUTED_VALUE"""),1.179220779)</f>
        <v>1.179220779</v>
      </c>
      <c r="Y214" s="273">
        <f>IFERROR(__xludf.DUMMYFUNCTION("""COMPUTED_VALUE"""),-1.7346148377621893)</f>
        <v>-1.734614838</v>
      </c>
      <c r="Z214" s="273">
        <f>IFERROR(__xludf.DUMMYFUNCTION("""COMPUTED_VALUE"""),-0.9879007080292068)</f>
        <v>-0.987900708</v>
      </c>
      <c r="AA214" s="273">
        <f>IFERROR(__xludf.DUMMYFUNCTION("""COMPUTED_VALUE"""),-1.1447077429051162)</f>
        <v>-1.144707743</v>
      </c>
      <c r="AB214" s="273">
        <f>IFERROR(__xludf.DUMMYFUNCTION("""COMPUTED_VALUE"""),0.33678983088694187)</f>
        <v>0.3367898309</v>
      </c>
      <c r="AC214" s="273">
        <f>IFERROR(__xludf.DUMMYFUNCTION("""COMPUTED_VALUE"""),-0.7833398641082249)</f>
        <v>-0.7833398641</v>
      </c>
      <c r="AD214" s="273">
        <f>IFERROR(__xludf.DUMMYFUNCTION("""COMPUTED_VALUE"""),-1.166258591387734)</f>
        <v>-1.166258591</v>
      </c>
      <c r="AE214" s="273">
        <f>IFERROR(__xludf.DUMMYFUNCTION("""COMPUTED_VALUE"""),-0.015017686723647861)</f>
        <v>-0.01501768672</v>
      </c>
      <c r="AF214" s="273">
        <f>IFERROR(__xludf.DUMMYFUNCTION("""COMPUTED_VALUE"""),0.1562700867374788)</f>
        <v>0.1562700867</v>
      </c>
      <c r="AG214" s="277">
        <f>IFERROR(__xludf.DUMMYFUNCTION("""COMPUTED_VALUE"""),0.0)</f>
        <v>0</v>
      </c>
      <c r="AH214" s="265"/>
      <c r="AI214" s="338"/>
      <c r="AJ214" s="339"/>
      <c r="AK214" s="265"/>
      <c r="AL214" s="265"/>
      <c r="AM214" s="265"/>
      <c r="AN214" s="265"/>
      <c r="AO214" s="265"/>
      <c r="AP214" s="265"/>
      <c r="AQ214" s="265"/>
      <c r="AR214" s="265"/>
      <c r="AS214" s="265"/>
      <c r="AT214" s="265"/>
      <c r="AU214" s="265"/>
      <c r="AV214" s="265"/>
      <c r="AW214" s="265"/>
      <c r="AX214" s="265"/>
      <c r="AY214" s="265"/>
      <c r="AZ214" s="265"/>
      <c r="BA214" s="265"/>
      <c r="BB214" s="265"/>
      <c r="BC214" s="265"/>
      <c r="BD214" s="265"/>
      <c r="BE214" s="265"/>
      <c r="BF214" s="265"/>
      <c r="BG214" s="265"/>
      <c r="BH214" s="265"/>
      <c r="BI214" s="265"/>
      <c r="BJ214" s="265"/>
      <c r="BK214" s="265"/>
      <c r="BL214" s="265"/>
      <c r="BM214" s="265"/>
      <c r="BN214" s="265"/>
      <c r="BO214" s="265"/>
      <c r="BP214" s="265"/>
      <c r="BQ214" s="265"/>
      <c r="BR214" s="265"/>
      <c r="BS214" s="265"/>
      <c r="BT214" s="265"/>
      <c r="BU214" s="265"/>
      <c r="BV214" s="265"/>
    </row>
    <row r="215">
      <c r="A215" s="251">
        <f>VLOOKUP($F215,UpdateHashtag!$V$3:$Y$32,COLUMN(B$15),0)</f>
        <v>2</v>
      </c>
      <c r="B215" s="252">
        <f>VLOOKUP($F215,UpdateHashtag!$V$3:$Y$32,COLUMN(C$13),0)</f>
        <v>4</v>
      </c>
      <c r="C215" s="252">
        <f>VLOOKUP($F215,UpdateHashtag!$V$3:$Y$32,COLUMN(D$13),0)</f>
        <v>4</v>
      </c>
      <c r="D215" s="268">
        <f t="shared" si="4"/>
        <v>10</v>
      </c>
      <c r="E215" s="19"/>
      <c r="F215" s="30" t="str">
        <f>IF(VLOOKUP(J215,PasteHashtag!$C$2:$P1015,3,)="BRO","BKN",IF(VLOOKUP(J215,PasteHashtag!$C$2:$P1015,3,)="OKL","OKC",VLOOKUP(J215,PasteHashtag!$C$2:$P1015,3,)))</f>
        <v>CHI</v>
      </c>
      <c r="G215" s="269">
        <v>196.0</v>
      </c>
      <c r="H215" s="270">
        <f>IFERROR(__xludf.DUMMYFUNCTION("""COMPUTED_VALUE"""),192.0)</f>
        <v>192</v>
      </c>
      <c r="I215" s="270">
        <f>IFERROR(__xludf.DUMMYFUNCTION("""COMPUTED_VALUE"""),144.3)</f>
        <v>144.3</v>
      </c>
      <c r="J215" s="271" t="str">
        <f>IFERROR(__xludf.DUMMYFUNCTION("""COMPUTED_VALUE"""),"Jalen Smith")</f>
        <v>Jalen Smith</v>
      </c>
      <c r="K215" s="270">
        <f>IFERROR(__xludf.DUMMYFUNCTION("""COMPUTED_VALUE"""),75.0)</f>
        <v>75</v>
      </c>
      <c r="L215" s="272" t="str">
        <f>IFERROR(__xludf.DUMMYFUNCTION("""COMPUTED_VALUE"""),"PG,SG")</f>
        <v>PG,SG</v>
      </c>
      <c r="M215" s="273">
        <f>IFERROR(__xludf.DUMMYFUNCTION("""COMPUTED_VALUE"""),-5.17042112784244)</f>
        <v>-5.170421128</v>
      </c>
      <c r="N215" s="274">
        <f>IFERROR(__xludf.DUMMYFUNCTION("""COMPUTED_VALUE"""),-5.384303287872507)</f>
        <v>-5.384303288</v>
      </c>
      <c r="O215" s="274">
        <f>IFERROR(__xludf.DUMMYFUNCTION("""COMPUTED_VALUE"""),-0.21388216003006733)</f>
        <v>-0.21388216</v>
      </c>
      <c r="P215" s="275">
        <f>IFERROR(__xludf.DUMMYFUNCTION("""COMPUTED_VALUE"""),10.86161765)</f>
        <v>10.86161765</v>
      </c>
      <c r="Q215" s="275">
        <f>IFERROR(__xludf.DUMMYFUNCTION("""COMPUTED_VALUE"""),1.010588235)</f>
        <v>1.010588235</v>
      </c>
      <c r="R215" s="275">
        <f>IFERROR(__xludf.DUMMYFUNCTION("""COMPUTED_VALUE"""),6.302647059)</f>
        <v>6.302647059</v>
      </c>
      <c r="S215" s="276">
        <f>IFERROR(__xludf.DUMMYFUNCTION("""COMPUTED_VALUE"""),0.9432352941)</f>
        <v>0.9432352941</v>
      </c>
      <c r="T215" s="275">
        <f>IFERROR(__xludf.DUMMYFUNCTION("""COMPUTED_VALUE"""),0.3538235294)</f>
        <v>0.3538235294</v>
      </c>
      <c r="U215" s="275">
        <f>IFERROR(__xludf.DUMMYFUNCTION("""COMPUTED_VALUE"""),0.8145588235)</f>
        <v>0.8145588235</v>
      </c>
      <c r="V215" s="272">
        <f>IFERROR(__xludf.DUMMYFUNCTION("""COMPUTED_VALUE"""),0.5243456864)</f>
        <v>0.5243456864</v>
      </c>
      <c r="W215" s="272">
        <f>IFERROR(__xludf.DUMMYFUNCTION("""COMPUTED_VALUE"""),0.73)</f>
        <v>0.73</v>
      </c>
      <c r="X215" s="275">
        <f>IFERROR(__xludf.DUMMYFUNCTION("""COMPUTED_VALUE"""),0.8861764706)</f>
        <v>0.8861764706</v>
      </c>
      <c r="Y215" s="273">
        <f>IFERROR(__xludf.DUMMYFUNCTION("""COMPUTED_VALUE"""),-1.1945629534748017)</f>
        <v>-1.194562953</v>
      </c>
      <c r="Z215" s="273">
        <f>IFERROR(__xludf.DUMMYFUNCTION("""COMPUTED_VALUE"""),-0.732121060419657)</f>
        <v>-0.7321210604</v>
      </c>
      <c r="AA215" s="273">
        <f>IFERROR(__xludf.DUMMYFUNCTION("""COMPUTED_VALUE"""),0.08595058348158471)</f>
        <v>0.08595058348</v>
      </c>
      <c r="AB215" s="273">
        <f>IFERROR(__xludf.DUMMYFUNCTION("""COMPUTED_VALUE"""),-1.3579183677276117)</f>
        <v>-1.357918368</v>
      </c>
      <c r="AC215" s="273">
        <f>IFERROR(__xludf.DUMMYFUNCTION("""COMPUTED_VALUE"""),-2.0583547419594335)</f>
        <v>-2.058354742</v>
      </c>
      <c r="AD215" s="273">
        <f>IFERROR(__xludf.DUMMYFUNCTION("""COMPUTED_VALUE"""),0.1175284021456893)</f>
        <v>0.1175284021</v>
      </c>
      <c r="AE215" s="273">
        <f>IFERROR(__xludf.DUMMYFUNCTION("""COMPUTED_VALUE"""),0.2486599523619967)</f>
        <v>0.2486599524</v>
      </c>
      <c r="AF215" s="273">
        <f>IFERROR(__xludf.DUMMYFUNCTION("""COMPUTED_VALUE"""),-0.4934851022802739)</f>
        <v>-0.4934851023</v>
      </c>
      <c r="AG215" s="277">
        <f>IFERROR(__xludf.DUMMYFUNCTION("""COMPUTED_VALUE"""),0.0)</f>
        <v>0</v>
      </c>
      <c r="AH215" s="265"/>
      <c r="AI215" s="338"/>
      <c r="AJ215" s="339"/>
      <c r="AK215" s="265"/>
      <c r="AL215" s="265"/>
      <c r="AM215" s="265"/>
      <c r="AN215" s="265"/>
      <c r="AO215" s="265"/>
      <c r="AP215" s="265"/>
      <c r="AQ215" s="265"/>
      <c r="AR215" s="265"/>
      <c r="AS215" s="265"/>
      <c r="AT215" s="265"/>
      <c r="AU215" s="265"/>
      <c r="AV215" s="265"/>
      <c r="AW215" s="265"/>
      <c r="AX215" s="265"/>
      <c r="AY215" s="265"/>
      <c r="AZ215" s="265"/>
      <c r="BA215" s="265"/>
      <c r="BB215" s="265"/>
      <c r="BC215" s="265"/>
      <c r="BD215" s="265"/>
      <c r="BE215" s="265"/>
      <c r="BF215" s="265"/>
      <c r="BG215" s="265"/>
      <c r="BH215" s="265"/>
      <c r="BI215" s="265"/>
      <c r="BJ215" s="265"/>
      <c r="BK215" s="265"/>
      <c r="BL215" s="265"/>
      <c r="BM215" s="265"/>
      <c r="BN215" s="265"/>
      <c r="BO215" s="265"/>
      <c r="BP215" s="265"/>
      <c r="BQ215" s="265"/>
      <c r="BR215" s="265"/>
      <c r="BS215" s="265"/>
      <c r="BT215" s="265"/>
      <c r="BU215" s="265"/>
      <c r="BV215" s="265"/>
    </row>
    <row r="216">
      <c r="A216" s="251">
        <f>VLOOKUP($F216,UpdateHashtag!$V$3:$Y$32,COLUMN(B$15),0)</f>
        <v>3</v>
      </c>
      <c r="B216" s="252">
        <f>VLOOKUP($F216,UpdateHashtag!$V$3:$Y$32,COLUMN(C$13),0)</f>
        <v>3</v>
      </c>
      <c r="C216" s="252">
        <f>VLOOKUP($F216,UpdateHashtag!$V$3:$Y$32,COLUMN(D$13),0)</f>
        <v>4</v>
      </c>
      <c r="D216" s="268">
        <f t="shared" si="4"/>
        <v>10</v>
      </c>
      <c r="E216" s="19"/>
      <c r="F216" s="30" t="str">
        <f>IF(VLOOKUP(J216,PasteHashtag!$C$2:$P1015,3,)="BRO","BKN",IF(VLOOKUP(J216,PasteHashtag!$C$2:$P1015,3,)="OKL","OKC",VLOOKUP(J216,PasteHashtag!$C$2:$P1015,3,)))</f>
        <v>NY</v>
      </c>
      <c r="G216" s="269">
        <v>197.0</v>
      </c>
      <c r="H216" s="270">
        <f>IFERROR(__xludf.DUMMYFUNCTION("""COMPUTED_VALUE"""),197.0)</f>
        <v>197</v>
      </c>
      <c r="I216" s="270">
        <f>IFERROR(__xludf.DUMMYFUNCTION("""COMPUTED_VALUE"""),143.9)</f>
        <v>143.9</v>
      </c>
      <c r="J216" s="271" t="str">
        <f>IFERROR(__xludf.DUMMYFUNCTION("""COMPUTED_VALUE"""),"Precious Achiuwa")</f>
        <v>Precious Achiuwa</v>
      </c>
      <c r="K216" s="270">
        <f>IFERROR(__xludf.DUMMYFUNCTION("""COMPUTED_VALUE"""),68.0)</f>
        <v>68</v>
      </c>
      <c r="L216" s="272" t="str">
        <f>IFERROR(__xludf.DUMMYFUNCTION("""COMPUTED_VALUE"""),"PG")</f>
        <v>PG</v>
      </c>
      <c r="M216" s="273">
        <f>IFERROR(__xludf.DUMMYFUNCTION("""COMPUTED_VALUE"""),-5.301046625251226)</f>
        <v>-5.301046625</v>
      </c>
      <c r="N216" s="274">
        <f>IFERROR(__xludf.DUMMYFUNCTION("""COMPUTED_VALUE"""),-5.4613268773867745)</f>
        <v>-5.461326877</v>
      </c>
      <c r="O216" s="274">
        <f>IFERROR(__xludf.DUMMYFUNCTION("""COMPUTED_VALUE"""),-0.1602802521355482)</f>
        <v>-0.1602802521</v>
      </c>
      <c r="P216" s="275">
        <f>IFERROR(__xludf.DUMMYFUNCTION("""COMPUTED_VALUE"""),7.831643836)</f>
        <v>7.831643836</v>
      </c>
      <c r="Q216" s="275">
        <f>IFERROR(__xludf.DUMMYFUNCTION("""COMPUTED_VALUE"""),0.2912328767)</f>
        <v>0.2912328767</v>
      </c>
      <c r="R216" s="275">
        <f>IFERROR(__xludf.DUMMYFUNCTION("""COMPUTED_VALUE"""),7.083972603)</f>
        <v>7.083972603</v>
      </c>
      <c r="S216" s="276">
        <f>IFERROR(__xludf.DUMMYFUNCTION("""COMPUTED_VALUE"""),1.012054795)</f>
        <v>1.012054795</v>
      </c>
      <c r="T216" s="275">
        <f>IFERROR(__xludf.DUMMYFUNCTION("""COMPUTED_VALUE"""),0.5997260274)</f>
        <v>0.5997260274</v>
      </c>
      <c r="U216" s="275">
        <f>IFERROR(__xludf.DUMMYFUNCTION("""COMPUTED_VALUE"""),1.012054795)</f>
        <v>1.012054795</v>
      </c>
      <c r="V216" s="272">
        <f>IFERROR(__xludf.DUMMYFUNCTION("""COMPUTED_VALUE"""),0.518197982)</f>
        <v>0.518197982</v>
      </c>
      <c r="W216" s="272">
        <f>IFERROR(__xludf.DUMMYFUNCTION("""COMPUTED_VALUE"""),0.6490408024)</f>
        <v>0.6490408024</v>
      </c>
      <c r="X216" s="275">
        <f>IFERROR(__xludf.DUMMYFUNCTION("""COMPUTED_VALUE"""),1.102328767)</f>
        <v>1.102328767</v>
      </c>
      <c r="Y216" s="273">
        <f>IFERROR(__xludf.DUMMYFUNCTION("""COMPUTED_VALUE"""),-1.7407328186893685)</f>
        <v>-1.740732819</v>
      </c>
      <c r="Z216" s="273">
        <f>IFERROR(__xludf.DUMMYFUNCTION("""COMPUTED_VALUE"""),-1.4456701700283876)</f>
        <v>-1.44567017</v>
      </c>
      <c r="AA216" s="273">
        <f>IFERROR(__xludf.DUMMYFUNCTION("""COMPUTED_VALUE"""),0.3921575305922934)</f>
        <v>0.3921575306</v>
      </c>
      <c r="AB216" s="273">
        <f>IFERROR(__xludf.DUMMYFUNCTION("""COMPUTED_VALUE"""),-1.3266647890476568)</f>
        <v>-1.326664789</v>
      </c>
      <c r="AC216" s="273">
        <f>IFERROR(__xludf.DUMMYFUNCTION("""COMPUTED_VALUE"""),-1.2448322178275626)</f>
        <v>-1.244832218</v>
      </c>
      <c r="AD216" s="273">
        <f>IFERROR(__xludf.DUMMYFUNCTION("""COMPUTED_VALUE"""),0.4697916619341987)</f>
        <v>0.4697916619</v>
      </c>
      <c r="AE216" s="273">
        <f>IFERROR(__xludf.DUMMYFUNCTION("""COMPUTED_VALUE"""),0.15583629271317373)</f>
        <v>0.1558362927</v>
      </c>
      <c r="AF216" s="273">
        <f>IFERROR(__xludf.DUMMYFUNCTION("""COMPUTED_VALUE"""),-0.7212123670334641)</f>
        <v>-0.721212367</v>
      </c>
      <c r="AG216" s="277">
        <f>IFERROR(__xludf.DUMMYFUNCTION("""COMPUTED_VALUE"""),0.0)</f>
        <v>0</v>
      </c>
      <c r="AH216" s="265"/>
      <c r="AI216" s="338"/>
      <c r="AJ216" s="339"/>
      <c r="AK216" s="265"/>
      <c r="AL216" s="265"/>
      <c r="AM216" s="265"/>
      <c r="AN216" s="265"/>
      <c r="AO216" s="265"/>
      <c r="AP216" s="265"/>
      <c r="AQ216" s="265"/>
      <c r="AR216" s="265"/>
      <c r="AS216" s="265"/>
      <c r="AT216" s="265"/>
      <c r="AU216" s="265"/>
      <c r="AV216" s="265"/>
      <c r="AW216" s="265"/>
      <c r="AX216" s="265"/>
      <c r="AY216" s="265"/>
      <c r="AZ216" s="265"/>
      <c r="BA216" s="265"/>
      <c r="BB216" s="265"/>
      <c r="BC216" s="265"/>
      <c r="BD216" s="265"/>
      <c r="BE216" s="265"/>
      <c r="BF216" s="265"/>
      <c r="BG216" s="265"/>
      <c r="BH216" s="265"/>
      <c r="BI216" s="265"/>
      <c r="BJ216" s="265"/>
      <c r="BK216" s="265"/>
      <c r="BL216" s="265"/>
      <c r="BM216" s="265"/>
      <c r="BN216" s="265"/>
      <c r="BO216" s="265"/>
      <c r="BP216" s="265"/>
      <c r="BQ216" s="265"/>
      <c r="BR216" s="265"/>
      <c r="BS216" s="265"/>
      <c r="BT216" s="265"/>
      <c r="BU216" s="265"/>
      <c r="BV216" s="265"/>
    </row>
    <row r="217">
      <c r="A217" s="251">
        <f>VLOOKUP($F217,UpdateHashtag!$V$3:$Y$32,COLUMN(B$15),0)</f>
        <v>3</v>
      </c>
      <c r="B217" s="252">
        <f>VLOOKUP($F217,UpdateHashtag!$V$3:$Y$32,COLUMN(C$13),0)</f>
        <v>4</v>
      </c>
      <c r="C217" s="252">
        <f>VLOOKUP($F217,UpdateHashtag!$V$3:$Y$32,COLUMN(D$13),0)</f>
        <v>3</v>
      </c>
      <c r="D217" s="268">
        <f t="shared" si="4"/>
        <v>10</v>
      </c>
      <c r="E217" s="19"/>
      <c r="F217" s="30" t="str">
        <f>IF(VLOOKUP(J217,PasteHashtag!$C$2:$P1015,3,)="BRO","BKN",IF(VLOOKUP(J217,PasteHashtag!$C$2:$P1015,3,)="OKL","OKC",VLOOKUP(J217,PasteHashtag!$C$2:$P1015,3,)))</f>
        <v>BOS</v>
      </c>
      <c r="G217" s="269">
        <v>198.0</v>
      </c>
      <c r="H217" s="270">
        <f>IFERROR(__xludf.DUMMYFUNCTION("""COMPUTED_VALUE"""),189.0)</f>
        <v>189</v>
      </c>
      <c r="I217" s="270"/>
      <c r="J217" s="271" t="str">
        <f>IFERROR(__xludf.DUMMYFUNCTION("""COMPUTED_VALUE"""),"Luke Kornet")</f>
        <v>Luke Kornet</v>
      </c>
      <c r="K217" s="270">
        <f>IFERROR(__xludf.DUMMYFUNCTION("""COMPUTED_VALUE"""),66.0)</f>
        <v>66</v>
      </c>
      <c r="L217" s="272" t="str">
        <f>IFERROR(__xludf.DUMMYFUNCTION("""COMPUTED_VALUE"""),"PG,SG")</f>
        <v>PG,SG</v>
      </c>
      <c r="M217" s="273">
        <f>IFERROR(__xludf.DUMMYFUNCTION("""COMPUTED_VALUE"""),-5.2206675578865696)</f>
        <v>-5.220667558</v>
      </c>
      <c r="N217" s="274">
        <f>IFERROR(__xludf.DUMMYFUNCTION("""COMPUTED_VALUE"""),-5.549897878535135)</f>
        <v>-5.549897879</v>
      </c>
      <c r="O217" s="274">
        <f>IFERROR(__xludf.DUMMYFUNCTION("""COMPUTED_VALUE"""),-0.3292303206485654)</f>
        <v>-0.3292303206</v>
      </c>
      <c r="P217" s="275">
        <f>IFERROR(__xludf.DUMMYFUNCTION("""COMPUTED_VALUE"""),6.690735294)</f>
        <v>6.690735294</v>
      </c>
      <c r="Q217" s="275">
        <f>IFERROR(__xludf.DUMMYFUNCTION("""COMPUTED_VALUE"""),0.02191176471)</f>
        <v>0.02191176471</v>
      </c>
      <c r="R217" s="275">
        <f>IFERROR(__xludf.DUMMYFUNCTION("""COMPUTED_VALUE"""),4.732647059)</f>
        <v>4.732647059</v>
      </c>
      <c r="S217" s="276">
        <f>IFERROR(__xludf.DUMMYFUNCTION("""COMPUTED_VALUE"""),1.377647059)</f>
        <v>1.377647059</v>
      </c>
      <c r="T217" s="275">
        <f>IFERROR(__xludf.DUMMYFUNCTION("""COMPUTED_VALUE"""),0.4267647059)</f>
        <v>0.4267647059</v>
      </c>
      <c r="U217" s="275">
        <f>IFERROR(__xludf.DUMMYFUNCTION("""COMPUTED_VALUE"""),1.047352941)</f>
        <v>1.047352941</v>
      </c>
      <c r="V217" s="272">
        <f>IFERROR(__xludf.DUMMYFUNCTION("""COMPUTED_VALUE"""),0.6737864735)</f>
        <v>0.6737864735</v>
      </c>
      <c r="W217" s="272">
        <f>IFERROR(__xludf.DUMMYFUNCTION("""COMPUTED_VALUE"""),0.852)</f>
        <v>0.852</v>
      </c>
      <c r="X217" s="275">
        <f>IFERROR(__xludf.DUMMYFUNCTION("""COMPUTED_VALUE"""),0.4210294118)</f>
        <v>0.4210294118</v>
      </c>
      <c r="Y217" s="273">
        <f>IFERROR(__xludf.DUMMYFUNCTION("""COMPUTED_VALUE"""),-1.9463880166739569)</f>
        <v>-1.946388017</v>
      </c>
      <c r="Z217" s="273">
        <f>IFERROR(__xludf.DUMMYFUNCTION("""COMPUTED_VALUE"""),-1.7128174671771128)</f>
        <v>-1.712817467</v>
      </c>
      <c r="AA217" s="273">
        <f>IFERROR(__xludf.DUMMYFUNCTION("""COMPUTED_VALUE"""),-0.5293434007681002)</f>
        <v>-0.5293434008</v>
      </c>
      <c r="AB217" s="273">
        <f>IFERROR(__xludf.DUMMYFUNCTION("""COMPUTED_VALUE"""),-1.1606352997563922)</f>
        <v>-1.1606353</v>
      </c>
      <c r="AC217" s="273">
        <f>IFERROR(__xludf.DUMMYFUNCTION("""COMPUTED_VALUE"""),-1.8170424718440303)</f>
        <v>-1.817042472</v>
      </c>
      <c r="AD217" s="273">
        <f>IFERROR(__xludf.DUMMYFUNCTION("""COMPUTED_VALUE"""),0.5327511232336445)</f>
        <v>0.5327511232</v>
      </c>
      <c r="AE217" s="273">
        <f>IFERROR(__xludf.DUMMYFUNCTION("""COMPUTED_VALUE"""),0.8921002313187272)</f>
        <v>0.8921002313</v>
      </c>
      <c r="AF217" s="273">
        <f>IFERROR(__xludf.DUMMYFUNCTION("""COMPUTED_VALUE"""),0.1914774231320858)</f>
        <v>0.1914774231</v>
      </c>
      <c r="AG217" s="277">
        <f>IFERROR(__xludf.DUMMYFUNCTION("""COMPUTED_VALUE"""),0.0)</f>
        <v>0</v>
      </c>
      <c r="AH217" s="265"/>
      <c r="AI217" s="338"/>
      <c r="AJ217" s="339"/>
      <c r="AK217" s="265"/>
      <c r="AL217" s="265"/>
      <c r="AM217" s="265"/>
      <c r="AN217" s="265"/>
      <c r="AO217" s="265"/>
      <c r="AP217" s="265"/>
      <c r="AQ217" s="265"/>
      <c r="AR217" s="265"/>
      <c r="AS217" s="265"/>
      <c r="AT217" s="265"/>
      <c r="AU217" s="265"/>
      <c r="AV217" s="265"/>
      <c r="AW217" s="265"/>
      <c r="AX217" s="265"/>
      <c r="AY217" s="265"/>
      <c r="AZ217" s="265"/>
      <c r="BA217" s="265"/>
      <c r="BB217" s="265"/>
      <c r="BC217" s="265"/>
      <c r="BD217" s="265"/>
      <c r="BE217" s="265"/>
      <c r="BF217" s="265"/>
      <c r="BG217" s="265"/>
      <c r="BH217" s="265"/>
      <c r="BI217" s="265"/>
      <c r="BJ217" s="265"/>
      <c r="BK217" s="265"/>
      <c r="BL217" s="265"/>
      <c r="BM217" s="265"/>
      <c r="BN217" s="265"/>
      <c r="BO217" s="265"/>
      <c r="BP217" s="265"/>
      <c r="BQ217" s="265"/>
      <c r="BR217" s="265"/>
      <c r="BS217" s="265"/>
      <c r="BT217" s="265"/>
      <c r="BU217" s="265"/>
      <c r="BV217" s="265"/>
    </row>
    <row r="218">
      <c r="A218" s="251">
        <f>VLOOKUP($F218,UpdateHashtag!$V$3:$Y$32,COLUMN(B$15),0)</f>
        <v>4</v>
      </c>
      <c r="B218" s="252">
        <f>VLOOKUP($F218,UpdateHashtag!$V$3:$Y$32,COLUMN(C$13),0)</f>
        <v>3</v>
      </c>
      <c r="C218" s="252">
        <f>VLOOKUP($F218,UpdateHashtag!$V$3:$Y$32,COLUMN(D$13),0)</f>
        <v>4</v>
      </c>
      <c r="D218" s="268">
        <f t="shared" si="4"/>
        <v>11</v>
      </c>
      <c r="E218" s="19"/>
      <c r="F218" s="30" t="str">
        <f>IF(VLOOKUP(J218,PasteHashtag!$C$2:$P1015,3,)="BRO","BKN",IF(VLOOKUP(J218,PasteHashtag!$C$2:$P1015,3,)="OKL","OKC",VLOOKUP(J218,PasteHashtag!$C$2:$P1015,3,)))</f>
        <v>POR</v>
      </c>
      <c r="G218" s="269">
        <v>199.0</v>
      </c>
      <c r="H218" s="270">
        <f>IFERROR(__xludf.DUMMYFUNCTION("""COMPUTED_VALUE"""),200.0)</f>
        <v>200</v>
      </c>
      <c r="I218" s="270">
        <f>IFERROR(__xludf.DUMMYFUNCTION("""COMPUTED_VALUE"""),143.3)</f>
        <v>143.3</v>
      </c>
      <c r="J218" s="271" t="str">
        <f>IFERROR(__xludf.DUMMYFUNCTION("""COMPUTED_VALUE"""),"Donovan Clingan")</f>
        <v>Donovan Clingan</v>
      </c>
      <c r="K218" s="270">
        <f>IFERROR(__xludf.DUMMYFUNCTION("""COMPUTED_VALUE"""),46.0)</f>
        <v>46</v>
      </c>
      <c r="L218" s="272" t="str">
        <f>IFERROR(__xludf.DUMMYFUNCTION("""COMPUTED_VALUE"""),"PG,SG")</f>
        <v>PG,SG</v>
      </c>
      <c r="M218" s="273">
        <f>IFERROR(__xludf.DUMMYFUNCTION("""COMPUTED_VALUE"""),-5.437727100815008)</f>
        <v>-5.437727101</v>
      </c>
      <c r="N218" s="274">
        <f>IFERROR(__xludf.DUMMYFUNCTION("""COMPUTED_VALUE"""),-5.595156857331239)</f>
        <v>-5.595156857</v>
      </c>
      <c r="O218" s="274">
        <f>IFERROR(__xludf.DUMMYFUNCTION("""COMPUTED_VALUE"""),-0.15742975651623148)</f>
        <v>-0.1574297565</v>
      </c>
      <c r="P218" s="275">
        <f>IFERROR(__xludf.DUMMYFUNCTION("""COMPUTED_VALUE"""),7.622205882)</f>
        <v>7.622205882</v>
      </c>
      <c r="Q218" s="275">
        <f>IFERROR(__xludf.DUMMYFUNCTION("""COMPUTED_VALUE"""),0.09955882353)</f>
        <v>0.09955882353</v>
      </c>
      <c r="R218" s="275">
        <f>IFERROR(__xludf.DUMMYFUNCTION("""COMPUTED_VALUE"""),7.0125)</f>
        <v>7.0125</v>
      </c>
      <c r="S218" s="276">
        <f>IFERROR(__xludf.DUMMYFUNCTION("""COMPUTED_VALUE"""),0.9486764706)</f>
        <v>0.9486764706</v>
      </c>
      <c r="T218" s="275">
        <f>IFERROR(__xludf.DUMMYFUNCTION("""COMPUTED_VALUE"""),0.4125)</f>
        <v>0.4125</v>
      </c>
      <c r="U218" s="275">
        <f>IFERROR(__xludf.DUMMYFUNCTION("""COMPUTED_VALUE"""),1.65)</f>
        <v>1.65</v>
      </c>
      <c r="V218" s="272">
        <f>IFERROR(__xludf.DUMMYFUNCTION("""COMPUTED_VALUE"""),0.5475498694)</f>
        <v>0.5475498694</v>
      </c>
      <c r="W218" s="272">
        <f>IFERROR(__xludf.DUMMYFUNCTION("""COMPUTED_VALUE"""),0.5699556842)</f>
        <v>0.5699556842</v>
      </c>
      <c r="X218" s="275">
        <f>IFERROR(__xludf.DUMMYFUNCTION("""COMPUTED_VALUE"""),1.113823529)</f>
        <v>1.113823529</v>
      </c>
      <c r="Y218" s="273">
        <f>IFERROR(__xludf.DUMMYFUNCTION("""COMPUTED_VALUE"""),-1.7784851908644883)</f>
        <v>-1.778485191</v>
      </c>
      <c r="Z218" s="273">
        <f>IFERROR(__xludf.DUMMYFUNCTION("""COMPUTED_VALUE"""),-1.6357971335610788)</f>
        <v>-1.635797134</v>
      </c>
      <c r="AA218" s="273">
        <f>IFERROR(__xludf.DUMMYFUNCTION("""COMPUTED_VALUE"""),0.36414691743014943)</f>
        <v>0.3641469174</v>
      </c>
      <c r="AB218" s="273">
        <f>IFERROR(__xludf.DUMMYFUNCTION("""COMPUTED_VALUE"""),-1.3554473204861999)</f>
        <v>-1.35544732</v>
      </c>
      <c r="AC218" s="273">
        <f>IFERROR(__xludf.DUMMYFUNCTION("""COMPUTED_VALUE"""),-1.8642345892245005)</f>
        <v>-1.864234589</v>
      </c>
      <c r="AD218" s="273">
        <f>IFERROR(__xludf.DUMMYFUNCTION("""COMPUTED_VALUE"""),1.6076612385789493)</f>
        <v>1.607661239</v>
      </c>
      <c r="AE218" s="273">
        <f>IFERROR(__xludf.DUMMYFUNCTION("""COMPUTED_VALUE"""),0.3524154064118895)</f>
        <v>0.3524154064</v>
      </c>
      <c r="AF218" s="273">
        <f>IFERROR(__xludf.DUMMYFUNCTION("""COMPUTED_VALUE"""),-1.2854161856159585)</f>
        <v>-1.285416186</v>
      </c>
      <c r="AG218" s="277">
        <f>IFERROR(__xludf.DUMMYFUNCTION("""COMPUTED_VALUE"""),0.0)</f>
        <v>0</v>
      </c>
      <c r="AH218" s="265"/>
      <c r="AI218" s="338"/>
      <c r="AJ218" s="339"/>
      <c r="AK218" s="265"/>
      <c r="AL218" s="265"/>
      <c r="AM218" s="265"/>
      <c r="AN218" s="265"/>
      <c r="AO218" s="265"/>
      <c r="AP218" s="265"/>
      <c r="AQ218" s="265"/>
      <c r="AR218" s="265"/>
      <c r="AS218" s="265"/>
      <c r="AT218" s="265"/>
      <c r="AU218" s="265"/>
      <c r="AV218" s="265"/>
      <c r="AW218" s="265"/>
      <c r="AX218" s="265"/>
      <c r="AY218" s="265"/>
      <c r="AZ218" s="265"/>
      <c r="BA218" s="265"/>
      <c r="BB218" s="265"/>
      <c r="BC218" s="265"/>
      <c r="BD218" s="265"/>
      <c r="BE218" s="265"/>
      <c r="BF218" s="265"/>
      <c r="BG218" s="265"/>
      <c r="BH218" s="265"/>
      <c r="BI218" s="265"/>
      <c r="BJ218" s="265"/>
      <c r="BK218" s="265"/>
      <c r="BL218" s="265"/>
      <c r="BM218" s="265"/>
      <c r="BN218" s="265"/>
      <c r="BO218" s="265"/>
      <c r="BP218" s="265"/>
      <c r="BQ218" s="265"/>
      <c r="BR218" s="265"/>
      <c r="BS218" s="265"/>
      <c r="BT218" s="265"/>
      <c r="BU218" s="265"/>
      <c r="BV218" s="265"/>
    </row>
    <row r="219">
      <c r="A219" s="252" t="str">
        <f>VLOOKUP($F219,UpdateHashtag!$V$3:$Y$32,COLUMN(B$15),0)</f>
        <v>#N/A</v>
      </c>
      <c r="B219" s="252" t="str">
        <f>VLOOKUP($F219,UpdateHashtag!$V$3:$Y$32,COLUMN(C$13),0)</f>
        <v>#N/A</v>
      </c>
      <c r="C219" s="252" t="str">
        <f>VLOOKUP($F219,UpdateHashtag!$V$3:$Y$32,COLUMN(D$13),0)</f>
        <v>#N/A</v>
      </c>
      <c r="D219" s="344" t="str">
        <f t="shared" si="4"/>
        <v>#N/A</v>
      </c>
      <c r="E219" s="19"/>
      <c r="F219" s="30" t="str">
        <f>IF(VLOOKUP(J219,PasteHashtag!$C$2:$P1015,3,)="BRO","BKN",IF(VLOOKUP(J219,PasteHashtag!$C$2:$P1015,3,)="OKL","OKC",VLOOKUP(J219,PasteHashtag!$C$2:$P1015,3,)))</f>
        <v>#N/A</v>
      </c>
      <c r="G219" s="269">
        <v>200.0</v>
      </c>
      <c r="H219" s="270"/>
      <c r="I219" s="270"/>
      <c r="J219" s="271"/>
      <c r="K219" s="270"/>
      <c r="L219" s="272"/>
      <c r="M219" s="273"/>
      <c r="N219" s="274"/>
      <c r="O219" s="274"/>
      <c r="P219" s="275"/>
      <c r="Q219" s="275"/>
      <c r="R219" s="275"/>
      <c r="S219" s="276"/>
      <c r="T219" s="275"/>
      <c r="U219" s="275"/>
      <c r="V219" s="272"/>
      <c r="W219" s="272"/>
      <c r="X219" s="275"/>
      <c r="Y219" s="345"/>
      <c r="Z219" s="345"/>
      <c r="AA219" s="345"/>
      <c r="AB219" s="345"/>
      <c r="AC219" s="345"/>
      <c r="AD219" s="345"/>
      <c r="AE219" s="345"/>
      <c r="AF219" s="345"/>
      <c r="AG219" s="346"/>
      <c r="AH219" s="265"/>
      <c r="AI219" s="338"/>
      <c r="AJ219" s="339"/>
      <c r="AK219" s="265"/>
      <c r="AL219" s="265"/>
      <c r="AM219" s="265"/>
      <c r="AN219" s="265"/>
      <c r="AO219" s="265"/>
      <c r="AP219" s="265"/>
      <c r="AQ219" s="265"/>
      <c r="AR219" s="265"/>
      <c r="AS219" s="265"/>
      <c r="AT219" s="265"/>
      <c r="AU219" s="265"/>
      <c r="AV219" s="265"/>
      <c r="AW219" s="265"/>
      <c r="AX219" s="265"/>
      <c r="AY219" s="265"/>
      <c r="AZ219" s="265"/>
      <c r="BA219" s="265"/>
      <c r="BB219" s="265"/>
      <c r="BC219" s="265"/>
      <c r="BD219" s="265"/>
      <c r="BE219" s="265"/>
      <c r="BF219" s="265"/>
      <c r="BG219" s="265"/>
      <c r="BH219" s="265"/>
      <c r="BI219" s="265"/>
      <c r="BJ219" s="265"/>
      <c r="BK219" s="265"/>
      <c r="BL219" s="265"/>
      <c r="BM219" s="265"/>
      <c r="BN219" s="265"/>
      <c r="BO219" s="265"/>
      <c r="BP219" s="265"/>
      <c r="BQ219" s="265"/>
      <c r="BR219" s="265"/>
      <c r="BS219" s="265"/>
      <c r="BT219" s="265"/>
      <c r="BU219" s="265"/>
      <c r="BV219" s="265"/>
    </row>
    <row r="220">
      <c r="A220" s="252" t="str">
        <f>VLOOKUP($F220,UpdateHashtag!$V$3:$Y$32,COLUMN(B$15),0)</f>
        <v>#N/A</v>
      </c>
      <c r="B220" s="252" t="str">
        <f>VLOOKUP($F220,UpdateHashtag!$V$3:$Y$32,COLUMN(C$13),0)</f>
        <v>#N/A</v>
      </c>
      <c r="C220" s="252" t="str">
        <f>VLOOKUP($F220,UpdateHashtag!$V$3:$Y$32,COLUMN(D$13),0)</f>
        <v>#N/A</v>
      </c>
      <c r="D220" s="344" t="str">
        <f t="shared" si="4"/>
        <v>#N/A</v>
      </c>
      <c r="E220" s="19"/>
      <c r="F220" s="30" t="str">
        <f>IF(VLOOKUP(J220,PasteHashtag!$C$2:$P1015,3,)="BRO","BKN",IF(VLOOKUP(J220,PasteHashtag!$C$2:$P1015,3,)="OKL","OKC",VLOOKUP(J220,PasteHashtag!$C$2:$P1015,3,)))</f>
        <v>#N/A</v>
      </c>
      <c r="G220" s="269"/>
      <c r="H220" s="270"/>
      <c r="I220" s="270"/>
      <c r="J220" s="271"/>
      <c r="K220" s="270"/>
      <c r="L220" s="272"/>
      <c r="M220" s="273"/>
      <c r="N220" s="274"/>
      <c r="O220" s="274"/>
      <c r="P220" s="275"/>
      <c r="Q220" s="275"/>
      <c r="R220" s="275"/>
      <c r="S220" s="276"/>
      <c r="T220" s="275"/>
      <c r="U220" s="275"/>
      <c r="V220" s="272"/>
      <c r="W220" s="272"/>
      <c r="X220" s="275"/>
      <c r="Y220" s="345"/>
      <c r="Z220" s="345"/>
      <c r="AA220" s="345"/>
      <c r="AB220" s="345"/>
      <c r="AC220" s="345"/>
      <c r="AD220" s="345"/>
      <c r="AE220" s="345"/>
      <c r="AF220" s="345"/>
      <c r="AG220" s="346"/>
      <c r="AH220" s="265"/>
      <c r="AI220" s="338"/>
      <c r="AJ220" s="339"/>
      <c r="AK220" s="265"/>
      <c r="AL220" s="265"/>
      <c r="AM220" s="265"/>
      <c r="AN220" s="265"/>
      <c r="AO220" s="265"/>
      <c r="AP220" s="265"/>
      <c r="AQ220" s="265"/>
      <c r="AR220" s="265"/>
      <c r="AS220" s="265"/>
      <c r="AT220" s="265"/>
      <c r="AU220" s="265"/>
      <c r="AV220" s="265"/>
      <c r="AW220" s="265"/>
      <c r="AX220" s="265"/>
      <c r="AY220" s="265"/>
      <c r="AZ220" s="265"/>
      <c r="BA220" s="265"/>
      <c r="BB220" s="265"/>
      <c r="BC220" s="265"/>
      <c r="BD220" s="265"/>
      <c r="BE220" s="265"/>
      <c r="BF220" s="265"/>
      <c r="BG220" s="265"/>
      <c r="BH220" s="265"/>
      <c r="BI220" s="265"/>
      <c r="BJ220" s="265"/>
      <c r="BK220" s="265"/>
      <c r="BL220" s="265"/>
      <c r="BM220" s="265"/>
      <c r="BN220" s="265"/>
      <c r="BO220" s="265"/>
      <c r="BP220" s="265"/>
      <c r="BQ220" s="265"/>
      <c r="BR220" s="265"/>
      <c r="BS220" s="265"/>
      <c r="BT220" s="265"/>
      <c r="BU220" s="265"/>
      <c r="BV220" s="265"/>
    </row>
    <row r="221">
      <c r="A221" s="252" t="str">
        <f>VLOOKUP($F221,UpdateHashtag!$V$3:$Y$32,COLUMN(B$15),0)</f>
        <v>#N/A</v>
      </c>
      <c r="B221" s="252" t="str">
        <f>VLOOKUP($F221,UpdateHashtag!$V$3:$Y$32,COLUMN(C$13),0)</f>
        <v>#N/A</v>
      </c>
      <c r="C221" s="252" t="str">
        <f>VLOOKUP($F221,UpdateHashtag!$V$3:$Y$32,COLUMN(D$13),0)</f>
        <v>#N/A</v>
      </c>
      <c r="D221" s="344" t="str">
        <f t="shared" si="4"/>
        <v>#N/A</v>
      </c>
      <c r="E221" s="19"/>
      <c r="F221" s="30" t="str">
        <f>IF(VLOOKUP(J221,PasteHashtag!$C$2:$P1015,3,)="BRO","BKN",IF(VLOOKUP(J221,PasteHashtag!$C$2:$P1015,3,)="OKL","OKC",VLOOKUP(J221,PasteHashtag!$C$2:$P1015,3,)))</f>
        <v>#N/A</v>
      </c>
      <c r="G221" s="30">
        <v>201.0</v>
      </c>
      <c r="H221" s="270"/>
      <c r="I221" s="270"/>
      <c r="J221" s="271"/>
      <c r="K221" s="270"/>
      <c r="L221" s="272"/>
      <c r="M221" s="273"/>
      <c r="N221" s="274"/>
      <c r="O221" s="274"/>
      <c r="P221" s="275"/>
      <c r="Q221" s="275"/>
      <c r="R221" s="275"/>
      <c r="S221" s="276"/>
      <c r="T221" s="275"/>
      <c r="U221" s="275"/>
      <c r="V221" s="272"/>
      <c r="W221" s="272"/>
      <c r="X221" s="275"/>
      <c r="Y221" s="345"/>
      <c r="Z221" s="345"/>
      <c r="AA221" s="345"/>
      <c r="AB221" s="345"/>
      <c r="AC221" s="345"/>
      <c r="AD221" s="345"/>
      <c r="AE221" s="345"/>
      <c r="AF221" s="345"/>
      <c r="AG221" s="346"/>
      <c r="AH221" s="265"/>
      <c r="AI221" s="338"/>
      <c r="AJ221" s="339"/>
      <c r="AK221" s="265"/>
      <c r="AL221" s="265"/>
      <c r="AM221" s="265"/>
      <c r="AN221" s="265"/>
      <c r="AO221" s="265"/>
      <c r="AP221" s="265"/>
      <c r="AQ221" s="265"/>
      <c r="AR221" s="265"/>
      <c r="AS221" s="265"/>
      <c r="AT221" s="265"/>
      <c r="AU221" s="265"/>
      <c r="AV221" s="265"/>
      <c r="AW221" s="265"/>
      <c r="AX221" s="265"/>
      <c r="AY221" s="265"/>
      <c r="AZ221" s="265"/>
      <c r="BA221" s="265"/>
      <c r="BB221" s="265"/>
      <c r="BC221" s="265"/>
      <c r="BD221" s="265"/>
      <c r="BE221" s="265"/>
      <c r="BF221" s="265"/>
      <c r="BG221" s="265"/>
      <c r="BH221" s="265"/>
      <c r="BI221" s="265"/>
      <c r="BJ221" s="265"/>
      <c r="BK221" s="265"/>
      <c r="BL221" s="265"/>
      <c r="BM221" s="265"/>
      <c r="BN221" s="265"/>
      <c r="BO221" s="265"/>
      <c r="BP221" s="265"/>
      <c r="BQ221" s="265"/>
      <c r="BR221" s="265"/>
      <c r="BS221" s="265"/>
      <c r="BT221" s="265"/>
      <c r="BU221" s="265"/>
      <c r="BV221" s="265"/>
    </row>
    <row r="222">
      <c r="A222" s="252" t="str">
        <f>VLOOKUP($F222,UpdateHashtag!$V$3:$Y$32,COLUMN(B$15),0)</f>
        <v>#N/A</v>
      </c>
      <c r="B222" s="252" t="str">
        <f>VLOOKUP($F222,UpdateHashtag!$V$3:$Y$32,COLUMN(C$13),0)</f>
        <v>#N/A</v>
      </c>
      <c r="C222" s="252" t="str">
        <f>VLOOKUP($F222,UpdateHashtag!$V$3:$Y$32,COLUMN(D$13),0)</f>
        <v>#N/A</v>
      </c>
      <c r="D222" s="344" t="str">
        <f t="shared" si="4"/>
        <v>#N/A</v>
      </c>
      <c r="E222" s="19"/>
      <c r="F222" s="30" t="str">
        <f>IF(VLOOKUP(J222,PasteHashtag!$C$2:$P1015,3,)="BRO","BKN",IF(VLOOKUP(J222,PasteHashtag!$C$2:$P1015,3,)="OKL","OKC",VLOOKUP(J222,PasteHashtag!$C$2:$P1015,3,)))</f>
        <v>#N/A</v>
      </c>
      <c r="G222" s="30">
        <v>202.0</v>
      </c>
      <c r="H222" s="270"/>
      <c r="I222" s="270"/>
      <c r="J222" s="271"/>
      <c r="K222" s="270"/>
      <c r="L222" s="272"/>
      <c r="M222" s="273"/>
      <c r="N222" s="274"/>
      <c r="O222" s="274"/>
      <c r="P222" s="275"/>
      <c r="Q222" s="275"/>
      <c r="R222" s="275"/>
      <c r="S222" s="276"/>
      <c r="T222" s="275"/>
      <c r="U222" s="275"/>
      <c r="V222" s="272"/>
      <c r="W222" s="272"/>
      <c r="X222" s="275"/>
      <c r="Y222" s="345"/>
      <c r="Z222" s="345"/>
      <c r="AA222" s="345"/>
      <c r="AB222" s="345"/>
      <c r="AC222" s="345"/>
      <c r="AD222" s="345"/>
      <c r="AE222" s="345"/>
      <c r="AF222" s="345"/>
      <c r="AG222" s="346"/>
      <c r="AH222" s="265"/>
      <c r="AI222" s="338"/>
      <c r="AJ222" s="339"/>
      <c r="AK222" s="265"/>
      <c r="AL222" s="265"/>
      <c r="AM222" s="265"/>
      <c r="AN222" s="265"/>
      <c r="AO222" s="265"/>
      <c r="AP222" s="265"/>
      <c r="AQ222" s="265"/>
      <c r="AR222" s="265"/>
      <c r="AS222" s="265"/>
      <c r="AT222" s="265"/>
      <c r="AU222" s="265"/>
      <c r="AV222" s="265"/>
      <c r="AW222" s="265"/>
      <c r="AX222" s="265"/>
      <c r="AY222" s="265"/>
      <c r="AZ222" s="265"/>
      <c r="BA222" s="265"/>
      <c r="BB222" s="265"/>
      <c r="BC222" s="265"/>
      <c r="BD222" s="265"/>
      <c r="BE222" s="265"/>
      <c r="BF222" s="265"/>
      <c r="BG222" s="265"/>
      <c r="BH222" s="265"/>
      <c r="BI222" s="265"/>
      <c r="BJ222" s="265"/>
      <c r="BK222" s="265"/>
      <c r="BL222" s="265"/>
      <c r="BM222" s="265"/>
      <c r="BN222" s="265"/>
      <c r="BO222" s="265"/>
      <c r="BP222" s="265"/>
      <c r="BQ222" s="265"/>
      <c r="BR222" s="265"/>
      <c r="BS222" s="265"/>
      <c r="BT222" s="265"/>
      <c r="BU222" s="265"/>
      <c r="BV222" s="265"/>
    </row>
    <row r="223">
      <c r="A223" s="252" t="str">
        <f>VLOOKUP($F223,UpdateHashtag!$V$3:$Y$32,COLUMN(B$15),0)</f>
        <v>#N/A</v>
      </c>
      <c r="B223" s="252" t="str">
        <f>VLOOKUP($F223,UpdateHashtag!$V$3:$Y$32,COLUMN(C$13),0)</f>
        <v>#N/A</v>
      </c>
      <c r="C223" s="252" t="str">
        <f>VLOOKUP($F223,UpdateHashtag!$V$3:$Y$32,COLUMN(D$13),0)</f>
        <v>#N/A</v>
      </c>
      <c r="D223" s="344" t="str">
        <f t="shared" si="4"/>
        <v>#N/A</v>
      </c>
      <c r="E223" s="19"/>
      <c r="F223" s="30" t="str">
        <f>IF(VLOOKUP(J223,PasteHashtag!$C$2:$P1015,3,)="BRO","BKN",IF(VLOOKUP(J223,PasteHashtag!$C$2:$P1015,3,)="OKL","OKC",VLOOKUP(J223,PasteHashtag!$C$2:$P1015,3,)))</f>
        <v>#N/A</v>
      </c>
      <c r="G223" s="30">
        <v>203.0</v>
      </c>
      <c r="H223" s="270"/>
      <c r="I223" s="270"/>
      <c r="J223" s="271"/>
      <c r="K223" s="270"/>
      <c r="L223" s="272"/>
      <c r="M223" s="273"/>
      <c r="N223" s="274"/>
      <c r="O223" s="274"/>
      <c r="P223" s="275"/>
      <c r="Q223" s="275"/>
      <c r="R223" s="275"/>
      <c r="S223" s="276"/>
      <c r="T223" s="275"/>
      <c r="U223" s="275"/>
      <c r="V223" s="272"/>
      <c r="W223" s="272"/>
      <c r="X223" s="275"/>
      <c r="Y223" s="345"/>
      <c r="Z223" s="345"/>
      <c r="AA223" s="345"/>
      <c r="AB223" s="345"/>
      <c r="AC223" s="345"/>
      <c r="AD223" s="345"/>
      <c r="AE223" s="345"/>
      <c r="AF223" s="345"/>
      <c r="AG223" s="346"/>
      <c r="AH223" s="265"/>
      <c r="AI223" s="338"/>
      <c r="AJ223" s="339"/>
      <c r="AK223" s="265"/>
      <c r="AL223" s="265"/>
      <c r="AM223" s="265"/>
      <c r="AN223" s="265"/>
      <c r="AO223" s="265"/>
      <c r="AP223" s="265"/>
      <c r="AQ223" s="265"/>
      <c r="AR223" s="265"/>
      <c r="AS223" s="265"/>
      <c r="AT223" s="265"/>
      <c r="AU223" s="265"/>
      <c r="AV223" s="265"/>
      <c r="AW223" s="265"/>
      <c r="AX223" s="265"/>
      <c r="AY223" s="265"/>
      <c r="AZ223" s="265"/>
      <c r="BA223" s="265"/>
      <c r="BB223" s="265"/>
      <c r="BC223" s="265"/>
      <c r="BD223" s="265"/>
      <c r="BE223" s="265"/>
      <c r="BF223" s="265"/>
      <c r="BG223" s="265"/>
      <c r="BH223" s="265"/>
      <c r="BI223" s="265"/>
      <c r="BJ223" s="265"/>
      <c r="BK223" s="265"/>
      <c r="BL223" s="265"/>
      <c r="BM223" s="265"/>
      <c r="BN223" s="265"/>
      <c r="BO223" s="265"/>
      <c r="BP223" s="265"/>
      <c r="BQ223" s="265"/>
      <c r="BR223" s="265"/>
      <c r="BS223" s="265"/>
      <c r="BT223" s="265"/>
      <c r="BU223" s="265"/>
      <c r="BV223" s="265"/>
    </row>
    <row r="224">
      <c r="A224" s="252" t="str">
        <f>VLOOKUP($F224,UpdateHashtag!$V$3:$Y$32,COLUMN(B$15),0)</f>
        <v>#N/A</v>
      </c>
      <c r="B224" s="252" t="str">
        <f>VLOOKUP($F224,UpdateHashtag!$V$3:$Y$32,COLUMN(C$13),0)</f>
        <v>#N/A</v>
      </c>
      <c r="C224" s="252" t="str">
        <f>VLOOKUP($F224,UpdateHashtag!$V$3:$Y$32,COLUMN(D$13),0)</f>
        <v>#N/A</v>
      </c>
      <c r="D224" s="344" t="str">
        <f t="shared" si="4"/>
        <v>#N/A</v>
      </c>
      <c r="E224" s="19"/>
      <c r="F224" s="30" t="str">
        <f>IF(VLOOKUP(J224,PasteHashtag!$C$2:$P1015,3,)="BRO","BKN",IF(VLOOKUP(J224,PasteHashtag!$C$2:$P1015,3,)="OKL","OKC",VLOOKUP(J224,PasteHashtag!$C$2:$P1015,3,)))</f>
        <v>#N/A</v>
      </c>
      <c r="G224" s="30">
        <v>204.0</v>
      </c>
      <c r="H224" s="270"/>
      <c r="I224" s="270"/>
      <c r="J224" s="271"/>
      <c r="K224" s="270"/>
      <c r="L224" s="272"/>
      <c r="M224" s="273"/>
      <c r="N224" s="274"/>
      <c r="O224" s="274"/>
      <c r="P224" s="275"/>
      <c r="Q224" s="275"/>
      <c r="R224" s="275"/>
      <c r="S224" s="276"/>
      <c r="T224" s="275"/>
      <c r="U224" s="275"/>
      <c r="V224" s="272"/>
      <c r="W224" s="272"/>
      <c r="X224" s="275"/>
      <c r="Y224" s="345"/>
      <c r="Z224" s="345"/>
      <c r="AA224" s="345"/>
      <c r="AB224" s="345"/>
      <c r="AC224" s="345"/>
      <c r="AD224" s="345"/>
      <c r="AE224" s="345"/>
      <c r="AF224" s="345"/>
      <c r="AG224" s="346"/>
      <c r="AH224" s="265"/>
      <c r="AI224" s="338"/>
      <c r="AJ224" s="339"/>
      <c r="AK224" s="265"/>
      <c r="AL224" s="265"/>
      <c r="AM224" s="265"/>
      <c r="AN224" s="265"/>
      <c r="AO224" s="265"/>
      <c r="AP224" s="265"/>
      <c r="AQ224" s="265"/>
      <c r="AR224" s="265"/>
      <c r="AS224" s="265"/>
      <c r="AT224" s="265"/>
      <c r="AU224" s="265"/>
      <c r="AV224" s="265"/>
      <c r="AW224" s="265"/>
      <c r="AX224" s="265"/>
      <c r="AY224" s="265"/>
      <c r="AZ224" s="265"/>
      <c r="BA224" s="265"/>
      <c r="BB224" s="265"/>
      <c r="BC224" s="265"/>
      <c r="BD224" s="265"/>
      <c r="BE224" s="265"/>
      <c r="BF224" s="265"/>
      <c r="BG224" s="265"/>
      <c r="BH224" s="265"/>
      <c r="BI224" s="265"/>
      <c r="BJ224" s="265"/>
      <c r="BK224" s="265"/>
      <c r="BL224" s="265"/>
      <c r="BM224" s="265"/>
      <c r="BN224" s="265"/>
      <c r="BO224" s="265"/>
      <c r="BP224" s="265"/>
      <c r="BQ224" s="265"/>
      <c r="BR224" s="265"/>
      <c r="BS224" s="265"/>
      <c r="BT224" s="265"/>
      <c r="BU224" s="265"/>
      <c r="BV224" s="265"/>
    </row>
    <row r="225">
      <c r="A225" s="252" t="str">
        <f>VLOOKUP($F225,UpdateHashtag!$V$3:$Y$32,COLUMN(B$15),0)</f>
        <v>#N/A</v>
      </c>
      <c r="B225" s="252" t="str">
        <f>VLOOKUP($F225,UpdateHashtag!$V$3:$Y$32,COLUMN(C$13),0)</f>
        <v>#N/A</v>
      </c>
      <c r="C225" s="252" t="str">
        <f>VLOOKUP($F225,UpdateHashtag!$V$3:$Y$32,COLUMN(D$13),0)</f>
        <v>#N/A</v>
      </c>
      <c r="D225" s="344" t="str">
        <f t="shared" si="4"/>
        <v>#N/A</v>
      </c>
      <c r="E225" s="19"/>
      <c r="F225" s="30" t="str">
        <f>IF(VLOOKUP(J225,PasteHashtag!$C$2:$P1015,3,)="BRO","BKN",IF(VLOOKUP(J225,PasteHashtag!$C$2:$P1015,3,)="OKL","OKC",VLOOKUP(J225,PasteHashtag!$C$2:$P1015,3,)))</f>
        <v>#N/A</v>
      </c>
      <c r="G225" s="30">
        <v>205.0</v>
      </c>
      <c r="H225" s="270"/>
      <c r="I225" s="270"/>
      <c r="J225" s="271"/>
      <c r="K225" s="270"/>
      <c r="L225" s="272"/>
      <c r="M225" s="273"/>
      <c r="N225" s="274"/>
      <c r="O225" s="274"/>
      <c r="P225" s="275"/>
      <c r="Q225" s="275"/>
      <c r="R225" s="275"/>
      <c r="S225" s="276"/>
      <c r="T225" s="275"/>
      <c r="U225" s="275"/>
      <c r="V225" s="272"/>
      <c r="W225" s="272"/>
      <c r="X225" s="275"/>
      <c r="Y225" s="345"/>
      <c r="Z225" s="345"/>
      <c r="AA225" s="345"/>
      <c r="AB225" s="345"/>
      <c r="AC225" s="345"/>
      <c r="AD225" s="345"/>
      <c r="AE225" s="345"/>
      <c r="AF225" s="345"/>
      <c r="AG225" s="346"/>
      <c r="AH225" s="265"/>
      <c r="AI225" s="338"/>
      <c r="AJ225" s="339"/>
      <c r="AK225" s="265"/>
      <c r="AL225" s="265"/>
      <c r="AM225" s="265"/>
      <c r="AN225" s="265"/>
      <c r="AO225" s="265"/>
      <c r="AP225" s="265"/>
      <c r="AQ225" s="265"/>
      <c r="AR225" s="265"/>
      <c r="AS225" s="265"/>
      <c r="AT225" s="265"/>
      <c r="AU225" s="265"/>
      <c r="AV225" s="265"/>
      <c r="AW225" s="265"/>
      <c r="AX225" s="265"/>
      <c r="AY225" s="265"/>
      <c r="AZ225" s="265"/>
      <c r="BA225" s="265"/>
      <c r="BB225" s="265"/>
      <c r="BC225" s="265"/>
      <c r="BD225" s="265"/>
      <c r="BE225" s="265"/>
      <c r="BF225" s="265"/>
      <c r="BG225" s="265"/>
      <c r="BH225" s="265"/>
      <c r="BI225" s="265"/>
      <c r="BJ225" s="265"/>
      <c r="BK225" s="265"/>
      <c r="BL225" s="265"/>
      <c r="BM225" s="265"/>
      <c r="BN225" s="265"/>
      <c r="BO225" s="265"/>
      <c r="BP225" s="265"/>
      <c r="BQ225" s="265"/>
      <c r="BR225" s="265"/>
      <c r="BS225" s="265"/>
      <c r="BT225" s="265"/>
      <c r="BU225" s="265"/>
      <c r="BV225" s="265"/>
    </row>
    <row r="226">
      <c r="A226" s="252" t="str">
        <f>VLOOKUP($F226,UpdateHashtag!$V$3:$Y$32,COLUMN(B$15),0)</f>
        <v>#N/A</v>
      </c>
      <c r="B226" s="252" t="str">
        <f>VLOOKUP($F226,UpdateHashtag!$V$3:$Y$32,COLUMN(C$13),0)</f>
        <v>#N/A</v>
      </c>
      <c r="C226" s="252" t="str">
        <f>VLOOKUP($F226,UpdateHashtag!$V$3:$Y$32,COLUMN(D$13),0)</f>
        <v>#N/A</v>
      </c>
      <c r="D226" s="344" t="str">
        <f t="shared" si="4"/>
        <v>#N/A</v>
      </c>
      <c r="E226" s="19"/>
      <c r="F226" s="30" t="str">
        <f>IF(VLOOKUP(J226,PasteHashtag!$C$2:$P1015,3,)="BRO","BKN",IF(VLOOKUP(J226,PasteHashtag!$C$2:$P1015,3,)="OKL","OKC",VLOOKUP(J226,PasteHashtag!$C$2:$P1015,3,)))</f>
        <v>#N/A</v>
      </c>
      <c r="G226" s="30">
        <v>206.0</v>
      </c>
      <c r="H226" s="270"/>
      <c r="I226" s="270"/>
      <c r="J226" s="271"/>
      <c r="K226" s="270"/>
      <c r="L226" s="272"/>
      <c r="M226" s="273"/>
      <c r="N226" s="274"/>
      <c r="O226" s="274"/>
      <c r="P226" s="275"/>
      <c r="Q226" s="275"/>
      <c r="R226" s="275"/>
      <c r="S226" s="276"/>
      <c r="T226" s="275"/>
      <c r="U226" s="275"/>
      <c r="V226" s="272"/>
      <c r="W226" s="272"/>
      <c r="X226" s="275"/>
      <c r="Y226" s="345"/>
      <c r="Z226" s="345"/>
      <c r="AA226" s="345"/>
      <c r="AB226" s="345"/>
      <c r="AC226" s="345"/>
      <c r="AD226" s="345"/>
      <c r="AE226" s="345"/>
      <c r="AF226" s="345"/>
      <c r="AG226" s="346"/>
      <c r="AH226" s="265"/>
      <c r="AI226" s="338"/>
      <c r="AJ226" s="339"/>
      <c r="AK226" s="265"/>
      <c r="AL226" s="265"/>
      <c r="AM226" s="265"/>
      <c r="AN226" s="265"/>
      <c r="AO226" s="265"/>
      <c r="AP226" s="265"/>
      <c r="AQ226" s="265"/>
      <c r="AR226" s="265"/>
      <c r="AS226" s="265"/>
      <c r="AT226" s="265"/>
      <c r="AU226" s="265"/>
      <c r="AV226" s="265"/>
      <c r="AW226" s="265"/>
      <c r="AX226" s="265"/>
      <c r="AY226" s="265"/>
      <c r="AZ226" s="265"/>
      <c r="BA226" s="265"/>
      <c r="BB226" s="265"/>
      <c r="BC226" s="265"/>
      <c r="BD226" s="265"/>
      <c r="BE226" s="265"/>
      <c r="BF226" s="265"/>
      <c r="BG226" s="265"/>
      <c r="BH226" s="265"/>
      <c r="BI226" s="265"/>
      <c r="BJ226" s="265"/>
      <c r="BK226" s="265"/>
      <c r="BL226" s="265"/>
      <c r="BM226" s="265"/>
      <c r="BN226" s="265"/>
      <c r="BO226" s="265"/>
      <c r="BP226" s="265"/>
      <c r="BQ226" s="265"/>
      <c r="BR226" s="265"/>
      <c r="BS226" s="265"/>
      <c r="BT226" s="265"/>
      <c r="BU226" s="265"/>
      <c r="BV226" s="265"/>
    </row>
    <row r="227">
      <c r="A227" s="252" t="str">
        <f>VLOOKUP($F227,UpdateHashtag!$V$3:$Y$32,COLUMN(B$15),0)</f>
        <v>#N/A</v>
      </c>
      <c r="B227" s="252" t="str">
        <f>VLOOKUP($F227,UpdateHashtag!$V$3:$Y$32,COLUMN(C$13),0)</f>
        <v>#N/A</v>
      </c>
      <c r="C227" s="252" t="str">
        <f>VLOOKUP($F227,UpdateHashtag!$V$3:$Y$32,COLUMN(D$13),0)</f>
        <v>#N/A</v>
      </c>
      <c r="D227" s="344" t="str">
        <f t="shared" si="4"/>
        <v>#N/A</v>
      </c>
      <c r="E227" s="19"/>
      <c r="F227" s="30" t="str">
        <f>IF(VLOOKUP(J227,PasteHashtag!$C$2:$P1015,3,)="BRO","BKN",IF(VLOOKUP(J227,PasteHashtag!$C$2:$P1015,3,)="OKL","OKC",VLOOKUP(J227,PasteHashtag!$C$2:$P1015,3,)))</f>
        <v>#N/A</v>
      </c>
      <c r="G227" s="30">
        <v>207.0</v>
      </c>
      <c r="H227" s="270"/>
      <c r="I227" s="270"/>
      <c r="J227" s="271"/>
      <c r="K227" s="270"/>
      <c r="L227" s="272"/>
      <c r="M227" s="273"/>
      <c r="N227" s="274"/>
      <c r="O227" s="274"/>
      <c r="P227" s="275"/>
      <c r="Q227" s="275"/>
      <c r="R227" s="275"/>
      <c r="S227" s="276"/>
      <c r="T227" s="275"/>
      <c r="U227" s="275"/>
      <c r="V227" s="272"/>
      <c r="W227" s="272"/>
      <c r="X227" s="275"/>
      <c r="Y227" s="345"/>
      <c r="Z227" s="345"/>
      <c r="AA227" s="345"/>
      <c r="AB227" s="345"/>
      <c r="AC227" s="345"/>
      <c r="AD227" s="345"/>
      <c r="AE227" s="345"/>
      <c r="AF227" s="345"/>
      <c r="AG227" s="346"/>
      <c r="AH227" s="265"/>
      <c r="AI227" s="338"/>
      <c r="AJ227" s="339"/>
      <c r="AK227" s="265"/>
      <c r="AL227" s="265"/>
      <c r="AM227" s="265"/>
      <c r="AN227" s="265"/>
      <c r="AO227" s="265"/>
      <c r="AP227" s="265"/>
      <c r="AQ227" s="265"/>
      <c r="AR227" s="265"/>
      <c r="AS227" s="265"/>
      <c r="AT227" s="265"/>
      <c r="AU227" s="265"/>
      <c r="AV227" s="265"/>
      <c r="AW227" s="265"/>
      <c r="AX227" s="265"/>
      <c r="AY227" s="265"/>
      <c r="AZ227" s="265"/>
      <c r="BA227" s="265"/>
      <c r="BB227" s="265"/>
      <c r="BC227" s="265"/>
      <c r="BD227" s="265"/>
      <c r="BE227" s="265"/>
      <c r="BF227" s="265"/>
      <c r="BG227" s="265"/>
      <c r="BH227" s="265"/>
      <c r="BI227" s="265"/>
      <c r="BJ227" s="265"/>
      <c r="BK227" s="265"/>
      <c r="BL227" s="265"/>
      <c r="BM227" s="265"/>
      <c r="BN227" s="265"/>
      <c r="BO227" s="265"/>
      <c r="BP227" s="265"/>
      <c r="BQ227" s="265"/>
      <c r="BR227" s="265"/>
      <c r="BS227" s="265"/>
      <c r="BT227" s="265"/>
      <c r="BU227" s="265"/>
      <c r="BV227" s="265"/>
    </row>
    <row r="228">
      <c r="A228" s="252" t="str">
        <f>VLOOKUP($F228,UpdateHashtag!$V$3:$Y$32,COLUMN(B$15),0)</f>
        <v>#N/A</v>
      </c>
      <c r="B228" s="252" t="str">
        <f>VLOOKUP($F228,UpdateHashtag!$V$3:$Y$32,COLUMN(C$13),0)</f>
        <v>#N/A</v>
      </c>
      <c r="C228" s="252" t="str">
        <f>VLOOKUP($F228,UpdateHashtag!$V$3:$Y$32,COLUMN(D$13),0)</f>
        <v>#N/A</v>
      </c>
      <c r="D228" s="344" t="str">
        <f t="shared" si="4"/>
        <v>#N/A</v>
      </c>
      <c r="E228" s="19"/>
      <c r="F228" s="30" t="str">
        <f>IF(VLOOKUP(J228,PasteHashtag!$C$2:$P1015,3,)="BRO","BKN",IF(VLOOKUP(J228,PasteHashtag!$C$2:$P1015,3,)="OKL","OKC",VLOOKUP(J228,PasteHashtag!$C$2:$P1015,3,)))</f>
        <v>#N/A</v>
      </c>
      <c r="G228" s="30">
        <v>208.0</v>
      </c>
      <c r="H228" s="270"/>
      <c r="I228" s="270"/>
      <c r="J228" s="271"/>
      <c r="K228" s="270"/>
      <c r="L228" s="272"/>
      <c r="M228" s="273"/>
      <c r="N228" s="274"/>
      <c r="O228" s="274"/>
      <c r="P228" s="275"/>
      <c r="Q228" s="275"/>
      <c r="R228" s="275"/>
      <c r="S228" s="276"/>
      <c r="T228" s="275"/>
      <c r="U228" s="275"/>
      <c r="V228" s="272"/>
      <c r="W228" s="272"/>
      <c r="X228" s="275"/>
      <c r="Y228" s="345"/>
      <c r="Z228" s="345"/>
      <c r="AA228" s="345"/>
      <c r="AB228" s="345"/>
      <c r="AC228" s="345"/>
      <c r="AD228" s="345"/>
      <c r="AE228" s="345"/>
      <c r="AF228" s="345"/>
      <c r="AG228" s="346"/>
      <c r="AH228" s="265"/>
      <c r="AI228" s="338"/>
      <c r="AJ228" s="339"/>
      <c r="AK228" s="265"/>
      <c r="AL228" s="265"/>
      <c r="AM228" s="265"/>
      <c r="AN228" s="265"/>
      <c r="AO228" s="265"/>
      <c r="AP228" s="265"/>
      <c r="AQ228" s="265"/>
      <c r="AR228" s="265"/>
      <c r="AS228" s="265"/>
      <c r="AT228" s="265"/>
      <c r="AU228" s="265"/>
      <c r="AV228" s="265"/>
      <c r="AW228" s="265"/>
      <c r="AX228" s="265"/>
      <c r="AY228" s="265"/>
      <c r="AZ228" s="265"/>
      <c r="BA228" s="265"/>
      <c r="BB228" s="265"/>
      <c r="BC228" s="265"/>
      <c r="BD228" s="265"/>
      <c r="BE228" s="265"/>
      <c r="BF228" s="265"/>
      <c r="BG228" s="265"/>
      <c r="BH228" s="265"/>
      <c r="BI228" s="265"/>
      <c r="BJ228" s="265"/>
      <c r="BK228" s="265"/>
      <c r="BL228" s="265"/>
      <c r="BM228" s="265"/>
      <c r="BN228" s="265"/>
      <c r="BO228" s="265"/>
      <c r="BP228" s="265"/>
      <c r="BQ228" s="265"/>
      <c r="BR228" s="265"/>
      <c r="BS228" s="265"/>
      <c r="BT228" s="265"/>
      <c r="BU228" s="265"/>
      <c r="BV228" s="265"/>
    </row>
    <row r="229">
      <c r="A229" s="252" t="str">
        <f>VLOOKUP($F229,UpdateHashtag!$V$3:$Y$32,COLUMN(B$15),0)</f>
        <v>#N/A</v>
      </c>
      <c r="B229" s="252" t="str">
        <f>VLOOKUP($F229,UpdateHashtag!$V$3:$Y$32,COLUMN(C$13),0)</f>
        <v>#N/A</v>
      </c>
      <c r="C229" s="252" t="str">
        <f>VLOOKUP($F229,UpdateHashtag!$V$3:$Y$32,COLUMN(D$13),0)</f>
        <v>#N/A</v>
      </c>
      <c r="D229" s="344" t="str">
        <f t="shared" si="4"/>
        <v>#N/A</v>
      </c>
      <c r="E229" s="19"/>
      <c r="F229" s="30" t="str">
        <f>IF(VLOOKUP(J229,PasteHashtag!$C$2:$P1015,3,)="BRO","BKN",IF(VLOOKUP(J229,PasteHashtag!$C$2:$P1015,3,)="OKL","OKC",VLOOKUP(J229,PasteHashtag!$C$2:$P1015,3,)))</f>
        <v>#N/A</v>
      </c>
      <c r="G229" s="30">
        <v>209.0</v>
      </c>
      <c r="H229" s="270"/>
      <c r="I229" s="270"/>
      <c r="J229" s="271"/>
      <c r="K229" s="270"/>
      <c r="L229" s="272"/>
      <c r="M229" s="273"/>
      <c r="N229" s="274"/>
      <c r="O229" s="274"/>
      <c r="P229" s="275"/>
      <c r="Q229" s="275"/>
      <c r="R229" s="275"/>
      <c r="S229" s="276"/>
      <c r="T229" s="275"/>
      <c r="U229" s="275"/>
      <c r="V229" s="272"/>
      <c r="W229" s="272"/>
      <c r="X229" s="275"/>
      <c r="Y229" s="345"/>
      <c r="Z229" s="345"/>
      <c r="AA229" s="345"/>
      <c r="AB229" s="345"/>
      <c r="AC229" s="345"/>
      <c r="AD229" s="345"/>
      <c r="AE229" s="345"/>
      <c r="AF229" s="345"/>
      <c r="AG229" s="346"/>
      <c r="AH229" s="265"/>
      <c r="AI229" s="338"/>
      <c r="AJ229" s="339"/>
      <c r="AK229" s="265"/>
      <c r="AL229" s="265"/>
      <c r="AM229" s="265"/>
      <c r="AN229" s="265"/>
      <c r="AO229" s="265"/>
      <c r="AP229" s="265"/>
      <c r="AQ229" s="265"/>
      <c r="AR229" s="265"/>
      <c r="AS229" s="265"/>
      <c r="AT229" s="265"/>
      <c r="AU229" s="265"/>
      <c r="AV229" s="265"/>
      <c r="AW229" s="265"/>
      <c r="AX229" s="265"/>
      <c r="AY229" s="265"/>
      <c r="AZ229" s="265"/>
      <c r="BA229" s="265"/>
      <c r="BB229" s="265"/>
      <c r="BC229" s="265"/>
      <c r="BD229" s="265"/>
      <c r="BE229" s="265"/>
      <c r="BF229" s="265"/>
      <c r="BG229" s="265"/>
      <c r="BH229" s="265"/>
      <c r="BI229" s="265"/>
      <c r="BJ229" s="265"/>
      <c r="BK229" s="265"/>
      <c r="BL229" s="265"/>
      <c r="BM229" s="265"/>
      <c r="BN229" s="265"/>
      <c r="BO229" s="265"/>
      <c r="BP229" s="265"/>
      <c r="BQ229" s="265"/>
      <c r="BR229" s="265"/>
      <c r="BS229" s="265"/>
      <c r="BT229" s="265"/>
      <c r="BU229" s="265"/>
      <c r="BV229" s="265"/>
    </row>
    <row r="230">
      <c r="A230" s="252" t="str">
        <f>VLOOKUP($F230,UpdateHashtag!$V$3:$Y$32,COLUMN(B$15),0)</f>
        <v>#N/A</v>
      </c>
      <c r="B230" s="252" t="str">
        <f>VLOOKUP($F230,UpdateHashtag!$V$3:$Y$32,COLUMN(C$13),0)</f>
        <v>#N/A</v>
      </c>
      <c r="C230" s="252" t="str">
        <f>VLOOKUP($F230,UpdateHashtag!$V$3:$Y$32,COLUMN(D$13),0)</f>
        <v>#N/A</v>
      </c>
      <c r="D230" s="344" t="str">
        <f t="shared" si="4"/>
        <v>#N/A</v>
      </c>
      <c r="E230" s="19"/>
      <c r="F230" s="30" t="str">
        <f>IF(VLOOKUP(J230,PasteHashtag!$C$2:$P1015,3,)="BRO","BKN",IF(VLOOKUP(J230,PasteHashtag!$C$2:$P1015,3,)="OKL","OKC",VLOOKUP(J230,PasteHashtag!$C$2:$P1015,3,)))</f>
        <v>#N/A</v>
      </c>
      <c r="G230" s="30">
        <v>210.0</v>
      </c>
      <c r="H230" s="270"/>
      <c r="I230" s="270"/>
      <c r="J230" s="271"/>
      <c r="K230" s="270"/>
      <c r="L230" s="272"/>
      <c r="M230" s="273"/>
      <c r="N230" s="274"/>
      <c r="O230" s="274"/>
      <c r="P230" s="275"/>
      <c r="Q230" s="275"/>
      <c r="R230" s="275"/>
      <c r="S230" s="276"/>
      <c r="T230" s="275"/>
      <c r="U230" s="275"/>
      <c r="V230" s="272"/>
      <c r="W230" s="272"/>
      <c r="X230" s="275"/>
      <c r="Y230" s="345"/>
      <c r="Z230" s="345"/>
      <c r="AA230" s="345"/>
      <c r="AB230" s="345"/>
      <c r="AC230" s="345"/>
      <c r="AD230" s="345"/>
      <c r="AE230" s="345"/>
      <c r="AF230" s="345"/>
      <c r="AG230" s="346"/>
      <c r="AH230" s="265"/>
      <c r="AI230" s="338"/>
      <c r="AJ230" s="339"/>
      <c r="AK230" s="265"/>
      <c r="AL230" s="265"/>
      <c r="AM230" s="265"/>
      <c r="AN230" s="265"/>
      <c r="AO230" s="265"/>
      <c r="AP230" s="265"/>
      <c r="AQ230" s="265"/>
      <c r="AR230" s="265"/>
      <c r="AS230" s="265"/>
      <c r="AT230" s="265"/>
      <c r="AU230" s="265"/>
      <c r="AV230" s="265"/>
      <c r="AW230" s="265"/>
      <c r="AX230" s="265"/>
      <c r="AY230" s="265"/>
      <c r="AZ230" s="265"/>
      <c r="BA230" s="265"/>
      <c r="BB230" s="265"/>
      <c r="BC230" s="265"/>
      <c r="BD230" s="265"/>
      <c r="BE230" s="265"/>
      <c r="BF230" s="265"/>
      <c r="BG230" s="265"/>
      <c r="BH230" s="265"/>
      <c r="BI230" s="265"/>
      <c r="BJ230" s="265"/>
      <c r="BK230" s="265"/>
      <c r="BL230" s="265"/>
      <c r="BM230" s="265"/>
      <c r="BN230" s="265"/>
      <c r="BO230" s="265"/>
      <c r="BP230" s="265"/>
      <c r="BQ230" s="265"/>
      <c r="BR230" s="265"/>
      <c r="BS230" s="265"/>
      <c r="BT230" s="265"/>
      <c r="BU230" s="265"/>
      <c r="BV230" s="265"/>
    </row>
    <row r="231">
      <c r="A231" s="252" t="str">
        <f>VLOOKUP($F231,UpdateHashtag!$V$3:$Y$32,COLUMN(B$15),0)</f>
        <v>#N/A</v>
      </c>
      <c r="B231" s="252" t="str">
        <f>VLOOKUP($F231,UpdateHashtag!$V$3:$Y$32,COLUMN(C$13),0)</f>
        <v>#N/A</v>
      </c>
      <c r="C231" s="252" t="str">
        <f>VLOOKUP($F231,UpdateHashtag!$V$3:$Y$32,COLUMN(D$13),0)</f>
        <v>#N/A</v>
      </c>
      <c r="D231" s="344" t="str">
        <f t="shared" si="4"/>
        <v>#N/A</v>
      </c>
      <c r="E231" s="19"/>
      <c r="F231" s="30" t="str">
        <f>IF(VLOOKUP(J231,PasteHashtag!$C$2:$P1015,3,)="BRO","BKN",IF(VLOOKUP(J231,PasteHashtag!$C$2:$P1015,3,)="OKL","OKC",VLOOKUP(J231,PasteHashtag!$C$2:$P1015,3,)))</f>
        <v>#N/A</v>
      </c>
      <c r="G231" s="30">
        <v>211.0</v>
      </c>
      <c r="H231" s="270"/>
      <c r="I231" s="270"/>
      <c r="J231" s="271"/>
      <c r="K231" s="270"/>
      <c r="L231" s="272"/>
      <c r="M231" s="273"/>
      <c r="N231" s="274"/>
      <c r="O231" s="274"/>
      <c r="P231" s="275"/>
      <c r="Q231" s="275"/>
      <c r="R231" s="275"/>
      <c r="S231" s="276"/>
      <c r="T231" s="275"/>
      <c r="U231" s="275"/>
      <c r="V231" s="272"/>
      <c r="W231" s="272"/>
      <c r="X231" s="275"/>
      <c r="Y231" s="345"/>
      <c r="Z231" s="345"/>
      <c r="AA231" s="345"/>
      <c r="AB231" s="345"/>
      <c r="AC231" s="345"/>
      <c r="AD231" s="345"/>
      <c r="AE231" s="345"/>
      <c r="AF231" s="345"/>
      <c r="AG231" s="346"/>
      <c r="AH231" s="265"/>
      <c r="AI231" s="338"/>
      <c r="AJ231" s="339"/>
      <c r="AK231" s="265"/>
      <c r="AL231" s="265"/>
      <c r="AM231" s="265"/>
      <c r="AN231" s="265"/>
      <c r="AO231" s="265"/>
      <c r="AP231" s="265"/>
      <c r="AQ231" s="265"/>
      <c r="AR231" s="265"/>
      <c r="AS231" s="265"/>
      <c r="AT231" s="265"/>
      <c r="AU231" s="265"/>
      <c r="AV231" s="265"/>
      <c r="AW231" s="265"/>
      <c r="AX231" s="265"/>
      <c r="AY231" s="265"/>
      <c r="AZ231" s="265"/>
      <c r="BA231" s="265"/>
      <c r="BB231" s="265"/>
      <c r="BC231" s="265"/>
      <c r="BD231" s="265"/>
      <c r="BE231" s="265"/>
      <c r="BF231" s="265"/>
      <c r="BG231" s="265"/>
      <c r="BH231" s="265"/>
      <c r="BI231" s="265"/>
      <c r="BJ231" s="265"/>
      <c r="BK231" s="265"/>
      <c r="BL231" s="265"/>
      <c r="BM231" s="265"/>
      <c r="BN231" s="265"/>
      <c r="BO231" s="265"/>
      <c r="BP231" s="265"/>
      <c r="BQ231" s="265"/>
      <c r="BR231" s="265"/>
      <c r="BS231" s="265"/>
      <c r="BT231" s="265"/>
      <c r="BU231" s="265"/>
      <c r="BV231" s="265"/>
    </row>
    <row r="232">
      <c r="A232" s="252" t="str">
        <f>VLOOKUP($F232,UpdateHashtag!$V$3:$Y$32,COLUMN(B$15),0)</f>
        <v>#N/A</v>
      </c>
      <c r="B232" s="252" t="str">
        <f>VLOOKUP($F232,UpdateHashtag!$V$3:$Y$32,COLUMN(C$13),0)</f>
        <v>#N/A</v>
      </c>
      <c r="C232" s="252" t="str">
        <f>VLOOKUP($F232,UpdateHashtag!$V$3:$Y$32,COLUMN(D$13),0)</f>
        <v>#N/A</v>
      </c>
      <c r="D232" s="344" t="str">
        <f t="shared" si="4"/>
        <v>#N/A</v>
      </c>
      <c r="E232" s="19"/>
      <c r="F232" s="30" t="str">
        <f>IF(VLOOKUP(J232,PasteHashtag!$C$2:$P1015,3,)="BRO","BKN",IF(VLOOKUP(J232,PasteHashtag!$C$2:$P1015,3,)="OKL","OKC",VLOOKUP(J232,PasteHashtag!$C$2:$P1015,3,)))</f>
        <v>#N/A</v>
      </c>
      <c r="G232" s="30">
        <v>212.0</v>
      </c>
      <c r="H232" s="270"/>
      <c r="I232" s="270"/>
      <c r="J232" s="271"/>
      <c r="K232" s="270"/>
      <c r="L232" s="272"/>
      <c r="M232" s="273"/>
      <c r="N232" s="274"/>
      <c r="O232" s="274"/>
      <c r="P232" s="275"/>
      <c r="Q232" s="275"/>
      <c r="R232" s="275"/>
      <c r="S232" s="276"/>
      <c r="T232" s="275"/>
      <c r="U232" s="275"/>
      <c r="V232" s="272"/>
      <c r="W232" s="272"/>
      <c r="X232" s="275"/>
      <c r="Y232" s="345"/>
      <c r="Z232" s="345"/>
      <c r="AA232" s="345"/>
      <c r="AB232" s="345"/>
      <c r="AC232" s="345"/>
      <c r="AD232" s="345"/>
      <c r="AE232" s="345"/>
      <c r="AF232" s="345"/>
      <c r="AG232" s="346"/>
      <c r="AH232" s="265"/>
      <c r="AI232" s="338"/>
      <c r="AJ232" s="339"/>
      <c r="AK232" s="265"/>
      <c r="AL232" s="265"/>
      <c r="AM232" s="265"/>
      <c r="AN232" s="265"/>
      <c r="AO232" s="265"/>
      <c r="AP232" s="265"/>
      <c r="AQ232" s="265"/>
      <c r="AR232" s="265"/>
      <c r="AS232" s="265"/>
      <c r="AT232" s="265"/>
      <c r="AU232" s="265"/>
      <c r="AV232" s="265"/>
      <c r="AW232" s="265"/>
      <c r="AX232" s="265"/>
      <c r="AY232" s="265"/>
      <c r="AZ232" s="265"/>
      <c r="BA232" s="265"/>
      <c r="BB232" s="265"/>
      <c r="BC232" s="265"/>
      <c r="BD232" s="265"/>
      <c r="BE232" s="265"/>
      <c r="BF232" s="265"/>
      <c r="BG232" s="265"/>
      <c r="BH232" s="265"/>
      <c r="BI232" s="265"/>
      <c r="BJ232" s="265"/>
      <c r="BK232" s="265"/>
      <c r="BL232" s="265"/>
      <c r="BM232" s="265"/>
      <c r="BN232" s="265"/>
      <c r="BO232" s="265"/>
      <c r="BP232" s="265"/>
      <c r="BQ232" s="265"/>
      <c r="BR232" s="265"/>
      <c r="BS232" s="265"/>
      <c r="BT232" s="265"/>
      <c r="BU232" s="265"/>
      <c r="BV232" s="265"/>
    </row>
    <row r="233">
      <c r="A233" s="252" t="str">
        <f>VLOOKUP($F233,UpdateHashtag!$V$3:$Y$32,COLUMN(B$15),0)</f>
        <v>#N/A</v>
      </c>
      <c r="B233" s="252" t="str">
        <f>VLOOKUP($F233,UpdateHashtag!$V$3:$Y$32,COLUMN(C$13),0)</f>
        <v>#N/A</v>
      </c>
      <c r="C233" s="252" t="str">
        <f>VLOOKUP($F233,UpdateHashtag!$V$3:$Y$32,COLUMN(D$13),0)</f>
        <v>#N/A</v>
      </c>
      <c r="D233" s="344" t="str">
        <f t="shared" si="4"/>
        <v>#N/A</v>
      </c>
      <c r="E233" s="19"/>
      <c r="F233" s="30" t="str">
        <f>IF(VLOOKUP(J233,PasteHashtag!$C$2:$P1015,3,)="BRO","BKN",IF(VLOOKUP(J233,PasteHashtag!$C$2:$P1015,3,)="OKL","OKC",VLOOKUP(J233,PasteHashtag!$C$2:$P1015,3,)))</f>
        <v>#N/A</v>
      </c>
      <c r="G233" s="30">
        <v>213.0</v>
      </c>
      <c r="H233" s="270"/>
      <c r="I233" s="270"/>
      <c r="J233" s="271"/>
      <c r="K233" s="270"/>
      <c r="L233" s="272"/>
      <c r="M233" s="273"/>
      <c r="N233" s="274"/>
      <c r="O233" s="274"/>
      <c r="P233" s="275"/>
      <c r="Q233" s="275"/>
      <c r="R233" s="275"/>
      <c r="S233" s="276"/>
      <c r="T233" s="275"/>
      <c r="U233" s="275"/>
      <c r="V233" s="272"/>
      <c r="W233" s="272"/>
      <c r="X233" s="275"/>
      <c r="Y233" s="345"/>
      <c r="Z233" s="345"/>
      <c r="AA233" s="345"/>
      <c r="AB233" s="345"/>
      <c r="AC233" s="345"/>
      <c r="AD233" s="345"/>
      <c r="AE233" s="345"/>
      <c r="AF233" s="345"/>
      <c r="AG233" s="346"/>
      <c r="AH233" s="265"/>
      <c r="AI233" s="338"/>
      <c r="AJ233" s="339"/>
      <c r="AK233" s="265"/>
      <c r="AL233" s="265"/>
      <c r="AM233" s="265"/>
      <c r="AN233" s="265"/>
      <c r="AO233" s="265"/>
      <c r="AP233" s="265"/>
      <c r="AQ233" s="265"/>
      <c r="AR233" s="265"/>
      <c r="AS233" s="265"/>
      <c r="AT233" s="265"/>
      <c r="AU233" s="265"/>
      <c r="AV233" s="265"/>
      <c r="AW233" s="265"/>
      <c r="AX233" s="265"/>
      <c r="AY233" s="265"/>
      <c r="AZ233" s="265"/>
      <c r="BA233" s="265"/>
      <c r="BB233" s="265"/>
      <c r="BC233" s="265"/>
      <c r="BD233" s="265"/>
      <c r="BE233" s="265"/>
      <c r="BF233" s="265"/>
      <c r="BG233" s="265"/>
      <c r="BH233" s="265"/>
      <c r="BI233" s="265"/>
      <c r="BJ233" s="265"/>
      <c r="BK233" s="265"/>
      <c r="BL233" s="265"/>
      <c r="BM233" s="265"/>
      <c r="BN233" s="265"/>
      <c r="BO233" s="265"/>
      <c r="BP233" s="265"/>
      <c r="BQ233" s="265"/>
      <c r="BR233" s="265"/>
      <c r="BS233" s="265"/>
      <c r="BT233" s="265"/>
      <c r="BU233" s="265"/>
      <c r="BV233" s="265"/>
    </row>
    <row r="234">
      <c r="A234" s="252" t="str">
        <f>VLOOKUP($F234,UpdateHashtag!$V$3:$Y$32,COLUMN(B$15),0)</f>
        <v>#N/A</v>
      </c>
      <c r="B234" s="252" t="str">
        <f>VLOOKUP($F234,UpdateHashtag!$V$3:$Y$32,COLUMN(C$13),0)</f>
        <v>#N/A</v>
      </c>
      <c r="C234" s="252" t="str">
        <f>VLOOKUP($F234,UpdateHashtag!$V$3:$Y$32,COLUMN(D$13),0)</f>
        <v>#N/A</v>
      </c>
      <c r="D234" s="344" t="str">
        <f t="shared" si="4"/>
        <v>#N/A</v>
      </c>
      <c r="E234" s="19"/>
      <c r="F234" s="30" t="str">
        <f>IF(VLOOKUP(J234,PasteHashtag!$C$2:$P1015,3,)="BRO","BKN",IF(VLOOKUP(J234,PasteHashtag!$C$2:$P1015,3,)="OKL","OKC",VLOOKUP(J234,PasteHashtag!$C$2:$P1015,3,)))</f>
        <v>#N/A</v>
      </c>
      <c r="G234" s="30">
        <v>214.0</v>
      </c>
      <c r="H234" s="270"/>
      <c r="I234" s="270"/>
      <c r="J234" s="271"/>
      <c r="K234" s="270"/>
      <c r="L234" s="272"/>
      <c r="M234" s="273"/>
      <c r="N234" s="274"/>
      <c r="O234" s="274"/>
      <c r="P234" s="275"/>
      <c r="Q234" s="275"/>
      <c r="R234" s="275"/>
      <c r="S234" s="276"/>
      <c r="T234" s="275"/>
      <c r="U234" s="275"/>
      <c r="V234" s="272"/>
      <c r="W234" s="272"/>
      <c r="X234" s="275"/>
      <c r="Y234" s="345"/>
      <c r="Z234" s="345"/>
      <c r="AA234" s="345"/>
      <c r="AB234" s="345"/>
      <c r="AC234" s="345"/>
      <c r="AD234" s="345"/>
      <c r="AE234" s="345"/>
      <c r="AF234" s="345"/>
      <c r="AG234" s="346"/>
      <c r="AH234" s="265"/>
      <c r="AI234" s="338"/>
      <c r="AJ234" s="339"/>
      <c r="AK234" s="265"/>
      <c r="AL234" s="265"/>
      <c r="AM234" s="265"/>
      <c r="AN234" s="265"/>
      <c r="AO234" s="265"/>
      <c r="AP234" s="265"/>
      <c r="AQ234" s="265"/>
      <c r="AR234" s="265"/>
      <c r="AS234" s="265"/>
      <c r="AT234" s="265"/>
      <c r="AU234" s="265"/>
      <c r="AV234" s="265"/>
      <c r="AW234" s="265"/>
      <c r="AX234" s="265"/>
      <c r="AY234" s="265"/>
      <c r="AZ234" s="265"/>
      <c r="BA234" s="265"/>
      <c r="BB234" s="265"/>
      <c r="BC234" s="265"/>
      <c r="BD234" s="265"/>
      <c r="BE234" s="265"/>
      <c r="BF234" s="265"/>
      <c r="BG234" s="265"/>
      <c r="BH234" s="265"/>
      <c r="BI234" s="265"/>
      <c r="BJ234" s="265"/>
      <c r="BK234" s="265"/>
      <c r="BL234" s="265"/>
      <c r="BM234" s="265"/>
      <c r="BN234" s="265"/>
      <c r="BO234" s="265"/>
      <c r="BP234" s="265"/>
      <c r="BQ234" s="265"/>
      <c r="BR234" s="265"/>
      <c r="BS234" s="265"/>
      <c r="BT234" s="265"/>
      <c r="BU234" s="265"/>
      <c r="BV234" s="265"/>
    </row>
    <row r="235">
      <c r="A235" s="252" t="str">
        <f>VLOOKUP($F235,UpdateHashtag!$V$3:$Y$32,COLUMN(B$15),0)</f>
        <v>#N/A</v>
      </c>
      <c r="B235" s="252" t="str">
        <f>VLOOKUP($F235,UpdateHashtag!$V$3:$Y$32,COLUMN(C$13),0)</f>
        <v>#N/A</v>
      </c>
      <c r="C235" s="252" t="str">
        <f>VLOOKUP($F235,UpdateHashtag!$V$3:$Y$32,COLUMN(D$13),0)</f>
        <v>#N/A</v>
      </c>
      <c r="D235" s="344" t="str">
        <f t="shared" si="4"/>
        <v>#N/A</v>
      </c>
      <c r="E235" s="19"/>
      <c r="F235" s="30" t="str">
        <f>IF(VLOOKUP(J235,PasteHashtag!$C$2:$P1015,3,)="BRO","BKN",IF(VLOOKUP(J235,PasteHashtag!$C$2:$P1015,3,)="OKL","OKC",VLOOKUP(J235,PasteHashtag!$C$2:$P1015,3,)))</f>
        <v>#N/A</v>
      </c>
      <c r="G235" s="30">
        <v>215.0</v>
      </c>
      <c r="H235" s="270"/>
      <c r="I235" s="270"/>
      <c r="J235" s="271"/>
      <c r="K235" s="270"/>
      <c r="L235" s="272"/>
      <c r="M235" s="273"/>
      <c r="N235" s="274"/>
      <c r="O235" s="274"/>
      <c r="P235" s="275"/>
      <c r="Q235" s="275"/>
      <c r="R235" s="275"/>
      <c r="S235" s="276"/>
      <c r="T235" s="275"/>
      <c r="U235" s="275"/>
      <c r="V235" s="272"/>
      <c r="W235" s="272"/>
      <c r="X235" s="275"/>
      <c r="Y235" s="345"/>
      <c r="Z235" s="345"/>
      <c r="AA235" s="345"/>
      <c r="AB235" s="345"/>
      <c r="AC235" s="345"/>
      <c r="AD235" s="345"/>
      <c r="AE235" s="345"/>
      <c r="AF235" s="345"/>
      <c r="AG235" s="346"/>
      <c r="AH235" s="265"/>
      <c r="AI235" s="338"/>
      <c r="AJ235" s="339"/>
      <c r="AK235" s="265"/>
      <c r="AL235" s="265"/>
      <c r="AM235" s="265"/>
      <c r="AN235" s="265"/>
      <c r="AO235" s="265"/>
      <c r="AP235" s="265"/>
      <c r="AQ235" s="265"/>
      <c r="AR235" s="265"/>
      <c r="AS235" s="265"/>
      <c r="AT235" s="265"/>
      <c r="AU235" s="265"/>
      <c r="AV235" s="265"/>
      <c r="AW235" s="265"/>
      <c r="AX235" s="265"/>
      <c r="AY235" s="265"/>
      <c r="AZ235" s="265"/>
      <c r="BA235" s="265"/>
      <c r="BB235" s="265"/>
      <c r="BC235" s="265"/>
      <c r="BD235" s="265"/>
      <c r="BE235" s="265"/>
      <c r="BF235" s="265"/>
      <c r="BG235" s="265"/>
      <c r="BH235" s="265"/>
      <c r="BI235" s="265"/>
      <c r="BJ235" s="265"/>
      <c r="BK235" s="265"/>
      <c r="BL235" s="265"/>
      <c r="BM235" s="265"/>
      <c r="BN235" s="265"/>
      <c r="BO235" s="265"/>
      <c r="BP235" s="265"/>
      <c r="BQ235" s="265"/>
      <c r="BR235" s="265"/>
      <c r="BS235" s="265"/>
      <c r="BT235" s="265"/>
      <c r="BU235" s="265"/>
      <c r="BV235" s="265"/>
    </row>
    <row r="236">
      <c r="A236" s="252" t="str">
        <f>VLOOKUP($F236,UpdateHashtag!$V$3:$Y$32,COLUMN(B$15),0)</f>
        <v>#N/A</v>
      </c>
      <c r="B236" s="252" t="str">
        <f>VLOOKUP($F236,UpdateHashtag!$V$3:$Y$32,COLUMN(C$13),0)</f>
        <v>#N/A</v>
      </c>
      <c r="C236" s="252" t="str">
        <f>VLOOKUP($F236,UpdateHashtag!$V$3:$Y$32,COLUMN(D$13),0)</f>
        <v>#N/A</v>
      </c>
      <c r="D236" s="344" t="str">
        <f t="shared" si="4"/>
        <v>#N/A</v>
      </c>
      <c r="E236" s="19"/>
      <c r="F236" s="30" t="str">
        <f>IF(VLOOKUP(J236,PasteHashtag!$C$2:$P1015,3,)="BRO","BKN",IF(VLOOKUP(J236,PasteHashtag!$C$2:$P1015,3,)="OKL","OKC",VLOOKUP(J236,PasteHashtag!$C$2:$P1015,3,)))</f>
        <v>#N/A</v>
      </c>
      <c r="G236" s="30">
        <v>216.0</v>
      </c>
      <c r="H236" s="270"/>
      <c r="I236" s="270"/>
      <c r="J236" s="271"/>
      <c r="K236" s="270"/>
      <c r="L236" s="272"/>
      <c r="M236" s="273"/>
      <c r="N236" s="274"/>
      <c r="O236" s="274"/>
      <c r="P236" s="275"/>
      <c r="Q236" s="275"/>
      <c r="R236" s="275"/>
      <c r="S236" s="276"/>
      <c r="T236" s="275"/>
      <c r="U236" s="275"/>
      <c r="V236" s="272"/>
      <c r="W236" s="272"/>
      <c r="X236" s="275"/>
      <c r="Y236" s="345"/>
      <c r="Z236" s="345"/>
      <c r="AA236" s="345"/>
      <c r="AB236" s="345"/>
      <c r="AC236" s="345"/>
      <c r="AD236" s="345"/>
      <c r="AE236" s="345"/>
      <c r="AF236" s="345"/>
      <c r="AG236" s="346"/>
      <c r="AH236" s="265"/>
      <c r="AI236" s="338"/>
      <c r="AJ236" s="339"/>
      <c r="AK236" s="265"/>
      <c r="AL236" s="265"/>
      <c r="AM236" s="265"/>
      <c r="AN236" s="265"/>
      <c r="AO236" s="265"/>
      <c r="AP236" s="265"/>
      <c r="AQ236" s="265"/>
      <c r="AR236" s="265"/>
      <c r="AS236" s="265"/>
      <c r="AT236" s="265"/>
      <c r="AU236" s="265"/>
      <c r="AV236" s="265"/>
      <c r="AW236" s="265"/>
      <c r="AX236" s="265"/>
      <c r="AY236" s="265"/>
      <c r="AZ236" s="265"/>
      <c r="BA236" s="265"/>
      <c r="BB236" s="265"/>
      <c r="BC236" s="265"/>
      <c r="BD236" s="265"/>
      <c r="BE236" s="265"/>
      <c r="BF236" s="265"/>
      <c r="BG236" s="265"/>
      <c r="BH236" s="265"/>
      <c r="BI236" s="265"/>
      <c r="BJ236" s="265"/>
      <c r="BK236" s="265"/>
      <c r="BL236" s="265"/>
      <c r="BM236" s="265"/>
      <c r="BN236" s="265"/>
      <c r="BO236" s="265"/>
      <c r="BP236" s="265"/>
      <c r="BQ236" s="265"/>
      <c r="BR236" s="265"/>
      <c r="BS236" s="265"/>
      <c r="BT236" s="265"/>
      <c r="BU236" s="265"/>
      <c r="BV236" s="265"/>
    </row>
    <row r="237">
      <c r="A237" s="252" t="str">
        <f>VLOOKUP($F237,UpdateHashtag!$V$3:$Y$32,COLUMN(B$15),0)</f>
        <v>#N/A</v>
      </c>
      <c r="B237" s="252" t="str">
        <f>VLOOKUP($F237,UpdateHashtag!$V$3:$Y$32,COLUMN(C$13),0)</f>
        <v>#N/A</v>
      </c>
      <c r="C237" s="252" t="str">
        <f>VLOOKUP($F237,UpdateHashtag!$V$3:$Y$32,COLUMN(D$13),0)</f>
        <v>#N/A</v>
      </c>
      <c r="D237" s="344" t="str">
        <f t="shared" si="4"/>
        <v>#N/A</v>
      </c>
      <c r="E237" s="19"/>
      <c r="F237" s="30" t="str">
        <f>IF(VLOOKUP(J237,PasteHashtag!$C$2:$P1015,3,)="BRO","BKN",IF(VLOOKUP(J237,PasteHashtag!$C$2:$P1015,3,)="OKL","OKC",VLOOKUP(J237,PasteHashtag!$C$2:$P1015,3,)))</f>
        <v>#N/A</v>
      </c>
      <c r="G237" s="30">
        <v>217.0</v>
      </c>
      <c r="H237" s="270"/>
      <c r="I237" s="270"/>
      <c r="J237" s="271"/>
      <c r="K237" s="270"/>
      <c r="L237" s="272"/>
      <c r="M237" s="273"/>
      <c r="N237" s="274"/>
      <c r="O237" s="274"/>
      <c r="P237" s="275"/>
      <c r="Q237" s="275"/>
      <c r="R237" s="275"/>
      <c r="S237" s="276"/>
      <c r="T237" s="275"/>
      <c r="U237" s="275"/>
      <c r="V237" s="272"/>
      <c r="W237" s="272"/>
      <c r="X237" s="275"/>
      <c r="Y237" s="345"/>
      <c r="Z237" s="345"/>
      <c r="AA237" s="345"/>
      <c r="AB237" s="345"/>
      <c r="AC237" s="345"/>
      <c r="AD237" s="345"/>
      <c r="AE237" s="345"/>
      <c r="AF237" s="345"/>
      <c r="AG237" s="346"/>
      <c r="AH237" s="265"/>
      <c r="AI237" s="338"/>
      <c r="AJ237" s="339"/>
      <c r="AK237" s="265"/>
      <c r="AL237" s="265"/>
      <c r="AM237" s="265"/>
      <c r="AN237" s="265"/>
      <c r="AO237" s="265"/>
      <c r="AP237" s="265"/>
      <c r="AQ237" s="265"/>
      <c r="AR237" s="265"/>
      <c r="AS237" s="265"/>
      <c r="AT237" s="265"/>
      <c r="AU237" s="265"/>
      <c r="AV237" s="265"/>
      <c r="AW237" s="265"/>
      <c r="AX237" s="265"/>
      <c r="AY237" s="265"/>
      <c r="AZ237" s="265"/>
      <c r="BA237" s="265"/>
      <c r="BB237" s="265"/>
      <c r="BC237" s="265"/>
      <c r="BD237" s="265"/>
      <c r="BE237" s="265"/>
      <c r="BF237" s="265"/>
      <c r="BG237" s="265"/>
      <c r="BH237" s="265"/>
      <c r="BI237" s="265"/>
      <c r="BJ237" s="265"/>
      <c r="BK237" s="265"/>
      <c r="BL237" s="265"/>
      <c r="BM237" s="265"/>
      <c r="BN237" s="265"/>
      <c r="BO237" s="265"/>
      <c r="BP237" s="265"/>
      <c r="BQ237" s="265"/>
      <c r="BR237" s="265"/>
      <c r="BS237" s="265"/>
      <c r="BT237" s="265"/>
      <c r="BU237" s="265"/>
      <c r="BV237" s="265"/>
    </row>
    <row r="238">
      <c r="A238" s="252" t="str">
        <f>VLOOKUP($F238,UpdateHashtag!$V$3:$Y$32,COLUMN(B$15),0)</f>
        <v>#N/A</v>
      </c>
      <c r="B238" s="252" t="str">
        <f>VLOOKUP($F238,UpdateHashtag!$V$3:$Y$32,COLUMN(C$13),0)</f>
        <v>#N/A</v>
      </c>
      <c r="C238" s="252" t="str">
        <f>VLOOKUP($F238,UpdateHashtag!$V$3:$Y$32,COLUMN(D$13),0)</f>
        <v>#N/A</v>
      </c>
      <c r="D238" s="344" t="str">
        <f t="shared" si="4"/>
        <v>#N/A</v>
      </c>
      <c r="E238" s="19"/>
      <c r="F238" s="30" t="str">
        <f>IF(VLOOKUP(J238,PasteHashtag!$C$2:$P1015,3,)="BRO","BKN",IF(VLOOKUP(J238,PasteHashtag!$C$2:$P1015,3,)="OKL","OKC",VLOOKUP(J238,PasteHashtag!$C$2:$P1015,3,)))</f>
        <v>#N/A</v>
      </c>
      <c r="G238" s="30">
        <v>218.0</v>
      </c>
      <c r="H238" s="270"/>
      <c r="I238" s="270"/>
      <c r="J238" s="271"/>
      <c r="K238" s="270"/>
      <c r="L238" s="272"/>
      <c r="M238" s="273"/>
      <c r="N238" s="274"/>
      <c r="O238" s="274"/>
      <c r="P238" s="275"/>
      <c r="Q238" s="275"/>
      <c r="R238" s="275"/>
      <c r="S238" s="276"/>
      <c r="T238" s="275"/>
      <c r="U238" s="275"/>
      <c r="V238" s="272"/>
      <c r="W238" s="272"/>
      <c r="X238" s="275"/>
      <c r="Y238" s="345"/>
      <c r="Z238" s="345"/>
      <c r="AA238" s="345"/>
      <c r="AB238" s="345"/>
      <c r="AC238" s="345"/>
      <c r="AD238" s="345"/>
      <c r="AE238" s="345"/>
      <c r="AF238" s="345"/>
      <c r="AG238" s="346"/>
      <c r="AH238" s="265"/>
      <c r="AI238" s="338"/>
      <c r="AJ238" s="339"/>
      <c r="AK238" s="265"/>
      <c r="AL238" s="265"/>
      <c r="AM238" s="265"/>
      <c r="AN238" s="265"/>
      <c r="AO238" s="265"/>
      <c r="AP238" s="265"/>
      <c r="AQ238" s="265"/>
      <c r="AR238" s="265"/>
      <c r="AS238" s="265"/>
      <c r="AT238" s="265"/>
      <c r="AU238" s="265"/>
      <c r="AV238" s="265"/>
      <c r="AW238" s="265"/>
      <c r="AX238" s="265"/>
      <c r="AY238" s="265"/>
      <c r="AZ238" s="265"/>
      <c r="BA238" s="265"/>
      <c r="BB238" s="265"/>
      <c r="BC238" s="265"/>
      <c r="BD238" s="265"/>
      <c r="BE238" s="265"/>
      <c r="BF238" s="265"/>
      <c r="BG238" s="265"/>
      <c r="BH238" s="265"/>
      <c r="BI238" s="265"/>
      <c r="BJ238" s="265"/>
      <c r="BK238" s="265"/>
      <c r="BL238" s="265"/>
      <c r="BM238" s="265"/>
      <c r="BN238" s="265"/>
      <c r="BO238" s="265"/>
      <c r="BP238" s="265"/>
      <c r="BQ238" s="265"/>
      <c r="BR238" s="265"/>
      <c r="BS238" s="265"/>
      <c r="BT238" s="265"/>
      <c r="BU238" s="265"/>
      <c r="BV238" s="265"/>
    </row>
    <row r="239">
      <c r="A239" s="252" t="str">
        <f>VLOOKUP($F239,UpdateHashtag!$V$3:$Y$32,COLUMN(B$15),0)</f>
        <v>#N/A</v>
      </c>
      <c r="B239" s="252" t="str">
        <f>VLOOKUP($F239,UpdateHashtag!$V$3:$Y$32,COLUMN(C$13),0)</f>
        <v>#N/A</v>
      </c>
      <c r="C239" s="252" t="str">
        <f>VLOOKUP($F239,UpdateHashtag!$V$3:$Y$32,COLUMN(D$13),0)</f>
        <v>#N/A</v>
      </c>
      <c r="D239" s="344" t="str">
        <f t="shared" si="4"/>
        <v>#N/A</v>
      </c>
      <c r="E239" s="19"/>
      <c r="F239" s="30" t="str">
        <f>IF(VLOOKUP(J239,PasteHashtag!$C$2:$P1015,3,)="BRO","BKN",IF(VLOOKUP(J239,PasteHashtag!$C$2:$P1015,3,)="OKL","OKC",VLOOKUP(J239,PasteHashtag!$C$2:$P1015,3,)))</f>
        <v>#N/A</v>
      </c>
      <c r="G239" s="30">
        <v>219.0</v>
      </c>
      <c r="H239" s="270"/>
      <c r="I239" s="270"/>
      <c r="J239" s="271"/>
      <c r="K239" s="270"/>
      <c r="L239" s="272"/>
      <c r="M239" s="273"/>
      <c r="N239" s="274"/>
      <c r="O239" s="274"/>
      <c r="P239" s="275"/>
      <c r="Q239" s="275"/>
      <c r="R239" s="275"/>
      <c r="S239" s="276"/>
      <c r="T239" s="275"/>
      <c r="U239" s="275"/>
      <c r="V239" s="272"/>
      <c r="W239" s="272"/>
      <c r="X239" s="275"/>
      <c r="Y239" s="345"/>
      <c r="Z239" s="345"/>
      <c r="AA239" s="345"/>
      <c r="AB239" s="345"/>
      <c r="AC239" s="345"/>
      <c r="AD239" s="345"/>
      <c r="AE239" s="345"/>
      <c r="AF239" s="345"/>
      <c r="AG239" s="346"/>
      <c r="AH239" s="265"/>
      <c r="AI239" s="338"/>
      <c r="AJ239" s="339"/>
      <c r="AK239" s="265"/>
      <c r="AL239" s="265"/>
      <c r="AM239" s="265"/>
      <c r="AN239" s="265"/>
      <c r="AO239" s="265"/>
      <c r="AP239" s="265"/>
      <c r="AQ239" s="265"/>
      <c r="AR239" s="265"/>
      <c r="AS239" s="265"/>
      <c r="AT239" s="265"/>
      <c r="AU239" s="265"/>
      <c r="AV239" s="265"/>
      <c r="AW239" s="265"/>
      <c r="AX239" s="265"/>
      <c r="AY239" s="265"/>
      <c r="AZ239" s="265"/>
      <c r="BA239" s="265"/>
      <c r="BB239" s="265"/>
      <c r="BC239" s="265"/>
      <c r="BD239" s="265"/>
      <c r="BE239" s="265"/>
      <c r="BF239" s="265"/>
      <c r="BG239" s="265"/>
      <c r="BH239" s="265"/>
      <c r="BI239" s="265"/>
      <c r="BJ239" s="265"/>
      <c r="BK239" s="265"/>
      <c r="BL239" s="265"/>
      <c r="BM239" s="265"/>
      <c r="BN239" s="265"/>
      <c r="BO239" s="265"/>
      <c r="BP239" s="265"/>
      <c r="BQ239" s="265"/>
      <c r="BR239" s="265"/>
      <c r="BS239" s="265"/>
      <c r="BT239" s="265"/>
      <c r="BU239" s="265"/>
      <c r="BV239" s="265"/>
    </row>
    <row r="240">
      <c r="A240" s="252" t="str">
        <f>VLOOKUP($F240,UpdateHashtag!$V$3:$Y$32,COLUMN(B$15),0)</f>
        <v>#N/A</v>
      </c>
      <c r="B240" s="252" t="str">
        <f>VLOOKUP($F240,UpdateHashtag!$V$3:$Y$32,COLUMN(C$13),0)</f>
        <v>#N/A</v>
      </c>
      <c r="C240" s="252" t="str">
        <f>VLOOKUP($F240,UpdateHashtag!$V$3:$Y$32,COLUMN(D$13),0)</f>
        <v>#N/A</v>
      </c>
      <c r="D240" s="344" t="str">
        <f t="shared" si="4"/>
        <v>#N/A</v>
      </c>
      <c r="E240" s="19"/>
      <c r="F240" s="30" t="str">
        <f>IF(VLOOKUP(J240,PasteHashtag!$C$2:$P1015,3,)="BRO","BKN",IF(VLOOKUP(J240,PasteHashtag!$C$2:$P1015,3,)="OKL","OKC",VLOOKUP(J240,PasteHashtag!$C$2:$P1015,3,)))</f>
        <v>#N/A</v>
      </c>
      <c r="G240" s="30">
        <v>220.0</v>
      </c>
      <c r="H240" s="270"/>
      <c r="I240" s="270"/>
      <c r="J240" s="271"/>
      <c r="K240" s="270"/>
      <c r="L240" s="272"/>
      <c r="M240" s="273"/>
      <c r="N240" s="274"/>
      <c r="O240" s="274"/>
      <c r="P240" s="275"/>
      <c r="Q240" s="275"/>
      <c r="R240" s="275"/>
      <c r="S240" s="276"/>
      <c r="T240" s="275"/>
      <c r="U240" s="275"/>
      <c r="V240" s="272"/>
      <c r="W240" s="272"/>
      <c r="X240" s="275"/>
      <c r="Y240" s="345"/>
      <c r="Z240" s="345"/>
      <c r="AA240" s="345"/>
      <c r="AB240" s="345"/>
      <c r="AC240" s="345"/>
      <c r="AD240" s="345"/>
      <c r="AE240" s="345"/>
      <c r="AF240" s="345"/>
      <c r="AG240" s="346"/>
      <c r="AH240" s="265"/>
      <c r="AI240" s="338"/>
      <c r="AJ240" s="339"/>
      <c r="AK240" s="265"/>
      <c r="AL240" s="265"/>
      <c r="AM240" s="265"/>
      <c r="AN240" s="265"/>
      <c r="AO240" s="265"/>
      <c r="AP240" s="265"/>
      <c r="AQ240" s="265"/>
      <c r="AR240" s="265"/>
      <c r="AS240" s="265"/>
      <c r="AT240" s="265"/>
      <c r="AU240" s="265"/>
      <c r="AV240" s="265"/>
      <c r="AW240" s="265"/>
      <c r="AX240" s="265"/>
      <c r="AY240" s="265"/>
      <c r="AZ240" s="265"/>
      <c r="BA240" s="265"/>
      <c r="BB240" s="265"/>
      <c r="BC240" s="265"/>
      <c r="BD240" s="265"/>
      <c r="BE240" s="265"/>
      <c r="BF240" s="265"/>
      <c r="BG240" s="265"/>
      <c r="BH240" s="265"/>
      <c r="BI240" s="265"/>
      <c r="BJ240" s="265"/>
      <c r="BK240" s="265"/>
      <c r="BL240" s="265"/>
      <c r="BM240" s="265"/>
      <c r="BN240" s="265"/>
      <c r="BO240" s="265"/>
      <c r="BP240" s="265"/>
      <c r="BQ240" s="265"/>
      <c r="BR240" s="265"/>
      <c r="BS240" s="265"/>
      <c r="BT240" s="265"/>
      <c r="BU240" s="265"/>
      <c r="BV240" s="265"/>
    </row>
    <row r="241">
      <c r="A241" s="252" t="str">
        <f>VLOOKUP($F241,UpdateHashtag!$V$3:$Y$32,COLUMN(B$15),0)</f>
        <v>#N/A</v>
      </c>
      <c r="B241" s="252" t="str">
        <f>VLOOKUP($F241,UpdateHashtag!$V$3:$Y$32,COLUMN(C$13),0)</f>
        <v>#N/A</v>
      </c>
      <c r="C241" s="252" t="str">
        <f>VLOOKUP($F241,UpdateHashtag!$V$3:$Y$32,COLUMN(D$13),0)</f>
        <v>#N/A</v>
      </c>
      <c r="D241" s="344" t="str">
        <f t="shared" si="4"/>
        <v>#N/A</v>
      </c>
      <c r="E241" s="19"/>
      <c r="F241" s="30" t="str">
        <f>IF(VLOOKUP(J241,PasteHashtag!$C$2:$P1015,3,)="BRO","BKN",IF(VLOOKUP(J241,PasteHashtag!$C$2:$P1015,3,)="OKL","OKC",VLOOKUP(J241,PasteHashtag!$C$2:$P1015,3,)))</f>
        <v>#N/A</v>
      </c>
      <c r="G241" s="30">
        <v>221.0</v>
      </c>
      <c r="H241" s="270"/>
      <c r="I241" s="270"/>
      <c r="J241" s="271"/>
      <c r="K241" s="270"/>
      <c r="L241" s="272"/>
      <c r="M241" s="273"/>
      <c r="N241" s="274"/>
      <c r="O241" s="274"/>
      <c r="P241" s="275"/>
      <c r="Q241" s="275"/>
      <c r="R241" s="275"/>
      <c r="S241" s="276"/>
      <c r="T241" s="275"/>
      <c r="U241" s="275"/>
      <c r="V241" s="272"/>
      <c r="W241" s="272"/>
      <c r="X241" s="275"/>
      <c r="Y241" s="345"/>
      <c r="Z241" s="345"/>
      <c r="AA241" s="345"/>
      <c r="AB241" s="345"/>
      <c r="AC241" s="345"/>
      <c r="AD241" s="345"/>
      <c r="AE241" s="345"/>
      <c r="AF241" s="345"/>
      <c r="AG241" s="346"/>
      <c r="AH241" s="265"/>
      <c r="AI241" s="338"/>
      <c r="AJ241" s="339"/>
      <c r="AK241" s="265"/>
      <c r="AL241" s="265"/>
      <c r="AM241" s="265"/>
      <c r="AN241" s="265"/>
      <c r="AO241" s="265"/>
      <c r="AP241" s="265"/>
      <c r="AQ241" s="265"/>
      <c r="AR241" s="265"/>
      <c r="AS241" s="265"/>
      <c r="AT241" s="265"/>
      <c r="AU241" s="265"/>
      <c r="AV241" s="265"/>
      <c r="AW241" s="265"/>
      <c r="AX241" s="265"/>
      <c r="AY241" s="265"/>
      <c r="AZ241" s="265"/>
      <c r="BA241" s="265"/>
      <c r="BB241" s="265"/>
      <c r="BC241" s="265"/>
      <c r="BD241" s="265"/>
      <c r="BE241" s="265"/>
      <c r="BF241" s="265"/>
      <c r="BG241" s="265"/>
      <c r="BH241" s="265"/>
      <c r="BI241" s="265"/>
      <c r="BJ241" s="265"/>
      <c r="BK241" s="265"/>
      <c r="BL241" s="265"/>
      <c r="BM241" s="265"/>
      <c r="BN241" s="265"/>
      <c r="BO241" s="265"/>
      <c r="BP241" s="265"/>
      <c r="BQ241" s="265"/>
      <c r="BR241" s="265"/>
      <c r="BS241" s="265"/>
      <c r="BT241" s="265"/>
      <c r="BU241" s="265"/>
      <c r="BV241" s="265"/>
    </row>
    <row r="242">
      <c r="A242" s="252" t="str">
        <f>VLOOKUP($F242,UpdateHashtag!$V$3:$Y$32,COLUMN(B$15),0)</f>
        <v>#N/A</v>
      </c>
      <c r="B242" s="252" t="str">
        <f>VLOOKUP($F242,UpdateHashtag!$V$3:$Y$32,COLUMN(C$13),0)</f>
        <v>#N/A</v>
      </c>
      <c r="C242" s="252" t="str">
        <f>VLOOKUP($F242,UpdateHashtag!$V$3:$Y$32,COLUMN(D$13),0)</f>
        <v>#N/A</v>
      </c>
      <c r="D242" s="344" t="str">
        <f t="shared" si="4"/>
        <v>#N/A</v>
      </c>
      <c r="E242" s="19"/>
      <c r="F242" s="30" t="str">
        <f>IF(VLOOKUP(J242,PasteHashtag!$C$2:$P1015,3,)="BRO","BKN",IF(VLOOKUP(J242,PasteHashtag!$C$2:$P1015,3,)="OKL","OKC",VLOOKUP(J242,PasteHashtag!$C$2:$P1015,3,)))</f>
        <v>#N/A</v>
      </c>
      <c r="G242" s="30">
        <v>222.0</v>
      </c>
      <c r="H242" s="270"/>
      <c r="I242" s="270"/>
      <c r="J242" s="271"/>
      <c r="K242" s="270"/>
      <c r="L242" s="272"/>
      <c r="M242" s="273"/>
      <c r="N242" s="274"/>
      <c r="O242" s="274"/>
      <c r="P242" s="275"/>
      <c r="Q242" s="275"/>
      <c r="R242" s="275"/>
      <c r="S242" s="276"/>
      <c r="T242" s="275"/>
      <c r="U242" s="275"/>
      <c r="V242" s="272"/>
      <c r="W242" s="272"/>
      <c r="X242" s="275"/>
      <c r="Y242" s="345"/>
      <c r="Z242" s="345"/>
      <c r="AA242" s="345"/>
      <c r="AB242" s="345"/>
      <c r="AC242" s="345"/>
      <c r="AD242" s="345"/>
      <c r="AE242" s="345"/>
      <c r="AF242" s="345"/>
      <c r="AG242" s="346"/>
      <c r="AH242" s="265"/>
      <c r="AI242" s="338"/>
      <c r="AJ242" s="339"/>
      <c r="AK242" s="265"/>
      <c r="AL242" s="265"/>
      <c r="AM242" s="265"/>
      <c r="AN242" s="265"/>
      <c r="AO242" s="265"/>
      <c r="AP242" s="265"/>
      <c r="AQ242" s="265"/>
      <c r="AR242" s="265"/>
      <c r="AS242" s="265"/>
      <c r="AT242" s="265"/>
      <c r="AU242" s="265"/>
      <c r="AV242" s="265"/>
      <c r="AW242" s="265"/>
      <c r="AX242" s="265"/>
      <c r="AY242" s="265"/>
      <c r="AZ242" s="265"/>
      <c r="BA242" s="265"/>
      <c r="BB242" s="265"/>
      <c r="BC242" s="265"/>
      <c r="BD242" s="265"/>
      <c r="BE242" s="265"/>
      <c r="BF242" s="265"/>
      <c r="BG242" s="265"/>
      <c r="BH242" s="265"/>
      <c r="BI242" s="265"/>
      <c r="BJ242" s="265"/>
      <c r="BK242" s="265"/>
      <c r="BL242" s="265"/>
      <c r="BM242" s="265"/>
      <c r="BN242" s="265"/>
      <c r="BO242" s="265"/>
      <c r="BP242" s="265"/>
      <c r="BQ242" s="265"/>
      <c r="BR242" s="265"/>
      <c r="BS242" s="265"/>
      <c r="BT242" s="265"/>
      <c r="BU242" s="265"/>
      <c r="BV242" s="265"/>
    </row>
    <row r="243">
      <c r="A243" s="252" t="str">
        <f>VLOOKUP($F243,UpdateHashtag!$V$3:$Y$32,COLUMN(B$15),0)</f>
        <v>#N/A</v>
      </c>
      <c r="B243" s="252" t="str">
        <f>VLOOKUP($F243,UpdateHashtag!$V$3:$Y$32,COLUMN(C$13),0)</f>
        <v>#N/A</v>
      </c>
      <c r="C243" s="252" t="str">
        <f>VLOOKUP($F243,UpdateHashtag!$V$3:$Y$32,COLUMN(D$13),0)</f>
        <v>#N/A</v>
      </c>
      <c r="D243" s="344" t="str">
        <f t="shared" si="4"/>
        <v>#N/A</v>
      </c>
      <c r="E243" s="19"/>
      <c r="F243" s="30" t="str">
        <f>IF(VLOOKUP(J243,PasteHashtag!$C$2:$P1015,3,)="BRO","BKN",IF(VLOOKUP(J243,PasteHashtag!$C$2:$P1015,3,)="OKL","OKC",VLOOKUP(J243,PasteHashtag!$C$2:$P1015,3,)))</f>
        <v>#N/A</v>
      </c>
      <c r="G243" s="30">
        <v>223.0</v>
      </c>
      <c r="H243" s="270"/>
      <c r="I243" s="270"/>
      <c r="J243" s="271"/>
      <c r="K243" s="270"/>
      <c r="L243" s="272"/>
      <c r="M243" s="273"/>
      <c r="N243" s="274"/>
      <c r="O243" s="274"/>
      <c r="P243" s="275"/>
      <c r="Q243" s="275"/>
      <c r="R243" s="275"/>
      <c r="S243" s="276"/>
      <c r="T243" s="275"/>
      <c r="U243" s="275"/>
      <c r="V243" s="272"/>
      <c r="W243" s="272"/>
      <c r="X243" s="275"/>
      <c r="Y243" s="345"/>
      <c r="Z243" s="345"/>
      <c r="AA243" s="345"/>
      <c r="AB243" s="345"/>
      <c r="AC243" s="345"/>
      <c r="AD243" s="345"/>
      <c r="AE243" s="345"/>
      <c r="AF243" s="345"/>
      <c r="AG243" s="346"/>
      <c r="AH243" s="265"/>
      <c r="AI243" s="338"/>
      <c r="AJ243" s="339"/>
      <c r="AK243" s="265"/>
      <c r="AL243" s="265"/>
      <c r="AM243" s="265"/>
      <c r="AN243" s="265"/>
      <c r="AO243" s="265"/>
      <c r="AP243" s="265"/>
      <c r="AQ243" s="265"/>
      <c r="AR243" s="265"/>
      <c r="AS243" s="265"/>
      <c r="AT243" s="265"/>
      <c r="AU243" s="265"/>
      <c r="AV243" s="265"/>
      <c r="AW243" s="265"/>
      <c r="AX243" s="265"/>
      <c r="AY243" s="265"/>
      <c r="AZ243" s="265"/>
      <c r="BA243" s="265"/>
      <c r="BB243" s="265"/>
      <c r="BC243" s="265"/>
      <c r="BD243" s="265"/>
      <c r="BE243" s="265"/>
      <c r="BF243" s="265"/>
      <c r="BG243" s="265"/>
      <c r="BH243" s="265"/>
      <c r="BI243" s="265"/>
      <c r="BJ243" s="265"/>
      <c r="BK243" s="265"/>
      <c r="BL243" s="265"/>
      <c r="BM243" s="265"/>
      <c r="BN243" s="265"/>
      <c r="BO243" s="265"/>
      <c r="BP243" s="265"/>
      <c r="BQ243" s="265"/>
      <c r="BR243" s="265"/>
      <c r="BS243" s="265"/>
      <c r="BT243" s="265"/>
      <c r="BU243" s="265"/>
      <c r="BV243" s="265"/>
    </row>
    <row r="244">
      <c r="A244" s="252" t="str">
        <f>VLOOKUP($F244,UpdateHashtag!$V$3:$Y$32,COLUMN(B$15),0)</f>
        <v>#N/A</v>
      </c>
      <c r="B244" s="252" t="str">
        <f>VLOOKUP($F244,UpdateHashtag!$V$3:$Y$32,COLUMN(C$13),0)</f>
        <v>#N/A</v>
      </c>
      <c r="C244" s="252" t="str">
        <f>VLOOKUP($F244,UpdateHashtag!$V$3:$Y$32,COLUMN(D$13),0)</f>
        <v>#N/A</v>
      </c>
      <c r="D244" s="344" t="str">
        <f t="shared" si="4"/>
        <v>#N/A</v>
      </c>
      <c r="E244" s="19"/>
      <c r="F244" s="30" t="str">
        <f>IF(VLOOKUP(J244,PasteHashtag!$C$2:$P1015,3,)="BRO","BKN",IF(VLOOKUP(J244,PasteHashtag!$C$2:$P1015,3,)="OKL","OKC",VLOOKUP(J244,PasteHashtag!$C$2:$P1015,3,)))</f>
        <v>#N/A</v>
      </c>
      <c r="G244" s="30">
        <v>224.0</v>
      </c>
      <c r="H244" s="270"/>
      <c r="I244" s="270"/>
      <c r="J244" s="271"/>
      <c r="K244" s="270"/>
      <c r="L244" s="272"/>
      <c r="M244" s="273"/>
      <c r="N244" s="274"/>
      <c r="O244" s="274"/>
      <c r="P244" s="275"/>
      <c r="Q244" s="275"/>
      <c r="R244" s="275"/>
      <c r="S244" s="276"/>
      <c r="T244" s="275"/>
      <c r="U244" s="275"/>
      <c r="V244" s="272"/>
      <c r="W244" s="272"/>
      <c r="X244" s="275"/>
      <c r="Y244" s="345"/>
      <c r="Z244" s="345"/>
      <c r="AA244" s="345"/>
      <c r="AB244" s="345"/>
      <c r="AC244" s="345"/>
      <c r="AD244" s="345"/>
      <c r="AE244" s="345"/>
      <c r="AF244" s="345"/>
      <c r="AG244" s="346"/>
      <c r="AH244" s="265"/>
      <c r="AI244" s="338"/>
      <c r="AJ244" s="339"/>
      <c r="AK244" s="265"/>
      <c r="AL244" s="265"/>
      <c r="AM244" s="265"/>
      <c r="AN244" s="265"/>
      <c r="AO244" s="265"/>
      <c r="AP244" s="265"/>
      <c r="AQ244" s="265"/>
      <c r="AR244" s="265"/>
      <c r="AS244" s="265"/>
      <c r="AT244" s="265"/>
      <c r="AU244" s="265"/>
      <c r="AV244" s="265"/>
      <c r="AW244" s="265"/>
      <c r="AX244" s="265"/>
      <c r="AY244" s="265"/>
      <c r="AZ244" s="265"/>
      <c r="BA244" s="265"/>
      <c r="BB244" s="265"/>
      <c r="BC244" s="265"/>
      <c r="BD244" s="265"/>
      <c r="BE244" s="265"/>
      <c r="BF244" s="265"/>
      <c r="BG244" s="265"/>
      <c r="BH244" s="265"/>
      <c r="BI244" s="265"/>
      <c r="BJ244" s="265"/>
      <c r="BK244" s="265"/>
      <c r="BL244" s="265"/>
      <c r="BM244" s="265"/>
      <c r="BN244" s="265"/>
      <c r="BO244" s="265"/>
      <c r="BP244" s="265"/>
      <c r="BQ244" s="265"/>
      <c r="BR244" s="265"/>
      <c r="BS244" s="265"/>
      <c r="BT244" s="265"/>
      <c r="BU244" s="265"/>
      <c r="BV244" s="265"/>
    </row>
    <row r="245">
      <c r="A245" s="252" t="str">
        <f>VLOOKUP($F245,UpdateHashtag!$V$3:$Y$32,COLUMN(B$15),0)</f>
        <v>#N/A</v>
      </c>
      <c r="B245" s="252" t="str">
        <f>VLOOKUP($F245,UpdateHashtag!$V$3:$Y$32,COLUMN(C$13),0)</f>
        <v>#N/A</v>
      </c>
      <c r="C245" s="252" t="str">
        <f>VLOOKUP($F245,UpdateHashtag!$V$3:$Y$32,COLUMN(D$13),0)</f>
        <v>#N/A</v>
      </c>
      <c r="D245" s="344" t="str">
        <f t="shared" si="4"/>
        <v>#N/A</v>
      </c>
      <c r="E245" s="19"/>
      <c r="F245" s="30" t="str">
        <f>IF(VLOOKUP(J245,PasteHashtag!$C$2:$P1015,3,)="BRO","BKN",IF(VLOOKUP(J245,PasteHashtag!$C$2:$P1015,3,)="OKL","OKC",VLOOKUP(J245,PasteHashtag!$C$2:$P1015,3,)))</f>
        <v>#N/A</v>
      </c>
      <c r="G245" s="30">
        <v>225.0</v>
      </c>
      <c r="H245" s="270"/>
      <c r="I245" s="270"/>
      <c r="J245" s="271"/>
      <c r="K245" s="270"/>
      <c r="L245" s="272"/>
      <c r="M245" s="273"/>
      <c r="N245" s="274"/>
      <c r="O245" s="274"/>
      <c r="P245" s="275"/>
      <c r="Q245" s="275"/>
      <c r="R245" s="275"/>
      <c r="S245" s="276"/>
      <c r="T245" s="275"/>
      <c r="U245" s="275"/>
      <c r="V245" s="272"/>
      <c r="W245" s="272"/>
      <c r="X245" s="275"/>
      <c r="Y245" s="345"/>
      <c r="Z245" s="345"/>
      <c r="AA245" s="345"/>
      <c r="AB245" s="345"/>
      <c r="AC245" s="345"/>
      <c r="AD245" s="345"/>
      <c r="AE245" s="345"/>
      <c r="AF245" s="345"/>
      <c r="AG245" s="346"/>
      <c r="AH245" s="265"/>
      <c r="AI245" s="338"/>
      <c r="AJ245" s="339"/>
      <c r="AK245" s="265"/>
      <c r="AL245" s="265"/>
      <c r="AM245" s="265"/>
      <c r="AN245" s="265"/>
      <c r="AO245" s="265"/>
      <c r="AP245" s="265"/>
      <c r="AQ245" s="265"/>
      <c r="AR245" s="265"/>
      <c r="AS245" s="265"/>
      <c r="AT245" s="265"/>
      <c r="AU245" s="265"/>
      <c r="AV245" s="265"/>
      <c r="AW245" s="265"/>
      <c r="AX245" s="265"/>
      <c r="AY245" s="265"/>
      <c r="AZ245" s="265"/>
      <c r="BA245" s="265"/>
      <c r="BB245" s="265"/>
      <c r="BC245" s="265"/>
      <c r="BD245" s="265"/>
      <c r="BE245" s="265"/>
      <c r="BF245" s="265"/>
      <c r="BG245" s="265"/>
      <c r="BH245" s="265"/>
      <c r="BI245" s="265"/>
      <c r="BJ245" s="265"/>
      <c r="BK245" s="265"/>
      <c r="BL245" s="265"/>
      <c r="BM245" s="265"/>
      <c r="BN245" s="265"/>
      <c r="BO245" s="265"/>
      <c r="BP245" s="265"/>
      <c r="BQ245" s="265"/>
      <c r="BR245" s="265"/>
      <c r="BS245" s="265"/>
      <c r="BT245" s="265"/>
      <c r="BU245" s="265"/>
      <c r="BV245" s="265"/>
    </row>
    <row r="246">
      <c r="A246" s="252" t="str">
        <f>VLOOKUP($F246,UpdateHashtag!$V$3:$Y$32,COLUMN(B$15),0)</f>
        <v>#N/A</v>
      </c>
      <c r="B246" s="252" t="str">
        <f>VLOOKUP($F246,UpdateHashtag!$V$3:$Y$32,COLUMN(C$13),0)</f>
        <v>#N/A</v>
      </c>
      <c r="C246" s="252" t="str">
        <f>VLOOKUP($F246,UpdateHashtag!$V$3:$Y$32,COLUMN(D$13),0)</f>
        <v>#N/A</v>
      </c>
      <c r="D246" s="344" t="str">
        <f t="shared" si="4"/>
        <v>#N/A</v>
      </c>
      <c r="E246" s="19"/>
      <c r="F246" s="30" t="str">
        <f>IF(VLOOKUP(J246,PasteHashtag!$C$2:$P1015,3,)="BRO","BKN",IF(VLOOKUP(J246,PasteHashtag!$C$2:$P1015,3,)="OKL","OKC",VLOOKUP(J246,PasteHashtag!$C$2:$P1015,3,)))</f>
        <v>#N/A</v>
      </c>
      <c r="G246" s="30">
        <v>226.0</v>
      </c>
      <c r="H246" s="270"/>
      <c r="I246" s="270"/>
      <c r="J246" s="271"/>
      <c r="K246" s="270"/>
      <c r="L246" s="272"/>
      <c r="M246" s="273"/>
      <c r="N246" s="274"/>
      <c r="O246" s="274"/>
      <c r="P246" s="275"/>
      <c r="Q246" s="275"/>
      <c r="R246" s="275"/>
      <c r="S246" s="276"/>
      <c r="T246" s="275"/>
      <c r="U246" s="275"/>
      <c r="V246" s="272"/>
      <c r="W246" s="272"/>
      <c r="X246" s="275"/>
      <c r="Y246" s="345"/>
      <c r="Z246" s="345"/>
      <c r="AA246" s="345"/>
      <c r="AB246" s="345"/>
      <c r="AC246" s="345"/>
      <c r="AD246" s="345"/>
      <c r="AE246" s="345"/>
      <c r="AF246" s="345"/>
      <c r="AG246" s="346"/>
      <c r="AH246" s="265"/>
      <c r="AI246" s="338"/>
      <c r="AJ246" s="339"/>
      <c r="AK246" s="265"/>
      <c r="AL246" s="265"/>
      <c r="AM246" s="265"/>
      <c r="AN246" s="265"/>
      <c r="AO246" s="265"/>
      <c r="AP246" s="265"/>
      <c r="AQ246" s="265"/>
      <c r="AR246" s="265"/>
      <c r="AS246" s="265"/>
      <c r="AT246" s="265"/>
      <c r="AU246" s="265"/>
      <c r="AV246" s="265"/>
      <c r="AW246" s="265"/>
      <c r="AX246" s="265"/>
      <c r="AY246" s="265"/>
      <c r="AZ246" s="265"/>
      <c r="BA246" s="265"/>
      <c r="BB246" s="265"/>
      <c r="BC246" s="265"/>
      <c r="BD246" s="265"/>
      <c r="BE246" s="265"/>
      <c r="BF246" s="265"/>
      <c r="BG246" s="265"/>
      <c r="BH246" s="265"/>
      <c r="BI246" s="265"/>
      <c r="BJ246" s="265"/>
      <c r="BK246" s="265"/>
      <c r="BL246" s="265"/>
      <c r="BM246" s="265"/>
      <c r="BN246" s="265"/>
      <c r="BO246" s="265"/>
      <c r="BP246" s="265"/>
      <c r="BQ246" s="265"/>
      <c r="BR246" s="265"/>
      <c r="BS246" s="265"/>
      <c r="BT246" s="265"/>
      <c r="BU246" s="265"/>
      <c r="BV246" s="265"/>
    </row>
    <row r="247">
      <c r="A247" s="252" t="str">
        <f>VLOOKUP($F247,UpdateHashtag!$V$3:$Y$32,COLUMN(B$15),0)</f>
        <v>#N/A</v>
      </c>
      <c r="B247" s="252" t="str">
        <f>VLOOKUP($F247,UpdateHashtag!$V$3:$Y$32,COLUMN(C$13),0)</f>
        <v>#N/A</v>
      </c>
      <c r="C247" s="252" t="str">
        <f>VLOOKUP($F247,UpdateHashtag!$V$3:$Y$32,COLUMN(D$13),0)</f>
        <v>#N/A</v>
      </c>
      <c r="D247" s="344" t="str">
        <f t="shared" si="4"/>
        <v>#N/A</v>
      </c>
      <c r="E247" s="19"/>
      <c r="F247" s="30" t="str">
        <f>IF(VLOOKUP(J247,PasteHashtag!$C$2:$P1015,3,)="BRO","BKN",IF(VLOOKUP(J247,PasteHashtag!$C$2:$P1015,3,)="OKL","OKC",VLOOKUP(J247,PasteHashtag!$C$2:$P1015,3,)))</f>
        <v>#N/A</v>
      </c>
      <c r="G247" s="30">
        <v>227.0</v>
      </c>
      <c r="H247" s="270"/>
      <c r="I247" s="270"/>
      <c r="J247" s="271"/>
      <c r="K247" s="270"/>
      <c r="L247" s="272"/>
      <c r="M247" s="273"/>
      <c r="N247" s="274"/>
      <c r="O247" s="274"/>
      <c r="P247" s="275"/>
      <c r="Q247" s="275"/>
      <c r="R247" s="275"/>
      <c r="S247" s="276"/>
      <c r="T247" s="275"/>
      <c r="U247" s="275"/>
      <c r="V247" s="272"/>
      <c r="W247" s="272"/>
      <c r="X247" s="275"/>
      <c r="Y247" s="345"/>
      <c r="Z247" s="345"/>
      <c r="AA247" s="345"/>
      <c r="AB247" s="345"/>
      <c r="AC247" s="345"/>
      <c r="AD247" s="345"/>
      <c r="AE247" s="345"/>
      <c r="AF247" s="345"/>
      <c r="AG247" s="346"/>
      <c r="AH247" s="265"/>
      <c r="AI247" s="338"/>
      <c r="AJ247" s="339"/>
      <c r="AK247" s="265"/>
      <c r="AL247" s="265"/>
      <c r="AM247" s="265"/>
      <c r="AN247" s="265"/>
      <c r="AO247" s="265"/>
      <c r="AP247" s="265"/>
      <c r="AQ247" s="265"/>
      <c r="AR247" s="265"/>
      <c r="AS247" s="265"/>
      <c r="AT247" s="265"/>
      <c r="AU247" s="265"/>
      <c r="AV247" s="265"/>
      <c r="AW247" s="265"/>
      <c r="AX247" s="265"/>
      <c r="AY247" s="265"/>
      <c r="AZ247" s="265"/>
      <c r="BA247" s="265"/>
      <c r="BB247" s="265"/>
      <c r="BC247" s="265"/>
      <c r="BD247" s="265"/>
      <c r="BE247" s="265"/>
      <c r="BF247" s="265"/>
      <c r="BG247" s="265"/>
      <c r="BH247" s="265"/>
      <c r="BI247" s="265"/>
      <c r="BJ247" s="265"/>
      <c r="BK247" s="265"/>
      <c r="BL247" s="265"/>
      <c r="BM247" s="265"/>
      <c r="BN247" s="265"/>
      <c r="BO247" s="265"/>
      <c r="BP247" s="265"/>
      <c r="BQ247" s="265"/>
      <c r="BR247" s="265"/>
      <c r="BS247" s="265"/>
      <c r="BT247" s="265"/>
      <c r="BU247" s="265"/>
      <c r="BV247" s="265"/>
    </row>
    <row r="248">
      <c r="A248" s="252" t="str">
        <f>VLOOKUP($F248,UpdateHashtag!$V$3:$Y$32,COLUMN(B$15),0)</f>
        <v>#N/A</v>
      </c>
      <c r="B248" s="252" t="str">
        <f>VLOOKUP($F248,UpdateHashtag!$V$3:$Y$32,COLUMN(C$13),0)</f>
        <v>#N/A</v>
      </c>
      <c r="C248" s="252" t="str">
        <f>VLOOKUP($F248,UpdateHashtag!$V$3:$Y$32,COLUMN(D$13),0)</f>
        <v>#N/A</v>
      </c>
      <c r="D248" s="344" t="str">
        <f t="shared" si="4"/>
        <v>#N/A</v>
      </c>
      <c r="E248" s="19"/>
      <c r="F248" s="30" t="str">
        <f>IF(VLOOKUP(J248,PasteHashtag!$C$2:$P1015,3,)="BRO","BKN",IF(VLOOKUP(J248,PasteHashtag!$C$2:$P1015,3,)="OKL","OKC",VLOOKUP(J248,PasteHashtag!$C$2:$P1015,3,)))</f>
        <v>#N/A</v>
      </c>
      <c r="G248" s="30">
        <v>228.0</v>
      </c>
      <c r="H248" s="270"/>
      <c r="I248" s="270"/>
      <c r="J248" s="271"/>
      <c r="K248" s="270"/>
      <c r="L248" s="272"/>
      <c r="M248" s="273"/>
      <c r="N248" s="274"/>
      <c r="O248" s="274"/>
      <c r="P248" s="275"/>
      <c r="Q248" s="275"/>
      <c r="R248" s="275"/>
      <c r="S248" s="276"/>
      <c r="T248" s="275"/>
      <c r="U248" s="275"/>
      <c r="V248" s="272"/>
      <c r="W248" s="272"/>
      <c r="X248" s="275"/>
      <c r="Y248" s="345"/>
      <c r="Z248" s="345"/>
      <c r="AA248" s="345"/>
      <c r="AB248" s="345"/>
      <c r="AC248" s="345"/>
      <c r="AD248" s="345"/>
      <c r="AE248" s="345"/>
      <c r="AF248" s="345"/>
      <c r="AG248" s="346"/>
      <c r="AH248" s="265"/>
      <c r="AI248" s="338"/>
      <c r="AJ248" s="339"/>
      <c r="AK248" s="265"/>
      <c r="AL248" s="265"/>
      <c r="AM248" s="265"/>
      <c r="AN248" s="265"/>
      <c r="AO248" s="265"/>
      <c r="AP248" s="265"/>
      <c r="AQ248" s="265"/>
      <c r="AR248" s="265"/>
      <c r="AS248" s="265"/>
      <c r="AT248" s="265"/>
      <c r="AU248" s="265"/>
      <c r="AV248" s="265"/>
      <c r="AW248" s="265"/>
      <c r="AX248" s="265"/>
      <c r="AY248" s="265"/>
      <c r="AZ248" s="265"/>
      <c r="BA248" s="265"/>
      <c r="BB248" s="265"/>
      <c r="BC248" s="265"/>
      <c r="BD248" s="265"/>
      <c r="BE248" s="265"/>
      <c r="BF248" s="265"/>
      <c r="BG248" s="265"/>
      <c r="BH248" s="265"/>
      <c r="BI248" s="265"/>
      <c r="BJ248" s="265"/>
      <c r="BK248" s="265"/>
      <c r="BL248" s="265"/>
      <c r="BM248" s="265"/>
      <c r="BN248" s="265"/>
      <c r="BO248" s="265"/>
      <c r="BP248" s="265"/>
      <c r="BQ248" s="265"/>
      <c r="BR248" s="265"/>
      <c r="BS248" s="265"/>
      <c r="BT248" s="265"/>
      <c r="BU248" s="265"/>
      <c r="BV248" s="265"/>
    </row>
    <row r="249">
      <c r="A249" s="252" t="str">
        <f>VLOOKUP($F249,UpdateHashtag!$V$3:$Y$32,COLUMN(B$15),0)</f>
        <v>#N/A</v>
      </c>
      <c r="B249" s="252" t="str">
        <f>VLOOKUP($F249,UpdateHashtag!$V$3:$Y$32,COLUMN(C$13),0)</f>
        <v>#N/A</v>
      </c>
      <c r="C249" s="252" t="str">
        <f>VLOOKUP($F249,UpdateHashtag!$V$3:$Y$32,COLUMN(D$13),0)</f>
        <v>#N/A</v>
      </c>
      <c r="D249" s="344" t="str">
        <f t="shared" si="4"/>
        <v>#N/A</v>
      </c>
      <c r="E249" s="19"/>
      <c r="F249" s="30" t="str">
        <f>IF(VLOOKUP(J249,PasteHashtag!$C$2:$P1015,3,)="BRO","BKN",IF(VLOOKUP(J249,PasteHashtag!$C$2:$P1015,3,)="OKL","OKC",VLOOKUP(J249,PasteHashtag!$C$2:$P1015,3,)))</f>
        <v>#N/A</v>
      </c>
      <c r="G249" s="30">
        <v>229.0</v>
      </c>
      <c r="H249" s="270"/>
      <c r="I249" s="270"/>
      <c r="J249" s="271"/>
      <c r="K249" s="270"/>
      <c r="L249" s="272"/>
      <c r="M249" s="273"/>
      <c r="N249" s="274"/>
      <c r="O249" s="274"/>
      <c r="P249" s="275"/>
      <c r="Q249" s="275"/>
      <c r="R249" s="275"/>
      <c r="S249" s="276"/>
      <c r="T249" s="275"/>
      <c r="U249" s="275"/>
      <c r="V249" s="272"/>
      <c r="W249" s="272"/>
      <c r="X249" s="275"/>
      <c r="Y249" s="345"/>
      <c r="Z249" s="345"/>
      <c r="AA249" s="345"/>
      <c r="AB249" s="345"/>
      <c r="AC249" s="345"/>
      <c r="AD249" s="345"/>
      <c r="AE249" s="345"/>
      <c r="AF249" s="345"/>
      <c r="AG249" s="346"/>
      <c r="AH249" s="265"/>
      <c r="AI249" s="338"/>
      <c r="AJ249" s="339"/>
      <c r="AK249" s="265"/>
      <c r="AL249" s="265"/>
      <c r="AM249" s="265"/>
      <c r="AN249" s="265"/>
      <c r="AO249" s="265"/>
      <c r="AP249" s="265"/>
      <c r="AQ249" s="265"/>
      <c r="AR249" s="265"/>
      <c r="AS249" s="265"/>
      <c r="AT249" s="265"/>
      <c r="AU249" s="265"/>
      <c r="AV249" s="265"/>
      <c r="AW249" s="265"/>
      <c r="AX249" s="265"/>
      <c r="AY249" s="265"/>
      <c r="AZ249" s="265"/>
      <c r="BA249" s="265"/>
      <c r="BB249" s="265"/>
      <c r="BC249" s="265"/>
      <c r="BD249" s="265"/>
      <c r="BE249" s="265"/>
      <c r="BF249" s="265"/>
      <c r="BG249" s="265"/>
      <c r="BH249" s="265"/>
      <c r="BI249" s="265"/>
      <c r="BJ249" s="265"/>
      <c r="BK249" s="265"/>
      <c r="BL249" s="265"/>
      <c r="BM249" s="265"/>
      <c r="BN249" s="265"/>
      <c r="BO249" s="265"/>
      <c r="BP249" s="265"/>
      <c r="BQ249" s="265"/>
      <c r="BR249" s="265"/>
      <c r="BS249" s="265"/>
      <c r="BT249" s="265"/>
      <c r="BU249" s="265"/>
      <c r="BV249" s="265"/>
    </row>
    <row r="250">
      <c r="A250" s="252" t="str">
        <f>VLOOKUP($F250,UpdateHashtag!$V$3:$Y$32,COLUMN(B$15),0)</f>
        <v>#N/A</v>
      </c>
      <c r="B250" s="252" t="str">
        <f>VLOOKUP($F250,UpdateHashtag!$V$3:$Y$32,COLUMN(C$13),0)</f>
        <v>#N/A</v>
      </c>
      <c r="C250" s="252" t="str">
        <f>VLOOKUP($F250,UpdateHashtag!$V$3:$Y$32,COLUMN(D$13),0)</f>
        <v>#N/A</v>
      </c>
      <c r="D250" s="344" t="str">
        <f t="shared" si="4"/>
        <v>#N/A</v>
      </c>
      <c r="E250" s="19"/>
      <c r="F250" s="30" t="str">
        <f>IF(VLOOKUP(J250,PasteHashtag!$C$2:$P1015,3,)="BRO","BKN",IF(VLOOKUP(J250,PasteHashtag!$C$2:$P1015,3,)="OKL","OKC",VLOOKUP(J250,PasteHashtag!$C$2:$P1015,3,)))</f>
        <v>#N/A</v>
      </c>
      <c r="G250" s="30">
        <v>230.0</v>
      </c>
      <c r="H250" s="270"/>
      <c r="I250" s="270"/>
      <c r="J250" s="271"/>
      <c r="K250" s="270"/>
      <c r="L250" s="272"/>
      <c r="M250" s="273"/>
      <c r="N250" s="274"/>
      <c r="O250" s="274"/>
      <c r="P250" s="275"/>
      <c r="Q250" s="275"/>
      <c r="R250" s="275"/>
      <c r="S250" s="276"/>
      <c r="T250" s="275"/>
      <c r="U250" s="275"/>
      <c r="V250" s="272"/>
      <c r="W250" s="272"/>
      <c r="X250" s="275"/>
      <c r="Y250" s="345"/>
      <c r="Z250" s="345"/>
      <c r="AA250" s="345"/>
      <c r="AB250" s="345"/>
      <c r="AC250" s="345"/>
      <c r="AD250" s="345"/>
      <c r="AE250" s="345"/>
      <c r="AF250" s="345"/>
      <c r="AG250" s="346"/>
      <c r="AH250" s="265"/>
      <c r="AI250" s="338"/>
      <c r="AJ250" s="339"/>
      <c r="AK250" s="265"/>
      <c r="AL250" s="265"/>
      <c r="AM250" s="265"/>
      <c r="AN250" s="265"/>
      <c r="AO250" s="265"/>
      <c r="AP250" s="265"/>
      <c r="AQ250" s="265"/>
      <c r="AR250" s="265"/>
      <c r="AS250" s="265"/>
      <c r="AT250" s="265"/>
      <c r="AU250" s="265"/>
      <c r="AV250" s="265"/>
      <c r="AW250" s="265"/>
      <c r="AX250" s="265"/>
      <c r="AY250" s="265"/>
      <c r="AZ250" s="265"/>
      <c r="BA250" s="265"/>
      <c r="BB250" s="265"/>
      <c r="BC250" s="265"/>
      <c r="BD250" s="265"/>
      <c r="BE250" s="265"/>
      <c r="BF250" s="265"/>
      <c r="BG250" s="265"/>
      <c r="BH250" s="265"/>
      <c r="BI250" s="265"/>
      <c r="BJ250" s="265"/>
      <c r="BK250" s="265"/>
      <c r="BL250" s="265"/>
      <c r="BM250" s="265"/>
      <c r="BN250" s="265"/>
      <c r="BO250" s="265"/>
      <c r="BP250" s="265"/>
      <c r="BQ250" s="265"/>
      <c r="BR250" s="265"/>
      <c r="BS250" s="265"/>
      <c r="BT250" s="265"/>
      <c r="BU250" s="265"/>
      <c r="BV250" s="265"/>
    </row>
    <row r="251">
      <c r="A251" s="252" t="str">
        <f>VLOOKUP($F251,UpdateHashtag!$V$3:$Y$32,COLUMN(B$15),0)</f>
        <v>#N/A</v>
      </c>
      <c r="B251" s="252" t="str">
        <f>VLOOKUP($F251,UpdateHashtag!$V$3:$Y$32,COLUMN(C$13),0)</f>
        <v>#N/A</v>
      </c>
      <c r="C251" s="252" t="str">
        <f>VLOOKUP($F251,UpdateHashtag!$V$3:$Y$32,COLUMN(D$13),0)</f>
        <v>#N/A</v>
      </c>
      <c r="D251" s="344" t="str">
        <f t="shared" si="4"/>
        <v>#N/A</v>
      </c>
      <c r="E251" s="19"/>
      <c r="F251" s="30" t="str">
        <f>IF(VLOOKUP(J251,PasteHashtag!$C$2:$P1015,3,)="BRO","BKN",IF(VLOOKUP(J251,PasteHashtag!$C$2:$P1015,3,)="OKL","OKC",VLOOKUP(J251,PasteHashtag!$C$2:$P1015,3,)))</f>
        <v>#N/A</v>
      </c>
      <c r="G251" s="30">
        <v>231.0</v>
      </c>
      <c r="H251" s="270"/>
      <c r="I251" s="270"/>
      <c r="J251" s="271"/>
      <c r="K251" s="270"/>
      <c r="L251" s="272"/>
      <c r="M251" s="273"/>
      <c r="N251" s="274"/>
      <c r="O251" s="274"/>
      <c r="P251" s="275"/>
      <c r="Q251" s="275"/>
      <c r="R251" s="275"/>
      <c r="S251" s="276"/>
      <c r="T251" s="275"/>
      <c r="U251" s="275"/>
      <c r="V251" s="272"/>
      <c r="W251" s="272"/>
      <c r="X251" s="275"/>
      <c r="Y251" s="345"/>
      <c r="Z251" s="345"/>
      <c r="AA251" s="345"/>
      <c r="AB251" s="345"/>
      <c r="AC251" s="345"/>
      <c r="AD251" s="345"/>
      <c r="AE251" s="345"/>
      <c r="AF251" s="345"/>
      <c r="AG251" s="346"/>
      <c r="AH251" s="265"/>
      <c r="AI251" s="338"/>
      <c r="AJ251" s="339"/>
      <c r="AK251" s="265"/>
      <c r="AL251" s="265"/>
      <c r="AM251" s="265"/>
      <c r="AN251" s="265"/>
      <c r="AO251" s="265"/>
      <c r="AP251" s="265"/>
      <c r="AQ251" s="265"/>
      <c r="AR251" s="265"/>
      <c r="AS251" s="265"/>
      <c r="AT251" s="265"/>
      <c r="AU251" s="265"/>
      <c r="AV251" s="265"/>
      <c r="AW251" s="265"/>
      <c r="AX251" s="265"/>
      <c r="AY251" s="265"/>
      <c r="AZ251" s="265"/>
      <c r="BA251" s="265"/>
      <c r="BB251" s="265"/>
      <c r="BC251" s="265"/>
      <c r="BD251" s="265"/>
      <c r="BE251" s="265"/>
      <c r="BF251" s="265"/>
      <c r="BG251" s="265"/>
      <c r="BH251" s="265"/>
      <c r="BI251" s="265"/>
      <c r="BJ251" s="265"/>
      <c r="BK251" s="265"/>
      <c r="BL251" s="265"/>
      <c r="BM251" s="265"/>
      <c r="BN251" s="265"/>
      <c r="BO251" s="265"/>
      <c r="BP251" s="265"/>
      <c r="BQ251" s="265"/>
      <c r="BR251" s="265"/>
      <c r="BS251" s="265"/>
      <c r="BT251" s="265"/>
      <c r="BU251" s="265"/>
      <c r="BV251" s="265"/>
    </row>
    <row r="252">
      <c r="A252" s="252" t="str">
        <f>VLOOKUP($F252,UpdateHashtag!$V$3:$Y$32,COLUMN(B$15),0)</f>
        <v>#N/A</v>
      </c>
      <c r="B252" s="252" t="str">
        <f>VLOOKUP($F252,UpdateHashtag!$V$3:$Y$32,COLUMN(C$13),0)</f>
        <v>#N/A</v>
      </c>
      <c r="C252" s="252" t="str">
        <f>VLOOKUP($F252,UpdateHashtag!$V$3:$Y$32,COLUMN(D$13),0)</f>
        <v>#N/A</v>
      </c>
      <c r="D252" s="344" t="str">
        <f t="shared" si="4"/>
        <v>#N/A</v>
      </c>
      <c r="E252" s="19"/>
      <c r="F252" s="30" t="str">
        <f>IF(VLOOKUP(J252,PasteHashtag!$C$2:$P1015,3,)="BRO","BKN",IF(VLOOKUP(J252,PasteHashtag!$C$2:$P1015,3,)="OKL","OKC",VLOOKUP(J252,PasteHashtag!$C$2:$P1015,3,)))</f>
        <v>#N/A</v>
      </c>
      <c r="G252" s="30">
        <v>232.0</v>
      </c>
      <c r="H252" s="270"/>
      <c r="I252" s="270"/>
      <c r="J252" s="271"/>
      <c r="K252" s="270"/>
      <c r="L252" s="272"/>
      <c r="M252" s="273"/>
      <c r="N252" s="274"/>
      <c r="O252" s="274"/>
      <c r="P252" s="275"/>
      <c r="Q252" s="275"/>
      <c r="R252" s="275"/>
      <c r="S252" s="276"/>
      <c r="T252" s="275"/>
      <c r="U252" s="275"/>
      <c r="V252" s="272"/>
      <c r="W252" s="272"/>
      <c r="X252" s="275"/>
      <c r="Y252" s="345"/>
      <c r="Z252" s="345"/>
      <c r="AA252" s="345"/>
      <c r="AB252" s="345"/>
      <c r="AC252" s="345"/>
      <c r="AD252" s="345"/>
      <c r="AE252" s="345"/>
      <c r="AF252" s="345"/>
      <c r="AG252" s="346"/>
      <c r="AH252" s="265"/>
      <c r="AI252" s="338"/>
      <c r="AJ252" s="339"/>
      <c r="AK252" s="265"/>
      <c r="AL252" s="265"/>
      <c r="AM252" s="265"/>
      <c r="AN252" s="265"/>
      <c r="AO252" s="265"/>
      <c r="AP252" s="265"/>
      <c r="AQ252" s="265"/>
      <c r="AR252" s="265"/>
      <c r="AS252" s="265"/>
      <c r="AT252" s="265"/>
      <c r="AU252" s="265"/>
      <c r="AV252" s="265"/>
      <c r="AW252" s="265"/>
      <c r="AX252" s="265"/>
      <c r="AY252" s="265"/>
      <c r="AZ252" s="265"/>
      <c r="BA252" s="265"/>
      <c r="BB252" s="265"/>
      <c r="BC252" s="265"/>
      <c r="BD252" s="265"/>
      <c r="BE252" s="265"/>
      <c r="BF252" s="265"/>
      <c r="BG252" s="265"/>
      <c r="BH252" s="265"/>
      <c r="BI252" s="265"/>
      <c r="BJ252" s="265"/>
      <c r="BK252" s="265"/>
      <c r="BL252" s="265"/>
      <c r="BM252" s="265"/>
      <c r="BN252" s="265"/>
      <c r="BO252" s="265"/>
      <c r="BP252" s="265"/>
      <c r="BQ252" s="265"/>
      <c r="BR252" s="265"/>
      <c r="BS252" s="265"/>
      <c r="BT252" s="265"/>
      <c r="BU252" s="265"/>
      <c r="BV252" s="265"/>
    </row>
    <row r="253">
      <c r="A253" s="252" t="str">
        <f>VLOOKUP($F253,UpdateHashtag!$V$3:$Y$32,COLUMN(B$15),0)</f>
        <v>#N/A</v>
      </c>
      <c r="B253" s="252" t="str">
        <f>VLOOKUP($F253,UpdateHashtag!$V$3:$Y$32,COLUMN(C$13),0)</f>
        <v>#N/A</v>
      </c>
      <c r="C253" s="252" t="str">
        <f>VLOOKUP($F253,UpdateHashtag!$V$3:$Y$32,COLUMN(D$13),0)</f>
        <v>#N/A</v>
      </c>
      <c r="D253" s="344" t="str">
        <f t="shared" si="4"/>
        <v>#N/A</v>
      </c>
      <c r="E253" s="19"/>
      <c r="F253" s="30" t="str">
        <f>IF(VLOOKUP(J253,PasteHashtag!$C$2:$P1015,3,)="BRO","BKN",IF(VLOOKUP(J253,PasteHashtag!$C$2:$P1015,3,)="OKL","OKC",VLOOKUP(J253,PasteHashtag!$C$2:$P1015,3,)))</f>
        <v>#N/A</v>
      </c>
      <c r="G253" s="30">
        <v>233.0</v>
      </c>
      <c r="H253" s="270"/>
      <c r="I253" s="270"/>
      <c r="J253" s="271"/>
      <c r="K253" s="270"/>
      <c r="L253" s="272"/>
      <c r="M253" s="273"/>
      <c r="N253" s="274"/>
      <c r="O253" s="274"/>
      <c r="P253" s="275"/>
      <c r="Q253" s="275"/>
      <c r="R253" s="275"/>
      <c r="S253" s="276"/>
      <c r="T253" s="275"/>
      <c r="U253" s="275"/>
      <c r="V253" s="272"/>
      <c r="W253" s="272"/>
      <c r="X253" s="275"/>
      <c r="Y253" s="345"/>
      <c r="Z253" s="345"/>
      <c r="AA253" s="345"/>
      <c r="AB253" s="345"/>
      <c r="AC253" s="345"/>
      <c r="AD253" s="345"/>
      <c r="AE253" s="345"/>
      <c r="AF253" s="345"/>
      <c r="AG253" s="346"/>
      <c r="AH253" s="265"/>
      <c r="AI253" s="338"/>
      <c r="AJ253" s="339"/>
      <c r="AK253" s="265"/>
      <c r="AL253" s="265"/>
      <c r="AM253" s="265"/>
      <c r="AN253" s="265"/>
      <c r="AO253" s="265"/>
      <c r="AP253" s="265"/>
      <c r="AQ253" s="265"/>
      <c r="AR253" s="265"/>
      <c r="AS253" s="265"/>
      <c r="AT253" s="265"/>
      <c r="AU253" s="265"/>
      <c r="AV253" s="265"/>
      <c r="AW253" s="265"/>
      <c r="AX253" s="265"/>
      <c r="AY253" s="265"/>
      <c r="AZ253" s="265"/>
      <c r="BA253" s="265"/>
      <c r="BB253" s="265"/>
      <c r="BC253" s="265"/>
      <c r="BD253" s="265"/>
      <c r="BE253" s="265"/>
      <c r="BF253" s="265"/>
      <c r="BG253" s="265"/>
      <c r="BH253" s="265"/>
      <c r="BI253" s="265"/>
      <c r="BJ253" s="265"/>
      <c r="BK253" s="265"/>
      <c r="BL253" s="265"/>
      <c r="BM253" s="265"/>
      <c r="BN253" s="265"/>
      <c r="BO253" s="265"/>
      <c r="BP253" s="265"/>
      <c r="BQ253" s="265"/>
      <c r="BR253" s="265"/>
      <c r="BS253" s="265"/>
      <c r="BT253" s="265"/>
      <c r="BU253" s="265"/>
      <c r="BV253" s="265"/>
    </row>
    <row r="254">
      <c r="A254" s="252" t="str">
        <f>VLOOKUP($F254,UpdateHashtag!$V$3:$Y$32,COLUMN(B$15),0)</f>
        <v>#N/A</v>
      </c>
      <c r="B254" s="252" t="str">
        <f>VLOOKUP($F254,UpdateHashtag!$V$3:$Y$32,COLUMN(C$13),0)</f>
        <v>#N/A</v>
      </c>
      <c r="C254" s="252" t="str">
        <f>VLOOKUP($F254,UpdateHashtag!$V$3:$Y$32,COLUMN(D$13),0)</f>
        <v>#N/A</v>
      </c>
      <c r="D254" s="344" t="str">
        <f t="shared" si="4"/>
        <v>#N/A</v>
      </c>
      <c r="E254" s="19"/>
      <c r="F254" s="30" t="str">
        <f>IF(VLOOKUP(J254,PasteHashtag!$C$2:$P1015,3,)="BRO","BKN",IF(VLOOKUP(J254,PasteHashtag!$C$2:$P1015,3,)="OKL","OKC",VLOOKUP(J254,PasteHashtag!$C$2:$P1015,3,)))</f>
        <v>#N/A</v>
      </c>
      <c r="G254" s="30">
        <v>234.0</v>
      </c>
      <c r="H254" s="270"/>
      <c r="I254" s="270"/>
      <c r="J254" s="271"/>
      <c r="K254" s="270"/>
      <c r="L254" s="272"/>
      <c r="M254" s="273"/>
      <c r="N254" s="274"/>
      <c r="O254" s="274"/>
      <c r="P254" s="275"/>
      <c r="Q254" s="275"/>
      <c r="R254" s="275"/>
      <c r="S254" s="276"/>
      <c r="T254" s="275"/>
      <c r="U254" s="275"/>
      <c r="V254" s="272"/>
      <c r="W254" s="272"/>
      <c r="X254" s="275"/>
      <c r="Y254" s="345"/>
      <c r="Z254" s="345"/>
      <c r="AA254" s="345"/>
      <c r="AB254" s="345"/>
      <c r="AC254" s="345"/>
      <c r="AD254" s="345"/>
      <c r="AE254" s="345"/>
      <c r="AF254" s="345"/>
      <c r="AG254" s="346"/>
      <c r="AH254" s="265"/>
      <c r="AI254" s="338"/>
      <c r="AJ254" s="339"/>
      <c r="AK254" s="265"/>
      <c r="AL254" s="265"/>
      <c r="AM254" s="265"/>
      <c r="AN254" s="265"/>
      <c r="AO254" s="265"/>
      <c r="AP254" s="265"/>
      <c r="AQ254" s="265"/>
      <c r="AR254" s="265"/>
      <c r="AS254" s="265"/>
      <c r="AT254" s="265"/>
      <c r="AU254" s="265"/>
      <c r="AV254" s="265"/>
      <c r="AW254" s="265"/>
      <c r="AX254" s="265"/>
      <c r="AY254" s="265"/>
      <c r="AZ254" s="265"/>
      <c r="BA254" s="265"/>
      <c r="BB254" s="265"/>
      <c r="BC254" s="265"/>
      <c r="BD254" s="265"/>
      <c r="BE254" s="265"/>
      <c r="BF254" s="265"/>
      <c r="BG254" s="265"/>
      <c r="BH254" s="265"/>
      <c r="BI254" s="265"/>
      <c r="BJ254" s="265"/>
      <c r="BK254" s="265"/>
      <c r="BL254" s="265"/>
      <c r="BM254" s="265"/>
      <c r="BN254" s="265"/>
      <c r="BO254" s="265"/>
      <c r="BP254" s="265"/>
      <c r="BQ254" s="265"/>
      <c r="BR254" s="265"/>
      <c r="BS254" s="265"/>
      <c r="BT254" s="265"/>
      <c r="BU254" s="265"/>
      <c r="BV254" s="265"/>
    </row>
    <row r="255">
      <c r="A255" s="252" t="str">
        <f>VLOOKUP($F255,UpdateHashtag!$V$3:$Y$32,COLUMN(B$15),0)</f>
        <v>#N/A</v>
      </c>
      <c r="B255" s="252" t="str">
        <f>VLOOKUP($F255,UpdateHashtag!$V$3:$Y$32,COLUMN(C$13),0)</f>
        <v>#N/A</v>
      </c>
      <c r="C255" s="252" t="str">
        <f>VLOOKUP($F255,UpdateHashtag!$V$3:$Y$32,COLUMN(D$13),0)</f>
        <v>#N/A</v>
      </c>
      <c r="D255" s="344" t="str">
        <f t="shared" si="4"/>
        <v>#N/A</v>
      </c>
      <c r="E255" s="19"/>
      <c r="F255" s="30" t="str">
        <f>IF(VLOOKUP(J255,PasteHashtag!$C$2:$P1015,3,)="BRO","BKN",IF(VLOOKUP(J255,PasteHashtag!$C$2:$P1015,3,)="OKL","OKC",VLOOKUP(J255,PasteHashtag!$C$2:$P1015,3,)))</f>
        <v>#N/A</v>
      </c>
      <c r="G255" s="30">
        <v>235.0</v>
      </c>
      <c r="H255" s="270"/>
      <c r="I255" s="270"/>
      <c r="J255" s="271"/>
      <c r="K255" s="270"/>
      <c r="L255" s="272"/>
      <c r="M255" s="273"/>
      <c r="N255" s="274"/>
      <c r="O255" s="274"/>
      <c r="P255" s="275"/>
      <c r="Q255" s="275"/>
      <c r="R255" s="275"/>
      <c r="S255" s="276"/>
      <c r="T255" s="275"/>
      <c r="U255" s="275"/>
      <c r="V255" s="272"/>
      <c r="W255" s="272"/>
      <c r="X255" s="275"/>
      <c r="Y255" s="345"/>
      <c r="Z255" s="345"/>
      <c r="AA255" s="345"/>
      <c r="AB255" s="345"/>
      <c r="AC255" s="345"/>
      <c r="AD255" s="345"/>
      <c r="AE255" s="345"/>
      <c r="AF255" s="345"/>
      <c r="AG255" s="346"/>
      <c r="AH255" s="265"/>
      <c r="AI255" s="338"/>
      <c r="AJ255" s="339"/>
      <c r="AK255" s="265"/>
      <c r="AL255" s="265"/>
      <c r="AM255" s="265"/>
      <c r="AN255" s="265"/>
      <c r="AO255" s="265"/>
      <c r="AP255" s="265"/>
      <c r="AQ255" s="265"/>
      <c r="AR255" s="265"/>
      <c r="AS255" s="265"/>
      <c r="AT255" s="265"/>
      <c r="AU255" s="265"/>
      <c r="AV255" s="265"/>
      <c r="AW255" s="265"/>
      <c r="AX255" s="265"/>
      <c r="AY255" s="265"/>
      <c r="AZ255" s="265"/>
      <c r="BA255" s="265"/>
      <c r="BB255" s="265"/>
      <c r="BC255" s="265"/>
      <c r="BD255" s="265"/>
      <c r="BE255" s="265"/>
      <c r="BF255" s="265"/>
      <c r="BG255" s="265"/>
      <c r="BH255" s="265"/>
      <c r="BI255" s="265"/>
      <c r="BJ255" s="265"/>
      <c r="BK255" s="265"/>
      <c r="BL255" s="265"/>
      <c r="BM255" s="265"/>
      <c r="BN255" s="265"/>
      <c r="BO255" s="265"/>
      <c r="BP255" s="265"/>
      <c r="BQ255" s="265"/>
      <c r="BR255" s="265"/>
      <c r="BS255" s="265"/>
      <c r="BT255" s="265"/>
      <c r="BU255" s="265"/>
      <c r="BV255" s="265"/>
    </row>
    <row r="256">
      <c r="A256" s="252" t="str">
        <f>VLOOKUP($F256,UpdateHashtag!$V$3:$Y$32,COLUMN(B$15),0)</f>
        <v>#N/A</v>
      </c>
      <c r="B256" s="252" t="str">
        <f>VLOOKUP($F256,UpdateHashtag!$V$3:$Y$32,COLUMN(C$13),0)</f>
        <v>#N/A</v>
      </c>
      <c r="C256" s="252" t="str">
        <f>VLOOKUP($F256,UpdateHashtag!$V$3:$Y$32,COLUMN(D$13),0)</f>
        <v>#N/A</v>
      </c>
      <c r="D256" s="344" t="str">
        <f t="shared" si="4"/>
        <v>#N/A</v>
      </c>
      <c r="E256" s="19"/>
      <c r="F256" s="30" t="str">
        <f>IF(VLOOKUP(J256,PasteHashtag!$C$2:$P1015,3,)="BRO","BKN",IF(VLOOKUP(J256,PasteHashtag!$C$2:$P1015,3,)="OKL","OKC",VLOOKUP(J256,PasteHashtag!$C$2:$P1015,3,)))</f>
        <v>#N/A</v>
      </c>
      <c r="G256" s="30">
        <v>236.0</v>
      </c>
      <c r="H256" s="270"/>
      <c r="I256" s="270"/>
      <c r="J256" s="271"/>
      <c r="K256" s="270"/>
      <c r="L256" s="272"/>
      <c r="M256" s="273"/>
      <c r="N256" s="274"/>
      <c r="O256" s="274"/>
      <c r="P256" s="275"/>
      <c r="Q256" s="275"/>
      <c r="R256" s="275"/>
      <c r="S256" s="276"/>
      <c r="T256" s="275"/>
      <c r="U256" s="275"/>
      <c r="V256" s="272"/>
      <c r="W256" s="272"/>
      <c r="X256" s="275"/>
      <c r="Y256" s="345"/>
      <c r="Z256" s="345"/>
      <c r="AA256" s="345"/>
      <c r="AB256" s="345"/>
      <c r="AC256" s="345"/>
      <c r="AD256" s="345"/>
      <c r="AE256" s="345"/>
      <c r="AF256" s="345"/>
      <c r="AG256" s="346"/>
      <c r="AH256" s="265"/>
      <c r="AI256" s="338"/>
      <c r="AJ256" s="339"/>
      <c r="AK256" s="265"/>
      <c r="AL256" s="265"/>
      <c r="AM256" s="265"/>
      <c r="AN256" s="265"/>
      <c r="AO256" s="265"/>
      <c r="AP256" s="265"/>
      <c r="AQ256" s="265"/>
      <c r="AR256" s="265"/>
      <c r="AS256" s="265"/>
      <c r="AT256" s="265"/>
      <c r="AU256" s="265"/>
      <c r="AV256" s="265"/>
      <c r="AW256" s="265"/>
      <c r="AX256" s="265"/>
      <c r="AY256" s="265"/>
      <c r="AZ256" s="265"/>
      <c r="BA256" s="265"/>
      <c r="BB256" s="265"/>
      <c r="BC256" s="265"/>
      <c r="BD256" s="265"/>
      <c r="BE256" s="265"/>
      <c r="BF256" s="265"/>
      <c r="BG256" s="265"/>
      <c r="BH256" s="265"/>
      <c r="BI256" s="265"/>
      <c r="BJ256" s="265"/>
      <c r="BK256" s="265"/>
      <c r="BL256" s="265"/>
      <c r="BM256" s="265"/>
      <c r="BN256" s="265"/>
      <c r="BO256" s="265"/>
      <c r="BP256" s="265"/>
      <c r="BQ256" s="265"/>
      <c r="BR256" s="265"/>
      <c r="BS256" s="265"/>
      <c r="BT256" s="265"/>
      <c r="BU256" s="265"/>
      <c r="BV256" s="265"/>
    </row>
    <row r="257">
      <c r="A257" s="252" t="str">
        <f>VLOOKUP($F257,UpdateHashtag!$V$3:$Y$32,COLUMN(B$15),0)</f>
        <v>#N/A</v>
      </c>
      <c r="B257" s="252" t="str">
        <f>VLOOKUP($F257,UpdateHashtag!$V$3:$Y$32,COLUMN(C$13),0)</f>
        <v>#N/A</v>
      </c>
      <c r="C257" s="252" t="str">
        <f>VLOOKUP($F257,UpdateHashtag!$V$3:$Y$32,COLUMN(D$13),0)</f>
        <v>#N/A</v>
      </c>
      <c r="D257" s="344" t="str">
        <f t="shared" si="4"/>
        <v>#N/A</v>
      </c>
      <c r="E257" s="19"/>
      <c r="F257" s="30" t="str">
        <f>IF(VLOOKUP(J257,PasteHashtag!$C$2:$P1015,3,)="BRO","BKN",IF(VLOOKUP(J257,PasteHashtag!$C$2:$P1015,3,)="OKL","OKC",VLOOKUP(J257,PasteHashtag!$C$2:$P1015,3,)))</f>
        <v>#N/A</v>
      </c>
      <c r="G257" s="30">
        <v>237.0</v>
      </c>
      <c r="H257" s="270"/>
      <c r="I257" s="270"/>
      <c r="J257" s="271"/>
      <c r="K257" s="270"/>
      <c r="L257" s="272"/>
      <c r="M257" s="273"/>
      <c r="N257" s="274"/>
      <c r="O257" s="274"/>
      <c r="P257" s="275"/>
      <c r="Q257" s="275"/>
      <c r="R257" s="275"/>
      <c r="S257" s="276"/>
      <c r="T257" s="275"/>
      <c r="U257" s="275"/>
      <c r="V257" s="272"/>
      <c r="W257" s="272"/>
      <c r="X257" s="275"/>
      <c r="Y257" s="345"/>
      <c r="Z257" s="345"/>
      <c r="AA257" s="345"/>
      <c r="AB257" s="345"/>
      <c r="AC257" s="345"/>
      <c r="AD257" s="345"/>
      <c r="AE257" s="345"/>
      <c r="AF257" s="345"/>
      <c r="AG257" s="346"/>
      <c r="AH257" s="265"/>
      <c r="AI257" s="338"/>
      <c r="AJ257" s="339"/>
      <c r="AK257" s="265"/>
      <c r="AL257" s="265"/>
      <c r="AM257" s="265"/>
      <c r="AN257" s="265"/>
      <c r="AO257" s="265"/>
      <c r="AP257" s="265"/>
      <c r="AQ257" s="265"/>
      <c r="AR257" s="265"/>
      <c r="AS257" s="265"/>
      <c r="AT257" s="265"/>
      <c r="AU257" s="265"/>
      <c r="AV257" s="265"/>
      <c r="AW257" s="265"/>
      <c r="AX257" s="265"/>
      <c r="AY257" s="265"/>
      <c r="AZ257" s="265"/>
      <c r="BA257" s="265"/>
      <c r="BB257" s="265"/>
      <c r="BC257" s="265"/>
      <c r="BD257" s="265"/>
      <c r="BE257" s="265"/>
      <c r="BF257" s="265"/>
      <c r="BG257" s="265"/>
      <c r="BH257" s="265"/>
      <c r="BI257" s="265"/>
      <c r="BJ257" s="265"/>
      <c r="BK257" s="265"/>
      <c r="BL257" s="265"/>
      <c r="BM257" s="265"/>
      <c r="BN257" s="265"/>
      <c r="BO257" s="265"/>
      <c r="BP257" s="265"/>
      <c r="BQ257" s="265"/>
      <c r="BR257" s="265"/>
      <c r="BS257" s="265"/>
      <c r="BT257" s="265"/>
      <c r="BU257" s="265"/>
      <c r="BV257" s="265"/>
    </row>
    <row r="258">
      <c r="A258" s="252" t="str">
        <f>VLOOKUP($F258,UpdateHashtag!$V$3:$Y$32,COLUMN(B$15),0)</f>
        <v>#N/A</v>
      </c>
      <c r="B258" s="252" t="str">
        <f>VLOOKUP($F258,UpdateHashtag!$V$3:$Y$32,COLUMN(C$13),0)</f>
        <v>#N/A</v>
      </c>
      <c r="C258" s="252" t="str">
        <f>VLOOKUP($F258,UpdateHashtag!$V$3:$Y$32,COLUMN(D$13),0)</f>
        <v>#N/A</v>
      </c>
      <c r="D258" s="344" t="str">
        <f t="shared" si="4"/>
        <v>#N/A</v>
      </c>
      <c r="E258" s="19"/>
      <c r="F258" s="30" t="str">
        <f>IF(VLOOKUP(J258,PasteHashtag!$C$2:$P1015,3,)="BRO","BKN",IF(VLOOKUP(J258,PasteHashtag!$C$2:$P1015,3,)="OKL","OKC",VLOOKUP(J258,PasteHashtag!$C$2:$P1015,3,)))</f>
        <v>#N/A</v>
      </c>
      <c r="G258" s="30">
        <v>238.0</v>
      </c>
      <c r="H258" s="270"/>
      <c r="I258" s="270"/>
      <c r="J258" s="271"/>
      <c r="K258" s="270"/>
      <c r="L258" s="272"/>
      <c r="M258" s="273"/>
      <c r="N258" s="274"/>
      <c r="O258" s="274"/>
      <c r="P258" s="275"/>
      <c r="Q258" s="275"/>
      <c r="R258" s="275"/>
      <c r="S258" s="276"/>
      <c r="T258" s="275"/>
      <c r="U258" s="275"/>
      <c r="V258" s="272"/>
      <c r="W258" s="272"/>
      <c r="X258" s="275"/>
      <c r="Y258" s="345"/>
      <c r="Z258" s="345"/>
      <c r="AA258" s="345"/>
      <c r="AB258" s="345"/>
      <c r="AC258" s="345"/>
      <c r="AD258" s="345"/>
      <c r="AE258" s="345"/>
      <c r="AF258" s="345"/>
      <c r="AG258" s="346"/>
      <c r="AH258" s="265"/>
      <c r="AI258" s="338"/>
      <c r="AJ258" s="339"/>
      <c r="AK258" s="265"/>
      <c r="AL258" s="265"/>
      <c r="AM258" s="265"/>
      <c r="AN258" s="265"/>
      <c r="AO258" s="265"/>
      <c r="AP258" s="265"/>
      <c r="AQ258" s="265"/>
      <c r="AR258" s="265"/>
      <c r="AS258" s="265"/>
      <c r="AT258" s="265"/>
      <c r="AU258" s="265"/>
      <c r="AV258" s="265"/>
      <c r="AW258" s="265"/>
      <c r="AX258" s="265"/>
      <c r="AY258" s="265"/>
      <c r="AZ258" s="265"/>
      <c r="BA258" s="265"/>
      <c r="BB258" s="265"/>
      <c r="BC258" s="265"/>
      <c r="BD258" s="265"/>
      <c r="BE258" s="265"/>
      <c r="BF258" s="265"/>
      <c r="BG258" s="265"/>
      <c r="BH258" s="265"/>
      <c r="BI258" s="265"/>
      <c r="BJ258" s="265"/>
      <c r="BK258" s="265"/>
      <c r="BL258" s="265"/>
      <c r="BM258" s="265"/>
      <c r="BN258" s="265"/>
      <c r="BO258" s="265"/>
      <c r="BP258" s="265"/>
      <c r="BQ258" s="265"/>
      <c r="BR258" s="265"/>
      <c r="BS258" s="265"/>
      <c r="BT258" s="265"/>
      <c r="BU258" s="265"/>
      <c r="BV258" s="265"/>
    </row>
    <row r="259">
      <c r="A259" s="252" t="str">
        <f>VLOOKUP($F259,UpdateHashtag!$V$3:$Y$32,COLUMN(B$15),0)</f>
        <v>#N/A</v>
      </c>
      <c r="B259" s="252" t="str">
        <f>VLOOKUP($F259,UpdateHashtag!$V$3:$Y$32,COLUMN(C$13),0)</f>
        <v>#N/A</v>
      </c>
      <c r="C259" s="252" t="str">
        <f>VLOOKUP($F259,UpdateHashtag!$V$3:$Y$32,COLUMN(D$13),0)</f>
        <v>#N/A</v>
      </c>
      <c r="D259" s="344" t="str">
        <f t="shared" si="4"/>
        <v>#N/A</v>
      </c>
      <c r="E259" s="19"/>
      <c r="F259" s="30" t="str">
        <f>IF(VLOOKUP(J259,PasteHashtag!$C$2:$P1015,3,)="BRO","BKN",IF(VLOOKUP(J259,PasteHashtag!$C$2:$P1015,3,)="OKL","OKC",VLOOKUP(J259,PasteHashtag!$C$2:$P1015,3,)))</f>
        <v>#N/A</v>
      </c>
      <c r="G259" s="30">
        <v>239.0</v>
      </c>
      <c r="H259" s="270"/>
      <c r="I259" s="270"/>
      <c r="J259" s="271"/>
      <c r="K259" s="270"/>
      <c r="L259" s="272"/>
      <c r="M259" s="273"/>
      <c r="N259" s="274"/>
      <c r="O259" s="274"/>
      <c r="P259" s="275"/>
      <c r="Q259" s="275"/>
      <c r="R259" s="275"/>
      <c r="S259" s="276"/>
      <c r="T259" s="275"/>
      <c r="U259" s="275"/>
      <c r="V259" s="272"/>
      <c r="W259" s="272"/>
      <c r="X259" s="275"/>
      <c r="Y259" s="345"/>
      <c r="Z259" s="345"/>
      <c r="AA259" s="345"/>
      <c r="AB259" s="345"/>
      <c r="AC259" s="345"/>
      <c r="AD259" s="345"/>
      <c r="AE259" s="345"/>
      <c r="AF259" s="345"/>
      <c r="AG259" s="346"/>
      <c r="AH259" s="265"/>
      <c r="AI259" s="338"/>
      <c r="AJ259" s="339"/>
      <c r="AK259" s="265"/>
      <c r="AL259" s="265"/>
      <c r="AM259" s="265"/>
      <c r="AN259" s="265"/>
      <c r="AO259" s="265"/>
      <c r="AP259" s="265"/>
      <c r="AQ259" s="265"/>
      <c r="AR259" s="265"/>
      <c r="AS259" s="265"/>
      <c r="AT259" s="265"/>
      <c r="AU259" s="265"/>
      <c r="AV259" s="265"/>
      <c r="AW259" s="265"/>
      <c r="AX259" s="265"/>
      <c r="AY259" s="265"/>
      <c r="AZ259" s="265"/>
      <c r="BA259" s="265"/>
      <c r="BB259" s="265"/>
      <c r="BC259" s="265"/>
      <c r="BD259" s="265"/>
      <c r="BE259" s="265"/>
      <c r="BF259" s="265"/>
      <c r="BG259" s="265"/>
      <c r="BH259" s="265"/>
      <c r="BI259" s="265"/>
      <c r="BJ259" s="265"/>
      <c r="BK259" s="265"/>
      <c r="BL259" s="265"/>
      <c r="BM259" s="265"/>
      <c r="BN259" s="265"/>
      <c r="BO259" s="265"/>
      <c r="BP259" s="265"/>
      <c r="BQ259" s="265"/>
      <c r="BR259" s="265"/>
      <c r="BS259" s="265"/>
      <c r="BT259" s="265"/>
      <c r="BU259" s="265"/>
      <c r="BV259" s="265"/>
    </row>
    <row r="260">
      <c r="A260" s="252" t="str">
        <f>VLOOKUP($F260,UpdateHashtag!$V$3:$Y$32,COLUMN(B$15),0)</f>
        <v>#N/A</v>
      </c>
      <c r="B260" s="252" t="str">
        <f>VLOOKUP($F260,UpdateHashtag!$V$3:$Y$32,COLUMN(C$13),0)</f>
        <v>#N/A</v>
      </c>
      <c r="C260" s="252" t="str">
        <f>VLOOKUP($F260,UpdateHashtag!$V$3:$Y$32,COLUMN(D$13),0)</f>
        <v>#N/A</v>
      </c>
      <c r="D260" s="344" t="str">
        <f t="shared" si="4"/>
        <v>#N/A</v>
      </c>
      <c r="E260" s="19"/>
      <c r="F260" s="30" t="str">
        <f>IF(VLOOKUP(J260,PasteHashtag!$C$2:$P1015,3,)="BRO","BKN",IF(VLOOKUP(J260,PasteHashtag!$C$2:$P1015,3,)="OKL","OKC",VLOOKUP(J260,PasteHashtag!$C$2:$P1015,3,)))</f>
        <v>#N/A</v>
      </c>
      <c r="G260" s="30">
        <v>240.0</v>
      </c>
      <c r="H260" s="270"/>
      <c r="I260" s="270"/>
      <c r="J260" s="271"/>
      <c r="K260" s="270"/>
      <c r="L260" s="272"/>
      <c r="M260" s="273"/>
      <c r="N260" s="274"/>
      <c r="O260" s="274"/>
      <c r="P260" s="275"/>
      <c r="Q260" s="275"/>
      <c r="R260" s="275"/>
      <c r="S260" s="276"/>
      <c r="T260" s="275"/>
      <c r="U260" s="275"/>
      <c r="V260" s="272"/>
      <c r="W260" s="272"/>
      <c r="X260" s="275"/>
      <c r="Y260" s="345"/>
      <c r="Z260" s="345"/>
      <c r="AA260" s="345"/>
      <c r="AB260" s="345"/>
      <c r="AC260" s="345"/>
      <c r="AD260" s="345"/>
      <c r="AE260" s="345"/>
      <c r="AF260" s="345"/>
      <c r="AG260" s="346"/>
      <c r="AH260" s="265"/>
      <c r="AI260" s="338"/>
      <c r="AJ260" s="339"/>
      <c r="AK260" s="265"/>
      <c r="AL260" s="265"/>
      <c r="AM260" s="265"/>
      <c r="AN260" s="265"/>
      <c r="AO260" s="265"/>
      <c r="AP260" s="265"/>
      <c r="AQ260" s="265"/>
      <c r="AR260" s="265"/>
      <c r="AS260" s="265"/>
      <c r="AT260" s="265"/>
      <c r="AU260" s="265"/>
      <c r="AV260" s="265"/>
      <c r="AW260" s="265"/>
      <c r="AX260" s="265"/>
      <c r="AY260" s="265"/>
      <c r="AZ260" s="265"/>
      <c r="BA260" s="265"/>
      <c r="BB260" s="265"/>
      <c r="BC260" s="265"/>
      <c r="BD260" s="265"/>
      <c r="BE260" s="265"/>
      <c r="BF260" s="265"/>
      <c r="BG260" s="265"/>
      <c r="BH260" s="265"/>
      <c r="BI260" s="265"/>
      <c r="BJ260" s="265"/>
      <c r="BK260" s="265"/>
      <c r="BL260" s="265"/>
      <c r="BM260" s="265"/>
      <c r="BN260" s="265"/>
      <c r="BO260" s="265"/>
      <c r="BP260" s="265"/>
      <c r="BQ260" s="265"/>
      <c r="BR260" s="265"/>
      <c r="BS260" s="265"/>
      <c r="BT260" s="265"/>
      <c r="BU260" s="265"/>
      <c r="BV260" s="265"/>
    </row>
    <row r="261">
      <c r="A261" s="252" t="str">
        <f>VLOOKUP($F261,UpdateHashtag!$V$3:$Y$32,COLUMN(B$15),0)</f>
        <v>#N/A</v>
      </c>
      <c r="B261" s="252" t="str">
        <f>VLOOKUP($F261,UpdateHashtag!$V$3:$Y$32,COLUMN(C$13),0)</f>
        <v>#N/A</v>
      </c>
      <c r="C261" s="252" t="str">
        <f>VLOOKUP($F261,UpdateHashtag!$V$3:$Y$32,COLUMN(D$13),0)</f>
        <v>#N/A</v>
      </c>
      <c r="D261" s="344" t="str">
        <f t="shared" si="4"/>
        <v>#N/A</v>
      </c>
      <c r="E261" s="19"/>
      <c r="F261" s="30" t="str">
        <f>IF(VLOOKUP(J261,PasteHashtag!$C$2:$P1015,3,)="BRO","BKN",IF(VLOOKUP(J261,PasteHashtag!$C$2:$P1015,3,)="OKL","OKC",VLOOKUP(J261,PasteHashtag!$C$2:$P1015,3,)))</f>
        <v>#N/A</v>
      </c>
      <c r="G261" s="30">
        <v>241.0</v>
      </c>
      <c r="H261" s="270"/>
      <c r="I261" s="270"/>
      <c r="J261" s="271"/>
      <c r="K261" s="270"/>
      <c r="L261" s="272"/>
      <c r="M261" s="273"/>
      <c r="N261" s="274"/>
      <c r="O261" s="274"/>
      <c r="P261" s="275"/>
      <c r="Q261" s="275"/>
      <c r="R261" s="275"/>
      <c r="S261" s="276"/>
      <c r="T261" s="275"/>
      <c r="U261" s="275"/>
      <c r="V261" s="272"/>
      <c r="W261" s="272"/>
      <c r="X261" s="275"/>
      <c r="Y261" s="345"/>
      <c r="Z261" s="345"/>
      <c r="AA261" s="345"/>
      <c r="AB261" s="345"/>
      <c r="AC261" s="345"/>
      <c r="AD261" s="345"/>
      <c r="AE261" s="345"/>
      <c r="AF261" s="345"/>
      <c r="AG261" s="346"/>
      <c r="AH261" s="265"/>
      <c r="AI261" s="338"/>
      <c r="AJ261" s="339"/>
      <c r="AK261" s="265"/>
      <c r="AL261" s="265"/>
      <c r="AM261" s="265"/>
      <c r="AN261" s="265"/>
      <c r="AO261" s="265"/>
      <c r="AP261" s="265"/>
      <c r="AQ261" s="265"/>
      <c r="AR261" s="265"/>
      <c r="AS261" s="265"/>
      <c r="AT261" s="265"/>
      <c r="AU261" s="265"/>
      <c r="AV261" s="265"/>
      <c r="AW261" s="265"/>
      <c r="AX261" s="265"/>
      <c r="AY261" s="265"/>
      <c r="AZ261" s="265"/>
      <c r="BA261" s="265"/>
      <c r="BB261" s="265"/>
      <c r="BC261" s="265"/>
      <c r="BD261" s="265"/>
      <c r="BE261" s="265"/>
      <c r="BF261" s="265"/>
      <c r="BG261" s="265"/>
      <c r="BH261" s="265"/>
      <c r="BI261" s="265"/>
      <c r="BJ261" s="265"/>
      <c r="BK261" s="265"/>
      <c r="BL261" s="265"/>
      <c r="BM261" s="265"/>
      <c r="BN261" s="265"/>
      <c r="BO261" s="265"/>
      <c r="BP261" s="265"/>
      <c r="BQ261" s="265"/>
      <c r="BR261" s="265"/>
      <c r="BS261" s="265"/>
      <c r="BT261" s="265"/>
      <c r="BU261" s="265"/>
      <c r="BV261" s="265"/>
    </row>
    <row r="262">
      <c r="A262" s="252" t="str">
        <f>VLOOKUP($F262,UpdateHashtag!$V$3:$Y$32,COLUMN(B$15),0)</f>
        <v>#N/A</v>
      </c>
      <c r="B262" s="252" t="str">
        <f>VLOOKUP($F262,UpdateHashtag!$V$3:$Y$32,COLUMN(C$13),0)</f>
        <v>#N/A</v>
      </c>
      <c r="C262" s="252" t="str">
        <f>VLOOKUP($F262,UpdateHashtag!$V$3:$Y$32,COLUMN(D$13),0)</f>
        <v>#N/A</v>
      </c>
      <c r="D262" s="344" t="str">
        <f t="shared" si="4"/>
        <v>#N/A</v>
      </c>
      <c r="E262" s="19"/>
      <c r="F262" s="30" t="str">
        <f>IF(VLOOKUP(J262,PasteHashtag!$C$2:$P1015,3,)="BRO","BKN",IF(VLOOKUP(J262,PasteHashtag!$C$2:$P1015,3,)="OKL","OKC",VLOOKUP(J262,PasteHashtag!$C$2:$P1015,3,)))</f>
        <v>#N/A</v>
      </c>
      <c r="G262" s="30">
        <v>242.0</v>
      </c>
      <c r="H262" s="270"/>
      <c r="I262" s="270"/>
      <c r="J262" s="271"/>
      <c r="K262" s="270"/>
      <c r="L262" s="272"/>
      <c r="M262" s="273"/>
      <c r="N262" s="274"/>
      <c r="O262" s="274"/>
      <c r="P262" s="275"/>
      <c r="Q262" s="275"/>
      <c r="R262" s="275"/>
      <c r="S262" s="276"/>
      <c r="T262" s="275"/>
      <c r="U262" s="275"/>
      <c r="V262" s="272"/>
      <c r="W262" s="272"/>
      <c r="X262" s="275"/>
      <c r="Y262" s="345"/>
      <c r="Z262" s="345"/>
      <c r="AA262" s="345"/>
      <c r="AB262" s="345"/>
      <c r="AC262" s="345"/>
      <c r="AD262" s="345"/>
      <c r="AE262" s="345"/>
      <c r="AF262" s="345"/>
      <c r="AG262" s="346"/>
      <c r="AH262" s="265"/>
      <c r="AI262" s="338"/>
      <c r="AJ262" s="339"/>
      <c r="AK262" s="265"/>
      <c r="AL262" s="265"/>
      <c r="AM262" s="265"/>
      <c r="AN262" s="265"/>
      <c r="AO262" s="265"/>
      <c r="AP262" s="265"/>
      <c r="AQ262" s="265"/>
      <c r="AR262" s="265"/>
      <c r="AS262" s="265"/>
      <c r="AT262" s="265"/>
      <c r="AU262" s="265"/>
      <c r="AV262" s="265"/>
      <c r="AW262" s="265"/>
      <c r="AX262" s="265"/>
      <c r="AY262" s="265"/>
      <c r="AZ262" s="265"/>
      <c r="BA262" s="265"/>
      <c r="BB262" s="265"/>
      <c r="BC262" s="265"/>
      <c r="BD262" s="265"/>
      <c r="BE262" s="265"/>
      <c r="BF262" s="265"/>
      <c r="BG262" s="265"/>
      <c r="BH262" s="265"/>
      <c r="BI262" s="265"/>
      <c r="BJ262" s="265"/>
      <c r="BK262" s="265"/>
      <c r="BL262" s="265"/>
      <c r="BM262" s="265"/>
      <c r="BN262" s="265"/>
      <c r="BO262" s="265"/>
      <c r="BP262" s="265"/>
      <c r="BQ262" s="265"/>
      <c r="BR262" s="265"/>
      <c r="BS262" s="265"/>
      <c r="BT262" s="265"/>
      <c r="BU262" s="265"/>
      <c r="BV262" s="265"/>
    </row>
    <row r="263">
      <c r="A263" s="252" t="str">
        <f>VLOOKUP($F263,UpdateHashtag!$V$3:$Y$32,COLUMN(B$15),0)</f>
        <v>#N/A</v>
      </c>
      <c r="B263" s="252" t="str">
        <f>VLOOKUP($F263,UpdateHashtag!$V$3:$Y$32,COLUMN(C$13),0)</f>
        <v>#N/A</v>
      </c>
      <c r="C263" s="252" t="str">
        <f>VLOOKUP($F263,UpdateHashtag!$V$3:$Y$32,COLUMN(D$13),0)</f>
        <v>#N/A</v>
      </c>
      <c r="D263" s="344" t="str">
        <f t="shared" si="4"/>
        <v>#N/A</v>
      </c>
      <c r="E263" s="19"/>
      <c r="F263" s="30" t="str">
        <f>IF(VLOOKUP(J263,PasteHashtag!$C$2:$P1015,3,)="BRO","BKN",IF(VLOOKUP(J263,PasteHashtag!$C$2:$P1015,3,)="OKL","OKC",VLOOKUP(J263,PasteHashtag!$C$2:$P1015,3,)))</f>
        <v>#N/A</v>
      </c>
      <c r="G263" s="30">
        <v>243.0</v>
      </c>
      <c r="H263" s="270"/>
      <c r="I263" s="270"/>
      <c r="J263" s="271"/>
      <c r="K263" s="270"/>
      <c r="L263" s="272"/>
      <c r="M263" s="273"/>
      <c r="N263" s="274"/>
      <c r="O263" s="274"/>
      <c r="P263" s="275"/>
      <c r="Q263" s="275"/>
      <c r="R263" s="275"/>
      <c r="S263" s="276"/>
      <c r="T263" s="275"/>
      <c r="U263" s="275"/>
      <c r="V263" s="272"/>
      <c r="W263" s="272"/>
      <c r="X263" s="275"/>
      <c r="Y263" s="345"/>
      <c r="Z263" s="345"/>
      <c r="AA263" s="345"/>
      <c r="AB263" s="345"/>
      <c r="AC263" s="345"/>
      <c r="AD263" s="345"/>
      <c r="AE263" s="345"/>
      <c r="AF263" s="345"/>
      <c r="AG263" s="346"/>
      <c r="AH263" s="265"/>
      <c r="AI263" s="338"/>
      <c r="AJ263" s="339"/>
      <c r="AK263" s="265"/>
      <c r="AL263" s="265"/>
      <c r="AM263" s="265"/>
      <c r="AN263" s="265"/>
      <c r="AO263" s="265"/>
      <c r="AP263" s="265"/>
      <c r="AQ263" s="265"/>
      <c r="AR263" s="265"/>
      <c r="AS263" s="265"/>
      <c r="AT263" s="265"/>
      <c r="AU263" s="265"/>
      <c r="AV263" s="265"/>
      <c r="AW263" s="265"/>
      <c r="AX263" s="265"/>
      <c r="AY263" s="265"/>
      <c r="AZ263" s="265"/>
      <c r="BA263" s="265"/>
      <c r="BB263" s="265"/>
      <c r="BC263" s="265"/>
      <c r="BD263" s="265"/>
      <c r="BE263" s="265"/>
      <c r="BF263" s="265"/>
      <c r="BG263" s="265"/>
      <c r="BH263" s="265"/>
      <c r="BI263" s="265"/>
      <c r="BJ263" s="265"/>
      <c r="BK263" s="265"/>
      <c r="BL263" s="265"/>
      <c r="BM263" s="265"/>
      <c r="BN263" s="265"/>
      <c r="BO263" s="265"/>
      <c r="BP263" s="265"/>
      <c r="BQ263" s="265"/>
      <c r="BR263" s="265"/>
      <c r="BS263" s="265"/>
      <c r="BT263" s="265"/>
      <c r="BU263" s="265"/>
      <c r="BV263" s="265"/>
    </row>
    <row r="264">
      <c r="A264" s="252" t="str">
        <f>VLOOKUP($F264,UpdateHashtag!$V$3:$Y$32,COLUMN(B$15),0)</f>
        <v>#N/A</v>
      </c>
      <c r="B264" s="252" t="str">
        <f>VLOOKUP($F264,UpdateHashtag!$V$3:$Y$32,COLUMN(C$13),0)</f>
        <v>#N/A</v>
      </c>
      <c r="C264" s="252" t="str">
        <f>VLOOKUP($F264,UpdateHashtag!$V$3:$Y$32,COLUMN(D$13),0)</f>
        <v>#N/A</v>
      </c>
      <c r="D264" s="344" t="str">
        <f t="shared" si="4"/>
        <v>#N/A</v>
      </c>
      <c r="E264" s="19"/>
      <c r="F264" s="30" t="str">
        <f>IF(VLOOKUP(J264,PasteHashtag!$C$2:$P1015,3,)="BRO","BKN",IF(VLOOKUP(J264,PasteHashtag!$C$2:$P1015,3,)="OKL","OKC",VLOOKUP(J264,PasteHashtag!$C$2:$P1015,3,)))</f>
        <v>#N/A</v>
      </c>
      <c r="G264" s="30">
        <v>244.0</v>
      </c>
      <c r="H264" s="270"/>
      <c r="I264" s="270"/>
      <c r="J264" s="271"/>
      <c r="K264" s="270"/>
      <c r="L264" s="272"/>
      <c r="M264" s="273"/>
      <c r="N264" s="274"/>
      <c r="O264" s="274"/>
      <c r="P264" s="275"/>
      <c r="Q264" s="275"/>
      <c r="R264" s="275"/>
      <c r="S264" s="276"/>
      <c r="T264" s="275"/>
      <c r="U264" s="275"/>
      <c r="V264" s="272"/>
      <c r="W264" s="272"/>
      <c r="X264" s="275"/>
      <c r="Y264" s="345"/>
      <c r="Z264" s="345"/>
      <c r="AA264" s="345"/>
      <c r="AB264" s="345"/>
      <c r="AC264" s="345"/>
      <c r="AD264" s="345"/>
      <c r="AE264" s="345"/>
      <c r="AF264" s="345"/>
      <c r="AG264" s="346"/>
      <c r="AH264" s="265"/>
      <c r="AI264" s="338"/>
      <c r="AJ264" s="339"/>
      <c r="AK264" s="265"/>
      <c r="AL264" s="265"/>
      <c r="AM264" s="265"/>
      <c r="AN264" s="265"/>
      <c r="AO264" s="265"/>
      <c r="AP264" s="265"/>
      <c r="AQ264" s="265"/>
      <c r="AR264" s="265"/>
      <c r="AS264" s="265"/>
      <c r="AT264" s="265"/>
      <c r="AU264" s="265"/>
      <c r="AV264" s="265"/>
      <c r="AW264" s="265"/>
      <c r="AX264" s="265"/>
      <c r="AY264" s="265"/>
      <c r="AZ264" s="265"/>
      <c r="BA264" s="265"/>
      <c r="BB264" s="265"/>
      <c r="BC264" s="265"/>
      <c r="BD264" s="265"/>
      <c r="BE264" s="265"/>
      <c r="BF264" s="265"/>
      <c r="BG264" s="265"/>
      <c r="BH264" s="265"/>
      <c r="BI264" s="265"/>
      <c r="BJ264" s="265"/>
      <c r="BK264" s="265"/>
      <c r="BL264" s="265"/>
      <c r="BM264" s="265"/>
      <c r="BN264" s="265"/>
      <c r="BO264" s="265"/>
      <c r="BP264" s="265"/>
      <c r="BQ264" s="265"/>
      <c r="BR264" s="265"/>
      <c r="BS264" s="265"/>
      <c r="BT264" s="265"/>
      <c r="BU264" s="265"/>
      <c r="BV264" s="265"/>
    </row>
    <row r="265">
      <c r="A265" s="252" t="str">
        <f>VLOOKUP($F265,UpdateHashtag!$V$3:$Y$32,COLUMN(B$15),0)</f>
        <v>#N/A</v>
      </c>
      <c r="B265" s="252" t="str">
        <f>VLOOKUP($F265,UpdateHashtag!$V$3:$Y$32,COLUMN(C$13),0)</f>
        <v>#N/A</v>
      </c>
      <c r="C265" s="252" t="str">
        <f>VLOOKUP($F265,UpdateHashtag!$V$3:$Y$32,COLUMN(D$13),0)</f>
        <v>#N/A</v>
      </c>
      <c r="D265" s="344" t="str">
        <f t="shared" si="4"/>
        <v>#N/A</v>
      </c>
      <c r="E265" s="19"/>
      <c r="F265" s="30" t="str">
        <f>IF(VLOOKUP(J265,PasteHashtag!$C$2:$P1015,3,)="BRO","BKN",IF(VLOOKUP(J265,PasteHashtag!$C$2:$P1015,3,)="OKL","OKC",VLOOKUP(J265,PasteHashtag!$C$2:$P1015,3,)))</f>
        <v>#N/A</v>
      </c>
      <c r="G265" s="30">
        <v>245.0</v>
      </c>
      <c r="H265" s="270"/>
      <c r="I265" s="270"/>
      <c r="J265" s="271"/>
      <c r="K265" s="270"/>
      <c r="L265" s="272"/>
      <c r="M265" s="273"/>
      <c r="N265" s="274"/>
      <c r="O265" s="274"/>
      <c r="P265" s="275"/>
      <c r="Q265" s="275"/>
      <c r="R265" s="275"/>
      <c r="S265" s="276"/>
      <c r="T265" s="275"/>
      <c r="U265" s="275"/>
      <c r="V265" s="272"/>
      <c r="W265" s="272"/>
      <c r="X265" s="275"/>
      <c r="Y265" s="345"/>
      <c r="Z265" s="345"/>
      <c r="AA265" s="345"/>
      <c r="AB265" s="345"/>
      <c r="AC265" s="345"/>
      <c r="AD265" s="345"/>
      <c r="AE265" s="345"/>
      <c r="AF265" s="345"/>
      <c r="AG265" s="346"/>
      <c r="AH265" s="265"/>
      <c r="AI265" s="338"/>
      <c r="AJ265" s="339"/>
      <c r="AK265" s="265"/>
      <c r="AL265" s="265"/>
      <c r="AM265" s="265"/>
      <c r="AN265" s="265"/>
      <c r="AO265" s="265"/>
      <c r="AP265" s="265"/>
      <c r="AQ265" s="265"/>
      <c r="AR265" s="265"/>
      <c r="AS265" s="265"/>
      <c r="AT265" s="265"/>
      <c r="AU265" s="265"/>
      <c r="AV265" s="265"/>
      <c r="AW265" s="265"/>
      <c r="AX265" s="265"/>
      <c r="AY265" s="265"/>
      <c r="AZ265" s="265"/>
      <c r="BA265" s="265"/>
      <c r="BB265" s="265"/>
      <c r="BC265" s="265"/>
      <c r="BD265" s="265"/>
      <c r="BE265" s="265"/>
      <c r="BF265" s="265"/>
      <c r="BG265" s="265"/>
      <c r="BH265" s="265"/>
      <c r="BI265" s="265"/>
      <c r="BJ265" s="265"/>
      <c r="BK265" s="265"/>
      <c r="BL265" s="265"/>
      <c r="BM265" s="265"/>
      <c r="BN265" s="265"/>
      <c r="BO265" s="265"/>
      <c r="BP265" s="265"/>
      <c r="BQ265" s="265"/>
      <c r="BR265" s="265"/>
      <c r="BS265" s="265"/>
      <c r="BT265" s="265"/>
      <c r="BU265" s="265"/>
      <c r="BV265" s="265"/>
    </row>
    <row r="266">
      <c r="A266" s="252" t="str">
        <f>VLOOKUP($F266,UpdateHashtag!$V$3:$Y$32,COLUMN(B$15),0)</f>
        <v>#N/A</v>
      </c>
      <c r="B266" s="252" t="str">
        <f>VLOOKUP($F266,UpdateHashtag!$V$3:$Y$32,COLUMN(C$13),0)</f>
        <v>#N/A</v>
      </c>
      <c r="C266" s="252" t="str">
        <f>VLOOKUP($F266,UpdateHashtag!$V$3:$Y$32,COLUMN(D$13),0)</f>
        <v>#N/A</v>
      </c>
      <c r="D266" s="344" t="str">
        <f t="shared" si="4"/>
        <v>#N/A</v>
      </c>
      <c r="E266" s="19"/>
      <c r="F266" s="30" t="str">
        <f>IF(VLOOKUP(J266,PasteHashtag!$C$2:$P1015,3,)="BRO","BKN",IF(VLOOKUP(J266,PasteHashtag!$C$2:$P1015,3,)="OKL","OKC",VLOOKUP(J266,PasteHashtag!$C$2:$P1015,3,)))</f>
        <v>#N/A</v>
      </c>
      <c r="G266" s="30">
        <v>246.0</v>
      </c>
      <c r="H266" s="270"/>
      <c r="I266" s="270"/>
      <c r="J266" s="271"/>
      <c r="K266" s="270"/>
      <c r="L266" s="272"/>
      <c r="M266" s="273"/>
      <c r="N266" s="274"/>
      <c r="O266" s="274"/>
      <c r="P266" s="275"/>
      <c r="Q266" s="275"/>
      <c r="R266" s="275"/>
      <c r="S266" s="276"/>
      <c r="T266" s="275"/>
      <c r="U266" s="275"/>
      <c r="V266" s="272"/>
      <c r="W266" s="272"/>
      <c r="X266" s="275"/>
      <c r="Y266" s="345"/>
      <c r="Z266" s="345"/>
      <c r="AA266" s="345"/>
      <c r="AB266" s="345"/>
      <c r="AC266" s="345"/>
      <c r="AD266" s="345"/>
      <c r="AE266" s="345"/>
      <c r="AF266" s="345"/>
      <c r="AG266" s="346"/>
      <c r="AH266" s="265"/>
      <c r="AI266" s="338"/>
      <c r="AJ266" s="339"/>
      <c r="AK266" s="265"/>
      <c r="AL266" s="265"/>
      <c r="AM266" s="265"/>
      <c r="AN266" s="265"/>
      <c r="AO266" s="265"/>
      <c r="AP266" s="265"/>
      <c r="AQ266" s="265"/>
      <c r="AR266" s="265"/>
      <c r="AS266" s="265"/>
      <c r="AT266" s="265"/>
      <c r="AU266" s="265"/>
      <c r="AV266" s="265"/>
      <c r="AW266" s="265"/>
      <c r="AX266" s="265"/>
      <c r="AY266" s="265"/>
      <c r="AZ266" s="265"/>
      <c r="BA266" s="265"/>
      <c r="BB266" s="265"/>
      <c r="BC266" s="265"/>
      <c r="BD266" s="265"/>
      <c r="BE266" s="265"/>
      <c r="BF266" s="265"/>
      <c r="BG266" s="265"/>
      <c r="BH266" s="265"/>
      <c r="BI266" s="265"/>
      <c r="BJ266" s="265"/>
      <c r="BK266" s="265"/>
      <c r="BL266" s="265"/>
      <c r="BM266" s="265"/>
      <c r="BN266" s="265"/>
      <c r="BO266" s="265"/>
      <c r="BP266" s="265"/>
      <c r="BQ266" s="265"/>
      <c r="BR266" s="265"/>
      <c r="BS266" s="265"/>
      <c r="BT266" s="265"/>
      <c r="BU266" s="265"/>
      <c r="BV266" s="265"/>
    </row>
    <row r="267">
      <c r="A267" s="252" t="str">
        <f>VLOOKUP($F267,UpdateHashtag!$V$3:$Y$32,COLUMN(B$15),0)</f>
        <v>#N/A</v>
      </c>
      <c r="B267" s="252" t="str">
        <f>VLOOKUP($F267,UpdateHashtag!$V$3:$Y$32,COLUMN(C$13),0)</f>
        <v>#N/A</v>
      </c>
      <c r="C267" s="252" t="str">
        <f>VLOOKUP($F267,UpdateHashtag!$V$3:$Y$32,COLUMN(D$13),0)</f>
        <v>#N/A</v>
      </c>
      <c r="D267" s="344" t="str">
        <f t="shared" si="4"/>
        <v>#N/A</v>
      </c>
      <c r="E267" s="19"/>
      <c r="F267" s="30" t="str">
        <f>IF(VLOOKUP(J267,PasteHashtag!$C$2:$P1015,3,)="BRO","BKN",IF(VLOOKUP(J267,PasteHashtag!$C$2:$P1015,3,)="OKL","OKC",VLOOKUP(J267,PasteHashtag!$C$2:$P1015,3,)))</f>
        <v>#N/A</v>
      </c>
      <c r="G267" s="30">
        <v>247.0</v>
      </c>
      <c r="H267" s="270"/>
      <c r="I267" s="270"/>
      <c r="J267" s="271"/>
      <c r="K267" s="270"/>
      <c r="L267" s="272"/>
      <c r="M267" s="273"/>
      <c r="N267" s="274"/>
      <c r="O267" s="274"/>
      <c r="P267" s="275"/>
      <c r="Q267" s="275"/>
      <c r="R267" s="275"/>
      <c r="S267" s="276"/>
      <c r="T267" s="275"/>
      <c r="U267" s="275"/>
      <c r="V267" s="272"/>
      <c r="W267" s="272"/>
      <c r="X267" s="275"/>
      <c r="Y267" s="345"/>
      <c r="Z267" s="345"/>
      <c r="AA267" s="345"/>
      <c r="AB267" s="345"/>
      <c r="AC267" s="345"/>
      <c r="AD267" s="345"/>
      <c r="AE267" s="345"/>
      <c r="AF267" s="345"/>
      <c r="AG267" s="346"/>
      <c r="AH267" s="265"/>
      <c r="AI267" s="338"/>
      <c r="AJ267" s="339"/>
      <c r="AK267" s="265"/>
      <c r="AL267" s="265"/>
      <c r="AM267" s="265"/>
      <c r="AN267" s="265"/>
      <c r="AO267" s="265"/>
      <c r="AP267" s="265"/>
      <c r="AQ267" s="265"/>
      <c r="AR267" s="265"/>
      <c r="AS267" s="265"/>
      <c r="AT267" s="265"/>
      <c r="AU267" s="265"/>
      <c r="AV267" s="265"/>
      <c r="AW267" s="265"/>
      <c r="AX267" s="265"/>
      <c r="AY267" s="265"/>
      <c r="AZ267" s="265"/>
      <c r="BA267" s="265"/>
      <c r="BB267" s="265"/>
      <c r="BC267" s="265"/>
      <c r="BD267" s="265"/>
      <c r="BE267" s="265"/>
      <c r="BF267" s="265"/>
      <c r="BG267" s="265"/>
      <c r="BH267" s="265"/>
      <c r="BI267" s="265"/>
      <c r="BJ267" s="265"/>
      <c r="BK267" s="265"/>
      <c r="BL267" s="265"/>
      <c r="BM267" s="265"/>
      <c r="BN267" s="265"/>
      <c r="BO267" s="265"/>
      <c r="BP267" s="265"/>
      <c r="BQ267" s="265"/>
      <c r="BR267" s="265"/>
      <c r="BS267" s="265"/>
      <c r="BT267" s="265"/>
      <c r="BU267" s="265"/>
      <c r="BV267" s="265"/>
    </row>
    <row r="268">
      <c r="A268" s="252" t="str">
        <f>VLOOKUP($F268,UpdateHashtag!$V$3:$Y$32,COLUMN(B$15),0)</f>
        <v>#N/A</v>
      </c>
      <c r="B268" s="252" t="str">
        <f>VLOOKUP($F268,UpdateHashtag!$V$3:$Y$32,COLUMN(C$13),0)</f>
        <v>#N/A</v>
      </c>
      <c r="C268" s="252" t="str">
        <f>VLOOKUP($F268,UpdateHashtag!$V$3:$Y$32,COLUMN(D$13),0)</f>
        <v>#N/A</v>
      </c>
      <c r="D268" s="344" t="str">
        <f t="shared" si="4"/>
        <v>#N/A</v>
      </c>
      <c r="E268" s="19"/>
      <c r="F268" s="30" t="str">
        <f>IF(VLOOKUP(J268,PasteHashtag!$C$2:$P1015,3,)="BRO","BKN",IF(VLOOKUP(J268,PasteHashtag!$C$2:$P1015,3,)="OKL","OKC",VLOOKUP(J268,PasteHashtag!$C$2:$P1015,3,)))</f>
        <v>#N/A</v>
      </c>
      <c r="G268" s="30">
        <v>248.0</v>
      </c>
      <c r="H268" s="270"/>
      <c r="I268" s="270"/>
      <c r="J268" s="271"/>
      <c r="K268" s="270"/>
      <c r="L268" s="272"/>
      <c r="M268" s="273"/>
      <c r="N268" s="274"/>
      <c r="O268" s="274"/>
      <c r="P268" s="275"/>
      <c r="Q268" s="275"/>
      <c r="R268" s="275"/>
      <c r="S268" s="276"/>
      <c r="T268" s="275"/>
      <c r="U268" s="275"/>
      <c r="V268" s="272"/>
      <c r="W268" s="272"/>
      <c r="X268" s="275"/>
      <c r="Y268" s="345"/>
      <c r="Z268" s="345"/>
      <c r="AA268" s="345"/>
      <c r="AB268" s="345"/>
      <c r="AC268" s="345"/>
      <c r="AD268" s="345"/>
      <c r="AE268" s="345"/>
      <c r="AF268" s="345"/>
      <c r="AG268" s="346"/>
      <c r="AH268" s="265"/>
      <c r="AI268" s="338"/>
      <c r="AJ268" s="339"/>
      <c r="AK268" s="265"/>
      <c r="AL268" s="265"/>
      <c r="AM268" s="265"/>
      <c r="AN268" s="265"/>
      <c r="AO268" s="265"/>
      <c r="AP268" s="265"/>
      <c r="AQ268" s="265"/>
      <c r="AR268" s="265"/>
      <c r="AS268" s="265"/>
      <c r="AT268" s="265"/>
      <c r="AU268" s="265"/>
      <c r="AV268" s="265"/>
      <c r="AW268" s="265"/>
      <c r="AX268" s="265"/>
      <c r="AY268" s="265"/>
      <c r="AZ268" s="265"/>
      <c r="BA268" s="265"/>
      <c r="BB268" s="265"/>
      <c r="BC268" s="265"/>
      <c r="BD268" s="265"/>
      <c r="BE268" s="265"/>
      <c r="BF268" s="265"/>
      <c r="BG268" s="265"/>
      <c r="BH268" s="265"/>
      <c r="BI268" s="265"/>
      <c r="BJ268" s="265"/>
      <c r="BK268" s="265"/>
      <c r="BL268" s="265"/>
      <c r="BM268" s="265"/>
      <c r="BN268" s="265"/>
      <c r="BO268" s="265"/>
      <c r="BP268" s="265"/>
      <c r="BQ268" s="265"/>
      <c r="BR268" s="265"/>
      <c r="BS268" s="265"/>
      <c r="BT268" s="265"/>
      <c r="BU268" s="265"/>
      <c r="BV268" s="265"/>
    </row>
    <row r="269">
      <c r="A269" s="252" t="str">
        <f>VLOOKUP($F269,UpdateHashtag!$V$3:$Y$32,COLUMN(B$15),0)</f>
        <v>#N/A</v>
      </c>
      <c r="B269" s="252" t="str">
        <f>VLOOKUP($F269,UpdateHashtag!$V$3:$Y$32,COLUMN(C$13),0)</f>
        <v>#N/A</v>
      </c>
      <c r="C269" s="252" t="str">
        <f>VLOOKUP($F269,UpdateHashtag!$V$3:$Y$32,COLUMN(D$13),0)</f>
        <v>#N/A</v>
      </c>
      <c r="D269" s="344" t="str">
        <f t="shared" si="4"/>
        <v>#N/A</v>
      </c>
      <c r="E269" s="19"/>
      <c r="F269" s="30" t="str">
        <f>IF(VLOOKUP(J269,PasteHashtag!$C$2:$P1015,3,)="BRO","BKN",IF(VLOOKUP(J269,PasteHashtag!$C$2:$P1015,3,)="OKL","OKC",VLOOKUP(J269,PasteHashtag!$C$2:$P1015,3,)))</f>
        <v>#N/A</v>
      </c>
      <c r="G269" s="30">
        <v>249.0</v>
      </c>
      <c r="H269" s="270"/>
      <c r="I269" s="270"/>
      <c r="J269" s="271"/>
      <c r="K269" s="270"/>
      <c r="L269" s="272"/>
      <c r="M269" s="273"/>
      <c r="N269" s="274"/>
      <c r="O269" s="274"/>
      <c r="P269" s="275"/>
      <c r="Q269" s="275"/>
      <c r="R269" s="275"/>
      <c r="S269" s="276"/>
      <c r="T269" s="275"/>
      <c r="U269" s="275"/>
      <c r="V269" s="272"/>
      <c r="W269" s="272"/>
      <c r="X269" s="275"/>
      <c r="Y269" s="345"/>
      <c r="Z269" s="345"/>
      <c r="AA269" s="345"/>
      <c r="AB269" s="345"/>
      <c r="AC269" s="345"/>
      <c r="AD269" s="345"/>
      <c r="AE269" s="345"/>
      <c r="AF269" s="345"/>
      <c r="AG269" s="346"/>
      <c r="AH269" s="265"/>
      <c r="AI269" s="338"/>
      <c r="AJ269" s="339"/>
      <c r="AK269" s="265"/>
      <c r="AL269" s="265"/>
      <c r="AM269" s="265"/>
      <c r="AN269" s="265"/>
      <c r="AO269" s="265"/>
      <c r="AP269" s="265"/>
      <c r="AQ269" s="265"/>
      <c r="AR269" s="265"/>
      <c r="AS269" s="265"/>
      <c r="AT269" s="265"/>
      <c r="AU269" s="265"/>
      <c r="AV269" s="265"/>
      <c r="AW269" s="265"/>
      <c r="AX269" s="265"/>
      <c r="AY269" s="265"/>
      <c r="AZ269" s="265"/>
      <c r="BA269" s="265"/>
      <c r="BB269" s="265"/>
      <c r="BC269" s="265"/>
      <c r="BD269" s="265"/>
      <c r="BE269" s="265"/>
      <c r="BF269" s="265"/>
      <c r="BG269" s="265"/>
      <c r="BH269" s="265"/>
      <c r="BI269" s="265"/>
      <c r="BJ269" s="265"/>
      <c r="BK269" s="265"/>
      <c r="BL269" s="265"/>
      <c r="BM269" s="265"/>
      <c r="BN269" s="265"/>
      <c r="BO269" s="265"/>
      <c r="BP269" s="265"/>
      <c r="BQ269" s="265"/>
      <c r="BR269" s="265"/>
      <c r="BS269" s="265"/>
      <c r="BT269" s="265"/>
      <c r="BU269" s="265"/>
      <c r="BV269" s="265"/>
    </row>
    <row r="270">
      <c r="A270" s="252" t="str">
        <f>VLOOKUP($F270,UpdateHashtag!$V$3:$Y$32,COLUMN(B$15),0)</f>
        <v>#N/A</v>
      </c>
      <c r="B270" s="252" t="str">
        <f>VLOOKUP($F270,UpdateHashtag!$V$3:$Y$32,COLUMN(C$13),0)</f>
        <v>#N/A</v>
      </c>
      <c r="C270" s="252" t="str">
        <f>VLOOKUP($F270,UpdateHashtag!$V$3:$Y$32,COLUMN(D$13),0)</f>
        <v>#N/A</v>
      </c>
      <c r="D270" s="344" t="str">
        <f t="shared" si="4"/>
        <v>#N/A</v>
      </c>
      <c r="E270" s="19"/>
      <c r="F270" s="30" t="str">
        <f>IF(VLOOKUP(J270,PasteHashtag!$C$2:$P1015,3,)="BRO","BKN",IF(VLOOKUP(J270,PasteHashtag!$C$2:$P1015,3,)="OKL","OKC",VLOOKUP(J270,PasteHashtag!$C$2:$P1015,3,)))</f>
        <v>#N/A</v>
      </c>
      <c r="G270" s="30">
        <v>250.0</v>
      </c>
      <c r="H270" s="270"/>
      <c r="I270" s="270"/>
      <c r="J270" s="271"/>
      <c r="K270" s="270"/>
      <c r="L270" s="272"/>
      <c r="M270" s="273"/>
      <c r="N270" s="274"/>
      <c r="O270" s="274"/>
      <c r="P270" s="275"/>
      <c r="Q270" s="275"/>
      <c r="R270" s="275"/>
      <c r="S270" s="276"/>
      <c r="T270" s="275"/>
      <c r="U270" s="275"/>
      <c r="V270" s="272"/>
      <c r="W270" s="272"/>
      <c r="X270" s="275"/>
      <c r="Y270" s="345"/>
      <c r="Z270" s="345"/>
      <c r="AA270" s="345"/>
      <c r="AB270" s="345"/>
      <c r="AC270" s="345"/>
      <c r="AD270" s="345"/>
      <c r="AE270" s="345"/>
      <c r="AF270" s="345"/>
      <c r="AG270" s="346"/>
      <c r="AH270" s="265"/>
      <c r="AI270" s="338"/>
      <c r="AJ270" s="339"/>
      <c r="AK270" s="265"/>
      <c r="AL270" s="265"/>
      <c r="AM270" s="265"/>
      <c r="AN270" s="265"/>
      <c r="AO270" s="265"/>
      <c r="AP270" s="265"/>
      <c r="AQ270" s="265"/>
      <c r="AR270" s="265"/>
      <c r="AS270" s="265"/>
      <c r="AT270" s="265"/>
      <c r="AU270" s="265"/>
      <c r="AV270" s="265"/>
      <c r="AW270" s="265"/>
      <c r="AX270" s="265"/>
      <c r="AY270" s="265"/>
      <c r="AZ270" s="265"/>
      <c r="BA270" s="265"/>
      <c r="BB270" s="265"/>
      <c r="BC270" s="265"/>
      <c r="BD270" s="265"/>
      <c r="BE270" s="265"/>
      <c r="BF270" s="265"/>
      <c r="BG270" s="265"/>
      <c r="BH270" s="265"/>
      <c r="BI270" s="265"/>
      <c r="BJ270" s="265"/>
      <c r="BK270" s="265"/>
      <c r="BL270" s="265"/>
      <c r="BM270" s="265"/>
      <c r="BN270" s="265"/>
      <c r="BO270" s="265"/>
      <c r="BP270" s="265"/>
      <c r="BQ270" s="265"/>
      <c r="BR270" s="265"/>
      <c r="BS270" s="265"/>
      <c r="BT270" s="265"/>
      <c r="BU270" s="265"/>
      <c r="BV270" s="265"/>
    </row>
    <row r="271">
      <c r="A271" s="252" t="str">
        <f>VLOOKUP($F271,UpdateHashtag!$V$3:$Y$32,COLUMN(B$15),0)</f>
        <v>#N/A</v>
      </c>
      <c r="B271" s="252" t="str">
        <f>VLOOKUP($F271,UpdateHashtag!$V$3:$Y$32,COLUMN(C$13),0)</f>
        <v>#N/A</v>
      </c>
      <c r="C271" s="252" t="str">
        <f>VLOOKUP($F271,UpdateHashtag!$V$3:$Y$32,COLUMN(D$13),0)</f>
        <v>#N/A</v>
      </c>
      <c r="D271" s="344" t="str">
        <f t="shared" si="4"/>
        <v>#N/A</v>
      </c>
      <c r="E271" s="19"/>
      <c r="F271" s="30" t="str">
        <f>IF(VLOOKUP(J271,PasteHashtag!$C$2:$P1015,3,)="BRO","BKN",IF(VLOOKUP(J271,PasteHashtag!$C$2:$P1015,3,)="OKL","OKC",VLOOKUP(J271,PasteHashtag!$C$2:$P1015,3,)))</f>
        <v>#N/A</v>
      </c>
      <c r="G271" s="30">
        <v>251.0</v>
      </c>
      <c r="H271" s="270"/>
      <c r="I271" s="270"/>
      <c r="J271" s="271"/>
      <c r="K271" s="270"/>
      <c r="L271" s="272"/>
      <c r="M271" s="273"/>
      <c r="N271" s="274"/>
      <c r="O271" s="274"/>
      <c r="P271" s="275"/>
      <c r="Q271" s="275"/>
      <c r="R271" s="275"/>
      <c r="S271" s="276"/>
      <c r="T271" s="275"/>
      <c r="U271" s="275"/>
      <c r="V271" s="272"/>
      <c r="W271" s="272"/>
      <c r="X271" s="275"/>
      <c r="Y271" s="345"/>
      <c r="Z271" s="345"/>
      <c r="AA271" s="345"/>
      <c r="AB271" s="345"/>
      <c r="AC271" s="345"/>
      <c r="AD271" s="345"/>
      <c r="AE271" s="345"/>
      <c r="AF271" s="345"/>
      <c r="AG271" s="346"/>
      <c r="AH271" s="265"/>
      <c r="AI271" s="338"/>
      <c r="AJ271" s="339"/>
      <c r="AK271" s="265"/>
      <c r="AL271" s="265"/>
      <c r="AM271" s="265"/>
      <c r="AN271" s="265"/>
      <c r="AO271" s="265"/>
      <c r="AP271" s="265"/>
      <c r="AQ271" s="265"/>
      <c r="AR271" s="265"/>
      <c r="AS271" s="265"/>
      <c r="AT271" s="265"/>
      <c r="AU271" s="265"/>
      <c r="AV271" s="265"/>
      <c r="AW271" s="265"/>
      <c r="AX271" s="265"/>
      <c r="AY271" s="265"/>
      <c r="AZ271" s="265"/>
      <c r="BA271" s="265"/>
      <c r="BB271" s="265"/>
      <c r="BC271" s="265"/>
      <c r="BD271" s="265"/>
      <c r="BE271" s="265"/>
      <c r="BF271" s="265"/>
      <c r="BG271" s="265"/>
      <c r="BH271" s="265"/>
      <c r="BI271" s="265"/>
      <c r="BJ271" s="265"/>
      <c r="BK271" s="265"/>
      <c r="BL271" s="265"/>
      <c r="BM271" s="265"/>
      <c r="BN271" s="265"/>
      <c r="BO271" s="265"/>
      <c r="BP271" s="265"/>
      <c r="BQ271" s="265"/>
      <c r="BR271" s="265"/>
      <c r="BS271" s="265"/>
      <c r="BT271" s="265"/>
      <c r="BU271" s="265"/>
      <c r="BV271" s="265"/>
    </row>
    <row r="272">
      <c r="A272" s="252" t="str">
        <f>VLOOKUP($F272,UpdateHashtag!$V$3:$Y$32,COLUMN(B$15),0)</f>
        <v>#N/A</v>
      </c>
      <c r="B272" s="252" t="str">
        <f>VLOOKUP($F272,UpdateHashtag!$V$3:$Y$32,COLUMN(C$13),0)</f>
        <v>#N/A</v>
      </c>
      <c r="C272" s="252" t="str">
        <f>VLOOKUP($F272,UpdateHashtag!$V$3:$Y$32,COLUMN(D$13),0)</f>
        <v>#N/A</v>
      </c>
      <c r="D272" s="344" t="str">
        <f t="shared" si="4"/>
        <v>#N/A</v>
      </c>
      <c r="E272" s="19"/>
      <c r="F272" s="30" t="str">
        <f>IF(VLOOKUP(J272,PasteHashtag!$C$2:$P1015,3,)="BRO","BKN",IF(VLOOKUP(J272,PasteHashtag!$C$2:$P1015,3,)="OKL","OKC",VLOOKUP(J272,PasteHashtag!$C$2:$P1015,3,)))</f>
        <v>#N/A</v>
      </c>
      <c r="G272" s="30">
        <v>252.0</v>
      </c>
      <c r="H272" s="270"/>
      <c r="I272" s="270"/>
      <c r="J272" s="271"/>
      <c r="K272" s="270"/>
      <c r="L272" s="272"/>
      <c r="M272" s="273"/>
      <c r="N272" s="274"/>
      <c r="O272" s="274"/>
      <c r="P272" s="275"/>
      <c r="Q272" s="275"/>
      <c r="R272" s="275"/>
      <c r="S272" s="276"/>
      <c r="T272" s="275"/>
      <c r="U272" s="275"/>
      <c r="V272" s="272"/>
      <c r="W272" s="272"/>
      <c r="X272" s="275"/>
      <c r="Y272" s="345"/>
      <c r="Z272" s="345"/>
      <c r="AA272" s="345"/>
      <c r="AB272" s="345"/>
      <c r="AC272" s="345"/>
      <c r="AD272" s="345"/>
      <c r="AE272" s="345"/>
      <c r="AF272" s="345"/>
      <c r="AG272" s="346"/>
      <c r="AH272" s="265"/>
      <c r="AI272" s="338"/>
      <c r="AJ272" s="339"/>
      <c r="AK272" s="265"/>
      <c r="AL272" s="265"/>
      <c r="AM272" s="265"/>
      <c r="AN272" s="265"/>
      <c r="AO272" s="265"/>
      <c r="AP272" s="265"/>
      <c r="AQ272" s="265"/>
      <c r="AR272" s="265"/>
      <c r="AS272" s="265"/>
      <c r="AT272" s="265"/>
      <c r="AU272" s="265"/>
      <c r="AV272" s="265"/>
      <c r="AW272" s="265"/>
      <c r="AX272" s="265"/>
      <c r="AY272" s="265"/>
      <c r="AZ272" s="265"/>
      <c r="BA272" s="265"/>
      <c r="BB272" s="265"/>
      <c r="BC272" s="265"/>
      <c r="BD272" s="265"/>
      <c r="BE272" s="265"/>
      <c r="BF272" s="265"/>
      <c r="BG272" s="265"/>
      <c r="BH272" s="265"/>
      <c r="BI272" s="265"/>
      <c r="BJ272" s="265"/>
      <c r="BK272" s="265"/>
      <c r="BL272" s="265"/>
      <c r="BM272" s="265"/>
      <c r="BN272" s="265"/>
      <c r="BO272" s="265"/>
      <c r="BP272" s="265"/>
      <c r="BQ272" s="265"/>
      <c r="BR272" s="265"/>
      <c r="BS272" s="265"/>
      <c r="BT272" s="265"/>
      <c r="BU272" s="265"/>
      <c r="BV272" s="265"/>
    </row>
    <row r="273">
      <c r="A273" s="252" t="str">
        <f>VLOOKUP($F273,UpdateHashtag!$V$3:$Y$32,COLUMN(B$15),0)</f>
        <v>#N/A</v>
      </c>
      <c r="B273" s="252" t="str">
        <f>VLOOKUP($F273,UpdateHashtag!$V$3:$Y$32,COLUMN(C$13),0)</f>
        <v>#N/A</v>
      </c>
      <c r="C273" s="252" t="str">
        <f>VLOOKUP($F273,UpdateHashtag!$V$3:$Y$32,COLUMN(D$13),0)</f>
        <v>#N/A</v>
      </c>
      <c r="D273" s="344" t="str">
        <f t="shared" si="4"/>
        <v>#N/A</v>
      </c>
      <c r="E273" s="19"/>
      <c r="F273" s="30" t="str">
        <f>IF(VLOOKUP(J273,PasteHashtag!$C$2:$P1015,3,)="BRO","BKN",IF(VLOOKUP(J273,PasteHashtag!$C$2:$P1015,3,)="OKL","OKC",VLOOKUP(J273,PasteHashtag!$C$2:$P1015,3,)))</f>
        <v>#N/A</v>
      </c>
      <c r="G273" s="30">
        <v>253.0</v>
      </c>
      <c r="H273" s="270"/>
      <c r="I273" s="270"/>
      <c r="J273" s="271"/>
      <c r="K273" s="270"/>
      <c r="L273" s="272"/>
      <c r="M273" s="273"/>
      <c r="N273" s="274"/>
      <c r="O273" s="274"/>
      <c r="P273" s="275"/>
      <c r="Q273" s="275"/>
      <c r="R273" s="275"/>
      <c r="S273" s="276"/>
      <c r="T273" s="275"/>
      <c r="U273" s="275"/>
      <c r="V273" s="272"/>
      <c r="W273" s="272"/>
      <c r="X273" s="275"/>
      <c r="Y273" s="345"/>
      <c r="Z273" s="345"/>
      <c r="AA273" s="345"/>
      <c r="AB273" s="345"/>
      <c r="AC273" s="345"/>
      <c r="AD273" s="345"/>
      <c r="AE273" s="345"/>
      <c r="AF273" s="345"/>
      <c r="AG273" s="346"/>
      <c r="AH273" s="265"/>
      <c r="AI273" s="338"/>
      <c r="AJ273" s="339"/>
      <c r="AK273" s="265"/>
      <c r="AL273" s="265"/>
      <c r="AM273" s="265"/>
      <c r="AN273" s="265"/>
      <c r="AO273" s="265"/>
      <c r="AP273" s="265"/>
      <c r="AQ273" s="265"/>
      <c r="AR273" s="265"/>
      <c r="AS273" s="265"/>
      <c r="AT273" s="265"/>
      <c r="AU273" s="265"/>
      <c r="AV273" s="265"/>
      <c r="AW273" s="265"/>
      <c r="AX273" s="265"/>
      <c r="AY273" s="265"/>
      <c r="AZ273" s="265"/>
      <c r="BA273" s="265"/>
      <c r="BB273" s="265"/>
      <c r="BC273" s="265"/>
      <c r="BD273" s="265"/>
      <c r="BE273" s="265"/>
      <c r="BF273" s="265"/>
      <c r="BG273" s="265"/>
      <c r="BH273" s="265"/>
      <c r="BI273" s="265"/>
      <c r="BJ273" s="265"/>
      <c r="BK273" s="265"/>
      <c r="BL273" s="265"/>
      <c r="BM273" s="265"/>
      <c r="BN273" s="265"/>
      <c r="BO273" s="265"/>
      <c r="BP273" s="265"/>
      <c r="BQ273" s="265"/>
      <c r="BR273" s="265"/>
      <c r="BS273" s="265"/>
      <c r="BT273" s="265"/>
      <c r="BU273" s="265"/>
      <c r="BV273" s="265"/>
    </row>
    <row r="274">
      <c r="A274" s="252" t="str">
        <f>VLOOKUP($F274,UpdateHashtag!$V$3:$Y$32,COLUMN(B$15),0)</f>
        <v>#N/A</v>
      </c>
      <c r="B274" s="252" t="str">
        <f>VLOOKUP($F274,UpdateHashtag!$V$3:$Y$32,COLUMN(C$13),0)</f>
        <v>#N/A</v>
      </c>
      <c r="C274" s="252" t="str">
        <f>VLOOKUP($F274,UpdateHashtag!$V$3:$Y$32,COLUMN(D$13),0)</f>
        <v>#N/A</v>
      </c>
      <c r="D274" s="344" t="str">
        <f t="shared" si="4"/>
        <v>#N/A</v>
      </c>
      <c r="E274" s="19"/>
      <c r="F274" s="30" t="str">
        <f>IF(VLOOKUP(J274,PasteHashtag!$C$2:$P1015,3,)="BRO","BKN",IF(VLOOKUP(J274,PasteHashtag!$C$2:$P1015,3,)="OKL","OKC",VLOOKUP(J274,PasteHashtag!$C$2:$P1015,3,)))</f>
        <v>#N/A</v>
      </c>
      <c r="G274" s="30">
        <v>254.0</v>
      </c>
      <c r="H274" s="270"/>
      <c r="I274" s="270"/>
      <c r="J274" s="271"/>
      <c r="K274" s="270"/>
      <c r="L274" s="272"/>
      <c r="M274" s="273"/>
      <c r="N274" s="274"/>
      <c r="O274" s="274"/>
      <c r="P274" s="275"/>
      <c r="Q274" s="275"/>
      <c r="R274" s="275"/>
      <c r="S274" s="276"/>
      <c r="T274" s="275"/>
      <c r="U274" s="275"/>
      <c r="V274" s="272"/>
      <c r="W274" s="272"/>
      <c r="X274" s="275"/>
      <c r="Y274" s="345"/>
      <c r="Z274" s="345"/>
      <c r="AA274" s="345"/>
      <c r="AB274" s="345"/>
      <c r="AC274" s="345"/>
      <c r="AD274" s="345"/>
      <c r="AE274" s="345"/>
      <c r="AF274" s="345"/>
      <c r="AG274" s="346"/>
      <c r="AH274" s="265"/>
      <c r="AI274" s="338"/>
      <c r="AJ274" s="339"/>
      <c r="AK274" s="265"/>
      <c r="AL274" s="265"/>
      <c r="AM274" s="265"/>
      <c r="AN274" s="265"/>
      <c r="AO274" s="265"/>
      <c r="AP274" s="265"/>
      <c r="AQ274" s="265"/>
      <c r="AR274" s="265"/>
      <c r="AS274" s="265"/>
      <c r="AT274" s="265"/>
      <c r="AU274" s="265"/>
      <c r="AV274" s="265"/>
      <c r="AW274" s="265"/>
      <c r="AX274" s="265"/>
      <c r="AY274" s="265"/>
      <c r="AZ274" s="265"/>
      <c r="BA274" s="265"/>
      <c r="BB274" s="265"/>
      <c r="BC274" s="265"/>
      <c r="BD274" s="265"/>
      <c r="BE274" s="265"/>
      <c r="BF274" s="265"/>
      <c r="BG274" s="265"/>
      <c r="BH274" s="265"/>
      <c r="BI274" s="265"/>
      <c r="BJ274" s="265"/>
      <c r="BK274" s="265"/>
      <c r="BL274" s="265"/>
      <c r="BM274" s="265"/>
      <c r="BN274" s="265"/>
      <c r="BO274" s="265"/>
      <c r="BP274" s="265"/>
      <c r="BQ274" s="265"/>
      <c r="BR274" s="265"/>
      <c r="BS274" s="265"/>
      <c r="BT274" s="265"/>
      <c r="BU274" s="265"/>
      <c r="BV274" s="265"/>
    </row>
    <row r="275">
      <c r="A275" s="252" t="str">
        <f>VLOOKUP($F275,UpdateHashtag!$V$3:$Y$32,COLUMN(B$15),0)</f>
        <v>#N/A</v>
      </c>
      <c r="B275" s="252" t="str">
        <f>VLOOKUP($F275,UpdateHashtag!$V$3:$Y$32,COLUMN(C$13),0)</f>
        <v>#N/A</v>
      </c>
      <c r="C275" s="252" t="str">
        <f>VLOOKUP($F275,UpdateHashtag!$V$3:$Y$32,COLUMN(D$13),0)</f>
        <v>#N/A</v>
      </c>
      <c r="D275" s="344" t="str">
        <f t="shared" si="4"/>
        <v>#N/A</v>
      </c>
      <c r="E275" s="19"/>
      <c r="F275" s="30" t="str">
        <f>IF(VLOOKUP(J275,PasteHashtag!$C$2:$P1015,3,)="BRO","BKN",IF(VLOOKUP(J275,PasteHashtag!$C$2:$P1015,3,)="OKL","OKC",VLOOKUP(J275,PasteHashtag!$C$2:$P1015,3,)))</f>
        <v>#N/A</v>
      </c>
      <c r="G275" s="30">
        <v>255.0</v>
      </c>
      <c r="H275" s="270"/>
      <c r="I275" s="270"/>
      <c r="J275" s="271"/>
      <c r="K275" s="270"/>
      <c r="L275" s="272"/>
      <c r="M275" s="273"/>
      <c r="N275" s="274"/>
      <c r="O275" s="274"/>
      <c r="P275" s="275"/>
      <c r="Q275" s="275"/>
      <c r="R275" s="275"/>
      <c r="S275" s="276"/>
      <c r="T275" s="275"/>
      <c r="U275" s="275"/>
      <c r="V275" s="272"/>
      <c r="W275" s="272"/>
      <c r="X275" s="275"/>
      <c r="Y275" s="345"/>
      <c r="Z275" s="345"/>
      <c r="AA275" s="345"/>
      <c r="AB275" s="345"/>
      <c r="AC275" s="345"/>
      <c r="AD275" s="345"/>
      <c r="AE275" s="345"/>
      <c r="AF275" s="345"/>
      <c r="AG275" s="346"/>
      <c r="AH275" s="265"/>
      <c r="AI275" s="338"/>
      <c r="AJ275" s="339"/>
      <c r="AK275" s="265"/>
      <c r="AL275" s="265"/>
      <c r="AM275" s="265"/>
      <c r="AN275" s="265"/>
      <c r="AO275" s="265"/>
      <c r="AP275" s="265"/>
      <c r="AQ275" s="265"/>
      <c r="AR275" s="265"/>
      <c r="AS275" s="265"/>
      <c r="AT275" s="265"/>
      <c r="AU275" s="265"/>
      <c r="AV275" s="265"/>
      <c r="AW275" s="265"/>
      <c r="AX275" s="265"/>
      <c r="AY275" s="265"/>
      <c r="AZ275" s="265"/>
      <c r="BA275" s="265"/>
      <c r="BB275" s="265"/>
      <c r="BC275" s="265"/>
      <c r="BD275" s="265"/>
      <c r="BE275" s="265"/>
      <c r="BF275" s="265"/>
      <c r="BG275" s="265"/>
      <c r="BH275" s="265"/>
      <c r="BI275" s="265"/>
      <c r="BJ275" s="265"/>
      <c r="BK275" s="265"/>
      <c r="BL275" s="265"/>
      <c r="BM275" s="265"/>
      <c r="BN275" s="265"/>
      <c r="BO275" s="265"/>
      <c r="BP275" s="265"/>
      <c r="BQ275" s="265"/>
      <c r="BR275" s="265"/>
      <c r="BS275" s="265"/>
      <c r="BT275" s="265"/>
      <c r="BU275" s="265"/>
      <c r="BV275" s="265"/>
    </row>
    <row r="276">
      <c r="A276" s="252" t="str">
        <f>VLOOKUP($F276,UpdateHashtag!$V$3:$Y$32,COLUMN(B$15),0)</f>
        <v>#N/A</v>
      </c>
      <c r="B276" s="252" t="str">
        <f>VLOOKUP($F276,UpdateHashtag!$V$3:$Y$32,COLUMN(C$13),0)</f>
        <v>#N/A</v>
      </c>
      <c r="C276" s="252" t="str">
        <f>VLOOKUP($F276,UpdateHashtag!$V$3:$Y$32,COLUMN(D$13),0)</f>
        <v>#N/A</v>
      </c>
      <c r="D276" s="344" t="str">
        <f t="shared" si="4"/>
        <v>#N/A</v>
      </c>
      <c r="E276" s="19"/>
      <c r="F276" s="30" t="str">
        <f>IF(VLOOKUP(J276,PasteHashtag!$C$2:$P1015,3,)="BRO","BKN",IF(VLOOKUP(J276,PasteHashtag!$C$2:$P1015,3,)="OKL","OKC",VLOOKUP(J276,PasteHashtag!$C$2:$P1015,3,)))</f>
        <v>#N/A</v>
      </c>
      <c r="G276" s="30">
        <v>256.0</v>
      </c>
      <c r="H276" s="270"/>
      <c r="I276" s="270"/>
      <c r="J276" s="271"/>
      <c r="K276" s="270"/>
      <c r="L276" s="272"/>
      <c r="M276" s="273"/>
      <c r="N276" s="274"/>
      <c r="O276" s="274"/>
      <c r="P276" s="275"/>
      <c r="Q276" s="275"/>
      <c r="R276" s="275"/>
      <c r="S276" s="276"/>
      <c r="T276" s="275"/>
      <c r="U276" s="275"/>
      <c r="V276" s="272"/>
      <c r="W276" s="272"/>
      <c r="X276" s="275"/>
      <c r="Y276" s="345"/>
      <c r="Z276" s="345"/>
      <c r="AA276" s="345"/>
      <c r="AB276" s="345"/>
      <c r="AC276" s="345"/>
      <c r="AD276" s="345"/>
      <c r="AE276" s="345"/>
      <c r="AF276" s="345"/>
      <c r="AG276" s="346"/>
      <c r="AH276" s="265"/>
      <c r="AI276" s="338"/>
      <c r="AJ276" s="339"/>
      <c r="AK276" s="265"/>
      <c r="AL276" s="265"/>
      <c r="AM276" s="265"/>
      <c r="AN276" s="265"/>
      <c r="AO276" s="265"/>
      <c r="AP276" s="265"/>
      <c r="AQ276" s="265"/>
      <c r="AR276" s="265"/>
      <c r="AS276" s="265"/>
      <c r="AT276" s="265"/>
      <c r="AU276" s="265"/>
      <c r="AV276" s="265"/>
      <c r="AW276" s="265"/>
      <c r="AX276" s="265"/>
      <c r="AY276" s="265"/>
      <c r="AZ276" s="265"/>
      <c r="BA276" s="265"/>
      <c r="BB276" s="265"/>
      <c r="BC276" s="265"/>
      <c r="BD276" s="265"/>
      <c r="BE276" s="265"/>
      <c r="BF276" s="265"/>
      <c r="BG276" s="265"/>
      <c r="BH276" s="265"/>
      <c r="BI276" s="265"/>
      <c r="BJ276" s="265"/>
      <c r="BK276" s="265"/>
      <c r="BL276" s="265"/>
      <c r="BM276" s="265"/>
      <c r="BN276" s="265"/>
      <c r="BO276" s="265"/>
      <c r="BP276" s="265"/>
      <c r="BQ276" s="265"/>
      <c r="BR276" s="265"/>
      <c r="BS276" s="265"/>
      <c r="BT276" s="265"/>
      <c r="BU276" s="265"/>
      <c r="BV276" s="265"/>
    </row>
    <row r="277">
      <c r="A277" s="252" t="str">
        <f>VLOOKUP($F277,UpdateHashtag!$V$3:$Y$32,COLUMN(B$15),0)</f>
        <v>#N/A</v>
      </c>
      <c r="B277" s="252" t="str">
        <f>VLOOKUP($F277,UpdateHashtag!$V$3:$Y$32,COLUMN(C$13),0)</f>
        <v>#N/A</v>
      </c>
      <c r="C277" s="252" t="str">
        <f>VLOOKUP($F277,UpdateHashtag!$V$3:$Y$32,COLUMN(D$13),0)</f>
        <v>#N/A</v>
      </c>
      <c r="D277" s="344" t="str">
        <f t="shared" si="4"/>
        <v>#N/A</v>
      </c>
      <c r="E277" s="19"/>
      <c r="F277" s="30" t="str">
        <f>IF(VLOOKUP(J277,PasteHashtag!$C$2:$P1015,3,)="BRO","BKN",IF(VLOOKUP(J277,PasteHashtag!$C$2:$P1015,3,)="OKL","OKC",VLOOKUP(J277,PasteHashtag!$C$2:$P1015,3,)))</f>
        <v>#N/A</v>
      </c>
      <c r="G277" s="30">
        <v>257.0</v>
      </c>
      <c r="H277" s="270"/>
      <c r="I277" s="270"/>
      <c r="J277" s="271"/>
      <c r="K277" s="270"/>
      <c r="L277" s="272"/>
      <c r="M277" s="273"/>
      <c r="N277" s="274"/>
      <c r="O277" s="274"/>
      <c r="P277" s="275"/>
      <c r="Q277" s="275"/>
      <c r="R277" s="275"/>
      <c r="S277" s="276"/>
      <c r="T277" s="275"/>
      <c r="U277" s="275"/>
      <c r="V277" s="272"/>
      <c r="W277" s="272"/>
      <c r="X277" s="275"/>
      <c r="Y277" s="345"/>
      <c r="Z277" s="345"/>
      <c r="AA277" s="345"/>
      <c r="AB277" s="345"/>
      <c r="AC277" s="345"/>
      <c r="AD277" s="345"/>
      <c r="AE277" s="345"/>
      <c r="AF277" s="345"/>
      <c r="AG277" s="346"/>
      <c r="AH277" s="265"/>
      <c r="AI277" s="338"/>
      <c r="AJ277" s="339"/>
      <c r="AK277" s="265"/>
      <c r="AL277" s="265"/>
      <c r="AM277" s="265"/>
      <c r="AN277" s="265"/>
      <c r="AO277" s="265"/>
      <c r="AP277" s="265"/>
      <c r="AQ277" s="265"/>
      <c r="AR277" s="265"/>
      <c r="AS277" s="265"/>
      <c r="AT277" s="265"/>
      <c r="AU277" s="265"/>
      <c r="AV277" s="265"/>
      <c r="AW277" s="265"/>
      <c r="AX277" s="265"/>
      <c r="AY277" s="265"/>
      <c r="AZ277" s="265"/>
      <c r="BA277" s="265"/>
      <c r="BB277" s="265"/>
      <c r="BC277" s="265"/>
      <c r="BD277" s="265"/>
      <c r="BE277" s="265"/>
      <c r="BF277" s="265"/>
      <c r="BG277" s="265"/>
      <c r="BH277" s="265"/>
      <c r="BI277" s="265"/>
      <c r="BJ277" s="265"/>
      <c r="BK277" s="265"/>
      <c r="BL277" s="265"/>
      <c r="BM277" s="265"/>
      <c r="BN277" s="265"/>
      <c r="BO277" s="265"/>
      <c r="BP277" s="265"/>
      <c r="BQ277" s="265"/>
      <c r="BR277" s="265"/>
      <c r="BS277" s="265"/>
      <c r="BT277" s="265"/>
      <c r="BU277" s="265"/>
      <c r="BV277" s="265"/>
    </row>
    <row r="278">
      <c r="A278" s="252" t="str">
        <f>VLOOKUP($F278,UpdateHashtag!$V$3:$Y$32,COLUMN(B$15),0)</f>
        <v>#N/A</v>
      </c>
      <c r="B278" s="252" t="str">
        <f>VLOOKUP($F278,UpdateHashtag!$V$3:$Y$32,COLUMN(C$13),0)</f>
        <v>#N/A</v>
      </c>
      <c r="C278" s="252" t="str">
        <f>VLOOKUP($F278,UpdateHashtag!$V$3:$Y$32,COLUMN(D$13),0)</f>
        <v>#N/A</v>
      </c>
      <c r="D278" s="344" t="str">
        <f t="shared" si="4"/>
        <v>#N/A</v>
      </c>
      <c r="E278" s="19"/>
      <c r="F278" s="30" t="str">
        <f>IF(VLOOKUP(J278,PasteHashtag!$C$2:$P1015,3,)="BRO","BKN",IF(VLOOKUP(J278,PasteHashtag!$C$2:$P1015,3,)="OKL","OKC",VLOOKUP(J278,PasteHashtag!$C$2:$P1015,3,)))</f>
        <v>#N/A</v>
      </c>
      <c r="G278" s="30">
        <v>258.0</v>
      </c>
      <c r="H278" s="270"/>
      <c r="I278" s="270"/>
      <c r="J278" s="271"/>
      <c r="K278" s="270"/>
      <c r="L278" s="272"/>
      <c r="M278" s="273"/>
      <c r="N278" s="274"/>
      <c r="O278" s="274"/>
      <c r="P278" s="275"/>
      <c r="Q278" s="275"/>
      <c r="R278" s="275"/>
      <c r="S278" s="276"/>
      <c r="T278" s="275"/>
      <c r="U278" s="275"/>
      <c r="V278" s="272"/>
      <c r="W278" s="272"/>
      <c r="X278" s="275"/>
      <c r="Y278" s="345"/>
      <c r="Z278" s="345"/>
      <c r="AA278" s="345"/>
      <c r="AB278" s="345"/>
      <c r="AC278" s="345"/>
      <c r="AD278" s="345"/>
      <c r="AE278" s="345"/>
      <c r="AF278" s="345"/>
      <c r="AG278" s="346"/>
      <c r="AH278" s="265"/>
      <c r="AI278" s="338"/>
      <c r="AJ278" s="339"/>
      <c r="AK278" s="265"/>
      <c r="AL278" s="265"/>
      <c r="AM278" s="265"/>
      <c r="AN278" s="265"/>
      <c r="AO278" s="265"/>
      <c r="AP278" s="265"/>
      <c r="AQ278" s="265"/>
      <c r="AR278" s="265"/>
      <c r="AS278" s="265"/>
      <c r="AT278" s="265"/>
      <c r="AU278" s="265"/>
      <c r="AV278" s="265"/>
      <c r="AW278" s="265"/>
      <c r="AX278" s="265"/>
      <c r="AY278" s="265"/>
      <c r="AZ278" s="265"/>
      <c r="BA278" s="265"/>
      <c r="BB278" s="265"/>
      <c r="BC278" s="265"/>
      <c r="BD278" s="265"/>
      <c r="BE278" s="265"/>
      <c r="BF278" s="265"/>
      <c r="BG278" s="265"/>
      <c r="BH278" s="265"/>
      <c r="BI278" s="265"/>
      <c r="BJ278" s="265"/>
      <c r="BK278" s="265"/>
      <c r="BL278" s="265"/>
      <c r="BM278" s="265"/>
      <c r="BN278" s="265"/>
      <c r="BO278" s="265"/>
      <c r="BP278" s="265"/>
      <c r="BQ278" s="265"/>
      <c r="BR278" s="265"/>
      <c r="BS278" s="265"/>
      <c r="BT278" s="265"/>
      <c r="BU278" s="265"/>
      <c r="BV278" s="265"/>
    </row>
    <row r="279">
      <c r="A279" s="252" t="str">
        <f>VLOOKUP($F279,UpdateHashtag!$V$3:$Y$32,COLUMN(B$15),0)</f>
        <v>#N/A</v>
      </c>
      <c r="B279" s="252" t="str">
        <f>VLOOKUP($F279,UpdateHashtag!$V$3:$Y$32,COLUMN(C$13),0)</f>
        <v>#N/A</v>
      </c>
      <c r="C279" s="252" t="str">
        <f>VLOOKUP($F279,UpdateHashtag!$V$3:$Y$32,COLUMN(D$13),0)</f>
        <v>#N/A</v>
      </c>
      <c r="D279" s="344" t="str">
        <f t="shared" si="4"/>
        <v>#N/A</v>
      </c>
      <c r="E279" s="19"/>
      <c r="F279" s="30" t="str">
        <f>IF(VLOOKUP(J279,PasteHashtag!$C$2:$P1015,3,)="BRO","BKN",IF(VLOOKUP(J279,PasteHashtag!$C$2:$P1015,3,)="OKL","OKC",VLOOKUP(J279,PasteHashtag!$C$2:$P1015,3,)))</f>
        <v>#N/A</v>
      </c>
      <c r="G279" s="30">
        <v>259.0</v>
      </c>
      <c r="H279" s="270"/>
      <c r="I279" s="270"/>
      <c r="J279" s="271"/>
      <c r="K279" s="270"/>
      <c r="L279" s="272"/>
      <c r="M279" s="273"/>
      <c r="N279" s="274"/>
      <c r="O279" s="274"/>
      <c r="P279" s="275"/>
      <c r="Q279" s="275"/>
      <c r="R279" s="275"/>
      <c r="S279" s="276"/>
      <c r="T279" s="275"/>
      <c r="U279" s="275"/>
      <c r="V279" s="272"/>
      <c r="W279" s="272"/>
      <c r="X279" s="275"/>
      <c r="Y279" s="345"/>
      <c r="Z279" s="345"/>
      <c r="AA279" s="345"/>
      <c r="AB279" s="345"/>
      <c r="AC279" s="345"/>
      <c r="AD279" s="345"/>
      <c r="AE279" s="345"/>
      <c r="AF279" s="345"/>
      <c r="AG279" s="346"/>
      <c r="AH279" s="265"/>
      <c r="AI279" s="338"/>
      <c r="AJ279" s="339"/>
      <c r="AK279" s="265"/>
      <c r="AL279" s="265"/>
      <c r="AM279" s="265"/>
      <c r="AN279" s="265"/>
      <c r="AO279" s="265"/>
      <c r="AP279" s="265"/>
      <c r="AQ279" s="265"/>
      <c r="AR279" s="265"/>
      <c r="AS279" s="265"/>
      <c r="AT279" s="265"/>
      <c r="AU279" s="265"/>
      <c r="AV279" s="265"/>
      <c r="AW279" s="265"/>
      <c r="AX279" s="265"/>
      <c r="AY279" s="265"/>
      <c r="AZ279" s="265"/>
      <c r="BA279" s="265"/>
      <c r="BB279" s="265"/>
      <c r="BC279" s="265"/>
      <c r="BD279" s="265"/>
      <c r="BE279" s="265"/>
      <c r="BF279" s="265"/>
      <c r="BG279" s="265"/>
      <c r="BH279" s="265"/>
      <c r="BI279" s="265"/>
      <c r="BJ279" s="265"/>
      <c r="BK279" s="265"/>
      <c r="BL279" s="265"/>
      <c r="BM279" s="265"/>
      <c r="BN279" s="265"/>
      <c r="BO279" s="265"/>
      <c r="BP279" s="265"/>
      <c r="BQ279" s="265"/>
      <c r="BR279" s="265"/>
      <c r="BS279" s="265"/>
      <c r="BT279" s="265"/>
      <c r="BU279" s="265"/>
      <c r="BV279" s="265"/>
    </row>
    <row r="280">
      <c r="A280" s="252" t="str">
        <f>VLOOKUP($F280,UpdateHashtag!$V$3:$Y$32,COLUMN(B$15),0)</f>
        <v>#N/A</v>
      </c>
      <c r="B280" s="252" t="str">
        <f>VLOOKUP($F280,UpdateHashtag!$V$3:$Y$32,COLUMN(C$13),0)</f>
        <v>#N/A</v>
      </c>
      <c r="C280" s="252" t="str">
        <f>VLOOKUP($F280,UpdateHashtag!$V$3:$Y$32,COLUMN(D$13),0)</f>
        <v>#N/A</v>
      </c>
      <c r="D280" s="344" t="str">
        <f t="shared" si="4"/>
        <v>#N/A</v>
      </c>
      <c r="E280" s="19"/>
      <c r="F280" s="30" t="str">
        <f>IF(VLOOKUP(J280,PasteHashtag!$C$2:$P1015,3,)="BRO","BKN",IF(VLOOKUP(J280,PasteHashtag!$C$2:$P1015,3,)="OKL","OKC",VLOOKUP(J280,PasteHashtag!$C$2:$P1015,3,)))</f>
        <v>#N/A</v>
      </c>
      <c r="G280" s="30">
        <v>260.0</v>
      </c>
      <c r="H280" s="270"/>
      <c r="I280" s="270"/>
      <c r="J280" s="271"/>
      <c r="K280" s="270"/>
      <c r="L280" s="272"/>
      <c r="M280" s="273"/>
      <c r="N280" s="274"/>
      <c r="O280" s="274"/>
      <c r="P280" s="275"/>
      <c r="Q280" s="275"/>
      <c r="R280" s="275"/>
      <c r="S280" s="276"/>
      <c r="T280" s="275"/>
      <c r="U280" s="275"/>
      <c r="V280" s="272"/>
      <c r="W280" s="272"/>
      <c r="X280" s="275"/>
      <c r="Y280" s="345"/>
      <c r="Z280" s="345"/>
      <c r="AA280" s="345"/>
      <c r="AB280" s="345"/>
      <c r="AC280" s="345"/>
      <c r="AD280" s="345"/>
      <c r="AE280" s="345"/>
      <c r="AF280" s="345"/>
      <c r="AG280" s="346"/>
      <c r="AH280" s="265"/>
      <c r="AI280" s="338"/>
      <c r="AJ280" s="339"/>
      <c r="AK280" s="265"/>
      <c r="AL280" s="265"/>
      <c r="AM280" s="265"/>
      <c r="AN280" s="265"/>
      <c r="AO280" s="265"/>
      <c r="AP280" s="265"/>
      <c r="AQ280" s="265"/>
      <c r="AR280" s="265"/>
      <c r="AS280" s="265"/>
      <c r="AT280" s="265"/>
      <c r="AU280" s="265"/>
      <c r="AV280" s="265"/>
      <c r="AW280" s="265"/>
      <c r="AX280" s="265"/>
      <c r="AY280" s="265"/>
      <c r="AZ280" s="265"/>
      <c r="BA280" s="265"/>
      <c r="BB280" s="265"/>
      <c r="BC280" s="265"/>
      <c r="BD280" s="265"/>
      <c r="BE280" s="265"/>
      <c r="BF280" s="265"/>
      <c r="BG280" s="265"/>
      <c r="BH280" s="265"/>
      <c r="BI280" s="265"/>
      <c r="BJ280" s="265"/>
      <c r="BK280" s="265"/>
      <c r="BL280" s="265"/>
      <c r="BM280" s="265"/>
      <c r="BN280" s="265"/>
      <c r="BO280" s="265"/>
      <c r="BP280" s="265"/>
      <c r="BQ280" s="265"/>
      <c r="BR280" s="265"/>
      <c r="BS280" s="265"/>
      <c r="BT280" s="265"/>
      <c r="BU280" s="265"/>
      <c r="BV280" s="265"/>
    </row>
    <row r="281">
      <c r="A281" s="252" t="str">
        <f>VLOOKUP($F281,UpdateHashtag!$V$3:$Y$32,COLUMN(B$15),0)</f>
        <v>#N/A</v>
      </c>
      <c r="B281" s="252" t="str">
        <f>VLOOKUP($F281,UpdateHashtag!$V$3:$Y$32,COLUMN(C$13),0)</f>
        <v>#N/A</v>
      </c>
      <c r="C281" s="252" t="str">
        <f>VLOOKUP($F281,UpdateHashtag!$V$3:$Y$32,COLUMN(D$13),0)</f>
        <v>#N/A</v>
      </c>
      <c r="D281" s="344" t="str">
        <f t="shared" si="4"/>
        <v>#N/A</v>
      </c>
      <c r="E281" s="19"/>
      <c r="F281" s="30" t="str">
        <f>IF(VLOOKUP(J281,PasteHashtag!$C$2:$P1015,3,)="BRO","BKN",IF(VLOOKUP(J281,PasteHashtag!$C$2:$P1015,3,)="OKL","OKC",VLOOKUP(J281,PasteHashtag!$C$2:$P1015,3,)))</f>
        <v>#N/A</v>
      </c>
      <c r="G281" s="30">
        <v>261.0</v>
      </c>
      <c r="H281" s="270"/>
      <c r="I281" s="270"/>
      <c r="J281" s="271"/>
      <c r="K281" s="270"/>
      <c r="L281" s="272"/>
      <c r="M281" s="273"/>
      <c r="N281" s="274"/>
      <c r="O281" s="274"/>
      <c r="P281" s="275"/>
      <c r="Q281" s="275"/>
      <c r="R281" s="275"/>
      <c r="S281" s="276"/>
      <c r="T281" s="275"/>
      <c r="U281" s="275"/>
      <c r="V281" s="272"/>
      <c r="W281" s="272"/>
      <c r="X281" s="275"/>
      <c r="Y281" s="345"/>
      <c r="Z281" s="345"/>
      <c r="AA281" s="345"/>
      <c r="AB281" s="345"/>
      <c r="AC281" s="345"/>
      <c r="AD281" s="345"/>
      <c r="AE281" s="345"/>
      <c r="AF281" s="345"/>
      <c r="AG281" s="346"/>
      <c r="AH281" s="265"/>
      <c r="AI281" s="338"/>
      <c r="AJ281" s="339"/>
      <c r="AK281" s="265"/>
      <c r="AL281" s="265"/>
      <c r="AM281" s="265"/>
      <c r="AN281" s="265"/>
      <c r="AO281" s="265"/>
      <c r="AP281" s="265"/>
      <c r="AQ281" s="265"/>
      <c r="AR281" s="265"/>
      <c r="AS281" s="265"/>
      <c r="AT281" s="265"/>
      <c r="AU281" s="265"/>
      <c r="AV281" s="265"/>
      <c r="AW281" s="265"/>
      <c r="AX281" s="265"/>
      <c r="AY281" s="265"/>
      <c r="AZ281" s="265"/>
      <c r="BA281" s="265"/>
      <c r="BB281" s="265"/>
      <c r="BC281" s="265"/>
      <c r="BD281" s="265"/>
      <c r="BE281" s="265"/>
      <c r="BF281" s="265"/>
      <c r="BG281" s="265"/>
      <c r="BH281" s="265"/>
      <c r="BI281" s="265"/>
      <c r="BJ281" s="265"/>
      <c r="BK281" s="265"/>
      <c r="BL281" s="265"/>
      <c r="BM281" s="265"/>
      <c r="BN281" s="265"/>
      <c r="BO281" s="265"/>
      <c r="BP281" s="265"/>
      <c r="BQ281" s="265"/>
      <c r="BR281" s="265"/>
      <c r="BS281" s="265"/>
      <c r="BT281" s="265"/>
      <c r="BU281" s="265"/>
      <c r="BV281" s="265"/>
    </row>
    <row r="282">
      <c r="A282" s="252" t="str">
        <f>VLOOKUP($F282,UpdateHashtag!$V$3:$Y$32,COLUMN(B$15),0)</f>
        <v>#N/A</v>
      </c>
      <c r="B282" s="252" t="str">
        <f>VLOOKUP($F282,UpdateHashtag!$V$3:$Y$32,COLUMN(C$13),0)</f>
        <v>#N/A</v>
      </c>
      <c r="C282" s="252" t="str">
        <f>VLOOKUP($F282,UpdateHashtag!$V$3:$Y$32,COLUMN(D$13),0)</f>
        <v>#N/A</v>
      </c>
      <c r="D282" s="344" t="str">
        <f t="shared" si="4"/>
        <v>#N/A</v>
      </c>
      <c r="E282" s="19"/>
      <c r="F282" s="30" t="str">
        <f>IF(VLOOKUP(J282,PasteHashtag!$C$2:$P1015,3,)="BRO","BKN",IF(VLOOKUP(J282,PasteHashtag!$C$2:$P1015,3,)="OKL","OKC",VLOOKUP(J282,PasteHashtag!$C$2:$P1015,3,)))</f>
        <v>#N/A</v>
      </c>
      <c r="G282" s="30">
        <v>262.0</v>
      </c>
      <c r="H282" s="270"/>
      <c r="I282" s="270"/>
      <c r="J282" s="271"/>
      <c r="K282" s="270"/>
      <c r="L282" s="272"/>
      <c r="M282" s="273"/>
      <c r="N282" s="274"/>
      <c r="O282" s="274"/>
      <c r="P282" s="275"/>
      <c r="Q282" s="275"/>
      <c r="R282" s="275"/>
      <c r="S282" s="276"/>
      <c r="T282" s="275"/>
      <c r="U282" s="275"/>
      <c r="V282" s="272"/>
      <c r="W282" s="272"/>
      <c r="X282" s="275"/>
      <c r="Y282" s="345"/>
      <c r="Z282" s="345"/>
      <c r="AA282" s="345"/>
      <c r="AB282" s="345"/>
      <c r="AC282" s="345"/>
      <c r="AD282" s="345"/>
      <c r="AE282" s="345"/>
      <c r="AF282" s="345"/>
      <c r="AG282" s="346"/>
      <c r="AH282" s="265"/>
      <c r="AI282" s="338"/>
      <c r="AJ282" s="339"/>
      <c r="AK282" s="265"/>
      <c r="AL282" s="265"/>
      <c r="AM282" s="265"/>
      <c r="AN282" s="265"/>
      <c r="AO282" s="265"/>
      <c r="AP282" s="265"/>
      <c r="AQ282" s="265"/>
      <c r="AR282" s="265"/>
      <c r="AS282" s="265"/>
      <c r="AT282" s="265"/>
      <c r="AU282" s="265"/>
      <c r="AV282" s="265"/>
      <c r="AW282" s="265"/>
      <c r="AX282" s="265"/>
      <c r="AY282" s="265"/>
      <c r="AZ282" s="265"/>
      <c r="BA282" s="265"/>
      <c r="BB282" s="265"/>
      <c r="BC282" s="265"/>
      <c r="BD282" s="265"/>
      <c r="BE282" s="265"/>
      <c r="BF282" s="265"/>
      <c r="BG282" s="265"/>
      <c r="BH282" s="265"/>
      <c r="BI282" s="265"/>
      <c r="BJ282" s="265"/>
      <c r="BK282" s="265"/>
      <c r="BL282" s="265"/>
      <c r="BM282" s="265"/>
      <c r="BN282" s="265"/>
      <c r="BO282" s="265"/>
      <c r="BP282" s="265"/>
      <c r="BQ282" s="265"/>
      <c r="BR282" s="265"/>
      <c r="BS282" s="265"/>
      <c r="BT282" s="265"/>
      <c r="BU282" s="265"/>
      <c r="BV282" s="265"/>
    </row>
    <row r="283">
      <c r="A283" s="252" t="str">
        <f>VLOOKUP($F283,UpdateHashtag!$V$3:$Y$32,COLUMN(B$15),0)</f>
        <v>#N/A</v>
      </c>
      <c r="B283" s="252" t="str">
        <f>VLOOKUP($F283,UpdateHashtag!$V$3:$Y$32,COLUMN(C$13),0)</f>
        <v>#N/A</v>
      </c>
      <c r="C283" s="252" t="str">
        <f>VLOOKUP($F283,UpdateHashtag!$V$3:$Y$32,COLUMN(D$13),0)</f>
        <v>#N/A</v>
      </c>
      <c r="D283" s="344" t="str">
        <f t="shared" si="4"/>
        <v>#N/A</v>
      </c>
      <c r="E283" s="19"/>
      <c r="F283" s="30" t="str">
        <f>IF(VLOOKUP(J283,PasteHashtag!$C$2:$P1015,3,)="BRO","BKN",IF(VLOOKUP(J283,PasteHashtag!$C$2:$P1015,3,)="OKL","OKC",VLOOKUP(J283,PasteHashtag!$C$2:$P1015,3,)))</f>
        <v>#N/A</v>
      </c>
      <c r="G283" s="30">
        <v>263.0</v>
      </c>
      <c r="H283" s="270"/>
      <c r="I283" s="270"/>
      <c r="J283" s="271"/>
      <c r="K283" s="270"/>
      <c r="L283" s="272"/>
      <c r="M283" s="273"/>
      <c r="N283" s="274"/>
      <c r="O283" s="274"/>
      <c r="P283" s="275"/>
      <c r="Q283" s="275"/>
      <c r="R283" s="275"/>
      <c r="S283" s="276"/>
      <c r="T283" s="275"/>
      <c r="U283" s="275"/>
      <c r="V283" s="272"/>
      <c r="W283" s="272"/>
      <c r="X283" s="275"/>
      <c r="Y283" s="345"/>
      <c r="Z283" s="345"/>
      <c r="AA283" s="345"/>
      <c r="AB283" s="345"/>
      <c r="AC283" s="345"/>
      <c r="AD283" s="345"/>
      <c r="AE283" s="345"/>
      <c r="AF283" s="345"/>
      <c r="AG283" s="346"/>
      <c r="AH283" s="265"/>
      <c r="AI283" s="338"/>
      <c r="AJ283" s="339"/>
      <c r="AK283" s="265"/>
      <c r="AL283" s="265"/>
      <c r="AM283" s="265"/>
      <c r="AN283" s="265"/>
      <c r="AO283" s="265"/>
      <c r="AP283" s="265"/>
      <c r="AQ283" s="265"/>
      <c r="AR283" s="265"/>
      <c r="AS283" s="265"/>
      <c r="AT283" s="265"/>
      <c r="AU283" s="265"/>
      <c r="AV283" s="265"/>
      <c r="AW283" s="265"/>
      <c r="AX283" s="265"/>
      <c r="AY283" s="265"/>
      <c r="AZ283" s="265"/>
      <c r="BA283" s="265"/>
      <c r="BB283" s="265"/>
      <c r="BC283" s="265"/>
      <c r="BD283" s="265"/>
      <c r="BE283" s="265"/>
      <c r="BF283" s="265"/>
      <c r="BG283" s="265"/>
      <c r="BH283" s="265"/>
      <c r="BI283" s="265"/>
      <c r="BJ283" s="265"/>
      <c r="BK283" s="265"/>
      <c r="BL283" s="265"/>
      <c r="BM283" s="265"/>
      <c r="BN283" s="265"/>
      <c r="BO283" s="265"/>
      <c r="BP283" s="265"/>
      <c r="BQ283" s="265"/>
      <c r="BR283" s="265"/>
      <c r="BS283" s="265"/>
      <c r="BT283" s="265"/>
      <c r="BU283" s="265"/>
      <c r="BV283" s="265"/>
    </row>
    <row r="284">
      <c r="A284" s="252" t="str">
        <f>VLOOKUP($F284,UpdateHashtag!$V$3:$Y$32,COLUMN(B$15),0)</f>
        <v>#N/A</v>
      </c>
      <c r="B284" s="252" t="str">
        <f>VLOOKUP($F284,UpdateHashtag!$V$3:$Y$32,COLUMN(C$13),0)</f>
        <v>#N/A</v>
      </c>
      <c r="C284" s="252" t="str">
        <f>VLOOKUP($F284,UpdateHashtag!$V$3:$Y$32,COLUMN(D$13),0)</f>
        <v>#N/A</v>
      </c>
      <c r="D284" s="344" t="str">
        <f t="shared" si="4"/>
        <v>#N/A</v>
      </c>
      <c r="E284" s="19"/>
      <c r="F284" s="30" t="str">
        <f>IF(VLOOKUP(J284,PasteHashtag!$C$2:$P1015,3,)="BRO","BKN",IF(VLOOKUP(J284,PasteHashtag!$C$2:$P1015,3,)="OKL","OKC",VLOOKUP(J284,PasteHashtag!$C$2:$P1015,3,)))</f>
        <v>#N/A</v>
      </c>
      <c r="G284" s="30">
        <v>264.0</v>
      </c>
      <c r="H284" s="270"/>
      <c r="I284" s="270"/>
      <c r="J284" s="271"/>
      <c r="K284" s="270"/>
      <c r="L284" s="272"/>
      <c r="M284" s="273"/>
      <c r="N284" s="274"/>
      <c r="O284" s="274"/>
      <c r="P284" s="275"/>
      <c r="Q284" s="275"/>
      <c r="R284" s="275"/>
      <c r="S284" s="276"/>
      <c r="T284" s="275"/>
      <c r="U284" s="275"/>
      <c r="V284" s="272"/>
      <c r="W284" s="272"/>
      <c r="X284" s="275"/>
      <c r="Y284" s="345"/>
      <c r="Z284" s="345"/>
      <c r="AA284" s="345"/>
      <c r="AB284" s="345"/>
      <c r="AC284" s="345"/>
      <c r="AD284" s="345"/>
      <c r="AE284" s="345"/>
      <c r="AF284" s="345"/>
      <c r="AG284" s="346"/>
      <c r="AH284" s="265"/>
      <c r="AI284" s="338"/>
      <c r="AJ284" s="339"/>
      <c r="AK284" s="265"/>
      <c r="AL284" s="265"/>
      <c r="AM284" s="265"/>
      <c r="AN284" s="265"/>
      <c r="AO284" s="265"/>
      <c r="AP284" s="265"/>
      <c r="AQ284" s="265"/>
      <c r="AR284" s="265"/>
      <c r="AS284" s="265"/>
      <c r="AT284" s="265"/>
      <c r="AU284" s="265"/>
      <c r="AV284" s="265"/>
      <c r="AW284" s="265"/>
      <c r="AX284" s="265"/>
      <c r="AY284" s="265"/>
      <c r="AZ284" s="265"/>
      <c r="BA284" s="265"/>
      <c r="BB284" s="265"/>
      <c r="BC284" s="265"/>
      <c r="BD284" s="265"/>
      <c r="BE284" s="265"/>
      <c r="BF284" s="265"/>
      <c r="BG284" s="265"/>
      <c r="BH284" s="265"/>
      <c r="BI284" s="265"/>
      <c r="BJ284" s="265"/>
      <c r="BK284" s="265"/>
      <c r="BL284" s="265"/>
      <c r="BM284" s="265"/>
      <c r="BN284" s="265"/>
      <c r="BO284" s="265"/>
      <c r="BP284" s="265"/>
      <c r="BQ284" s="265"/>
      <c r="BR284" s="265"/>
      <c r="BS284" s="265"/>
      <c r="BT284" s="265"/>
      <c r="BU284" s="265"/>
      <c r="BV284" s="265"/>
    </row>
    <row r="285">
      <c r="A285" s="252" t="str">
        <f>VLOOKUP($F285,UpdateHashtag!$V$3:$Y$32,COLUMN(B$15),0)</f>
        <v>#N/A</v>
      </c>
      <c r="B285" s="252" t="str">
        <f>VLOOKUP($F285,UpdateHashtag!$V$3:$Y$32,COLUMN(C$13),0)</f>
        <v>#N/A</v>
      </c>
      <c r="C285" s="252" t="str">
        <f>VLOOKUP($F285,UpdateHashtag!$V$3:$Y$32,COLUMN(D$13),0)</f>
        <v>#N/A</v>
      </c>
      <c r="D285" s="344" t="str">
        <f t="shared" si="4"/>
        <v>#N/A</v>
      </c>
      <c r="E285" s="19"/>
      <c r="F285" s="30" t="str">
        <f>IF(VLOOKUP(J285,PasteHashtag!$C$2:$P1015,3,)="BRO","BKN",IF(VLOOKUP(J285,PasteHashtag!$C$2:$P1015,3,)="OKL","OKC",VLOOKUP(J285,PasteHashtag!$C$2:$P1015,3,)))</f>
        <v>#N/A</v>
      </c>
      <c r="G285" s="30">
        <v>265.0</v>
      </c>
      <c r="H285" s="270"/>
      <c r="I285" s="270"/>
      <c r="J285" s="271"/>
      <c r="K285" s="270"/>
      <c r="L285" s="272"/>
      <c r="M285" s="273"/>
      <c r="N285" s="274"/>
      <c r="O285" s="274"/>
      <c r="P285" s="275"/>
      <c r="Q285" s="275"/>
      <c r="R285" s="275"/>
      <c r="S285" s="276"/>
      <c r="T285" s="275"/>
      <c r="U285" s="275"/>
      <c r="V285" s="272"/>
      <c r="W285" s="272"/>
      <c r="X285" s="275"/>
      <c r="Y285" s="345"/>
      <c r="Z285" s="345"/>
      <c r="AA285" s="345"/>
      <c r="AB285" s="345"/>
      <c r="AC285" s="345"/>
      <c r="AD285" s="345"/>
      <c r="AE285" s="345"/>
      <c r="AF285" s="345"/>
      <c r="AG285" s="346"/>
      <c r="AH285" s="265"/>
      <c r="AI285" s="338"/>
      <c r="AJ285" s="339"/>
      <c r="AK285" s="265"/>
      <c r="AL285" s="265"/>
      <c r="AM285" s="265"/>
      <c r="AN285" s="265"/>
      <c r="AO285" s="265"/>
      <c r="AP285" s="265"/>
      <c r="AQ285" s="265"/>
      <c r="AR285" s="265"/>
      <c r="AS285" s="265"/>
      <c r="AT285" s="265"/>
      <c r="AU285" s="265"/>
      <c r="AV285" s="265"/>
      <c r="AW285" s="265"/>
      <c r="AX285" s="265"/>
      <c r="AY285" s="265"/>
      <c r="AZ285" s="265"/>
      <c r="BA285" s="265"/>
      <c r="BB285" s="265"/>
      <c r="BC285" s="265"/>
      <c r="BD285" s="265"/>
      <c r="BE285" s="265"/>
      <c r="BF285" s="265"/>
      <c r="BG285" s="265"/>
      <c r="BH285" s="265"/>
      <c r="BI285" s="265"/>
      <c r="BJ285" s="265"/>
      <c r="BK285" s="265"/>
      <c r="BL285" s="265"/>
      <c r="BM285" s="265"/>
      <c r="BN285" s="265"/>
      <c r="BO285" s="265"/>
      <c r="BP285" s="265"/>
      <c r="BQ285" s="265"/>
      <c r="BR285" s="265"/>
      <c r="BS285" s="265"/>
      <c r="BT285" s="265"/>
      <c r="BU285" s="265"/>
      <c r="BV285" s="265"/>
    </row>
    <row r="286">
      <c r="A286" s="252" t="str">
        <f>VLOOKUP($F286,UpdateHashtag!$V$3:$Y$32,COLUMN(B$15),0)</f>
        <v>#N/A</v>
      </c>
      <c r="B286" s="252" t="str">
        <f>VLOOKUP($F286,UpdateHashtag!$V$3:$Y$32,COLUMN(C$13),0)</f>
        <v>#N/A</v>
      </c>
      <c r="C286" s="252" t="str">
        <f>VLOOKUP($F286,UpdateHashtag!$V$3:$Y$32,COLUMN(D$13),0)</f>
        <v>#N/A</v>
      </c>
      <c r="D286" s="344" t="str">
        <f t="shared" si="4"/>
        <v>#N/A</v>
      </c>
      <c r="E286" s="19"/>
      <c r="F286" s="30" t="str">
        <f>IF(VLOOKUP(J286,PasteHashtag!$C$2:$P1015,3,)="BRO","BKN",IF(VLOOKUP(J286,PasteHashtag!$C$2:$P1015,3,)="OKL","OKC",VLOOKUP(J286,PasteHashtag!$C$2:$P1015,3,)))</f>
        <v>#N/A</v>
      </c>
      <c r="G286" s="30">
        <v>266.0</v>
      </c>
      <c r="H286" s="270"/>
      <c r="I286" s="270"/>
      <c r="J286" s="271"/>
      <c r="K286" s="270"/>
      <c r="L286" s="272"/>
      <c r="M286" s="273"/>
      <c r="N286" s="274"/>
      <c r="O286" s="274"/>
      <c r="P286" s="275"/>
      <c r="Q286" s="275"/>
      <c r="R286" s="275"/>
      <c r="S286" s="276"/>
      <c r="T286" s="275"/>
      <c r="U286" s="275"/>
      <c r="V286" s="272"/>
      <c r="W286" s="272"/>
      <c r="X286" s="275"/>
      <c r="Y286" s="345"/>
      <c r="Z286" s="345"/>
      <c r="AA286" s="345"/>
      <c r="AB286" s="345"/>
      <c r="AC286" s="345"/>
      <c r="AD286" s="345"/>
      <c r="AE286" s="345"/>
      <c r="AF286" s="345"/>
      <c r="AG286" s="346"/>
      <c r="AH286" s="265"/>
      <c r="AI286" s="338"/>
      <c r="AJ286" s="339"/>
      <c r="AK286" s="265"/>
      <c r="AL286" s="265"/>
      <c r="AM286" s="265"/>
      <c r="AN286" s="265"/>
      <c r="AO286" s="265"/>
      <c r="AP286" s="265"/>
      <c r="AQ286" s="265"/>
      <c r="AR286" s="265"/>
      <c r="AS286" s="265"/>
      <c r="AT286" s="265"/>
      <c r="AU286" s="265"/>
      <c r="AV286" s="265"/>
      <c r="AW286" s="265"/>
      <c r="AX286" s="265"/>
      <c r="AY286" s="265"/>
      <c r="AZ286" s="265"/>
      <c r="BA286" s="265"/>
      <c r="BB286" s="265"/>
      <c r="BC286" s="265"/>
      <c r="BD286" s="265"/>
      <c r="BE286" s="265"/>
      <c r="BF286" s="265"/>
      <c r="BG286" s="265"/>
      <c r="BH286" s="265"/>
      <c r="BI286" s="265"/>
      <c r="BJ286" s="265"/>
      <c r="BK286" s="265"/>
      <c r="BL286" s="265"/>
      <c r="BM286" s="265"/>
      <c r="BN286" s="265"/>
      <c r="BO286" s="265"/>
      <c r="BP286" s="265"/>
      <c r="BQ286" s="265"/>
      <c r="BR286" s="265"/>
      <c r="BS286" s="265"/>
      <c r="BT286" s="265"/>
      <c r="BU286" s="265"/>
      <c r="BV286" s="265"/>
    </row>
    <row r="287">
      <c r="A287" s="252" t="str">
        <f>VLOOKUP($F287,UpdateHashtag!$V$3:$Y$32,COLUMN(B$15),0)</f>
        <v>#N/A</v>
      </c>
      <c r="B287" s="252" t="str">
        <f>VLOOKUP($F287,UpdateHashtag!$V$3:$Y$32,COLUMN(C$13),0)</f>
        <v>#N/A</v>
      </c>
      <c r="C287" s="252" t="str">
        <f>VLOOKUP($F287,UpdateHashtag!$V$3:$Y$32,COLUMN(D$13),0)</f>
        <v>#N/A</v>
      </c>
      <c r="D287" s="344" t="str">
        <f t="shared" si="4"/>
        <v>#N/A</v>
      </c>
      <c r="E287" s="19"/>
      <c r="F287" s="30" t="str">
        <f>IF(VLOOKUP(J287,PasteHashtag!$C$2:$P1015,3,)="BRO","BKN",IF(VLOOKUP(J287,PasteHashtag!$C$2:$P1015,3,)="OKL","OKC",VLOOKUP(J287,PasteHashtag!$C$2:$P1015,3,)))</f>
        <v>#N/A</v>
      </c>
      <c r="G287" s="30">
        <v>267.0</v>
      </c>
      <c r="H287" s="270"/>
      <c r="I287" s="270"/>
      <c r="J287" s="271"/>
      <c r="K287" s="270"/>
      <c r="L287" s="272"/>
      <c r="M287" s="273"/>
      <c r="N287" s="274"/>
      <c r="O287" s="274"/>
      <c r="P287" s="275"/>
      <c r="Q287" s="275"/>
      <c r="R287" s="275"/>
      <c r="S287" s="276"/>
      <c r="T287" s="275"/>
      <c r="U287" s="275"/>
      <c r="V287" s="272"/>
      <c r="W287" s="272"/>
      <c r="X287" s="275"/>
      <c r="Y287" s="345"/>
      <c r="Z287" s="345"/>
      <c r="AA287" s="345"/>
      <c r="AB287" s="345"/>
      <c r="AC287" s="345"/>
      <c r="AD287" s="345"/>
      <c r="AE287" s="345"/>
      <c r="AF287" s="345"/>
      <c r="AG287" s="346"/>
      <c r="AH287" s="265"/>
      <c r="AI287" s="338"/>
      <c r="AJ287" s="339"/>
      <c r="AK287" s="265"/>
      <c r="AL287" s="265"/>
      <c r="AM287" s="265"/>
      <c r="AN287" s="265"/>
      <c r="AO287" s="265"/>
      <c r="AP287" s="265"/>
      <c r="AQ287" s="265"/>
      <c r="AR287" s="265"/>
      <c r="AS287" s="265"/>
      <c r="AT287" s="265"/>
      <c r="AU287" s="265"/>
      <c r="AV287" s="265"/>
      <c r="AW287" s="265"/>
      <c r="AX287" s="265"/>
      <c r="AY287" s="265"/>
      <c r="AZ287" s="265"/>
      <c r="BA287" s="265"/>
      <c r="BB287" s="265"/>
      <c r="BC287" s="265"/>
      <c r="BD287" s="265"/>
      <c r="BE287" s="265"/>
      <c r="BF287" s="265"/>
      <c r="BG287" s="265"/>
      <c r="BH287" s="265"/>
      <c r="BI287" s="265"/>
      <c r="BJ287" s="265"/>
      <c r="BK287" s="265"/>
      <c r="BL287" s="265"/>
      <c r="BM287" s="265"/>
      <c r="BN287" s="265"/>
      <c r="BO287" s="265"/>
      <c r="BP287" s="265"/>
      <c r="BQ287" s="265"/>
      <c r="BR287" s="265"/>
      <c r="BS287" s="265"/>
      <c r="BT287" s="265"/>
      <c r="BU287" s="265"/>
      <c r="BV287" s="265"/>
    </row>
    <row r="288">
      <c r="A288" s="252" t="str">
        <f>VLOOKUP($F288,UpdateHashtag!$V$3:$Y$32,COLUMN(B$15),0)</f>
        <v>#N/A</v>
      </c>
      <c r="B288" s="252" t="str">
        <f>VLOOKUP($F288,UpdateHashtag!$V$3:$Y$32,COLUMN(C$13),0)</f>
        <v>#N/A</v>
      </c>
      <c r="C288" s="252" t="str">
        <f>VLOOKUP($F288,UpdateHashtag!$V$3:$Y$32,COLUMN(D$13),0)</f>
        <v>#N/A</v>
      </c>
      <c r="D288" s="344" t="str">
        <f t="shared" si="4"/>
        <v>#N/A</v>
      </c>
      <c r="E288" s="19"/>
      <c r="F288" s="30" t="str">
        <f>IF(VLOOKUP(J288,PasteHashtag!$C$2:$P1015,3,)="BRO","BKN",IF(VLOOKUP(J288,PasteHashtag!$C$2:$P1015,3,)="OKL","OKC",VLOOKUP(J288,PasteHashtag!$C$2:$P1015,3,)))</f>
        <v>#N/A</v>
      </c>
      <c r="G288" s="30">
        <v>268.0</v>
      </c>
      <c r="H288" s="270"/>
      <c r="I288" s="270"/>
      <c r="J288" s="271"/>
      <c r="K288" s="270"/>
      <c r="L288" s="272"/>
      <c r="M288" s="273"/>
      <c r="N288" s="274"/>
      <c r="O288" s="274"/>
      <c r="P288" s="275"/>
      <c r="Q288" s="275"/>
      <c r="R288" s="275"/>
      <c r="S288" s="276"/>
      <c r="T288" s="275"/>
      <c r="U288" s="275"/>
      <c r="V288" s="272"/>
      <c r="W288" s="272"/>
      <c r="X288" s="275"/>
      <c r="Y288" s="345"/>
      <c r="Z288" s="345"/>
      <c r="AA288" s="345"/>
      <c r="AB288" s="345"/>
      <c r="AC288" s="345"/>
      <c r="AD288" s="345"/>
      <c r="AE288" s="345"/>
      <c r="AF288" s="345"/>
      <c r="AG288" s="346"/>
      <c r="AH288" s="265"/>
      <c r="AI288" s="338"/>
      <c r="AJ288" s="339"/>
      <c r="AK288" s="265"/>
      <c r="AL288" s="265"/>
      <c r="AM288" s="265"/>
      <c r="AN288" s="265"/>
      <c r="AO288" s="265"/>
      <c r="AP288" s="265"/>
      <c r="AQ288" s="265"/>
      <c r="AR288" s="265"/>
      <c r="AS288" s="265"/>
      <c r="AT288" s="265"/>
      <c r="AU288" s="265"/>
      <c r="AV288" s="265"/>
      <c r="AW288" s="265"/>
      <c r="AX288" s="265"/>
      <c r="AY288" s="265"/>
      <c r="AZ288" s="265"/>
      <c r="BA288" s="265"/>
      <c r="BB288" s="265"/>
      <c r="BC288" s="265"/>
      <c r="BD288" s="265"/>
      <c r="BE288" s="265"/>
      <c r="BF288" s="265"/>
      <c r="BG288" s="265"/>
      <c r="BH288" s="265"/>
      <c r="BI288" s="265"/>
      <c r="BJ288" s="265"/>
      <c r="BK288" s="265"/>
      <c r="BL288" s="265"/>
      <c r="BM288" s="265"/>
      <c r="BN288" s="265"/>
      <c r="BO288" s="265"/>
      <c r="BP288" s="265"/>
      <c r="BQ288" s="265"/>
      <c r="BR288" s="265"/>
      <c r="BS288" s="265"/>
      <c r="BT288" s="265"/>
      <c r="BU288" s="265"/>
      <c r="BV288" s="265"/>
    </row>
    <row r="289">
      <c r="A289" s="252" t="str">
        <f>VLOOKUP($F289,UpdateHashtag!$V$3:$Y$32,COLUMN(B$15),0)</f>
        <v>#N/A</v>
      </c>
      <c r="B289" s="252" t="str">
        <f>VLOOKUP($F289,UpdateHashtag!$V$3:$Y$32,COLUMN(C$13),0)</f>
        <v>#N/A</v>
      </c>
      <c r="C289" s="252" t="str">
        <f>VLOOKUP($F289,UpdateHashtag!$V$3:$Y$32,COLUMN(D$13),0)</f>
        <v>#N/A</v>
      </c>
      <c r="D289" s="344" t="str">
        <f t="shared" si="4"/>
        <v>#N/A</v>
      </c>
      <c r="E289" s="19"/>
      <c r="F289" s="30" t="str">
        <f>IF(VLOOKUP(J289,PasteHashtag!$C$2:$P1015,3,)="BRO","BKN",IF(VLOOKUP(J289,PasteHashtag!$C$2:$P1015,3,)="OKL","OKC",VLOOKUP(J289,PasteHashtag!$C$2:$P1015,3,)))</f>
        <v>#N/A</v>
      </c>
      <c r="G289" s="30">
        <v>269.0</v>
      </c>
      <c r="H289" s="270"/>
      <c r="I289" s="270"/>
      <c r="J289" s="271"/>
      <c r="K289" s="270"/>
      <c r="L289" s="272"/>
      <c r="M289" s="273"/>
      <c r="N289" s="274"/>
      <c r="O289" s="274"/>
      <c r="P289" s="275"/>
      <c r="Q289" s="275"/>
      <c r="R289" s="275"/>
      <c r="S289" s="276"/>
      <c r="T289" s="275"/>
      <c r="U289" s="275"/>
      <c r="V289" s="272"/>
      <c r="W289" s="272"/>
      <c r="X289" s="275"/>
      <c r="Y289" s="345"/>
      <c r="Z289" s="345"/>
      <c r="AA289" s="345"/>
      <c r="AB289" s="345"/>
      <c r="AC289" s="345"/>
      <c r="AD289" s="345"/>
      <c r="AE289" s="345"/>
      <c r="AF289" s="345"/>
      <c r="AG289" s="346"/>
      <c r="AH289" s="265"/>
      <c r="AI289" s="338"/>
      <c r="AJ289" s="339"/>
      <c r="AK289" s="265"/>
      <c r="AL289" s="265"/>
      <c r="AM289" s="265"/>
      <c r="AN289" s="265"/>
      <c r="AO289" s="265"/>
      <c r="AP289" s="265"/>
      <c r="AQ289" s="265"/>
      <c r="AR289" s="265"/>
      <c r="AS289" s="265"/>
      <c r="AT289" s="265"/>
      <c r="AU289" s="265"/>
      <c r="AV289" s="265"/>
      <c r="AW289" s="265"/>
      <c r="AX289" s="265"/>
      <c r="AY289" s="265"/>
      <c r="AZ289" s="265"/>
      <c r="BA289" s="265"/>
      <c r="BB289" s="265"/>
      <c r="BC289" s="265"/>
      <c r="BD289" s="265"/>
      <c r="BE289" s="265"/>
      <c r="BF289" s="265"/>
      <c r="BG289" s="265"/>
      <c r="BH289" s="265"/>
      <c r="BI289" s="265"/>
      <c r="BJ289" s="265"/>
      <c r="BK289" s="265"/>
      <c r="BL289" s="265"/>
      <c r="BM289" s="265"/>
      <c r="BN289" s="265"/>
      <c r="BO289" s="265"/>
      <c r="BP289" s="265"/>
      <c r="BQ289" s="265"/>
      <c r="BR289" s="265"/>
      <c r="BS289" s="265"/>
      <c r="BT289" s="265"/>
      <c r="BU289" s="265"/>
      <c r="BV289" s="265"/>
    </row>
    <row r="290">
      <c r="A290" s="252" t="str">
        <f>VLOOKUP($F290,UpdateHashtag!$V$3:$Y$32,COLUMN(B$15),0)</f>
        <v>#N/A</v>
      </c>
      <c r="B290" s="252" t="str">
        <f>VLOOKUP($F290,UpdateHashtag!$V$3:$Y$32,COLUMN(C$13),0)</f>
        <v>#N/A</v>
      </c>
      <c r="C290" s="252" t="str">
        <f>VLOOKUP($F290,UpdateHashtag!$V$3:$Y$32,COLUMN(D$13),0)</f>
        <v>#N/A</v>
      </c>
      <c r="D290" s="344" t="str">
        <f t="shared" si="4"/>
        <v>#N/A</v>
      </c>
      <c r="E290" s="19"/>
      <c r="F290" s="30" t="str">
        <f>IF(VLOOKUP(J290,PasteHashtag!$C$2:$P1015,3,)="BRO","BKN",IF(VLOOKUP(J290,PasteHashtag!$C$2:$P1015,3,)="OKL","OKC",VLOOKUP(J290,PasteHashtag!$C$2:$P1015,3,)))</f>
        <v>#N/A</v>
      </c>
      <c r="G290" s="30">
        <v>270.0</v>
      </c>
      <c r="H290" s="270"/>
      <c r="I290" s="270"/>
      <c r="J290" s="271"/>
      <c r="K290" s="270"/>
      <c r="L290" s="272"/>
      <c r="M290" s="273"/>
      <c r="N290" s="274"/>
      <c r="O290" s="274"/>
      <c r="P290" s="275"/>
      <c r="Q290" s="275"/>
      <c r="R290" s="275"/>
      <c r="S290" s="276"/>
      <c r="T290" s="275"/>
      <c r="U290" s="275"/>
      <c r="V290" s="272"/>
      <c r="W290" s="272"/>
      <c r="X290" s="275"/>
      <c r="Y290" s="345"/>
      <c r="Z290" s="345"/>
      <c r="AA290" s="345"/>
      <c r="AB290" s="345"/>
      <c r="AC290" s="345"/>
      <c r="AD290" s="345"/>
      <c r="AE290" s="345"/>
      <c r="AF290" s="345"/>
      <c r="AG290" s="346"/>
      <c r="AH290" s="265"/>
      <c r="AI290" s="338"/>
      <c r="AJ290" s="339"/>
      <c r="AK290" s="265"/>
      <c r="AL290" s="265"/>
      <c r="AM290" s="265"/>
      <c r="AN290" s="265"/>
      <c r="AO290" s="265"/>
      <c r="AP290" s="265"/>
      <c r="AQ290" s="265"/>
      <c r="AR290" s="265"/>
      <c r="AS290" s="265"/>
      <c r="AT290" s="265"/>
      <c r="AU290" s="265"/>
      <c r="AV290" s="265"/>
      <c r="AW290" s="265"/>
      <c r="AX290" s="265"/>
      <c r="AY290" s="265"/>
      <c r="AZ290" s="265"/>
      <c r="BA290" s="265"/>
      <c r="BB290" s="265"/>
      <c r="BC290" s="265"/>
      <c r="BD290" s="265"/>
      <c r="BE290" s="265"/>
      <c r="BF290" s="265"/>
      <c r="BG290" s="265"/>
      <c r="BH290" s="265"/>
      <c r="BI290" s="265"/>
      <c r="BJ290" s="265"/>
      <c r="BK290" s="265"/>
      <c r="BL290" s="265"/>
      <c r="BM290" s="265"/>
      <c r="BN290" s="265"/>
      <c r="BO290" s="265"/>
      <c r="BP290" s="265"/>
      <c r="BQ290" s="265"/>
      <c r="BR290" s="265"/>
      <c r="BS290" s="265"/>
      <c r="BT290" s="265"/>
      <c r="BU290" s="265"/>
      <c r="BV290" s="265"/>
    </row>
    <row r="291">
      <c r="A291" s="252" t="str">
        <f>VLOOKUP($F291,UpdateHashtag!$V$3:$Y$32,COLUMN(B$15),0)</f>
        <v>#N/A</v>
      </c>
      <c r="B291" s="252" t="str">
        <f>VLOOKUP($F291,UpdateHashtag!$V$3:$Y$32,COLUMN(C$13),0)</f>
        <v>#N/A</v>
      </c>
      <c r="C291" s="252" t="str">
        <f>VLOOKUP($F291,UpdateHashtag!$V$3:$Y$32,COLUMN(D$13),0)</f>
        <v>#N/A</v>
      </c>
      <c r="D291" s="344" t="str">
        <f t="shared" si="4"/>
        <v>#N/A</v>
      </c>
      <c r="E291" s="19"/>
      <c r="F291" s="30" t="str">
        <f>IF(VLOOKUP(J291,PasteHashtag!$C$2:$P1015,3,)="BRO","BKN",IF(VLOOKUP(J291,PasteHashtag!$C$2:$P1015,3,)="OKL","OKC",VLOOKUP(J291,PasteHashtag!$C$2:$P1015,3,)))</f>
        <v>#N/A</v>
      </c>
      <c r="G291" s="30">
        <v>271.0</v>
      </c>
      <c r="H291" s="270"/>
      <c r="I291" s="270"/>
      <c r="J291" s="271"/>
      <c r="K291" s="270"/>
      <c r="L291" s="272"/>
      <c r="M291" s="273"/>
      <c r="N291" s="274"/>
      <c r="O291" s="274"/>
      <c r="P291" s="275"/>
      <c r="Q291" s="275"/>
      <c r="R291" s="275"/>
      <c r="S291" s="276"/>
      <c r="T291" s="275"/>
      <c r="U291" s="275"/>
      <c r="V291" s="272"/>
      <c r="W291" s="272"/>
      <c r="X291" s="275"/>
      <c r="Y291" s="345"/>
      <c r="Z291" s="345"/>
      <c r="AA291" s="345"/>
      <c r="AB291" s="345"/>
      <c r="AC291" s="345"/>
      <c r="AD291" s="345"/>
      <c r="AE291" s="345"/>
      <c r="AF291" s="345"/>
      <c r="AG291" s="346"/>
      <c r="AH291" s="265"/>
      <c r="AI291" s="338"/>
      <c r="AJ291" s="339"/>
      <c r="AK291" s="265"/>
      <c r="AL291" s="265"/>
      <c r="AM291" s="265"/>
      <c r="AN291" s="265"/>
      <c r="AO291" s="265"/>
      <c r="AP291" s="265"/>
      <c r="AQ291" s="265"/>
      <c r="AR291" s="265"/>
      <c r="AS291" s="265"/>
      <c r="AT291" s="265"/>
      <c r="AU291" s="265"/>
      <c r="AV291" s="265"/>
      <c r="AW291" s="265"/>
      <c r="AX291" s="265"/>
      <c r="AY291" s="265"/>
      <c r="AZ291" s="265"/>
      <c r="BA291" s="265"/>
      <c r="BB291" s="265"/>
      <c r="BC291" s="265"/>
      <c r="BD291" s="265"/>
      <c r="BE291" s="265"/>
      <c r="BF291" s="265"/>
      <c r="BG291" s="265"/>
      <c r="BH291" s="265"/>
      <c r="BI291" s="265"/>
      <c r="BJ291" s="265"/>
      <c r="BK291" s="265"/>
      <c r="BL291" s="265"/>
      <c r="BM291" s="265"/>
      <c r="BN291" s="265"/>
      <c r="BO291" s="265"/>
      <c r="BP291" s="265"/>
      <c r="BQ291" s="265"/>
      <c r="BR291" s="265"/>
      <c r="BS291" s="265"/>
      <c r="BT291" s="265"/>
      <c r="BU291" s="265"/>
      <c r="BV291" s="265"/>
    </row>
    <row r="292">
      <c r="A292" s="252" t="str">
        <f>VLOOKUP($F292,UpdateHashtag!$V$3:$Y$32,COLUMN(B$15),0)</f>
        <v>#N/A</v>
      </c>
      <c r="B292" s="252" t="str">
        <f>VLOOKUP($F292,UpdateHashtag!$V$3:$Y$32,COLUMN(C$13),0)</f>
        <v>#N/A</v>
      </c>
      <c r="C292" s="252" t="str">
        <f>VLOOKUP($F292,UpdateHashtag!$V$3:$Y$32,COLUMN(D$13),0)</f>
        <v>#N/A</v>
      </c>
      <c r="D292" s="344" t="str">
        <f t="shared" si="4"/>
        <v>#N/A</v>
      </c>
      <c r="E292" s="19"/>
      <c r="F292" s="30" t="str">
        <f>IF(VLOOKUP(J292,PasteHashtag!$C$2:$P1015,3,)="BRO","BKN",IF(VLOOKUP(J292,PasteHashtag!$C$2:$P1015,3,)="OKL","OKC",VLOOKUP(J292,PasteHashtag!$C$2:$P1015,3,)))</f>
        <v>#N/A</v>
      </c>
      <c r="G292" s="30">
        <v>272.0</v>
      </c>
      <c r="H292" s="270"/>
      <c r="I292" s="270"/>
      <c r="J292" s="271"/>
      <c r="K292" s="270"/>
      <c r="L292" s="272"/>
      <c r="M292" s="273"/>
      <c r="N292" s="274"/>
      <c r="O292" s="274"/>
      <c r="P292" s="275"/>
      <c r="Q292" s="275"/>
      <c r="R292" s="275"/>
      <c r="S292" s="276"/>
      <c r="T292" s="275"/>
      <c r="U292" s="275"/>
      <c r="V292" s="272"/>
      <c r="W292" s="272"/>
      <c r="X292" s="275"/>
      <c r="Y292" s="345"/>
      <c r="Z292" s="345"/>
      <c r="AA292" s="345"/>
      <c r="AB292" s="345"/>
      <c r="AC292" s="345"/>
      <c r="AD292" s="345"/>
      <c r="AE292" s="345"/>
      <c r="AF292" s="345"/>
      <c r="AG292" s="346"/>
      <c r="AH292" s="265"/>
      <c r="AI292" s="338"/>
      <c r="AJ292" s="339"/>
      <c r="AK292" s="265"/>
      <c r="AL292" s="265"/>
      <c r="AM292" s="265"/>
      <c r="AN292" s="265"/>
      <c r="AO292" s="265"/>
      <c r="AP292" s="265"/>
      <c r="AQ292" s="265"/>
      <c r="AR292" s="265"/>
      <c r="AS292" s="265"/>
      <c r="AT292" s="265"/>
      <c r="AU292" s="265"/>
      <c r="AV292" s="265"/>
      <c r="AW292" s="265"/>
      <c r="AX292" s="265"/>
      <c r="AY292" s="265"/>
      <c r="AZ292" s="265"/>
      <c r="BA292" s="265"/>
      <c r="BB292" s="265"/>
      <c r="BC292" s="265"/>
      <c r="BD292" s="265"/>
      <c r="BE292" s="265"/>
      <c r="BF292" s="265"/>
      <c r="BG292" s="265"/>
      <c r="BH292" s="265"/>
      <c r="BI292" s="265"/>
      <c r="BJ292" s="265"/>
      <c r="BK292" s="265"/>
      <c r="BL292" s="265"/>
      <c r="BM292" s="265"/>
      <c r="BN292" s="265"/>
      <c r="BO292" s="265"/>
      <c r="BP292" s="265"/>
      <c r="BQ292" s="265"/>
      <c r="BR292" s="265"/>
      <c r="BS292" s="265"/>
      <c r="BT292" s="265"/>
      <c r="BU292" s="265"/>
      <c r="BV292" s="265"/>
    </row>
    <row r="293">
      <c r="A293" s="252" t="str">
        <f>VLOOKUP($F293,UpdateHashtag!$V$3:$Y$32,COLUMN(B$15),0)</f>
        <v>#N/A</v>
      </c>
      <c r="B293" s="252" t="str">
        <f>VLOOKUP($F293,UpdateHashtag!$V$3:$Y$32,COLUMN(C$13),0)</f>
        <v>#N/A</v>
      </c>
      <c r="C293" s="252" t="str">
        <f>VLOOKUP($F293,UpdateHashtag!$V$3:$Y$32,COLUMN(D$13),0)</f>
        <v>#N/A</v>
      </c>
      <c r="D293" s="344" t="str">
        <f t="shared" si="4"/>
        <v>#N/A</v>
      </c>
      <c r="E293" s="19"/>
      <c r="F293" s="30" t="str">
        <f>IF(VLOOKUP(J293,PasteHashtag!$C$2:$P1015,3,)="BRO","BKN",IF(VLOOKUP(J293,PasteHashtag!$C$2:$P1015,3,)="OKL","OKC",VLOOKUP(J293,PasteHashtag!$C$2:$P1015,3,)))</f>
        <v>#N/A</v>
      </c>
      <c r="G293" s="30">
        <v>273.0</v>
      </c>
      <c r="H293" s="270"/>
      <c r="I293" s="270"/>
      <c r="J293" s="271"/>
      <c r="K293" s="270"/>
      <c r="L293" s="272"/>
      <c r="M293" s="273"/>
      <c r="N293" s="274"/>
      <c r="O293" s="274"/>
      <c r="P293" s="275"/>
      <c r="Q293" s="275"/>
      <c r="R293" s="275"/>
      <c r="S293" s="276"/>
      <c r="T293" s="275"/>
      <c r="U293" s="275"/>
      <c r="V293" s="272"/>
      <c r="W293" s="272"/>
      <c r="X293" s="275"/>
      <c r="Y293" s="345"/>
      <c r="Z293" s="345"/>
      <c r="AA293" s="345"/>
      <c r="AB293" s="345"/>
      <c r="AC293" s="345"/>
      <c r="AD293" s="345"/>
      <c r="AE293" s="345"/>
      <c r="AF293" s="345"/>
      <c r="AG293" s="346"/>
      <c r="AH293" s="265"/>
      <c r="AI293" s="338"/>
      <c r="AJ293" s="339"/>
      <c r="AK293" s="265"/>
      <c r="AL293" s="265"/>
      <c r="AM293" s="265"/>
      <c r="AN293" s="265"/>
      <c r="AO293" s="265"/>
      <c r="AP293" s="265"/>
      <c r="AQ293" s="265"/>
      <c r="AR293" s="265"/>
      <c r="AS293" s="265"/>
      <c r="AT293" s="265"/>
      <c r="AU293" s="265"/>
      <c r="AV293" s="265"/>
      <c r="AW293" s="265"/>
      <c r="AX293" s="265"/>
      <c r="AY293" s="265"/>
      <c r="AZ293" s="265"/>
      <c r="BA293" s="265"/>
      <c r="BB293" s="265"/>
      <c r="BC293" s="265"/>
      <c r="BD293" s="265"/>
      <c r="BE293" s="265"/>
      <c r="BF293" s="265"/>
      <c r="BG293" s="265"/>
      <c r="BH293" s="265"/>
      <c r="BI293" s="265"/>
      <c r="BJ293" s="265"/>
      <c r="BK293" s="265"/>
      <c r="BL293" s="265"/>
      <c r="BM293" s="265"/>
      <c r="BN293" s="265"/>
      <c r="BO293" s="265"/>
      <c r="BP293" s="265"/>
      <c r="BQ293" s="265"/>
      <c r="BR293" s="265"/>
      <c r="BS293" s="265"/>
      <c r="BT293" s="265"/>
      <c r="BU293" s="265"/>
      <c r="BV293" s="265"/>
    </row>
    <row r="294">
      <c r="A294" s="252" t="str">
        <f>VLOOKUP($F294,UpdateHashtag!$V$3:$Y$32,COLUMN(B$15),0)</f>
        <v>#N/A</v>
      </c>
      <c r="B294" s="252" t="str">
        <f>VLOOKUP($F294,UpdateHashtag!$V$3:$Y$32,COLUMN(C$13),0)</f>
        <v>#N/A</v>
      </c>
      <c r="C294" s="252" t="str">
        <f>VLOOKUP($F294,UpdateHashtag!$V$3:$Y$32,COLUMN(D$13),0)</f>
        <v>#N/A</v>
      </c>
      <c r="D294" s="344" t="str">
        <f t="shared" si="4"/>
        <v>#N/A</v>
      </c>
      <c r="E294" s="19"/>
      <c r="F294" s="30" t="str">
        <f>IF(VLOOKUP(J294,PasteHashtag!$C$2:$P1015,3,)="BRO","BKN",IF(VLOOKUP(J294,PasteHashtag!$C$2:$P1015,3,)="OKL","OKC",VLOOKUP(J294,PasteHashtag!$C$2:$P1015,3,)))</f>
        <v>#N/A</v>
      </c>
      <c r="G294" s="30">
        <v>274.0</v>
      </c>
      <c r="H294" s="270"/>
      <c r="I294" s="270"/>
      <c r="J294" s="271"/>
      <c r="K294" s="270"/>
      <c r="L294" s="272"/>
      <c r="M294" s="273"/>
      <c r="N294" s="274"/>
      <c r="O294" s="274"/>
      <c r="P294" s="275"/>
      <c r="Q294" s="275"/>
      <c r="R294" s="275"/>
      <c r="S294" s="276"/>
      <c r="T294" s="275"/>
      <c r="U294" s="275"/>
      <c r="V294" s="272"/>
      <c r="W294" s="272"/>
      <c r="X294" s="275"/>
      <c r="Y294" s="345"/>
      <c r="Z294" s="345"/>
      <c r="AA294" s="345"/>
      <c r="AB294" s="345"/>
      <c r="AC294" s="345"/>
      <c r="AD294" s="345"/>
      <c r="AE294" s="345"/>
      <c r="AF294" s="345"/>
      <c r="AG294" s="346"/>
      <c r="AH294" s="265"/>
      <c r="AI294" s="338"/>
      <c r="AJ294" s="339"/>
      <c r="AK294" s="265"/>
      <c r="AL294" s="265"/>
      <c r="AM294" s="265"/>
      <c r="AN294" s="265"/>
      <c r="AO294" s="265"/>
      <c r="AP294" s="265"/>
      <c r="AQ294" s="265"/>
      <c r="AR294" s="265"/>
      <c r="AS294" s="265"/>
      <c r="AT294" s="265"/>
      <c r="AU294" s="265"/>
      <c r="AV294" s="265"/>
      <c r="AW294" s="265"/>
      <c r="AX294" s="265"/>
      <c r="AY294" s="265"/>
      <c r="AZ294" s="265"/>
      <c r="BA294" s="265"/>
      <c r="BB294" s="265"/>
      <c r="BC294" s="265"/>
      <c r="BD294" s="265"/>
      <c r="BE294" s="265"/>
      <c r="BF294" s="265"/>
      <c r="BG294" s="265"/>
      <c r="BH294" s="265"/>
      <c r="BI294" s="265"/>
      <c r="BJ294" s="265"/>
      <c r="BK294" s="265"/>
      <c r="BL294" s="265"/>
      <c r="BM294" s="265"/>
      <c r="BN294" s="265"/>
      <c r="BO294" s="265"/>
      <c r="BP294" s="265"/>
      <c r="BQ294" s="265"/>
      <c r="BR294" s="265"/>
      <c r="BS294" s="265"/>
      <c r="BT294" s="265"/>
      <c r="BU294" s="265"/>
      <c r="BV294" s="265"/>
    </row>
    <row r="295">
      <c r="A295" s="252" t="str">
        <f>VLOOKUP($F295,UpdateHashtag!$V$3:$Y$32,COLUMN(B$15),0)</f>
        <v>#N/A</v>
      </c>
      <c r="B295" s="252" t="str">
        <f>VLOOKUP($F295,UpdateHashtag!$V$3:$Y$32,COLUMN(C$13),0)</f>
        <v>#N/A</v>
      </c>
      <c r="C295" s="252" t="str">
        <f>VLOOKUP($F295,UpdateHashtag!$V$3:$Y$32,COLUMN(D$13),0)</f>
        <v>#N/A</v>
      </c>
      <c r="D295" s="344" t="str">
        <f t="shared" si="4"/>
        <v>#N/A</v>
      </c>
      <c r="E295" s="19"/>
      <c r="F295" s="30" t="str">
        <f>IF(VLOOKUP(J295,PasteHashtag!$C$2:$P1015,3,)="BRO","BKN",IF(VLOOKUP(J295,PasteHashtag!$C$2:$P1015,3,)="OKL","OKC",VLOOKUP(J295,PasteHashtag!$C$2:$P1015,3,)))</f>
        <v>#N/A</v>
      </c>
      <c r="G295" s="30">
        <v>275.0</v>
      </c>
      <c r="H295" s="270"/>
      <c r="I295" s="270"/>
      <c r="J295" s="271"/>
      <c r="K295" s="270"/>
      <c r="L295" s="272"/>
      <c r="M295" s="273"/>
      <c r="N295" s="274"/>
      <c r="O295" s="274"/>
      <c r="P295" s="275"/>
      <c r="Q295" s="275"/>
      <c r="R295" s="275"/>
      <c r="S295" s="276"/>
      <c r="T295" s="275"/>
      <c r="U295" s="275"/>
      <c r="V295" s="272"/>
      <c r="W295" s="272"/>
      <c r="X295" s="275"/>
      <c r="Y295" s="345"/>
      <c r="Z295" s="345"/>
      <c r="AA295" s="345"/>
      <c r="AB295" s="345"/>
      <c r="AC295" s="345"/>
      <c r="AD295" s="345"/>
      <c r="AE295" s="345"/>
      <c r="AF295" s="345"/>
      <c r="AG295" s="346"/>
      <c r="AH295" s="265"/>
      <c r="AI295" s="338"/>
      <c r="AJ295" s="339"/>
      <c r="AK295" s="265"/>
      <c r="AL295" s="265"/>
      <c r="AM295" s="265"/>
      <c r="AN295" s="265"/>
      <c r="AO295" s="265"/>
      <c r="AP295" s="265"/>
      <c r="AQ295" s="265"/>
      <c r="AR295" s="265"/>
      <c r="AS295" s="265"/>
      <c r="AT295" s="265"/>
      <c r="AU295" s="265"/>
      <c r="AV295" s="265"/>
      <c r="AW295" s="265"/>
      <c r="AX295" s="265"/>
      <c r="AY295" s="265"/>
      <c r="AZ295" s="265"/>
      <c r="BA295" s="265"/>
      <c r="BB295" s="265"/>
      <c r="BC295" s="265"/>
      <c r="BD295" s="265"/>
      <c r="BE295" s="265"/>
      <c r="BF295" s="265"/>
      <c r="BG295" s="265"/>
      <c r="BH295" s="265"/>
      <c r="BI295" s="265"/>
      <c r="BJ295" s="265"/>
      <c r="BK295" s="265"/>
      <c r="BL295" s="265"/>
      <c r="BM295" s="265"/>
      <c r="BN295" s="265"/>
      <c r="BO295" s="265"/>
      <c r="BP295" s="265"/>
      <c r="BQ295" s="265"/>
      <c r="BR295" s="265"/>
      <c r="BS295" s="265"/>
      <c r="BT295" s="265"/>
      <c r="BU295" s="265"/>
      <c r="BV295" s="265"/>
    </row>
    <row r="296">
      <c r="A296" s="252" t="str">
        <f>VLOOKUP($F296,UpdateHashtag!$V$3:$Y$32,COLUMN(B$15),0)</f>
        <v>#N/A</v>
      </c>
      <c r="B296" s="252" t="str">
        <f>VLOOKUP($F296,UpdateHashtag!$V$3:$Y$32,COLUMN(C$13),0)</f>
        <v>#N/A</v>
      </c>
      <c r="C296" s="252" t="str">
        <f>VLOOKUP($F296,UpdateHashtag!$V$3:$Y$32,COLUMN(D$13),0)</f>
        <v>#N/A</v>
      </c>
      <c r="D296" s="344" t="str">
        <f t="shared" si="4"/>
        <v>#N/A</v>
      </c>
      <c r="E296" s="19"/>
      <c r="F296" s="30" t="str">
        <f>IF(VLOOKUP(J296,PasteHashtag!$C$2:$P1015,3,)="BRO","BKN",IF(VLOOKUP(J296,PasteHashtag!$C$2:$P1015,3,)="OKL","OKC",VLOOKUP(J296,PasteHashtag!$C$2:$P1015,3,)))</f>
        <v>#N/A</v>
      </c>
      <c r="G296" s="30">
        <v>276.0</v>
      </c>
      <c r="H296" s="270"/>
      <c r="I296" s="270"/>
      <c r="J296" s="271"/>
      <c r="K296" s="270"/>
      <c r="L296" s="272"/>
      <c r="M296" s="273"/>
      <c r="N296" s="274"/>
      <c r="O296" s="274"/>
      <c r="P296" s="275"/>
      <c r="Q296" s="275"/>
      <c r="R296" s="275"/>
      <c r="S296" s="276"/>
      <c r="T296" s="275"/>
      <c r="U296" s="275"/>
      <c r="V296" s="272"/>
      <c r="W296" s="272"/>
      <c r="X296" s="275"/>
      <c r="Y296" s="345"/>
      <c r="Z296" s="345"/>
      <c r="AA296" s="345"/>
      <c r="AB296" s="345"/>
      <c r="AC296" s="345"/>
      <c r="AD296" s="345"/>
      <c r="AE296" s="345"/>
      <c r="AF296" s="345"/>
      <c r="AG296" s="346"/>
      <c r="AH296" s="265"/>
      <c r="AI296" s="338"/>
      <c r="AJ296" s="339"/>
      <c r="AK296" s="265"/>
      <c r="AL296" s="265"/>
      <c r="AM296" s="265"/>
      <c r="AN296" s="265"/>
      <c r="AO296" s="265"/>
      <c r="AP296" s="265"/>
      <c r="AQ296" s="265"/>
      <c r="AR296" s="265"/>
      <c r="AS296" s="265"/>
      <c r="AT296" s="265"/>
      <c r="AU296" s="265"/>
      <c r="AV296" s="265"/>
      <c r="AW296" s="265"/>
      <c r="AX296" s="265"/>
      <c r="AY296" s="265"/>
      <c r="AZ296" s="265"/>
      <c r="BA296" s="265"/>
      <c r="BB296" s="265"/>
      <c r="BC296" s="265"/>
      <c r="BD296" s="265"/>
      <c r="BE296" s="265"/>
      <c r="BF296" s="265"/>
      <c r="BG296" s="265"/>
      <c r="BH296" s="265"/>
      <c r="BI296" s="265"/>
      <c r="BJ296" s="265"/>
      <c r="BK296" s="265"/>
      <c r="BL296" s="265"/>
      <c r="BM296" s="265"/>
      <c r="BN296" s="265"/>
      <c r="BO296" s="265"/>
      <c r="BP296" s="265"/>
      <c r="BQ296" s="265"/>
      <c r="BR296" s="265"/>
      <c r="BS296" s="265"/>
      <c r="BT296" s="265"/>
      <c r="BU296" s="265"/>
      <c r="BV296" s="265"/>
    </row>
    <row r="297">
      <c r="A297" s="252" t="str">
        <f>VLOOKUP($F297,UpdateHashtag!$V$3:$Y$32,COLUMN(B$15),0)</f>
        <v>#N/A</v>
      </c>
      <c r="B297" s="252" t="str">
        <f>VLOOKUP($F297,UpdateHashtag!$V$3:$Y$32,COLUMN(C$13),0)</f>
        <v>#N/A</v>
      </c>
      <c r="C297" s="252" t="str">
        <f>VLOOKUP($F297,UpdateHashtag!$V$3:$Y$32,COLUMN(D$13),0)</f>
        <v>#N/A</v>
      </c>
      <c r="D297" s="344" t="str">
        <f t="shared" si="4"/>
        <v>#N/A</v>
      </c>
      <c r="E297" s="19"/>
      <c r="F297" s="30" t="str">
        <f>IF(VLOOKUP(J297,PasteHashtag!$C$2:$P1015,3,)="BRO","BKN",IF(VLOOKUP(J297,PasteHashtag!$C$2:$P1015,3,)="OKL","OKC",VLOOKUP(J297,PasteHashtag!$C$2:$P1015,3,)))</f>
        <v>#N/A</v>
      </c>
      <c r="G297" s="30">
        <v>277.0</v>
      </c>
      <c r="H297" s="270"/>
      <c r="I297" s="270"/>
      <c r="J297" s="271"/>
      <c r="K297" s="270"/>
      <c r="L297" s="272"/>
      <c r="M297" s="273"/>
      <c r="N297" s="274"/>
      <c r="O297" s="274"/>
      <c r="P297" s="275"/>
      <c r="Q297" s="275"/>
      <c r="R297" s="275"/>
      <c r="S297" s="276"/>
      <c r="T297" s="275"/>
      <c r="U297" s="275"/>
      <c r="V297" s="272"/>
      <c r="W297" s="272"/>
      <c r="X297" s="275"/>
      <c r="Y297" s="345"/>
      <c r="Z297" s="345"/>
      <c r="AA297" s="345"/>
      <c r="AB297" s="345"/>
      <c r="AC297" s="345"/>
      <c r="AD297" s="345"/>
      <c r="AE297" s="345"/>
      <c r="AF297" s="345"/>
      <c r="AG297" s="346"/>
      <c r="AH297" s="265"/>
      <c r="AI297" s="338"/>
      <c r="AJ297" s="339"/>
      <c r="AK297" s="265"/>
      <c r="AL297" s="265"/>
      <c r="AM297" s="265"/>
      <c r="AN297" s="265"/>
      <c r="AO297" s="265"/>
      <c r="AP297" s="265"/>
      <c r="AQ297" s="265"/>
      <c r="AR297" s="265"/>
      <c r="AS297" s="265"/>
      <c r="AT297" s="265"/>
      <c r="AU297" s="265"/>
      <c r="AV297" s="265"/>
      <c r="AW297" s="265"/>
      <c r="AX297" s="265"/>
      <c r="AY297" s="265"/>
      <c r="AZ297" s="265"/>
      <c r="BA297" s="265"/>
      <c r="BB297" s="265"/>
      <c r="BC297" s="265"/>
      <c r="BD297" s="265"/>
      <c r="BE297" s="265"/>
      <c r="BF297" s="265"/>
      <c r="BG297" s="265"/>
      <c r="BH297" s="265"/>
      <c r="BI297" s="265"/>
      <c r="BJ297" s="265"/>
      <c r="BK297" s="265"/>
      <c r="BL297" s="265"/>
      <c r="BM297" s="265"/>
      <c r="BN297" s="265"/>
      <c r="BO297" s="265"/>
      <c r="BP297" s="265"/>
      <c r="BQ297" s="265"/>
      <c r="BR297" s="265"/>
      <c r="BS297" s="265"/>
      <c r="BT297" s="265"/>
      <c r="BU297" s="265"/>
      <c r="BV297" s="265"/>
    </row>
    <row r="298">
      <c r="A298" s="252" t="str">
        <f>VLOOKUP($F298,UpdateHashtag!$V$3:$Y$32,COLUMN(B$15),0)</f>
        <v>#N/A</v>
      </c>
      <c r="B298" s="252" t="str">
        <f>VLOOKUP($F298,UpdateHashtag!$V$3:$Y$32,COLUMN(C$13),0)</f>
        <v>#N/A</v>
      </c>
      <c r="C298" s="252" t="str">
        <f>VLOOKUP($F298,UpdateHashtag!$V$3:$Y$32,COLUMN(D$13),0)</f>
        <v>#N/A</v>
      </c>
      <c r="D298" s="344" t="str">
        <f t="shared" si="4"/>
        <v>#N/A</v>
      </c>
      <c r="E298" s="19"/>
      <c r="F298" s="30" t="str">
        <f>IF(VLOOKUP(J298,PasteHashtag!$C$2:$P1015,3,)="BRO","BKN",IF(VLOOKUP(J298,PasteHashtag!$C$2:$P1015,3,)="OKL","OKC",VLOOKUP(J298,PasteHashtag!$C$2:$P1015,3,)))</f>
        <v>#N/A</v>
      </c>
      <c r="G298" s="30">
        <v>278.0</v>
      </c>
      <c r="H298" s="270"/>
      <c r="I298" s="270"/>
      <c r="J298" s="271"/>
      <c r="K298" s="270"/>
      <c r="L298" s="272"/>
      <c r="M298" s="273"/>
      <c r="N298" s="274"/>
      <c r="O298" s="274"/>
      <c r="P298" s="275"/>
      <c r="Q298" s="275"/>
      <c r="R298" s="275"/>
      <c r="S298" s="276"/>
      <c r="T298" s="275"/>
      <c r="U298" s="275"/>
      <c r="V298" s="272"/>
      <c r="W298" s="272"/>
      <c r="X298" s="275"/>
      <c r="Y298" s="345"/>
      <c r="Z298" s="345"/>
      <c r="AA298" s="345"/>
      <c r="AB298" s="345"/>
      <c r="AC298" s="345"/>
      <c r="AD298" s="345"/>
      <c r="AE298" s="345"/>
      <c r="AF298" s="345"/>
      <c r="AG298" s="346"/>
      <c r="AH298" s="265"/>
      <c r="AI298" s="338"/>
      <c r="AJ298" s="339"/>
      <c r="AK298" s="265"/>
      <c r="AL298" s="265"/>
      <c r="AM298" s="265"/>
      <c r="AN298" s="265"/>
      <c r="AO298" s="265"/>
      <c r="AP298" s="265"/>
      <c r="AQ298" s="265"/>
      <c r="AR298" s="265"/>
      <c r="AS298" s="265"/>
      <c r="AT298" s="265"/>
      <c r="AU298" s="265"/>
      <c r="AV298" s="265"/>
      <c r="AW298" s="265"/>
      <c r="AX298" s="265"/>
      <c r="AY298" s="265"/>
      <c r="AZ298" s="265"/>
      <c r="BA298" s="265"/>
      <c r="BB298" s="265"/>
      <c r="BC298" s="265"/>
      <c r="BD298" s="265"/>
      <c r="BE298" s="265"/>
      <c r="BF298" s="265"/>
      <c r="BG298" s="265"/>
      <c r="BH298" s="265"/>
      <c r="BI298" s="265"/>
      <c r="BJ298" s="265"/>
      <c r="BK298" s="265"/>
      <c r="BL298" s="265"/>
      <c r="BM298" s="265"/>
      <c r="BN298" s="265"/>
      <c r="BO298" s="265"/>
      <c r="BP298" s="265"/>
      <c r="BQ298" s="265"/>
      <c r="BR298" s="265"/>
      <c r="BS298" s="265"/>
      <c r="BT298" s="265"/>
      <c r="BU298" s="265"/>
      <c r="BV298" s="265"/>
    </row>
    <row r="299">
      <c r="A299" s="252" t="str">
        <f>VLOOKUP($F299,UpdateHashtag!$V$3:$Y$32,COLUMN(B$15),0)</f>
        <v>#N/A</v>
      </c>
      <c r="B299" s="252" t="str">
        <f>VLOOKUP($F299,UpdateHashtag!$V$3:$Y$32,COLUMN(C$13),0)</f>
        <v>#N/A</v>
      </c>
      <c r="C299" s="252" t="str">
        <f>VLOOKUP($F299,UpdateHashtag!$V$3:$Y$32,COLUMN(D$13),0)</f>
        <v>#N/A</v>
      </c>
      <c r="D299" s="344" t="str">
        <f t="shared" si="4"/>
        <v>#N/A</v>
      </c>
      <c r="E299" s="19"/>
      <c r="F299" s="30" t="str">
        <f>IF(VLOOKUP(J299,PasteHashtag!$C$2:$P1015,3,)="BRO","BKN",IF(VLOOKUP(J299,PasteHashtag!$C$2:$P1015,3,)="OKL","OKC",VLOOKUP(J299,PasteHashtag!$C$2:$P1015,3,)))</f>
        <v>#N/A</v>
      </c>
      <c r="G299" s="30">
        <v>279.0</v>
      </c>
      <c r="H299" s="270"/>
      <c r="I299" s="270"/>
      <c r="J299" s="271"/>
      <c r="K299" s="270"/>
      <c r="L299" s="272"/>
      <c r="M299" s="273"/>
      <c r="N299" s="274"/>
      <c r="O299" s="274"/>
      <c r="P299" s="275"/>
      <c r="Q299" s="275"/>
      <c r="R299" s="275"/>
      <c r="S299" s="276"/>
      <c r="T299" s="275"/>
      <c r="U299" s="275"/>
      <c r="V299" s="272"/>
      <c r="W299" s="272"/>
      <c r="X299" s="275"/>
      <c r="Y299" s="345"/>
      <c r="Z299" s="345"/>
      <c r="AA299" s="345"/>
      <c r="AB299" s="345"/>
      <c r="AC299" s="345"/>
      <c r="AD299" s="345"/>
      <c r="AE299" s="345"/>
      <c r="AF299" s="345"/>
      <c r="AG299" s="346"/>
      <c r="AH299" s="265"/>
      <c r="AI299" s="338"/>
      <c r="AJ299" s="339"/>
      <c r="AK299" s="265"/>
      <c r="AL299" s="265"/>
      <c r="AM299" s="265"/>
      <c r="AN299" s="265"/>
      <c r="AO299" s="265"/>
      <c r="AP299" s="265"/>
      <c r="AQ299" s="265"/>
      <c r="AR299" s="265"/>
      <c r="AS299" s="265"/>
      <c r="AT299" s="265"/>
      <c r="AU299" s="265"/>
      <c r="AV299" s="265"/>
      <c r="AW299" s="265"/>
      <c r="AX299" s="265"/>
      <c r="AY299" s="265"/>
      <c r="AZ299" s="265"/>
      <c r="BA299" s="265"/>
      <c r="BB299" s="265"/>
      <c r="BC299" s="265"/>
      <c r="BD299" s="265"/>
      <c r="BE299" s="265"/>
      <c r="BF299" s="265"/>
      <c r="BG299" s="265"/>
      <c r="BH299" s="265"/>
      <c r="BI299" s="265"/>
      <c r="BJ299" s="265"/>
      <c r="BK299" s="265"/>
      <c r="BL299" s="265"/>
      <c r="BM299" s="265"/>
      <c r="BN299" s="265"/>
      <c r="BO299" s="265"/>
      <c r="BP299" s="265"/>
      <c r="BQ299" s="265"/>
      <c r="BR299" s="265"/>
      <c r="BS299" s="265"/>
      <c r="BT299" s="265"/>
      <c r="BU299" s="265"/>
      <c r="BV299" s="265"/>
    </row>
    <row r="300">
      <c r="A300" s="252" t="str">
        <f>VLOOKUP($F300,UpdateHashtag!$V$3:$Y$32,COLUMN(B$15),0)</f>
        <v>#N/A</v>
      </c>
      <c r="B300" s="252" t="str">
        <f>VLOOKUP($F300,UpdateHashtag!$V$3:$Y$32,COLUMN(C$13),0)</f>
        <v>#N/A</v>
      </c>
      <c r="C300" s="252" t="str">
        <f>VLOOKUP($F300,UpdateHashtag!$V$3:$Y$32,COLUMN(D$13),0)</f>
        <v>#N/A</v>
      </c>
      <c r="D300" s="344" t="str">
        <f t="shared" si="4"/>
        <v>#N/A</v>
      </c>
      <c r="E300" s="19"/>
      <c r="F300" s="30" t="str">
        <f>IF(VLOOKUP(J300,PasteHashtag!$C$2:$P1015,3,)="BRO","BKN",IF(VLOOKUP(J300,PasteHashtag!$C$2:$P1015,3,)="OKL","OKC",VLOOKUP(J300,PasteHashtag!$C$2:$P1015,3,)))</f>
        <v>#N/A</v>
      </c>
      <c r="G300" s="30">
        <v>280.0</v>
      </c>
      <c r="H300" s="270"/>
      <c r="I300" s="270"/>
      <c r="J300" s="271"/>
      <c r="K300" s="270"/>
      <c r="L300" s="272"/>
      <c r="M300" s="273"/>
      <c r="N300" s="274"/>
      <c r="O300" s="274"/>
      <c r="P300" s="275"/>
      <c r="Q300" s="275"/>
      <c r="R300" s="275"/>
      <c r="S300" s="276"/>
      <c r="T300" s="275"/>
      <c r="U300" s="275"/>
      <c r="V300" s="272"/>
      <c r="W300" s="272"/>
      <c r="X300" s="275"/>
      <c r="Y300" s="345"/>
      <c r="Z300" s="345"/>
      <c r="AA300" s="345"/>
      <c r="AB300" s="345"/>
      <c r="AC300" s="345"/>
      <c r="AD300" s="345"/>
      <c r="AE300" s="345"/>
      <c r="AF300" s="345"/>
      <c r="AG300" s="346"/>
      <c r="AH300" s="265"/>
      <c r="AI300" s="338"/>
      <c r="AJ300" s="339"/>
      <c r="AK300" s="265"/>
      <c r="AL300" s="265"/>
      <c r="AM300" s="265"/>
      <c r="AN300" s="265"/>
      <c r="AO300" s="265"/>
      <c r="AP300" s="265"/>
      <c r="AQ300" s="265"/>
      <c r="AR300" s="265"/>
      <c r="AS300" s="265"/>
      <c r="AT300" s="265"/>
      <c r="AU300" s="265"/>
      <c r="AV300" s="265"/>
      <c r="AW300" s="265"/>
      <c r="AX300" s="265"/>
      <c r="AY300" s="265"/>
      <c r="AZ300" s="265"/>
      <c r="BA300" s="265"/>
      <c r="BB300" s="265"/>
      <c r="BC300" s="265"/>
      <c r="BD300" s="265"/>
      <c r="BE300" s="265"/>
      <c r="BF300" s="265"/>
      <c r="BG300" s="265"/>
      <c r="BH300" s="265"/>
      <c r="BI300" s="265"/>
      <c r="BJ300" s="265"/>
      <c r="BK300" s="265"/>
      <c r="BL300" s="265"/>
      <c r="BM300" s="265"/>
      <c r="BN300" s="265"/>
      <c r="BO300" s="265"/>
      <c r="BP300" s="265"/>
      <c r="BQ300" s="265"/>
      <c r="BR300" s="265"/>
      <c r="BS300" s="265"/>
      <c r="BT300" s="265"/>
      <c r="BU300" s="265"/>
      <c r="BV300" s="265"/>
    </row>
    <row r="301">
      <c r="A301" s="252" t="str">
        <f>VLOOKUP($F301,UpdateHashtag!$V$3:$Y$32,COLUMN(B$15),0)</f>
        <v>#N/A</v>
      </c>
      <c r="B301" s="252" t="str">
        <f>VLOOKUP($F301,UpdateHashtag!$V$3:$Y$32,COLUMN(C$13),0)</f>
        <v>#N/A</v>
      </c>
      <c r="C301" s="252" t="str">
        <f>VLOOKUP($F301,UpdateHashtag!$V$3:$Y$32,COLUMN(D$13),0)</f>
        <v>#N/A</v>
      </c>
      <c r="D301" s="344" t="str">
        <f t="shared" si="4"/>
        <v>#N/A</v>
      </c>
      <c r="E301" s="19"/>
      <c r="F301" s="30" t="str">
        <f>IF(VLOOKUP(J301,PasteHashtag!$C$2:$P1015,3,)="BRO","BKN",IF(VLOOKUP(J301,PasteHashtag!$C$2:$P1015,3,)="OKL","OKC",VLOOKUP(J301,PasteHashtag!$C$2:$P1015,3,)))</f>
        <v>#N/A</v>
      </c>
      <c r="G301" s="30">
        <v>281.0</v>
      </c>
      <c r="H301" s="270"/>
      <c r="I301" s="270"/>
      <c r="J301" s="271"/>
      <c r="K301" s="270"/>
      <c r="L301" s="272"/>
      <c r="M301" s="273"/>
      <c r="N301" s="274"/>
      <c r="O301" s="274"/>
      <c r="P301" s="275"/>
      <c r="Q301" s="275"/>
      <c r="R301" s="275"/>
      <c r="S301" s="276"/>
      <c r="T301" s="275"/>
      <c r="U301" s="275"/>
      <c r="V301" s="272"/>
      <c r="W301" s="272"/>
      <c r="X301" s="275"/>
      <c r="Y301" s="345"/>
      <c r="Z301" s="345"/>
      <c r="AA301" s="345"/>
      <c r="AB301" s="345"/>
      <c r="AC301" s="345"/>
      <c r="AD301" s="345"/>
      <c r="AE301" s="345"/>
      <c r="AF301" s="345"/>
      <c r="AG301" s="346"/>
      <c r="AH301" s="265"/>
      <c r="AI301" s="338"/>
      <c r="AJ301" s="339"/>
      <c r="AK301" s="265"/>
      <c r="AL301" s="265"/>
      <c r="AM301" s="265"/>
      <c r="AN301" s="265"/>
      <c r="AO301" s="265"/>
      <c r="AP301" s="265"/>
      <c r="AQ301" s="265"/>
      <c r="AR301" s="265"/>
      <c r="AS301" s="265"/>
      <c r="AT301" s="265"/>
      <c r="AU301" s="265"/>
      <c r="AV301" s="265"/>
      <c r="AW301" s="265"/>
      <c r="AX301" s="265"/>
      <c r="AY301" s="265"/>
      <c r="AZ301" s="265"/>
      <c r="BA301" s="265"/>
      <c r="BB301" s="265"/>
      <c r="BC301" s="265"/>
      <c r="BD301" s="265"/>
      <c r="BE301" s="265"/>
      <c r="BF301" s="265"/>
      <c r="BG301" s="265"/>
      <c r="BH301" s="265"/>
      <c r="BI301" s="265"/>
      <c r="BJ301" s="265"/>
      <c r="BK301" s="265"/>
      <c r="BL301" s="265"/>
      <c r="BM301" s="265"/>
      <c r="BN301" s="265"/>
      <c r="BO301" s="265"/>
      <c r="BP301" s="265"/>
      <c r="BQ301" s="265"/>
      <c r="BR301" s="265"/>
      <c r="BS301" s="265"/>
      <c r="BT301" s="265"/>
      <c r="BU301" s="265"/>
      <c r="BV301" s="265"/>
    </row>
    <row r="302">
      <c r="A302" s="252" t="str">
        <f>VLOOKUP($F302,UpdateHashtag!$V$3:$Y$32,COLUMN(B$15),0)</f>
        <v>#N/A</v>
      </c>
      <c r="B302" s="252" t="str">
        <f>VLOOKUP($F302,UpdateHashtag!$V$3:$Y$32,COLUMN(C$13),0)</f>
        <v>#N/A</v>
      </c>
      <c r="C302" s="252" t="str">
        <f>VLOOKUP($F302,UpdateHashtag!$V$3:$Y$32,COLUMN(D$13),0)</f>
        <v>#N/A</v>
      </c>
      <c r="D302" s="344" t="str">
        <f t="shared" si="4"/>
        <v>#N/A</v>
      </c>
      <c r="E302" s="19"/>
      <c r="F302" s="30" t="str">
        <f>IF(VLOOKUP(J302,PasteHashtag!$C$2:$P1015,3,)="BRO","BKN",IF(VLOOKUP(J302,PasteHashtag!$C$2:$P1015,3,)="OKL","OKC",VLOOKUP(J302,PasteHashtag!$C$2:$P1015,3,)))</f>
        <v>#N/A</v>
      </c>
      <c r="G302" s="30">
        <v>282.0</v>
      </c>
      <c r="H302" s="270"/>
      <c r="I302" s="270"/>
      <c r="J302" s="271"/>
      <c r="K302" s="270"/>
      <c r="L302" s="272"/>
      <c r="M302" s="273"/>
      <c r="N302" s="274"/>
      <c r="O302" s="274"/>
      <c r="P302" s="275"/>
      <c r="Q302" s="275"/>
      <c r="R302" s="275"/>
      <c r="S302" s="276"/>
      <c r="T302" s="275"/>
      <c r="U302" s="275"/>
      <c r="V302" s="272"/>
      <c r="W302" s="272"/>
      <c r="X302" s="275"/>
      <c r="Y302" s="345"/>
      <c r="Z302" s="345"/>
      <c r="AA302" s="345"/>
      <c r="AB302" s="345"/>
      <c r="AC302" s="345"/>
      <c r="AD302" s="345"/>
      <c r="AE302" s="345"/>
      <c r="AF302" s="345"/>
      <c r="AG302" s="346"/>
      <c r="AH302" s="265"/>
      <c r="AI302" s="338"/>
      <c r="AJ302" s="339"/>
      <c r="AK302" s="265"/>
      <c r="AL302" s="265"/>
      <c r="AM302" s="265"/>
      <c r="AN302" s="265"/>
      <c r="AO302" s="265"/>
      <c r="AP302" s="265"/>
      <c r="AQ302" s="265"/>
      <c r="AR302" s="265"/>
      <c r="AS302" s="265"/>
      <c r="AT302" s="265"/>
      <c r="AU302" s="265"/>
      <c r="AV302" s="265"/>
      <c r="AW302" s="265"/>
      <c r="AX302" s="265"/>
      <c r="AY302" s="265"/>
      <c r="AZ302" s="265"/>
      <c r="BA302" s="265"/>
      <c r="BB302" s="265"/>
      <c r="BC302" s="265"/>
      <c r="BD302" s="265"/>
      <c r="BE302" s="265"/>
      <c r="BF302" s="265"/>
      <c r="BG302" s="265"/>
      <c r="BH302" s="265"/>
      <c r="BI302" s="265"/>
      <c r="BJ302" s="265"/>
      <c r="BK302" s="265"/>
      <c r="BL302" s="265"/>
      <c r="BM302" s="265"/>
      <c r="BN302" s="265"/>
      <c r="BO302" s="265"/>
      <c r="BP302" s="265"/>
      <c r="BQ302" s="265"/>
      <c r="BR302" s="265"/>
      <c r="BS302" s="265"/>
      <c r="BT302" s="265"/>
      <c r="BU302" s="265"/>
      <c r="BV302" s="265"/>
    </row>
    <row r="303">
      <c r="A303" s="252" t="str">
        <f>VLOOKUP($F303,UpdateHashtag!$V$3:$Y$32,COLUMN(B$15),0)</f>
        <v>#N/A</v>
      </c>
      <c r="B303" s="252" t="str">
        <f>VLOOKUP($F303,UpdateHashtag!$V$3:$Y$32,COLUMN(C$13),0)</f>
        <v>#N/A</v>
      </c>
      <c r="C303" s="252" t="str">
        <f>VLOOKUP($F303,UpdateHashtag!$V$3:$Y$32,COLUMN(D$13),0)</f>
        <v>#N/A</v>
      </c>
      <c r="D303" s="344" t="str">
        <f t="shared" si="4"/>
        <v>#N/A</v>
      </c>
      <c r="E303" s="19"/>
      <c r="F303" s="30" t="str">
        <f>IF(VLOOKUP(J303,PasteHashtag!$C$2:$P1015,3,)="BRO","BKN",IF(VLOOKUP(J303,PasteHashtag!$C$2:$P1015,3,)="OKL","OKC",VLOOKUP(J303,PasteHashtag!$C$2:$P1015,3,)))</f>
        <v>#N/A</v>
      </c>
      <c r="G303" s="30">
        <v>283.0</v>
      </c>
      <c r="H303" s="270"/>
      <c r="I303" s="270"/>
      <c r="J303" s="271"/>
      <c r="K303" s="270"/>
      <c r="L303" s="272"/>
      <c r="M303" s="273"/>
      <c r="N303" s="274"/>
      <c r="O303" s="274"/>
      <c r="P303" s="275"/>
      <c r="Q303" s="275"/>
      <c r="R303" s="275"/>
      <c r="S303" s="276"/>
      <c r="T303" s="275"/>
      <c r="U303" s="275"/>
      <c r="V303" s="272"/>
      <c r="W303" s="272"/>
      <c r="X303" s="275"/>
      <c r="Y303" s="345"/>
      <c r="Z303" s="345"/>
      <c r="AA303" s="345"/>
      <c r="AB303" s="345"/>
      <c r="AC303" s="345"/>
      <c r="AD303" s="345"/>
      <c r="AE303" s="345"/>
      <c r="AF303" s="345"/>
      <c r="AG303" s="346"/>
      <c r="AH303" s="265"/>
      <c r="AI303" s="338"/>
      <c r="AJ303" s="339"/>
      <c r="AK303" s="265"/>
      <c r="AL303" s="265"/>
      <c r="AM303" s="265"/>
      <c r="AN303" s="265"/>
      <c r="AO303" s="265"/>
      <c r="AP303" s="265"/>
      <c r="AQ303" s="265"/>
      <c r="AR303" s="265"/>
      <c r="AS303" s="265"/>
      <c r="AT303" s="265"/>
      <c r="AU303" s="265"/>
      <c r="AV303" s="265"/>
      <c r="AW303" s="265"/>
      <c r="AX303" s="265"/>
      <c r="AY303" s="265"/>
      <c r="AZ303" s="265"/>
      <c r="BA303" s="265"/>
      <c r="BB303" s="265"/>
      <c r="BC303" s="265"/>
      <c r="BD303" s="265"/>
      <c r="BE303" s="265"/>
      <c r="BF303" s="265"/>
      <c r="BG303" s="265"/>
      <c r="BH303" s="265"/>
      <c r="BI303" s="265"/>
      <c r="BJ303" s="265"/>
      <c r="BK303" s="265"/>
      <c r="BL303" s="265"/>
      <c r="BM303" s="265"/>
      <c r="BN303" s="265"/>
      <c r="BO303" s="265"/>
      <c r="BP303" s="265"/>
      <c r="BQ303" s="265"/>
      <c r="BR303" s="265"/>
      <c r="BS303" s="265"/>
      <c r="BT303" s="265"/>
      <c r="BU303" s="265"/>
      <c r="BV303" s="265"/>
    </row>
    <row r="304">
      <c r="A304" s="252" t="str">
        <f>VLOOKUP($F304,UpdateHashtag!$V$3:$Y$32,COLUMN(B$15),0)</f>
        <v>#N/A</v>
      </c>
      <c r="B304" s="252" t="str">
        <f>VLOOKUP($F304,UpdateHashtag!$V$3:$Y$32,COLUMN(C$13),0)</f>
        <v>#N/A</v>
      </c>
      <c r="C304" s="252" t="str">
        <f>VLOOKUP($F304,UpdateHashtag!$V$3:$Y$32,COLUMN(D$13),0)</f>
        <v>#N/A</v>
      </c>
      <c r="D304" s="344" t="str">
        <f t="shared" si="4"/>
        <v>#N/A</v>
      </c>
      <c r="E304" s="19"/>
      <c r="F304" s="30" t="str">
        <f>IF(VLOOKUP(J304,PasteHashtag!$C$2:$P1015,3,)="BRO","BKN",IF(VLOOKUP(J304,PasteHashtag!$C$2:$P1015,3,)="OKL","OKC",VLOOKUP(J304,PasteHashtag!$C$2:$P1015,3,)))</f>
        <v>#N/A</v>
      </c>
      <c r="G304" s="30">
        <v>284.0</v>
      </c>
      <c r="H304" s="270"/>
      <c r="I304" s="270"/>
      <c r="J304" s="271"/>
      <c r="K304" s="270"/>
      <c r="L304" s="272"/>
      <c r="M304" s="273"/>
      <c r="N304" s="274"/>
      <c r="O304" s="274"/>
      <c r="P304" s="275"/>
      <c r="Q304" s="275"/>
      <c r="R304" s="275"/>
      <c r="S304" s="276"/>
      <c r="T304" s="275"/>
      <c r="U304" s="275"/>
      <c r="V304" s="272"/>
      <c r="W304" s="272"/>
      <c r="X304" s="275"/>
      <c r="Y304" s="345"/>
      <c r="Z304" s="345"/>
      <c r="AA304" s="345"/>
      <c r="AB304" s="345"/>
      <c r="AC304" s="345"/>
      <c r="AD304" s="345"/>
      <c r="AE304" s="345"/>
      <c r="AF304" s="345"/>
      <c r="AG304" s="346"/>
      <c r="AH304" s="265"/>
      <c r="AI304" s="338"/>
      <c r="AJ304" s="339"/>
      <c r="AK304" s="265"/>
      <c r="AL304" s="265"/>
      <c r="AM304" s="265"/>
      <c r="AN304" s="265"/>
      <c r="AO304" s="265"/>
      <c r="AP304" s="265"/>
      <c r="AQ304" s="265"/>
      <c r="AR304" s="265"/>
      <c r="AS304" s="265"/>
      <c r="AT304" s="265"/>
      <c r="AU304" s="265"/>
      <c r="AV304" s="265"/>
      <c r="AW304" s="265"/>
      <c r="AX304" s="265"/>
      <c r="AY304" s="265"/>
      <c r="AZ304" s="265"/>
      <c r="BA304" s="265"/>
      <c r="BB304" s="265"/>
      <c r="BC304" s="265"/>
      <c r="BD304" s="265"/>
      <c r="BE304" s="265"/>
      <c r="BF304" s="265"/>
      <c r="BG304" s="265"/>
      <c r="BH304" s="265"/>
      <c r="BI304" s="265"/>
      <c r="BJ304" s="265"/>
      <c r="BK304" s="265"/>
      <c r="BL304" s="265"/>
      <c r="BM304" s="265"/>
      <c r="BN304" s="265"/>
      <c r="BO304" s="265"/>
      <c r="BP304" s="265"/>
      <c r="BQ304" s="265"/>
      <c r="BR304" s="265"/>
      <c r="BS304" s="265"/>
      <c r="BT304" s="265"/>
      <c r="BU304" s="265"/>
      <c r="BV304" s="265"/>
    </row>
    <row r="305">
      <c r="A305" s="252" t="str">
        <f>VLOOKUP($F305,UpdateHashtag!$V$3:$Y$32,COLUMN(B$15),0)</f>
        <v>#N/A</v>
      </c>
      <c r="B305" s="252" t="str">
        <f>VLOOKUP($F305,UpdateHashtag!$V$3:$Y$32,COLUMN(C$13),0)</f>
        <v>#N/A</v>
      </c>
      <c r="C305" s="252" t="str">
        <f>VLOOKUP($F305,UpdateHashtag!$V$3:$Y$32,COLUMN(D$13),0)</f>
        <v>#N/A</v>
      </c>
      <c r="D305" s="344" t="str">
        <f t="shared" si="4"/>
        <v>#N/A</v>
      </c>
      <c r="E305" s="19"/>
      <c r="F305" s="30" t="str">
        <f>IF(VLOOKUP(J305,PasteHashtag!$C$2:$P1015,3,)="BRO","BKN",IF(VLOOKUP(J305,PasteHashtag!$C$2:$P1015,3,)="OKL","OKC",VLOOKUP(J305,PasteHashtag!$C$2:$P1015,3,)))</f>
        <v>#N/A</v>
      </c>
      <c r="G305" s="30">
        <v>285.0</v>
      </c>
      <c r="H305" s="270"/>
      <c r="I305" s="270"/>
      <c r="J305" s="271"/>
      <c r="K305" s="270"/>
      <c r="L305" s="272"/>
      <c r="M305" s="273"/>
      <c r="N305" s="274"/>
      <c r="O305" s="274"/>
      <c r="P305" s="275"/>
      <c r="Q305" s="275"/>
      <c r="R305" s="275"/>
      <c r="S305" s="276"/>
      <c r="T305" s="275"/>
      <c r="U305" s="275"/>
      <c r="V305" s="272"/>
      <c r="W305" s="272"/>
      <c r="X305" s="275"/>
      <c r="Y305" s="345"/>
      <c r="Z305" s="345"/>
      <c r="AA305" s="345"/>
      <c r="AB305" s="345"/>
      <c r="AC305" s="345"/>
      <c r="AD305" s="345"/>
      <c r="AE305" s="345"/>
      <c r="AF305" s="345"/>
      <c r="AG305" s="346"/>
      <c r="AH305" s="265"/>
      <c r="AI305" s="338"/>
      <c r="AJ305" s="339"/>
      <c r="AK305" s="265"/>
      <c r="AL305" s="265"/>
      <c r="AM305" s="265"/>
      <c r="AN305" s="265"/>
      <c r="AO305" s="265"/>
      <c r="AP305" s="265"/>
      <c r="AQ305" s="265"/>
      <c r="AR305" s="265"/>
      <c r="AS305" s="265"/>
      <c r="AT305" s="265"/>
      <c r="AU305" s="265"/>
      <c r="AV305" s="265"/>
      <c r="AW305" s="265"/>
      <c r="AX305" s="265"/>
      <c r="AY305" s="265"/>
      <c r="AZ305" s="265"/>
      <c r="BA305" s="265"/>
      <c r="BB305" s="265"/>
      <c r="BC305" s="265"/>
      <c r="BD305" s="265"/>
      <c r="BE305" s="265"/>
      <c r="BF305" s="265"/>
      <c r="BG305" s="265"/>
      <c r="BH305" s="265"/>
      <c r="BI305" s="265"/>
      <c r="BJ305" s="265"/>
      <c r="BK305" s="265"/>
      <c r="BL305" s="265"/>
      <c r="BM305" s="265"/>
      <c r="BN305" s="265"/>
      <c r="BO305" s="265"/>
      <c r="BP305" s="265"/>
      <c r="BQ305" s="265"/>
      <c r="BR305" s="265"/>
      <c r="BS305" s="265"/>
      <c r="BT305" s="265"/>
      <c r="BU305" s="265"/>
      <c r="BV305" s="265"/>
    </row>
    <row r="306">
      <c r="A306" s="252" t="str">
        <f>VLOOKUP($F306,UpdateHashtag!$V$3:$Y$32,COLUMN(B$15),0)</f>
        <v>#N/A</v>
      </c>
      <c r="B306" s="252" t="str">
        <f>VLOOKUP($F306,UpdateHashtag!$V$3:$Y$32,COLUMN(C$13),0)</f>
        <v>#N/A</v>
      </c>
      <c r="C306" s="252" t="str">
        <f>VLOOKUP($F306,UpdateHashtag!$V$3:$Y$32,COLUMN(D$13),0)</f>
        <v>#N/A</v>
      </c>
      <c r="D306" s="344" t="str">
        <f t="shared" si="4"/>
        <v>#N/A</v>
      </c>
      <c r="E306" s="19"/>
      <c r="F306" s="30" t="str">
        <f>IF(VLOOKUP(J306,PasteHashtag!$C$2:$P1015,3,)="BRO","BKN",IF(VLOOKUP(J306,PasteHashtag!$C$2:$P1015,3,)="OKL","OKC",VLOOKUP(J306,PasteHashtag!$C$2:$P1015,3,)))</f>
        <v>#N/A</v>
      </c>
      <c r="G306" s="30">
        <v>286.0</v>
      </c>
      <c r="H306" s="270"/>
      <c r="I306" s="270"/>
      <c r="J306" s="271"/>
      <c r="K306" s="270"/>
      <c r="L306" s="272"/>
      <c r="M306" s="273"/>
      <c r="N306" s="274"/>
      <c r="O306" s="274"/>
      <c r="P306" s="275"/>
      <c r="Q306" s="275"/>
      <c r="R306" s="275"/>
      <c r="S306" s="276"/>
      <c r="T306" s="275"/>
      <c r="U306" s="275"/>
      <c r="V306" s="272"/>
      <c r="W306" s="272"/>
      <c r="X306" s="275"/>
      <c r="Y306" s="345"/>
      <c r="Z306" s="345"/>
      <c r="AA306" s="345"/>
      <c r="AB306" s="345"/>
      <c r="AC306" s="345"/>
      <c r="AD306" s="345"/>
      <c r="AE306" s="345"/>
      <c r="AF306" s="345"/>
      <c r="AG306" s="346"/>
      <c r="AH306" s="265"/>
      <c r="AI306" s="338"/>
      <c r="AJ306" s="339"/>
      <c r="AK306" s="265"/>
      <c r="AL306" s="265"/>
      <c r="AM306" s="265"/>
      <c r="AN306" s="265"/>
      <c r="AO306" s="265"/>
      <c r="AP306" s="265"/>
      <c r="AQ306" s="265"/>
      <c r="AR306" s="265"/>
      <c r="AS306" s="265"/>
      <c r="AT306" s="265"/>
      <c r="AU306" s="265"/>
      <c r="AV306" s="265"/>
      <c r="AW306" s="265"/>
      <c r="AX306" s="265"/>
      <c r="AY306" s="265"/>
      <c r="AZ306" s="265"/>
      <c r="BA306" s="265"/>
      <c r="BB306" s="265"/>
      <c r="BC306" s="265"/>
      <c r="BD306" s="265"/>
      <c r="BE306" s="265"/>
      <c r="BF306" s="265"/>
      <c r="BG306" s="265"/>
      <c r="BH306" s="265"/>
      <c r="BI306" s="265"/>
      <c r="BJ306" s="265"/>
      <c r="BK306" s="265"/>
      <c r="BL306" s="265"/>
      <c r="BM306" s="265"/>
      <c r="BN306" s="265"/>
      <c r="BO306" s="265"/>
      <c r="BP306" s="265"/>
      <c r="BQ306" s="265"/>
      <c r="BR306" s="265"/>
      <c r="BS306" s="265"/>
      <c r="BT306" s="265"/>
      <c r="BU306" s="265"/>
      <c r="BV306" s="265"/>
    </row>
    <row r="307">
      <c r="A307" s="252" t="str">
        <f>VLOOKUP($F307,UpdateHashtag!$V$3:$Y$32,COLUMN(B$15),0)</f>
        <v>#N/A</v>
      </c>
      <c r="B307" s="252" t="str">
        <f>VLOOKUP($F307,UpdateHashtag!$V$3:$Y$32,COLUMN(C$13),0)</f>
        <v>#N/A</v>
      </c>
      <c r="C307" s="252" t="str">
        <f>VLOOKUP($F307,UpdateHashtag!$V$3:$Y$32,COLUMN(D$13),0)</f>
        <v>#N/A</v>
      </c>
      <c r="D307" s="344" t="str">
        <f t="shared" si="4"/>
        <v>#N/A</v>
      </c>
      <c r="E307" s="19"/>
      <c r="F307" s="30" t="str">
        <f>IF(VLOOKUP(J307,PasteHashtag!$C$2:$P1015,3,)="BRO","BKN",IF(VLOOKUP(J307,PasteHashtag!$C$2:$P1015,3,)="OKL","OKC",VLOOKUP(J307,PasteHashtag!$C$2:$P1015,3,)))</f>
        <v>#N/A</v>
      </c>
      <c r="G307" s="30">
        <v>287.0</v>
      </c>
      <c r="H307" s="270"/>
      <c r="I307" s="270"/>
      <c r="J307" s="271"/>
      <c r="K307" s="270"/>
      <c r="L307" s="272"/>
      <c r="M307" s="273"/>
      <c r="N307" s="274"/>
      <c r="O307" s="274"/>
      <c r="P307" s="275"/>
      <c r="Q307" s="275"/>
      <c r="R307" s="275"/>
      <c r="S307" s="276"/>
      <c r="T307" s="275"/>
      <c r="U307" s="275"/>
      <c r="V307" s="272"/>
      <c r="W307" s="272"/>
      <c r="X307" s="275"/>
      <c r="Y307" s="345"/>
      <c r="Z307" s="345"/>
      <c r="AA307" s="345"/>
      <c r="AB307" s="345"/>
      <c r="AC307" s="345"/>
      <c r="AD307" s="345"/>
      <c r="AE307" s="345"/>
      <c r="AF307" s="345"/>
      <c r="AG307" s="346"/>
      <c r="AH307" s="265"/>
      <c r="AI307" s="338"/>
      <c r="AJ307" s="339"/>
      <c r="AK307" s="265"/>
      <c r="AL307" s="265"/>
      <c r="AM307" s="265"/>
      <c r="AN307" s="265"/>
      <c r="AO307" s="265"/>
      <c r="AP307" s="265"/>
      <c r="AQ307" s="265"/>
      <c r="AR307" s="265"/>
      <c r="AS307" s="265"/>
      <c r="AT307" s="265"/>
      <c r="AU307" s="265"/>
      <c r="AV307" s="265"/>
      <c r="AW307" s="265"/>
      <c r="AX307" s="265"/>
      <c r="AY307" s="265"/>
      <c r="AZ307" s="265"/>
      <c r="BA307" s="265"/>
      <c r="BB307" s="265"/>
      <c r="BC307" s="265"/>
      <c r="BD307" s="265"/>
      <c r="BE307" s="265"/>
      <c r="BF307" s="265"/>
      <c r="BG307" s="265"/>
      <c r="BH307" s="265"/>
      <c r="BI307" s="265"/>
      <c r="BJ307" s="265"/>
      <c r="BK307" s="265"/>
      <c r="BL307" s="265"/>
      <c r="BM307" s="265"/>
      <c r="BN307" s="265"/>
      <c r="BO307" s="265"/>
      <c r="BP307" s="265"/>
      <c r="BQ307" s="265"/>
      <c r="BR307" s="265"/>
      <c r="BS307" s="265"/>
      <c r="BT307" s="265"/>
      <c r="BU307" s="265"/>
      <c r="BV307" s="265"/>
    </row>
    <row r="308">
      <c r="A308" s="252" t="str">
        <f>VLOOKUP($F308,UpdateHashtag!$V$3:$Y$32,COLUMN(B$15),0)</f>
        <v>#N/A</v>
      </c>
      <c r="B308" s="252" t="str">
        <f>VLOOKUP($F308,UpdateHashtag!$V$3:$Y$32,COLUMN(C$13),0)</f>
        <v>#N/A</v>
      </c>
      <c r="C308" s="252" t="str">
        <f>VLOOKUP($F308,UpdateHashtag!$V$3:$Y$32,COLUMN(D$13),0)</f>
        <v>#N/A</v>
      </c>
      <c r="D308" s="344" t="str">
        <f t="shared" si="4"/>
        <v>#N/A</v>
      </c>
      <c r="E308" s="19"/>
      <c r="F308" s="30" t="str">
        <f>IF(VLOOKUP(J308,PasteHashtag!$C$2:$P1015,3,)="BRO","BKN",IF(VLOOKUP(J308,PasteHashtag!$C$2:$P1015,3,)="OKL","OKC",VLOOKUP(J308,PasteHashtag!$C$2:$P1015,3,)))</f>
        <v>#N/A</v>
      </c>
      <c r="G308" s="30">
        <v>288.0</v>
      </c>
      <c r="H308" s="270"/>
      <c r="I308" s="270"/>
      <c r="J308" s="271"/>
      <c r="K308" s="270"/>
      <c r="L308" s="272"/>
      <c r="M308" s="273"/>
      <c r="N308" s="274"/>
      <c r="O308" s="274"/>
      <c r="P308" s="275"/>
      <c r="Q308" s="275"/>
      <c r="R308" s="275"/>
      <c r="S308" s="276"/>
      <c r="T308" s="275"/>
      <c r="U308" s="275"/>
      <c r="V308" s="272"/>
      <c r="W308" s="272"/>
      <c r="X308" s="275"/>
      <c r="Y308" s="345"/>
      <c r="Z308" s="345"/>
      <c r="AA308" s="345"/>
      <c r="AB308" s="345"/>
      <c r="AC308" s="345"/>
      <c r="AD308" s="345"/>
      <c r="AE308" s="345"/>
      <c r="AF308" s="345"/>
      <c r="AG308" s="346"/>
      <c r="AH308" s="265"/>
      <c r="AI308" s="338"/>
      <c r="AJ308" s="339"/>
      <c r="AK308" s="265"/>
      <c r="AL308" s="265"/>
      <c r="AM308" s="265"/>
      <c r="AN308" s="265"/>
      <c r="AO308" s="265"/>
      <c r="AP308" s="265"/>
      <c r="AQ308" s="265"/>
      <c r="AR308" s="265"/>
      <c r="AS308" s="265"/>
      <c r="AT308" s="265"/>
      <c r="AU308" s="265"/>
      <c r="AV308" s="265"/>
      <c r="AW308" s="265"/>
      <c r="AX308" s="265"/>
      <c r="AY308" s="265"/>
      <c r="AZ308" s="265"/>
      <c r="BA308" s="265"/>
      <c r="BB308" s="265"/>
      <c r="BC308" s="265"/>
      <c r="BD308" s="265"/>
      <c r="BE308" s="265"/>
      <c r="BF308" s="265"/>
      <c r="BG308" s="265"/>
      <c r="BH308" s="265"/>
      <c r="BI308" s="265"/>
      <c r="BJ308" s="265"/>
      <c r="BK308" s="265"/>
      <c r="BL308" s="265"/>
      <c r="BM308" s="265"/>
      <c r="BN308" s="265"/>
      <c r="BO308" s="265"/>
      <c r="BP308" s="265"/>
      <c r="BQ308" s="265"/>
      <c r="BR308" s="265"/>
      <c r="BS308" s="265"/>
      <c r="BT308" s="265"/>
      <c r="BU308" s="265"/>
      <c r="BV308" s="265"/>
    </row>
    <row r="309">
      <c r="A309" s="252" t="str">
        <f>VLOOKUP($F309,UpdateHashtag!$V$3:$Y$32,COLUMN(B$15),0)</f>
        <v>#N/A</v>
      </c>
      <c r="B309" s="252" t="str">
        <f>VLOOKUP($F309,UpdateHashtag!$V$3:$Y$32,COLUMN(C$13),0)</f>
        <v>#N/A</v>
      </c>
      <c r="C309" s="252" t="str">
        <f>VLOOKUP($F309,UpdateHashtag!$V$3:$Y$32,COLUMN(D$13),0)</f>
        <v>#N/A</v>
      </c>
      <c r="D309" s="344" t="str">
        <f t="shared" si="4"/>
        <v>#N/A</v>
      </c>
      <c r="E309" s="19"/>
      <c r="F309" s="30" t="str">
        <f>IF(VLOOKUP(J309,PasteHashtag!$C$2:$P1015,3,)="BRO","BKN",IF(VLOOKUP(J309,PasteHashtag!$C$2:$P1015,3,)="OKL","OKC",VLOOKUP(J309,PasteHashtag!$C$2:$P1015,3,)))</f>
        <v>#N/A</v>
      </c>
      <c r="G309" s="30">
        <v>289.0</v>
      </c>
      <c r="H309" s="270"/>
      <c r="I309" s="270"/>
      <c r="J309" s="271"/>
      <c r="K309" s="270"/>
      <c r="L309" s="272"/>
      <c r="M309" s="273"/>
      <c r="N309" s="274"/>
      <c r="O309" s="274"/>
      <c r="P309" s="275"/>
      <c r="Q309" s="275"/>
      <c r="R309" s="275"/>
      <c r="S309" s="276"/>
      <c r="T309" s="275"/>
      <c r="U309" s="275"/>
      <c r="V309" s="272"/>
      <c r="W309" s="272"/>
      <c r="X309" s="275"/>
      <c r="Y309" s="345"/>
      <c r="Z309" s="345"/>
      <c r="AA309" s="345"/>
      <c r="AB309" s="345"/>
      <c r="AC309" s="345"/>
      <c r="AD309" s="345"/>
      <c r="AE309" s="345"/>
      <c r="AF309" s="345"/>
      <c r="AG309" s="346"/>
      <c r="AH309" s="265"/>
      <c r="AI309" s="338"/>
      <c r="AJ309" s="339"/>
      <c r="AK309" s="265"/>
      <c r="AL309" s="265"/>
      <c r="AM309" s="265"/>
      <c r="AN309" s="265"/>
      <c r="AO309" s="265"/>
      <c r="AP309" s="265"/>
      <c r="AQ309" s="265"/>
      <c r="AR309" s="265"/>
      <c r="AS309" s="265"/>
      <c r="AT309" s="265"/>
      <c r="AU309" s="265"/>
      <c r="AV309" s="265"/>
      <c r="AW309" s="265"/>
      <c r="AX309" s="265"/>
      <c r="AY309" s="265"/>
      <c r="AZ309" s="265"/>
      <c r="BA309" s="265"/>
      <c r="BB309" s="265"/>
      <c r="BC309" s="265"/>
      <c r="BD309" s="265"/>
      <c r="BE309" s="265"/>
      <c r="BF309" s="265"/>
      <c r="BG309" s="265"/>
      <c r="BH309" s="265"/>
      <c r="BI309" s="265"/>
      <c r="BJ309" s="265"/>
      <c r="BK309" s="265"/>
      <c r="BL309" s="265"/>
      <c r="BM309" s="265"/>
      <c r="BN309" s="265"/>
      <c r="BO309" s="265"/>
      <c r="BP309" s="265"/>
      <c r="BQ309" s="265"/>
      <c r="BR309" s="265"/>
      <c r="BS309" s="265"/>
      <c r="BT309" s="265"/>
      <c r="BU309" s="265"/>
      <c r="BV309" s="265"/>
    </row>
    <row r="310">
      <c r="A310" s="252" t="str">
        <f>VLOOKUP($F310,UpdateHashtag!$V$3:$Y$32,COLUMN(B$15),0)</f>
        <v>#N/A</v>
      </c>
      <c r="B310" s="252" t="str">
        <f>VLOOKUP($F310,UpdateHashtag!$V$3:$Y$32,COLUMN(C$13),0)</f>
        <v>#N/A</v>
      </c>
      <c r="C310" s="252" t="str">
        <f>VLOOKUP($F310,UpdateHashtag!$V$3:$Y$32,COLUMN(D$13),0)</f>
        <v>#N/A</v>
      </c>
      <c r="D310" s="344" t="str">
        <f t="shared" si="4"/>
        <v>#N/A</v>
      </c>
      <c r="E310" s="19"/>
      <c r="F310" s="30" t="str">
        <f>IF(VLOOKUP(J310,PasteHashtag!$C$2:$P1015,3,)="BRO","BKN",IF(VLOOKUP(J310,PasteHashtag!$C$2:$P1015,3,)="OKL","OKC",VLOOKUP(J310,PasteHashtag!$C$2:$P1015,3,)))</f>
        <v>#N/A</v>
      </c>
      <c r="G310" s="30">
        <v>290.0</v>
      </c>
      <c r="H310" s="270"/>
      <c r="I310" s="270"/>
      <c r="J310" s="271"/>
      <c r="K310" s="270"/>
      <c r="L310" s="272"/>
      <c r="M310" s="273"/>
      <c r="N310" s="274"/>
      <c r="O310" s="274"/>
      <c r="P310" s="275"/>
      <c r="Q310" s="275"/>
      <c r="R310" s="275"/>
      <c r="S310" s="276"/>
      <c r="T310" s="275"/>
      <c r="U310" s="275"/>
      <c r="V310" s="272"/>
      <c r="W310" s="272"/>
      <c r="X310" s="275"/>
      <c r="Y310" s="345"/>
      <c r="Z310" s="345"/>
      <c r="AA310" s="345"/>
      <c r="AB310" s="345"/>
      <c r="AC310" s="345"/>
      <c r="AD310" s="345"/>
      <c r="AE310" s="345"/>
      <c r="AF310" s="345"/>
      <c r="AG310" s="346"/>
      <c r="AH310" s="265"/>
      <c r="AI310" s="338"/>
      <c r="AJ310" s="339"/>
      <c r="AK310" s="265"/>
      <c r="AL310" s="265"/>
      <c r="AM310" s="265"/>
      <c r="AN310" s="265"/>
      <c r="AO310" s="265"/>
      <c r="AP310" s="265"/>
      <c r="AQ310" s="265"/>
      <c r="AR310" s="265"/>
      <c r="AS310" s="265"/>
      <c r="AT310" s="265"/>
      <c r="AU310" s="265"/>
      <c r="AV310" s="265"/>
      <c r="AW310" s="265"/>
      <c r="AX310" s="265"/>
      <c r="AY310" s="265"/>
      <c r="AZ310" s="265"/>
      <c r="BA310" s="265"/>
      <c r="BB310" s="265"/>
      <c r="BC310" s="265"/>
      <c r="BD310" s="265"/>
      <c r="BE310" s="265"/>
      <c r="BF310" s="265"/>
      <c r="BG310" s="265"/>
      <c r="BH310" s="265"/>
      <c r="BI310" s="265"/>
      <c r="BJ310" s="265"/>
      <c r="BK310" s="265"/>
      <c r="BL310" s="265"/>
      <c r="BM310" s="265"/>
      <c r="BN310" s="265"/>
      <c r="BO310" s="265"/>
      <c r="BP310" s="265"/>
      <c r="BQ310" s="265"/>
      <c r="BR310" s="265"/>
      <c r="BS310" s="265"/>
      <c r="BT310" s="265"/>
      <c r="BU310" s="265"/>
      <c r="BV310" s="265"/>
    </row>
    <row r="311">
      <c r="A311" s="252" t="str">
        <f>VLOOKUP($F311,UpdateHashtag!$V$3:$Y$32,COLUMN(B$15),0)</f>
        <v>#N/A</v>
      </c>
      <c r="B311" s="252" t="str">
        <f>VLOOKUP($F311,UpdateHashtag!$V$3:$Y$32,COLUMN(C$13),0)</f>
        <v>#N/A</v>
      </c>
      <c r="C311" s="252" t="str">
        <f>VLOOKUP($F311,UpdateHashtag!$V$3:$Y$32,COLUMN(D$13),0)</f>
        <v>#N/A</v>
      </c>
      <c r="D311" s="344" t="str">
        <f t="shared" si="4"/>
        <v>#N/A</v>
      </c>
      <c r="E311" s="19"/>
      <c r="F311" s="30" t="str">
        <f>IF(VLOOKUP(J311,PasteHashtag!$C$2:$P1015,3,)="BRO","BKN",IF(VLOOKUP(J311,PasteHashtag!$C$2:$P1015,3,)="OKL","OKC",VLOOKUP(J311,PasteHashtag!$C$2:$P1015,3,)))</f>
        <v>#N/A</v>
      </c>
      <c r="G311" s="30">
        <v>291.0</v>
      </c>
      <c r="H311" s="270"/>
      <c r="I311" s="270"/>
      <c r="J311" s="271"/>
      <c r="K311" s="270"/>
      <c r="L311" s="272"/>
      <c r="M311" s="273"/>
      <c r="N311" s="274"/>
      <c r="O311" s="274"/>
      <c r="P311" s="275"/>
      <c r="Q311" s="275"/>
      <c r="R311" s="275"/>
      <c r="S311" s="276"/>
      <c r="T311" s="275"/>
      <c r="U311" s="275"/>
      <c r="V311" s="272"/>
      <c r="W311" s="272"/>
      <c r="X311" s="275"/>
      <c r="Y311" s="345"/>
      <c r="Z311" s="345"/>
      <c r="AA311" s="345"/>
      <c r="AB311" s="345"/>
      <c r="AC311" s="345"/>
      <c r="AD311" s="345"/>
      <c r="AE311" s="345"/>
      <c r="AF311" s="345"/>
      <c r="AG311" s="346"/>
      <c r="AH311" s="265"/>
      <c r="AI311" s="338"/>
      <c r="AJ311" s="339"/>
      <c r="AK311" s="265"/>
      <c r="AL311" s="265"/>
      <c r="AM311" s="265"/>
      <c r="AN311" s="265"/>
      <c r="AO311" s="265"/>
      <c r="AP311" s="265"/>
      <c r="AQ311" s="265"/>
      <c r="AR311" s="265"/>
      <c r="AS311" s="265"/>
      <c r="AT311" s="265"/>
      <c r="AU311" s="265"/>
      <c r="AV311" s="265"/>
      <c r="AW311" s="265"/>
      <c r="AX311" s="265"/>
      <c r="AY311" s="265"/>
      <c r="AZ311" s="265"/>
      <c r="BA311" s="265"/>
      <c r="BB311" s="265"/>
      <c r="BC311" s="265"/>
      <c r="BD311" s="265"/>
      <c r="BE311" s="265"/>
      <c r="BF311" s="265"/>
      <c r="BG311" s="265"/>
      <c r="BH311" s="265"/>
      <c r="BI311" s="265"/>
      <c r="BJ311" s="265"/>
      <c r="BK311" s="265"/>
      <c r="BL311" s="265"/>
      <c r="BM311" s="265"/>
      <c r="BN311" s="265"/>
      <c r="BO311" s="265"/>
      <c r="BP311" s="265"/>
      <c r="BQ311" s="265"/>
      <c r="BR311" s="265"/>
      <c r="BS311" s="265"/>
      <c r="BT311" s="265"/>
      <c r="BU311" s="265"/>
      <c r="BV311" s="265"/>
    </row>
    <row r="312">
      <c r="A312" s="252" t="str">
        <f>VLOOKUP($F312,UpdateHashtag!$V$3:$Y$32,COLUMN(B$15),0)</f>
        <v>#N/A</v>
      </c>
      <c r="B312" s="252" t="str">
        <f>VLOOKUP($F312,UpdateHashtag!$V$3:$Y$32,COLUMN(C$13),0)</f>
        <v>#N/A</v>
      </c>
      <c r="C312" s="252" t="str">
        <f>VLOOKUP($F312,UpdateHashtag!$V$3:$Y$32,COLUMN(D$13),0)</f>
        <v>#N/A</v>
      </c>
      <c r="D312" s="344" t="str">
        <f t="shared" si="4"/>
        <v>#N/A</v>
      </c>
      <c r="E312" s="19"/>
      <c r="F312" s="30" t="str">
        <f>IF(VLOOKUP(J312,PasteHashtag!$C$2:$P1015,3,)="BRO","BKN",IF(VLOOKUP(J312,PasteHashtag!$C$2:$P1015,3,)="OKL","OKC",VLOOKUP(J312,PasteHashtag!$C$2:$P1015,3,)))</f>
        <v>#N/A</v>
      </c>
      <c r="G312" s="30">
        <v>292.0</v>
      </c>
      <c r="H312" s="270"/>
      <c r="I312" s="270"/>
      <c r="J312" s="271"/>
      <c r="K312" s="270"/>
      <c r="L312" s="272"/>
      <c r="M312" s="273"/>
      <c r="N312" s="274"/>
      <c r="O312" s="274"/>
      <c r="P312" s="275"/>
      <c r="Q312" s="275"/>
      <c r="R312" s="275"/>
      <c r="S312" s="276"/>
      <c r="T312" s="275"/>
      <c r="U312" s="275"/>
      <c r="V312" s="272"/>
      <c r="W312" s="272"/>
      <c r="X312" s="275"/>
      <c r="Y312" s="345"/>
      <c r="Z312" s="345"/>
      <c r="AA312" s="345"/>
      <c r="AB312" s="345"/>
      <c r="AC312" s="345"/>
      <c r="AD312" s="345"/>
      <c r="AE312" s="345"/>
      <c r="AF312" s="345"/>
      <c r="AG312" s="346"/>
      <c r="AH312" s="265"/>
      <c r="AI312" s="338"/>
      <c r="AJ312" s="339"/>
      <c r="AK312" s="265"/>
      <c r="AL312" s="265"/>
      <c r="AM312" s="265"/>
      <c r="AN312" s="265"/>
      <c r="AO312" s="265"/>
      <c r="AP312" s="265"/>
      <c r="AQ312" s="265"/>
      <c r="AR312" s="265"/>
      <c r="AS312" s="265"/>
      <c r="AT312" s="265"/>
      <c r="AU312" s="265"/>
      <c r="AV312" s="265"/>
      <c r="AW312" s="265"/>
      <c r="AX312" s="265"/>
      <c r="AY312" s="265"/>
      <c r="AZ312" s="265"/>
      <c r="BA312" s="265"/>
      <c r="BB312" s="265"/>
      <c r="BC312" s="265"/>
      <c r="BD312" s="265"/>
      <c r="BE312" s="265"/>
      <c r="BF312" s="265"/>
      <c r="BG312" s="265"/>
      <c r="BH312" s="265"/>
      <c r="BI312" s="265"/>
      <c r="BJ312" s="265"/>
      <c r="BK312" s="265"/>
      <c r="BL312" s="265"/>
      <c r="BM312" s="265"/>
      <c r="BN312" s="265"/>
      <c r="BO312" s="265"/>
      <c r="BP312" s="265"/>
      <c r="BQ312" s="265"/>
      <c r="BR312" s="265"/>
      <c r="BS312" s="265"/>
      <c r="BT312" s="265"/>
      <c r="BU312" s="265"/>
      <c r="BV312" s="265"/>
    </row>
    <row r="313">
      <c r="A313" s="252" t="str">
        <f>VLOOKUP($F313,UpdateHashtag!$V$3:$Y$32,COLUMN(B$15),0)</f>
        <v>#N/A</v>
      </c>
      <c r="B313" s="252" t="str">
        <f>VLOOKUP($F313,UpdateHashtag!$V$3:$Y$32,COLUMN(C$13),0)</f>
        <v>#N/A</v>
      </c>
      <c r="C313" s="252" t="str">
        <f>VLOOKUP($F313,UpdateHashtag!$V$3:$Y$32,COLUMN(D$13),0)</f>
        <v>#N/A</v>
      </c>
      <c r="D313" s="344" t="str">
        <f t="shared" si="4"/>
        <v>#N/A</v>
      </c>
      <c r="E313" s="19"/>
      <c r="F313" s="30" t="str">
        <f>IF(VLOOKUP(J313,PasteHashtag!$C$2:$P1015,3,)="BRO","BKN",IF(VLOOKUP(J313,PasteHashtag!$C$2:$P1015,3,)="OKL","OKC",VLOOKUP(J313,PasteHashtag!$C$2:$P1015,3,)))</f>
        <v>#N/A</v>
      </c>
      <c r="G313" s="30">
        <v>293.0</v>
      </c>
      <c r="H313" s="270"/>
      <c r="I313" s="270"/>
      <c r="J313" s="271"/>
      <c r="K313" s="270"/>
      <c r="L313" s="272"/>
      <c r="M313" s="273"/>
      <c r="N313" s="274"/>
      <c r="O313" s="274"/>
      <c r="P313" s="275"/>
      <c r="Q313" s="275"/>
      <c r="R313" s="275"/>
      <c r="S313" s="276"/>
      <c r="T313" s="275"/>
      <c r="U313" s="275"/>
      <c r="V313" s="272"/>
      <c r="W313" s="272"/>
      <c r="X313" s="275"/>
      <c r="Y313" s="345"/>
      <c r="Z313" s="345"/>
      <c r="AA313" s="345"/>
      <c r="AB313" s="345"/>
      <c r="AC313" s="345"/>
      <c r="AD313" s="345"/>
      <c r="AE313" s="345"/>
      <c r="AF313" s="345"/>
      <c r="AG313" s="346"/>
      <c r="AH313" s="265"/>
      <c r="AI313" s="338"/>
      <c r="AJ313" s="339"/>
      <c r="AK313" s="265"/>
      <c r="AL313" s="265"/>
      <c r="AM313" s="265"/>
      <c r="AN313" s="265"/>
      <c r="AO313" s="265"/>
      <c r="AP313" s="265"/>
      <c r="AQ313" s="265"/>
      <c r="AR313" s="265"/>
      <c r="AS313" s="265"/>
      <c r="AT313" s="265"/>
      <c r="AU313" s="265"/>
      <c r="AV313" s="265"/>
      <c r="AW313" s="265"/>
      <c r="AX313" s="265"/>
      <c r="AY313" s="265"/>
      <c r="AZ313" s="265"/>
      <c r="BA313" s="265"/>
      <c r="BB313" s="265"/>
      <c r="BC313" s="265"/>
      <c r="BD313" s="265"/>
      <c r="BE313" s="265"/>
      <c r="BF313" s="265"/>
      <c r="BG313" s="265"/>
      <c r="BH313" s="265"/>
      <c r="BI313" s="265"/>
      <c r="BJ313" s="265"/>
      <c r="BK313" s="265"/>
      <c r="BL313" s="265"/>
      <c r="BM313" s="265"/>
      <c r="BN313" s="265"/>
      <c r="BO313" s="265"/>
      <c r="BP313" s="265"/>
      <c r="BQ313" s="265"/>
      <c r="BR313" s="265"/>
      <c r="BS313" s="265"/>
      <c r="BT313" s="265"/>
      <c r="BU313" s="265"/>
      <c r="BV313" s="265"/>
    </row>
    <row r="314">
      <c r="A314" s="252" t="str">
        <f>VLOOKUP($F314,UpdateHashtag!$V$3:$Y$32,COLUMN(B$15),0)</f>
        <v>#N/A</v>
      </c>
      <c r="B314" s="252" t="str">
        <f>VLOOKUP($F314,UpdateHashtag!$V$3:$Y$32,COLUMN(C$13),0)</f>
        <v>#N/A</v>
      </c>
      <c r="C314" s="252" t="str">
        <f>VLOOKUP($F314,UpdateHashtag!$V$3:$Y$32,COLUMN(D$13),0)</f>
        <v>#N/A</v>
      </c>
      <c r="D314" s="344" t="str">
        <f t="shared" si="4"/>
        <v>#N/A</v>
      </c>
      <c r="E314" s="19"/>
      <c r="F314" s="30" t="str">
        <f>IF(VLOOKUP(J314,PasteHashtag!$C$2:$P1015,3,)="BRO","BKN",IF(VLOOKUP(J314,PasteHashtag!$C$2:$P1015,3,)="OKL","OKC",VLOOKUP(J314,PasteHashtag!$C$2:$P1015,3,)))</f>
        <v>#N/A</v>
      </c>
      <c r="G314" s="30">
        <v>294.0</v>
      </c>
      <c r="H314" s="270"/>
      <c r="I314" s="270"/>
      <c r="J314" s="271"/>
      <c r="K314" s="270"/>
      <c r="L314" s="272"/>
      <c r="M314" s="273"/>
      <c r="N314" s="274"/>
      <c r="O314" s="274"/>
      <c r="P314" s="275"/>
      <c r="Q314" s="275"/>
      <c r="R314" s="275"/>
      <c r="S314" s="276"/>
      <c r="T314" s="275"/>
      <c r="U314" s="275"/>
      <c r="V314" s="272"/>
      <c r="W314" s="272"/>
      <c r="X314" s="275"/>
      <c r="Y314" s="345"/>
      <c r="Z314" s="345"/>
      <c r="AA314" s="345"/>
      <c r="AB314" s="345"/>
      <c r="AC314" s="345"/>
      <c r="AD314" s="345"/>
      <c r="AE314" s="345"/>
      <c r="AF314" s="345"/>
      <c r="AG314" s="346"/>
      <c r="AH314" s="265"/>
      <c r="AI314" s="338"/>
      <c r="AJ314" s="339"/>
      <c r="AK314" s="265"/>
      <c r="AL314" s="265"/>
      <c r="AM314" s="265"/>
      <c r="AN314" s="265"/>
      <c r="AO314" s="265"/>
      <c r="AP314" s="265"/>
      <c r="AQ314" s="265"/>
      <c r="AR314" s="265"/>
      <c r="AS314" s="265"/>
      <c r="AT314" s="265"/>
      <c r="AU314" s="265"/>
      <c r="AV314" s="265"/>
      <c r="AW314" s="265"/>
      <c r="AX314" s="265"/>
      <c r="AY314" s="265"/>
      <c r="AZ314" s="265"/>
      <c r="BA314" s="265"/>
      <c r="BB314" s="265"/>
      <c r="BC314" s="265"/>
      <c r="BD314" s="265"/>
      <c r="BE314" s="265"/>
      <c r="BF314" s="265"/>
      <c r="BG314" s="265"/>
      <c r="BH314" s="265"/>
      <c r="BI314" s="265"/>
      <c r="BJ314" s="265"/>
      <c r="BK314" s="265"/>
      <c r="BL314" s="265"/>
      <c r="BM314" s="265"/>
      <c r="BN314" s="265"/>
      <c r="BO314" s="265"/>
      <c r="BP314" s="265"/>
      <c r="BQ314" s="265"/>
      <c r="BR314" s="265"/>
      <c r="BS314" s="265"/>
      <c r="BT314" s="265"/>
      <c r="BU314" s="265"/>
      <c r="BV314" s="265"/>
    </row>
    <row r="315">
      <c r="A315" s="252" t="str">
        <f>VLOOKUP($F315,UpdateHashtag!$V$3:$Y$32,COLUMN(B$15),0)</f>
        <v>#N/A</v>
      </c>
      <c r="B315" s="252" t="str">
        <f>VLOOKUP($F315,UpdateHashtag!$V$3:$Y$32,COLUMN(C$13),0)</f>
        <v>#N/A</v>
      </c>
      <c r="C315" s="252" t="str">
        <f>VLOOKUP($F315,UpdateHashtag!$V$3:$Y$32,COLUMN(D$13),0)</f>
        <v>#N/A</v>
      </c>
      <c r="D315" s="344" t="str">
        <f t="shared" si="4"/>
        <v>#N/A</v>
      </c>
      <c r="E315" s="19"/>
      <c r="F315" s="30" t="str">
        <f>IF(VLOOKUP(J315,PasteHashtag!$C$2:$P1015,3,)="BRO","BKN",IF(VLOOKUP(J315,PasteHashtag!$C$2:$P1015,3,)="OKL","OKC",VLOOKUP(J315,PasteHashtag!$C$2:$P1015,3,)))</f>
        <v>#N/A</v>
      </c>
      <c r="G315" s="30">
        <v>295.0</v>
      </c>
      <c r="H315" s="270"/>
      <c r="I315" s="270"/>
      <c r="J315" s="271"/>
      <c r="K315" s="270"/>
      <c r="L315" s="272"/>
      <c r="M315" s="273"/>
      <c r="N315" s="274"/>
      <c r="O315" s="274"/>
      <c r="P315" s="275"/>
      <c r="Q315" s="275"/>
      <c r="R315" s="275"/>
      <c r="S315" s="276"/>
      <c r="T315" s="275"/>
      <c r="U315" s="275"/>
      <c r="V315" s="272"/>
      <c r="W315" s="272"/>
      <c r="X315" s="275"/>
      <c r="Y315" s="345"/>
      <c r="Z315" s="345"/>
      <c r="AA315" s="345"/>
      <c r="AB315" s="345"/>
      <c r="AC315" s="345"/>
      <c r="AD315" s="345"/>
      <c r="AE315" s="345"/>
      <c r="AF315" s="345"/>
      <c r="AG315" s="346"/>
      <c r="AH315" s="265"/>
      <c r="AI315" s="338"/>
      <c r="AJ315" s="339"/>
      <c r="AK315" s="265"/>
      <c r="AL315" s="265"/>
      <c r="AM315" s="265"/>
      <c r="AN315" s="265"/>
      <c r="AO315" s="265"/>
      <c r="AP315" s="265"/>
      <c r="AQ315" s="265"/>
      <c r="AR315" s="265"/>
      <c r="AS315" s="265"/>
      <c r="AT315" s="265"/>
      <c r="AU315" s="265"/>
      <c r="AV315" s="265"/>
      <c r="AW315" s="265"/>
      <c r="AX315" s="265"/>
      <c r="AY315" s="265"/>
      <c r="AZ315" s="265"/>
      <c r="BA315" s="265"/>
      <c r="BB315" s="265"/>
      <c r="BC315" s="265"/>
      <c r="BD315" s="265"/>
      <c r="BE315" s="265"/>
      <c r="BF315" s="265"/>
      <c r="BG315" s="265"/>
      <c r="BH315" s="265"/>
      <c r="BI315" s="265"/>
      <c r="BJ315" s="265"/>
      <c r="BK315" s="265"/>
      <c r="BL315" s="265"/>
      <c r="BM315" s="265"/>
      <c r="BN315" s="265"/>
      <c r="BO315" s="265"/>
      <c r="BP315" s="265"/>
      <c r="BQ315" s="265"/>
      <c r="BR315" s="265"/>
      <c r="BS315" s="265"/>
      <c r="BT315" s="265"/>
      <c r="BU315" s="265"/>
      <c r="BV315" s="265"/>
    </row>
    <row r="316">
      <c r="A316" s="252" t="str">
        <f>VLOOKUP($F316,UpdateHashtag!$V$3:$Y$32,COLUMN(B$15),0)</f>
        <v>#N/A</v>
      </c>
      <c r="B316" s="252" t="str">
        <f>VLOOKUP($F316,UpdateHashtag!$V$3:$Y$32,COLUMN(C$13),0)</f>
        <v>#N/A</v>
      </c>
      <c r="C316" s="252" t="str">
        <f>VLOOKUP($F316,UpdateHashtag!$V$3:$Y$32,COLUMN(D$13),0)</f>
        <v>#N/A</v>
      </c>
      <c r="D316" s="344" t="str">
        <f t="shared" si="4"/>
        <v>#N/A</v>
      </c>
      <c r="E316" s="19"/>
      <c r="F316" s="30" t="str">
        <f>IF(VLOOKUP(J316,PasteHashtag!$C$2:$P1015,3,)="BRO","BKN",IF(VLOOKUP(J316,PasteHashtag!$C$2:$P1015,3,)="OKL","OKC",VLOOKUP(J316,PasteHashtag!$C$2:$P1015,3,)))</f>
        <v>#N/A</v>
      </c>
      <c r="G316" s="30">
        <v>296.0</v>
      </c>
      <c r="H316" s="270"/>
      <c r="I316" s="270"/>
      <c r="J316" s="271"/>
      <c r="K316" s="270"/>
      <c r="L316" s="272"/>
      <c r="M316" s="273"/>
      <c r="N316" s="274"/>
      <c r="O316" s="274"/>
      <c r="P316" s="275"/>
      <c r="Q316" s="275"/>
      <c r="R316" s="275"/>
      <c r="S316" s="276"/>
      <c r="T316" s="275"/>
      <c r="U316" s="275"/>
      <c r="V316" s="272"/>
      <c r="W316" s="272"/>
      <c r="X316" s="275"/>
      <c r="Y316" s="345"/>
      <c r="Z316" s="345"/>
      <c r="AA316" s="345"/>
      <c r="AB316" s="345"/>
      <c r="AC316" s="345"/>
      <c r="AD316" s="345"/>
      <c r="AE316" s="345"/>
      <c r="AF316" s="345"/>
      <c r="AG316" s="346"/>
      <c r="AH316" s="265"/>
      <c r="AI316" s="338"/>
      <c r="AJ316" s="339"/>
      <c r="AK316" s="265"/>
      <c r="AL316" s="265"/>
      <c r="AM316" s="265"/>
      <c r="AN316" s="265"/>
      <c r="AO316" s="265"/>
      <c r="AP316" s="265"/>
      <c r="AQ316" s="265"/>
      <c r="AR316" s="265"/>
      <c r="AS316" s="265"/>
      <c r="AT316" s="265"/>
      <c r="AU316" s="265"/>
      <c r="AV316" s="265"/>
      <c r="AW316" s="265"/>
      <c r="AX316" s="265"/>
      <c r="AY316" s="265"/>
      <c r="AZ316" s="265"/>
      <c r="BA316" s="265"/>
      <c r="BB316" s="265"/>
      <c r="BC316" s="265"/>
      <c r="BD316" s="265"/>
      <c r="BE316" s="265"/>
      <c r="BF316" s="265"/>
      <c r="BG316" s="265"/>
      <c r="BH316" s="265"/>
      <c r="BI316" s="265"/>
      <c r="BJ316" s="265"/>
      <c r="BK316" s="265"/>
      <c r="BL316" s="265"/>
      <c r="BM316" s="265"/>
      <c r="BN316" s="265"/>
      <c r="BO316" s="265"/>
      <c r="BP316" s="265"/>
      <c r="BQ316" s="265"/>
      <c r="BR316" s="265"/>
      <c r="BS316" s="265"/>
      <c r="BT316" s="265"/>
      <c r="BU316" s="265"/>
      <c r="BV316" s="265"/>
    </row>
    <row r="317">
      <c r="A317" s="252" t="str">
        <f>VLOOKUP($F317,UpdateHashtag!$V$3:$Y$32,COLUMN(B$15),0)</f>
        <v>#N/A</v>
      </c>
      <c r="B317" s="252" t="str">
        <f>VLOOKUP($F317,UpdateHashtag!$V$3:$Y$32,COLUMN(C$13),0)</f>
        <v>#N/A</v>
      </c>
      <c r="C317" s="252" t="str">
        <f>VLOOKUP($F317,UpdateHashtag!$V$3:$Y$32,COLUMN(D$13),0)</f>
        <v>#N/A</v>
      </c>
      <c r="D317" s="344" t="str">
        <f t="shared" si="4"/>
        <v>#N/A</v>
      </c>
      <c r="E317" s="19"/>
      <c r="F317" s="30" t="str">
        <f>IF(VLOOKUP(J317,PasteHashtag!$C$2:$P1015,3,)="BRO","BKN",IF(VLOOKUP(J317,PasteHashtag!$C$2:$P1015,3,)="OKL","OKC",VLOOKUP(J317,PasteHashtag!$C$2:$P1015,3,)))</f>
        <v>#N/A</v>
      </c>
      <c r="G317" s="30">
        <v>297.0</v>
      </c>
      <c r="H317" s="270"/>
      <c r="I317" s="270"/>
      <c r="J317" s="271"/>
      <c r="K317" s="270"/>
      <c r="L317" s="272"/>
      <c r="M317" s="273"/>
      <c r="N317" s="274"/>
      <c r="O317" s="274"/>
      <c r="P317" s="275"/>
      <c r="Q317" s="275"/>
      <c r="R317" s="275"/>
      <c r="S317" s="276"/>
      <c r="T317" s="275"/>
      <c r="U317" s="275"/>
      <c r="V317" s="272"/>
      <c r="W317" s="272"/>
      <c r="X317" s="275"/>
      <c r="Y317" s="345"/>
      <c r="Z317" s="345"/>
      <c r="AA317" s="345"/>
      <c r="AB317" s="345"/>
      <c r="AC317" s="345"/>
      <c r="AD317" s="345"/>
      <c r="AE317" s="345"/>
      <c r="AF317" s="345"/>
      <c r="AG317" s="346"/>
      <c r="AH317" s="265"/>
      <c r="AI317" s="338"/>
      <c r="AJ317" s="339"/>
      <c r="AK317" s="265"/>
      <c r="AL317" s="265"/>
      <c r="AM317" s="265"/>
      <c r="AN317" s="265"/>
      <c r="AO317" s="265"/>
      <c r="AP317" s="265"/>
      <c r="AQ317" s="265"/>
      <c r="AR317" s="265"/>
      <c r="AS317" s="265"/>
      <c r="AT317" s="265"/>
      <c r="AU317" s="265"/>
      <c r="AV317" s="265"/>
      <c r="AW317" s="265"/>
      <c r="AX317" s="265"/>
      <c r="AY317" s="265"/>
      <c r="AZ317" s="265"/>
      <c r="BA317" s="265"/>
      <c r="BB317" s="265"/>
      <c r="BC317" s="265"/>
      <c r="BD317" s="265"/>
      <c r="BE317" s="265"/>
      <c r="BF317" s="265"/>
      <c r="BG317" s="265"/>
      <c r="BH317" s="265"/>
      <c r="BI317" s="265"/>
      <c r="BJ317" s="265"/>
      <c r="BK317" s="265"/>
      <c r="BL317" s="265"/>
      <c r="BM317" s="265"/>
      <c r="BN317" s="265"/>
      <c r="BO317" s="265"/>
      <c r="BP317" s="265"/>
      <c r="BQ317" s="265"/>
      <c r="BR317" s="265"/>
      <c r="BS317" s="265"/>
      <c r="BT317" s="265"/>
      <c r="BU317" s="265"/>
      <c r="BV317" s="265"/>
    </row>
    <row r="318">
      <c r="A318" s="252" t="str">
        <f>VLOOKUP($F318,UpdateHashtag!$V$3:$Y$32,COLUMN(B$15),0)</f>
        <v>#N/A</v>
      </c>
      <c r="B318" s="252" t="str">
        <f>VLOOKUP($F318,UpdateHashtag!$V$3:$Y$32,COLUMN(C$13),0)</f>
        <v>#N/A</v>
      </c>
      <c r="C318" s="252" t="str">
        <f>VLOOKUP($F318,UpdateHashtag!$V$3:$Y$32,COLUMN(D$13),0)</f>
        <v>#N/A</v>
      </c>
      <c r="D318" s="344" t="str">
        <f t="shared" si="4"/>
        <v>#N/A</v>
      </c>
      <c r="E318" s="19"/>
      <c r="F318" s="30" t="str">
        <f>IF(VLOOKUP(J318,PasteHashtag!$C$2:$P1015,3,)="BRO","BKN",IF(VLOOKUP(J318,PasteHashtag!$C$2:$P1015,3,)="OKL","OKC",VLOOKUP(J318,PasteHashtag!$C$2:$P1015,3,)))</f>
        <v>#N/A</v>
      </c>
      <c r="G318" s="30">
        <v>298.0</v>
      </c>
      <c r="H318" s="270"/>
      <c r="I318" s="270"/>
      <c r="J318" s="271"/>
      <c r="K318" s="270"/>
      <c r="L318" s="272"/>
      <c r="M318" s="273"/>
      <c r="N318" s="274"/>
      <c r="O318" s="274"/>
      <c r="P318" s="275"/>
      <c r="Q318" s="275"/>
      <c r="R318" s="275"/>
      <c r="S318" s="276"/>
      <c r="T318" s="275"/>
      <c r="U318" s="275"/>
      <c r="V318" s="272"/>
      <c r="W318" s="272"/>
      <c r="X318" s="275"/>
      <c r="Y318" s="345"/>
      <c r="Z318" s="345"/>
      <c r="AA318" s="345"/>
      <c r="AB318" s="345"/>
      <c r="AC318" s="345"/>
      <c r="AD318" s="345"/>
      <c r="AE318" s="345"/>
      <c r="AF318" s="345"/>
      <c r="AG318" s="346"/>
      <c r="AH318" s="265"/>
      <c r="AI318" s="338"/>
      <c r="AJ318" s="339"/>
      <c r="AK318" s="265"/>
      <c r="AL318" s="265"/>
      <c r="AM318" s="265"/>
      <c r="AN318" s="265"/>
      <c r="AO318" s="265"/>
      <c r="AP318" s="265"/>
      <c r="AQ318" s="265"/>
      <c r="AR318" s="265"/>
      <c r="AS318" s="265"/>
      <c r="AT318" s="265"/>
      <c r="AU318" s="265"/>
      <c r="AV318" s="265"/>
      <c r="AW318" s="265"/>
      <c r="AX318" s="265"/>
      <c r="AY318" s="265"/>
      <c r="AZ318" s="265"/>
      <c r="BA318" s="265"/>
      <c r="BB318" s="265"/>
      <c r="BC318" s="265"/>
      <c r="BD318" s="265"/>
      <c r="BE318" s="265"/>
      <c r="BF318" s="265"/>
      <c r="BG318" s="265"/>
      <c r="BH318" s="265"/>
      <c r="BI318" s="265"/>
      <c r="BJ318" s="265"/>
      <c r="BK318" s="265"/>
      <c r="BL318" s="265"/>
      <c r="BM318" s="265"/>
      <c r="BN318" s="265"/>
      <c r="BO318" s="265"/>
      <c r="BP318" s="265"/>
      <c r="BQ318" s="265"/>
      <c r="BR318" s="265"/>
      <c r="BS318" s="265"/>
      <c r="BT318" s="265"/>
      <c r="BU318" s="265"/>
      <c r="BV318" s="265"/>
    </row>
    <row r="319">
      <c r="A319" s="252" t="str">
        <f>VLOOKUP($F319,UpdateHashtag!$V$3:$Y$32,COLUMN(B$15),0)</f>
        <v>#N/A</v>
      </c>
      <c r="B319" s="252" t="str">
        <f>VLOOKUP($F319,UpdateHashtag!$V$3:$Y$32,COLUMN(C$13),0)</f>
        <v>#N/A</v>
      </c>
      <c r="C319" s="252" t="str">
        <f>VLOOKUP($F319,UpdateHashtag!$V$3:$Y$32,COLUMN(D$13),0)</f>
        <v>#N/A</v>
      </c>
      <c r="D319" s="344" t="str">
        <f t="shared" si="4"/>
        <v>#N/A</v>
      </c>
      <c r="E319" s="19"/>
      <c r="F319" s="30" t="str">
        <f>IF(VLOOKUP(J319,PasteHashtag!$C$2:$P1015,3,)="BRO","BKN",IF(VLOOKUP(J319,PasteHashtag!$C$2:$P1015,3,)="OKL","OKC",VLOOKUP(J319,PasteHashtag!$C$2:$P1015,3,)))</f>
        <v>#N/A</v>
      </c>
      <c r="G319" s="30">
        <v>299.0</v>
      </c>
      <c r="H319" s="270"/>
      <c r="I319" s="270"/>
      <c r="J319" s="271"/>
      <c r="K319" s="270"/>
      <c r="L319" s="272"/>
      <c r="M319" s="273"/>
      <c r="N319" s="274"/>
      <c r="O319" s="274"/>
      <c r="P319" s="275"/>
      <c r="Q319" s="275"/>
      <c r="R319" s="275"/>
      <c r="S319" s="276"/>
      <c r="T319" s="275"/>
      <c r="U319" s="275"/>
      <c r="V319" s="272"/>
      <c r="W319" s="272"/>
      <c r="X319" s="275"/>
      <c r="Y319" s="345"/>
      <c r="Z319" s="345"/>
      <c r="AA319" s="345"/>
      <c r="AB319" s="345"/>
      <c r="AC319" s="345"/>
      <c r="AD319" s="345"/>
      <c r="AE319" s="345"/>
      <c r="AF319" s="345"/>
      <c r="AG319" s="346"/>
      <c r="AH319" s="265"/>
      <c r="AI319" s="338"/>
      <c r="AJ319" s="339"/>
      <c r="AK319" s="265"/>
      <c r="AL319" s="265"/>
      <c r="AM319" s="265"/>
      <c r="AN319" s="265"/>
      <c r="AO319" s="265"/>
      <c r="AP319" s="265"/>
      <c r="AQ319" s="265"/>
      <c r="AR319" s="265"/>
      <c r="AS319" s="265"/>
      <c r="AT319" s="265"/>
      <c r="AU319" s="265"/>
      <c r="AV319" s="265"/>
      <c r="AW319" s="265"/>
      <c r="AX319" s="265"/>
      <c r="AY319" s="265"/>
      <c r="AZ319" s="265"/>
      <c r="BA319" s="265"/>
      <c r="BB319" s="265"/>
      <c r="BC319" s="265"/>
      <c r="BD319" s="265"/>
      <c r="BE319" s="265"/>
      <c r="BF319" s="265"/>
      <c r="BG319" s="265"/>
      <c r="BH319" s="265"/>
      <c r="BI319" s="265"/>
      <c r="BJ319" s="265"/>
      <c r="BK319" s="265"/>
      <c r="BL319" s="265"/>
      <c r="BM319" s="265"/>
      <c r="BN319" s="265"/>
      <c r="BO319" s="265"/>
      <c r="BP319" s="265"/>
      <c r="BQ319" s="265"/>
      <c r="BR319" s="265"/>
      <c r="BS319" s="265"/>
      <c r="BT319" s="265"/>
      <c r="BU319" s="265"/>
      <c r="BV319" s="265"/>
    </row>
    <row r="320">
      <c r="A320" s="252" t="str">
        <f>VLOOKUP($F320,UpdateHashtag!$V$3:$Y$32,COLUMN(B$15),0)</f>
        <v>#N/A</v>
      </c>
      <c r="B320" s="252" t="str">
        <f>VLOOKUP($F320,UpdateHashtag!$V$3:$Y$32,COLUMN(C$13),0)</f>
        <v>#N/A</v>
      </c>
      <c r="C320" s="252" t="str">
        <f>VLOOKUP($F320,UpdateHashtag!$V$3:$Y$32,COLUMN(D$13),0)</f>
        <v>#N/A</v>
      </c>
      <c r="D320" s="344" t="str">
        <f t="shared" si="4"/>
        <v>#N/A</v>
      </c>
      <c r="E320" s="19"/>
      <c r="F320" s="30" t="str">
        <f>IF(VLOOKUP(J320,PasteHashtag!$C$2:$P1015,3,)="BRO","BKN",IF(VLOOKUP(J320,PasteHashtag!$C$2:$P1015,3,)="OKL","OKC",VLOOKUP(J320,PasteHashtag!$C$2:$P1015,3,)))</f>
        <v>#N/A</v>
      </c>
      <c r="G320" s="30">
        <v>300.0</v>
      </c>
      <c r="H320" s="270"/>
      <c r="I320" s="270"/>
      <c r="J320" s="271"/>
      <c r="K320" s="270"/>
      <c r="L320" s="272"/>
      <c r="M320" s="273"/>
      <c r="N320" s="274"/>
      <c r="O320" s="274"/>
      <c r="P320" s="275"/>
      <c r="Q320" s="275"/>
      <c r="R320" s="275"/>
      <c r="S320" s="276"/>
      <c r="T320" s="275"/>
      <c r="U320" s="275"/>
      <c r="V320" s="272"/>
      <c r="W320" s="272"/>
      <c r="X320" s="275"/>
      <c r="Y320" s="345"/>
      <c r="Z320" s="345"/>
      <c r="AA320" s="345"/>
      <c r="AB320" s="345"/>
      <c r="AC320" s="345"/>
      <c r="AD320" s="345"/>
      <c r="AE320" s="345"/>
      <c r="AF320" s="345"/>
      <c r="AG320" s="346"/>
      <c r="AH320" s="265"/>
      <c r="AI320" s="338"/>
      <c r="AJ320" s="339"/>
      <c r="AK320" s="265"/>
      <c r="AL320" s="265"/>
      <c r="AM320" s="265"/>
      <c r="AN320" s="265"/>
      <c r="AO320" s="265"/>
      <c r="AP320" s="265"/>
      <c r="AQ320" s="265"/>
      <c r="AR320" s="265"/>
      <c r="AS320" s="265"/>
      <c r="AT320" s="265"/>
      <c r="AU320" s="265"/>
      <c r="AV320" s="265"/>
      <c r="AW320" s="265"/>
      <c r="AX320" s="265"/>
      <c r="AY320" s="265"/>
      <c r="AZ320" s="265"/>
      <c r="BA320" s="265"/>
      <c r="BB320" s="265"/>
      <c r="BC320" s="265"/>
      <c r="BD320" s="265"/>
      <c r="BE320" s="265"/>
      <c r="BF320" s="265"/>
      <c r="BG320" s="265"/>
      <c r="BH320" s="265"/>
      <c r="BI320" s="265"/>
      <c r="BJ320" s="265"/>
      <c r="BK320" s="265"/>
      <c r="BL320" s="265"/>
      <c r="BM320" s="265"/>
      <c r="BN320" s="265"/>
      <c r="BO320" s="265"/>
      <c r="BP320" s="265"/>
      <c r="BQ320" s="265"/>
      <c r="BR320" s="265"/>
      <c r="BS320" s="265"/>
      <c r="BT320" s="265"/>
      <c r="BU320" s="265"/>
      <c r="BV320" s="265"/>
    </row>
    <row r="321">
      <c r="A321" s="252" t="str">
        <f>VLOOKUP($F321,UpdateHashtag!$V$3:$Y$32,COLUMN(B$15),0)</f>
        <v>#N/A</v>
      </c>
      <c r="B321" s="252" t="str">
        <f>VLOOKUP($F321,UpdateHashtag!$V$3:$Y$32,COLUMN(C$13),0)</f>
        <v>#N/A</v>
      </c>
      <c r="C321" s="252" t="str">
        <f>VLOOKUP($F321,UpdateHashtag!$V$3:$Y$32,COLUMN(D$13),0)</f>
        <v>#N/A</v>
      </c>
      <c r="D321" s="344" t="str">
        <f t="shared" si="4"/>
        <v>#N/A</v>
      </c>
      <c r="E321" s="19"/>
      <c r="F321" s="30" t="str">
        <f>IF(VLOOKUP(J321,PasteHashtag!$C$2:$P1015,3,)="BRO","BKN",IF(VLOOKUP(J321,PasteHashtag!$C$2:$P1015,3,)="OKL","OKC",VLOOKUP(J321,PasteHashtag!$C$2:$P1015,3,)))</f>
        <v>#N/A</v>
      </c>
      <c r="G321" s="30">
        <v>301.0</v>
      </c>
      <c r="H321" s="270"/>
      <c r="I321" s="270"/>
      <c r="J321" s="271"/>
      <c r="K321" s="270"/>
      <c r="L321" s="272"/>
      <c r="M321" s="273"/>
      <c r="N321" s="274"/>
      <c r="O321" s="274"/>
      <c r="P321" s="275"/>
      <c r="Q321" s="275"/>
      <c r="R321" s="275"/>
      <c r="S321" s="276"/>
      <c r="T321" s="275"/>
      <c r="U321" s="275"/>
      <c r="V321" s="272"/>
      <c r="W321" s="272"/>
      <c r="X321" s="275"/>
      <c r="Y321" s="345"/>
      <c r="Z321" s="345"/>
      <c r="AA321" s="345"/>
      <c r="AB321" s="345"/>
      <c r="AC321" s="345"/>
      <c r="AD321" s="345"/>
      <c r="AE321" s="345"/>
      <c r="AF321" s="345"/>
      <c r="AG321" s="346"/>
      <c r="AH321" s="265"/>
      <c r="AI321" s="338"/>
      <c r="AJ321" s="339"/>
      <c r="AK321" s="265"/>
      <c r="AL321" s="265"/>
      <c r="AM321" s="265"/>
      <c r="AN321" s="265"/>
      <c r="AO321" s="265"/>
      <c r="AP321" s="265"/>
      <c r="AQ321" s="265"/>
      <c r="AR321" s="265"/>
      <c r="AS321" s="265"/>
      <c r="AT321" s="265"/>
      <c r="AU321" s="265"/>
      <c r="AV321" s="265"/>
      <c r="AW321" s="265"/>
      <c r="AX321" s="265"/>
      <c r="AY321" s="265"/>
      <c r="AZ321" s="265"/>
      <c r="BA321" s="265"/>
      <c r="BB321" s="265"/>
      <c r="BC321" s="265"/>
      <c r="BD321" s="265"/>
      <c r="BE321" s="265"/>
      <c r="BF321" s="265"/>
      <c r="BG321" s="265"/>
      <c r="BH321" s="265"/>
      <c r="BI321" s="265"/>
      <c r="BJ321" s="265"/>
      <c r="BK321" s="265"/>
      <c r="BL321" s="265"/>
      <c r="BM321" s="265"/>
      <c r="BN321" s="265"/>
      <c r="BO321" s="265"/>
      <c r="BP321" s="265"/>
      <c r="BQ321" s="265"/>
      <c r="BR321" s="265"/>
      <c r="BS321" s="265"/>
      <c r="BT321" s="265"/>
      <c r="BU321" s="265"/>
      <c r="BV321" s="265"/>
    </row>
    <row r="322">
      <c r="A322" s="252" t="str">
        <f>VLOOKUP($F322,UpdateHashtag!$V$3:$Y$32,COLUMN(B$15),0)</f>
        <v>#N/A</v>
      </c>
      <c r="B322" s="252" t="str">
        <f>VLOOKUP($F322,UpdateHashtag!$V$3:$Y$32,COLUMN(C$13),0)</f>
        <v>#N/A</v>
      </c>
      <c r="C322" s="252" t="str">
        <f>VLOOKUP($F322,UpdateHashtag!$V$3:$Y$32,COLUMN(D$13),0)</f>
        <v>#N/A</v>
      </c>
      <c r="D322" s="344" t="str">
        <f t="shared" si="4"/>
        <v>#N/A</v>
      </c>
      <c r="E322" s="19"/>
      <c r="F322" s="30" t="str">
        <f>IF(VLOOKUP(J322,PasteHashtag!$C$2:$P1015,3,)="BRO","BKN",IF(VLOOKUP(J322,PasteHashtag!$C$2:$P1015,3,)="OKL","OKC",VLOOKUP(J322,PasteHashtag!$C$2:$P1015,3,)))</f>
        <v>#N/A</v>
      </c>
      <c r="G322" s="30">
        <v>302.0</v>
      </c>
      <c r="H322" s="270"/>
      <c r="I322" s="270"/>
      <c r="J322" s="271"/>
      <c r="K322" s="270"/>
      <c r="L322" s="272"/>
      <c r="M322" s="273"/>
      <c r="N322" s="274"/>
      <c r="O322" s="274"/>
      <c r="P322" s="275"/>
      <c r="Q322" s="275"/>
      <c r="R322" s="275"/>
      <c r="S322" s="276"/>
      <c r="T322" s="275"/>
      <c r="U322" s="275"/>
      <c r="V322" s="272"/>
      <c r="W322" s="272"/>
      <c r="X322" s="275"/>
      <c r="Y322" s="345"/>
      <c r="Z322" s="345"/>
      <c r="AA322" s="345"/>
      <c r="AB322" s="345"/>
      <c r="AC322" s="345"/>
      <c r="AD322" s="345"/>
      <c r="AE322" s="345"/>
      <c r="AF322" s="345"/>
      <c r="AG322" s="346"/>
      <c r="AH322" s="265"/>
      <c r="AI322" s="338"/>
      <c r="AJ322" s="339"/>
      <c r="AK322" s="265"/>
      <c r="AL322" s="265"/>
      <c r="AM322" s="265"/>
      <c r="AN322" s="265"/>
      <c r="AO322" s="265"/>
      <c r="AP322" s="265"/>
      <c r="AQ322" s="265"/>
      <c r="AR322" s="265"/>
      <c r="AS322" s="265"/>
      <c r="AT322" s="265"/>
      <c r="AU322" s="265"/>
      <c r="AV322" s="265"/>
      <c r="AW322" s="265"/>
      <c r="AX322" s="265"/>
      <c r="AY322" s="265"/>
      <c r="AZ322" s="265"/>
      <c r="BA322" s="265"/>
      <c r="BB322" s="265"/>
      <c r="BC322" s="265"/>
      <c r="BD322" s="265"/>
      <c r="BE322" s="265"/>
      <c r="BF322" s="265"/>
      <c r="BG322" s="265"/>
      <c r="BH322" s="265"/>
      <c r="BI322" s="265"/>
      <c r="BJ322" s="265"/>
      <c r="BK322" s="265"/>
      <c r="BL322" s="265"/>
      <c r="BM322" s="265"/>
      <c r="BN322" s="265"/>
      <c r="BO322" s="265"/>
      <c r="BP322" s="265"/>
      <c r="BQ322" s="265"/>
      <c r="BR322" s="265"/>
      <c r="BS322" s="265"/>
      <c r="BT322" s="265"/>
      <c r="BU322" s="265"/>
      <c r="BV322" s="265"/>
    </row>
    <row r="323">
      <c r="A323" s="252" t="str">
        <f>VLOOKUP($F323,UpdateHashtag!$V$3:$Y$32,COLUMN(B$15),0)</f>
        <v>#N/A</v>
      </c>
      <c r="B323" s="252" t="str">
        <f>VLOOKUP($F323,UpdateHashtag!$V$3:$Y$32,COLUMN(C$13),0)</f>
        <v>#N/A</v>
      </c>
      <c r="C323" s="252" t="str">
        <f>VLOOKUP($F323,UpdateHashtag!$V$3:$Y$32,COLUMN(D$13),0)</f>
        <v>#N/A</v>
      </c>
      <c r="D323" s="344" t="str">
        <f t="shared" si="4"/>
        <v>#N/A</v>
      </c>
      <c r="E323" s="19"/>
      <c r="F323" s="30" t="str">
        <f>IF(VLOOKUP(J323,PasteHashtag!$C$2:$P1015,3,)="BRO","BKN",IF(VLOOKUP(J323,PasteHashtag!$C$2:$P1015,3,)="OKL","OKC",VLOOKUP(J323,PasteHashtag!$C$2:$P1015,3,)))</f>
        <v>#N/A</v>
      </c>
      <c r="G323" s="30">
        <v>303.0</v>
      </c>
      <c r="H323" s="270"/>
      <c r="I323" s="270"/>
      <c r="J323" s="271"/>
      <c r="K323" s="270"/>
      <c r="L323" s="272"/>
      <c r="M323" s="273"/>
      <c r="N323" s="274"/>
      <c r="O323" s="274"/>
      <c r="P323" s="275"/>
      <c r="Q323" s="275"/>
      <c r="R323" s="275"/>
      <c r="S323" s="276"/>
      <c r="T323" s="275"/>
      <c r="U323" s="275"/>
      <c r="V323" s="272"/>
      <c r="W323" s="272"/>
      <c r="X323" s="275"/>
      <c r="Y323" s="345"/>
      <c r="Z323" s="345"/>
      <c r="AA323" s="345"/>
      <c r="AB323" s="345"/>
      <c r="AC323" s="345"/>
      <c r="AD323" s="345"/>
      <c r="AE323" s="345"/>
      <c r="AF323" s="345"/>
      <c r="AG323" s="346"/>
      <c r="AH323" s="265"/>
      <c r="AI323" s="338"/>
      <c r="AJ323" s="339"/>
      <c r="AK323" s="265"/>
      <c r="AL323" s="265"/>
      <c r="AM323" s="265"/>
      <c r="AN323" s="265"/>
      <c r="AO323" s="265"/>
      <c r="AP323" s="265"/>
      <c r="AQ323" s="265"/>
      <c r="AR323" s="265"/>
      <c r="AS323" s="265"/>
      <c r="AT323" s="265"/>
      <c r="AU323" s="265"/>
      <c r="AV323" s="265"/>
      <c r="AW323" s="265"/>
      <c r="AX323" s="265"/>
      <c r="AY323" s="265"/>
      <c r="AZ323" s="265"/>
      <c r="BA323" s="265"/>
      <c r="BB323" s="265"/>
      <c r="BC323" s="265"/>
      <c r="BD323" s="265"/>
      <c r="BE323" s="265"/>
      <c r="BF323" s="265"/>
      <c r="BG323" s="265"/>
      <c r="BH323" s="265"/>
      <c r="BI323" s="265"/>
      <c r="BJ323" s="265"/>
      <c r="BK323" s="265"/>
      <c r="BL323" s="265"/>
      <c r="BM323" s="265"/>
      <c r="BN323" s="265"/>
      <c r="BO323" s="265"/>
      <c r="BP323" s="265"/>
      <c r="BQ323" s="265"/>
      <c r="BR323" s="265"/>
      <c r="BS323" s="265"/>
      <c r="BT323" s="265"/>
      <c r="BU323" s="265"/>
      <c r="BV323" s="265"/>
    </row>
    <row r="324">
      <c r="A324" s="252" t="str">
        <f>VLOOKUP($F324,UpdateHashtag!$V$3:$Y$32,COLUMN(B$15),0)</f>
        <v>#N/A</v>
      </c>
      <c r="B324" s="252" t="str">
        <f>VLOOKUP($F324,UpdateHashtag!$V$3:$Y$32,COLUMN(C$13),0)</f>
        <v>#N/A</v>
      </c>
      <c r="C324" s="252" t="str">
        <f>VLOOKUP($F324,UpdateHashtag!$V$3:$Y$32,COLUMN(D$13),0)</f>
        <v>#N/A</v>
      </c>
      <c r="D324" s="344" t="str">
        <f t="shared" si="4"/>
        <v>#N/A</v>
      </c>
      <c r="E324" s="19"/>
      <c r="F324" s="30" t="str">
        <f>IF(VLOOKUP(J324,PasteHashtag!$C$2:$P1015,3,)="BRO","BKN",IF(VLOOKUP(J324,PasteHashtag!$C$2:$P1015,3,)="OKL","OKC",VLOOKUP(J324,PasteHashtag!$C$2:$P1015,3,)))</f>
        <v>#N/A</v>
      </c>
      <c r="G324" s="30">
        <v>304.0</v>
      </c>
      <c r="H324" s="270"/>
      <c r="I324" s="270"/>
      <c r="J324" s="271"/>
      <c r="K324" s="270"/>
      <c r="L324" s="272"/>
      <c r="M324" s="273"/>
      <c r="N324" s="274"/>
      <c r="O324" s="274"/>
      <c r="P324" s="275"/>
      <c r="Q324" s="275"/>
      <c r="R324" s="275"/>
      <c r="S324" s="276"/>
      <c r="T324" s="275"/>
      <c r="U324" s="275"/>
      <c r="V324" s="272"/>
      <c r="W324" s="272"/>
      <c r="X324" s="275"/>
      <c r="Y324" s="345"/>
      <c r="Z324" s="345"/>
      <c r="AA324" s="345"/>
      <c r="AB324" s="345"/>
      <c r="AC324" s="345"/>
      <c r="AD324" s="345"/>
      <c r="AE324" s="345"/>
      <c r="AF324" s="345"/>
      <c r="AG324" s="346"/>
      <c r="AH324" s="265"/>
      <c r="AI324" s="338"/>
      <c r="AJ324" s="339"/>
      <c r="AK324" s="265"/>
      <c r="AL324" s="265"/>
      <c r="AM324" s="265"/>
      <c r="AN324" s="265"/>
      <c r="AO324" s="265"/>
      <c r="AP324" s="265"/>
      <c r="AQ324" s="265"/>
      <c r="AR324" s="265"/>
      <c r="AS324" s="265"/>
      <c r="AT324" s="265"/>
      <c r="AU324" s="265"/>
      <c r="AV324" s="265"/>
      <c r="AW324" s="265"/>
      <c r="AX324" s="265"/>
      <c r="AY324" s="265"/>
      <c r="AZ324" s="265"/>
      <c r="BA324" s="265"/>
      <c r="BB324" s="265"/>
      <c r="BC324" s="265"/>
      <c r="BD324" s="265"/>
      <c r="BE324" s="265"/>
      <c r="BF324" s="265"/>
      <c r="BG324" s="265"/>
      <c r="BH324" s="265"/>
      <c r="BI324" s="265"/>
      <c r="BJ324" s="265"/>
      <c r="BK324" s="265"/>
      <c r="BL324" s="265"/>
      <c r="BM324" s="265"/>
      <c r="BN324" s="265"/>
      <c r="BO324" s="265"/>
      <c r="BP324" s="265"/>
      <c r="BQ324" s="265"/>
      <c r="BR324" s="265"/>
      <c r="BS324" s="265"/>
      <c r="BT324" s="265"/>
      <c r="BU324" s="265"/>
      <c r="BV324" s="265"/>
    </row>
    <row r="325">
      <c r="A325" s="252" t="str">
        <f>VLOOKUP($F325,UpdateHashtag!$V$3:$Y$32,COLUMN(B$15),0)</f>
        <v>#N/A</v>
      </c>
      <c r="B325" s="252" t="str">
        <f>VLOOKUP($F325,UpdateHashtag!$V$3:$Y$32,COLUMN(C$13),0)</f>
        <v>#N/A</v>
      </c>
      <c r="C325" s="252" t="str">
        <f>VLOOKUP($F325,UpdateHashtag!$V$3:$Y$32,COLUMN(D$13),0)</f>
        <v>#N/A</v>
      </c>
      <c r="D325" s="344" t="str">
        <f t="shared" si="4"/>
        <v>#N/A</v>
      </c>
      <c r="E325" s="19"/>
      <c r="F325" s="30" t="str">
        <f>IF(VLOOKUP(J325,PasteHashtag!$C$2:$P1015,3,)="BRO","BKN",IF(VLOOKUP(J325,PasteHashtag!$C$2:$P1015,3,)="OKL","OKC",VLOOKUP(J325,PasteHashtag!$C$2:$P1015,3,)))</f>
        <v>#N/A</v>
      </c>
      <c r="G325" s="30">
        <v>305.0</v>
      </c>
      <c r="H325" s="270"/>
      <c r="I325" s="270"/>
      <c r="J325" s="271"/>
      <c r="K325" s="270"/>
      <c r="L325" s="272"/>
      <c r="M325" s="273"/>
      <c r="N325" s="274"/>
      <c r="O325" s="274"/>
      <c r="P325" s="275"/>
      <c r="Q325" s="275"/>
      <c r="R325" s="275"/>
      <c r="S325" s="276"/>
      <c r="T325" s="275"/>
      <c r="U325" s="275"/>
      <c r="V325" s="272"/>
      <c r="W325" s="272"/>
      <c r="X325" s="275"/>
      <c r="Y325" s="345"/>
      <c r="Z325" s="345"/>
      <c r="AA325" s="345"/>
      <c r="AB325" s="345"/>
      <c r="AC325" s="345"/>
      <c r="AD325" s="345"/>
      <c r="AE325" s="345"/>
      <c r="AF325" s="345"/>
      <c r="AG325" s="346"/>
      <c r="AH325" s="265"/>
      <c r="AI325" s="338"/>
      <c r="AJ325" s="339"/>
      <c r="AK325" s="265"/>
      <c r="AL325" s="265"/>
      <c r="AM325" s="265"/>
      <c r="AN325" s="265"/>
      <c r="AO325" s="265"/>
      <c r="AP325" s="265"/>
      <c r="AQ325" s="265"/>
      <c r="AR325" s="265"/>
      <c r="AS325" s="265"/>
      <c r="AT325" s="265"/>
      <c r="AU325" s="265"/>
      <c r="AV325" s="265"/>
      <c r="AW325" s="265"/>
      <c r="AX325" s="265"/>
      <c r="AY325" s="265"/>
      <c r="AZ325" s="265"/>
      <c r="BA325" s="265"/>
      <c r="BB325" s="265"/>
      <c r="BC325" s="265"/>
      <c r="BD325" s="265"/>
      <c r="BE325" s="265"/>
      <c r="BF325" s="265"/>
      <c r="BG325" s="265"/>
      <c r="BH325" s="265"/>
      <c r="BI325" s="265"/>
      <c r="BJ325" s="265"/>
      <c r="BK325" s="265"/>
      <c r="BL325" s="265"/>
      <c r="BM325" s="265"/>
      <c r="BN325" s="265"/>
      <c r="BO325" s="265"/>
      <c r="BP325" s="265"/>
      <c r="BQ325" s="265"/>
      <c r="BR325" s="265"/>
      <c r="BS325" s="265"/>
      <c r="BT325" s="265"/>
      <c r="BU325" s="265"/>
      <c r="BV325" s="265"/>
    </row>
    <row r="326">
      <c r="A326" s="252" t="str">
        <f>VLOOKUP($F326,UpdateHashtag!$V$3:$Y$32,COLUMN(B$15),0)</f>
        <v>#N/A</v>
      </c>
      <c r="B326" s="252" t="str">
        <f>VLOOKUP($F326,UpdateHashtag!$V$3:$Y$32,COLUMN(C$13),0)</f>
        <v>#N/A</v>
      </c>
      <c r="C326" s="252" t="str">
        <f>VLOOKUP($F326,UpdateHashtag!$V$3:$Y$32,COLUMN(D$13),0)</f>
        <v>#N/A</v>
      </c>
      <c r="D326" s="344" t="str">
        <f t="shared" si="4"/>
        <v>#N/A</v>
      </c>
      <c r="E326" s="19"/>
      <c r="F326" s="30" t="str">
        <f>IF(VLOOKUP(J326,PasteHashtag!$C$2:$P1015,3,)="BRO","BKN",IF(VLOOKUP(J326,PasteHashtag!$C$2:$P1015,3,)="OKL","OKC",VLOOKUP(J326,PasteHashtag!$C$2:$P1015,3,)))</f>
        <v>#N/A</v>
      </c>
      <c r="G326" s="30">
        <v>306.0</v>
      </c>
      <c r="H326" s="270"/>
      <c r="I326" s="270"/>
      <c r="J326" s="271"/>
      <c r="K326" s="270"/>
      <c r="L326" s="272"/>
      <c r="M326" s="273"/>
      <c r="N326" s="274"/>
      <c r="O326" s="274"/>
      <c r="P326" s="275"/>
      <c r="Q326" s="275"/>
      <c r="R326" s="275"/>
      <c r="S326" s="276"/>
      <c r="T326" s="275"/>
      <c r="U326" s="275"/>
      <c r="V326" s="272"/>
      <c r="W326" s="272"/>
      <c r="X326" s="275"/>
      <c r="Y326" s="345"/>
      <c r="Z326" s="345"/>
      <c r="AA326" s="345"/>
      <c r="AB326" s="345"/>
      <c r="AC326" s="345"/>
      <c r="AD326" s="345"/>
      <c r="AE326" s="345"/>
      <c r="AF326" s="345"/>
      <c r="AG326" s="346"/>
      <c r="AH326" s="265"/>
      <c r="AI326" s="338"/>
      <c r="AJ326" s="339"/>
      <c r="AK326" s="265"/>
      <c r="AL326" s="265"/>
      <c r="AM326" s="265"/>
      <c r="AN326" s="265"/>
      <c r="AO326" s="265"/>
      <c r="AP326" s="265"/>
      <c r="AQ326" s="265"/>
      <c r="AR326" s="265"/>
      <c r="AS326" s="265"/>
      <c r="AT326" s="265"/>
      <c r="AU326" s="265"/>
      <c r="AV326" s="265"/>
      <c r="AW326" s="265"/>
      <c r="AX326" s="265"/>
      <c r="AY326" s="265"/>
      <c r="AZ326" s="265"/>
      <c r="BA326" s="265"/>
      <c r="BB326" s="265"/>
      <c r="BC326" s="265"/>
      <c r="BD326" s="265"/>
      <c r="BE326" s="265"/>
      <c r="BF326" s="265"/>
      <c r="BG326" s="265"/>
      <c r="BH326" s="265"/>
      <c r="BI326" s="265"/>
      <c r="BJ326" s="265"/>
      <c r="BK326" s="265"/>
      <c r="BL326" s="265"/>
      <c r="BM326" s="265"/>
      <c r="BN326" s="265"/>
      <c r="BO326" s="265"/>
      <c r="BP326" s="265"/>
      <c r="BQ326" s="265"/>
      <c r="BR326" s="265"/>
      <c r="BS326" s="265"/>
      <c r="BT326" s="265"/>
      <c r="BU326" s="265"/>
      <c r="BV326" s="265"/>
    </row>
    <row r="327">
      <c r="A327" s="252" t="str">
        <f>VLOOKUP($F327,UpdateHashtag!$V$3:$Y$32,COLUMN(B$15),0)</f>
        <v>#N/A</v>
      </c>
      <c r="B327" s="252" t="str">
        <f>VLOOKUP($F327,UpdateHashtag!$V$3:$Y$32,COLUMN(C$13),0)</f>
        <v>#N/A</v>
      </c>
      <c r="C327" s="252" t="str">
        <f>VLOOKUP($F327,UpdateHashtag!$V$3:$Y$32,COLUMN(D$13),0)</f>
        <v>#N/A</v>
      </c>
      <c r="D327" s="344" t="str">
        <f t="shared" si="4"/>
        <v>#N/A</v>
      </c>
      <c r="E327" s="19"/>
      <c r="F327" s="30" t="str">
        <f>IF(VLOOKUP(J327,PasteHashtag!$C$2:$P1015,3,)="BRO","BKN",IF(VLOOKUP(J327,PasteHashtag!$C$2:$P1015,3,)="OKL","OKC",VLOOKUP(J327,PasteHashtag!$C$2:$P1015,3,)))</f>
        <v>#N/A</v>
      </c>
      <c r="G327" s="30">
        <v>307.0</v>
      </c>
      <c r="H327" s="270"/>
      <c r="I327" s="270"/>
      <c r="J327" s="271"/>
      <c r="K327" s="270"/>
      <c r="L327" s="272"/>
      <c r="M327" s="273"/>
      <c r="N327" s="274"/>
      <c r="O327" s="274"/>
      <c r="P327" s="275"/>
      <c r="Q327" s="275"/>
      <c r="R327" s="275"/>
      <c r="S327" s="276"/>
      <c r="T327" s="275"/>
      <c r="U327" s="275"/>
      <c r="V327" s="272"/>
      <c r="W327" s="272"/>
      <c r="X327" s="275"/>
      <c r="Y327" s="345"/>
      <c r="Z327" s="345"/>
      <c r="AA327" s="345"/>
      <c r="AB327" s="345"/>
      <c r="AC327" s="345"/>
      <c r="AD327" s="345"/>
      <c r="AE327" s="345"/>
      <c r="AF327" s="345"/>
      <c r="AG327" s="346"/>
      <c r="AH327" s="265"/>
      <c r="AI327" s="338"/>
      <c r="AJ327" s="339"/>
      <c r="AK327" s="265"/>
      <c r="AL327" s="265"/>
      <c r="AM327" s="265"/>
      <c r="AN327" s="265"/>
      <c r="AO327" s="265"/>
      <c r="AP327" s="265"/>
      <c r="AQ327" s="265"/>
      <c r="AR327" s="265"/>
      <c r="AS327" s="265"/>
      <c r="AT327" s="265"/>
      <c r="AU327" s="265"/>
      <c r="AV327" s="265"/>
      <c r="AW327" s="265"/>
      <c r="AX327" s="265"/>
      <c r="AY327" s="265"/>
      <c r="AZ327" s="265"/>
      <c r="BA327" s="265"/>
      <c r="BB327" s="265"/>
      <c r="BC327" s="265"/>
      <c r="BD327" s="265"/>
      <c r="BE327" s="265"/>
      <c r="BF327" s="265"/>
      <c r="BG327" s="265"/>
      <c r="BH327" s="265"/>
      <c r="BI327" s="265"/>
      <c r="BJ327" s="265"/>
      <c r="BK327" s="265"/>
      <c r="BL327" s="265"/>
      <c r="BM327" s="265"/>
      <c r="BN327" s="265"/>
      <c r="BO327" s="265"/>
      <c r="BP327" s="265"/>
      <c r="BQ327" s="265"/>
      <c r="BR327" s="265"/>
      <c r="BS327" s="265"/>
      <c r="BT327" s="265"/>
      <c r="BU327" s="265"/>
      <c r="BV327" s="265"/>
    </row>
    <row r="328">
      <c r="A328" s="252" t="str">
        <f>VLOOKUP($F328,UpdateHashtag!$V$3:$Y$32,COLUMN(B$15),0)</f>
        <v>#N/A</v>
      </c>
      <c r="B328" s="252" t="str">
        <f>VLOOKUP($F328,UpdateHashtag!$V$3:$Y$32,COLUMN(C$13),0)</f>
        <v>#N/A</v>
      </c>
      <c r="C328" s="252" t="str">
        <f>VLOOKUP($F328,UpdateHashtag!$V$3:$Y$32,COLUMN(D$13),0)</f>
        <v>#N/A</v>
      </c>
      <c r="D328" s="344" t="str">
        <f t="shared" si="4"/>
        <v>#N/A</v>
      </c>
      <c r="E328" s="19"/>
      <c r="F328" s="30" t="str">
        <f>IF(VLOOKUP(J328,PasteHashtag!$C$2:$P1015,3,)="BRO","BKN",IF(VLOOKUP(J328,PasteHashtag!$C$2:$P1015,3,)="OKL","OKC",VLOOKUP(J328,PasteHashtag!$C$2:$P1015,3,)))</f>
        <v>#N/A</v>
      </c>
      <c r="G328" s="30">
        <v>308.0</v>
      </c>
      <c r="H328" s="270"/>
      <c r="I328" s="270"/>
      <c r="J328" s="271"/>
      <c r="K328" s="270"/>
      <c r="L328" s="272"/>
      <c r="M328" s="273"/>
      <c r="N328" s="274"/>
      <c r="O328" s="274"/>
      <c r="P328" s="275"/>
      <c r="Q328" s="275"/>
      <c r="R328" s="275"/>
      <c r="S328" s="276"/>
      <c r="T328" s="275"/>
      <c r="U328" s="275"/>
      <c r="V328" s="272"/>
      <c r="W328" s="272"/>
      <c r="X328" s="275"/>
      <c r="Y328" s="345"/>
      <c r="Z328" s="345"/>
      <c r="AA328" s="345"/>
      <c r="AB328" s="345"/>
      <c r="AC328" s="345"/>
      <c r="AD328" s="345"/>
      <c r="AE328" s="345"/>
      <c r="AF328" s="345"/>
      <c r="AG328" s="346"/>
      <c r="AH328" s="265"/>
      <c r="AI328" s="338"/>
      <c r="AJ328" s="339"/>
      <c r="AK328" s="265"/>
      <c r="AL328" s="265"/>
      <c r="AM328" s="265"/>
      <c r="AN328" s="265"/>
      <c r="AO328" s="265"/>
      <c r="AP328" s="265"/>
      <c r="AQ328" s="265"/>
      <c r="AR328" s="265"/>
      <c r="AS328" s="265"/>
      <c r="AT328" s="265"/>
      <c r="AU328" s="265"/>
      <c r="AV328" s="265"/>
      <c r="AW328" s="265"/>
      <c r="AX328" s="265"/>
      <c r="AY328" s="265"/>
      <c r="AZ328" s="265"/>
      <c r="BA328" s="265"/>
      <c r="BB328" s="265"/>
      <c r="BC328" s="265"/>
      <c r="BD328" s="265"/>
      <c r="BE328" s="265"/>
      <c r="BF328" s="265"/>
      <c r="BG328" s="265"/>
      <c r="BH328" s="265"/>
      <c r="BI328" s="265"/>
      <c r="BJ328" s="265"/>
      <c r="BK328" s="265"/>
      <c r="BL328" s="265"/>
      <c r="BM328" s="265"/>
      <c r="BN328" s="265"/>
      <c r="BO328" s="265"/>
      <c r="BP328" s="265"/>
      <c r="BQ328" s="265"/>
      <c r="BR328" s="265"/>
      <c r="BS328" s="265"/>
      <c r="BT328" s="265"/>
      <c r="BU328" s="265"/>
      <c r="BV328" s="265"/>
    </row>
    <row r="329">
      <c r="A329" s="252" t="str">
        <f>VLOOKUP($F329,UpdateHashtag!$V$3:$Y$32,COLUMN(B$15),0)</f>
        <v>#N/A</v>
      </c>
      <c r="B329" s="252" t="str">
        <f>VLOOKUP($F329,UpdateHashtag!$V$3:$Y$32,COLUMN(C$13),0)</f>
        <v>#N/A</v>
      </c>
      <c r="C329" s="252" t="str">
        <f>VLOOKUP($F329,UpdateHashtag!$V$3:$Y$32,COLUMN(D$13),0)</f>
        <v>#N/A</v>
      </c>
      <c r="D329" s="344" t="str">
        <f t="shared" si="4"/>
        <v>#N/A</v>
      </c>
      <c r="E329" s="19"/>
      <c r="F329" s="30" t="str">
        <f>IF(VLOOKUP(J329,PasteHashtag!$C$2:$P1015,3,)="BRO","BKN",IF(VLOOKUP(J329,PasteHashtag!$C$2:$P1015,3,)="OKL","OKC",VLOOKUP(J329,PasteHashtag!$C$2:$P1015,3,)))</f>
        <v>#N/A</v>
      </c>
      <c r="G329" s="30">
        <v>309.0</v>
      </c>
      <c r="H329" s="270"/>
      <c r="I329" s="270"/>
      <c r="J329" s="271"/>
      <c r="K329" s="270"/>
      <c r="L329" s="272"/>
      <c r="M329" s="273"/>
      <c r="N329" s="274"/>
      <c r="O329" s="274"/>
      <c r="P329" s="275"/>
      <c r="Q329" s="275"/>
      <c r="R329" s="275"/>
      <c r="S329" s="276"/>
      <c r="T329" s="275"/>
      <c r="U329" s="275"/>
      <c r="V329" s="272"/>
      <c r="W329" s="272"/>
      <c r="X329" s="275"/>
      <c r="Y329" s="345"/>
      <c r="Z329" s="345"/>
      <c r="AA329" s="345"/>
      <c r="AB329" s="345"/>
      <c r="AC329" s="345"/>
      <c r="AD329" s="345"/>
      <c r="AE329" s="345"/>
      <c r="AF329" s="345"/>
      <c r="AG329" s="346"/>
      <c r="AH329" s="265"/>
      <c r="AI329" s="338"/>
      <c r="AJ329" s="339"/>
      <c r="AK329" s="265"/>
      <c r="AL329" s="265"/>
      <c r="AM329" s="265"/>
      <c r="AN329" s="265"/>
      <c r="AO329" s="265"/>
      <c r="AP329" s="265"/>
      <c r="AQ329" s="265"/>
      <c r="AR329" s="265"/>
      <c r="AS329" s="265"/>
      <c r="AT329" s="265"/>
      <c r="AU329" s="265"/>
      <c r="AV329" s="265"/>
      <c r="AW329" s="265"/>
      <c r="AX329" s="265"/>
      <c r="AY329" s="265"/>
      <c r="AZ329" s="265"/>
      <c r="BA329" s="265"/>
      <c r="BB329" s="265"/>
      <c r="BC329" s="265"/>
      <c r="BD329" s="265"/>
      <c r="BE329" s="265"/>
      <c r="BF329" s="265"/>
      <c r="BG329" s="265"/>
      <c r="BH329" s="265"/>
      <c r="BI329" s="265"/>
      <c r="BJ329" s="265"/>
      <c r="BK329" s="265"/>
      <c r="BL329" s="265"/>
      <c r="BM329" s="265"/>
      <c r="BN329" s="265"/>
      <c r="BO329" s="265"/>
      <c r="BP329" s="265"/>
      <c r="BQ329" s="265"/>
      <c r="BR329" s="265"/>
      <c r="BS329" s="265"/>
      <c r="BT329" s="265"/>
      <c r="BU329" s="265"/>
      <c r="BV329" s="265"/>
    </row>
    <row r="330">
      <c r="A330" s="252" t="str">
        <f>VLOOKUP($F330,UpdateHashtag!$V$3:$Y$32,COLUMN(B$15),0)</f>
        <v>#N/A</v>
      </c>
      <c r="B330" s="252" t="str">
        <f>VLOOKUP($F330,UpdateHashtag!$V$3:$Y$32,COLUMN(C$13),0)</f>
        <v>#N/A</v>
      </c>
      <c r="C330" s="252" t="str">
        <f>VLOOKUP($F330,UpdateHashtag!$V$3:$Y$32,COLUMN(D$13),0)</f>
        <v>#N/A</v>
      </c>
      <c r="D330" s="344" t="str">
        <f t="shared" si="4"/>
        <v>#N/A</v>
      </c>
      <c r="E330" s="19"/>
      <c r="F330" s="30" t="str">
        <f>IF(VLOOKUP(J330,PasteHashtag!$C$2:$P1015,3,)="BRO","BKN",IF(VLOOKUP(J330,PasteHashtag!$C$2:$P1015,3,)="OKL","OKC",VLOOKUP(J330,PasteHashtag!$C$2:$P1015,3,)))</f>
        <v>#N/A</v>
      </c>
      <c r="G330" s="30">
        <v>310.0</v>
      </c>
      <c r="H330" s="270"/>
      <c r="I330" s="270"/>
      <c r="J330" s="271"/>
      <c r="K330" s="270"/>
      <c r="L330" s="272"/>
      <c r="M330" s="273"/>
      <c r="N330" s="274"/>
      <c r="O330" s="274"/>
      <c r="P330" s="275"/>
      <c r="Q330" s="275"/>
      <c r="R330" s="275"/>
      <c r="S330" s="276"/>
      <c r="T330" s="275"/>
      <c r="U330" s="275"/>
      <c r="V330" s="272"/>
      <c r="W330" s="272"/>
      <c r="X330" s="275"/>
      <c r="Y330" s="345"/>
      <c r="Z330" s="345"/>
      <c r="AA330" s="345"/>
      <c r="AB330" s="345"/>
      <c r="AC330" s="345"/>
      <c r="AD330" s="345"/>
      <c r="AE330" s="345"/>
      <c r="AF330" s="345"/>
      <c r="AG330" s="346"/>
      <c r="AH330" s="265"/>
      <c r="AI330" s="338"/>
      <c r="AJ330" s="339"/>
      <c r="AK330" s="265"/>
      <c r="AL330" s="265"/>
      <c r="AM330" s="265"/>
      <c r="AN330" s="265"/>
      <c r="AO330" s="265"/>
      <c r="AP330" s="265"/>
      <c r="AQ330" s="265"/>
      <c r="AR330" s="265"/>
      <c r="AS330" s="265"/>
      <c r="AT330" s="265"/>
      <c r="AU330" s="265"/>
      <c r="AV330" s="265"/>
      <c r="AW330" s="265"/>
      <c r="AX330" s="265"/>
      <c r="AY330" s="265"/>
      <c r="AZ330" s="265"/>
      <c r="BA330" s="265"/>
      <c r="BB330" s="265"/>
      <c r="BC330" s="265"/>
      <c r="BD330" s="265"/>
      <c r="BE330" s="265"/>
      <c r="BF330" s="265"/>
      <c r="BG330" s="265"/>
      <c r="BH330" s="265"/>
      <c r="BI330" s="265"/>
      <c r="BJ330" s="265"/>
      <c r="BK330" s="265"/>
      <c r="BL330" s="265"/>
      <c r="BM330" s="265"/>
      <c r="BN330" s="265"/>
      <c r="BO330" s="265"/>
      <c r="BP330" s="265"/>
      <c r="BQ330" s="265"/>
      <c r="BR330" s="265"/>
      <c r="BS330" s="265"/>
      <c r="BT330" s="265"/>
      <c r="BU330" s="265"/>
      <c r="BV330" s="265"/>
    </row>
    <row r="331">
      <c r="A331" s="252" t="str">
        <f>VLOOKUP($F331,UpdateHashtag!$V$3:$Y$32,COLUMN(B$15),0)</f>
        <v>#N/A</v>
      </c>
      <c r="B331" s="252" t="str">
        <f>VLOOKUP($F331,UpdateHashtag!$V$3:$Y$32,COLUMN(C$13),0)</f>
        <v>#N/A</v>
      </c>
      <c r="C331" s="252" t="str">
        <f>VLOOKUP($F331,UpdateHashtag!$V$3:$Y$32,COLUMN(D$13),0)</f>
        <v>#N/A</v>
      </c>
      <c r="D331" s="344" t="str">
        <f t="shared" si="4"/>
        <v>#N/A</v>
      </c>
      <c r="E331" s="19"/>
      <c r="F331" s="30" t="str">
        <f>IF(VLOOKUP(J331,PasteHashtag!$C$2:$P1015,3,)="BRO","BKN",IF(VLOOKUP(J331,PasteHashtag!$C$2:$P1015,3,)="OKL","OKC",VLOOKUP(J331,PasteHashtag!$C$2:$P1015,3,)))</f>
        <v>#N/A</v>
      </c>
      <c r="G331" s="30">
        <v>311.0</v>
      </c>
      <c r="H331" s="270"/>
      <c r="I331" s="270"/>
      <c r="J331" s="271"/>
      <c r="K331" s="270"/>
      <c r="L331" s="272"/>
      <c r="M331" s="273"/>
      <c r="N331" s="274"/>
      <c r="O331" s="274"/>
      <c r="P331" s="275"/>
      <c r="Q331" s="275"/>
      <c r="R331" s="275"/>
      <c r="S331" s="276"/>
      <c r="T331" s="275"/>
      <c r="U331" s="275"/>
      <c r="V331" s="272"/>
      <c r="W331" s="272"/>
      <c r="X331" s="275"/>
      <c r="Y331" s="345"/>
      <c r="Z331" s="345"/>
      <c r="AA331" s="345"/>
      <c r="AB331" s="345"/>
      <c r="AC331" s="345"/>
      <c r="AD331" s="345"/>
      <c r="AE331" s="345"/>
      <c r="AF331" s="345"/>
      <c r="AG331" s="346"/>
      <c r="AH331" s="265"/>
      <c r="AI331" s="338"/>
      <c r="AJ331" s="339"/>
      <c r="AK331" s="265"/>
      <c r="AL331" s="265"/>
      <c r="AM331" s="265"/>
      <c r="AN331" s="265"/>
      <c r="AO331" s="265"/>
      <c r="AP331" s="265"/>
      <c r="AQ331" s="265"/>
      <c r="AR331" s="265"/>
      <c r="AS331" s="265"/>
      <c r="AT331" s="265"/>
      <c r="AU331" s="265"/>
      <c r="AV331" s="265"/>
      <c r="AW331" s="265"/>
      <c r="AX331" s="265"/>
      <c r="AY331" s="265"/>
      <c r="AZ331" s="265"/>
      <c r="BA331" s="265"/>
      <c r="BB331" s="265"/>
      <c r="BC331" s="265"/>
      <c r="BD331" s="265"/>
      <c r="BE331" s="265"/>
      <c r="BF331" s="265"/>
      <c r="BG331" s="265"/>
      <c r="BH331" s="265"/>
      <c r="BI331" s="265"/>
      <c r="BJ331" s="265"/>
      <c r="BK331" s="265"/>
      <c r="BL331" s="265"/>
      <c r="BM331" s="265"/>
      <c r="BN331" s="265"/>
      <c r="BO331" s="265"/>
      <c r="BP331" s="265"/>
      <c r="BQ331" s="265"/>
      <c r="BR331" s="265"/>
      <c r="BS331" s="265"/>
      <c r="BT331" s="265"/>
      <c r="BU331" s="265"/>
      <c r="BV331" s="265"/>
    </row>
    <row r="332">
      <c r="A332" s="252" t="str">
        <f>VLOOKUP($F332,UpdateHashtag!$V$3:$Y$32,COLUMN(B$15),0)</f>
        <v>#N/A</v>
      </c>
      <c r="B332" s="252" t="str">
        <f>VLOOKUP($F332,UpdateHashtag!$V$3:$Y$32,COLUMN(C$13),0)</f>
        <v>#N/A</v>
      </c>
      <c r="C332" s="252" t="str">
        <f>VLOOKUP($F332,UpdateHashtag!$V$3:$Y$32,COLUMN(D$13),0)</f>
        <v>#N/A</v>
      </c>
      <c r="D332" s="344" t="str">
        <f t="shared" si="4"/>
        <v>#N/A</v>
      </c>
      <c r="E332" s="19"/>
      <c r="F332" s="30" t="str">
        <f>IF(VLOOKUP(J332,PasteHashtag!$C$2:$P1015,3,)="BRO","BKN",IF(VLOOKUP(J332,PasteHashtag!$C$2:$P1015,3,)="OKL","OKC",VLOOKUP(J332,PasteHashtag!$C$2:$P1015,3,)))</f>
        <v>#N/A</v>
      </c>
      <c r="G332" s="30">
        <v>312.0</v>
      </c>
      <c r="H332" s="270"/>
      <c r="I332" s="270"/>
      <c r="J332" s="271"/>
      <c r="K332" s="270"/>
      <c r="L332" s="272"/>
      <c r="M332" s="273"/>
      <c r="N332" s="274"/>
      <c r="O332" s="274"/>
      <c r="P332" s="275"/>
      <c r="Q332" s="275"/>
      <c r="R332" s="275"/>
      <c r="S332" s="276"/>
      <c r="T332" s="275"/>
      <c r="U332" s="275"/>
      <c r="V332" s="272"/>
      <c r="W332" s="272"/>
      <c r="X332" s="275"/>
      <c r="Y332" s="345"/>
      <c r="Z332" s="345"/>
      <c r="AA332" s="345"/>
      <c r="AB332" s="345"/>
      <c r="AC332" s="345"/>
      <c r="AD332" s="345"/>
      <c r="AE332" s="345"/>
      <c r="AF332" s="345"/>
      <c r="AG332" s="346"/>
      <c r="AH332" s="265"/>
      <c r="AI332" s="338"/>
      <c r="AJ332" s="339"/>
      <c r="AK332" s="265"/>
      <c r="AL332" s="265"/>
      <c r="AM332" s="265"/>
      <c r="AN332" s="265"/>
      <c r="AO332" s="265"/>
      <c r="AP332" s="265"/>
      <c r="AQ332" s="265"/>
      <c r="AR332" s="265"/>
      <c r="AS332" s="265"/>
      <c r="AT332" s="265"/>
      <c r="AU332" s="265"/>
      <c r="AV332" s="265"/>
      <c r="AW332" s="265"/>
      <c r="AX332" s="265"/>
      <c r="AY332" s="265"/>
      <c r="AZ332" s="265"/>
      <c r="BA332" s="265"/>
      <c r="BB332" s="265"/>
      <c r="BC332" s="265"/>
      <c r="BD332" s="265"/>
      <c r="BE332" s="265"/>
      <c r="BF332" s="265"/>
      <c r="BG332" s="265"/>
      <c r="BH332" s="265"/>
      <c r="BI332" s="265"/>
      <c r="BJ332" s="265"/>
      <c r="BK332" s="265"/>
      <c r="BL332" s="265"/>
      <c r="BM332" s="265"/>
      <c r="BN332" s="265"/>
      <c r="BO332" s="265"/>
      <c r="BP332" s="265"/>
      <c r="BQ332" s="265"/>
      <c r="BR332" s="265"/>
      <c r="BS332" s="265"/>
      <c r="BT332" s="265"/>
      <c r="BU332" s="265"/>
      <c r="BV332" s="265"/>
    </row>
    <row r="333">
      <c r="A333" s="252" t="str">
        <f>VLOOKUP($F333,UpdateHashtag!$V$3:$Y$32,COLUMN(B$15),0)</f>
        <v>#N/A</v>
      </c>
      <c r="B333" s="252" t="str">
        <f>VLOOKUP($F333,UpdateHashtag!$V$3:$Y$32,COLUMN(C$13),0)</f>
        <v>#N/A</v>
      </c>
      <c r="C333" s="252" t="str">
        <f>VLOOKUP($F333,UpdateHashtag!$V$3:$Y$32,COLUMN(D$13),0)</f>
        <v>#N/A</v>
      </c>
      <c r="D333" s="344" t="str">
        <f t="shared" si="4"/>
        <v>#N/A</v>
      </c>
      <c r="E333" s="19"/>
      <c r="F333" s="30" t="str">
        <f>IF(VLOOKUP(J333,PasteHashtag!$C$2:$P1015,3,)="BRO","BKN",IF(VLOOKUP(J333,PasteHashtag!$C$2:$P1015,3,)="OKL","OKC",VLOOKUP(J333,PasteHashtag!$C$2:$P1015,3,)))</f>
        <v>#N/A</v>
      </c>
      <c r="G333" s="30">
        <v>313.0</v>
      </c>
      <c r="H333" s="270"/>
      <c r="I333" s="270"/>
      <c r="J333" s="271"/>
      <c r="K333" s="270"/>
      <c r="L333" s="272"/>
      <c r="M333" s="273"/>
      <c r="N333" s="274"/>
      <c r="O333" s="274"/>
      <c r="P333" s="275"/>
      <c r="Q333" s="275"/>
      <c r="R333" s="275"/>
      <c r="S333" s="276"/>
      <c r="T333" s="275"/>
      <c r="U333" s="275"/>
      <c r="V333" s="272"/>
      <c r="W333" s="272"/>
      <c r="X333" s="275"/>
      <c r="Y333" s="345"/>
      <c r="Z333" s="345"/>
      <c r="AA333" s="345"/>
      <c r="AB333" s="345"/>
      <c r="AC333" s="345"/>
      <c r="AD333" s="345"/>
      <c r="AE333" s="345"/>
      <c r="AF333" s="345"/>
      <c r="AG333" s="346"/>
      <c r="AH333" s="265"/>
      <c r="AI333" s="338"/>
      <c r="AJ333" s="339"/>
      <c r="AK333" s="265"/>
      <c r="AL333" s="265"/>
      <c r="AM333" s="265"/>
      <c r="AN333" s="265"/>
      <c r="AO333" s="265"/>
      <c r="AP333" s="265"/>
      <c r="AQ333" s="265"/>
      <c r="AR333" s="265"/>
      <c r="AS333" s="265"/>
      <c r="AT333" s="265"/>
      <c r="AU333" s="265"/>
      <c r="AV333" s="265"/>
      <c r="AW333" s="265"/>
      <c r="AX333" s="265"/>
      <c r="AY333" s="265"/>
      <c r="AZ333" s="265"/>
      <c r="BA333" s="265"/>
      <c r="BB333" s="265"/>
      <c r="BC333" s="265"/>
      <c r="BD333" s="265"/>
      <c r="BE333" s="265"/>
      <c r="BF333" s="265"/>
      <c r="BG333" s="265"/>
      <c r="BH333" s="265"/>
      <c r="BI333" s="265"/>
      <c r="BJ333" s="265"/>
      <c r="BK333" s="265"/>
      <c r="BL333" s="265"/>
      <c r="BM333" s="265"/>
      <c r="BN333" s="265"/>
      <c r="BO333" s="265"/>
      <c r="BP333" s="265"/>
      <c r="BQ333" s="265"/>
      <c r="BR333" s="265"/>
      <c r="BS333" s="265"/>
      <c r="BT333" s="265"/>
      <c r="BU333" s="265"/>
      <c r="BV333" s="265"/>
    </row>
    <row r="334">
      <c r="A334" s="252" t="str">
        <f>VLOOKUP($F334,UpdateHashtag!$V$3:$Y$32,COLUMN(B$15),0)</f>
        <v>#N/A</v>
      </c>
      <c r="B334" s="252" t="str">
        <f>VLOOKUP($F334,UpdateHashtag!$V$3:$Y$32,COLUMN(C$13),0)</f>
        <v>#N/A</v>
      </c>
      <c r="C334" s="252" t="str">
        <f>VLOOKUP($F334,UpdateHashtag!$V$3:$Y$32,COLUMN(D$13),0)</f>
        <v>#N/A</v>
      </c>
      <c r="D334" s="344" t="str">
        <f t="shared" si="4"/>
        <v>#N/A</v>
      </c>
      <c r="E334" s="19"/>
      <c r="F334" s="30" t="str">
        <f>IF(VLOOKUP(J334,PasteHashtag!$C$2:$P1015,3,)="BRO","BKN",IF(VLOOKUP(J334,PasteHashtag!$C$2:$P1015,3,)="OKL","OKC",VLOOKUP(J334,PasteHashtag!$C$2:$P1015,3,)))</f>
        <v>#N/A</v>
      </c>
      <c r="G334" s="30">
        <v>314.0</v>
      </c>
      <c r="H334" s="270"/>
      <c r="I334" s="270"/>
      <c r="J334" s="271"/>
      <c r="K334" s="270"/>
      <c r="L334" s="272"/>
      <c r="M334" s="273"/>
      <c r="N334" s="274"/>
      <c r="O334" s="274"/>
      <c r="P334" s="275"/>
      <c r="Q334" s="275"/>
      <c r="R334" s="275"/>
      <c r="S334" s="276"/>
      <c r="T334" s="275"/>
      <c r="U334" s="275"/>
      <c r="V334" s="272"/>
      <c r="W334" s="272"/>
      <c r="X334" s="275"/>
      <c r="Y334" s="345"/>
      <c r="Z334" s="345"/>
      <c r="AA334" s="345"/>
      <c r="AB334" s="345"/>
      <c r="AC334" s="345"/>
      <c r="AD334" s="345"/>
      <c r="AE334" s="345"/>
      <c r="AF334" s="345"/>
      <c r="AG334" s="346"/>
      <c r="AH334" s="265"/>
      <c r="AI334" s="338"/>
      <c r="AJ334" s="339"/>
      <c r="AK334" s="265"/>
      <c r="AL334" s="265"/>
      <c r="AM334" s="265"/>
      <c r="AN334" s="265"/>
      <c r="AO334" s="265"/>
      <c r="AP334" s="265"/>
      <c r="AQ334" s="265"/>
      <c r="AR334" s="265"/>
      <c r="AS334" s="265"/>
      <c r="AT334" s="265"/>
      <c r="AU334" s="265"/>
      <c r="AV334" s="265"/>
      <c r="AW334" s="265"/>
      <c r="AX334" s="265"/>
      <c r="AY334" s="265"/>
      <c r="AZ334" s="265"/>
      <c r="BA334" s="265"/>
      <c r="BB334" s="265"/>
      <c r="BC334" s="265"/>
      <c r="BD334" s="265"/>
      <c r="BE334" s="265"/>
      <c r="BF334" s="265"/>
      <c r="BG334" s="265"/>
      <c r="BH334" s="265"/>
      <c r="BI334" s="265"/>
      <c r="BJ334" s="265"/>
      <c r="BK334" s="265"/>
      <c r="BL334" s="265"/>
      <c r="BM334" s="265"/>
      <c r="BN334" s="265"/>
      <c r="BO334" s="265"/>
      <c r="BP334" s="265"/>
      <c r="BQ334" s="265"/>
      <c r="BR334" s="265"/>
      <c r="BS334" s="265"/>
      <c r="BT334" s="265"/>
      <c r="BU334" s="265"/>
      <c r="BV334" s="265"/>
    </row>
    <row r="335">
      <c r="A335" s="252" t="str">
        <f>VLOOKUP($F335,UpdateHashtag!$V$3:$Y$32,COLUMN(B$15),0)</f>
        <v>#N/A</v>
      </c>
      <c r="B335" s="252" t="str">
        <f>VLOOKUP($F335,UpdateHashtag!$V$3:$Y$32,COLUMN(C$13),0)</f>
        <v>#N/A</v>
      </c>
      <c r="C335" s="252" t="str">
        <f>VLOOKUP($F335,UpdateHashtag!$V$3:$Y$32,COLUMN(D$13),0)</f>
        <v>#N/A</v>
      </c>
      <c r="D335" s="344" t="str">
        <f t="shared" si="4"/>
        <v>#N/A</v>
      </c>
      <c r="E335" s="19"/>
      <c r="F335" s="30" t="str">
        <f>IF(VLOOKUP(J335,PasteHashtag!$C$2:$P1015,3,)="BRO","BKN",IF(VLOOKUP(J335,PasteHashtag!$C$2:$P1015,3,)="OKL","OKC",VLOOKUP(J335,PasteHashtag!$C$2:$P1015,3,)))</f>
        <v>#N/A</v>
      </c>
      <c r="G335" s="30">
        <v>315.0</v>
      </c>
      <c r="H335" s="270"/>
      <c r="I335" s="270"/>
      <c r="J335" s="271"/>
      <c r="K335" s="270"/>
      <c r="L335" s="272"/>
      <c r="M335" s="273"/>
      <c r="N335" s="274"/>
      <c r="O335" s="274"/>
      <c r="P335" s="275"/>
      <c r="Q335" s="275"/>
      <c r="R335" s="275"/>
      <c r="S335" s="276"/>
      <c r="T335" s="275"/>
      <c r="U335" s="275"/>
      <c r="V335" s="272"/>
      <c r="W335" s="272"/>
      <c r="X335" s="275"/>
      <c r="Y335" s="345"/>
      <c r="Z335" s="345"/>
      <c r="AA335" s="345"/>
      <c r="AB335" s="345"/>
      <c r="AC335" s="345"/>
      <c r="AD335" s="345"/>
      <c r="AE335" s="345"/>
      <c r="AF335" s="345"/>
      <c r="AG335" s="346"/>
      <c r="AH335" s="265"/>
      <c r="AI335" s="338"/>
      <c r="AJ335" s="339"/>
      <c r="AK335" s="265"/>
      <c r="AL335" s="265"/>
      <c r="AM335" s="265"/>
      <c r="AN335" s="265"/>
      <c r="AO335" s="265"/>
      <c r="AP335" s="265"/>
      <c r="AQ335" s="265"/>
      <c r="AR335" s="265"/>
      <c r="AS335" s="265"/>
      <c r="AT335" s="265"/>
      <c r="AU335" s="265"/>
      <c r="AV335" s="265"/>
      <c r="AW335" s="265"/>
      <c r="AX335" s="265"/>
      <c r="AY335" s="265"/>
      <c r="AZ335" s="265"/>
      <c r="BA335" s="265"/>
      <c r="BB335" s="265"/>
      <c r="BC335" s="265"/>
      <c r="BD335" s="265"/>
      <c r="BE335" s="265"/>
      <c r="BF335" s="265"/>
      <c r="BG335" s="265"/>
      <c r="BH335" s="265"/>
      <c r="BI335" s="265"/>
      <c r="BJ335" s="265"/>
      <c r="BK335" s="265"/>
      <c r="BL335" s="265"/>
      <c r="BM335" s="265"/>
      <c r="BN335" s="265"/>
      <c r="BO335" s="265"/>
      <c r="BP335" s="265"/>
      <c r="BQ335" s="265"/>
      <c r="BR335" s="265"/>
      <c r="BS335" s="265"/>
      <c r="BT335" s="265"/>
      <c r="BU335" s="265"/>
      <c r="BV335" s="265"/>
    </row>
    <row r="336">
      <c r="A336" s="252" t="str">
        <f>VLOOKUP($F336,UpdateHashtag!$V$3:$Y$32,COLUMN(B$15),0)</f>
        <v>#N/A</v>
      </c>
      <c r="B336" s="252" t="str">
        <f>VLOOKUP($F336,UpdateHashtag!$V$3:$Y$32,COLUMN(C$13),0)</f>
        <v>#N/A</v>
      </c>
      <c r="C336" s="252" t="str">
        <f>VLOOKUP($F336,UpdateHashtag!$V$3:$Y$32,COLUMN(D$13),0)</f>
        <v>#N/A</v>
      </c>
      <c r="D336" s="344" t="str">
        <f t="shared" si="4"/>
        <v>#N/A</v>
      </c>
      <c r="E336" s="19"/>
      <c r="F336" s="30" t="str">
        <f>IF(VLOOKUP(J336,PasteHashtag!$C$2:$P1015,3,)="BRO","BKN",IF(VLOOKUP(J336,PasteHashtag!$C$2:$P1015,3,)="OKL","OKC",VLOOKUP(J336,PasteHashtag!$C$2:$P1015,3,)))</f>
        <v>#N/A</v>
      </c>
      <c r="G336" s="30">
        <v>316.0</v>
      </c>
      <c r="H336" s="270"/>
      <c r="I336" s="270"/>
      <c r="J336" s="271"/>
      <c r="K336" s="270"/>
      <c r="L336" s="272"/>
      <c r="M336" s="273"/>
      <c r="N336" s="274"/>
      <c r="O336" s="274"/>
      <c r="P336" s="275"/>
      <c r="Q336" s="275"/>
      <c r="R336" s="275"/>
      <c r="S336" s="276"/>
      <c r="T336" s="275"/>
      <c r="U336" s="275"/>
      <c r="V336" s="272"/>
      <c r="W336" s="272"/>
      <c r="X336" s="275"/>
      <c r="Y336" s="345"/>
      <c r="Z336" s="345"/>
      <c r="AA336" s="345"/>
      <c r="AB336" s="345"/>
      <c r="AC336" s="345"/>
      <c r="AD336" s="345"/>
      <c r="AE336" s="345"/>
      <c r="AF336" s="345"/>
      <c r="AG336" s="346"/>
      <c r="AH336" s="265"/>
      <c r="AI336" s="338"/>
      <c r="AJ336" s="339"/>
      <c r="AK336" s="265"/>
      <c r="AL336" s="265"/>
      <c r="AM336" s="265"/>
      <c r="AN336" s="265"/>
      <c r="AO336" s="265"/>
      <c r="AP336" s="265"/>
      <c r="AQ336" s="265"/>
      <c r="AR336" s="265"/>
      <c r="AS336" s="265"/>
      <c r="AT336" s="265"/>
      <c r="AU336" s="265"/>
      <c r="AV336" s="265"/>
      <c r="AW336" s="265"/>
      <c r="AX336" s="265"/>
      <c r="AY336" s="265"/>
      <c r="AZ336" s="265"/>
      <c r="BA336" s="265"/>
      <c r="BB336" s="265"/>
      <c r="BC336" s="265"/>
      <c r="BD336" s="265"/>
      <c r="BE336" s="265"/>
      <c r="BF336" s="265"/>
      <c r="BG336" s="265"/>
      <c r="BH336" s="265"/>
      <c r="BI336" s="265"/>
      <c r="BJ336" s="265"/>
      <c r="BK336" s="265"/>
      <c r="BL336" s="265"/>
      <c r="BM336" s="265"/>
      <c r="BN336" s="265"/>
      <c r="BO336" s="265"/>
      <c r="BP336" s="265"/>
      <c r="BQ336" s="265"/>
      <c r="BR336" s="265"/>
      <c r="BS336" s="265"/>
      <c r="BT336" s="265"/>
      <c r="BU336" s="265"/>
      <c r="BV336" s="265"/>
    </row>
    <row r="337">
      <c r="A337" s="252" t="str">
        <f>VLOOKUP($F337,UpdateHashtag!$V$3:$Y$32,COLUMN(B$15),0)</f>
        <v>#N/A</v>
      </c>
      <c r="B337" s="252" t="str">
        <f>VLOOKUP($F337,UpdateHashtag!$V$3:$Y$32,COLUMN(C$13),0)</f>
        <v>#N/A</v>
      </c>
      <c r="C337" s="252" t="str">
        <f>VLOOKUP($F337,UpdateHashtag!$V$3:$Y$32,COLUMN(D$13),0)</f>
        <v>#N/A</v>
      </c>
      <c r="D337" s="344" t="str">
        <f t="shared" si="4"/>
        <v>#N/A</v>
      </c>
      <c r="E337" s="19"/>
      <c r="F337" s="30" t="str">
        <f>IF(VLOOKUP(J337,PasteHashtag!$C$2:$P1015,3,)="BRO","BKN",IF(VLOOKUP(J337,PasteHashtag!$C$2:$P1015,3,)="OKL","OKC",VLOOKUP(J337,PasteHashtag!$C$2:$P1015,3,)))</f>
        <v>#N/A</v>
      </c>
      <c r="G337" s="30">
        <v>317.0</v>
      </c>
      <c r="H337" s="270"/>
      <c r="I337" s="270"/>
      <c r="J337" s="271"/>
      <c r="K337" s="270"/>
      <c r="L337" s="272"/>
      <c r="M337" s="273"/>
      <c r="N337" s="274"/>
      <c r="O337" s="274"/>
      <c r="P337" s="275"/>
      <c r="Q337" s="275"/>
      <c r="R337" s="275"/>
      <c r="S337" s="276"/>
      <c r="T337" s="275"/>
      <c r="U337" s="275"/>
      <c r="V337" s="272"/>
      <c r="W337" s="272"/>
      <c r="X337" s="275"/>
      <c r="Y337" s="345"/>
      <c r="Z337" s="345"/>
      <c r="AA337" s="345"/>
      <c r="AB337" s="345"/>
      <c r="AC337" s="345"/>
      <c r="AD337" s="345"/>
      <c r="AE337" s="345"/>
      <c r="AF337" s="345"/>
      <c r="AG337" s="346"/>
      <c r="AH337" s="265"/>
      <c r="AI337" s="338"/>
      <c r="AJ337" s="339"/>
      <c r="AK337" s="265"/>
      <c r="AL337" s="265"/>
      <c r="AM337" s="265"/>
      <c r="AN337" s="265"/>
      <c r="AO337" s="265"/>
      <c r="AP337" s="265"/>
      <c r="AQ337" s="265"/>
      <c r="AR337" s="265"/>
      <c r="AS337" s="265"/>
      <c r="AT337" s="265"/>
      <c r="AU337" s="265"/>
      <c r="AV337" s="265"/>
      <c r="AW337" s="265"/>
      <c r="AX337" s="265"/>
      <c r="AY337" s="265"/>
      <c r="AZ337" s="265"/>
      <c r="BA337" s="265"/>
      <c r="BB337" s="265"/>
      <c r="BC337" s="265"/>
      <c r="BD337" s="265"/>
      <c r="BE337" s="265"/>
      <c r="BF337" s="265"/>
      <c r="BG337" s="265"/>
      <c r="BH337" s="265"/>
      <c r="BI337" s="265"/>
      <c r="BJ337" s="265"/>
      <c r="BK337" s="265"/>
      <c r="BL337" s="265"/>
      <c r="BM337" s="265"/>
      <c r="BN337" s="265"/>
      <c r="BO337" s="265"/>
      <c r="BP337" s="265"/>
      <c r="BQ337" s="265"/>
      <c r="BR337" s="265"/>
      <c r="BS337" s="265"/>
      <c r="BT337" s="265"/>
      <c r="BU337" s="265"/>
      <c r="BV337" s="265"/>
    </row>
    <row r="338">
      <c r="A338" s="252" t="str">
        <f>VLOOKUP($F338,UpdateHashtag!$V$3:$Y$32,COLUMN(B$15),0)</f>
        <v>#N/A</v>
      </c>
      <c r="B338" s="252" t="str">
        <f>VLOOKUP($F338,UpdateHashtag!$V$3:$Y$32,COLUMN(C$13),0)</f>
        <v>#N/A</v>
      </c>
      <c r="C338" s="252" t="str">
        <f>VLOOKUP($F338,UpdateHashtag!$V$3:$Y$32,COLUMN(D$13),0)</f>
        <v>#N/A</v>
      </c>
      <c r="D338" s="344" t="str">
        <f t="shared" si="4"/>
        <v>#N/A</v>
      </c>
      <c r="E338" s="19"/>
      <c r="F338" s="30" t="str">
        <f>IF(VLOOKUP(J338,PasteHashtag!$C$2:$P1015,3,)="BRO","BKN",IF(VLOOKUP(J338,PasteHashtag!$C$2:$P1015,3,)="OKL","OKC",VLOOKUP(J338,PasteHashtag!$C$2:$P1015,3,)))</f>
        <v>#N/A</v>
      </c>
      <c r="G338" s="30">
        <v>318.0</v>
      </c>
      <c r="H338" s="270"/>
      <c r="I338" s="270"/>
      <c r="J338" s="271"/>
      <c r="K338" s="270"/>
      <c r="L338" s="272"/>
      <c r="M338" s="273"/>
      <c r="N338" s="274"/>
      <c r="O338" s="274"/>
      <c r="P338" s="275"/>
      <c r="Q338" s="275"/>
      <c r="R338" s="275"/>
      <c r="S338" s="276"/>
      <c r="T338" s="275"/>
      <c r="U338" s="275"/>
      <c r="V338" s="272"/>
      <c r="W338" s="272"/>
      <c r="X338" s="275"/>
      <c r="Y338" s="345"/>
      <c r="Z338" s="345"/>
      <c r="AA338" s="345"/>
      <c r="AB338" s="345"/>
      <c r="AC338" s="345"/>
      <c r="AD338" s="345"/>
      <c r="AE338" s="345"/>
      <c r="AF338" s="345"/>
      <c r="AG338" s="346"/>
      <c r="AH338" s="265"/>
      <c r="AI338" s="338"/>
      <c r="AJ338" s="339"/>
      <c r="AK338" s="265"/>
      <c r="AL338" s="265"/>
      <c r="AM338" s="265"/>
      <c r="AN338" s="265"/>
      <c r="AO338" s="265"/>
      <c r="AP338" s="265"/>
      <c r="AQ338" s="265"/>
      <c r="AR338" s="265"/>
      <c r="AS338" s="265"/>
      <c r="AT338" s="265"/>
      <c r="AU338" s="265"/>
      <c r="AV338" s="265"/>
      <c r="AW338" s="265"/>
      <c r="AX338" s="265"/>
      <c r="AY338" s="265"/>
      <c r="AZ338" s="265"/>
      <c r="BA338" s="265"/>
      <c r="BB338" s="265"/>
      <c r="BC338" s="265"/>
      <c r="BD338" s="265"/>
      <c r="BE338" s="265"/>
      <c r="BF338" s="265"/>
      <c r="BG338" s="265"/>
      <c r="BH338" s="265"/>
      <c r="BI338" s="265"/>
      <c r="BJ338" s="265"/>
      <c r="BK338" s="265"/>
      <c r="BL338" s="265"/>
      <c r="BM338" s="265"/>
      <c r="BN338" s="265"/>
      <c r="BO338" s="265"/>
      <c r="BP338" s="265"/>
      <c r="BQ338" s="265"/>
      <c r="BR338" s="265"/>
      <c r="BS338" s="265"/>
      <c r="BT338" s="265"/>
      <c r="BU338" s="265"/>
      <c r="BV338" s="265"/>
    </row>
    <row r="339">
      <c r="A339" s="252" t="str">
        <f>VLOOKUP($F339,UpdateHashtag!$V$3:$Y$32,COLUMN(B$15),0)</f>
        <v>#N/A</v>
      </c>
      <c r="B339" s="252" t="str">
        <f>VLOOKUP($F339,UpdateHashtag!$V$3:$Y$32,COLUMN(C$13),0)</f>
        <v>#N/A</v>
      </c>
      <c r="C339" s="252" t="str">
        <f>VLOOKUP($F339,UpdateHashtag!$V$3:$Y$32,COLUMN(D$13),0)</f>
        <v>#N/A</v>
      </c>
      <c r="D339" s="344" t="str">
        <f t="shared" si="4"/>
        <v>#N/A</v>
      </c>
      <c r="E339" s="19"/>
      <c r="F339" s="30" t="str">
        <f>IF(VLOOKUP(J339,PasteHashtag!$C$2:$P1015,3,)="BRO","BKN",IF(VLOOKUP(J339,PasteHashtag!$C$2:$P1015,3,)="OKL","OKC",VLOOKUP(J339,PasteHashtag!$C$2:$P1015,3,)))</f>
        <v>#N/A</v>
      </c>
      <c r="G339" s="30">
        <v>319.0</v>
      </c>
      <c r="H339" s="270"/>
      <c r="I339" s="270"/>
      <c r="J339" s="271"/>
      <c r="K339" s="270"/>
      <c r="L339" s="272"/>
      <c r="M339" s="273"/>
      <c r="N339" s="274"/>
      <c r="O339" s="274"/>
      <c r="P339" s="275"/>
      <c r="Q339" s="275"/>
      <c r="R339" s="275"/>
      <c r="S339" s="276"/>
      <c r="T339" s="275"/>
      <c r="U339" s="275"/>
      <c r="V339" s="272"/>
      <c r="W339" s="272"/>
      <c r="X339" s="275"/>
      <c r="Y339" s="345"/>
      <c r="Z339" s="345"/>
      <c r="AA339" s="345"/>
      <c r="AB339" s="345"/>
      <c r="AC339" s="345"/>
      <c r="AD339" s="345"/>
      <c r="AE339" s="345"/>
      <c r="AF339" s="345"/>
      <c r="AG339" s="346"/>
      <c r="AH339" s="265"/>
      <c r="AI339" s="338"/>
      <c r="AJ339" s="339"/>
      <c r="AK339" s="265"/>
      <c r="AL339" s="265"/>
      <c r="AM339" s="265"/>
      <c r="AN339" s="265"/>
      <c r="AO339" s="265"/>
      <c r="AP339" s="265"/>
      <c r="AQ339" s="265"/>
      <c r="AR339" s="265"/>
      <c r="AS339" s="265"/>
      <c r="AT339" s="265"/>
      <c r="AU339" s="265"/>
      <c r="AV339" s="265"/>
      <c r="AW339" s="265"/>
      <c r="AX339" s="265"/>
      <c r="AY339" s="265"/>
      <c r="AZ339" s="265"/>
      <c r="BA339" s="265"/>
      <c r="BB339" s="265"/>
      <c r="BC339" s="265"/>
      <c r="BD339" s="265"/>
      <c r="BE339" s="265"/>
      <c r="BF339" s="265"/>
      <c r="BG339" s="265"/>
      <c r="BH339" s="265"/>
      <c r="BI339" s="265"/>
      <c r="BJ339" s="265"/>
      <c r="BK339" s="265"/>
      <c r="BL339" s="265"/>
      <c r="BM339" s="265"/>
      <c r="BN339" s="265"/>
      <c r="BO339" s="265"/>
      <c r="BP339" s="265"/>
      <c r="BQ339" s="265"/>
      <c r="BR339" s="265"/>
      <c r="BS339" s="265"/>
      <c r="BT339" s="265"/>
      <c r="BU339" s="265"/>
      <c r="BV339" s="265"/>
    </row>
    <row r="340">
      <c r="A340" s="252" t="str">
        <f>VLOOKUP($F340,UpdateHashtag!$V$3:$Y$32,COLUMN(B$15),0)</f>
        <v>#N/A</v>
      </c>
      <c r="B340" s="252" t="str">
        <f>VLOOKUP($F340,UpdateHashtag!$V$3:$Y$32,COLUMN(C$13),0)</f>
        <v>#N/A</v>
      </c>
      <c r="C340" s="252" t="str">
        <f>VLOOKUP($F340,UpdateHashtag!$V$3:$Y$32,COLUMN(D$13),0)</f>
        <v>#N/A</v>
      </c>
      <c r="D340" s="344" t="str">
        <f t="shared" si="4"/>
        <v>#N/A</v>
      </c>
      <c r="E340" s="19"/>
      <c r="F340" s="30" t="str">
        <f>IF(VLOOKUP(J340,PasteHashtag!$C$2:$P1015,3,)="BRO","BKN",IF(VLOOKUP(J340,PasteHashtag!$C$2:$P1015,3,)="OKL","OKC",VLOOKUP(J340,PasteHashtag!$C$2:$P1015,3,)))</f>
        <v>#N/A</v>
      </c>
      <c r="G340" s="30">
        <v>320.0</v>
      </c>
      <c r="H340" s="270"/>
      <c r="I340" s="270"/>
      <c r="J340" s="271"/>
      <c r="K340" s="270"/>
      <c r="L340" s="272"/>
      <c r="M340" s="273"/>
      <c r="N340" s="274"/>
      <c r="O340" s="274"/>
      <c r="P340" s="275"/>
      <c r="Q340" s="275"/>
      <c r="R340" s="275"/>
      <c r="S340" s="276"/>
      <c r="T340" s="275"/>
      <c r="U340" s="275"/>
      <c r="V340" s="272"/>
      <c r="W340" s="272"/>
      <c r="X340" s="275"/>
      <c r="Y340" s="345"/>
      <c r="Z340" s="345"/>
      <c r="AA340" s="345"/>
      <c r="AB340" s="345"/>
      <c r="AC340" s="345"/>
      <c r="AD340" s="345"/>
      <c r="AE340" s="345"/>
      <c r="AF340" s="345"/>
      <c r="AG340" s="346"/>
      <c r="AH340" s="265"/>
      <c r="AI340" s="338"/>
      <c r="AJ340" s="339"/>
      <c r="AK340" s="265"/>
      <c r="AL340" s="265"/>
      <c r="AM340" s="265"/>
      <c r="AN340" s="265"/>
      <c r="AO340" s="265"/>
      <c r="AP340" s="265"/>
      <c r="AQ340" s="265"/>
      <c r="AR340" s="265"/>
      <c r="AS340" s="265"/>
      <c r="AT340" s="265"/>
      <c r="AU340" s="265"/>
      <c r="AV340" s="265"/>
      <c r="AW340" s="265"/>
      <c r="AX340" s="265"/>
      <c r="AY340" s="265"/>
      <c r="AZ340" s="265"/>
      <c r="BA340" s="265"/>
      <c r="BB340" s="265"/>
      <c r="BC340" s="265"/>
      <c r="BD340" s="265"/>
      <c r="BE340" s="265"/>
      <c r="BF340" s="265"/>
      <c r="BG340" s="265"/>
      <c r="BH340" s="265"/>
      <c r="BI340" s="265"/>
      <c r="BJ340" s="265"/>
      <c r="BK340" s="265"/>
      <c r="BL340" s="265"/>
      <c r="BM340" s="265"/>
      <c r="BN340" s="265"/>
      <c r="BO340" s="265"/>
      <c r="BP340" s="265"/>
      <c r="BQ340" s="265"/>
      <c r="BR340" s="265"/>
      <c r="BS340" s="265"/>
      <c r="BT340" s="265"/>
      <c r="BU340" s="265"/>
      <c r="BV340" s="265"/>
    </row>
    <row r="341">
      <c r="A341" s="252" t="str">
        <f>VLOOKUP($F341,UpdateHashtag!$V$3:$Y$32,COLUMN(B$15),0)</f>
        <v>#N/A</v>
      </c>
      <c r="B341" s="252" t="str">
        <f>VLOOKUP($F341,UpdateHashtag!$V$3:$Y$32,COLUMN(C$13),0)</f>
        <v>#N/A</v>
      </c>
      <c r="C341" s="252" t="str">
        <f>VLOOKUP($F341,UpdateHashtag!$V$3:$Y$32,COLUMN(D$13),0)</f>
        <v>#N/A</v>
      </c>
      <c r="D341" s="344" t="str">
        <f t="shared" si="4"/>
        <v>#N/A</v>
      </c>
      <c r="E341" s="19"/>
      <c r="F341" s="30" t="str">
        <f>IF(VLOOKUP(J341,PasteHashtag!$C$2:$P1015,3,)="BRO","BKN",IF(VLOOKUP(J341,PasteHashtag!$C$2:$P1015,3,)="OKL","OKC",VLOOKUP(J341,PasteHashtag!$C$2:$P1015,3,)))</f>
        <v>#N/A</v>
      </c>
      <c r="G341" s="30">
        <v>321.0</v>
      </c>
      <c r="H341" s="270"/>
      <c r="I341" s="270"/>
      <c r="J341" s="271"/>
      <c r="K341" s="270"/>
      <c r="L341" s="272"/>
      <c r="M341" s="273"/>
      <c r="N341" s="274"/>
      <c r="O341" s="274"/>
      <c r="P341" s="275"/>
      <c r="Q341" s="275"/>
      <c r="R341" s="275"/>
      <c r="S341" s="276"/>
      <c r="T341" s="275"/>
      <c r="U341" s="275"/>
      <c r="V341" s="272"/>
      <c r="W341" s="272"/>
      <c r="X341" s="275"/>
      <c r="Y341" s="345"/>
      <c r="Z341" s="345"/>
      <c r="AA341" s="345"/>
      <c r="AB341" s="345"/>
      <c r="AC341" s="345"/>
      <c r="AD341" s="345"/>
      <c r="AE341" s="345"/>
      <c r="AF341" s="345"/>
      <c r="AG341" s="346"/>
      <c r="AH341" s="265"/>
      <c r="AI341" s="338"/>
      <c r="AJ341" s="339"/>
      <c r="AK341" s="265"/>
      <c r="AL341" s="265"/>
      <c r="AM341" s="265"/>
      <c r="AN341" s="265"/>
      <c r="AO341" s="265"/>
      <c r="AP341" s="265"/>
      <c r="AQ341" s="265"/>
      <c r="AR341" s="265"/>
      <c r="AS341" s="265"/>
      <c r="AT341" s="265"/>
      <c r="AU341" s="265"/>
      <c r="AV341" s="265"/>
      <c r="AW341" s="265"/>
      <c r="AX341" s="265"/>
      <c r="AY341" s="265"/>
      <c r="AZ341" s="265"/>
      <c r="BA341" s="265"/>
      <c r="BB341" s="265"/>
      <c r="BC341" s="265"/>
      <c r="BD341" s="265"/>
      <c r="BE341" s="265"/>
      <c r="BF341" s="265"/>
      <c r="BG341" s="265"/>
      <c r="BH341" s="265"/>
      <c r="BI341" s="265"/>
      <c r="BJ341" s="265"/>
      <c r="BK341" s="265"/>
      <c r="BL341" s="265"/>
      <c r="BM341" s="265"/>
      <c r="BN341" s="265"/>
      <c r="BO341" s="265"/>
      <c r="BP341" s="265"/>
      <c r="BQ341" s="265"/>
      <c r="BR341" s="265"/>
      <c r="BS341" s="265"/>
      <c r="BT341" s="265"/>
      <c r="BU341" s="265"/>
      <c r="BV341" s="265"/>
    </row>
    <row r="342">
      <c r="A342" s="252" t="str">
        <f>VLOOKUP($F342,UpdateHashtag!$V$3:$Y$32,COLUMN(B$15),0)</f>
        <v>#N/A</v>
      </c>
      <c r="B342" s="252" t="str">
        <f>VLOOKUP($F342,UpdateHashtag!$V$3:$Y$32,COLUMN(C$13),0)</f>
        <v>#N/A</v>
      </c>
      <c r="C342" s="252" t="str">
        <f>VLOOKUP($F342,UpdateHashtag!$V$3:$Y$32,COLUMN(D$13),0)</f>
        <v>#N/A</v>
      </c>
      <c r="D342" s="344" t="str">
        <f t="shared" si="4"/>
        <v>#N/A</v>
      </c>
      <c r="E342" s="19"/>
      <c r="F342" s="30" t="str">
        <f>IF(VLOOKUP(J342,PasteHashtag!$C$2:$P1015,3,)="BRO","BKN",IF(VLOOKUP(J342,PasteHashtag!$C$2:$P1015,3,)="OKL","OKC",VLOOKUP(J342,PasteHashtag!$C$2:$P1015,3,)))</f>
        <v>#N/A</v>
      </c>
      <c r="G342" s="30">
        <v>322.0</v>
      </c>
      <c r="H342" s="270"/>
      <c r="I342" s="270"/>
      <c r="J342" s="271"/>
      <c r="K342" s="270"/>
      <c r="L342" s="272"/>
      <c r="M342" s="273"/>
      <c r="N342" s="274"/>
      <c r="O342" s="274"/>
      <c r="P342" s="275"/>
      <c r="Q342" s="275"/>
      <c r="R342" s="275"/>
      <c r="S342" s="276"/>
      <c r="T342" s="275"/>
      <c r="U342" s="275"/>
      <c r="V342" s="272"/>
      <c r="W342" s="272"/>
      <c r="X342" s="275"/>
      <c r="Y342" s="345"/>
      <c r="Z342" s="345"/>
      <c r="AA342" s="345"/>
      <c r="AB342" s="345"/>
      <c r="AC342" s="345"/>
      <c r="AD342" s="345"/>
      <c r="AE342" s="345"/>
      <c r="AF342" s="345"/>
      <c r="AG342" s="346"/>
      <c r="AH342" s="265"/>
      <c r="AI342" s="338"/>
      <c r="AJ342" s="339"/>
      <c r="AK342" s="265"/>
      <c r="AL342" s="265"/>
      <c r="AM342" s="265"/>
      <c r="AN342" s="265"/>
      <c r="AO342" s="265"/>
      <c r="AP342" s="265"/>
      <c r="AQ342" s="265"/>
      <c r="AR342" s="265"/>
      <c r="AS342" s="265"/>
      <c r="AT342" s="265"/>
      <c r="AU342" s="265"/>
      <c r="AV342" s="265"/>
      <c r="AW342" s="265"/>
      <c r="AX342" s="265"/>
      <c r="AY342" s="265"/>
      <c r="AZ342" s="265"/>
      <c r="BA342" s="265"/>
      <c r="BB342" s="265"/>
      <c r="BC342" s="265"/>
      <c r="BD342" s="265"/>
      <c r="BE342" s="265"/>
      <c r="BF342" s="265"/>
      <c r="BG342" s="265"/>
      <c r="BH342" s="265"/>
      <c r="BI342" s="265"/>
      <c r="BJ342" s="265"/>
      <c r="BK342" s="265"/>
      <c r="BL342" s="265"/>
      <c r="BM342" s="265"/>
      <c r="BN342" s="265"/>
      <c r="BO342" s="265"/>
      <c r="BP342" s="265"/>
      <c r="BQ342" s="265"/>
      <c r="BR342" s="265"/>
      <c r="BS342" s="265"/>
      <c r="BT342" s="265"/>
      <c r="BU342" s="265"/>
      <c r="BV342" s="265"/>
    </row>
    <row r="343">
      <c r="A343" s="252" t="str">
        <f>VLOOKUP($F343,UpdateHashtag!$V$3:$Y$32,COLUMN(B$15),0)</f>
        <v>#N/A</v>
      </c>
      <c r="B343" s="252" t="str">
        <f>VLOOKUP($F343,UpdateHashtag!$V$3:$Y$32,COLUMN(C$13),0)</f>
        <v>#N/A</v>
      </c>
      <c r="C343" s="252" t="str">
        <f>VLOOKUP($F343,UpdateHashtag!$V$3:$Y$32,COLUMN(D$13),0)</f>
        <v>#N/A</v>
      </c>
      <c r="D343" s="344" t="str">
        <f t="shared" si="4"/>
        <v>#N/A</v>
      </c>
      <c r="E343" s="19"/>
      <c r="F343" s="30" t="str">
        <f>IF(VLOOKUP(J343,PasteHashtag!$C$2:$P1015,3,)="BRO","BKN",IF(VLOOKUP(J343,PasteHashtag!$C$2:$P1015,3,)="OKL","OKC",VLOOKUP(J343,PasteHashtag!$C$2:$P1015,3,)))</f>
        <v>#N/A</v>
      </c>
      <c r="G343" s="30">
        <v>323.0</v>
      </c>
      <c r="H343" s="270"/>
      <c r="I343" s="270"/>
      <c r="J343" s="271"/>
      <c r="K343" s="270"/>
      <c r="L343" s="272"/>
      <c r="M343" s="273"/>
      <c r="N343" s="274"/>
      <c r="O343" s="274"/>
      <c r="P343" s="275"/>
      <c r="Q343" s="275"/>
      <c r="R343" s="275"/>
      <c r="S343" s="276"/>
      <c r="T343" s="275"/>
      <c r="U343" s="275"/>
      <c r="V343" s="272"/>
      <c r="W343" s="272"/>
      <c r="X343" s="275"/>
      <c r="Y343" s="345"/>
      <c r="Z343" s="345"/>
      <c r="AA343" s="345"/>
      <c r="AB343" s="345"/>
      <c r="AC343" s="345"/>
      <c r="AD343" s="345"/>
      <c r="AE343" s="345"/>
      <c r="AF343" s="345"/>
      <c r="AG343" s="346"/>
      <c r="AH343" s="265"/>
      <c r="AI343" s="338"/>
      <c r="AJ343" s="339"/>
      <c r="AK343" s="265"/>
      <c r="AL343" s="265"/>
      <c r="AM343" s="265"/>
      <c r="AN343" s="265"/>
      <c r="AO343" s="265"/>
      <c r="AP343" s="265"/>
      <c r="AQ343" s="265"/>
      <c r="AR343" s="265"/>
      <c r="AS343" s="265"/>
      <c r="AT343" s="265"/>
      <c r="AU343" s="265"/>
      <c r="AV343" s="265"/>
      <c r="AW343" s="265"/>
      <c r="AX343" s="265"/>
      <c r="AY343" s="265"/>
      <c r="AZ343" s="265"/>
      <c r="BA343" s="265"/>
      <c r="BB343" s="265"/>
      <c r="BC343" s="265"/>
      <c r="BD343" s="265"/>
      <c r="BE343" s="265"/>
      <c r="BF343" s="265"/>
      <c r="BG343" s="265"/>
      <c r="BH343" s="265"/>
      <c r="BI343" s="265"/>
      <c r="BJ343" s="265"/>
      <c r="BK343" s="265"/>
      <c r="BL343" s="265"/>
      <c r="BM343" s="265"/>
      <c r="BN343" s="265"/>
      <c r="BO343" s="265"/>
      <c r="BP343" s="265"/>
      <c r="BQ343" s="265"/>
      <c r="BR343" s="265"/>
      <c r="BS343" s="265"/>
      <c r="BT343" s="265"/>
      <c r="BU343" s="265"/>
      <c r="BV343" s="265"/>
    </row>
    <row r="344">
      <c r="A344" s="252" t="str">
        <f>VLOOKUP($F344,UpdateHashtag!$V$3:$Y$32,COLUMN(B$15),0)</f>
        <v>#N/A</v>
      </c>
      <c r="B344" s="252" t="str">
        <f>VLOOKUP($F344,UpdateHashtag!$V$3:$Y$32,COLUMN(C$13),0)</f>
        <v>#N/A</v>
      </c>
      <c r="C344" s="252" t="str">
        <f>VLOOKUP($F344,UpdateHashtag!$V$3:$Y$32,COLUMN(D$13),0)</f>
        <v>#N/A</v>
      </c>
      <c r="D344" s="344" t="str">
        <f t="shared" si="4"/>
        <v>#N/A</v>
      </c>
      <c r="E344" s="19"/>
      <c r="F344" s="30" t="str">
        <f>IF(VLOOKUP(J344,PasteHashtag!$C$2:$P1015,3,)="BRO","BKN",IF(VLOOKUP(J344,PasteHashtag!$C$2:$P1015,3,)="OKL","OKC",VLOOKUP(J344,PasteHashtag!$C$2:$P1015,3,)))</f>
        <v>#N/A</v>
      </c>
      <c r="G344" s="30">
        <v>324.0</v>
      </c>
      <c r="H344" s="270"/>
      <c r="I344" s="270"/>
      <c r="J344" s="271"/>
      <c r="K344" s="270"/>
      <c r="L344" s="272"/>
      <c r="M344" s="273"/>
      <c r="N344" s="274"/>
      <c r="O344" s="274"/>
      <c r="P344" s="275"/>
      <c r="Q344" s="275"/>
      <c r="R344" s="275"/>
      <c r="S344" s="276"/>
      <c r="T344" s="275"/>
      <c r="U344" s="275"/>
      <c r="V344" s="272"/>
      <c r="W344" s="272"/>
      <c r="X344" s="275"/>
      <c r="Y344" s="345"/>
      <c r="Z344" s="345"/>
      <c r="AA344" s="345"/>
      <c r="AB344" s="345"/>
      <c r="AC344" s="345"/>
      <c r="AD344" s="345"/>
      <c r="AE344" s="345"/>
      <c r="AF344" s="345"/>
      <c r="AG344" s="346"/>
      <c r="AH344" s="265"/>
      <c r="AI344" s="338"/>
      <c r="AJ344" s="339"/>
      <c r="AK344" s="265"/>
      <c r="AL344" s="265"/>
      <c r="AM344" s="265"/>
      <c r="AN344" s="265"/>
      <c r="AO344" s="265"/>
      <c r="AP344" s="265"/>
      <c r="AQ344" s="265"/>
      <c r="AR344" s="265"/>
      <c r="AS344" s="265"/>
      <c r="AT344" s="265"/>
      <c r="AU344" s="265"/>
      <c r="AV344" s="265"/>
      <c r="AW344" s="265"/>
      <c r="AX344" s="265"/>
      <c r="AY344" s="265"/>
      <c r="AZ344" s="265"/>
      <c r="BA344" s="265"/>
      <c r="BB344" s="265"/>
      <c r="BC344" s="265"/>
      <c r="BD344" s="265"/>
      <c r="BE344" s="265"/>
      <c r="BF344" s="265"/>
      <c r="BG344" s="265"/>
      <c r="BH344" s="265"/>
      <c r="BI344" s="265"/>
      <c r="BJ344" s="265"/>
      <c r="BK344" s="265"/>
      <c r="BL344" s="265"/>
      <c r="BM344" s="265"/>
      <c r="BN344" s="265"/>
      <c r="BO344" s="265"/>
      <c r="BP344" s="265"/>
      <c r="BQ344" s="265"/>
      <c r="BR344" s="265"/>
      <c r="BS344" s="265"/>
      <c r="BT344" s="265"/>
      <c r="BU344" s="265"/>
      <c r="BV344" s="265"/>
    </row>
    <row r="345">
      <c r="A345" s="252" t="str">
        <f>VLOOKUP($F345,UpdateHashtag!$V$3:$Y$32,COLUMN(B$15),0)</f>
        <v>#N/A</v>
      </c>
      <c r="B345" s="252" t="str">
        <f>VLOOKUP($F345,UpdateHashtag!$V$3:$Y$32,COLUMN(C$13),0)</f>
        <v>#N/A</v>
      </c>
      <c r="C345" s="252" t="str">
        <f>VLOOKUP($F345,UpdateHashtag!$V$3:$Y$32,COLUMN(D$13),0)</f>
        <v>#N/A</v>
      </c>
      <c r="D345" s="344" t="str">
        <f t="shared" si="4"/>
        <v>#N/A</v>
      </c>
      <c r="E345" s="19"/>
      <c r="F345" s="30" t="str">
        <f>IF(VLOOKUP(J345,PasteHashtag!$C$2:$P1015,3,)="BRO","BKN",IF(VLOOKUP(J345,PasteHashtag!$C$2:$P1015,3,)="OKL","OKC",VLOOKUP(J345,PasteHashtag!$C$2:$P1015,3,)))</f>
        <v>#N/A</v>
      </c>
      <c r="G345" s="30">
        <v>325.0</v>
      </c>
      <c r="H345" s="270"/>
      <c r="I345" s="270"/>
      <c r="J345" s="271"/>
      <c r="K345" s="270"/>
      <c r="L345" s="272"/>
      <c r="M345" s="273"/>
      <c r="N345" s="274"/>
      <c r="O345" s="274"/>
      <c r="P345" s="275"/>
      <c r="Q345" s="275"/>
      <c r="R345" s="275"/>
      <c r="S345" s="276"/>
      <c r="T345" s="275"/>
      <c r="U345" s="275"/>
      <c r="V345" s="272"/>
      <c r="W345" s="272"/>
      <c r="X345" s="275"/>
      <c r="Y345" s="345"/>
      <c r="Z345" s="345"/>
      <c r="AA345" s="345"/>
      <c r="AB345" s="345"/>
      <c r="AC345" s="345"/>
      <c r="AD345" s="345"/>
      <c r="AE345" s="345"/>
      <c r="AF345" s="345"/>
      <c r="AG345" s="346"/>
      <c r="AH345" s="265"/>
      <c r="AI345" s="338"/>
      <c r="AJ345" s="339"/>
      <c r="AK345" s="265"/>
      <c r="AL345" s="265"/>
      <c r="AM345" s="265"/>
      <c r="AN345" s="265"/>
      <c r="AO345" s="265"/>
      <c r="AP345" s="265"/>
      <c r="AQ345" s="265"/>
      <c r="AR345" s="265"/>
      <c r="AS345" s="265"/>
      <c r="AT345" s="265"/>
      <c r="AU345" s="265"/>
      <c r="AV345" s="265"/>
      <c r="AW345" s="265"/>
      <c r="AX345" s="265"/>
      <c r="AY345" s="265"/>
      <c r="AZ345" s="265"/>
      <c r="BA345" s="265"/>
      <c r="BB345" s="265"/>
      <c r="BC345" s="265"/>
      <c r="BD345" s="265"/>
      <c r="BE345" s="265"/>
      <c r="BF345" s="265"/>
      <c r="BG345" s="265"/>
      <c r="BH345" s="265"/>
      <c r="BI345" s="265"/>
      <c r="BJ345" s="265"/>
      <c r="BK345" s="265"/>
      <c r="BL345" s="265"/>
      <c r="BM345" s="265"/>
      <c r="BN345" s="265"/>
      <c r="BO345" s="265"/>
      <c r="BP345" s="265"/>
      <c r="BQ345" s="265"/>
      <c r="BR345" s="265"/>
      <c r="BS345" s="265"/>
      <c r="BT345" s="265"/>
      <c r="BU345" s="265"/>
      <c r="BV345" s="265"/>
    </row>
    <row r="346">
      <c r="A346" s="252" t="str">
        <f>VLOOKUP($F346,UpdateHashtag!$V$3:$Y$32,COLUMN(B$15),0)</f>
        <v>#N/A</v>
      </c>
      <c r="B346" s="252" t="str">
        <f>VLOOKUP($F346,UpdateHashtag!$V$3:$Y$32,COLUMN(C$13),0)</f>
        <v>#N/A</v>
      </c>
      <c r="C346" s="252" t="str">
        <f>VLOOKUP($F346,UpdateHashtag!$V$3:$Y$32,COLUMN(D$13),0)</f>
        <v>#N/A</v>
      </c>
      <c r="D346" s="344" t="str">
        <f t="shared" si="4"/>
        <v>#N/A</v>
      </c>
      <c r="E346" s="19"/>
      <c r="F346" s="30" t="str">
        <f>IF(VLOOKUP(J346,PasteHashtag!$C$2:$P1015,3,)="BRO","BKN",IF(VLOOKUP(J346,PasteHashtag!$C$2:$P1015,3,)="OKL","OKC",VLOOKUP(J346,PasteHashtag!$C$2:$P1015,3,)))</f>
        <v>#N/A</v>
      </c>
      <c r="G346" s="30">
        <v>326.0</v>
      </c>
      <c r="H346" s="270"/>
      <c r="I346" s="270"/>
      <c r="J346" s="271"/>
      <c r="K346" s="270"/>
      <c r="L346" s="272"/>
      <c r="M346" s="273"/>
      <c r="N346" s="274"/>
      <c r="O346" s="274"/>
      <c r="P346" s="275"/>
      <c r="Q346" s="275"/>
      <c r="R346" s="275"/>
      <c r="S346" s="276"/>
      <c r="T346" s="275"/>
      <c r="U346" s="275"/>
      <c r="V346" s="272"/>
      <c r="W346" s="272"/>
      <c r="X346" s="275"/>
      <c r="Y346" s="345"/>
      <c r="Z346" s="345"/>
      <c r="AA346" s="345"/>
      <c r="AB346" s="345"/>
      <c r="AC346" s="345"/>
      <c r="AD346" s="345"/>
      <c r="AE346" s="345"/>
      <c r="AF346" s="345"/>
      <c r="AG346" s="346"/>
      <c r="AH346" s="265"/>
      <c r="AI346" s="338"/>
      <c r="AJ346" s="339"/>
      <c r="AK346" s="265"/>
      <c r="AL346" s="265"/>
      <c r="AM346" s="265"/>
      <c r="AN346" s="265"/>
      <c r="AO346" s="265"/>
      <c r="AP346" s="265"/>
      <c r="AQ346" s="265"/>
      <c r="AR346" s="265"/>
      <c r="AS346" s="265"/>
      <c r="AT346" s="265"/>
      <c r="AU346" s="265"/>
      <c r="AV346" s="265"/>
      <c r="AW346" s="265"/>
      <c r="AX346" s="265"/>
      <c r="AY346" s="265"/>
      <c r="AZ346" s="265"/>
      <c r="BA346" s="265"/>
      <c r="BB346" s="265"/>
      <c r="BC346" s="265"/>
      <c r="BD346" s="265"/>
      <c r="BE346" s="265"/>
      <c r="BF346" s="265"/>
      <c r="BG346" s="265"/>
      <c r="BH346" s="265"/>
      <c r="BI346" s="265"/>
      <c r="BJ346" s="265"/>
      <c r="BK346" s="265"/>
      <c r="BL346" s="265"/>
      <c r="BM346" s="265"/>
      <c r="BN346" s="265"/>
      <c r="BO346" s="265"/>
      <c r="BP346" s="265"/>
      <c r="BQ346" s="265"/>
      <c r="BR346" s="265"/>
      <c r="BS346" s="265"/>
      <c r="BT346" s="265"/>
      <c r="BU346" s="265"/>
      <c r="BV346" s="265"/>
    </row>
    <row r="347">
      <c r="A347" s="252" t="str">
        <f>VLOOKUP($F347,UpdateHashtag!$V$3:$Y$32,COLUMN(B$15),0)</f>
        <v>#N/A</v>
      </c>
      <c r="B347" s="252" t="str">
        <f>VLOOKUP($F347,UpdateHashtag!$V$3:$Y$32,COLUMN(C$13),0)</f>
        <v>#N/A</v>
      </c>
      <c r="C347" s="252" t="str">
        <f>VLOOKUP($F347,UpdateHashtag!$V$3:$Y$32,COLUMN(D$13),0)</f>
        <v>#N/A</v>
      </c>
      <c r="D347" s="344" t="str">
        <f t="shared" si="4"/>
        <v>#N/A</v>
      </c>
      <c r="E347" s="19"/>
      <c r="F347" s="30" t="str">
        <f>IF(VLOOKUP(J347,PasteHashtag!$C$2:$P1015,3,)="BRO","BKN",IF(VLOOKUP(J347,PasteHashtag!$C$2:$P1015,3,)="OKL","OKC",VLOOKUP(J347,PasteHashtag!$C$2:$P1015,3,)))</f>
        <v>#N/A</v>
      </c>
      <c r="G347" s="30">
        <v>327.0</v>
      </c>
      <c r="H347" s="270"/>
      <c r="I347" s="270"/>
      <c r="J347" s="271"/>
      <c r="K347" s="270"/>
      <c r="L347" s="272"/>
      <c r="M347" s="273"/>
      <c r="N347" s="274"/>
      <c r="O347" s="274"/>
      <c r="P347" s="275"/>
      <c r="Q347" s="275"/>
      <c r="R347" s="275"/>
      <c r="S347" s="276"/>
      <c r="T347" s="275"/>
      <c r="U347" s="275"/>
      <c r="V347" s="272"/>
      <c r="W347" s="272"/>
      <c r="X347" s="275"/>
      <c r="Y347" s="345"/>
      <c r="Z347" s="345"/>
      <c r="AA347" s="345"/>
      <c r="AB347" s="345"/>
      <c r="AC347" s="345"/>
      <c r="AD347" s="345"/>
      <c r="AE347" s="345"/>
      <c r="AF347" s="345"/>
      <c r="AG347" s="346"/>
      <c r="AH347" s="265"/>
      <c r="AI347" s="338"/>
      <c r="AJ347" s="339"/>
      <c r="AK347" s="265"/>
      <c r="AL347" s="265"/>
      <c r="AM347" s="265"/>
      <c r="AN347" s="265"/>
      <c r="AO347" s="265"/>
      <c r="AP347" s="265"/>
      <c r="AQ347" s="265"/>
      <c r="AR347" s="265"/>
      <c r="AS347" s="265"/>
      <c r="AT347" s="265"/>
      <c r="AU347" s="265"/>
      <c r="AV347" s="265"/>
      <c r="AW347" s="265"/>
      <c r="AX347" s="265"/>
      <c r="AY347" s="265"/>
      <c r="AZ347" s="265"/>
      <c r="BA347" s="265"/>
      <c r="BB347" s="265"/>
      <c r="BC347" s="265"/>
      <c r="BD347" s="265"/>
      <c r="BE347" s="265"/>
      <c r="BF347" s="265"/>
      <c r="BG347" s="265"/>
      <c r="BH347" s="265"/>
      <c r="BI347" s="265"/>
      <c r="BJ347" s="265"/>
      <c r="BK347" s="265"/>
      <c r="BL347" s="265"/>
      <c r="BM347" s="265"/>
      <c r="BN347" s="265"/>
      <c r="BO347" s="265"/>
      <c r="BP347" s="265"/>
      <c r="BQ347" s="265"/>
      <c r="BR347" s="265"/>
      <c r="BS347" s="265"/>
      <c r="BT347" s="265"/>
      <c r="BU347" s="265"/>
      <c r="BV347" s="265"/>
    </row>
    <row r="348">
      <c r="A348" s="252" t="str">
        <f>VLOOKUP($F348,UpdateHashtag!$V$3:$Y$32,COLUMN(B$15),0)</f>
        <v>#N/A</v>
      </c>
      <c r="B348" s="252" t="str">
        <f>VLOOKUP($F348,UpdateHashtag!$V$3:$Y$32,COLUMN(C$13),0)</f>
        <v>#N/A</v>
      </c>
      <c r="C348" s="252" t="str">
        <f>VLOOKUP($F348,UpdateHashtag!$V$3:$Y$32,COLUMN(D$13),0)</f>
        <v>#N/A</v>
      </c>
      <c r="D348" s="344" t="str">
        <f t="shared" si="4"/>
        <v>#N/A</v>
      </c>
      <c r="E348" s="19"/>
      <c r="F348" s="30" t="str">
        <f>IF(VLOOKUP(J348,PasteHashtag!$C$2:$P1015,3,)="BRO","BKN",IF(VLOOKUP(J348,PasteHashtag!$C$2:$P1015,3,)="OKL","OKC",VLOOKUP(J348,PasteHashtag!$C$2:$P1015,3,)))</f>
        <v>#N/A</v>
      </c>
      <c r="G348" s="30">
        <v>328.0</v>
      </c>
      <c r="H348" s="270"/>
      <c r="I348" s="270"/>
      <c r="J348" s="271"/>
      <c r="K348" s="270"/>
      <c r="L348" s="272"/>
      <c r="M348" s="273"/>
      <c r="N348" s="274"/>
      <c r="O348" s="274"/>
      <c r="P348" s="275"/>
      <c r="Q348" s="275"/>
      <c r="R348" s="275"/>
      <c r="S348" s="276"/>
      <c r="T348" s="275"/>
      <c r="U348" s="275"/>
      <c r="V348" s="272"/>
      <c r="W348" s="272"/>
      <c r="X348" s="275"/>
      <c r="Y348" s="345"/>
      <c r="Z348" s="345"/>
      <c r="AA348" s="345"/>
      <c r="AB348" s="345"/>
      <c r="AC348" s="345"/>
      <c r="AD348" s="345"/>
      <c r="AE348" s="345"/>
      <c r="AF348" s="345"/>
      <c r="AG348" s="346"/>
      <c r="AH348" s="265"/>
      <c r="AI348" s="338"/>
      <c r="AJ348" s="339"/>
      <c r="AK348" s="265"/>
      <c r="AL348" s="265"/>
      <c r="AM348" s="265"/>
      <c r="AN348" s="265"/>
      <c r="AO348" s="265"/>
      <c r="AP348" s="265"/>
      <c r="AQ348" s="265"/>
      <c r="AR348" s="265"/>
      <c r="AS348" s="265"/>
      <c r="AT348" s="265"/>
      <c r="AU348" s="265"/>
      <c r="AV348" s="265"/>
      <c r="AW348" s="265"/>
      <c r="AX348" s="265"/>
      <c r="AY348" s="265"/>
      <c r="AZ348" s="265"/>
      <c r="BA348" s="265"/>
      <c r="BB348" s="265"/>
      <c r="BC348" s="265"/>
      <c r="BD348" s="265"/>
      <c r="BE348" s="265"/>
      <c r="BF348" s="265"/>
      <c r="BG348" s="265"/>
      <c r="BH348" s="265"/>
      <c r="BI348" s="265"/>
      <c r="BJ348" s="265"/>
      <c r="BK348" s="265"/>
      <c r="BL348" s="265"/>
      <c r="BM348" s="265"/>
      <c r="BN348" s="265"/>
      <c r="BO348" s="265"/>
      <c r="BP348" s="265"/>
      <c r="BQ348" s="265"/>
      <c r="BR348" s="265"/>
      <c r="BS348" s="265"/>
      <c r="BT348" s="265"/>
      <c r="BU348" s="265"/>
      <c r="BV348" s="265"/>
    </row>
    <row r="349">
      <c r="A349" s="252" t="str">
        <f>VLOOKUP($F349,UpdateHashtag!$V$3:$Y$32,COLUMN(B$15),0)</f>
        <v>#N/A</v>
      </c>
      <c r="B349" s="252" t="str">
        <f>VLOOKUP($F349,UpdateHashtag!$V$3:$Y$32,COLUMN(C$13),0)</f>
        <v>#N/A</v>
      </c>
      <c r="C349" s="252" t="str">
        <f>VLOOKUP($F349,UpdateHashtag!$V$3:$Y$32,COLUMN(D$13),0)</f>
        <v>#N/A</v>
      </c>
      <c r="D349" s="344" t="str">
        <f t="shared" si="4"/>
        <v>#N/A</v>
      </c>
      <c r="E349" s="19"/>
      <c r="F349" s="30" t="str">
        <f>IF(VLOOKUP(J349,PasteHashtag!$C$2:$P1015,3,)="BRO","BKN",IF(VLOOKUP(J349,PasteHashtag!$C$2:$P1015,3,)="OKL","OKC",VLOOKUP(J349,PasteHashtag!$C$2:$P1015,3,)))</f>
        <v>#N/A</v>
      </c>
      <c r="G349" s="30">
        <v>329.0</v>
      </c>
      <c r="H349" s="270"/>
      <c r="I349" s="270"/>
      <c r="J349" s="271"/>
      <c r="K349" s="270"/>
      <c r="L349" s="272"/>
      <c r="M349" s="273"/>
      <c r="N349" s="274"/>
      <c r="O349" s="274"/>
      <c r="P349" s="275"/>
      <c r="Q349" s="275"/>
      <c r="R349" s="275"/>
      <c r="S349" s="276"/>
      <c r="T349" s="275"/>
      <c r="U349" s="275"/>
      <c r="V349" s="272"/>
      <c r="W349" s="272"/>
      <c r="X349" s="275"/>
      <c r="Y349" s="345"/>
      <c r="Z349" s="345"/>
      <c r="AA349" s="345"/>
      <c r="AB349" s="345"/>
      <c r="AC349" s="345"/>
      <c r="AD349" s="345"/>
      <c r="AE349" s="345"/>
      <c r="AF349" s="345"/>
      <c r="AG349" s="346"/>
      <c r="AH349" s="265"/>
      <c r="AI349" s="338"/>
      <c r="AJ349" s="339"/>
      <c r="AK349" s="265"/>
      <c r="AL349" s="265"/>
      <c r="AM349" s="265"/>
      <c r="AN349" s="265"/>
      <c r="AO349" s="265"/>
      <c r="AP349" s="265"/>
      <c r="AQ349" s="265"/>
      <c r="AR349" s="265"/>
      <c r="AS349" s="265"/>
      <c r="AT349" s="265"/>
      <c r="AU349" s="265"/>
      <c r="AV349" s="265"/>
      <c r="AW349" s="265"/>
      <c r="AX349" s="265"/>
      <c r="AY349" s="265"/>
      <c r="AZ349" s="265"/>
      <c r="BA349" s="265"/>
      <c r="BB349" s="265"/>
      <c r="BC349" s="265"/>
      <c r="BD349" s="265"/>
      <c r="BE349" s="265"/>
      <c r="BF349" s="265"/>
      <c r="BG349" s="265"/>
      <c r="BH349" s="265"/>
      <c r="BI349" s="265"/>
      <c r="BJ349" s="265"/>
      <c r="BK349" s="265"/>
      <c r="BL349" s="265"/>
      <c r="BM349" s="265"/>
      <c r="BN349" s="265"/>
      <c r="BO349" s="265"/>
      <c r="BP349" s="265"/>
      <c r="BQ349" s="265"/>
      <c r="BR349" s="265"/>
      <c r="BS349" s="265"/>
      <c r="BT349" s="265"/>
      <c r="BU349" s="265"/>
      <c r="BV349" s="265"/>
    </row>
    <row r="350">
      <c r="A350" s="252" t="str">
        <f>VLOOKUP($F350,UpdateHashtag!$V$3:$Y$32,COLUMN(B$15),0)</f>
        <v>#N/A</v>
      </c>
      <c r="B350" s="252" t="str">
        <f>VLOOKUP($F350,UpdateHashtag!$V$3:$Y$32,COLUMN(C$13),0)</f>
        <v>#N/A</v>
      </c>
      <c r="C350" s="252" t="str">
        <f>VLOOKUP($F350,UpdateHashtag!$V$3:$Y$32,COLUMN(D$13),0)</f>
        <v>#N/A</v>
      </c>
      <c r="D350" s="344" t="str">
        <f t="shared" si="4"/>
        <v>#N/A</v>
      </c>
      <c r="E350" s="19"/>
      <c r="F350" s="30" t="str">
        <f>IF(VLOOKUP(J350,PasteHashtag!$C$2:$P1015,3,)="BRO","BKN",IF(VLOOKUP(J350,PasteHashtag!$C$2:$P1015,3,)="OKL","OKC",VLOOKUP(J350,PasteHashtag!$C$2:$P1015,3,)))</f>
        <v>#N/A</v>
      </c>
      <c r="G350" s="30">
        <v>330.0</v>
      </c>
      <c r="H350" s="270"/>
      <c r="I350" s="270"/>
      <c r="J350" s="271"/>
      <c r="K350" s="270"/>
      <c r="L350" s="272"/>
      <c r="M350" s="273"/>
      <c r="N350" s="274"/>
      <c r="O350" s="274"/>
      <c r="P350" s="275"/>
      <c r="Q350" s="275"/>
      <c r="R350" s="275"/>
      <c r="S350" s="276"/>
      <c r="T350" s="275"/>
      <c r="U350" s="275"/>
      <c r="V350" s="272"/>
      <c r="W350" s="272"/>
      <c r="X350" s="275"/>
      <c r="Y350" s="345"/>
      <c r="Z350" s="345"/>
      <c r="AA350" s="345"/>
      <c r="AB350" s="345"/>
      <c r="AC350" s="345"/>
      <c r="AD350" s="345"/>
      <c r="AE350" s="345"/>
      <c r="AF350" s="345"/>
      <c r="AG350" s="346"/>
      <c r="AH350" s="265"/>
      <c r="AI350" s="338"/>
      <c r="AJ350" s="339"/>
      <c r="AK350" s="265"/>
      <c r="AL350" s="265"/>
      <c r="AM350" s="265"/>
      <c r="AN350" s="265"/>
      <c r="AO350" s="265"/>
      <c r="AP350" s="265"/>
      <c r="AQ350" s="265"/>
      <c r="AR350" s="265"/>
      <c r="AS350" s="265"/>
      <c r="AT350" s="265"/>
      <c r="AU350" s="265"/>
      <c r="AV350" s="265"/>
      <c r="AW350" s="265"/>
      <c r="AX350" s="265"/>
      <c r="AY350" s="265"/>
      <c r="AZ350" s="265"/>
      <c r="BA350" s="265"/>
      <c r="BB350" s="265"/>
      <c r="BC350" s="265"/>
      <c r="BD350" s="265"/>
      <c r="BE350" s="265"/>
      <c r="BF350" s="265"/>
      <c r="BG350" s="265"/>
      <c r="BH350" s="265"/>
      <c r="BI350" s="265"/>
      <c r="BJ350" s="265"/>
      <c r="BK350" s="265"/>
      <c r="BL350" s="265"/>
      <c r="BM350" s="265"/>
      <c r="BN350" s="265"/>
      <c r="BO350" s="265"/>
      <c r="BP350" s="265"/>
      <c r="BQ350" s="265"/>
      <c r="BR350" s="265"/>
      <c r="BS350" s="265"/>
      <c r="BT350" s="265"/>
      <c r="BU350" s="265"/>
      <c r="BV350" s="265"/>
    </row>
    <row r="351">
      <c r="A351" s="252" t="str">
        <f>VLOOKUP($F351,UpdateHashtag!$V$3:$Y$32,COLUMN(B$15),0)</f>
        <v>#N/A</v>
      </c>
      <c r="B351" s="252" t="str">
        <f>VLOOKUP($F351,UpdateHashtag!$V$3:$Y$32,COLUMN(C$13),0)</f>
        <v>#N/A</v>
      </c>
      <c r="C351" s="252" t="str">
        <f>VLOOKUP($F351,UpdateHashtag!$V$3:$Y$32,COLUMN(D$13),0)</f>
        <v>#N/A</v>
      </c>
      <c r="D351" s="344" t="str">
        <f t="shared" si="4"/>
        <v>#N/A</v>
      </c>
      <c r="E351" s="19"/>
      <c r="F351" s="30" t="str">
        <f>IF(VLOOKUP(J351,PasteHashtag!$C$2:$P1015,3,)="BRO","BKN",IF(VLOOKUP(J351,PasteHashtag!$C$2:$P1015,3,)="OKL","OKC",VLOOKUP(J351,PasteHashtag!$C$2:$P1015,3,)))</f>
        <v>#N/A</v>
      </c>
      <c r="G351" s="30">
        <v>331.0</v>
      </c>
      <c r="H351" s="270"/>
      <c r="I351" s="270"/>
      <c r="J351" s="271"/>
      <c r="K351" s="270"/>
      <c r="L351" s="272"/>
      <c r="M351" s="273"/>
      <c r="N351" s="274"/>
      <c r="O351" s="274"/>
      <c r="P351" s="275"/>
      <c r="Q351" s="275"/>
      <c r="R351" s="275"/>
      <c r="S351" s="276"/>
      <c r="T351" s="275"/>
      <c r="U351" s="275"/>
      <c r="V351" s="272"/>
      <c r="W351" s="272"/>
      <c r="X351" s="275"/>
      <c r="Y351" s="345"/>
      <c r="Z351" s="345"/>
      <c r="AA351" s="345"/>
      <c r="AB351" s="345"/>
      <c r="AC351" s="345"/>
      <c r="AD351" s="345"/>
      <c r="AE351" s="345"/>
      <c r="AF351" s="345"/>
      <c r="AG351" s="346"/>
      <c r="AH351" s="265"/>
      <c r="AI351" s="338"/>
      <c r="AJ351" s="339"/>
      <c r="AK351" s="265"/>
      <c r="AL351" s="265"/>
      <c r="AM351" s="265"/>
      <c r="AN351" s="265"/>
      <c r="AO351" s="265"/>
      <c r="AP351" s="265"/>
      <c r="AQ351" s="265"/>
      <c r="AR351" s="265"/>
      <c r="AS351" s="265"/>
      <c r="AT351" s="265"/>
      <c r="AU351" s="265"/>
      <c r="AV351" s="265"/>
      <c r="AW351" s="265"/>
      <c r="AX351" s="265"/>
      <c r="AY351" s="265"/>
      <c r="AZ351" s="265"/>
      <c r="BA351" s="265"/>
      <c r="BB351" s="265"/>
      <c r="BC351" s="265"/>
      <c r="BD351" s="265"/>
      <c r="BE351" s="265"/>
      <c r="BF351" s="265"/>
      <c r="BG351" s="265"/>
      <c r="BH351" s="265"/>
      <c r="BI351" s="265"/>
      <c r="BJ351" s="265"/>
      <c r="BK351" s="265"/>
      <c r="BL351" s="265"/>
      <c r="BM351" s="265"/>
      <c r="BN351" s="265"/>
      <c r="BO351" s="265"/>
      <c r="BP351" s="265"/>
      <c r="BQ351" s="265"/>
      <c r="BR351" s="265"/>
      <c r="BS351" s="265"/>
      <c r="BT351" s="265"/>
      <c r="BU351" s="265"/>
      <c r="BV351" s="265"/>
    </row>
    <row r="352">
      <c r="A352" s="252" t="str">
        <f>VLOOKUP($F352,UpdateHashtag!$V$3:$Y$32,COLUMN(B$15),0)</f>
        <v>#N/A</v>
      </c>
      <c r="B352" s="252" t="str">
        <f>VLOOKUP($F352,UpdateHashtag!$V$3:$Y$32,COLUMN(C$13),0)</f>
        <v>#N/A</v>
      </c>
      <c r="C352" s="252" t="str">
        <f>VLOOKUP($F352,UpdateHashtag!$V$3:$Y$32,COLUMN(D$13),0)</f>
        <v>#N/A</v>
      </c>
      <c r="D352" s="344" t="str">
        <f t="shared" si="4"/>
        <v>#N/A</v>
      </c>
      <c r="E352" s="19"/>
      <c r="F352" s="30" t="str">
        <f>IF(VLOOKUP(J352,PasteHashtag!$C$2:$P1015,3,)="BRO","BKN",IF(VLOOKUP(J352,PasteHashtag!$C$2:$P1015,3,)="OKL","OKC",VLOOKUP(J352,PasteHashtag!$C$2:$P1015,3,)))</f>
        <v>#N/A</v>
      </c>
      <c r="G352" s="30">
        <v>332.0</v>
      </c>
      <c r="H352" s="270"/>
      <c r="I352" s="270"/>
      <c r="J352" s="271"/>
      <c r="K352" s="270"/>
      <c r="L352" s="272"/>
      <c r="M352" s="273"/>
      <c r="N352" s="274"/>
      <c r="O352" s="274"/>
      <c r="P352" s="275"/>
      <c r="Q352" s="275"/>
      <c r="R352" s="275"/>
      <c r="S352" s="276"/>
      <c r="T352" s="275"/>
      <c r="U352" s="275"/>
      <c r="V352" s="272"/>
      <c r="W352" s="272"/>
      <c r="X352" s="275"/>
      <c r="Y352" s="345"/>
      <c r="Z352" s="345"/>
      <c r="AA352" s="345"/>
      <c r="AB352" s="345"/>
      <c r="AC352" s="345"/>
      <c r="AD352" s="345"/>
      <c r="AE352" s="345"/>
      <c r="AF352" s="345"/>
      <c r="AG352" s="346"/>
      <c r="AH352" s="265"/>
      <c r="AI352" s="338"/>
      <c r="AJ352" s="339"/>
      <c r="AK352" s="265"/>
      <c r="AL352" s="265"/>
      <c r="AM352" s="265"/>
      <c r="AN352" s="265"/>
      <c r="AO352" s="265"/>
      <c r="AP352" s="265"/>
      <c r="AQ352" s="265"/>
      <c r="AR352" s="265"/>
      <c r="AS352" s="265"/>
      <c r="AT352" s="265"/>
      <c r="AU352" s="265"/>
      <c r="AV352" s="265"/>
      <c r="AW352" s="265"/>
      <c r="AX352" s="265"/>
      <c r="AY352" s="265"/>
      <c r="AZ352" s="265"/>
      <c r="BA352" s="265"/>
      <c r="BB352" s="265"/>
      <c r="BC352" s="265"/>
      <c r="BD352" s="265"/>
      <c r="BE352" s="265"/>
      <c r="BF352" s="265"/>
      <c r="BG352" s="265"/>
      <c r="BH352" s="265"/>
      <c r="BI352" s="265"/>
      <c r="BJ352" s="265"/>
      <c r="BK352" s="265"/>
      <c r="BL352" s="265"/>
      <c r="BM352" s="265"/>
      <c r="BN352" s="265"/>
      <c r="BO352" s="265"/>
      <c r="BP352" s="265"/>
      <c r="BQ352" s="265"/>
      <c r="BR352" s="265"/>
      <c r="BS352" s="265"/>
      <c r="BT352" s="265"/>
      <c r="BU352" s="265"/>
      <c r="BV352" s="265"/>
    </row>
    <row r="353">
      <c r="A353" s="252" t="str">
        <f>VLOOKUP($F353,UpdateHashtag!$V$3:$Y$32,COLUMN(B$15),0)</f>
        <v>#N/A</v>
      </c>
      <c r="B353" s="252" t="str">
        <f>VLOOKUP($F353,UpdateHashtag!$V$3:$Y$32,COLUMN(C$13),0)</f>
        <v>#N/A</v>
      </c>
      <c r="C353" s="252" t="str">
        <f>VLOOKUP($F353,UpdateHashtag!$V$3:$Y$32,COLUMN(D$13),0)</f>
        <v>#N/A</v>
      </c>
      <c r="D353" s="344" t="str">
        <f t="shared" si="4"/>
        <v>#N/A</v>
      </c>
      <c r="E353" s="19"/>
      <c r="F353" s="30" t="str">
        <f>IF(VLOOKUP(J353,PasteHashtag!$C$2:$P1015,3,)="BRO","BKN",IF(VLOOKUP(J353,PasteHashtag!$C$2:$P1015,3,)="OKL","OKC",VLOOKUP(J353,PasteHashtag!$C$2:$P1015,3,)))</f>
        <v>#N/A</v>
      </c>
      <c r="G353" s="30">
        <v>333.0</v>
      </c>
      <c r="H353" s="270"/>
      <c r="I353" s="270"/>
      <c r="J353" s="271"/>
      <c r="K353" s="270"/>
      <c r="L353" s="272"/>
      <c r="M353" s="273"/>
      <c r="N353" s="274"/>
      <c r="O353" s="274"/>
      <c r="P353" s="275"/>
      <c r="Q353" s="275"/>
      <c r="R353" s="275"/>
      <c r="S353" s="276"/>
      <c r="T353" s="275"/>
      <c r="U353" s="275"/>
      <c r="V353" s="272"/>
      <c r="W353" s="272"/>
      <c r="X353" s="275"/>
      <c r="Y353" s="345"/>
      <c r="Z353" s="345"/>
      <c r="AA353" s="345"/>
      <c r="AB353" s="345"/>
      <c r="AC353" s="345"/>
      <c r="AD353" s="345"/>
      <c r="AE353" s="345"/>
      <c r="AF353" s="345"/>
      <c r="AG353" s="346"/>
      <c r="AH353" s="265"/>
      <c r="AI353" s="338"/>
      <c r="AJ353" s="339"/>
      <c r="AK353" s="265"/>
      <c r="AL353" s="265"/>
      <c r="AM353" s="265"/>
      <c r="AN353" s="265"/>
      <c r="AO353" s="265"/>
      <c r="AP353" s="265"/>
      <c r="AQ353" s="265"/>
      <c r="AR353" s="265"/>
      <c r="AS353" s="265"/>
      <c r="AT353" s="265"/>
      <c r="AU353" s="265"/>
      <c r="AV353" s="265"/>
      <c r="AW353" s="265"/>
      <c r="AX353" s="265"/>
      <c r="AY353" s="265"/>
      <c r="AZ353" s="265"/>
      <c r="BA353" s="265"/>
      <c r="BB353" s="265"/>
      <c r="BC353" s="265"/>
      <c r="BD353" s="265"/>
      <c r="BE353" s="265"/>
      <c r="BF353" s="265"/>
      <c r="BG353" s="265"/>
      <c r="BH353" s="265"/>
      <c r="BI353" s="265"/>
      <c r="BJ353" s="265"/>
      <c r="BK353" s="265"/>
      <c r="BL353" s="265"/>
      <c r="BM353" s="265"/>
      <c r="BN353" s="265"/>
      <c r="BO353" s="265"/>
      <c r="BP353" s="265"/>
      <c r="BQ353" s="265"/>
      <c r="BR353" s="265"/>
      <c r="BS353" s="265"/>
      <c r="BT353" s="265"/>
      <c r="BU353" s="265"/>
      <c r="BV353" s="265"/>
    </row>
    <row r="354">
      <c r="A354" s="252" t="str">
        <f>VLOOKUP($F354,UpdateHashtag!$V$3:$Y$32,COLUMN(B$15),0)</f>
        <v>#N/A</v>
      </c>
      <c r="B354" s="252" t="str">
        <f>VLOOKUP($F354,UpdateHashtag!$V$3:$Y$32,COLUMN(C$13),0)</f>
        <v>#N/A</v>
      </c>
      <c r="C354" s="252" t="str">
        <f>VLOOKUP($F354,UpdateHashtag!$V$3:$Y$32,COLUMN(D$13),0)</f>
        <v>#N/A</v>
      </c>
      <c r="D354" s="344" t="str">
        <f t="shared" si="4"/>
        <v>#N/A</v>
      </c>
      <c r="E354" s="19"/>
      <c r="F354" s="30" t="str">
        <f>IF(VLOOKUP(J354,PasteHashtag!$C$2:$P1015,3,)="BRO","BKN",IF(VLOOKUP(J354,PasteHashtag!$C$2:$P1015,3,)="OKL","OKC",VLOOKUP(J354,PasteHashtag!$C$2:$P1015,3,)))</f>
        <v>#N/A</v>
      </c>
      <c r="G354" s="30">
        <v>334.0</v>
      </c>
      <c r="H354" s="270"/>
      <c r="I354" s="270"/>
      <c r="J354" s="271"/>
      <c r="K354" s="270"/>
      <c r="L354" s="272"/>
      <c r="M354" s="273"/>
      <c r="N354" s="274"/>
      <c r="O354" s="274"/>
      <c r="P354" s="275"/>
      <c r="Q354" s="275"/>
      <c r="R354" s="275"/>
      <c r="S354" s="276"/>
      <c r="T354" s="275"/>
      <c r="U354" s="275"/>
      <c r="V354" s="272"/>
      <c r="W354" s="272"/>
      <c r="X354" s="275"/>
      <c r="Y354" s="345"/>
      <c r="Z354" s="345"/>
      <c r="AA354" s="345"/>
      <c r="AB354" s="345"/>
      <c r="AC354" s="345"/>
      <c r="AD354" s="345"/>
      <c r="AE354" s="345"/>
      <c r="AF354" s="345"/>
      <c r="AG354" s="346"/>
      <c r="AH354" s="265"/>
      <c r="AI354" s="338"/>
      <c r="AJ354" s="339"/>
      <c r="AK354" s="265"/>
      <c r="AL354" s="265"/>
      <c r="AM354" s="265"/>
      <c r="AN354" s="265"/>
      <c r="AO354" s="265"/>
      <c r="AP354" s="265"/>
      <c r="AQ354" s="265"/>
      <c r="AR354" s="265"/>
      <c r="AS354" s="265"/>
      <c r="AT354" s="265"/>
      <c r="AU354" s="265"/>
      <c r="AV354" s="265"/>
      <c r="AW354" s="265"/>
      <c r="AX354" s="265"/>
      <c r="AY354" s="265"/>
      <c r="AZ354" s="265"/>
      <c r="BA354" s="265"/>
      <c r="BB354" s="265"/>
      <c r="BC354" s="265"/>
      <c r="BD354" s="265"/>
      <c r="BE354" s="265"/>
      <c r="BF354" s="265"/>
      <c r="BG354" s="265"/>
      <c r="BH354" s="265"/>
      <c r="BI354" s="265"/>
      <c r="BJ354" s="265"/>
      <c r="BK354" s="265"/>
      <c r="BL354" s="265"/>
      <c r="BM354" s="265"/>
      <c r="BN354" s="265"/>
      <c r="BO354" s="265"/>
      <c r="BP354" s="265"/>
      <c r="BQ354" s="265"/>
      <c r="BR354" s="265"/>
      <c r="BS354" s="265"/>
      <c r="BT354" s="265"/>
      <c r="BU354" s="265"/>
      <c r="BV354" s="265"/>
    </row>
    <row r="355">
      <c r="A355" s="252" t="str">
        <f>VLOOKUP($F355,UpdateHashtag!$V$3:$Y$32,COLUMN(B$15),0)</f>
        <v>#N/A</v>
      </c>
      <c r="B355" s="252" t="str">
        <f>VLOOKUP($F355,UpdateHashtag!$V$3:$Y$32,COLUMN(C$13),0)</f>
        <v>#N/A</v>
      </c>
      <c r="C355" s="252" t="str">
        <f>VLOOKUP($F355,UpdateHashtag!$V$3:$Y$32,COLUMN(D$13),0)</f>
        <v>#N/A</v>
      </c>
      <c r="D355" s="344" t="str">
        <f t="shared" si="4"/>
        <v>#N/A</v>
      </c>
      <c r="E355" s="19"/>
      <c r="F355" s="30" t="str">
        <f>IF(VLOOKUP(J355,PasteHashtag!$C$2:$P1015,3,)="BRO","BKN",IF(VLOOKUP(J355,PasteHashtag!$C$2:$P1015,3,)="OKL","OKC",VLOOKUP(J355,PasteHashtag!$C$2:$P1015,3,)))</f>
        <v>#N/A</v>
      </c>
      <c r="G355" s="30">
        <v>335.0</v>
      </c>
      <c r="H355" s="270"/>
      <c r="I355" s="270"/>
      <c r="J355" s="271"/>
      <c r="K355" s="270"/>
      <c r="L355" s="272"/>
      <c r="M355" s="273"/>
      <c r="N355" s="274"/>
      <c r="O355" s="274"/>
      <c r="P355" s="275"/>
      <c r="Q355" s="275"/>
      <c r="R355" s="275"/>
      <c r="S355" s="276"/>
      <c r="T355" s="275"/>
      <c r="U355" s="275"/>
      <c r="V355" s="272"/>
      <c r="W355" s="272"/>
      <c r="X355" s="275"/>
      <c r="Y355" s="345"/>
      <c r="Z355" s="345"/>
      <c r="AA355" s="345"/>
      <c r="AB355" s="345"/>
      <c r="AC355" s="345"/>
      <c r="AD355" s="345"/>
      <c r="AE355" s="345"/>
      <c r="AF355" s="345"/>
      <c r="AG355" s="346"/>
      <c r="AH355" s="265"/>
      <c r="AI355" s="338"/>
      <c r="AJ355" s="339"/>
      <c r="AK355" s="265"/>
      <c r="AL355" s="265"/>
      <c r="AM355" s="265"/>
      <c r="AN355" s="265"/>
      <c r="AO355" s="265"/>
      <c r="AP355" s="265"/>
      <c r="AQ355" s="265"/>
      <c r="AR355" s="265"/>
      <c r="AS355" s="265"/>
      <c r="AT355" s="265"/>
      <c r="AU355" s="265"/>
      <c r="AV355" s="265"/>
      <c r="AW355" s="265"/>
      <c r="AX355" s="265"/>
      <c r="AY355" s="265"/>
      <c r="AZ355" s="265"/>
      <c r="BA355" s="265"/>
      <c r="BB355" s="265"/>
      <c r="BC355" s="265"/>
      <c r="BD355" s="265"/>
      <c r="BE355" s="265"/>
      <c r="BF355" s="265"/>
      <c r="BG355" s="265"/>
      <c r="BH355" s="265"/>
      <c r="BI355" s="265"/>
      <c r="BJ355" s="265"/>
      <c r="BK355" s="265"/>
      <c r="BL355" s="265"/>
      <c r="BM355" s="265"/>
      <c r="BN355" s="265"/>
      <c r="BO355" s="265"/>
      <c r="BP355" s="265"/>
      <c r="BQ355" s="265"/>
      <c r="BR355" s="265"/>
      <c r="BS355" s="265"/>
      <c r="BT355" s="265"/>
      <c r="BU355" s="265"/>
      <c r="BV355" s="265"/>
    </row>
    <row r="356">
      <c r="A356" s="252" t="str">
        <f>VLOOKUP($F356,UpdateHashtag!$V$3:$Y$32,COLUMN(B$15),0)</f>
        <v>#N/A</v>
      </c>
      <c r="B356" s="252" t="str">
        <f>VLOOKUP($F356,UpdateHashtag!$V$3:$Y$32,COLUMN(C$13),0)</f>
        <v>#N/A</v>
      </c>
      <c r="C356" s="252" t="str">
        <f>VLOOKUP($F356,UpdateHashtag!$V$3:$Y$32,COLUMN(D$13),0)</f>
        <v>#N/A</v>
      </c>
      <c r="D356" s="344" t="str">
        <f t="shared" si="4"/>
        <v>#N/A</v>
      </c>
      <c r="E356" s="19"/>
      <c r="F356" s="30" t="str">
        <f>IF(VLOOKUP(J356,PasteHashtag!$C$2:$P1015,3,)="BRO","BKN",IF(VLOOKUP(J356,PasteHashtag!$C$2:$P1015,3,)="OKL","OKC",VLOOKUP(J356,PasteHashtag!$C$2:$P1015,3,)))</f>
        <v>#N/A</v>
      </c>
      <c r="G356" s="30">
        <v>336.0</v>
      </c>
      <c r="H356" s="270"/>
      <c r="I356" s="270"/>
      <c r="J356" s="271"/>
      <c r="K356" s="270"/>
      <c r="L356" s="272"/>
      <c r="M356" s="273"/>
      <c r="N356" s="274"/>
      <c r="O356" s="274"/>
      <c r="P356" s="275"/>
      <c r="Q356" s="275"/>
      <c r="R356" s="275"/>
      <c r="S356" s="276"/>
      <c r="T356" s="275"/>
      <c r="U356" s="275"/>
      <c r="V356" s="272"/>
      <c r="W356" s="272"/>
      <c r="X356" s="275"/>
      <c r="Y356" s="345"/>
      <c r="Z356" s="345"/>
      <c r="AA356" s="345"/>
      <c r="AB356" s="345"/>
      <c r="AC356" s="345"/>
      <c r="AD356" s="345"/>
      <c r="AE356" s="345"/>
      <c r="AF356" s="345"/>
      <c r="AG356" s="346"/>
      <c r="AH356" s="265"/>
      <c r="AI356" s="338"/>
      <c r="AJ356" s="339"/>
      <c r="AK356" s="265"/>
      <c r="AL356" s="265"/>
      <c r="AM356" s="265"/>
      <c r="AN356" s="265"/>
      <c r="AO356" s="265"/>
      <c r="AP356" s="265"/>
      <c r="AQ356" s="265"/>
      <c r="AR356" s="265"/>
      <c r="AS356" s="265"/>
      <c r="AT356" s="265"/>
      <c r="AU356" s="265"/>
      <c r="AV356" s="265"/>
      <c r="AW356" s="265"/>
      <c r="AX356" s="265"/>
      <c r="AY356" s="265"/>
      <c r="AZ356" s="265"/>
      <c r="BA356" s="265"/>
      <c r="BB356" s="265"/>
      <c r="BC356" s="265"/>
      <c r="BD356" s="265"/>
      <c r="BE356" s="265"/>
      <c r="BF356" s="265"/>
      <c r="BG356" s="265"/>
      <c r="BH356" s="265"/>
      <c r="BI356" s="265"/>
      <c r="BJ356" s="265"/>
      <c r="BK356" s="265"/>
      <c r="BL356" s="265"/>
      <c r="BM356" s="265"/>
      <c r="BN356" s="265"/>
      <c r="BO356" s="265"/>
      <c r="BP356" s="265"/>
      <c r="BQ356" s="265"/>
      <c r="BR356" s="265"/>
      <c r="BS356" s="265"/>
      <c r="BT356" s="265"/>
      <c r="BU356" s="265"/>
      <c r="BV356" s="265"/>
    </row>
    <row r="357">
      <c r="A357" s="252" t="str">
        <f>VLOOKUP($F357,UpdateHashtag!$V$3:$Y$32,COLUMN(B$15),0)</f>
        <v>#N/A</v>
      </c>
      <c r="B357" s="252" t="str">
        <f>VLOOKUP($F357,UpdateHashtag!$V$3:$Y$32,COLUMN(C$13),0)</f>
        <v>#N/A</v>
      </c>
      <c r="C357" s="252" t="str">
        <f>VLOOKUP($F357,UpdateHashtag!$V$3:$Y$32,COLUMN(D$13),0)</f>
        <v>#N/A</v>
      </c>
      <c r="D357" s="344" t="str">
        <f t="shared" si="4"/>
        <v>#N/A</v>
      </c>
      <c r="E357" s="19"/>
      <c r="F357" s="30" t="str">
        <f>IF(VLOOKUP(J357,PasteHashtag!$C$2:$P1015,3,)="BRO","BKN",IF(VLOOKUP(J357,PasteHashtag!$C$2:$P1015,3,)="OKL","OKC",VLOOKUP(J357,PasteHashtag!$C$2:$P1015,3,)))</f>
        <v>#N/A</v>
      </c>
      <c r="G357" s="30">
        <v>337.0</v>
      </c>
      <c r="H357" s="270"/>
      <c r="I357" s="270"/>
      <c r="J357" s="271"/>
      <c r="K357" s="270"/>
      <c r="L357" s="272"/>
      <c r="M357" s="273"/>
      <c r="N357" s="274"/>
      <c r="O357" s="274"/>
      <c r="P357" s="275"/>
      <c r="Q357" s="275"/>
      <c r="R357" s="275"/>
      <c r="S357" s="276"/>
      <c r="T357" s="275"/>
      <c r="U357" s="275"/>
      <c r="V357" s="272"/>
      <c r="W357" s="272"/>
      <c r="X357" s="275"/>
      <c r="Y357" s="345"/>
      <c r="Z357" s="345"/>
      <c r="AA357" s="345"/>
      <c r="AB357" s="345"/>
      <c r="AC357" s="345"/>
      <c r="AD357" s="345"/>
      <c r="AE357" s="345"/>
      <c r="AF357" s="345"/>
      <c r="AG357" s="346"/>
      <c r="AH357" s="265"/>
      <c r="AI357" s="338"/>
      <c r="AJ357" s="339"/>
      <c r="AK357" s="265"/>
      <c r="AL357" s="265"/>
      <c r="AM357" s="265"/>
      <c r="AN357" s="265"/>
      <c r="AO357" s="265"/>
      <c r="AP357" s="265"/>
      <c r="AQ357" s="265"/>
      <c r="AR357" s="265"/>
      <c r="AS357" s="265"/>
      <c r="AT357" s="265"/>
      <c r="AU357" s="265"/>
      <c r="AV357" s="265"/>
      <c r="AW357" s="265"/>
      <c r="AX357" s="265"/>
      <c r="AY357" s="265"/>
      <c r="AZ357" s="265"/>
      <c r="BA357" s="265"/>
      <c r="BB357" s="265"/>
      <c r="BC357" s="265"/>
      <c r="BD357" s="265"/>
      <c r="BE357" s="265"/>
      <c r="BF357" s="265"/>
      <c r="BG357" s="265"/>
      <c r="BH357" s="265"/>
      <c r="BI357" s="265"/>
      <c r="BJ357" s="265"/>
      <c r="BK357" s="265"/>
      <c r="BL357" s="265"/>
      <c r="BM357" s="265"/>
      <c r="BN357" s="265"/>
      <c r="BO357" s="265"/>
      <c r="BP357" s="265"/>
      <c r="BQ357" s="265"/>
      <c r="BR357" s="265"/>
      <c r="BS357" s="265"/>
      <c r="BT357" s="265"/>
      <c r="BU357" s="265"/>
      <c r="BV357" s="265"/>
    </row>
    <row r="358">
      <c r="A358" s="252" t="str">
        <f>VLOOKUP($F358,UpdateHashtag!$V$3:$Y$32,COLUMN(B$15),0)</f>
        <v>#N/A</v>
      </c>
      <c r="B358" s="252" t="str">
        <f>VLOOKUP($F358,UpdateHashtag!$V$3:$Y$32,COLUMN(C$13),0)</f>
        <v>#N/A</v>
      </c>
      <c r="C358" s="252" t="str">
        <f>VLOOKUP($F358,UpdateHashtag!$V$3:$Y$32,COLUMN(D$13),0)</f>
        <v>#N/A</v>
      </c>
      <c r="D358" s="344" t="str">
        <f t="shared" si="4"/>
        <v>#N/A</v>
      </c>
      <c r="E358" s="19"/>
      <c r="F358" s="30" t="str">
        <f>IF(VLOOKUP(J358,PasteHashtag!$C$2:$P1015,3,)="BRO","BKN",IF(VLOOKUP(J358,PasteHashtag!$C$2:$P1015,3,)="OKL","OKC",VLOOKUP(J358,PasteHashtag!$C$2:$P1015,3,)))</f>
        <v>#N/A</v>
      </c>
      <c r="G358" s="30">
        <v>338.0</v>
      </c>
      <c r="H358" s="270"/>
      <c r="I358" s="270"/>
      <c r="J358" s="271"/>
      <c r="K358" s="270"/>
      <c r="L358" s="272"/>
      <c r="M358" s="273"/>
      <c r="N358" s="274"/>
      <c r="O358" s="274"/>
      <c r="P358" s="275"/>
      <c r="Q358" s="275"/>
      <c r="R358" s="275"/>
      <c r="S358" s="276"/>
      <c r="T358" s="275"/>
      <c r="U358" s="275"/>
      <c r="V358" s="272"/>
      <c r="W358" s="272"/>
      <c r="X358" s="275"/>
      <c r="Y358" s="345"/>
      <c r="Z358" s="345"/>
      <c r="AA358" s="345"/>
      <c r="AB358" s="345"/>
      <c r="AC358" s="345"/>
      <c r="AD358" s="345"/>
      <c r="AE358" s="345"/>
      <c r="AF358" s="345"/>
      <c r="AG358" s="346"/>
      <c r="AH358" s="265"/>
      <c r="AI358" s="338"/>
      <c r="AJ358" s="339"/>
      <c r="AK358" s="265"/>
      <c r="AL358" s="265"/>
      <c r="AM358" s="265"/>
      <c r="AN358" s="265"/>
      <c r="AO358" s="265"/>
      <c r="AP358" s="265"/>
      <c r="AQ358" s="265"/>
      <c r="AR358" s="265"/>
      <c r="AS358" s="265"/>
      <c r="AT358" s="265"/>
      <c r="AU358" s="265"/>
      <c r="AV358" s="265"/>
      <c r="AW358" s="265"/>
      <c r="AX358" s="265"/>
      <c r="AY358" s="265"/>
      <c r="AZ358" s="265"/>
      <c r="BA358" s="265"/>
      <c r="BB358" s="265"/>
      <c r="BC358" s="265"/>
      <c r="BD358" s="265"/>
      <c r="BE358" s="265"/>
      <c r="BF358" s="265"/>
      <c r="BG358" s="265"/>
      <c r="BH358" s="265"/>
      <c r="BI358" s="265"/>
      <c r="BJ358" s="265"/>
      <c r="BK358" s="265"/>
      <c r="BL358" s="265"/>
      <c r="BM358" s="265"/>
      <c r="BN358" s="265"/>
      <c r="BO358" s="265"/>
      <c r="BP358" s="265"/>
      <c r="BQ358" s="265"/>
      <c r="BR358" s="265"/>
      <c r="BS358" s="265"/>
      <c r="BT358" s="265"/>
      <c r="BU358" s="265"/>
      <c r="BV358" s="265"/>
    </row>
    <row r="359">
      <c r="A359" s="252" t="str">
        <f>VLOOKUP($F359,UpdateHashtag!$V$3:$Y$32,COLUMN(B$15),0)</f>
        <v>#N/A</v>
      </c>
      <c r="B359" s="252" t="str">
        <f>VLOOKUP($F359,UpdateHashtag!$V$3:$Y$32,COLUMN(C$13),0)</f>
        <v>#N/A</v>
      </c>
      <c r="C359" s="252" t="str">
        <f>VLOOKUP($F359,UpdateHashtag!$V$3:$Y$32,COLUMN(D$13),0)</f>
        <v>#N/A</v>
      </c>
      <c r="D359" s="344" t="str">
        <f t="shared" si="4"/>
        <v>#N/A</v>
      </c>
      <c r="E359" s="19"/>
      <c r="F359" s="30" t="str">
        <f>IF(VLOOKUP(J359,PasteHashtag!$C$2:$P1015,3,)="BRO","BKN",IF(VLOOKUP(J359,PasteHashtag!$C$2:$P1015,3,)="OKL","OKC",VLOOKUP(J359,PasteHashtag!$C$2:$P1015,3,)))</f>
        <v>#N/A</v>
      </c>
      <c r="G359" s="30">
        <v>339.0</v>
      </c>
      <c r="H359" s="270"/>
      <c r="I359" s="270"/>
      <c r="J359" s="271"/>
      <c r="K359" s="270"/>
      <c r="L359" s="272"/>
      <c r="M359" s="273"/>
      <c r="N359" s="274"/>
      <c r="O359" s="274"/>
      <c r="P359" s="275"/>
      <c r="Q359" s="275"/>
      <c r="R359" s="275"/>
      <c r="S359" s="276"/>
      <c r="T359" s="275"/>
      <c r="U359" s="275"/>
      <c r="V359" s="272"/>
      <c r="W359" s="272"/>
      <c r="X359" s="275"/>
      <c r="Y359" s="345"/>
      <c r="Z359" s="345"/>
      <c r="AA359" s="345"/>
      <c r="AB359" s="345"/>
      <c r="AC359" s="345"/>
      <c r="AD359" s="345"/>
      <c r="AE359" s="345"/>
      <c r="AF359" s="345"/>
      <c r="AG359" s="346"/>
      <c r="AH359" s="265"/>
      <c r="AI359" s="338"/>
      <c r="AJ359" s="339"/>
      <c r="AK359" s="265"/>
      <c r="AL359" s="265"/>
      <c r="AM359" s="265"/>
      <c r="AN359" s="265"/>
      <c r="AO359" s="265"/>
      <c r="AP359" s="265"/>
      <c r="AQ359" s="265"/>
      <c r="AR359" s="265"/>
      <c r="AS359" s="265"/>
      <c r="AT359" s="265"/>
      <c r="AU359" s="265"/>
      <c r="AV359" s="265"/>
      <c r="AW359" s="265"/>
      <c r="AX359" s="265"/>
      <c r="AY359" s="265"/>
      <c r="AZ359" s="265"/>
      <c r="BA359" s="265"/>
      <c r="BB359" s="265"/>
      <c r="BC359" s="265"/>
      <c r="BD359" s="265"/>
      <c r="BE359" s="265"/>
      <c r="BF359" s="265"/>
      <c r="BG359" s="265"/>
      <c r="BH359" s="265"/>
      <c r="BI359" s="265"/>
      <c r="BJ359" s="265"/>
      <c r="BK359" s="265"/>
      <c r="BL359" s="265"/>
      <c r="BM359" s="265"/>
      <c r="BN359" s="265"/>
      <c r="BO359" s="265"/>
      <c r="BP359" s="265"/>
      <c r="BQ359" s="265"/>
      <c r="BR359" s="265"/>
      <c r="BS359" s="265"/>
      <c r="BT359" s="265"/>
      <c r="BU359" s="265"/>
      <c r="BV359" s="265"/>
    </row>
    <row r="360">
      <c r="A360" s="252" t="str">
        <f>VLOOKUP($F360,UpdateHashtag!$V$3:$Y$32,COLUMN(B$15),0)</f>
        <v>#N/A</v>
      </c>
      <c r="B360" s="252" t="str">
        <f>VLOOKUP($F360,UpdateHashtag!$V$3:$Y$32,COLUMN(C$13),0)</f>
        <v>#N/A</v>
      </c>
      <c r="C360" s="252" t="str">
        <f>VLOOKUP($F360,UpdateHashtag!$V$3:$Y$32,COLUMN(D$13),0)</f>
        <v>#N/A</v>
      </c>
      <c r="D360" s="344" t="str">
        <f t="shared" si="4"/>
        <v>#N/A</v>
      </c>
      <c r="E360" s="19"/>
      <c r="F360" s="30" t="str">
        <f>IF(VLOOKUP(J360,PasteHashtag!$C$2:$P1015,3,)="BRO","BKN",IF(VLOOKUP(J360,PasteHashtag!$C$2:$P1015,3,)="OKL","OKC",VLOOKUP(J360,PasteHashtag!$C$2:$P1015,3,)))</f>
        <v>#N/A</v>
      </c>
      <c r="G360" s="30">
        <v>340.0</v>
      </c>
      <c r="H360" s="270"/>
      <c r="I360" s="270"/>
      <c r="J360" s="271"/>
      <c r="K360" s="270"/>
      <c r="L360" s="272"/>
      <c r="M360" s="273"/>
      <c r="N360" s="274"/>
      <c r="O360" s="274"/>
      <c r="P360" s="275"/>
      <c r="Q360" s="275"/>
      <c r="R360" s="275"/>
      <c r="S360" s="276"/>
      <c r="T360" s="275"/>
      <c r="U360" s="275"/>
      <c r="V360" s="272"/>
      <c r="W360" s="272"/>
      <c r="X360" s="275"/>
      <c r="Y360" s="345"/>
      <c r="Z360" s="345"/>
      <c r="AA360" s="345"/>
      <c r="AB360" s="345"/>
      <c r="AC360" s="345"/>
      <c r="AD360" s="345"/>
      <c r="AE360" s="345"/>
      <c r="AF360" s="345"/>
      <c r="AG360" s="346"/>
      <c r="AH360" s="265"/>
      <c r="AI360" s="338"/>
      <c r="AJ360" s="339"/>
      <c r="AK360" s="265"/>
      <c r="AL360" s="265"/>
      <c r="AM360" s="265"/>
      <c r="AN360" s="265"/>
      <c r="AO360" s="265"/>
      <c r="AP360" s="265"/>
      <c r="AQ360" s="265"/>
      <c r="AR360" s="265"/>
      <c r="AS360" s="265"/>
      <c r="AT360" s="265"/>
      <c r="AU360" s="265"/>
      <c r="AV360" s="265"/>
      <c r="AW360" s="265"/>
      <c r="AX360" s="265"/>
      <c r="AY360" s="265"/>
      <c r="AZ360" s="265"/>
      <c r="BA360" s="265"/>
      <c r="BB360" s="265"/>
      <c r="BC360" s="265"/>
      <c r="BD360" s="265"/>
      <c r="BE360" s="265"/>
      <c r="BF360" s="265"/>
      <c r="BG360" s="265"/>
      <c r="BH360" s="265"/>
      <c r="BI360" s="265"/>
      <c r="BJ360" s="265"/>
      <c r="BK360" s="265"/>
      <c r="BL360" s="265"/>
      <c r="BM360" s="265"/>
      <c r="BN360" s="265"/>
      <c r="BO360" s="265"/>
      <c r="BP360" s="265"/>
      <c r="BQ360" s="265"/>
      <c r="BR360" s="265"/>
      <c r="BS360" s="265"/>
      <c r="BT360" s="265"/>
      <c r="BU360" s="265"/>
      <c r="BV360" s="265"/>
    </row>
    <row r="361">
      <c r="A361" s="252" t="str">
        <f>VLOOKUP($F361,UpdateHashtag!$V$3:$Y$32,COLUMN(B$15),0)</f>
        <v>#N/A</v>
      </c>
      <c r="B361" s="252" t="str">
        <f>VLOOKUP($F361,UpdateHashtag!$V$3:$Y$32,COLUMN(C$13),0)</f>
        <v>#N/A</v>
      </c>
      <c r="C361" s="252" t="str">
        <f>VLOOKUP($F361,UpdateHashtag!$V$3:$Y$32,COLUMN(D$13),0)</f>
        <v>#N/A</v>
      </c>
      <c r="D361" s="344" t="str">
        <f t="shared" si="4"/>
        <v>#N/A</v>
      </c>
      <c r="E361" s="19"/>
      <c r="F361" s="30" t="str">
        <f>IF(VLOOKUP(J361,PasteHashtag!$C$2:$P1015,3,)="BRO","BKN",IF(VLOOKUP(J361,PasteHashtag!$C$2:$P1015,3,)="OKL","OKC",VLOOKUP(J361,PasteHashtag!$C$2:$P1015,3,)))</f>
        <v>#N/A</v>
      </c>
      <c r="G361" s="30">
        <v>341.0</v>
      </c>
      <c r="H361" s="270"/>
      <c r="I361" s="270"/>
      <c r="J361" s="271"/>
      <c r="K361" s="270"/>
      <c r="L361" s="272"/>
      <c r="M361" s="273"/>
      <c r="N361" s="274"/>
      <c r="O361" s="274"/>
      <c r="P361" s="275"/>
      <c r="Q361" s="275"/>
      <c r="R361" s="275"/>
      <c r="S361" s="276"/>
      <c r="T361" s="275"/>
      <c r="U361" s="275"/>
      <c r="V361" s="272"/>
      <c r="W361" s="272"/>
      <c r="X361" s="275"/>
      <c r="Y361" s="345"/>
      <c r="Z361" s="345"/>
      <c r="AA361" s="345"/>
      <c r="AB361" s="345"/>
      <c r="AC361" s="345"/>
      <c r="AD361" s="345"/>
      <c r="AE361" s="345"/>
      <c r="AF361" s="345"/>
      <c r="AG361" s="346"/>
      <c r="AH361" s="265"/>
      <c r="AI361" s="338"/>
      <c r="AJ361" s="339"/>
      <c r="AK361" s="265"/>
      <c r="AL361" s="265"/>
      <c r="AM361" s="265"/>
      <c r="AN361" s="265"/>
      <c r="AO361" s="265"/>
      <c r="AP361" s="265"/>
      <c r="AQ361" s="265"/>
      <c r="AR361" s="265"/>
      <c r="AS361" s="265"/>
      <c r="AT361" s="265"/>
      <c r="AU361" s="265"/>
      <c r="AV361" s="265"/>
      <c r="AW361" s="265"/>
      <c r="AX361" s="265"/>
      <c r="AY361" s="265"/>
      <c r="AZ361" s="265"/>
      <c r="BA361" s="265"/>
      <c r="BB361" s="265"/>
      <c r="BC361" s="265"/>
      <c r="BD361" s="265"/>
      <c r="BE361" s="265"/>
      <c r="BF361" s="265"/>
      <c r="BG361" s="265"/>
      <c r="BH361" s="265"/>
      <c r="BI361" s="265"/>
      <c r="BJ361" s="265"/>
      <c r="BK361" s="265"/>
      <c r="BL361" s="265"/>
      <c r="BM361" s="265"/>
      <c r="BN361" s="265"/>
      <c r="BO361" s="265"/>
      <c r="BP361" s="265"/>
      <c r="BQ361" s="265"/>
      <c r="BR361" s="265"/>
      <c r="BS361" s="265"/>
      <c r="BT361" s="265"/>
      <c r="BU361" s="265"/>
      <c r="BV361" s="265"/>
    </row>
    <row r="362">
      <c r="A362" s="252" t="str">
        <f>VLOOKUP($F362,UpdateHashtag!$V$3:$Y$32,COLUMN(B$15),0)</f>
        <v>#N/A</v>
      </c>
      <c r="B362" s="252" t="str">
        <f>VLOOKUP($F362,UpdateHashtag!$V$3:$Y$32,COLUMN(C$13),0)</f>
        <v>#N/A</v>
      </c>
      <c r="C362" s="252" t="str">
        <f>VLOOKUP($F362,UpdateHashtag!$V$3:$Y$32,COLUMN(D$13),0)</f>
        <v>#N/A</v>
      </c>
      <c r="D362" s="344" t="str">
        <f t="shared" si="4"/>
        <v>#N/A</v>
      </c>
      <c r="E362" s="19"/>
      <c r="F362" s="30" t="str">
        <f>IF(VLOOKUP(J362,PasteHashtag!$C$2:$P1015,3,)="BRO","BKN",IF(VLOOKUP(J362,PasteHashtag!$C$2:$P1015,3,)="OKL","OKC",VLOOKUP(J362,PasteHashtag!$C$2:$P1015,3,)))</f>
        <v>#N/A</v>
      </c>
      <c r="G362" s="30">
        <v>342.0</v>
      </c>
      <c r="H362" s="270"/>
      <c r="I362" s="270"/>
      <c r="J362" s="271"/>
      <c r="K362" s="270"/>
      <c r="L362" s="272"/>
      <c r="M362" s="273"/>
      <c r="N362" s="274"/>
      <c r="O362" s="274"/>
      <c r="P362" s="275"/>
      <c r="Q362" s="275"/>
      <c r="R362" s="275"/>
      <c r="S362" s="276"/>
      <c r="T362" s="275"/>
      <c r="U362" s="275"/>
      <c r="V362" s="272"/>
      <c r="W362" s="272"/>
      <c r="X362" s="275"/>
      <c r="Y362" s="345"/>
      <c r="Z362" s="345"/>
      <c r="AA362" s="345"/>
      <c r="AB362" s="345"/>
      <c r="AC362" s="345"/>
      <c r="AD362" s="345"/>
      <c r="AE362" s="345"/>
      <c r="AF362" s="345"/>
      <c r="AG362" s="346"/>
      <c r="AH362" s="265"/>
      <c r="AI362" s="338"/>
      <c r="AJ362" s="339"/>
      <c r="AK362" s="265"/>
      <c r="AL362" s="265"/>
      <c r="AM362" s="265"/>
      <c r="AN362" s="265"/>
      <c r="AO362" s="265"/>
      <c r="AP362" s="265"/>
      <c r="AQ362" s="265"/>
      <c r="AR362" s="265"/>
      <c r="AS362" s="265"/>
      <c r="AT362" s="265"/>
      <c r="AU362" s="265"/>
      <c r="AV362" s="265"/>
      <c r="AW362" s="265"/>
      <c r="AX362" s="265"/>
      <c r="AY362" s="265"/>
      <c r="AZ362" s="265"/>
      <c r="BA362" s="265"/>
      <c r="BB362" s="265"/>
      <c r="BC362" s="265"/>
      <c r="BD362" s="265"/>
      <c r="BE362" s="265"/>
      <c r="BF362" s="265"/>
      <c r="BG362" s="265"/>
      <c r="BH362" s="265"/>
      <c r="BI362" s="265"/>
      <c r="BJ362" s="265"/>
      <c r="BK362" s="265"/>
      <c r="BL362" s="265"/>
      <c r="BM362" s="265"/>
      <c r="BN362" s="265"/>
      <c r="BO362" s="265"/>
      <c r="BP362" s="265"/>
      <c r="BQ362" s="265"/>
      <c r="BR362" s="265"/>
      <c r="BS362" s="265"/>
      <c r="BT362" s="265"/>
      <c r="BU362" s="265"/>
      <c r="BV362" s="265"/>
    </row>
    <row r="363">
      <c r="A363" s="252" t="str">
        <f>VLOOKUP($F363,UpdateHashtag!$V$3:$Y$32,COLUMN(B$15),0)</f>
        <v>#N/A</v>
      </c>
      <c r="B363" s="252" t="str">
        <f>VLOOKUP($F363,UpdateHashtag!$V$3:$Y$32,COLUMN(C$13),0)</f>
        <v>#N/A</v>
      </c>
      <c r="C363" s="252" t="str">
        <f>VLOOKUP($F363,UpdateHashtag!$V$3:$Y$32,COLUMN(D$13),0)</f>
        <v>#N/A</v>
      </c>
      <c r="D363" s="344" t="str">
        <f t="shared" si="4"/>
        <v>#N/A</v>
      </c>
      <c r="E363" s="19"/>
      <c r="F363" s="30" t="str">
        <f>IF(VLOOKUP(J363,PasteHashtag!$C$2:$P1015,3,)="BRO","BKN",IF(VLOOKUP(J363,PasteHashtag!$C$2:$P1015,3,)="OKL","OKC",VLOOKUP(J363,PasteHashtag!$C$2:$P1015,3,)))</f>
        <v>#N/A</v>
      </c>
      <c r="G363" s="30">
        <v>343.0</v>
      </c>
      <c r="H363" s="270"/>
      <c r="I363" s="270"/>
      <c r="J363" s="271"/>
      <c r="K363" s="270"/>
      <c r="L363" s="272"/>
      <c r="M363" s="273"/>
      <c r="N363" s="274"/>
      <c r="O363" s="274"/>
      <c r="P363" s="275"/>
      <c r="Q363" s="275"/>
      <c r="R363" s="275"/>
      <c r="S363" s="276"/>
      <c r="T363" s="275"/>
      <c r="U363" s="275"/>
      <c r="V363" s="272"/>
      <c r="W363" s="272"/>
      <c r="X363" s="275"/>
      <c r="Y363" s="345"/>
      <c r="Z363" s="345"/>
      <c r="AA363" s="345"/>
      <c r="AB363" s="345"/>
      <c r="AC363" s="345"/>
      <c r="AD363" s="345"/>
      <c r="AE363" s="345"/>
      <c r="AF363" s="345"/>
      <c r="AG363" s="346"/>
      <c r="AH363" s="265"/>
      <c r="AI363" s="338"/>
      <c r="AJ363" s="339"/>
      <c r="AK363" s="265"/>
      <c r="AL363" s="265"/>
      <c r="AM363" s="265"/>
      <c r="AN363" s="265"/>
      <c r="AO363" s="265"/>
      <c r="AP363" s="265"/>
      <c r="AQ363" s="265"/>
      <c r="AR363" s="265"/>
      <c r="AS363" s="265"/>
      <c r="AT363" s="265"/>
      <c r="AU363" s="265"/>
      <c r="AV363" s="265"/>
      <c r="AW363" s="265"/>
      <c r="AX363" s="265"/>
      <c r="AY363" s="265"/>
      <c r="AZ363" s="265"/>
      <c r="BA363" s="265"/>
      <c r="BB363" s="265"/>
      <c r="BC363" s="265"/>
      <c r="BD363" s="265"/>
      <c r="BE363" s="265"/>
      <c r="BF363" s="265"/>
      <c r="BG363" s="265"/>
      <c r="BH363" s="265"/>
      <c r="BI363" s="265"/>
      <c r="BJ363" s="265"/>
      <c r="BK363" s="265"/>
      <c r="BL363" s="265"/>
      <c r="BM363" s="265"/>
      <c r="BN363" s="265"/>
      <c r="BO363" s="265"/>
      <c r="BP363" s="265"/>
      <c r="BQ363" s="265"/>
      <c r="BR363" s="265"/>
      <c r="BS363" s="265"/>
      <c r="BT363" s="265"/>
      <c r="BU363" s="265"/>
      <c r="BV363" s="265"/>
    </row>
    <row r="364">
      <c r="A364" s="252" t="str">
        <f>VLOOKUP($F364,UpdateHashtag!$V$3:$Y$32,COLUMN(B$15),0)</f>
        <v>#N/A</v>
      </c>
      <c r="B364" s="252" t="str">
        <f>VLOOKUP($F364,UpdateHashtag!$V$3:$Y$32,COLUMN(C$13),0)</f>
        <v>#N/A</v>
      </c>
      <c r="C364" s="252" t="str">
        <f>VLOOKUP($F364,UpdateHashtag!$V$3:$Y$32,COLUMN(D$13),0)</f>
        <v>#N/A</v>
      </c>
      <c r="D364" s="344" t="str">
        <f t="shared" si="4"/>
        <v>#N/A</v>
      </c>
      <c r="E364" s="19"/>
      <c r="F364" s="30" t="str">
        <f>IF(VLOOKUP(J364,PasteHashtag!$C$2:$P1015,3,)="BRO","BKN",IF(VLOOKUP(J364,PasteHashtag!$C$2:$P1015,3,)="OKL","OKC",VLOOKUP(J364,PasteHashtag!$C$2:$P1015,3,)))</f>
        <v>#N/A</v>
      </c>
      <c r="G364" s="30">
        <v>344.0</v>
      </c>
      <c r="H364" s="270"/>
      <c r="I364" s="270"/>
      <c r="J364" s="271"/>
      <c r="K364" s="270"/>
      <c r="L364" s="272"/>
      <c r="M364" s="273"/>
      <c r="N364" s="274"/>
      <c r="O364" s="274"/>
      <c r="P364" s="275"/>
      <c r="Q364" s="275"/>
      <c r="R364" s="275"/>
      <c r="S364" s="276"/>
      <c r="T364" s="275"/>
      <c r="U364" s="275"/>
      <c r="V364" s="272"/>
      <c r="W364" s="272"/>
      <c r="X364" s="275"/>
      <c r="Y364" s="345"/>
      <c r="Z364" s="345"/>
      <c r="AA364" s="345"/>
      <c r="AB364" s="345"/>
      <c r="AC364" s="345"/>
      <c r="AD364" s="345"/>
      <c r="AE364" s="345"/>
      <c r="AF364" s="345"/>
      <c r="AG364" s="346"/>
      <c r="AH364" s="265"/>
      <c r="AI364" s="338"/>
      <c r="AJ364" s="339"/>
      <c r="AK364" s="265"/>
      <c r="AL364" s="265"/>
      <c r="AM364" s="265"/>
      <c r="AN364" s="265"/>
      <c r="AO364" s="265"/>
      <c r="AP364" s="265"/>
      <c r="AQ364" s="265"/>
      <c r="AR364" s="265"/>
      <c r="AS364" s="265"/>
      <c r="AT364" s="265"/>
      <c r="AU364" s="265"/>
      <c r="AV364" s="265"/>
      <c r="AW364" s="265"/>
      <c r="AX364" s="265"/>
      <c r="AY364" s="265"/>
      <c r="AZ364" s="265"/>
      <c r="BA364" s="265"/>
      <c r="BB364" s="265"/>
      <c r="BC364" s="265"/>
      <c r="BD364" s="265"/>
      <c r="BE364" s="265"/>
      <c r="BF364" s="265"/>
      <c r="BG364" s="265"/>
      <c r="BH364" s="265"/>
      <c r="BI364" s="265"/>
      <c r="BJ364" s="265"/>
      <c r="BK364" s="265"/>
      <c r="BL364" s="265"/>
      <c r="BM364" s="265"/>
      <c r="BN364" s="265"/>
      <c r="BO364" s="265"/>
      <c r="BP364" s="265"/>
      <c r="BQ364" s="265"/>
      <c r="BR364" s="265"/>
      <c r="BS364" s="265"/>
      <c r="BT364" s="265"/>
      <c r="BU364" s="265"/>
      <c r="BV364" s="265"/>
    </row>
    <row r="365">
      <c r="A365" s="252" t="str">
        <f>VLOOKUP($F365,UpdateHashtag!$V$3:$Y$32,COLUMN(B$15),0)</f>
        <v>#N/A</v>
      </c>
      <c r="B365" s="252" t="str">
        <f>VLOOKUP($F365,UpdateHashtag!$V$3:$Y$32,COLUMN(C$13),0)</f>
        <v>#N/A</v>
      </c>
      <c r="C365" s="252" t="str">
        <f>VLOOKUP($F365,UpdateHashtag!$V$3:$Y$32,COLUMN(D$13),0)</f>
        <v>#N/A</v>
      </c>
      <c r="D365" s="344" t="str">
        <f t="shared" si="4"/>
        <v>#N/A</v>
      </c>
      <c r="E365" s="19"/>
      <c r="F365" s="30" t="str">
        <f>IF(VLOOKUP(J365,PasteHashtag!$C$2:$P1015,3,)="BRO","BKN",IF(VLOOKUP(J365,PasteHashtag!$C$2:$P1015,3,)="OKL","OKC",VLOOKUP(J365,PasteHashtag!$C$2:$P1015,3,)))</f>
        <v>#N/A</v>
      </c>
      <c r="G365" s="30">
        <v>345.0</v>
      </c>
      <c r="H365" s="270"/>
      <c r="I365" s="270"/>
      <c r="J365" s="271"/>
      <c r="K365" s="270"/>
      <c r="L365" s="272"/>
      <c r="M365" s="273"/>
      <c r="N365" s="274"/>
      <c r="O365" s="274"/>
      <c r="P365" s="275"/>
      <c r="Q365" s="275"/>
      <c r="R365" s="275"/>
      <c r="S365" s="276"/>
      <c r="T365" s="275"/>
      <c r="U365" s="275"/>
      <c r="V365" s="272"/>
      <c r="W365" s="272"/>
      <c r="X365" s="275"/>
      <c r="Y365" s="345"/>
      <c r="Z365" s="345"/>
      <c r="AA365" s="345"/>
      <c r="AB365" s="345"/>
      <c r="AC365" s="345"/>
      <c r="AD365" s="345"/>
      <c r="AE365" s="345"/>
      <c r="AF365" s="345"/>
      <c r="AG365" s="346"/>
      <c r="AH365" s="265"/>
      <c r="AI365" s="338"/>
      <c r="AJ365" s="339"/>
      <c r="AK365" s="265"/>
      <c r="AL365" s="265"/>
      <c r="AM365" s="265"/>
      <c r="AN365" s="265"/>
      <c r="AO365" s="265"/>
      <c r="AP365" s="265"/>
      <c r="AQ365" s="265"/>
      <c r="AR365" s="265"/>
      <c r="AS365" s="265"/>
      <c r="AT365" s="265"/>
      <c r="AU365" s="265"/>
      <c r="AV365" s="265"/>
      <c r="AW365" s="265"/>
      <c r="AX365" s="265"/>
      <c r="AY365" s="265"/>
      <c r="AZ365" s="265"/>
      <c r="BA365" s="265"/>
      <c r="BB365" s="265"/>
      <c r="BC365" s="265"/>
      <c r="BD365" s="265"/>
      <c r="BE365" s="265"/>
      <c r="BF365" s="265"/>
      <c r="BG365" s="265"/>
      <c r="BH365" s="265"/>
      <c r="BI365" s="265"/>
      <c r="BJ365" s="265"/>
      <c r="BK365" s="265"/>
      <c r="BL365" s="265"/>
      <c r="BM365" s="265"/>
      <c r="BN365" s="265"/>
      <c r="BO365" s="265"/>
      <c r="BP365" s="265"/>
      <c r="BQ365" s="265"/>
      <c r="BR365" s="265"/>
      <c r="BS365" s="265"/>
      <c r="BT365" s="265"/>
      <c r="BU365" s="265"/>
      <c r="BV365" s="265"/>
    </row>
    <row r="366">
      <c r="A366" s="252" t="str">
        <f>VLOOKUP($F366,UpdateHashtag!$V$3:$Y$32,COLUMN(B$15),0)</f>
        <v>#N/A</v>
      </c>
      <c r="B366" s="252" t="str">
        <f>VLOOKUP($F366,UpdateHashtag!$V$3:$Y$32,COLUMN(C$13),0)</f>
        <v>#N/A</v>
      </c>
      <c r="C366" s="252" t="str">
        <f>VLOOKUP($F366,UpdateHashtag!$V$3:$Y$32,COLUMN(D$13),0)</f>
        <v>#N/A</v>
      </c>
      <c r="D366" s="344" t="str">
        <f t="shared" si="4"/>
        <v>#N/A</v>
      </c>
      <c r="E366" s="19"/>
      <c r="F366" s="30" t="str">
        <f>IF(VLOOKUP(J366,PasteHashtag!$C$2:$P1015,3,)="BRO","BKN",IF(VLOOKUP(J366,PasteHashtag!$C$2:$P1015,3,)="OKL","OKC",VLOOKUP(J366,PasteHashtag!$C$2:$P1015,3,)))</f>
        <v>#N/A</v>
      </c>
      <c r="G366" s="30">
        <v>346.0</v>
      </c>
      <c r="H366" s="270"/>
      <c r="I366" s="270"/>
      <c r="J366" s="271"/>
      <c r="K366" s="270"/>
      <c r="L366" s="272"/>
      <c r="M366" s="273"/>
      <c r="N366" s="274"/>
      <c r="O366" s="274"/>
      <c r="P366" s="275"/>
      <c r="Q366" s="275"/>
      <c r="R366" s="275"/>
      <c r="S366" s="276"/>
      <c r="T366" s="275"/>
      <c r="U366" s="275"/>
      <c r="V366" s="272"/>
      <c r="W366" s="272"/>
      <c r="X366" s="275"/>
      <c r="Y366" s="345"/>
      <c r="Z366" s="345"/>
      <c r="AA366" s="345"/>
      <c r="AB366" s="345"/>
      <c r="AC366" s="345"/>
      <c r="AD366" s="345"/>
      <c r="AE366" s="345"/>
      <c r="AF366" s="345"/>
      <c r="AG366" s="346"/>
      <c r="AH366" s="265"/>
      <c r="AI366" s="338"/>
      <c r="AJ366" s="339"/>
      <c r="AK366" s="265"/>
      <c r="AL366" s="265"/>
      <c r="AM366" s="265"/>
      <c r="AN366" s="265"/>
      <c r="AO366" s="265"/>
      <c r="AP366" s="265"/>
      <c r="AQ366" s="265"/>
      <c r="AR366" s="265"/>
      <c r="AS366" s="265"/>
      <c r="AT366" s="265"/>
      <c r="AU366" s="265"/>
      <c r="AV366" s="265"/>
      <c r="AW366" s="265"/>
      <c r="AX366" s="265"/>
      <c r="AY366" s="265"/>
      <c r="AZ366" s="265"/>
      <c r="BA366" s="265"/>
      <c r="BB366" s="265"/>
      <c r="BC366" s="265"/>
      <c r="BD366" s="265"/>
      <c r="BE366" s="265"/>
      <c r="BF366" s="265"/>
      <c r="BG366" s="265"/>
      <c r="BH366" s="265"/>
      <c r="BI366" s="265"/>
      <c r="BJ366" s="265"/>
      <c r="BK366" s="265"/>
      <c r="BL366" s="265"/>
      <c r="BM366" s="265"/>
      <c r="BN366" s="265"/>
      <c r="BO366" s="265"/>
      <c r="BP366" s="265"/>
      <c r="BQ366" s="265"/>
      <c r="BR366" s="265"/>
      <c r="BS366" s="265"/>
      <c r="BT366" s="265"/>
      <c r="BU366" s="265"/>
      <c r="BV366" s="265"/>
    </row>
    <row r="367">
      <c r="A367" s="252" t="str">
        <f>VLOOKUP($F367,UpdateHashtag!$V$3:$Y$32,COLUMN(B$15),0)</f>
        <v>#N/A</v>
      </c>
      <c r="B367" s="252" t="str">
        <f>VLOOKUP($F367,UpdateHashtag!$V$3:$Y$32,COLUMN(C$13),0)</f>
        <v>#N/A</v>
      </c>
      <c r="C367" s="252" t="str">
        <f>VLOOKUP($F367,UpdateHashtag!$V$3:$Y$32,COLUMN(D$13),0)</f>
        <v>#N/A</v>
      </c>
      <c r="D367" s="344" t="str">
        <f t="shared" si="4"/>
        <v>#N/A</v>
      </c>
      <c r="E367" s="19"/>
      <c r="F367" s="30" t="str">
        <f>IF(VLOOKUP(J367,PasteHashtag!$C$2:$P1015,3,)="BRO","BKN",IF(VLOOKUP(J367,PasteHashtag!$C$2:$P1015,3,)="OKL","OKC",VLOOKUP(J367,PasteHashtag!$C$2:$P1015,3,)))</f>
        <v>#N/A</v>
      </c>
      <c r="G367" s="30">
        <v>347.0</v>
      </c>
      <c r="H367" s="270"/>
      <c r="I367" s="270"/>
      <c r="J367" s="271"/>
      <c r="K367" s="270"/>
      <c r="L367" s="272"/>
      <c r="M367" s="273"/>
      <c r="N367" s="274"/>
      <c r="O367" s="274"/>
      <c r="P367" s="275"/>
      <c r="Q367" s="275"/>
      <c r="R367" s="275"/>
      <c r="S367" s="276"/>
      <c r="T367" s="275"/>
      <c r="U367" s="275"/>
      <c r="V367" s="272"/>
      <c r="W367" s="272"/>
      <c r="X367" s="275"/>
      <c r="Y367" s="345"/>
      <c r="Z367" s="345"/>
      <c r="AA367" s="345"/>
      <c r="AB367" s="345"/>
      <c r="AC367" s="345"/>
      <c r="AD367" s="345"/>
      <c r="AE367" s="345"/>
      <c r="AF367" s="345"/>
      <c r="AG367" s="346"/>
      <c r="AH367" s="265"/>
      <c r="AI367" s="338"/>
      <c r="AJ367" s="339"/>
      <c r="AK367" s="265"/>
      <c r="AL367" s="265"/>
      <c r="AM367" s="265"/>
      <c r="AN367" s="265"/>
      <c r="AO367" s="265"/>
      <c r="AP367" s="265"/>
      <c r="AQ367" s="265"/>
      <c r="AR367" s="265"/>
      <c r="AS367" s="265"/>
      <c r="AT367" s="265"/>
      <c r="AU367" s="265"/>
      <c r="AV367" s="265"/>
      <c r="AW367" s="265"/>
      <c r="AX367" s="265"/>
      <c r="AY367" s="265"/>
      <c r="AZ367" s="265"/>
      <c r="BA367" s="265"/>
      <c r="BB367" s="265"/>
      <c r="BC367" s="265"/>
      <c r="BD367" s="265"/>
      <c r="BE367" s="265"/>
      <c r="BF367" s="265"/>
      <c r="BG367" s="265"/>
      <c r="BH367" s="265"/>
      <c r="BI367" s="265"/>
      <c r="BJ367" s="265"/>
      <c r="BK367" s="265"/>
      <c r="BL367" s="265"/>
      <c r="BM367" s="265"/>
      <c r="BN367" s="265"/>
      <c r="BO367" s="265"/>
      <c r="BP367" s="265"/>
      <c r="BQ367" s="265"/>
      <c r="BR367" s="265"/>
      <c r="BS367" s="265"/>
      <c r="BT367" s="265"/>
      <c r="BU367" s="265"/>
      <c r="BV367" s="265"/>
    </row>
    <row r="368">
      <c r="A368" s="252" t="str">
        <f>VLOOKUP($F368,UpdateHashtag!$V$3:$Y$32,COLUMN(B$15),0)</f>
        <v>#N/A</v>
      </c>
      <c r="B368" s="252" t="str">
        <f>VLOOKUP($F368,UpdateHashtag!$V$3:$Y$32,COLUMN(C$13),0)</f>
        <v>#N/A</v>
      </c>
      <c r="C368" s="252" t="str">
        <f>VLOOKUP($F368,UpdateHashtag!$V$3:$Y$32,COLUMN(D$13),0)</f>
        <v>#N/A</v>
      </c>
      <c r="D368" s="344" t="str">
        <f t="shared" si="4"/>
        <v>#N/A</v>
      </c>
      <c r="E368" s="19"/>
      <c r="F368" s="30" t="str">
        <f>IF(VLOOKUP(J368,PasteHashtag!$C$2:$P1015,3,)="BRO","BKN",IF(VLOOKUP(J368,PasteHashtag!$C$2:$P1015,3,)="OKL","OKC",VLOOKUP(J368,PasteHashtag!$C$2:$P1015,3,)))</f>
        <v>#N/A</v>
      </c>
      <c r="G368" s="30">
        <v>348.0</v>
      </c>
      <c r="H368" s="270"/>
      <c r="I368" s="270"/>
      <c r="J368" s="271"/>
      <c r="K368" s="270"/>
      <c r="L368" s="272"/>
      <c r="M368" s="273"/>
      <c r="N368" s="274"/>
      <c r="O368" s="274"/>
      <c r="P368" s="275"/>
      <c r="Q368" s="275"/>
      <c r="R368" s="275"/>
      <c r="S368" s="276"/>
      <c r="T368" s="275"/>
      <c r="U368" s="275"/>
      <c r="V368" s="272"/>
      <c r="W368" s="272"/>
      <c r="X368" s="275"/>
      <c r="Y368" s="345"/>
      <c r="Z368" s="345"/>
      <c r="AA368" s="345"/>
      <c r="AB368" s="345"/>
      <c r="AC368" s="345"/>
      <c r="AD368" s="345"/>
      <c r="AE368" s="345"/>
      <c r="AF368" s="345"/>
      <c r="AG368" s="346"/>
      <c r="AH368" s="265"/>
      <c r="AI368" s="338"/>
      <c r="AJ368" s="339"/>
      <c r="AK368" s="265"/>
      <c r="AL368" s="265"/>
      <c r="AM368" s="265"/>
      <c r="AN368" s="265"/>
      <c r="AO368" s="265"/>
      <c r="AP368" s="265"/>
      <c r="AQ368" s="265"/>
      <c r="AR368" s="265"/>
      <c r="AS368" s="265"/>
      <c r="AT368" s="265"/>
      <c r="AU368" s="265"/>
      <c r="AV368" s="265"/>
      <c r="AW368" s="265"/>
      <c r="AX368" s="265"/>
      <c r="AY368" s="265"/>
      <c r="AZ368" s="265"/>
      <c r="BA368" s="265"/>
      <c r="BB368" s="265"/>
      <c r="BC368" s="265"/>
      <c r="BD368" s="265"/>
      <c r="BE368" s="265"/>
      <c r="BF368" s="265"/>
      <c r="BG368" s="265"/>
      <c r="BH368" s="265"/>
      <c r="BI368" s="265"/>
      <c r="BJ368" s="265"/>
      <c r="BK368" s="265"/>
      <c r="BL368" s="265"/>
      <c r="BM368" s="265"/>
      <c r="BN368" s="265"/>
      <c r="BO368" s="265"/>
      <c r="BP368" s="265"/>
      <c r="BQ368" s="265"/>
      <c r="BR368" s="265"/>
      <c r="BS368" s="265"/>
      <c r="BT368" s="265"/>
      <c r="BU368" s="265"/>
      <c r="BV368" s="265"/>
    </row>
    <row r="369">
      <c r="A369" s="252" t="str">
        <f>VLOOKUP($F369,UpdateHashtag!$V$3:$Y$32,COLUMN(B$15),0)</f>
        <v>#N/A</v>
      </c>
      <c r="B369" s="252" t="str">
        <f>VLOOKUP($F369,UpdateHashtag!$V$3:$Y$32,COLUMN(C$13),0)</f>
        <v>#N/A</v>
      </c>
      <c r="C369" s="252" t="str">
        <f>VLOOKUP($F369,UpdateHashtag!$V$3:$Y$32,COLUMN(D$13),0)</f>
        <v>#N/A</v>
      </c>
      <c r="D369" s="344" t="str">
        <f t="shared" si="4"/>
        <v>#N/A</v>
      </c>
      <c r="E369" s="19"/>
      <c r="F369" s="30" t="str">
        <f>IF(VLOOKUP(J369,PasteHashtag!$C$2:$P1015,3,)="BRO","BKN",IF(VLOOKUP(J369,PasteHashtag!$C$2:$P1015,3,)="OKL","OKC",VLOOKUP(J369,PasteHashtag!$C$2:$P1015,3,)))</f>
        <v>#N/A</v>
      </c>
      <c r="G369" s="30">
        <v>349.0</v>
      </c>
      <c r="H369" s="270"/>
      <c r="I369" s="270"/>
      <c r="J369" s="271"/>
      <c r="K369" s="270"/>
      <c r="L369" s="272"/>
      <c r="M369" s="273"/>
      <c r="N369" s="274"/>
      <c r="O369" s="274"/>
      <c r="P369" s="275"/>
      <c r="Q369" s="275"/>
      <c r="R369" s="275"/>
      <c r="S369" s="276"/>
      <c r="T369" s="275"/>
      <c r="U369" s="275"/>
      <c r="V369" s="272"/>
      <c r="W369" s="272"/>
      <c r="X369" s="275"/>
      <c r="Y369" s="345"/>
      <c r="Z369" s="345"/>
      <c r="AA369" s="345"/>
      <c r="AB369" s="345"/>
      <c r="AC369" s="345"/>
      <c r="AD369" s="345"/>
      <c r="AE369" s="345"/>
      <c r="AF369" s="345"/>
      <c r="AG369" s="346"/>
      <c r="AH369" s="265"/>
      <c r="AI369" s="338"/>
      <c r="AJ369" s="339"/>
      <c r="AK369" s="265"/>
      <c r="AL369" s="265"/>
      <c r="AM369" s="265"/>
      <c r="AN369" s="265"/>
      <c r="AO369" s="265"/>
      <c r="AP369" s="265"/>
      <c r="AQ369" s="265"/>
      <c r="AR369" s="265"/>
      <c r="AS369" s="265"/>
      <c r="AT369" s="265"/>
      <c r="AU369" s="265"/>
      <c r="AV369" s="265"/>
      <c r="AW369" s="265"/>
      <c r="AX369" s="265"/>
      <c r="AY369" s="265"/>
      <c r="AZ369" s="265"/>
      <c r="BA369" s="265"/>
      <c r="BB369" s="265"/>
      <c r="BC369" s="265"/>
      <c r="BD369" s="265"/>
      <c r="BE369" s="265"/>
      <c r="BF369" s="265"/>
      <c r="BG369" s="265"/>
      <c r="BH369" s="265"/>
      <c r="BI369" s="265"/>
      <c r="BJ369" s="265"/>
      <c r="BK369" s="265"/>
      <c r="BL369" s="265"/>
      <c r="BM369" s="265"/>
      <c r="BN369" s="265"/>
      <c r="BO369" s="265"/>
      <c r="BP369" s="265"/>
      <c r="BQ369" s="265"/>
      <c r="BR369" s="265"/>
      <c r="BS369" s="265"/>
      <c r="BT369" s="265"/>
      <c r="BU369" s="265"/>
      <c r="BV369" s="265"/>
    </row>
    <row r="370">
      <c r="A370" s="252" t="str">
        <f>VLOOKUP($F370,UpdateHashtag!$V$3:$Y$32,COLUMN(B$15),0)</f>
        <v>#N/A</v>
      </c>
      <c r="B370" s="252" t="str">
        <f>VLOOKUP($F370,UpdateHashtag!$V$3:$Y$32,COLUMN(C$13),0)</f>
        <v>#N/A</v>
      </c>
      <c r="C370" s="252" t="str">
        <f>VLOOKUP($F370,UpdateHashtag!$V$3:$Y$32,COLUMN(D$13),0)</f>
        <v>#N/A</v>
      </c>
      <c r="D370" s="344" t="str">
        <f t="shared" si="4"/>
        <v>#N/A</v>
      </c>
      <c r="E370" s="19"/>
      <c r="F370" s="30" t="str">
        <f>IF(VLOOKUP(J370,PasteHashtag!$C$2:$P1015,3,)="BRO","BKN",IF(VLOOKUP(J370,PasteHashtag!$C$2:$P1015,3,)="OKL","OKC",VLOOKUP(J370,PasteHashtag!$C$2:$P1015,3,)))</f>
        <v>#N/A</v>
      </c>
      <c r="G370" s="30">
        <v>350.0</v>
      </c>
      <c r="H370" s="270"/>
      <c r="I370" s="270"/>
      <c r="J370" s="271"/>
      <c r="K370" s="270"/>
      <c r="L370" s="272"/>
      <c r="M370" s="273"/>
      <c r="N370" s="274"/>
      <c r="O370" s="274"/>
      <c r="P370" s="275"/>
      <c r="Q370" s="275"/>
      <c r="R370" s="275"/>
      <c r="S370" s="276"/>
      <c r="T370" s="275"/>
      <c r="U370" s="275"/>
      <c r="V370" s="272"/>
      <c r="W370" s="272"/>
      <c r="X370" s="275"/>
      <c r="Y370" s="345"/>
      <c r="Z370" s="345"/>
      <c r="AA370" s="345"/>
      <c r="AB370" s="345"/>
      <c r="AC370" s="345"/>
      <c r="AD370" s="345"/>
      <c r="AE370" s="345"/>
      <c r="AF370" s="345"/>
      <c r="AG370" s="346"/>
      <c r="AH370" s="265"/>
      <c r="AI370" s="338"/>
      <c r="AJ370" s="339"/>
      <c r="AK370" s="265"/>
      <c r="AL370" s="265"/>
      <c r="AM370" s="265"/>
      <c r="AN370" s="265"/>
      <c r="AO370" s="265"/>
      <c r="AP370" s="265"/>
      <c r="AQ370" s="265"/>
      <c r="AR370" s="265"/>
      <c r="AS370" s="265"/>
      <c r="AT370" s="265"/>
      <c r="AU370" s="265"/>
      <c r="AV370" s="265"/>
      <c r="AW370" s="265"/>
      <c r="AX370" s="265"/>
      <c r="AY370" s="265"/>
      <c r="AZ370" s="265"/>
      <c r="BA370" s="265"/>
      <c r="BB370" s="265"/>
      <c r="BC370" s="265"/>
      <c r="BD370" s="265"/>
      <c r="BE370" s="265"/>
      <c r="BF370" s="265"/>
      <c r="BG370" s="265"/>
      <c r="BH370" s="265"/>
      <c r="BI370" s="265"/>
      <c r="BJ370" s="265"/>
      <c r="BK370" s="265"/>
      <c r="BL370" s="265"/>
      <c r="BM370" s="265"/>
      <c r="BN370" s="265"/>
      <c r="BO370" s="265"/>
      <c r="BP370" s="265"/>
      <c r="BQ370" s="265"/>
      <c r="BR370" s="265"/>
      <c r="BS370" s="265"/>
      <c r="BT370" s="265"/>
      <c r="BU370" s="265"/>
      <c r="BV370" s="265"/>
    </row>
    <row r="371">
      <c r="A371" s="252" t="str">
        <f>VLOOKUP($F371,UpdateHashtag!$V$3:$Y$32,COLUMN(B$15),0)</f>
        <v>#N/A</v>
      </c>
      <c r="B371" s="252" t="str">
        <f>VLOOKUP($F371,UpdateHashtag!$V$3:$Y$32,COLUMN(C$13),0)</f>
        <v>#N/A</v>
      </c>
      <c r="C371" s="252" t="str">
        <f>VLOOKUP($F371,UpdateHashtag!$V$3:$Y$32,COLUMN(D$13),0)</f>
        <v>#N/A</v>
      </c>
      <c r="D371" s="344" t="str">
        <f t="shared" si="4"/>
        <v>#N/A</v>
      </c>
      <c r="E371" s="19"/>
      <c r="F371" s="30" t="str">
        <f>IF(VLOOKUP(J371,PasteHashtag!$C$2:$P1015,3,)="BRO","BKN",IF(VLOOKUP(J371,PasteHashtag!$C$2:$P1015,3,)="OKL","OKC",VLOOKUP(J371,PasteHashtag!$C$2:$P1015,3,)))</f>
        <v>#N/A</v>
      </c>
      <c r="G371" s="30">
        <v>351.0</v>
      </c>
      <c r="H371" s="270"/>
      <c r="I371" s="270"/>
      <c r="J371" s="271"/>
      <c r="K371" s="270"/>
      <c r="L371" s="272"/>
      <c r="M371" s="273"/>
      <c r="N371" s="274"/>
      <c r="O371" s="274"/>
      <c r="P371" s="275"/>
      <c r="Q371" s="275"/>
      <c r="R371" s="275"/>
      <c r="S371" s="276"/>
      <c r="T371" s="275"/>
      <c r="U371" s="275"/>
      <c r="V371" s="272"/>
      <c r="W371" s="272"/>
      <c r="X371" s="275"/>
      <c r="Y371" s="345"/>
      <c r="Z371" s="345"/>
      <c r="AA371" s="345"/>
      <c r="AB371" s="345"/>
      <c r="AC371" s="345"/>
      <c r="AD371" s="345"/>
      <c r="AE371" s="345"/>
      <c r="AF371" s="345"/>
      <c r="AG371" s="346"/>
      <c r="AH371" s="265"/>
      <c r="AI371" s="338"/>
      <c r="AJ371" s="339"/>
      <c r="AK371" s="265"/>
      <c r="AL371" s="265"/>
      <c r="AM371" s="265"/>
      <c r="AN371" s="265"/>
      <c r="AO371" s="265"/>
      <c r="AP371" s="265"/>
      <c r="AQ371" s="265"/>
      <c r="AR371" s="265"/>
      <c r="AS371" s="265"/>
      <c r="AT371" s="265"/>
      <c r="AU371" s="265"/>
      <c r="AV371" s="265"/>
      <c r="AW371" s="265"/>
      <c r="AX371" s="265"/>
      <c r="AY371" s="265"/>
      <c r="AZ371" s="265"/>
      <c r="BA371" s="265"/>
      <c r="BB371" s="265"/>
      <c r="BC371" s="265"/>
      <c r="BD371" s="265"/>
      <c r="BE371" s="265"/>
      <c r="BF371" s="265"/>
      <c r="BG371" s="265"/>
      <c r="BH371" s="265"/>
      <c r="BI371" s="265"/>
      <c r="BJ371" s="265"/>
      <c r="BK371" s="265"/>
      <c r="BL371" s="265"/>
      <c r="BM371" s="265"/>
      <c r="BN371" s="265"/>
      <c r="BO371" s="265"/>
      <c r="BP371" s="265"/>
      <c r="BQ371" s="265"/>
      <c r="BR371" s="265"/>
      <c r="BS371" s="265"/>
      <c r="BT371" s="265"/>
      <c r="BU371" s="265"/>
      <c r="BV371" s="265"/>
    </row>
    <row r="372">
      <c r="A372" s="252" t="str">
        <f>VLOOKUP($F372,UpdateHashtag!$V$3:$Y$32,COLUMN(B$15),0)</f>
        <v>#N/A</v>
      </c>
      <c r="B372" s="252" t="str">
        <f>VLOOKUP($F372,UpdateHashtag!$V$3:$Y$32,COLUMN(C$13),0)</f>
        <v>#N/A</v>
      </c>
      <c r="C372" s="252" t="str">
        <f>VLOOKUP($F372,UpdateHashtag!$V$3:$Y$32,COLUMN(D$13),0)</f>
        <v>#N/A</v>
      </c>
      <c r="D372" s="344" t="str">
        <f t="shared" si="4"/>
        <v>#N/A</v>
      </c>
      <c r="E372" s="19"/>
      <c r="F372" s="30" t="str">
        <f>IF(VLOOKUP(J372,PasteHashtag!$C$2:$P1015,3,)="BRO","BKN",IF(VLOOKUP(J372,PasteHashtag!$C$2:$P1015,3,)="OKL","OKC",VLOOKUP(J372,PasteHashtag!$C$2:$P1015,3,)))</f>
        <v>#N/A</v>
      </c>
      <c r="G372" s="30">
        <v>352.0</v>
      </c>
      <c r="H372" s="270"/>
      <c r="I372" s="270"/>
      <c r="J372" s="271"/>
      <c r="K372" s="270"/>
      <c r="L372" s="272"/>
      <c r="M372" s="273"/>
      <c r="N372" s="274"/>
      <c r="O372" s="274"/>
      <c r="P372" s="275"/>
      <c r="Q372" s="275"/>
      <c r="R372" s="275"/>
      <c r="S372" s="276"/>
      <c r="T372" s="275"/>
      <c r="U372" s="275"/>
      <c r="V372" s="272"/>
      <c r="W372" s="272"/>
      <c r="X372" s="275"/>
      <c r="Y372" s="345"/>
      <c r="Z372" s="345"/>
      <c r="AA372" s="345"/>
      <c r="AB372" s="345"/>
      <c r="AC372" s="345"/>
      <c r="AD372" s="345"/>
      <c r="AE372" s="345"/>
      <c r="AF372" s="345"/>
      <c r="AG372" s="346"/>
      <c r="AH372" s="265"/>
      <c r="AI372" s="338"/>
      <c r="AJ372" s="339"/>
      <c r="AK372" s="265"/>
      <c r="AL372" s="265"/>
      <c r="AM372" s="265"/>
      <c r="AN372" s="265"/>
      <c r="AO372" s="265"/>
      <c r="AP372" s="265"/>
      <c r="AQ372" s="265"/>
      <c r="AR372" s="265"/>
      <c r="AS372" s="265"/>
      <c r="AT372" s="265"/>
      <c r="AU372" s="265"/>
      <c r="AV372" s="265"/>
      <c r="AW372" s="265"/>
      <c r="AX372" s="265"/>
      <c r="AY372" s="265"/>
      <c r="AZ372" s="265"/>
      <c r="BA372" s="265"/>
      <c r="BB372" s="265"/>
      <c r="BC372" s="265"/>
      <c r="BD372" s="265"/>
      <c r="BE372" s="265"/>
      <c r="BF372" s="265"/>
      <c r="BG372" s="265"/>
      <c r="BH372" s="265"/>
      <c r="BI372" s="265"/>
      <c r="BJ372" s="265"/>
      <c r="BK372" s="265"/>
      <c r="BL372" s="265"/>
      <c r="BM372" s="265"/>
      <c r="BN372" s="265"/>
      <c r="BO372" s="265"/>
      <c r="BP372" s="265"/>
      <c r="BQ372" s="265"/>
      <c r="BR372" s="265"/>
      <c r="BS372" s="265"/>
      <c r="BT372" s="265"/>
      <c r="BU372" s="265"/>
      <c r="BV372" s="265"/>
    </row>
    <row r="373">
      <c r="A373" s="252" t="str">
        <f>VLOOKUP($F373,UpdateHashtag!$V$3:$Y$32,COLUMN(B$15),0)</f>
        <v>#N/A</v>
      </c>
      <c r="B373" s="252" t="str">
        <f>VLOOKUP($F373,UpdateHashtag!$V$3:$Y$32,COLUMN(C$13),0)</f>
        <v>#N/A</v>
      </c>
      <c r="C373" s="252" t="str">
        <f>VLOOKUP($F373,UpdateHashtag!$V$3:$Y$32,COLUMN(D$13),0)</f>
        <v>#N/A</v>
      </c>
      <c r="D373" s="344" t="str">
        <f t="shared" si="4"/>
        <v>#N/A</v>
      </c>
      <c r="E373" s="19"/>
      <c r="F373" s="30" t="str">
        <f>IF(VLOOKUP(J373,PasteHashtag!$C$2:$P1015,3,)="BRO","BKN",IF(VLOOKUP(J373,PasteHashtag!$C$2:$P1015,3,)="OKL","OKC",VLOOKUP(J373,PasteHashtag!$C$2:$P1015,3,)))</f>
        <v>#N/A</v>
      </c>
      <c r="G373" s="30">
        <v>353.0</v>
      </c>
      <c r="H373" s="270"/>
      <c r="I373" s="270"/>
      <c r="J373" s="271"/>
      <c r="K373" s="270"/>
      <c r="L373" s="272"/>
      <c r="M373" s="273"/>
      <c r="N373" s="274"/>
      <c r="O373" s="274"/>
      <c r="P373" s="275"/>
      <c r="Q373" s="275"/>
      <c r="R373" s="275"/>
      <c r="S373" s="276"/>
      <c r="T373" s="275"/>
      <c r="U373" s="275"/>
      <c r="V373" s="272"/>
      <c r="W373" s="272"/>
      <c r="X373" s="275"/>
      <c r="Y373" s="345"/>
      <c r="Z373" s="345"/>
      <c r="AA373" s="345"/>
      <c r="AB373" s="345"/>
      <c r="AC373" s="345"/>
      <c r="AD373" s="345"/>
      <c r="AE373" s="345"/>
      <c r="AF373" s="345"/>
      <c r="AG373" s="346"/>
      <c r="AH373" s="265"/>
      <c r="AI373" s="338"/>
      <c r="AJ373" s="339"/>
      <c r="AK373" s="265"/>
      <c r="AL373" s="265"/>
      <c r="AM373" s="265"/>
      <c r="AN373" s="265"/>
      <c r="AO373" s="265"/>
      <c r="AP373" s="265"/>
      <c r="AQ373" s="265"/>
      <c r="AR373" s="265"/>
      <c r="AS373" s="265"/>
      <c r="AT373" s="265"/>
      <c r="AU373" s="265"/>
      <c r="AV373" s="265"/>
      <c r="AW373" s="265"/>
      <c r="AX373" s="265"/>
      <c r="AY373" s="265"/>
      <c r="AZ373" s="265"/>
      <c r="BA373" s="265"/>
      <c r="BB373" s="265"/>
      <c r="BC373" s="265"/>
      <c r="BD373" s="265"/>
      <c r="BE373" s="265"/>
      <c r="BF373" s="265"/>
      <c r="BG373" s="265"/>
      <c r="BH373" s="265"/>
      <c r="BI373" s="265"/>
      <c r="BJ373" s="265"/>
      <c r="BK373" s="265"/>
      <c r="BL373" s="265"/>
      <c r="BM373" s="265"/>
      <c r="BN373" s="265"/>
      <c r="BO373" s="265"/>
      <c r="BP373" s="265"/>
      <c r="BQ373" s="265"/>
      <c r="BR373" s="265"/>
      <c r="BS373" s="265"/>
      <c r="BT373" s="265"/>
      <c r="BU373" s="265"/>
      <c r="BV373" s="265"/>
    </row>
    <row r="374">
      <c r="A374" s="252" t="str">
        <f>VLOOKUP($F374,UpdateHashtag!$V$3:$Y$32,COLUMN(B$15),0)</f>
        <v>#N/A</v>
      </c>
      <c r="B374" s="252" t="str">
        <f>VLOOKUP($F374,UpdateHashtag!$V$3:$Y$32,COLUMN(C$13),0)</f>
        <v>#N/A</v>
      </c>
      <c r="C374" s="252" t="str">
        <f>VLOOKUP($F374,UpdateHashtag!$V$3:$Y$32,COLUMN(D$13),0)</f>
        <v>#N/A</v>
      </c>
      <c r="D374" s="344" t="str">
        <f t="shared" si="4"/>
        <v>#N/A</v>
      </c>
      <c r="E374" s="19"/>
      <c r="F374" s="30" t="str">
        <f>IF(VLOOKUP(J374,PasteHashtag!$C$2:$P1015,3,)="BRO","BKN",IF(VLOOKUP(J374,PasteHashtag!$C$2:$P1015,3,)="OKL","OKC",VLOOKUP(J374,PasteHashtag!$C$2:$P1015,3,)))</f>
        <v>#N/A</v>
      </c>
      <c r="G374" s="30">
        <v>354.0</v>
      </c>
      <c r="H374" s="270"/>
      <c r="I374" s="270"/>
      <c r="J374" s="271"/>
      <c r="K374" s="270"/>
      <c r="L374" s="272"/>
      <c r="M374" s="273"/>
      <c r="N374" s="274"/>
      <c r="O374" s="274"/>
      <c r="P374" s="275"/>
      <c r="Q374" s="275"/>
      <c r="R374" s="275"/>
      <c r="S374" s="276"/>
      <c r="T374" s="275"/>
      <c r="U374" s="275"/>
      <c r="V374" s="272"/>
      <c r="W374" s="272"/>
      <c r="X374" s="275"/>
      <c r="Y374" s="345"/>
      <c r="Z374" s="345"/>
      <c r="AA374" s="345"/>
      <c r="AB374" s="345"/>
      <c r="AC374" s="345"/>
      <c r="AD374" s="345"/>
      <c r="AE374" s="345"/>
      <c r="AF374" s="345"/>
      <c r="AG374" s="346"/>
      <c r="AH374" s="265"/>
      <c r="AI374" s="338"/>
      <c r="AJ374" s="339"/>
      <c r="AK374" s="265"/>
      <c r="AL374" s="265"/>
      <c r="AM374" s="265"/>
      <c r="AN374" s="265"/>
      <c r="AO374" s="265"/>
      <c r="AP374" s="265"/>
      <c r="AQ374" s="265"/>
      <c r="AR374" s="265"/>
      <c r="AS374" s="265"/>
      <c r="AT374" s="265"/>
      <c r="AU374" s="265"/>
      <c r="AV374" s="265"/>
      <c r="AW374" s="265"/>
      <c r="AX374" s="265"/>
      <c r="AY374" s="265"/>
      <c r="AZ374" s="265"/>
      <c r="BA374" s="265"/>
      <c r="BB374" s="265"/>
      <c r="BC374" s="265"/>
      <c r="BD374" s="265"/>
      <c r="BE374" s="265"/>
      <c r="BF374" s="265"/>
      <c r="BG374" s="265"/>
      <c r="BH374" s="265"/>
      <c r="BI374" s="265"/>
      <c r="BJ374" s="265"/>
      <c r="BK374" s="265"/>
      <c r="BL374" s="265"/>
      <c r="BM374" s="265"/>
      <c r="BN374" s="265"/>
      <c r="BO374" s="265"/>
      <c r="BP374" s="265"/>
      <c r="BQ374" s="265"/>
      <c r="BR374" s="265"/>
      <c r="BS374" s="265"/>
      <c r="BT374" s="265"/>
      <c r="BU374" s="265"/>
      <c r="BV374" s="265"/>
    </row>
    <row r="375">
      <c r="A375" s="252" t="str">
        <f>VLOOKUP($F375,UpdateHashtag!$V$3:$Y$32,COLUMN(B$15),0)</f>
        <v>#N/A</v>
      </c>
      <c r="B375" s="252" t="str">
        <f>VLOOKUP($F375,UpdateHashtag!$V$3:$Y$32,COLUMN(C$13),0)</f>
        <v>#N/A</v>
      </c>
      <c r="C375" s="252" t="str">
        <f>VLOOKUP($F375,UpdateHashtag!$V$3:$Y$32,COLUMN(D$13),0)</f>
        <v>#N/A</v>
      </c>
      <c r="D375" s="344" t="str">
        <f t="shared" si="4"/>
        <v>#N/A</v>
      </c>
      <c r="E375" s="19"/>
      <c r="F375" s="30" t="str">
        <f>IF(VLOOKUP(J375,PasteHashtag!$C$2:$P1015,3,)="BRO","BKN",IF(VLOOKUP(J375,PasteHashtag!$C$2:$P1015,3,)="OKL","OKC",VLOOKUP(J375,PasteHashtag!$C$2:$P1015,3,)))</f>
        <v>#N/A</v>
      </c>
      <c r="G375" s="30">
        <v>355.0</v>
      </c>
      <c r="H375" s="270"/>
      <c r="I375" s="270"/>
      <c r="J375" s="271"/>
      <c r="K375" s="270"/>
      <c r="L375" s="272"/>
      <c r="M375" s="273"/>
      <c r="N375" s="274"/>
      <c r="O375" s="274"/>
      <c r="P375" s="275"/>
      <c r="Q375" s="275"/>
      <c r="R375" s="275"/>
      <c r="S375" s="276"/>
      <c r="T375" s="275"/>
      <c r="U375" s="275"/>
      <c r="V375" s="272"/>
      <c r="W375" s="272"/>
      <c r="X375" s="275"/>
      <c r="Y375" s="345"/>
      <c r="Z375" s="345"/>
      <c r="AA375" s="345"/>
      <c r="AB375" s="345"/>
      <c r="AC375" s="345"/>
      <c r="AD375" s="345"/>
      <c r="AE375" s="345"/>
      <c r="AF375" s="345"/>
      <c r="AG375" s="346"/>
      <c r="AH375" s="265"/>
      <c r="AI375" s="338"/>
      <c r="AJ375" s="339"/>
      <c r="AK375" s="265"/>
      <c r="AL375" s="265"/>
      <c r="AM375" s="265"/>
      <c r="AN375" s="265"/>
      <c r="AO375" s="265"/>
      <c r="AP375" s="265"/>
      <c r="AQ375" s="265"/>
      <c r="AR375" s="265"/>
      <c r="AS375" s="265"/>
      <c r="AT375" s="265"/>
      <c r="AU375" s="265"/>
      <c r="AV375" s="265"/>
      <c r="AW375" s="265"/>
      <c r="AX375" s="265"/>
      <c r="AY375" s="265"/>
      <c r="AZ375" s="265"/>
      <c r="BA375" s="265"/>
      <c r="BB375" s="265"/>
      <c r="BC375" s="265"/>
      <c r="BD375" s="265"/>
      <c r="BE375" s="265"/>
      <c r="BF375" s="265"/>
      <c r="BG375" s="265"/>
      <c r="BH375" s="265"/>
      <c r="BI375" s="265"/>
      <c r="BJ375" s="265"/>
      <c r="BK375" s="265"/>
      <c r="BL375" s="265"/>
      <c r="BM375" s="265"/>
      <c r="BN375" s="265"/>
      <c r="BO375" s="265"/>
      <c r="BP375" s="265"/>
      <c r="BQ375" s="265"/>
      <c r="BR375" s="265"/>
      <c r="BS375" s="265"/>
      <c r="BT375" s="265"/>
      <c r="BU375" s="265"/>
      <c r="BV375" s="265"/>
    </row>
    <row r="376">
      <c r="A376" s="252" t="str">
        <f>VLOOKUP($F376,UpdateHashtag!$V$3:$Y$32,COLUMN(B$15),0)</f>
        <v>#N/A</v>
      </c>
      <c r="B376" s="252" t="str">
        <f>VLOOKUP($F376,UpdateHashtag!$V$3:$Y$32,COLUMN(C$13),0)</f>
        <v>#N/A</v>
      </c>
      <c r="C376" s="252" t="str">
        <f>VLOOKUP($F376,UpdateHashtag!$V$3:$Y$32,COLUMN(D$13),0)</f>
        <v>#N/A</v>
      </c>
      <c r="D376" s="344" t="str">
        <f t="shared" si="4"/>
        <v>#N/A</v>
      </c>
      <c r="E376" s="19"/>
      <c r="F376" s="30" t="str">
        <f>IF(VLOOKUP(J376,PasteHashtag!$C$2:$P1015,3,)="BRO","BKN",IF(VLOOKUP(J376,PasteHashtag!$C$2:$P1015,3,)="OKL","OKC",VLOOKUP(J376,PasteHashtag!$C$2:$P1015,3,)))</f>
        <v>#N/A</v>
      </c>
      <c r="G376" s="30">
        <v>356.0</v>
      </c>
      <c r="H376" s="270"/>
      <c r="I376" s="270"/>
      <c r="J376" s="271"/>
      <c r="K376" s="270"/>
      <c r="L376" s="272"/>
      <c r="M376" s="273"/>
      <c r="N376" s="274"/>
      <c r="O376" s="274"/>
      <c r="P376" s="275"/>
      <c r="Q376" s="275"/>
      <c r="R376" s="275"/>
      <c r="S376" s="276"/>
      <c r="T376" s="275"/>
      <c r="U376" s="275"/>
      <c r="V376" s="272"/>
      <c r="W376" s="272"/>
      <c r="X376" s="275"/>
      <c r="Y376" s="345"/>
      <c r="Z376" s="345"/>
      <c r="AA376" s="345"/>
      <c r="AB376" s="345"/>
      <c r="AC376" s="345"/>
      <c r="AD376" s="345"/>
      <c r="AE376" s="345"/>
      <c r="AF376" s="345"/>
      <c r="AG376" s="346"/>
      <c r="AH376" s="265"/>
      <c r="AI376" s="338"/>
      <c r="AJ376" s="339"/>
      <c r="AK376" s="265"/>
      <c r="AL376" s="265"/>
      <c r="AM376" s="265"/>
      <c r="AN376" s="265"/>
      <c r="AO376" s="265"/>
      <c r="AP376" s="265"/>
      <c r="AQ376" s="265"/>
      <c r="AR376" s="265"/>
      <c r="AS376" s="265"/>
      <c r="AT376" s="265"/>
      <c r="AU376" s="265"/>
      <c r="AV376" s="265"/>
      <c r="AW376" s="265"/>
      <c r="AX376" s="265"/>
      <c r="AY376" s="265"/>
      <c r="AZ376" s="265"/>
      <c r="BA376" s="265"/>
      <c r="BB376" s="265"/>
      <c r="BC376" s="265"/>
      <c r="BD376" s="265"/>
      <c r="BE376" s="265"/>
      <c r="BF376" s="265"/>
      <c r="BG376" s="265"/>
      <c r="BH376" s="265"/>
      <c r="BI376" s="265"/>
      <c r="BJ376" s="265"/>
      <c r="BK376" s="265"/>
      <c r="BL376" s="265"/>
      <c r="BM376" s="265"/>
      <c r="BN376" s="265"/>
      <c r="BO376" s="265"/>
      <c r="BP376" s="265"/>
      <c r="BQ376" s="265"/>
      <c r="BR376" s="265"/>
      <c r="BS376" s="265"/>
      <c r="BT376" s="265"/>
      <c r="BU376" s="265"/>
      <c r="BV376" s="265"/>
    </row>
    <row r="377">
      <c r="A377" s="252" t="str">
        <f>VLOOKUP($F377,UpdateHashtag!$V$3:$Y$32,COLUMN(B$15),0)</f>
        <v>#N/A</v>
      </c>
      <c r="B377" s="252" t="str">
        <f>VLOOKUP($F377,UpdateHashtag!$V$3:$Y$32,COLUMN(C$13),0)</f>
        <v>#N/A</v>
      </c>
      <c r="C377" s="252" t="str">
        <f>VLOOKUP($F377,UpdateHashtag!$V$3:$Y$32,COLUMN(D$13),0)</f>
        <v>#N/A</v>
      </c>
      <c r="D377" s="344" t="str">
        <f t="shared" si="4"/>
        <v>#N/A</v>
      </c>
      <c r="E377" s="19"/>
      <c r="F377" s="30" t="str">
        <f>IF(VLOOKUP(J377,PasteHashtag!$C$2:$P1015,3,)="BRO","BKN",IF(VLOOKUP(J377,PasteHashtag!$C$2:$P1015,3,)="OKL","OKC",VLOOKUP(J377,PasteHashtag!$C$2:$P1015,3,)))</f>
        <v>#N/A</v>
      </c>
      <c r="G377" s="30">
        <v>357.0</v>
      </c>
      <c r="H377" s="270"/>
      <c r="I377" s="270"/>
      <c r="J377" s="271"/>
      <c r="K377" s="270"/>
      <c r="L377" s="272"/>
      <c r="M377" s="273"/>
      <c r="N377" s="274"/>
      <c r="O377" s="274"/>
      <c r="P377" s="275"/>
      <c r="Q377" s="275"/>
      <c r="R377" s="275"/>
      <c r="S377" s="276"/>
      <c r="T377" s="275"/>
      <c r="U377" s="275"/>
      <c r="V377" s="272"/>
      <c r="W377" s="272"/>
      <c r="X377" s="275"/>
      <c r="Y377" s="345"/>
      <c r="Z377" s="345"/>
      <c r="AA377" s="345"/>
      <c r="AB377" s="345"/>
      <c r="AC377" s="345"/>
      <c r="AD377" s="345"/>
      <c r="AE377" s="345"/>
      <c r="AF377" s="345"/>
      <c r="AG377" s="346"/>
      <c r="AH377" s="265"/>
      <c r="AI377" s="338"/>
      <c r="AJ377" s="339"/>
      <c r="AK377" s="265"/>
      <c r="AL377" s="265"/>
      <c r="AM377" s="265"/>
      <c r="AN377" s="265"/>
      <c r="AO377" s="265"/>
      <c r="AP377" s="265"/>
      <c r="AQ377" s="265"/>
      <c r="AR377" s="265"/>
      <c r="AS377" s="265"/>
      <c r="AT377" s="265"/>
      <c r="AU377" s="265"/>
      <c r="AV377" s="265"/>
      <c r="AW377" s="265"/>
      <c r="AX377" s="265"/>
      <c r="AY377" s="265"/>
      <c r="AZ377" s="265"/>
      <c r="BA377" s="265"/>
      <c r="BB377" s="265"/>
      <c r="BC377" s="265"/>
      <c r="BD377" s="265"/>
      <c r="BE377" s="265"/>
      <c r="BF377" s="265"/>
      <c r="BG377" s="265"/>
      <c r="BH377" s="265"/>
      <c r="BI377" s="265"/>
      <c r="BJ377" s="265"/>
      <c r="BK377" s="265"/>
      <c r="BL377" s="265"/>
      <c r="BM377" s="265"/>
      <c r="BN377" s="265"/>
      <c r="BO377" s="265"/>
      <c r="BP377" s="265"/>
      <c r="BQ377" s="265"/>
      <c r="BR377" s="265"/>
      <c r="BS377" s="265"/>
      <c r="BT377" s="265"/>
      <c r="BU377" s="265"/>
      <c r="BV377" s="265"/>
    </row>
    <row r="378">
      <c r="A378" s="252" t="str">
        <f>VLOOKUP($F378,UpdateHashtag!$V$3:$Y$32,COLUMN(B$15),0)</f>
        <v>#N/A</v>
      </c>
      <c r="B378" s="252" t="str">
        <f>VLOOKUP($F378,UpdateHashtag!$V$3:$Y$32,COLUMN(C$13),0)</f>
        <v>#N/A</v>
      </c>
      <c r="C378" s="252" t="str">
        <f>VLOOKUP($F378,UpdateHashtag!$V$3:$Y$32,COLUMN(D$13),0)</f>
        <v>#N/A</v>
      </c>
      <c r="D378" s="344" t="str">
        <f t="shared" si="4"/>
        <v>#N/A</v>
      </c>
      <c r="E378" s="19"/>
      <c r="F378" s="30" t="str">
        <f>IF(VLOOKUP(J378,PasteHashtag!$C$2:$P1015,3,)="BRO","BKN",IF(VLOOKUP(J378,PasteHashtag!$C$2:$P1015,3,)="OKL","OKC",VLOOKUP(J378,PasteHashtag!$C$2:$P1015,3,)))</f>
        <v>#N/A</v>
      </c>
      <c r="G378" s="30">
        <v>358.0</v>
      </c>
      <c r="H378" s="270"/>
      <c r="I378" s="270"/>
      <c r="J378" s="271"/>
      <c r="K378" s="270"/>
      <c r="L378" s="272"/>
      <c r="M378" s="273"/>
      <c r="N378" s="274"/>
      <c r="O378" s="274"/>
      <c r="P378" s="275"/>
      <c r="Q378" s="275"/>
      <c r="R378" s="275"/>
      <c r="S378" s="276"/>
      <c r="T378" s="275"/>
      <c r="U378" s="275"/>
      <c r="V378" s="272"/>
      <c r="W378" s="272"/>
      <c r="X378" s="275"/>
      <c r="Y378" s="345"/>
      <c r="Z378" s="345"/>
      <c r="AA378" s="345"/>
      <c r="AB378" s="345"/>
      <c r="AC378" s="345"/>
      <c r="AD378" s="345"/>
      <c r="AE378" s="345"/>
      <c r="AF378" s="345"/>
      <c r="AG378" s="346"/>
      <c r="AH378" s="265"/>
      <c r="AI378" s="338"/>
      <c r="AJ378" s="339"/>
      <c r="AK378" s="265"/>
      <c r="AL378" s="265"/>
      <c r="AM378" s="265"/>
      <c r="AN378" s="265"/>
      <c r="AO378" s="265"/>
      <c r="AP378" s="265"/>
      <c r="AQ378" s="265"/>
      <c r="AR378" s="265"/>
      <c r="AS378" s="265"/>
      <c r="AT378" s="265"/>
      <c r="AU378" s="265"/>
      <c r="AV378" s="265"/>
      <c r="AW378" s="265"/>
      <c r="AX378" s="265"/>
      <c r="AY378" s="265"/>
      <c r="AZ378" s="265"/>
      <c r="BA378" s="265"/>
      <c r="BB378" s="265"/>
      <c r="BC378" s="265"/>
      <c r="BD378" s="265"/>
      <c r="BE378" s="265"/>
      <c r="BF378" s="265"/>
      <c r="BG378" s="265"/>
      <c r="BH378" s="265"/>
      <c r="BI378" s="265"/>
      <c r="BJ378" s="265"/>
      <c r="BK378" s="265"/>
      <c r="BL378" s="265"/>
      <c r="BM378" s="265"/>
      <c r="BN378" s="265"/>
      <c r="BO378" s="265"/>
      <c r="BP378" s="265"/>
      <c r="BQ378" s="265"/>
      <c r="BR378" s="265"/>
      <c r="BS378" s="265"/>
      <c r="BT378" s="265"/>
      <c r="BU378" s="265"/>
      <c r="BV378" s="265"/>
    </row>
    <row r="379">
      <c r="A379" s="252" t="str">
        <f>VLOOKUP($F379,UpdateHashtag!$V$3:$Y$32,COLUMN(B$15),0)</f>
        <v>#N/A</v>
      </c>
      <c r="B379" s="252" t="str">
        <f>VLOOKUP($F379,UpdateHashtag!$V$3:$Y$32,COLUMN(C$13),0)</f>
        <v>#N/A</v>
      </c>
      <c r="C379" s="252" t="str">
        <f>VLOOKUP($F379,UpdateHashtag!$V$3:$Y$32,COLUMN(D$13),0)</f>
        <v>#N/A</v>
      </c>
      <c r="D379" s="344" t="str">
        <f t="shared" si="4"/>
        <v>#N/A</v>
      </c>
      <c r="E379" s="19"/>
      <c r="F379" s="30" t="str">
        <f>IF(VLOOKUP(J379,PasteHashtag!$C$2:$P1015,3,)="BRO","BKN",IF(VLOOKUP(J379,PasteHashtag!$C$2:$P1015,3,)="OKL","OKC",VLOOKUP(J379,PasteHashtag!$C$2:$P1015,3,)))</f>
        <v>#N/A</v>
      </c>
      <c r="G379" s="30">
        <v>359.0</v>
      </c>
      <c r="H379" s="270"/>
      <c r="I379" s="270"/>
      <c r="J379" s="271"/>
      <c r="K379" s="270"/>
      <c r="L379" s="272"/>
      <c r="M379" s="273"/>
      <c r="N379" s="274"/>
      <c r="O379" s="274"/>
      <c r="P379" s="275"/>
      <c r="Q379" s="275"/>
      <c r="R379" s="275"/>
      <c r="S379" s="276"/>
      <c r="T379" s="275"/>
      <c r="U379" s="275"/>
      <c r="V379" s="272"/>
      <c r="W379" s="272"/>
      <c r="X379" s="275"/>
      <c r="Y379" s="345"/>
      <c r="Z379" s="345"/>
      <c r="AA379" s="345"/>
      <c r="AB379" s="345"/>
      <c r="AC379" s="345"/>
      <c r="AD379" s="345"/>
      <c r="AE379" s="345"/>
      <c r="AF379" s="345"/>
      <c r="AG379" s="346"/>
      <c r="AH379" s="265"/>
      <c r="AI379" s="338"/>
      <c r="AJ379" s="339"/>
      <c r="AK379" s="265"/>
      <c r="AL379" s="265"/>
      <c r="AM379" s="265"/>
      <c r="AN379" s="265"/>
      <c r="AO379" s="265"/>
      <c r="AP379" s="265"/>
      <c r="AQ379" s="265"/>
      <c r="AR379" s="265"/>
      <c r="AS379" s="265"/>
      <c r="AT379" s="265"/>
      <c r="AU379" s="265"/>
      <c r="AV379" s="265"/>
      <c r="AW379" s="265"/>
      <c r="AX379" s="265"/>
      <c r="AY379" s="265"/>
      <c r="AZ379" s="265"/>
      <c r="BA379" s="265"/>
      <c r="BB379" s="265"/>
      <c r="BC379" s="265"/>
      <c r="BD379" s="265"/>
      <c r="BE379" s="265"/>
      <c r="BF379" s="265"/>
      <c r="BG379" s="265"/>
      <c r="BH379" s="265"/>
      <c r="BI379" s="265"/>
      <c r="BJ379" s="265"/>
      <c r="BK379" s="265"/>
      <c r="BL379" s="265"/>
      <c r="BM379" s="265"/>
      <c r="BN379" s="265"/>
      <c r="BO379" s="265"/>
      <c r="BP379" s="265"/>
      <c r="BQ379" s="265"/>
      <c r="BR379" s="265"/>
      <c r="BS379" s="265"/>
      <c r="BT379" s="265"/>
      <c r="BU379" s="265"/>
      <c r="BV379" s="265"/>
    </row>
    <row r="380">
      <c r="A380" s="252" t="str">
        <f>VLOOKUP($F380,UpdateHashtag!$V$3:$Y$32,COLUMN(B$15),0)</f>
        <v>#N/A</v>
      </c>
      <c r="B380" s="252" t="str">
        <f>VLOOKUP($F380,UpdateHashtag!$V$3:$Y$32,COLUMN(C$13),0)</f>
        <v>#N/A</v>
      </c>
      <c r="C380" s="252" t="str">
        <f>VLOOKUP($F380,UpdateHashtag!$V$3:$Y$32,COLUMN(D$13),0)</f>
        <v>#N/A</v>
      </c>
      <c r="D380" s="344" t="str">
        <f t="shared" si="4"/>
        <v>#N/A</v>
      </c>
      <c r="E380" s="19"/>
      <c r="F380" s="30" t="str">
        <f>IF(VLOOKUP(J380,PasteHashtag!$C$2:$P1015,3,)="BRO","BKN",IF(VLOOKUP(J380,PasteHashtag!$C$2:$P1015,3,)="OKL","OKC",VLOOKUP(J380,PasteHashtag!$C$2:$P1015,3,)))</f>
        <v>#N/A</v>
      </c>
      <c r="G380" s="30">
        <v>360.0</v>
      </c>
      <c r="H380" s="270"/>
      <c r="I380" s="270"/>
      <c r="J380" s="271"/>
      <c r="K380" s="270"/>
      <c r="L380" s="272"/>
      <c r="M380" s="273"/>
      <c r="N380" s="274"/>
      <c r="O380" s="274"/>
      <c r="P380" s="275"/>
      <c r="Q380" s="275"/>
      <c r="R380" s="275"/>
      <c r="S380" s="276"/>
      <c r="T380" s="275"/>
      <c r="U380" s="275"/>
      <c r="V380" s="272"/>
      <c r="W380" s="272"/>
      <c r="X380" s="275"/>
      <c r="Y380" s="345"/>
      <c r="Z380" s="345"/>
      <c r="AA380" s="345"/>
      <c r="AB380" s="345"/>
      <c r="AC380" s="345"/>
      <c r="AD380" s="345"/>
      <c r="AE380" s="345"/>
      <c r="AF380" s="345"/>
      <c r="AG380" s="346"/>
      <c r="AH380" s="265"/>
      <c r="AI380" s="338"/>
      <c r="AJ380" s="339"/>
      <c r="AK380" s="265"/>
      <c r="AL380" s="265"/>
      <c r="AM380" s="265"/>
      <c r="AN380" s="265"/>
      <c r="AO380" s="265"/>
      <c r="AP380" s="265"/>
      <c r="AQ380" s="265"/>
      <c r="AR380" s="265"/>
      <c r="AS380" s="265"/>
      <c r="AT380" s="265"/>
      <c r="AU380" s="265"/>
      <c r="AV380" s="265"/>
      <c r="AW380" s="265"/>
      <c r="AX380" s="265"/>
      <c r="AY380" s="265"/>
      <c r="AZ380" s="265"/>
      <c r="BA380" s="265"/>
      <c r="BB380" s="265"/>
      <c r="BC380" s="265"/>
      <c r="BD380" s="265"/>
      <c r="BE380" s="265"/>
      <c r="BF380" s="265"/>
      <c r="BG380" s="265"/>
      <c r="BH380" s="265"/>
      <c r="BI380" s="265"/>
      <c r="BJ380" s="265"/>
      <c r="BK380" s="265"/>
      <c r="BL380" s="265"/>
      <c r="BM380" s="265"/>
      <c r="BN380" s="265"/>
      <c r="BO380" s="265"/>
      <c r="BP380" s="265"/>
      <c r="BQ380" s="265"/>
      <c r="BR380" s="265"/>
      <c r="BS380" s="265"/>
      <c r="BT380" s="265"/>
      <c r="BU380" s="265"/>
      <c r="BV380" s="265"/>
    </row>
    <row r="381">
      <c r="A381" s="252" t="str">
        <f>VLOOKUP($F381,UpdateHashtag!$V$3:$Y$32,COLUMN(B$15),0)</f>
        <v>#N/A</v>
      </c>
      <c r="B381" s="252" t="str">
        <f>VLOOKUP($F381,UpdateHashtag!$V$3:$Y$32,COLUMN(C$13),0)</f>
        <v>#N/A</v>
      </c>
      <c r="C381" s="252" t="str">
        <f>VLOOKUP($F381,UpdateHashtag!$V$3:$Y$32,COLUMN(D$13),0)</f>
        <v>#N/A</v>
      </c>
      <c r="D381" s="344" t="str">
        <f t="shared" si="4"/>
        <v>#N/A</v>
      </c>
      <c r="E381" s="19"/>
      <c r="F381" s="30" t="str">
        <f>IF(VLOOKUP(J381,PasteHashtag!$C$2:$P1015,3,)="BRO","BKN",IF(VLOOKUP(J381,PasteHashtag!$C$2:$P1015,3,)="OKL","OKC",VLOOKUP(J381,PasteHashtag!$C$2:$P1015,3,)))</f>
        <v>#N/A</v>
      </c>
      <c r="G381" s="30">
        <v>361.0</v>
      </c>
      <c r="H381" s="270"/>
      <c r="I381" s="270"/>
      <c r="J381" s="271"/>
      <c r="K381" s="270"/>
      <c r="L381" s="272"/>
      <c r="M381" s="273"/>
      <c r="N381" s="274"/>
      <c r="O381" s="274"/>
      <c r="P381" s="275"/>
      <c r="Q381" s="275"/>
      <c r="R381" s="275"/>
      <c r="S381" s="276"/>
      <c r="T381" s="275"/>
      <c r="U381" s="275"/>
      <c r="V381" s="272"/>
      <c r="W381" s="272"/>
      <c r="X381" s="275"/>
      <c r="Y381" s="345"/>
      <c r="Z381" s="345"/>
      <c r="AA381" s="345"/>
      <c r="AB381" s="345"/>
      <c r="AC381" s="345"/>
      <c r="AD381" s="345"/>
      <c r="AE381" s="345"/>
      <c r="AF381" s="345"/>
      <c r="AG381" s="346"/>
      <c r="AH381" s="265"/>
      <c r="AI381" s="338"/>
      <c r="AJ381" s="339"/>
      <c r="AK381" s="265"/>
      <c r="AL381" s="265"/>
      <c r="AM381" s="265"/>
      <c r="AN381" s="265"/>
      <c r="AO381" s="265"/>
      <c r="AP381" s="265"/>
      <c r="AQ381" s="265"/>
      <c r="AR381" s="265"/>
      <c r="AS381" s="265"/>
      <c r="AT381" s="265"/>
      <c r="AU381" s="265"/>
      <c r="AV381" s="265"/>
      <c r="AW381" s="265"/>
      <c r="AX381" s="265"/>
      <c r="AY381" s="265"/>
      <c r="AZ381" s="265"/>
      <c r="BA381" s="265"/>
      <c r="BB381" s="265"/>
      <c r="BC381" s="265"/>
      <c r="BD381" s="265"/>
      <c r="BE381" s="265"/>
      <c r="BF381" s="265"/>
      <c r="BG381" s="265"/>
      <c r="BH381" s="265"/>
      <c r="BI381" s="265"/>
      <c r="BJ381" s="265"/>
      <c r="BK381" s="265"/>
      <c r="BL381" s="265"/>
      <c r="BM381" s="265"/>
      <c r="BN381" s="265"/>
      <c r="BO381" s="265"/>
      <c r="BP381" s="265"/>
      <c r="BQ381" s="265"/>
      <c r="BR381" s="265"/>
      <c r="BS381" s="265"/>
      <c r="BT381" s="265"/>
      <c r="BU381" s="265"/>
      <c r="BV381" s="265"/>
    </row>
    <row r="382">
      <c r="A382" s="252" t="str">
        <f>VLOOKUP($F382,UpdateHashtag!$V$3:$Y$32,COLUMN(B$15),0)</f>
        <v>#N/A</v>
      </c>
      <c r="B382" s="252" t="str">
        <f>VLOOKUP($F382,UpdateHashtag!$V$3:$Y$32,COLUMN(C$13),0)</f>
        <v>#N/A</v>
      </c>
      <c r="C382" s="252" t="str">
        <f>VLOOKUP($F382,UpdateHashtag!$V$3:$Y$32,COLUMN(D$13),0)</f>
        <v>#N/A</v>
      </c>
      <c r="D382" s="344" t="str">
        <f t="shared" si="4"/>
        <v>#N/A</v>
      </c>
      <c r="E382" s="19"/>
      <c r="F382" s="30" t="str">
        <f>IF(VLOOKUP(J382,PasteHashtag!$C$2:$P1015,3,)="BRO","BKN",IF(VLOOKUP(J382,PasteHashtag!$C$2:$P1015,3,)="OKL","OKC",VLOOKUP(J382,PasteHashtag!$C$2:$P1015,3,)))</f>
        <v>#N/A</v>
      </c>
      <c r="G382" s="30">
        <v>362.0</v>
      </c>
      <c r="H382" s="270"/>
      <c r="I382" s="270"/>
      <c r="J382" s="271"/>
      <c r="K382" s="270"/>
      <c r="L382" s="272"/>
      <c r="M382" s="273"/>
      <c r="N382" s="274"/>
      <c r="O382" s="274"/>
      <c r="P382" s="275"/>
      <c r="Q382" s="275"/>
      <c r="R382" s="275"/>
      <c r="S382" s="276"/>
      <c r="T382" s="275"/>
      <c r="U382" s="275"/>
      <c r="V382" s="272"/>
      <c r="W382" s="272"/>
      <c r="X382" s="275"/>
      <c r="Y382" s="345"/>
      <c r="Z382" s="345"/>
      <c r="AA382" s="345"/>
      <c r="AB382" s="345"/>
      <c r="AC382" s="345"/>
      <c r="AD382" s="345"/>
      <c r="AE382" s="345"/>
      <c r="AF382" s="345"/>
      <c r="AG382" s="346"/>
      <c r="AH382" s="265"/>
      <c r="AI382" s="338"/>
      <c r="AJ382" s="339"/>
      <c r="AK382" s="265"/>
      <c r="AL382" s="265"/>
      <c r="AM382" s="265"/>
      <c r="AN382" s="265"/>
      <c r="AO382" s="265"/>
      <c r="AP382" s="265"/>
      <c r="AQ382" s="265"/>
      <c r="AR382" s="265"/>
      <c r="AS382" s="265"/>
      <c r="AT382" s="265"/>
      <c r="AU382" s="265"/>
      <c r="AV382" s="265"/>
      <c r="AW382" s="265"/>
      <c r="AX382" s="265"/>
      <c r="AY382" s="265"/>
      <c r="AZ382" s="265"/>
      <c r="BA382" s="265"/>
      <c r="BB382" s="265"/>
      <c r="BC382" s="265"/>
      <c r="BD382" s="265"/>
      <c r="BE382" s="265"/>
      <c r="BF382" s="265"/>
      <c r="BG382" s="265"/>
      <c r="BH382" s="265"/>
      <c r="BI382" s="265"/>
      <c r="BJ382" s="265"/>
      <c r="BK382" s="265"/>
      <c r="BL382" s="265"/>
      <c r="BM382" s="265"/>
      <c r="BN382" s="265"/>
      <c r="BO382" s="265"/>
      <c r="BP382" s="265"/>
      <c r="BQ382" s="265"/>
      <c r="BR382" s="265"/>
      <c r="BS382" s="265"/>
      <c r="BT382" s="265"/>
      <c r="BU382" s="265"/>
      <c r="BV382" s="265"/>
    </row>
    <row r="383">
      <c r="A383" s="252" t="str">
        <f>VLOOKUP($F383,UpdateHashtag!$V$3:$Y$32,COLUMN(B$15),0)</f>
        <v>#N/A</v>
      </c>
      <c r="B383" s="252" t="str">
        <f>VLOOKUP($F383,UpdateHashtag!$V$3:$Y$32,COLUMN(C$13),0)</f>
        <v>#N/A</v>
      </c>
      <c r="C383" s="252" t="str">
        <f>VLOOKUP($F383,UpdateHashtag!$V$3:$Y$32,COLUMN(D$13),0)</f>
        <v>#N/A</v>
      </c>
      <c r="D383" s="344" t="str">
        <f t="shared" si="4"/>
        <v>#N/A</v>
      </c>
      <c r="E383" s="19"/>
      <c r="F383" s="30" t="str">
        <f>IF(VLOOKUP(J383,PasteHashtag!$C$2:$P1015,3,)="BRO","BKN",IF(VLOOKUP(J383,PasteHashtag!$C$2:$P1015,3,)="OKL","OKC",VLOOKUP(J383,PasteHashtag!$C$2:$P1015,3,)))</f>
        <v>#N/A</v>
      </c>
      <c r="G383" s="30">
        <v>363.0</v>
      </c>
      <c r="H383" s="270"/>
      <c r="I383" s="270"/>
      <c r="J383" s="271"/>
      <c r="K383" s="270"/>
      <c r="L383" s="272"/>
      <c r="M383" s="273"/>
      <c r="N383" s="274"/>
      <c r="O383" s="274"/>
      <c r="P383" s="275"/>
      <c r="Q383" s="275"/>
      <c r="R383" s="275"/>
      <c r="S383" s="276"/>
      <c r="T383" s="275"/>
      <c r="U383" s="275"/>
      <c r="V383" s="272"/>
      <c r="W383" s="272"/>
      <c r="X383" s="275"/>
      <c r="Y383" s="345"/>
      <c r="Z383" s="345"/>
      <c r="AA383" s="345"/>
      <c r="AB383" s="345"/>
      <c r="AC383" s="345"/>
      <c r="AD383" s="345"/>
      <c r="AE383" s="345"/>
      <c r="AF383" s="345"/>
      <c r="AG383" s="346"/>
      <c r="AH383" s="265"/>
      <c r="AI383" s="338"/>
      <c r="AJ383" s="339"/>
      <c r="AK383" s="265"/>
      <c r="AL383" s="265"/>
      <c r="AM383" s="265"/>
      <c r="AN383" s="265"/>
      <c r="AO383" s="265"/>
      <c r="AP383" s="265"/>
      <c r="AQ383" s="265"/>
      <c r="AR383" s="265"/>
      <c r="AS383" s="265"/>
      <c r="AT383" s="265"/>
      <c r="AU383" s="265"/>
      <c r="AV383" s="265"/>
      <c r="AW383" s="265"/>
      <c r="AX383" s="265"/>
      <c r="AY383" s="265"/>
      <c r="AZ383" s="265"/>
      <c r="BA383" s="265"/>
      <c r="BB383" s="265"/>
      <c r="BC383" s="265"/>
      <c r="BD383" s="265"/>
      <c r="BE383" s="265"/>
      <c r="BF383" s="265"/>
      <c r="BG383" s="265"/>
      <c r="BH383" s="265"/>
      <c r="BI383" s="265"/>
      <c r="BJ383" s="265"/>
      <c r="BK383" s="265"/>
      <c r="BL383" s="265"/>
      <c r="BM383" s="265"/>
      <c r="BN383" s="265"/>
      <c r="BO383" s="265"/>
      <c r="BP383" s="265"/>
      <c r="BQ383" s="265"/>
      <c r="BR383" s="265"/>
      <c r="BS383" s="265"/>
      <c r="BT383" s="265"/>
      <c r="BU383" s="265"/>
      <c r="BV383" s="265"/>
    </row>
    <row r="384">
      <c r="A384" s="252" t="str">
        <f>VLOOKUP($F384,UpdateHashtag!$V$3:$Y$32,COLUMN(B$15),0)</f>
        <v>#N/A</v>
      </c>
      <c r="B384" s="252" t="str">
        <f>VLOOKUP($F384,UpdateHashtag!$V$3:$Y$32,COLUMN(C$13),0)</f>
        <v>#N/A</v>
      </c>
      <c r="C384" s="252" t="str">
        <f>VLOOKUP($F384,UpdateHashtag!$V$3:$Y$32,COLUMN(D$13),0)</f>
        <v>#N/A</v>
      </c>
      <c r="D384" s="344" t="str">
        <f t="shared" si="4"/>
        <v>#N/A</v>
      </c>
      <c r="E384" s="19"/>
      <c r="F384" s="30" t="str">
        <f>IF(VLOOKUP(J384,PasteHashtag!$C$2:$P1015,3,)="BRO","BKN",IF(VLOOKUP(J384,PasteHashtag!$C$2:$P1015,3,)="OKL","OKC",VLOOKUP(J384,PasteHashtag!$C$2:$P1015,3,)))</f>
        <v>#N/A</v>
      </c>
      <c r="G384" s="30">
        <v>364.0</v>
      </c>
      <c r="H384" s="270"/>
      <c r="I384" s="270"/>
      <c r="J384" s="271"/>
      <c r="K384" s="270"/>
      <c r="L384" s="272"/>
      <c r="M384" s="273"/>
      <c r="N384" s="274"/>
      <c r="O384" s="274"/>
      <c r="P384" s="275"/>
      <c r="Q384" s="275"/>
      <c r="R384" s="275"/>
      <c r="S384" s="276"/>
      <c r="T384" s="275"/>
      <c r="U384" s="275"/>
      <c r="V384" s="272"/>
      <c r="W384" s="272"/>
      <c r="X384" s="275"/>
      <c r="Y384" s="345"/>
      <c r="Z384" s="345"/>
      <c r="AA384" s="345"/>
      <c r="AB384" s="345"/>
      <c r="AC384" s="345"/>
      <c r="AD384" s="345"/>
      <c r="AE384" s="345"/>
      <c r="AF384" s="345"/>
      <c r="AG384" s="346"/>
      <c r="AH384" s="265"/>
      <c r="AI384" s="338"/>
      <c r="AJ384" s="339"/>
      <c r="AK384" s="265"/>
      <c r="AL384" s="265"/>
      <c r="AM384" s="265"/>
      <c r="AN384" s="265"/>
      <c r="AO384" s="265"/>
      <c r="AP384" s="265"/>
      <c r="AQ384" s="265"/>
      <c r="AR384" s="265"/>
      <c r="AS384" s="265"/>
      <c r="AT384" s="265"/>
      <c r="AU384" s="265"/>
      <c r="AV384" s="265"/>
      <c r="AW384" s="265"/>
      <c r="AX384" s="265"/>
      <c r="AY384" s="265"/>
      <c r="AZ384" s="265"/>
      <c r="BA384" s="265"/>
      <c r="BB384" s="265"/>
      <c r="BC384" s="265"/>
      <c r="BD384" s="265"/>
      <c r="BE384" s="265"/>
      <c r="BF384" s="265"/>
      <c r="BG384" s="265"/>
      <c r="BH384" s="265"/>
      <c r="BI384" s="265"/>
      <c r="BJ384" s="265"/>
      <c r="BK384" s="265"/>
      <c r="BL384" s="265"/>
      <c r="BM384" s="265"/>
      <c r="BN384" s="265"/>
      <c r="BO384" s="265"/>
      <c r="BP384" s="265"/>
      <c r="BQ384" s="265"/>
      <c r="BR384" s="265"/>
      <c r="BS384" s="265"/>
      <c r="BT384" s="265"/>
      <c r="BU384" s="265"/>
      <c r="BV384" s="265"/>
    </row>
    <row r="385">
      <c r="A385" s="252" t="str">
        <f>VLOOKUP($F385,UpdateHashtag!$V$3:$Y$32,COLUMN(B$15),0)</f>
        <v>#N/A</v>
      </c>
      <c r="B385" s="252" t="str">
        <f>VLOOKUP($F385,UpdateHashtag!$V$3:$Y$32,COLUMN(C$13),0)</f>
        <v>#N/A</v>
      </c>
      <c r="C385" s="252" t="str">
        <f>VLOOKUP($F385,UpdateHashtag!$V$3:$Y$32,COLUMN(D$13),0)</f>
        <v>#N/A</v>
      </c>
      <c r="D385" s="344" t="str">
        <f t="shared" si="4"/>
        <v>#N/A</v>
      </c>
      <c r="E385" s="19"/>
      <c r="F385" s="30" t="str">
        <f>IF(VLOOKUP(J385,PasteHashtag!$C$2:$P1015,3,)="BRO","BKN",IF(VLOOKUP(J385,PasteHashtag!$C$2:$P1015,3,)="OKL","OKC",VLOOKUP(J385,PasteHashtag!$C$2:$P1015,3,)))</f>
        <v>#N/A</v>
      </c>
      <c r="G385" s="30">
        <v>365.0</v>
      </c>
      <c r="H385" s="270"/>
      <c r="I385" s="270"/>
      <c r="J385" s="271"/>
      <c r="K385" s="270"/>
      <c r="L385" s="272"/>
      <c r="M385" s="273"/>
      <c r="N385" s="274"/>
      <c r="O385" s="274"/>
      <c r="P385" s="275"/>
      <c r="Q385" s="275"/>
      <c r="R385" s="275"/>
      <c r="S385" s="276"/>
      <c r="T385" s="275"/>
      <c r="U385" s="275"/>
      <c r="V385" s="272"/>
      <c r="W385" s="272"/>
      <c r="X385" s="275"/>
      <c r="Y385" s="345"/>
      <c r="Z385" s="345"/>
      <c r="AA385" s="345"/>
      <c r="AB385" s="345"/>
      <c r="AC385" s="345"/>
      <c r="AD385" s="345"/>
      <c r="AE385" s="345"/>
      <c r="AF385" s="345"/>
      <c r="AG385" s="346"/>
      <c r="AH385" s="265"/>
      <c r="AI385" s="338"/>
      <c r="AJ385" s="339"/>
      <c r="AK385" s="265"/>
      <c r="AL385" s="265"/>
      <c r="AM385" s="265"/>
      <c r="AN385" s="265"/>
      <c r="AO385" s="265"/>
      <c r="AP385" s="265"/>
      <c r="AQ385" s="265"/>
      <c r="AR385" s="265"/>
      <c r="AS385" s="265"/>
      <c r="AT385" s="265"/>
      <c r="AU385" s="265"/>
      <c r="AV385" s="265"/>
      <c r="AW385" s="265"/>
      <c r="AX385" s="265"/>
      <c r="AY385" s="265"/>
      <c r="AZ385" s="265"/>
      <c r="BA385" s="265"/>
      <c r="BB385" s="265"/>
      <c r="BC385" s="265"/>
      <c r="BD385" s="265"/>
      <c r="BE385" s="265"/>
      <c r="BF385" s="265"/>
      <c r="BG385" s="265"/>
      <c r="BH385" s="265"/>
      <c r="BI385" s="265"/>
      <c r="BJ385" s="265"/>
      <c r="BK385" s="265"/>
      <c r="BL385" s="265"/>
      <c r="BM385" s="265"/>
      <c r="BN385" s="265"/>
      <c r="BO385" s="265"/>
      <c r="BP385" s="265"/>
      <c r="BQ385" s="265"/>
      <c r="BR385" s="265"/>
      <c r="BS385" s="265"/>
      <c r="BT385" s="265"/>
      <c r="BU385" s="265"/>
      <c r="BV385" s="265"/>
    </row>
    <row r="386">
      <c r="A386" s="252" t="str">
        <f>VLOOKUP($F386,UpdateHashtag!$V$3:$Y$32,COLUMN(B$15),0)</f>
        <v>#N/A</v>
      </c>
      <c r="B386" s="252" t="str">
        <f>VLOOKUP($F386,UpdateHashtag!$V$3:$Y$32,COLUMN(C$13),0)</f>
        <v>#N/A</v>
      </c>
      <c r="C386" s="252" t="str">
        <f>VLOOKUP($F386,UpdateHashtag!$V$3:$Y$32,COLUMN(D$13),0)</f>
        <v>#N/A</v>
      </c>
      <c r="D386" s="344" t="str">
        <f t="shared" si="4"/>
        <v>#N/A</v>
      </c>
      <c r="E386" s="19"/>
      <c r="F386" s="30" t="str">
        <f>IF(VLOOKUP(J386,PasteHashtag!$C$2:$P1015,3,)="BRO","BKN",IF(VLOOKUP(J386,PasteHashtag!$C$2:$P1015,3,)="OKL","OKC",VLOOKUP(J386,PasteHashtag!$C$2:$P1015,3,)))</f>
        <v>#N/A</v>
      </c>
      <c r="G386" s="30">
        <v>366.0</v>
      </c>
      <c r="H386" s="270"/>
      <c r="I386" s="270"/>
      <c r="J386" s="271"/>
      <c r="K386" s="270"/>
      <c r="L386" s="272"/>
      <c r="M386" s="273"/>
      <c r="N386" s="274"/>
      <c r="O386" s="274"/>
      <c r="P386" s="275"/>
      <c r="Q386" s="275"/>
      <c r="R386" s="275"/>
      <c r="S386" s="276"/>
      <c r="T386" s="275"/>
      <c r="U386" s="275"/>
      <c r="V386" s="272"/>
      <c r="W386" s="272"/>
      <c r="X386" s="275"/>
      <c r="Y386" s="345"/>
      <c r="Z386" s="345"/>
      <c r="AA386" s="345"/>
      <c r="AB386" s="345"/>
      <c r="AC386" s="345"/>
      <c r="AD386" s="345"/>
      <c r="AE386" s="345"/>
      <c r="AF386" s="345"/>
      <c r="AG386" s="346"/>
      <c r="AH386" s="265"/>
      <c r="AI386" s="338"/>
      <c r="AJ386" s="339"/>
      <c r="AK386" s="265"/>
      <c r="AL386" s="265"/>
      <c r="AM386" s="265"/>
      <c r="AN386" s="265"/>
      <c r="AO386" s="265"/>
      <c r="AP386" s="265"/>
      <c r="AQ386" s="265"/>
      <c r="AR386" s="265"/>
      <c r="AS386" s="265"/>
      <c r="AT386" s="265"/>
      <c r="AU386" s="265"/>
      <c r="AV386" s="265"/>
      <c r="AW386" s="265"/>
      <c r="AX386" s="265"/>
      <c r="AY386" s="265"/>
      <c r="AZ386" s="265"/>
      <c r="BA386" s="265"/>
      <c r="BB386" s="265"/>
      <c r="BC386" s="265"/>
      <c r="BD386" s="265"/>
      <c r="BE386" s="265"/>
      <c r="BF386" s="265"/>
      <c r="BG386" s="265"/>
      <c r="BH386" s="265"/>
      <c r="BI386" s="265"/>
      <c r="BJ386" s="265"/>
      <c r="BK386" s="265"/>
      <c r="BL386" s="265"/>
      <c r="BM386" s="265"/>
      <c r="BN386" s="265"/>
      <c r="BO386" s="265"/>
      <c r="BP386" s="265"/>
      <c r="BQ386" s="265"/>
      <c r="BR386" s="265"/>
      <c r="BS386" s="265"/>
      <c r="BT386" s="265"/>
      <c r="BU386" s="265"/>
      <c r="BV386" s="265"/>
    </row>
    <row r="387">
      <c r="A387" s="252" t="str">
        <f>VLOOKUP($F387,UpdateHashtag!$V$3:$Y$32,COLUMN(B$15),0)</f>
        <v>#N/A</v>
      </c>
      <c r="B387" s="252" t="str">
        <f>VLOOKUP($F387,UpdateHashtag!$V$3:$Y$32,COLUMN(C$13),0)</f>
        <v>#N/A</v>
      </c>
      <c r="C387" s="252" t="str">
        <f>VLOOKUP($F387,UpdateHashtag!$V$3:$Y$32,COLUMN(D$13),0)</f>
        <v>#N/A</v>
      </c>
      <c r="D387" s="344" t="str">
        <f t="shared" si="4"/>
        <v>#N/A</v>
      </c>
      <c r="E387" s="19"/>
      <c r="F387" s="30" t="str">
        <f>IF(VLOOKUP(J387,PasteHashtag!$C$2:$P1015,3,)="BRO","BKN",IF(VLOOKUP(J387,PasteHashtag!$C$2:$P1015,3,)="OKL","OKC",VLOOKUP(J387,PasteHashtag!$C$2:$P1015,3,)))</f>
        <v>#N/A</v>
      </c>
      <c r="G387" s="30">
        <v>367.0</v>
      </c>
      <c r="H387" s="270"/>
      <c r="I387" s="270"/>
      <c r="J387" s="271"/>
      <c r="K387" s="270"/>
      <c r="L387" s="272"/>
      <c r="M387" s="273"/>
      <c r="N387" s="274"/>
      <c r="O387" s="274"/>
      <c r="P387" s="275"/>
      <c r="Q387" s="275"/>
      <c r="R387" s="275"/>
      <c r="S387" s="276"/>
      <c r="T387" s="275"/>
      <c r="U387" s="275"/>
      <c r="V387" s="272"/>
      <c r="W387" s="272"/>
      <c r="X387" s="275"/>
      <c r="Y387" s="345"/>
      <c r="Z387" s="345"/>
      <c r="AA387" s="345"/>
      <c r="AB387" s="345"/>
      <c r="AC387" s="345"/>
      <c r="AD387" s="345"/>
      <c r="AE387" s="345"/>
      <c r="AF387" s="345"/>
      <c r="AG387" s="346"/>
      <c r="AH387" s="265"/>
      <c r="AI387" s="338"/>
      <c r="AJ387" s="339"/>
      <c r="AK387" s="265"/>
      <c r="AL387" s="265"/>
      <c r="AM387" s="265"/>
      <c r="AN387" s="265"/>
      <c r="AO387" s="265"/>
      <c r="AP387" s="265"/>
      <c r="AQ387" s="265"/>
      <c r="AR387" s="265"/>
      <c r="AS387" s="265"/>
      <c r="AT387" s="265"/>
      <c r="AU387" s="265"/>
      <c r="AV387" s="265"/>
      <c r="AW387" s="265"/>
      <c r="AX387" s="265"/>
      <c r="AY387" s="265"/>
      <c r="AZ387" s="265"/>
      <c r="BA387" s="265"/>
      <c r="BB387" s="265"/>
      <c r="BC387" s="265"/>
      <c r="BD387" s="265"/>
      <c r="BE387" s="265"/>
      <c r="BF387" s="265"/>
      <c r="BG387" s="265"/>
      <c r="BH387" s="265"/>
      <c r="BI387" s="265"/>
      <c r="BJ387" s="265"/>
      <c r="BK387" s="265"/>
      <c r="BL387" s="265"/>
      <c r="BM387" s="265"/>
      <c r="BN387" s="265"/>
      <c r="BO387" s="265"/>
      <c r="BP387" s="265"/>
      <c r="BQ387" s="265"/>
      <c r="BR387" s="265"/>
      <c r="BS387" s="265"/>
      <c r="BT387" s="265"/>
      <c r="BU387" s="265"/>
      <c r="BV387" s="265"/>
    </row>
    <row r="388">
      <c r="A388" s="252" t="str">
        <f>VLOOKUP($F388,UpdateHashtag!$V$3:$Y$32,COLUMN(B$15),0)</f>
        <v>#N/A</v>
      </c>
      <c r="B388" s="252" t="str">
        <f>VLOOKUP($F388,UpdateHashtag!$V$3:$Y$32,COLUMN(C$13),0)</f>
        <v>#N/A</v>
      </c>
      <c r="C388" s="252" t="str">
        <f>VLOOKUP($F388,UpdateHashtag!$V$3:$Y$32,COLUMN(D$13),0)</f>
        <v>#N/A</v>
      </c>
      <c r="D388" s="344" t="str">
        <f t="shared" si="4"/>
        <v>#N/A</v>
      </c>
      <c r="E388" s="19"/>
      <c r="F388" s="30" t="str">
        <f>IF(VLOOKUP(J388,PasteHashtag!$C$2:$P1015,3,)="BRO","BKN",IF(VLOOKUP(J388,PasteHashtag!$C$2:$P1015,3,)="OKL","OKC",VLOOKUP(J388,PasteHashtag!$C$2:$P1015,3,)))</f>
        <v>#N/A</v>
      </c>
      <c r="G388" s="30">
        <v>368.0</v>
      </c>
      <c r="H388" s="270"/>
      <c r="I388" s="270"/>
      <c r="J388" s="271"/>
      <c r="K388" s="270"/>
      <c r="L388" s="272"/>
      <c r="M388" s="273"/>
      <c r="N388" s="274"/>
      <c r="O388" s="274"/>
      <c r="P388" s="275"/>
      <c r="Q388" s="275"/>
      <c r="R388" s="275"/>
      <c r="S388" s="276"/>
      <c r="T388" s="275"/>
      <c r="U388" s="275"/>
      <c r="V388" s="272"/>
      <c r="W388" s="272"/>
      <c r="X388" s="275"/>
      <c r="Y388" s="345"/>
      <c r="Z388" s="345"/>
      <c r="AA388" s="345"/>
      <c r="AB388" s="345"/>
      <c r="AC388" s="345"/>
      <c r="AD388" s="345"/>
      <c r="AE388" s="345"/>
      <c r="AF388" s="345"/>
      <c r="AG388" s="346"/>
      <c r="AH388" s="265"/>
      <c r="AI388" s="338"/>
      <c r="AJ388" s="339"/>
      <c r="AK388" s="265"/>
      <c r="AL388" s="265"/>
      <c r="AM388" s="265"/>
      <c r="AN388" s="265"/>
      <c r="AO388" s="265"/>
      <c r="AP388" s="265"/>
      <c r="AQ388" s="265"/>
      <c r="AR388" s="265"/>
      <c r="AS388" s="265"/>
      <c r="AT388" s="265"/>
      <c r="AU388" s="265"/>
      <c r="AV388" s="265"/>
      <c r="AW388" s="265"/>
      <c r="AX388" s="265"/>
      <c r="AY388" s="265"/>
      <c r="AZ388" s="265"/>
      <c r="BA388" s="265"/>
      <c r="BB388" s="265"/>
      <c r="BC388" s="265"/>
      <c r="BD388" s="265"/>
      <c r="BE388" s="265"/>
      <c r="BF388" s="265"/>
      <c r="BG388" s="265"/>
      <c r="BH388" s="265"/>
      <c r="BI388" s="265"/>
      <c r="BJ388" s="265"/>
      <c r="BK388" s="265"/>
      <c r="BL388" s="265"/>
      <c r="BM388" s="265"/>
      <c r="BN388" s="265"/>
      <c r="BO388" s="265"/>
      <c r="BP388" s="265"/>
      <c r="BQ388" s="265"/>
      <c r="BR388" s="265"/>
      <c r="BS388" s="265"/>
      <c r="BT388" s="265"/>
      <c r="BU388" s="265"/>
      <c r="BV388" s="265"/>
    </row>
    <row r="389">
      <c r="A389" s="252" t="str">
        <f>VLOOKUP($F389,UpdateHashtag!$V$3:$Y$32,COLUMN(B$15),0)</f>
        <v>#N/A</v>
      </c>
      <c r="B389" s="252" t="str">
        <f>VLOOKUP($F389,UpdateHashtag!$V$3:$Y$32,COLUMN(C$13),0)</f>
        <v>#N/A</v>
      </c>
      <c r="C389" s="252" t="str">
        <f>VLOOKUP($F389,UpdateHashtag!$V$3:$Y$32,COLUMN(D$13),0)</f>
        <v>#N/A</v>
      </c>
      <c r="D389" s="344" t="str">
        <f t="shared" si="4"/>
        <v>#N/A</v>
      </c>
      <c r="E389" s="19"/>
      <c r="F389" s="30" t="str">
        <f>IF(VLOOKUP(J389,PasteHashtag!$C$2:$P1015,3,)="BRO","BKN",IF(VLOOKUP(J389,PasteHashtag!$C$2:$P1015,3,)="OKL","OKC",VLOOKUP(J389,PasteHashtag!$C$2:$P1015,3,)))</f>
        <v>#N/A</v>
      </c>
      <c r="G389" s="30">
        <v>369.0</v>
      </c>
      <c r="H389" s="270"/>
      <c r="I389" s="270"/>
      <c r="J389" s="271"/>
      <c r="K389" s="270"/>
      <c r="L389" s="272"/>
      <c r="M389" s="273"/>
      <c r="N389" s="274"/>
      <c r="O389" s="274"/>
      <c r="P389" s="275"/>
      <c r="Q389" s="275"/>
      <c r="R389" s="275"/>
      <c r="S389" s="276"/>
      <c r="T389" s="275"/>
      <c r="U389" s="275"/>
      <c r="V389" s="272"/>
      <c r="W389" s="272"/>
      <c r="X389" s="275"/>
      <c r="Y389" s="345"/>
      <c r="Z389" s="345"/>
      <c r="AA389" s="345"/>
      <c r="AB389" s="345"/>
      <c r="AC389" s="345"/>
      <c r="AD389" s="345"/>
      <c r="AE389" s="345"/>
      <c r="AF389" s="345"/>
      <c r="AG389" s="346"/>
      <c r="AH389" s="265"/>
      <c r="AI389" s="338"/>
      <c r="AJ389" s="339"/>
      <c r="AK389" s="265"/>
      <c r="AL389" s="265"/>
      <c r="AM389" s="265"/>
      <c r="AN389" s="265"/>
      <c r="AO389" s="265"/>
      <c r="AP389" s="265"/>
      <c r="AQ389" s="265"/>
      <c r="AR389" s="265"/>
      <c r="AS389" s="265"/>
      <c r="AT389" s="265"/>
      <c r="AU389" s="265"/>
      <c r="AV389" s="265"/>
      <c r="AW389" s="265"/>
      <c r="AX389" s="265"/>
      <c r="AY389" s="265"/>
      <c r="AZ389" s="265"/>
      <c r="BA389" s="265"/>
      <c r="BB389" s="265"/>
      <c r="BC389" s="265"/>
      <c r="BD389" s="265"/>
      <c r="BE389" s="265"/>
      <c r="BF389" s="265"/>
      <c r="BG389" s="265"/>
      <c r="BH389" s="265"/>
      <c r="BI389" s="265"/>
      <c r="BJ389" s="265"/>
      <c r="BK389" s="265"/>
      <c r="BL389" s="265"/>
      <c r="BM389" s="265"/>
      <c r="BN389" s="265"/>
      <c r="BO389" s="265"/>
      <c r="BP389" s="265"/>
      <c r="BQ389" s="265"/>
      <c r="BR389" s="265"/>
      <c r="BS389" s="265"/>
      <c r="BT389" s="265"/>
      <c r="BU389" s="265"/>
      <c r="BV389" s="265"/>
    </row>
    <row r="390">
      <c r="A390" s="252" t="str">
        <f>VLOOKUP($F390,UpdateHashtag!$V$3:$Y$32,COLUMN(B$15),0)</f>
        <v>#N/A</v>
      </c>
      <c r="B390" s="252" t="str">
        <f>VLOOKUP($F390,UpdateHashtag!$V$3:$Y$32,COLUMN(C$13),0)</f>
        <v>#N/A</v>
      </c>
      <c r="C390" s="252" t="str">
        <f>VLOOKUP($F390,UpdateHashtag!$V$3:$Y$32,COLUMN(D$13),0)</f>
        <v>#N/A</v>
      </c>
      <c r="D390" s="344" t="str">
        <f t="shared" si="4"/>
        <v>#N/A</v>
      </c>
      <c r="E390" s="19"/>
      <c r="F390" s="30" t="str">
        <f>IF(VLOOKUP(J390,PasteHashtag!$C$2:$P1015,3,)="BRO","BKN",IF(VLOOKUP(J390,PasteHashtag!$C$2:$P1015,3,)="OKL","OKC",VLOOKUP(J390,PasteHashtag!$C$2:$P1015,3,)))</f>
        <v>#N/A</v>
      </c>
      <c r="G390" s="30">
        <v>370.0</v>
      </c>
      <c r="H390" s="270"/>
      <c r="I390" s="270"/>
      <c r="J390" s="271"/>
      <c r="K390" s="270"/>
      <c r="L390" s="272"/>
      <c r="M390" s="273"/>
      <c r="N390" s="274"/>
      <c r="O390" s="274"/>
      <c r="P390" s="275"/>
      <c r="Q390" s="275"/>
      <c r="R390" s="275"/>
      <c r="S390" s="276"/>
      <c r="T390" s="275"/>
      <c r="U390" s="275"/>
      <c r="V390" s="272"/>
      <c r="W390" s="272"/>
      <c r="X390" s="275"/>
      <c r="Y390" s="345"/>
      <c r="Z390" s="345"/>
      <c r="AA390" s="345"/>
      <c r="AB390" s="345"/>
      <c r="AC390" s="345"/>
      <c r="AD390" s="345"/>
      <c r="AE390" s="345"/>
      <c r="AF390" s="345"/>
      <c r="AG390" s="346"/>
      <c r="AH390" s="265"/>
      <c r="AI390" s="338"/>
      <c r="AJ390" s="339"/>
      <c r="AK390" s="265"/>
      <c r="AL390" s="265"/>
      <c r="AM390" s="265"/>
      <c r="AN390" s="265"/>
      <c r="AO390" s="265"/>
      <c r="AP390" s="265"/>
      <c r="AQ390" s="265"/>
      <c r="AR390" s="265"/>
      <c r="AS390" s="265"/>
      <c r="AT390" s="265"/>
      <c r="AU390" s="265"/>
      <c r="AV390" s="265"/>
      <c r="AW390" s="265"/>
      <c r="AX390" s="265"/>
      <c r="AY390" s="265"/>
      <c r="AZ390" s="265"/>
      <c r="BA390" s="265"/>
      <c r="BB390" s="265"/>
      <c r="BC390" s="265"/>
      <c r="BD390" s="265"/>
      <c r="BE390" s="265"/>
      <c r="BF390" s="265"/>
      <c r="BG390" s="265"/>
      <c r="BH390" s="265"/>
      <c r="BI390" s="265"/>
      <c r="BJ390" s="265"/>
      <c r="BK390" s="265"/>
      <c r="BL390" s="265"/>
      <c r="BM390" s="265"/>
      <c r="BN390" s="265"/>
      <c r="BO390" s="265"/>
      <c r="BP390" s="265"/>
      <c r="BQ390" s="265"/>
      <c r="BR390" s="265"/>
      <c r="BS390" s="265"/>
      <c r="BT390" s="265"/>
      <c r="BU390" s="265"/>
      <c r="BV390" s="265"/>
    </row>
    <row r="391">
      <c r="A391" s="252" t="str">
        <f>VLOOKUP($F391,UpdateHashtag!$V$3:$Y$32,COLUMN(B$15),0)</f>
        <v>#N/A</v>
      </c>
      <c r="B391" s="252" t="str">
        <f>VLOOKUP($F391,UpdateHashtag!$V$3:$Y$32,COLUMN(C$13),0)</f>
        <v>#N/A</v>
      </c>
      <c r="C391" s="252" t="str">
        <f>VLOOKUP($F391,UpdateHashtag!$V$3:$Y$32,COLUMN(D$13),0)</f>
        <v>#N/A</v>
      </c>
      <c r="D391" s="344" t="str">
        <f t="shared" si="4"/>
        <v>#N/A</v>
      </c>
      <c r="E391" s="19"/>
      <c r="F391" s="30" t="str">
        <f>IF(VLOOKUP(J391,PasteHashtag!$C$2:$P1015,3,)="BRO","BKN",IF(VLOOKUP(J391,PasteHashtag!$C$2:$P1015,3,)="OKL","OKC",VLOOKUP(J391,PasteHashtag!$C$2:$P1015,3,)))</f>
        <v>#N/A</v>
      </c>
      <c r="G391" s="30">
        <v>371.0</v>
      </c>
      <c r="H391" s="270"/>
      <c r="I391" s="270"/>
      <c r="J391" s="271"/>
      <c r="K391" s="270"/>
      <c r="L391" s="272"/>
      <c r="M391" s="273"/>
      <c r="N391" s="274"/>
      <c r="O391" s="274"/>
      <c r="P391" s="275"/>
      <c r="Q391" s="275"/>
      <c r="R391" s="275"/>
      <c r="S391" s="276"/>
      <c r="T391" s="275"/>
      <c r="U391" s="275"/>
      <c r="V391" s="272"/>
      <c r="W391" s="272"/>
      <c r="X391" s="275"/>
      <c r="Y391" s="345"/>
      <c r="Z391" s="345"/>
      <c r="AA391" s="345"/>
      <c r="AB391" s="345"/>
      <c r="AC391" s="345"/>
      <c r="AD391" s="345"/>
      <c r="AE391" s="345"/>
      <c r="AF391" s="345"/>
      <c r="AG391" s="346"/>
      <c r="AH391" s="265"/>
      <c r="AI391" s="338"/>
      <c r="AJ391" s="339"/>
      <c r="AK391" s="265"/>
      <c r="AL391" s="265"/>
      <c r="AM391" s="265"/>
      <c r="AN391" s="265"/>
      <c r="AO391" s="265"/>
      <c r="AP391" s="265"/>
      <c r="AQ391" s="265"/>
      <c r="AR391" s="265"/>
      <c r="AS391" s="265"/>
      <c r="AT391" s="265"/>
      <c r="AU391" s="265"/>
      <c r="AV391" s="265"/>
      <c r="AW391" s="265"/>
      <c r="AX391" s="265"/>
      <c r="AY391" s="265"/>
      <c r="AZ391" s="265"/>
      <c r="BA391" s="265"/>
      <c r="BB391" s="265"/>
      <c r="BC391" s="265"/>
      <c r="BD391" s="265"/>
      <c r="BE391" s="265"/>
      <c r="BF391" s="265"/>
      <c r="BG391" s="265"/>
      <c r="BH391" s="265"/>
      <c r="BI391" s="265"/>
      <c r="BJ391" s="265"/>
      <c r="BK391" s="265"/>
      <c r="BL391" s="265"/>
      <c r="BM391" s="265"/>
      <c r="BN391" s="265"/>
      <c r="BO391" s="265"/>
      <c r="BP391" s="265"/>
      <c r="BQ391" s="265"/>
      <c r="BR391" s="265"/>
      <c r="BS391" s="265"/>
      <c r="BT391" s="265"/>
      <c r="BU391" s="265"/>
      <c r="BV391" s="265"/>
    </row>
    <row r="392">
      <c r="A392" s="252" t="str">
        <f>VLOOKUP($F392,UpdateHashtag!$V$3:$Y$32,COLUMN(B$15),0)</f>
        <v>#N/A</v>
      </c>
      <c r="B392" s="252" t="str">
        <f>VLOOKUP($F392,UpdateHashtag!$V$3:$Y$32,COLUMN(C$13),0)</f>
        <v>#N/A</v>
      </c>
      <c r="C392" s="252" t="str">
        <f>VLOOKUP($F392,UpdateHashtag!$V$3:$Y$32,COLUMN(D$13),0)</f>
        <v>#N/A</v>
      </c>
      <c r="D392" s="344" t="str">
        <f t="shared" si="4"/>
        <v>#N/A</v>
      </c>
      <c r="E392" s="19"/>
      <c r="F392" s="30" t="str">
        <f>IF(VLOOKUP(J392,PasteHashtag!$C$2:$P1015,3,)="BRO","BKN",IF(VLOOKUP(J392,PasteHashtag!$C$2:$P1015,3,)="OKL","OKC",VLOOKUP(J392,PasteHashtag!$C$2:$P1015,3,)))</f>
        <v>#N/A</v>
      </c>
      <c r="G392" s="30">
        <v>372.0</v>
      </c>
      <c r="H392" s="270"/>
      <c r="I392" s="270"/>
      <c r="J392" s="271"/>
      <c r="K392" s="270"/>
      <c r="L392" s="272"/>
      <c r="M392" s="273"/>
      <c r="N392" s="274"/>
      <c r="O392" s="274"/>
      <c r="P392" s="275"/>
      <c r="Q392" s="275"/>
      <c r="R392" s="275"/>
      <c r="S392" s="276"/>
      <c r="T392" s="275"/>
      <c r="U392" s="275"/>
      <c r="V392" s="272"/>
      <c r="W392" s="272"/>
      <c r="X392" s="275"/>
      <c r="Y392" s="345"/>
      <c r="Z392" s="345"/>
      <c r="AA392" s="345"/>
      <c r="AB392" s="345"/>
      <c r="AC392" s="345"/>
      <c r="AD392" s="345"/>
      <c r="AE392" s="345"/>
      <c r="AF392" s="345"/>
      <c r="AG392" s="346"/>
      <c r="AH392" s="265"/>
      <c r="AI392" s="338"/>
      <c r="AJ392" s="339"/>
      <c r="AK392" s="265"/>
      <c r="AL392" s="265"/>
      <c r="AM392" s="265"/>
      <c r="AN392" s="265"/>
      <c r="AO392" s="265"/>
      <c r="AP392" s="265"/>
      <c r="AQ392" s="265"/>
      <c r="AR392" s="265"/>
      <c r="AS392" s="265"/>
      <c r="AT392" s="265"/>
      <c r="AU392" s="265"/>
      <c r="AV392" s="265"/>
      <c r="AW392" s="265"/>
      <c r="AX392" s="265"/>
      <c r="AY392" s="265"/>
      <c r="AZ392" s="265"/>
      <c r="BA392" s="265"/>
      <c r="BB392" s="265"/>
      <c r="BC392" s="265"/>
      <c r="BD392" s="265"/>
      <c r="BE392" s="265"/>
      <c r="BF392" s="265"/>
      <c r="BG392" s="265"/>
      <c r="BH392" s="265"/>
      <c r="BI392" s="265"/>
      <c r="BJ392" s="265"/>
      <c r="BK392" s="265"/>
      <c r="BL392" s="265"/>
      <c r="BM392" s="265"/>
      <c r="BN392" s="265"/>
      <c r="BO392" s="265"/>
      <c r="BP392" s="265"/>
      <c r="BQ392" s="265"/>
      <c r="BR392" s="265"/>
      <c r="BS392" s="265"/>
      <c r="BT392" s="265"/>
      <c r="BU392" s="265"/>
      <c r="BV392" s="265"/>
    </row>
    <row r="393">
      <c r="A393" s="252" t="str">
        <f>VLOOKUP($F393,UpdateHashtag!$V$3:$Y$32,COLUMN(B$15),0)</f>
        <v>#N/A</v>
      </c>
      <c r="B393" s="252" t="str">
        <f>VLOOKUP($F393,UpdateHashtag!$V$3:$Y$32,COLUMN(C$13),0)</f>
        <v>#N/A</v>
      </c>
      <c r="C393" s="252" t="str">
        <f>VLOOKUP($F393,UpdateHashtag!$V$3:$Y$32,COLUMN(D$13),0)</f>
        <v>#N/A</v>
      </c>
      <c r="D393" s="344" t="str">
        <f t="shared" si="4"/>
        <v>#N/A</v>
      </c>
      <c r="E393" s="19"/>
      <c r="F393" s="30" t="str">
        <f>IF(VLOOKUP(J393,PasteHashtag!$C$2:$P1015,3,)="BRO","BKN",IF(VLOOKUP(J393,PasteHashtag!$C$2:$P1015,3,)="OKL","OKC",VLOOKUP(J393,PasteHashtag!$C$2:$P1015,3,)))</f>
        <v>#N/A</v>
      </c>
      <c r="G393" s="30">
        <v>373.0</v>
      </c>
      <c r="H393" s="270"/>
      <c r="I393" s="270"/>
      <c r="J393" s="271"/>
      <c r="K393" s="270"/>
      <c r="L393" s="272"/>
      <c r="M393" s="273"/>
      <c r="N393" s="274"/>
      <c r="O393" s="274"/>
      <c r="P393" s="275"/>
      <c r="Q393" s="275"/>
      <c r="R393" s="275"/>
      <c r="S393" s="276"/>
      <c r="T393" s="275"/>
      <c r="U393" s="275"/>
      <c r="V393" s="272"/>
      <c r="W393" s="272"/>
      <c r="X393" s="275"/>
      <c r="Y393" s="345"/>
      <c r="Z393" s="345"/>
      <c r="AA393" s="345"/>
      <c r="AB393" s="345"/>
      <c r="AC393" s="345"/>
      <c r="AD393" s="345"/>
      <c r="AE393" s="345"/>
      <c r="AF393" s="345"/>
      <c r="AG393" s="346"/>
      <c r="AH393" s="265"/>
      <c r="AI393" s="338"/>
      <c r="AJ393" s="339"/>
      <c r="AK393" s="265"/>
      <c r="AL393" s="265"/>
      <c r="AM393" s="265"/>
      <c r="AN393" s="265"/>
      <c r="AO393" s="265"/>
      <c r="AP393" s="265"/>
      <c r="AQ393" s="265"/>
      <c r="AR393" s="265"/>
      <c r="AS393" s="265"/>
      <c r="AT393" s="265"/>
      <c r="AU393" s="265"/>
      <c r="AV393" s="265"/>
      <c r="AW393" s="265"/>
      <c r="AX393" s="265"/>
      <c r="AY393" s="265"/>
      <c r="AZ393" s="265"/>
      <c r="BA393" s="265"/>
      <c r="BB393" s="265"/>
      <c r="BC393" s="265"/>
      <c r="BD393" s="265"/>
      <c r="BE393" s="265"/>
      <c r="BF393" s="265"/>
      <c r="BG393" s="265"/>
      <c r="BH393" s="265"/>
      <c r="BI393" s="265"/>
      <c r="BJ393" s="265"/>
      <c r="BK393" s="265"/>
      <c r="BL393" s="265"/>
      <c r="BM393" s="265"/>
      <c r="BN393" s="265"/>
      <c r="BO393" s="265"/>
      <c r="BP393" s="265"/>
      <c r="BQ393" s="265"/>
      <c r="BR393" s="265"/>
      <c r="BS393" s="265"/>
      <c r="BT393" s="265"/>
      <c r="BU393" s="265"/>
      <c r="BV393" s="265"/>
    </row>
    <row r="394">
      <c r="A394" s="252" t="str">
        <f>VLOOKUP($F394,UpdateHashtag!$V$3:$Y$32,COLUMN(B$15),0)</f>
        <v>#N/A</v>
      </c>
      <c r="B394" s="252" t="str">
        <f>VLOOKUP($F394,UpdateHashtag!$V$3:$Y$32,COLUMN(C$13),0)</f>
        <v>#N/A</v>
      </c>
      <c r="C394" s="252" t="str">
        <f>VLOOKUP($F394,UpdateHashtag!$V$3:$Y$32,COLUMN(D$13),0)</f>
        <v>#N/A</v>
      </c>
      <c r="D394" s="344" t="str">
        <f t="shared" si="4"/>
        <v>#N/A</v>
      </c>
      <c r="E394" s="19"/>
      <c r="F394" s="30" t="str">
        <f>IF(VLOOKUP(J394,PasteHashtag!$C$2:$P1015,3,)="BRO","BKN",IF(VLOOKUP(J394,PasteHashtag!$C$2:$P1015,3,)="OKL","OKC",VLOOKUP(J394,PasteHashtag!$C$2:$P1015,3,)))</f>
        <v>#N/A</v>
      </c>
      <c r="G394" s="30">
        <v>374.0</v>
      </c>
      <c r="H394" s="270"/>
      <c r="I394" s="270"/>
      <c r="J394" s="271"/>
      <c r="K394" s="270"/>
      <c r="L394" s="272"/>
      <c r="M394" s="273"/>
      <c r="N394" s="274"/>
      <c r="O394" s="274"/>
      <c r="P394" s="275"/>
      <c r="Q394" s="275"/>
      <c r="R394" s="275"/>
      <c r="S394" s="276"/>
      <c r="T394" s="275"/>
      <c r="U394" s="275"/>
      <c r="V394" s="272"/>
      <c r="W394" s="272"/>
      <c r="X394" s="275"/>
      <c r="Y394" s="345"/>
      <c r="Z394" s="345"/>
      <c r="AA394" s="345"/>
      <c r="AB394" s="345"/>
      <c r="AC394" s="345"/>
      <c r="AD394" s="345"/>
      <c r="AE394" s="345"/>
      <c r="AF394" s="345"/>
      <c r="AG394" s="346"/>
      <c r="AH394" s="265"/>
      <c r="AI394" s="338"/>
      <c r="AJ394" s="339"/>
      <c r="AK394" s="265"/>
      <c r="AL394" s="265"/>
      <c r="AM394" s="265"/>
      <c r="AN394" s="265"/>
      <c r="AO394" s="265"/>
      <c r="AP394" s="265"/>
      <c r="AQ394" s="265"/>
      <c r="AR394" s="265"/>
      <c r="AS394" s="265"/>
      <c r="AT394" s="265"/>
      <c r="AU394" s="265"/>
      <c r="AV394" s="265"/>
      <c r="AW394" s="265"/>
      <c r="AX394" s="265"/>
      <c r="AY394" s="265"/>
      <c r="AZ394" s="265"/>
      <c r="BA394" s="265"/>
      <c r="BB394" s="265"/>
      <c r="BC394" s="265"/>
      <c r="BD394" s="265"/>
      <c r="BE394" s="265"/>
      <c r="BF394" s="265"/>
      <c r="BG394" s="265"/>
      <c r="BH394" s="265"/>
      <c r="BI394" s="265"/>
      <c r="BJ394" s="265"/>
      <c r="BK394" s="265"/>
      <c r="BL394" s="265"/>
      <c r="BM394" s="265"/>
      <c r="BN394" s="265"/>
      <c r="BO394" s="265"/>
      <c r="BP394" s="265"/>
      <c r="BQ394" s="265"/>
      <c r="BR394" s="265"/>
      <c r="BS394" s="265"/>
      <c r="BT394" s="265"/>
      <c r="BU394" s="265"/>
      <c r="BV394" s="265"/>
    </row>
    <row r="395">
      <c r="A395" s="252" t="str">
        <f>VLOOKUP($F395,UpdateHashtag!$V$3:$Y$32,COLUMN(B$15),0)</f>
        <v>#N/A</v>
      </c>
      <c r="B395" s="252" t="str">
        <f>VLOOKUP($F395,UpdateHashtag!$V$3:$Y$32,COLUMN(C$13),0)</f>
        <v>#N/A</v>
      </c>
      <c r="C395" s="252" t="str">
        <f>VLOOKUP($F395,UpdateHashtag!$V$3:$Y$32,COLUMN(D$13),0)</f>
        <v>#N/A</v>
      </c>
      <c r="D395" s="344" t="str">
        <f t="shared" si="4"/>
        <v>#N/A</v>
      </c>
      <c r="E395" s="19"/>
      <c r="F395" s="30" t="str">
        <f>IF(VLOOKUP(J395,PasteHashtag!$C$2:$P1015,3,)="BRO","BKN",IF(VLOOKUP(J395,PasteHashtag!$C$2:$P1015,3,)="OKL","OKC",VLOOKUP(J395,PasteHashtag!$C$2:$P1015,3,)))</f>
        <v>#N/A</v>
      </c>
      <c r="G395" s="30">
        <v>375.0</v>
      </c>
      <c r="H395" s="270"/>
      <c r="I395" s="270"/>
      <c r="J395" s="271"/>
      <c r="K395" s="270"/>
      <c r="L395" s="272"/>
      <c r="M395" s="273"/>
      <c r="N395" s="274"/>
      <c r="O395" s="274"/>
      <c r="P395" s="275"/>
      <c r="Q395" s="275"/>
      <c r="R395" s="275"/>
      <c r="S395" s="276"/>
      <c r="T395" s="275"/>
      <c r="U395" s="275"/>
      <c r="V395" s="272"/>
      <c r="W395" s="272"/>
      <c r="X395" s="275"/>
      <c r="Y395" s="345"/>
      <c r="Z395" s="345"/>
      <c r="AA395" s="345"/>
      <c r="AB395" s="345"/>
      <c r="AC395" s="345"/>
      <c r="AD395" s="345"/>
      <c r="AE395" s="345"/>
      <c r="AF395" s="345"/>
      <c r="AG395" s="346"/>
      <c r="AH395" s="265"/>
      <c r="AI395" s="338"/>
      <c r="AJ395" s="339"/>
      <c r="AK395" s="265"/>
      <c r="AL395" s="265"/>
      <c r="AM395" s="265"/>
      <c r="AN395" s="265"/>
      <c r="AO395" s="265"/>
      <c r="AP395" s="265"/>
      <c r="AQ395" s="265"/>
      <c r="AR395" s="265"/>
      <c r="AS395" s="265"/>
      <c r="AT395" s="265"/>
      <c r="AU395" s="265"/>
      <c r="AV395" s="265"/>
      <c r="AW395" s="265"/>
      <c r="AX395" s="265"/>
      <c r="AY395" s="265"/>
      <c r="AZ395" s="265"/>
      <c r="BA395" s="265"/>
      <c r="BB395" s="265"/>
      <c r="BC395" s="265"/>
      <c r="BD395" s="265"/>
      <c r="BE395" s="265"/>
      <c r="BF395" s="265"/>
      <c r="BG395" s="265"/>
      <c r="BH395" s="265"/>
      <c r="BI395" s="265"/>
      <c r="BJ395" s="265"/>
      <c r="BK395" s="265"/>
      <c r="BL395" s="265"/>
      <c r="BM395" s="265"/>
      <c r="BN395" s="265"/>
      <c r="BO395" s="265"/>
      <c r="BP395" s="265"/>
      <c r="BQ395" s="265"/>
      <c r="BR395" s="265"/>
      <c r="BS395" s="265"/>
      <c r="BT395" s="265"/>
      <c r="BU395" s="265"/>
      <c r="BV395" s="265"/>
    </row>
    <row r="396">
      <c r="A396" s="252" t="str">
        <f>VLOOKUP($F396,UpdateHashtag!$V$3:$Y$32,COLUMN(B$15),0)</f>
        <v>#N/A</v>
      </c>
      <c r="B396" s="252" t="str">
        <f>VLOOKUP($F396,UpdateHashtag!$V$3:$Y$32,COLUMN(C$13),0)</f>
        <v>#N/A</v>
      </c>
      <c r="C396" s="252" t="str">
        <f>VLOOKUP($F396,UpdateHashtag!$V$3:$Y$32,COLUMN(D$13),0)</f>
        <v>#N/A</v>
      </c>
      <c r="D396" s="344" t="str">
        <f t="shared" si="4"/>
        <v>#N/A</v>
      </c>
      <c r="E396" s="19"/>
      <c r="F396" s="30" t="str">
        <f>IF(VLOOKUP(J396,PasteHashtag!$C$2:$P1015,3,)="BRO","BKN",IF(VLOOKUP(J396,PasteHashtag!$C$2:$P1015,3,)="OKL","OKC",VLOOKUP(J396,PasteHashtag!$C$2:$P1015,3,)))</f>
        <v>#N/A</v>
      </c>
      <c r="G396" s="30">
        <v>376.0</v>
      </c>
      <c r="H396" s="270"/>
      <c r="I396" s="270"/>
      <c r="J396" s="271"/>
      <c r="K396" s="270"/>
      <c r="L396" s="272"/>
      <c r="M396" s="273"/>
      <c r="N396" s="274"/>
      <c r="O396" s="274"/>
      <c r="P396" s="275"/>
      <c r="Q396" s="275"/>
      <c r="R396" s="275"/>
      <c r="S396" s="276"/>
      <c r="T396" s="275"/>
      <c r="U396" s="275"/>
      <c r="V396" s="272"/>
      <c r="W396" s="272"/>
      <c r="X396" s="275"/>
      <c r="Y396" s="345"/>
      <c r="Z396" s="345"/>
      <c r="AA396" s="345"/>
      <c r="AB396" s="345"/>
      <c r="AC396" s="345"/>
      <c r="AD396" s="345"/>
      <c r="AE396" s="345"/>
      <c r="AF396" s="345"/>
      <c r="AG396" s="346"/>
      <c r="AH396" s="265"/>
      <c r="AI396" s="338"/>
      <c r="AJ396" s="339"/>
      <c r="AK396" s="265"/>
      <c r="AL396" s="265"/>
      <c r="AM396" s="265"/>
      <c r="AN396" s="265"/>
      <c r="AO396" s="265"/>
      <c r="AP396" s="265"/>
      <c r="AQ396" s="265"/>
      <c r="AR396" s="265"/>
      <c r="AS396" s="265"/>
      <c r="AT396" s="265"/>
      <c r="AU396" s="265"/>
      <c r="AV396" s="265"/>
      <c r="AW396" s="265"/>
      <c r="AX396" s="265"/>
      <c r="AY396" s="265"/>
      <c r="AZ396" s="265"/>
      <c r="BA396" s="265"/>
      <c r="BB396" s="265"/>
      <c r="BC396" s="265"/>
      <c r="BD396" s="265"/>
      <c r="BE396" s="265"/>
      <c r="BF396" s="265"/>
      <c r="BG396" s="265"/>
      <c r="BH396" s="265"/>
      <c r="BI396" s="265"/>
      <c r="BJ396" s="265"/>
      <c r="BK396" s="265"/>
      <c r="BL396" s="265"/>
      <c r="BM396" s="265"/>
      <c r="BN396" s="265"/>
      <c r="BO396" s="265"/>
      <c r="BP396" s="265"/>
      <c r="BQ396" s="265"/>
      <c r="BR396" s="265"/>
      <c r="BS396" s="265"/>
      <c r="BT396" s="265"/>
      <c r="BU396" s="265"/>
      <c r="BV396" s="265"/>
    </row>
    <row r="397">
      <c r="A397" s="252" t="str">
        <f>VLOOKUP($F397,UpdateHashtag!$V$3:$Y$32,COLUMN(B$15),0)</f>
        <v>#N/A</v>
      </c>
      <c r="B397" s="252" t="str">
        <f>VLOOKUP($F397,UpdateHashtag!$V$3:$Y$32,COLUMN(C$13),0)</f>
        <v>#N/A</v>
      </c>
      <c r="C397" s="252" t="str">
        <f>VLOOKUP($F397,UpdateHashtag!$V$3:$Y$32,COLUMN(D$13),0)</f>
        <v>#N/A</v>
      </c>
      <c r="D397" s="344" t="str">
        <f t="shared" si="4"/>
        <v>#N/A</v>
      </c>
      <c r="E397" s="19"/>
      <c r="F397" s="30" t="str">
        <f>IF(VLOOKUP(J397,PasteHashtag!$C$2:$P1015,3,)="BRO","BKN",IF(VLOOKUP(J397,PasteHashtag!$C$2:$P1015,3,)="OKL","OKC",VLOOKUP(J397,PasteHashtag!$C$2:$P1015,3,)))</f>
        <v>#N/A</v>
      </c>
      <c r="G397" s="30">
        <v>377.0</v>
      </c>
      <c r="H397" s="270"/>
      <c r="I397" s="270"/>
      <c r="J397" s="271"/>
      <c r="K397" s="270"/>
      <c r="L397" s="272"/>
      <c r="M397" s="273"/>
      <c r="N397" s="274"/>
      <c r="O397" s="274"/>
      <c r="P397" s="275"/>
      <c r="Q397" s="275"/>
      <c r="R397" s="275"/>
      <c r="S397" s="276"/>
      <c r="T397" s="275"/>
      <c r="U397" s="275"/>
      <c r="V397" s="272"/>
      <c r="W397" s="272"/>
      <c r="X397" s="275"/>
      <c r="Y397" s="345"/>
      <c r="Z397" s="345"/>
      <c r="AA397" s="345"/>
      <c r="AB397" s="345"/>
      <c r="AC397" s="345"/>
      <c r="AD397" s="345"/>
      <c r="AE397" s="345"/>
      <c r="AF397" s="345"/>
      <c r="AG397" s="346"/>
      <c r="AH397" s="265"/>
      <c r="AI397" s="338"/>
      <c r="AJ397" s="339"/>
      <c r="AK397" s="265"/>
      <c r="AL397" s="265"/>
      <c r="AM397" s="265"/>
      <c r="AN397" s="265"/>
      <c r="AO397" s="265"/>
      <c r="AP397" s="265"/>
      <c r="AQ397" s="265"/>
      <c r="AR397" s="265"/>
      <c r="AS397" s="265"/>
      <c r="AT397" s="265"/>
      <c r="AU397" s="265"/>
      <c r="AV397" s="265"/>
      <c r="AW397" s="265"/>
      <c r="AX397" s="265"/>
      <c r="AY397" s="265"/>
      <c r="AZ397" s="265"/>
      <c r="BA397" s="265"/>
      <c r="BB397" s="265"/>
      <c r="BC397" s="265"/>
      <c r="BD397" s="265"/>
      <c r="BE397" s="265"/>
      <c r="BF397" s="265"/>
      <c r="BG397" s="265"/>
      <c r="BH397" s="265"/>
      <c r="BI397" s="265"/>
      <c r="BJ397" s="265"/>
      <c r="BK397" s="265"/>
      <c r="BL397" s="265"/>
      <c r="BM397" s="265"/>
      <c r="BN397" s="265"/>
      <c r="BO397" s="265"/>
      <c r="BP397" s="265"/>
      <c r="BQ397" s="265"/>
      <c r="BR397" s="265"/>
      <c r="BS397" s="265"/>
      <c r="BT397" s="265"/>
      <c r="BU397" s="265"/>
      <c r="BV397" s="265"/>
    </row>
    <row r="398">
      <c r="A398" s="252" t="str">
        <f>VLOOKUP($F398,UpdateHashtag!$V$3:$Y$32,COLUMN(B$15),0)</f>
        <v>#N/A</v>
      </c>
      <c r="B398" s="252" t="str">
        <f>VLOOKUP($F398,UpdateHashtag!$V$3:$Y$32,COLUMN(C$13),0)</f>
        <v>#N/A</v>
      </c>
      <c r="C398" s="252" t="str">
        <f>VLOOKUP($F398,UpdateHashtag!$V$3:$Y$32,COLUMN(D$13),0)</f>
        <v>#N/A</v>
      </c>
      <c r="D398" s="344" t="str">
        <f t="shared" si="4"/>
        <v>#N/A</v>
      </c>
      <c r="E398" s="19"/>
      <c r="F398" s="30" t="str">
        <f>IF(VLOOKUP(J398,PasteHashtag!$C$2:$P1015,3,)="BRO","BKN",IF(VLOOKUP(J398,PasteHashtag!$C$2:$P1015,3,)="OKL","OKC",VLOOKUP(J398,PasteHashtag!$C$2:$P1015,3,)))</f>
        <v>#N/A</v>
      </c>
      <c r="G398" s="30">
        <v>378.0</v>
      </c>
      <c r="H398" s="270"/>
      <c r="I398" s="270"/>
      <c r="J398" s="271"/>
      <c r="K398" s="270"/>
      <c r="L398" s="272"/>
      <c r="M398" s="273"/>
      <c r="N398" s="274"/>
      <c r="O398" s="274"/>
      <c r="P398" s="275"/>
      <c r="Q398" s="275"/>
      <c r="R398" s="275"/>
      <c r="S398" s="276"/>
      <c r="T398" s="275"/>
      <c r="U398" s="275"/>
      <c r="V398" s="272"/>
      <c r="W398" s="272"/>
      <c r="X398" s="275"/>
      <c r="Y398" s="345"/>
      <c r="Z398" s="345"/>
      <c r="AA398" s="345"/>
      <c r="AB398" s="345"/>
      <c r="AC398" s="345"/>
      <c r="AD398" s="345"/>
      <c r="AE398" s="345"/>
      <c r="AF398" s="345"/>
      <c r="AG398" s="346"/>
      <c r="AH398" s="265"/>
      <c r="AI398" s="338"/>
      <c r="AJ398" s="339"/>
      <c r="AK398" s="265"/>
      <c r="AL398" s="265"/>
      <c r="AM398" s="265"/>
      <c r="AN398" s="265"/>
      <c r="AO398" s="265"/>
      <c r="AP398" s="265"/>
      <c r="AQ398" s="265"/>
      <c r="AR398" s="265"/>
      <c r="AS398" s="265"/>
      <c r="AT398" s="265"/>
      <c r="AU398" s="265"/>
      <c r="AV398" s="265"/>
      <c r="AW398" s="265"/>
      <c r="AX398" s="265"/>
      <c r="AY398" s="265"/>
      <c r="AZ398" s="265"/>
      <c r="BA398" s="265"/>
      <c r="BB398" s="265"/>
      <c r="BC398" s="265"/>
      <c r="BD398" s="265"/>
      <c r="BE398" s="265"/>
      <c r="BF398" s="265"/>
      <c r="BG398" s="265"/>
      <c r="BH398" s="265"/>
      <c r="BI398" s="265"/>
      <c r="BJ398" s="265"/>
      <c r="BK398" s="265"/>
      <c r="BL398" s="265"/>
      <c r="BM398" s="265"/>
      <c r="BN398" s="265"/>
      <c r="BO398" s="265"/>
      <c r="BP398" s="265"/>
      <c r="BQ398" s="265"/>
      <c r="BR398" s="265"/>
      <c r="BS398" s="265"/>
      <c r="BT398" s="265"/>
      <c r="BU398" s="265"/>
      <c r="BV398" s="265"/>
    </row>
    <row r="399">
      <c r="A399" s="252" t="str">
        <f>VLOOKUP($F399,UpdateHashtag!$V$3:$Y$32,COLUMN(B$15),0)</f>
        <v>#N/A</v>
      </c>
      <c r="B399" s="252" t="str">
        <f>VLOOKUP($F399,UpdateHashtag!$V$3:$Y$32,COLUMN(C$13),0)</f>
        <v>#N/A</v>
      </c>
      <c r="C399" s="252" t="str">
        <f>VLOOKUP($F399,UpdateHashtag!$V$3:$Y$32,COLUMN(D$13),0)</f>
        <v>#N/A</v>
      </c>
      <c r="D399" s="344" t="str">
        <f t="shared" si="4"/>
        <v>#N/A</v>
      </c>
      <c r="E399" s="19"/>
      <c r="F399" s="30" t="str">
        <f>IF(VLOOKUP(J399,PasteHashtag!$C$2:$P1015,3,)="BRO","BKN",IF(VLOOKUP(J399,PasteHashtag!$C$2:$P1015,3,)="OKL","OKC",VLOOKUP(J399,PasteHashtag!$C$2:$P1015,3,)))</f>
        <v>#N/A</v>
      </c>
      <c r="G399" s="30">
        <v>379.0</v>
      </c>
      <c r="H399" s="270"/>
      <c r="I399" s="270"/>
      <c r="J399" s="271"/>
      <c r="K399" s="270"/>
      <c r="L399" s="272"/>
      <c r="M399" s="273"/>
      <c r="N399" s="274"/>
      <c r="O399" s="274"/>
      <c r="P399" s="275"/>
      <c r="Q399" s="275"/>
      <c r="R399" s="275"/>
      <c r="S399" s="276"/>
      <c r="T399" s="275"/>
      <c r="U399" s="275"/>
      <c r="V399" s="272"/>
      <c r="W399" s="272"/>
      <c r="X399" s="275"/>
      <c r="Y399" s="345"/>
      <c r="Z399" s="345"/>
      <c r="AA399" s="345"/>
      <c r="AB399" s="345"/>
      <c r="AC399" s="345"/>
      <c r="AD399" s="345"/>
      <c r="AE399" s="345"/>
      <c r="AF399" s="345"/>
      <c r="AG399" s="346"/>
      <c r="AH399" s="265"/>
      <c r="AI399" s="338"/>
      <c r="AJ399" s="339"/>
      <c r="AK399" s="265"/>
      <c r="AL399" s="265"/>
      <c r="AM399" s="265"/>
      <c r="AN399" s="265"/>
      <c r="AO399" s="265"/>
      <c r="AP399" s="265"/>
      <c r="AQ399" s="265"/>
      <c r="AR399" s="265"/>
      <c r="AS399" s="265"/>
      <c r="AT399" s="265"/>
      <c r="AU399" s="265"/>
      <c r="AV399" s="265"/>
      <c r="AW399" s="265"/>
      <c r="AX399" s="265"/>
      <c r="AY399" s="265"/>
      <c r="AZ399" s="265"/>
      <c r="BA399" s="265"/>
      <c r="BB399" s="265"/>
      <c r="BC399" s="265"/>
      <c r="BD399" s="265"/>
      <c r="BE399" s="265"/>
      <c r="BF399" s="265"/>
      <c r="BG399" s="265"/>
      <c r="BH399" s="265"/>
      <c r="BI399" s="265"/>
      <c r="BJ399" s="265"/>
      <c r="BK399" s="265"/>
      <c r="BL399" s="265"/>
      <c r="BM399" s="265"/>
      <c r="BN399" s="265"/>
      <c r="BO399" s="265"/>
      <c r="BP399" s="265"/>
      <c r="BQ399" s="265"/>
      <c r="BR399" s="265"/>
      <c r="BS399" s="265"/>
      <c r="BT399" s="265"/>
      <c r="BU399" s="265"/>
      <c r="BV399" s="265"/>
    </row>
    <row r="400">
      <c r="A400" s="252" t="str">
        <f>VLOOKUP($F400,UpdateHashtag!$V$3:$Y$32,COLUMN(B$15),0)</f>
        <v>#N/A</v>
      </c>
      <c r="B400" s="252" t="str">
        <f>VLOOKUP($F400,UpdateHashtag!$V$3:$Y$32,COLUMN(C$13),0)</f>
        <v>#N/A</v>
      </c>
      <c r="C400" s="252" t="str">
        <f>VLOOKUP($F400,UpdateHashtag!$V$3:$Y$32,COLUMN(D$13),0)</f>
        <v>#N/A</v>
      </c>
      <c r="D400" s="344" t="str">
        <f t="shared" si="4"/>
        <v>#N/A</v>
      </c>
      <c r="E400" s="19"/>
      <c r="F400" s="30" t="str">
        <f>IF(VLOOKUP(J400,PasteHashtag!$C$2:$P1015,3,)="BRO","BKN",IF(VLOOKUP(J400,PasteHashtag!$C$2:$P1015,3,)="OKL","OKC",VLOOKUP(J400,PasteHashtag!$C$2:$P1015,3,)))</f>
        <v>#N/A</v>
      </c>
      <c r="G400" s="30">
        <v>380.0</v>
      </c>
      <c r="H400" s="270"/>
      <c r="I400" s="270"/>
      <c r="J400" s="271"/>
      <c r="K400" s="270"/>
      <c r="L400" s="272"/>
      <c r="M400" s="273"/>
      <c r="N400" s="274"/>
      <c r="O400" s="274"/>
      <c r="P400" s="275"/>
      <c r="Q400" s="275"/>
      <c r="R400" s="275"/>
      <c r="S400" s="276"/>
      <c r="T400" s="275"/>
      <c r="U400" s="275"/>
      <c r="V400" s="272"/>
      <c r="W400" s="272"/>
      <c r="X400" s="275"/>
      <c r="Y400" s="345"/>
      <c r="Z400" s="345"/>
      <c r="AA400" s="345"/>
      <c r="AB400" s="345"/>
      <c r="AC400" s="345"/>
      <c r="AD400" s="345"/>
      <c r="AE400" s="345"/>
      <c r="AF400" s="345"/>
      <c r="AG400" s="346"/>
      <c r="AH400" s="265"/>
      <c r="AI400" s="338"/>
      <c r="AJ400" s="339"/>
      <c r="AK400" s="265"/>
      <c r="AL400" s="265"/>
      <c r="AM400" s="265"/>
      <c r="AN400" s="265"/>
      <c r="AO400" s="265"/>
      <c r="AP400" s="265"/>
      <c r="AQ400" s="265"/>
      <c r="AR400" s="265"/>
      <c r="AS400" s="265"/>
      <c r="AT400" s="265"/>
      <c r="AU400" s="265"/>
      <c r="AV400" s="265"/>
      <c r="AW400" s="265"/>
      <c r="AX400" s="265"/>
      <c r="AY400" s="265"/>
      <c r="AZ400" s="265"/>
      <c r="BA400" s="265"/>
      <c r="BB400" s="265"/>
      <c r="BC400" s="265"/>
      <c r="BD400" s="265"/>
      <c r="BE400" s="265"/>
      <c r="BF400" s="265"/>
      <c r="BG400" s="265"/>
      <c r="BH400" s="265"/>
      <c r="BI400" s="265"/>
      <c r="BJ400" s="265"/>
      <c r="BK400" s="265"/>
      <c r="BL400" s="265"/>
      <c r="BM400" s="265"/>
      <c r="BN400" s="265"/>
      <c r="BO400" s="265"/>
      <c r="BP400" s="265"/>
      <c r="BQ400" s="265"/>
      <c r="BR400" s="265"/>
      <c r="BS400" s="265"/>
      <c r="BT400" s="265"/>
      <c r="BU400" s="265"/>
      <c r="BV400" s="265"/>
    </row>
    <row r="401">
      <c r="A401" s="252" t="str">
        <f>VLOOKUP($F401,UpdateHashtag!$V$3:$Y$32,COLUMN(B$15),0)</f>
        <v>#N/A</v>
      </c>
      <c r="B401" s="252" t="str">
        <f>VLOOKUP($F401,UpdateHashtag!$V$3:$Y$32,COLUMN(C$13),0)</f>
        <v>#N/A</v>
      </c>
      <c r="C401" s="252" t="str">
        <f>VLOOKUP($F401,UpdateHashtag!$V$3:$Y$32,COLUMN(D$13),0)</f>
        <v>#N/A</v>
      </c>
      <c r="D401" s="344" t="str">
        <f t="shared" si="4"/>
        <v>#N/A</v>
      </c>
      <c r="E401" s="19"/>
      <c r="F401" s="30" t="str">
        <f>IF(VLOOKUP(J401,PasteHashtag!$C$2:$P1015,3,)="BRO","BKN",IF(VLOOKUP(J401,PasteHashtag!$C$2:$P1015,3,)="OKL","OKC",VLOOKUP(J401,PasteHashtag!$C$2:$P1015,3,)))</f>
        <v>#N/A</v>
      </c>
      <c r="G401" s="30">
        <v>381.0</v>
      </c>
      <c r="H401" s="270"/>
      <c r="I401" s="270"/>
      <c r="J401" s="271"/>
      <c r="K401" s="270"/>
      <c r="L401" s="272"/>
      <c r="M401" s="273"/>
      <c r="N401" s="274"/>
      <c r="O401" s="274"/>
      <c r="P401" s="275"/>
      <c r="Q401" s="275"/>
      <c r="R401" s="275"/>
      <c r="S401" s="276"/>
      <c r="T401" s="275"/>
      <c r="U401" s="275"/>
      <c r="V401" s="272"/>
      <c r="W401" s="272"/>
      <c r="X401" s="275"/>
      <c r="Y401" s="345"/>
      <c r="Z401" s="345"/>
      <c r="AA401" s="345"/>
      <c r="AB401" s="345"/>
      <c r="AC401" s="345"/>
      <c r="AD401" s="345"/>
      <c r="AE401" s="345"/>
      <c r="AF401" s="345"/>
      <c r="AG401" s="346"/>
      <c r="AH401" s="265"/>
      <c r="AI401" s="338"/>
      <c r="AJ401" s="339"/>
      <c r="AK401" s="265"/>
      <c r="AL401" s="265"/>
      <c r="AM401" s="265"/>
      <c r="AN401" s="265"/>
      <c r="AO401" s="265"/>
      <c r="AP401" s="265"/>
      <c r="AQ401" s="265"/>
      <c r="AR401" s="265"/>
      <c r="AS401" s="265"/>
      <c r="AT401" s="265"/>
      <c r="AU401" s="265"/>
      <c r="AV401" s="265"/>
      <c r="AW401" s="265"/>
      <c r="AX401" s="265"/>
      <c r="AY401" s="265"/>
      <c r="AZ401" s="265"/>
      <c r="BA401" s="265"/>
      <c r="BB401" s="265"/>
      <c r="BC401" s="265"/>
      <c r="BD401" s="265"/>
      <c r="BE401" s="265"/>
      <c r="BF401" s="265"/>
      <c r="BG401" s="265"/>
      <c r="BH401" s="265"/>
      <c r="BI401" s="265"/>
      <c r="BJ401" s="265"/>
      <c r="BK401" s="265"/>
      <c r="BL401" s="265"/>
      <c r="BM401" s="265"/>
      <c r="BN401" s="265"/>
      <c r="BO401" s="265"/>
      <c r="BP401" s="265"/>
      <c r="BQ401" s="265"/>
      <c r="BR401" s="265"/>
      <c r="BS401" s="265"/>
      <c r="BT401" s="265"/>
      <c r="BU401" s="265"/>
      <c r="BV401" s="265"/>
    </row>
    <row r="402">
      <c r="A402" s="252" t="str">
        <f>VLOOKUP($F402,UpdateHashtag!$V$3:$Y$32,COLUMN(B$15),0)</f>
        <v>#N/A</v>
      </c>
      <c r="B402" s="252" t="str">
        <f>VLOOKUP($F402,UpdateHashtag!$V$3:$Y$32,COLUMN(C$13),0)</f>
        <v>#N/A</v>
      </c>
      <c r="C402" s="252" t="str">
        <f>VLOOKUP($F402,UpdateHashtag!$V$3:$Y$32,COLUMN(D$13),0)</f>
        <v>#N/A</v>
      </c>
      <c r="D402" s="344" t="str">
        <f t="shared" si="4"/>
        <v>#N/A</v>
      </c>
      <c r="E402" s="19"/>
      <c r="F402" s="30" t="str">
        <f>IF(VLOOKUP(J402,PasteHashtag!$C$2:$P1015,3,)="BRO","BKN",IF(VLOOKUP(J402,PasteHashtag!$C$2:$P1015,3,)="OKL","OKC",VLOOKUP(J402,PasteHashtag!$C$2:$P1015,3,)))</f>
        <v>#N/A</v>
      </c>
      <c r="G402" s="30">
        <v>382.0</v>
      </c>
      <c r="H402" s="270"/>
      <c r="I402" s="270"/>
      <c r="J402" s="271"/>
      <c r="K402" s="270"/>
      <c r="L402" s="272"/>
      <c r="M402" s="273"/>
      <c r="N402" s="274"/>
      <c r="O402" s="274"/>
      <c r="P402" s="275"/>
      <c r="Q402" s="275"/>
      <c r="R402" s="275"/>
      <c r="S402" s="276"/>
      <c r="T402" s="275"/>
      <c r="U402" s="275"/>
      <c r="V402" s="272"/>
      <c r="W402" s="272"/>
      <c r="X402" s="275"/>
      <c r="Y402" s="345"/>
      <c r="Z402" s="345"/>
      <c r="AA402" s="345"/>
      <c r="AB402" s="345"/>
      <c r="AC402" s="345"/>
      <c r="AD402" s="345"/>
      <c r="AE402" s="345"/>
      <c r="AF402" s="345"/>
      <c r="AG402" s="346"/>
      <c r="AH402" s="265"/>
      <c r="AI402" s="338"/>
      <c r="AJ402" s="339"/>
      <c r="AK402" s="265"/>
      <c r="AL402" s="265"/>
      <c r="AM402" s="265"/>
      <c r="AN402" s="265"/>
      <c r="AO402" s="265"/>
      <c r="AP402" s="265"/>
      <c r="AQ402" s="265"/>
      <c r="AR402" s="265"/>
      <c r="AS402" s="265"/>
      <c r="AT402" s="265"/>
      <c r="AU402" s="265"/>
      <c r="AV402" s="265"/>
      <c r="AW402" s="265"/>
      <c r="AX402" s="265"/>
      <c r="AY402" s="265"/>
      <c r="AZ402" s="265"/>
      <c r="BA402" s="265"/>
      <c r="BB402" s="265"/>
      <c r="BC402" s="265"/>
      <c r="BD402" s="265"/>
      <c r="BE402" s="265"/>
      <c r="BF402" s="265"/>
      <c r="BG402" s="265"/>
      <c r="BH402" s="265"/>
      <c r="BI402" s="265"/>
      <c r="BJ402" s="265"/>
      <c r="BK402" s="265"/>
      <c r="BL402" s="265"/>
      <c r="BM402" s="265"/>
      <c r="BN402" s="265"/>
      <c r="BO402" s="265"/>
      <c r="BP402" s="265"/>
      <c r="BQ402" s="265"/>
      <c r="BR402" s="265"/>
      <c r="BS402" s="265"/>
      <c r="BT402" s="265"/>
      <c r="BU402" s="265"/>
      <c r="BV402" s="265"/>
    </row>
    <row r="403">
      <c r="A403" s="252" t="str">
        <f>VLOOKUP($F403,UpdateHashtag!$V$3:$Y$32,COLUMN(B$15),0)</f>
        <v>#N/A</v>
      </c>
      <c r="B403" s="252" t="str">
        <f>VLOOKUP($F403,UpdateHashtag!$V$3:$Y$32,COLUMN(C$13),0)</f>
        <v>#N/A</v>
      </c>
      <c r="C403" s="252" t="str">
        <f>VLOOKUP($F403,UpdateHashtag!$V$3:$Y$32,COLUMN(D$13),0)</f>
        <v>#N/A</v>
      </c>
      <c r="D403" s="344" t="str">
        <f t="shared" si="4"/>
        <v>#N/A</v>
      </c>
      <c r="E403" s="19"/>
      <c r="F403" s="30" t="str">
        <f>IF(VLOOKUP(J403,PasteHashtag!$C$2:$P1015,3,)="BRO","BKN",IF(VLOOKUP(J403,PasteHashtag!$C$2:$P1015,3,)="OKL","OKC",VLOOKUP(J403,PasteHashtag!$C$2:$P1015,3,)))</f>
        <v>#N/A</v>
      </c>
      <c r="G403" s="30">
        <v>383.0</v>
      </c>
      <c r="H403" s="270"/>
      <c r="I403" s="270"/>
      <c r="J403" s="271"/>
      <c r="K403" s="270"/>
      <c r="L403" s="272"/>
      <c r="M403" s="273"/>
      <c r="N403" s="274"/>
      <c r="O403" s="274"/>
      <c r="P403" s="275"/>
      <c r="Q403" s="275"/>
      <c r="R403" s="275"/>
      <c r="S403" s="276"/>
      <c r="T403" s="275"/>
      <c r="U403" s="275"/>
      <c r="V403" s="272"/>
      <c r="W403" s="272"/>
      <c r="X403" s="275"/>
      <c r="Y403" s="345"/>
      <c r="Z403" s="345"/>
      <c r="AA403" s="345"/>
      <c r="AB403" s="345"/>
      <c r="AC403" s="345"/>
      <c r="AD403" s="345"/>
      <c r="AE403" s="345"/>
      <c r="AF403" s="345"/>
      <c r="AG403" s="346"/>
      <c r="AH403" s="265"/>
      <c r="AI403" s="338"/>
      <c r="AJ403" s="339"/>
      <c r="AK403" s="265"/>
      <c r="AL403" s="265"/>
      <c r="AM403" s="265"/>
      <c r="AN403" s="265"/>
      <c r="AO403" s="265"/>
      <c r="AP403" s="265"/>
      <c r="AQ403" s="265"/>
      <c r="AR403" s="265"/>
      <c r="AS403" s="265"/>
      <c r="AT403" s="265"/>
      <c r="AU403" s="265"/>
      <c r="AV403" s="265"/>
      <c r="AW403" s="265"/>
      <c r="AX403" s="265"/>
      <c r="AY403" s="265"/>
      <c r="AZ403" s="265"/>
      <c r="BA403" s="265"/>
      <c r="BB403" s="265"/>
      <c r="BC403" s="265"/>
      <c r="BD403" s="265"/>
      <c r="BE403" s="265"/>
      <c r="BF403" s="265"/>
      <c r="BG403" s="265"/>
      <c r="BH403" s="265"/>
      <c r="BI403" s="265"/>
      <c r="BJ403" s="265"/>
      <c r="BK403" s="265"/>
      <c r="BL403" s="265"/>
      <c r="BM403" s="265"/>
      <c r="BN403" s="265"/>
      <c r="BO403" s="265"/>
      <c r="BP403" s="265"/>
      <c r="BQ403" s="265"/>
      <c r="BR403" s="265"/>
      <c r="BS403" s="265"/>
      <c r="BT403" s="265"/>
      <c r="BU403" s="265"/>
      <c r="BV403" s="265"/>
    </row>
    <row r="404">
      <c r="A404" s="252" t="str">
        <f>VLOOKUP($F404,UpdateHashtag!$V$3:$Y$32,COLUMN(B$15),0)</f>
        <v>#N/A</v>
      </c>
      <c r="B404" s="252" t="str">
        <f>VLOOKUP($F404,UpdateHashtag!$V$3:$Y$32,COLUMN(C$13),0)</f>
        <v>#N/A</v>
      </c>
      <c r="C404" s="252" t="str">
        <f>VLOOKUP($F404,UpdateHashtag!$V$3:$Y$32,COLUMN(D$13),0)</f>
        <v>#N/A</v>
      </c>
      <c r="D404" s="344" t="str">
        <f t="shared" si="4"/>
        <v>#N/A</v>
      </c>
      <c r="E404" s="19"/>
      <c r="F404" s="30" t="str">
        <f>IF(VLOOKUP(J404,PasteHashtag!$C$2:$P1015,3,)="BRO","BKN",IF(VLOOKUP(J404,PasteHashtag!$C$2:$P1015,3,)="OKL","OKC",VLOOKUP(J404,PasteHashtag!$C$2:$P1015,3,)))</f>
        <v>#N/A</v>
      </c>
      <c r="G404" s="30">
        <v>384.0</v>
      </c>
      <c r="H404" s="270"/>
      <c r="I404" s="271"/>
      <c r="J404" s="271"/>
      <c r="K404" s="271"/>
      <c r="L404" s="272"/>
      <c r="M404" s="273"/>
      <c r="N404" s="274"/>
      <c r="O404" s="274"/>
      <c r="P404" s="275"/>
      <c r="Q404" s="275"/>
      <c r="R404" s="275"/>
      <c r="S404" s="276"/>
      <c r="T404" s="275"/>
      <c r="U404" s="275"/>
      <c r="V404" s="272"/>
      <c r="W404" s="272"/>
      <c r="X404" s="275"/>
      <c r="Y404" s="345"/>
      <c r="Z404" s="345"/>
      <c r="AA404" s="345"/>
      <c r="AB404" s="345"/>
      <c r="AC404" s="345"/>
      <c r="AD404" s="345"/>
      <c r="AE404" s="345"/>
      <c r="AF404" s="345"/>
      <c r="AG404" s="346"/>
      <c r="AH404" s="265"/>
      <c r="AI404" s="338"/>
      <c r="AJ404" s="265"/>
      <c r="AK404" s="265"/>
      <c r="AL404" s="265"/>
      <c r="AM404" s="265"/>
      <c r="AN404" s="265"/>
      <c r="AO404" s="265"/>
      <c r="AP404" s="265"/>
      <c r="AQ404" s="265"/>
      <c r="AR404" s="265"/>
      <c r="AS404" s="265"/>
      <c r="AT404" s="265"/>
      <c r="AU404" s="265"/>
      <c r="AV404" s="265"/>
      <c r="AW404" s="265"/>
      <c r="AX404" s="265"/>
      <c r="AY404" s="265"/>
      <c r="AZ404" s="265"/>
      <c r="BA404" s="265"/>
      <c r="BB404" s="265"/>
      <c r="BC404" s="265"/>
      <c r="BD404" s="265"/>
      <c r="BE404" s="265"/>
      <c r="BF404" s="265"/>
      <c r="BG404" s="265"/>
      <c r="BH404" s="265"/>
      <c r="BI404" s="265"/>
      <c r="BJ404" s="265"/>
      <c r="BK404" s="265"/>
      <c r="BL404" s="265"/>
      <c r="BM404" s="265"/>
      <c r="BN404" s="265"/>
      <c r="BO404" s="265"/>
      <c r="BP404" s="265"/>
      <c r="BQ404" s="265"/>
      <c r="BR404" s="265"/>
      <c r="BS404" s="265"/>
      <c r="BT404" s="265"/>
      <c r="BU404" s="265"/>
      <c r="BV404" s="265"/>
    </row>
    <row r="405">
      <c r="A405" s="252" t="str">
        <f>VLOOKUP($F405,UpdateHashtag!$V$3:$Y$32,COLUMN(B$15),0)</f>
        <v>#N/A</v>
      </c>
      <c r="B405" s="252" t="str">
        <f>VLOOKUP($F405,UpdateHashtag!$V$3:$Y$32,COLUMN(C$13),0)</f>
        <v>#N/A</v>
      </c>
      <c r="C405" s="252" t="str">
        <f>VLOOKUP($F405,UpdateHashtag!$V$3:$Y$32,COLUMN(D$13),0)</f>
        <v>#N/A</v>
      </c>
      <c r="D405" s="344" t="str">
        <f t="shared" si="4"/>
        <v>#N/A</v>
      </c>
      <c r="E405" s="19"/>
      <c r="F405" s="30" t="str">
        <f>IF(VLOOKUP(J405,PasteHashtag!$C$2:$P1015,3,)="BRO","BKN",IF(VLOOKUP(J405,PasteHashtag!$C$2:$P1015,3,)="OKL","OKC",VLOOKUP(J405,PasteHashtag!$C$2:$P1015,3,)))</f>
        <v>#N/A</v>
      </c>
      <c r="G405" s="30">
        <v>385.0</v>
      </c>
      <c r="H405" s="270"/>
      <c r="I405" s="271"/>
      <c r="J405" s="271"/>
      <c r="K405" s="271"/>
      <c r="L405" s="272"/>
      <c r="M405" s="273"/>
      <c r="N405" s="274"/>
      <c r="O405" s="274"/>
      <c r="P405" s="275"/>
      <c r="Q405" s="275"/>
      <c r="R405" s="275"/>
      <c r="S405" s="276"/>
      <c r="T405" s="275"/>
      <c r="U405" s="275"/>
      <c r="V405" s="272"/>
      <c r="W405" s="272"/>
      <c r="X405" s="275"/>
      <c r="Y405" s="345"/>
      <c r="Z405" s="345"/>
      <c r="AA405" s="345"/>
      <c r="AB405" s="345"/>
      <c r="AC405" s="345"/>
      <c r="AD405" s="345"/>
      <c r="AE405" s="345"/>
      <c r="AF405" s="345"/>
      <c r="AG405" s="346"/>
      <c r="AH405" s="265"/>
      <c r="AI405" s="338"/>
      <c r="AJ405" s="265"/>
      <c r="AK405" s="265"/>
      <c r="AL405" s="265"/>
      <c r="AM405" s="265"/>
      <c r="AN405" s="265"/>
      <c r="AO405" s="265"/>
      <c r="AP405" s="265"/>
      <c r="AQ405" s="265"/>
      <c r="AR405" s="265"/>
      <c r="AS405" s="265"/>
      <c r="AT405" s="265"/>
      <c r="AU405" s="265"/>
      <c r="AV405" s="265"/>
      <c r="AW405" s="265"/>
      <c r="AX405" s="265"/>
      <c r="AY405" s="265"/>
      <c r="AZ405" s="265"/>
      <c r="BA405" s="265"/>
      <c r="BB405" s="265"/>
      <c r="BC405" s="265"/>
      <c r="BD405" s="265"/>
      <c r="BE405" s="265"/>
      <c r="BF405" s="265"/>
      <c r="BG405" s="265"/>
      <c r="BH405" s="265"/>
      <c r="BI405" s="265"/>
      <c r="BJ405" s="265"/>
      <c r="BK405" s="265"/>
      <c r="BL405" s="265"/>
      <c r="BM405" s="265"/>
      <c r="BN405" s="265"/>
      <c r="BO405" s="265"/>
      <c r="BP405" s="265"/>
      <c r="BQ405" s="265"/>
      <c r="BR405" s="265"/>
      <c r="BS405" s="265"/>
      <c r="BT405" s="265"/>
      <c r="BU405" s="265"/>
      <c r="BV405" s="265"/>
    </row>
    <row r="406">
      <c r="A406" s="252" t="str">
        <f>VLOOKUP($F406,UpdateHashtag!$V$3:$Y$32,COLUMN(B$15),0)</f>
        <v>#N/A</v>
      </c>
      <c r="B406" s="252" t="str">
        <f>VLOOKUP($F406,UpdateHashtag!$V$3:$Y$32,COLUMN(C$13),0)</f>
        <v>#N/A</v>
      </c>
      <c r="C406" s="252" t="str">
        <f>VLOOKUP($F406,UpdateHashtag!$V$3:$Y$32,COLUMN(D$13),0)</f>
        <v>#N/A</v>
      </c>
      <c r="D406" s="344" t="str">
        <f t="shared" si="4"/>
        <v>#N/A</v>
      </c>
      <c r="E406" s="19"/>
      <c r="F406" s="30" t="str">
        <f>IF(VLOOKUP(J406,PasteHashtag!$C$2:$P1015,3,)="BRO","BKN",IF(VLOOKUP(J406,PasteHashtag!$C$2:$P1015,3,)="OKL","OKC",VLOOKUP(J406,PasteHashtag!$C$2:$P1015,3,)))</f>
        <v>#N/A</v>
      </c>
      <c r="G406" s="30">
        <v>386.0</v>
      </c>
      <c r="H406" s="270"/>
      <c r="I406" s="271"/>
      <c r="J406" s="271"/>
      <c r="K406" s="271"/>
      <c r="L406" s="272"/>
      <c r="M406" s="273"/>
      <c r="N406" s="274"/>
      <c r="O406" s="274"/>
      <c r="P406" s="275"/>
      <c r="Q406" s="275"/>
      <c r="R406" s="275"/>
      <c r="S406" s="276"/>
      <c r="T406" s="275"/>
      <c r="U406" s="275"/>
      <c r="V406" s="272"/>
      <c r="W406" s="272"/>
      <c r="X406" s="275"/>
      <c r="Y406" s="345"/>
      <c r="Z406" s="345"/>
      <c r="AA406" s="345"/>
      <c r="AB406" s="345"/>
      <c r="AC406" s="345"/>
      <c r="AD406" s="345"/>
      <c r="AE406" s="345"/>
      <c r="AF406" s="345"/>
      <c r="AG406" s="346"/>
      <c r="AH406" s="265"/>
      <c r="AI406" s="338"/>
      <c r="AJ406" s="265"/>
      <c r="AK406" s="265"/>
      <c r="AL406" s="265"/>
      <c r="AM406" s="265"/>
      <c r="AN406" s="265"/>
      <c r="AO406" s="265"/>
      <c r="AP406" s="265"/>
      <c r="AQ406" s="265"/>
      <c r="AR406" s="265"/>
      <c r="AS406" s="265"/>
      <c r="AT406" s="265"/>
      <c r="AU406" s="265"/>
      <c r="AV406" s="265"/>
      <c r="AW406" s="265"/>
      <c r="AX406" s="265"/>
      <c r="AY406" s="265"/>
      <c r="AZ406" s="265"/>
      <c r="BA406" s="265"/>
      <c r="BB406" s="265"/>
      <c r="BC406" s="265"/>
      <c r="BD406" s="265"/>
      <c r="BE406" s="265"/>
      <c r="BF406" s="265"/>
      <c r="BG406" s="265"/>
      <c r="BH406" s="265"/>
      <c r="BI406" s="265"/>
      <c r="BJ406" s="265"/>
      <c r="BK406" s="265"/>
      <c r="BL406" s="265"/>
      <c r="BM406" s="265"/>
      <c r="BN406" s="265"/>
      <c r="BO406" s="265"/>
      <c r="BP406" s="265"/>
      <c r="BQ406" s="265"/>
      <c r="BR406" s="265"/>
      <c r="BS406" s="265"/>
      <c r="BT406" s="265"/>
      <c r="BU406" s="265"/>
      <c r="BV406" s="265"/>
    </row>
    <row r="407">
      <c r="A407" s="252" t="str">
        <f>VLOOKUP($F407,UpdateHashtag!$V$3:$Y$32,COLUMN(B$15),0)</f>
        <v>#N/A</v>
      </c>
      <c r="B407" s="252" t="str">
        <f>VLOOKUP($F407,UpdateHashtag!$V$3:$Y$32,COLUMN(C$13),0)</f>
        <v>#N/A</v>
      </c>
      <c r="C407" s="252" t="str">
        <f>VLOOKUP($F407,UpdateHashtag!$V$3:$Y$32,COLUMN(D$13),0)</f>
        <v>#N/A</v>
      </c>
      <c r="D407" s="344" t="str">
        <f t="shared" si="4"/>
        <v>#N/A</v>
      </c>
      <c r="E407" s="19"/>
      <c r="F407" s="30" t="str">
        <f>IF(VLOOKUP(J407,PasteHashtag!$C$2:$P1015,3,)="BRO","BKN",IF(VLOOKUP(J407,PasteHashtag!$C$2:$P1015,3,)="OKL","OKC",VLOOKUP(J407,PasteHashtag!$C$2:$P1015,3,)))</f>
        <v>#N/A</v>
      </c>
      <c r="G407" s="30">
        <v>387.0</v>
      </c>
      <c r="H407" s="270"/>
      <c r="I407" s="271"/>
      <c r="J407" s="271"/>
      <c r="K407" s="271"/>
      <c r="L407" s="272"/>
      <c r="M407" s="273"/>
      <c r="N407" s="274"/>
      <c r="O407" s="274"/>
      <c r="P407" s="275"/>
      <c r="Q407" s="275"/>
      <c r="R407" s="275"/>
      <c r="S407" s="276"/>
      <c r="T407" s="275"/>
      <c r="U407" s="275"/>
      <c r="V407" s="272"/>
      <c r="W407" s="272"/>
      <c r="X407" s="275"/>
      <c r="Y407" s="345"/>
      <c r="Z407" s="345"/>
      <c r="AA407" s="345"/>
      <c r="AB407" s="345"/>
      <c r="AC407" s="345"/>
      <c r="AD407" s="345"/>
      <c r="AE407" s="345"/>
      <c r="AF407" s="345"/>
      <c r="AG407" s="346"/>
      <c r="AH407" s="265"/>
      <c r="AI407" s="338"/>
      <c r="AJ407" s="265"/>
      <c r="AK407" s="265"/>
      <c r="AL407" s="265"/>
      <c r="AM407" s="265"/>
      <c r="AN407" s="265"/>
      <c r="AO407" s="265"/>
      <c r="AP407" s="265"/>
      <c r="AQ407" s="265"/>
      <c r="AR407" s="265"/>
      <c r="AS407" s="265"/>
      <c r="AT407" s="265"/>
      <c r="AU407" s="265"/>
      <c r="AV407" s="265"/>
      <c r="AW407" s="265"/>
      <c r="AX407" s="265"/>
      <c r="AY407" s="265"/>
      <c r="AZ407" s="265"/>
      <c r="BA407" s="265"/>
      <c r="BB407" s="265"/>
      <c r="BC407" s="265"/>
      <c r="BD407" s="265"/>
      <c r="BE407" s="265"/>
      <c r="BF407" s="265"/>
      <c r="BG407" s="265"/>
      <c r="BH407" s="265"/>
      <c r="BI407" s="265"/>
      <c r="BJ407" s="265"/>
      <c r="BK407" s="265"/>
      <c r="BL407" s="265"/>
      <c r="BM407" s="265"/>
      <c r="BN407" s="265"/>
      <c r="BO407" s="265"/>
      <c r="BP407" s="265"/>
      <c r="BQ407" s="265"/>
      <c r="BR407" s="265"/>
      <c r="BS407" s="265"/>
      <c r="BT407" s="265"/>
      <c r="BU407" s="265"/>
      <c r="BV407" s="265"/>
    </row>
    <row r="408">
      <c r="A408" s="252" t="str">
        <f>VLOOKUP($F408,UpdateHashtag!$V$3:$Y$32,COLUMN(B$15),0)</f>
        <v>#N/A</v>
      </c>
      <c r="B408" s="252" t="str">
        <f>VLOOKUP($F408,UpdateHashtag!$V$3:$Y$32,COLUMN(C$13),0)</f>
        <v>#N/A</v>
      </c>
      <c r="C408" s="252" t="str">
        <f>VLOOKUP($F408,UpdateHashtag!$V$3:$Y$32,COLUMN(D$13),0)</f>
        <v>#N/A</v>
      </c>
      <c r="D408" s="369" t="str">
        <f t="shared" si="4"/>
        <v>#N/A</v>
      </c>
      <c r="E408" s="19"/>
      <c r="F408" s="370" t="str">
        <f>IF(VLOOKUP(J408,PasteHashtag!$C$2:$P1015,3,)="BRO","BKN",IF(VLOOKUP(J408,PasteHashtag!$C$2:$P1015,3,)="OKL","OKC",VLOOKUP(J408,PasteHashtag!$C$2:$P1015,3,)))</f>
        <v>#N/A</v>
      </c>
      <c r="G408" s="370">
        <v>388.0</v>
      </c>
      <c r="H408" s="371"/>
      <c r="I408" s="372"/>
      <c r="J408" s="372"/>
      <c r="K408" s="372"/>
      <c r="L408" s="373"/>
      <c r="M408" s="374"/>
      <c r="N408" s="375"/>
      <c r="O408" s="375"/>
      <c r="P408" s="376"/>
      <c r="Q408" s="376"/>
      <c r="R408" s="376"/>
      <c r="S408" s="377"/>
      <c r="T408" s="376"/>
      <c r="U408" s="376"/>
      <c r="V408" s="373"/>
      <c r="W408" s="373"/>
      <c r="X408" s="376"/>
      <c r="Y408" s="378"/>
      <c r="Z408" s="378"/>
      <c r="AA408" s="378"/>
      <c r="AB408" s="378"/>
      <c r="AC408" s="378"/>
      <c r="AD408" s="378"/>
      <c r="AE408" s="378"/>
      <c r="AF408" s="378"/>
      <c r="AG408" s="379"/>
      <c r="AH408" s="265"/>
      <c r="AI408" s="338"/>
      <c r="AJ408" s="265"/>
      <c r="AK408" s="265"/>
      <c r="AL408" s="265"/>
      <c r="AM408" s="265"/>
      <c r="AN408" s="265"/>
      <c r="AO408" s="265"/>
      <c r="AP408" s="265"/>
      <c r="AQ408" s="265"/>
      <c r="AR408" s="265"/>
      <c r="AS408" s="265"/>
      <c r="AT408" s="265"/>
      <c r="AU408" s="265"/>
      <c r="AV408" s="265"/>
      <c r="AW408" s="265"/>
      <c r="AX408" s="265"/>
      <c r="AY408" s="265"/>
      <c r="AZ408" s="265"/>
      <c r="BA408" s="265"/>
      <c r="BB408" s="265"/>
      <c r="BC408" s="265"/>
      <c r="BD408" s="265"/>
      <c r="BE408" s="265"/>
      <c r="BF408" s="265"/>
      <c r="BG408" s="265"/>
      <c r="BH408" s="265"/>
      <c r="BI408" s="265"/>
      <c r="BJ408" s="265"/>
      <c r="BK408" s="265"/>
      <c r="BL408" s="265"/>
      <c r="BM408" s="265"/>
      <c r="BN408" s="265"/>
      <c r="BO408" s="265"/>
      <c r="BP408" s="265"/>
      <c r="BQ408" s="265"/>
      <c r="BR408" s="265"/>
      <c r="BS408" s="265"/>
      <c r="BT408" s="265"/>
      <c r="BU408" s="265"/>
      <c r="BV408" s="265"/>
    </row>
    <row r="409">
      <c r="A409" s="252" t="str">
        <f>VLOOKUP($F409,UpdateHashtag!$V$3:$Y$32,COLUMN(B$15),0)</f>
        <v>#N/A</v>
      </c>
      <c r="B409" s="252" t="str">
        <f>VLOOKUP($F409,UpdateHashtag!$V$3:$Y$32,COLUMN(C$13),0)</f>
        <v>#N/A</v>
      </c>
      <c r="C409" s="252" t="str">
        <f>VLOOKUP($F409,UpdateHashtag!$V$3:$Y$32,COLUMN(D$13),0)</f>
        <v>#N/A</v>
      </c>
      <c r="D409" s="380" t="str">
        <f t="shared" si="4"/>
        <v>#N/A</v>
      </c>
      <c r="E409" s="381"/>
      <c r="F409" s="382" t="str">
        <f>IF(VLOOKUP(J409,PasteHashtag!$C$2:$P1015,3,)="BRO","BKN",IF(VLOOKUP(J409,PasteHashtag!$C$2:$P1015,3,)="OKL","OKC",VLOOKUP(J409,PasteHashtag!$C$2:$P1015,3,)))</f>
        <v>#N/A</v>
      </c>
      <c r="G409" s="382">
        <v>389.0</v>
      </c>
      <c r="H409" s="383"/>
      <c r="I409" s="384"/>
      <c r="J409" s="384"/>
      <c r="K409" s="384"/>
      <c r="L409" s="385"/>
      <c r="M409" s="386"/>
      <c r="N409" s="387"/>
      <c r="O409" s="387"/>
      <c r="P409" s="388"/>
      <c r="Q409" s="388"/>
      <c r="R409" s="388"/>
      <c r="S409" s="389"/>
      <c r="T409" s="388"/>
      <c r="U409" s="388"/>
      <c r="V409" s="385"/>
      <c r="W409" s="385"/>
      <c r="X409" s="388"/>
      <c r="Y409" s="390"/>
      <c r="Z409" s="390"/>
      <c r="AA409" s="390"/>
      <c r="AB409" s="390"/>
      <c r="AC409" s="390"/>
      <c r="AD409" s="390"/>
      <c r="AE409" s="390"/>
      <c r="AF409" s="390"/>
      <c r="AG409" s="390"/>
      <c r="AH409" s="23"/>
      <c r="AI409" s="391"/>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row>
    <row r="410" hidden="1">
      <c r="A410" s="252" t="str">
        <f>VLOOKUP($F410,UpdateHashtag!$V$3:$Y$32,COLUMN(B$15),0)</f>
        <v>#N/A</v>
      </c>
      <c r="B410" s="252" t="str">
        <f>VLOOKUP($F410,UpdateHashtag!$V$3:$Y$32,COLUMN(C$13),0)</f>
        <v>#N/A</v>
      </c>
      <c r="C410" s="252" t="str">
        <f>VLOOKUP($F410,UpdateHashtag!$V$3:$Y$32,COLUMN(D$13),0)</f>
        <v>#N/A</v>
      </c>
      <c r="D410" s="392" t="str">
        <f t="shared" si="4"/>
        <v>#N/A</v>
      </c>
      <c r="E410" s="381"/>
      <c r="F410" s="393" t="str">
        <f>IF(VLOOKUP(J410,PasteHashtag!$C$2:$P1015,3,)="BRO","BKN",IF(VLOOKUP(J410,PasteHashtag!$C$2:$P1015,3,)="OKL","OKC",VLOOKUP(J410,PasteHashtag!$C$2:$P1015,3,)))</f>
        <v>#N/A</v>
      </c>
      <c r="G410" s="394">
        <v>390.0</v>
      </c>
      <c r="H410" s="395"/>
      <c r="I410" s="396"/>
      <c r="J410" s="396"/>
      <c r="K410" s="396"/>
      <c r="L410" s="397"/>
      <c r="M410" s="398"/>
      <c r="N410" s="399"/>
      <c r="O410" s="399"/>
      <c r="P410" s="400"/>
      <c r="Q410" s="400"/>
      <c r="R410" s="400"/>
      <c r="S410" s="401"/>
      <c r="T410" s="400"/>
      <c r="U410" s="400"/>
      <c r="V410" s="400"/>
      <c r="W410" s="400"/>
      <c r="X410" s="400"/>
      <c r="Y410" s="402"/>
      <c r="Z410" s="402"/>
      <c r="AA410" s="402"/>
      <c r="AB410" s="402"/>
      <c r="AC410" s="402"/>
      <c r="AD410" s="402"/>
      <c r="AE410" s="402"/>
      <c r="AF410" s="402"/>
      <c r="AG410" s="402"/>
      <c r="AH410" s="23"/>
      <c r="AI410" s="391"/>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row>
    <row r="411" hidden="1">
      <c r="A411" s="252" t="str">
        <f>VLOOKUP($F411,UpdateHashtag!$V$3:$Y$32,COLUMN(B$15),0)</f>
        <v>#N/A</v>
      </c>
      <c r="B411" s="252" t="str">
        <f>VLOOKUP($F411,UpdateHashtag!$V$3:$Y$32,COLUMN(C$13),0)</f>
        <v>#N/A</v>
      </c>
      <c r="C411" s="252" t="str">
        <f>VLOOKUP($F411,UpdateHashtag!$V$3:$Y$32,COLUMN(D$13),0)</f>
        <v>#N/A</v>
      </c>
      <c r="D411" s="392" t="str">
        <f t="shared" si="4"/>
        <v>#N/A</v>
      </c>
      <c r="E411" s="381"/>
      <c r="F411" s="393" t="str">
        <f>IF(VLOOKUP(J411,PasteHashtag!$C$2:$P1015,3,)="BRO","BKN",IF(VLOOKUP(J411,PasteHashtag!$C$2:$P1015,3,)="OKL","OKC",VLOOKUP(J411,PasteHashtag!$C$2:$P1015,3,)))</f>
        <v>#N/A</v>
      </c>
      <c r="G411" s="394">
        <v>391.0</v>
      </c>
      <c r="H411" s="395"/>
      <c r="I411" s="396"/>
      <c r="J411" s="396"/>
      <c r="K411" s="396"/>
      <c r="L411" s="397"/>
      <c r="M411" s="398"/>
      <c r="N411" s="399"/>
      <c r="O411" s="399"/>
      <c r="P411" s="400"/>
      <c r="Q411" s="400"/>
      <c r="R411" s="400"/>
      <c r="S411" s="401"/>
      <c r="T411" s="400"/>
      <c r="U411" s="400"/>
      <c r="V411" s="400"/>
      <c r="W411" s="400"/>
      <c r="X411" s="400"/>
      <c r="Y411" s="402"/>
      <c r="Z411" s="402"/>
      <c r="AA411" s="402"/>
      <c r="AB411" s="402"/>
      <c r="AC411" s="402"/>
      <c r="AD411" s="402"/>
      <c r="AE411" s="402"/>
      <c r="AF411" s="402"/>
      <c r="AG411" s="402"/>
      <c r="AH411" s="23"/>
      <c r="AI411" s="391"/>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row>
    <row r="412" hidden="1">
      <c r="A412" s="252" t="str">
        <f>VLOOKUP($F412,UpdateHashtag!$V$3:$Y$32,COLUMN(B$15),0)</f>
        <v>#N/A</v>
      </c>
      <c r="B412" s="252" t="str">
        <f>VLOOKUP($F412,UpdateHashtag!$V$3:$Y$32,COLUMN(C$13),0)</f>
        <v>#N/A</v>
      </c>
      <c r="C412" s="252" t="str">
        <f>VLOOKUP($F412,UpdateHashtag!$V$3:$Y$32,COLUMN(D$13),0)</f>
        <v>#N/A</v>
      </c>
      <c r="D412" s="392" t="str">
        <f t="shared" si="4"/>
        <v>#N/A</v>
      </c>
      <c r="E412" s="381"/>
      <c r="F412" s="393" t="str">
        <f>IF(VLOOKUP(J412,PasteHashtag!$C$2:$P1015,3,)="BRO","BKN",IF(VLOOKUP(J412,PasteHashtag!$C$2:$P1015,3,)="OKL","OKC",VLOOKUP(J412,PasteHashtag!$C$2:$P1015,3,)))</f>
        <v>#N/A</v>
      </c>
      <c r="G412" s="394">
        <v>392.0</v>
      </c>
      <c r="H412" s="395"/>
      <c r="I412" s="396"/>
      <c r="J412" s="396"/>
      <c r="K412" s="396"/>
      <c r="L412" s="397"/>
      <c r="M412" s="398"/>
      <c r="N412" s="399"/>
      <c r="O412" s="399"/>
      <c r="P412" s="400"/>
      <c r="Q412" s="400"/>
      <c r="R412" s="400"/>
      <c r="S412" s="401"/>
      <c r="T412" s="400"/>
      <c r="U412" s="400"/>
      <c r="V412" s="400"/>
      <c r="W412" s="400"/>
      <c r="X412" s="400"/>
      <c r="Y412" s="402"/>
      <c r="Z412" s="402"/>
      <c r="AA412" s="402"/>
      <c r="AB412" s="402"/>
      <c r="AC412" s="402"/>
      <c r="AD412" s="402"/>
      <c r="AE412" s="402"/>
      <c r="AF412" s="402"/>
      <c r="AG412" s="402"/>
      <c r="AH412" s="23"/>
      <c r="AI412" s="391"/>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row>
    <row r="413" hidden="1">
      <c r="A413" s="252" t="str">
        <f>VLOOKUP($F413,UpdateHashtag!$V$3:$Y$32,COLUMN(B$15),0)</f>
        <v>#N/A</v>
      </c>
      <c r="B413" s="252" t="str">
        <f>VLOOKUP($F413,UpdateHashtag!$V$3:$Y$32,COLUMN(C$13),0)</f>
        <v>#N/A</v>
      </c>
      <c r="C413" s="252" t="str">
        <f>VLOOKUP($F413,UpdateHashtag!$V$3:$Y$32,COLUMN(D$13),0)</f>
        <v>#N/A</v>
      </c>
      <c r="D413" s="392" t="str">
        <f t="shared" si="4"/>
        <v>#N/A</v>
      </c>
      <c r="E413" s="381"/>
      <c r="F413" s="393" t="str">
        <f>IF(VLOOKUP(J413,PasteHashtag!$C$2:$P1015,3,)="BRO","BKN",IF(VLOOKUP(J413,PasteHashtag!$C$2:$P1015,3,)="OKL","OKC",VLOOKUP(J413,PasteHashtag!$C$2:$P1015,3,)))</f>
        <v>#N/A</v>
      </c>
      <c r="G413" s="394">
        <v>393.0</v>
      </c>
      <c r="H413" s="395"/>
      <c r="I413" s="396"/>
      <c r="J413" s="396"/>
      <c r="K413" s="396"/>
      <c r="L413" s="397"/>
      <c r="M413" s="398"/>
      <c r="N413" s="399"/>
      <c r="O413" s="399"/>
      <c r="P413" s="400"/>
      <c r="Q413" s="400"/>
      <c r="R413" s="400"/>
      <c r="S413" s="401"/>
      <c r="T413" s="400"/>
      <c r="U413" s="400"/>
      <c r="V413" s="400"/>
      <c r="W413" s="400"/>
      <c r="X413" s="400"/>
      <c r="Y413" s="402"/>
      <c r="Z413" s="402"/>
      <c r="AA413" s="402"/>
      <c r="AB413" s="402"/>
      <c r="AC413" s="402"/>
      <c r="AD413" s="402"/>
      <c r="AE413" s="402"/>
      <c r="AF413" s="402"/>
      <c r="AG413" s="402"/>
      <c r="AH413" s="23"/>
      <c r="AI413" s="391"/>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row>
    <row r="414" hidden="1">
      <c r="A414" s="252" t="str">
        <f>VLOOKUP($F414,UpdateHashtag!$V$3:$Y$32,COLUMN(B$15),0)</f>
        <v>#N/A</v>
      </c>
      <c r="B414" s="252" t="str">
        <f>VLOOKUP($F414,UpdateHashtag!$V$3:$Y$32,COLUMN(C$13),0)</f>
        <v>#N/A</v>
      </c>
      <c r="C414" s="252" t="str">
        <f>VLOOKUP($F414,UpdateHashtag!$V$3:$Y$32,COLUMN(D$13),0)</f>
        <v>#N/A</v>
      </c>
      <c r="D414" s="392" t="str">
        <f t="shared" si="4"/>
        <v>#N/A</v>
      </c>
      <c r="E414" s="381"/>
      <c r="F414" s="393" t="str">
        <f>IF(VLOOKUP(J414,PasteHashtag!$C$2:$P1015,3,)="BRO","BKN",IF(VLOOKUP(J414,PasteHashtag!$C$2:$P1015,3,)="OKL","OKC",VLOOKUP(J414,PasteHashtag!$C$2:$P1015,3,)))</f>
        <v>#N/A</v>
      </c>
      <c r="G414" s="394">
        <v>394.0</v>
      </c>
      <c r="H414" s="395"/>
      <c r="I414" s="396"/>
      <c r="J414" s="396"/>
      <c r="K414" s="396"/>
      <c r="L414" s="397"/>
      <c r="M414" s="398"/>
      <c r="N414" s="399"/>
      <c r="O414" s="399"/>
      <c r="P414" s="400"/>
      <c r="Q414" s="400"/>
      <c r="R414" s="400"/>
      <c r="S414" s="401"/>
      <c r="T414" s="400"/>
      <c r="U414" s="400"/>
      <c r="V414" s="400"/>
      <c r="W414" s="400"/>
      <c r="X414" s="400"/>
      <c r="Y414" s="402"/>
      <c r="Z414" s="402"/>
      <c r="AA414" s="402"/>
      <c r="AB414" s="402"/>
      <c r="AC414" s="402"/>
      <c r="AD414" s="402"/>
      <c r="AE414" s="402"/>
      <c r="AF414" s="402"/>
      <c r="AG414" s="402"/>
      <c r="AH414" s="23"/>
      <c r="AI414" s="391"/>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row>
    <row r="415" hidden="1">
      <c r="A415" s="252" t="str">
        <f>VLOOKUP($F415,UpdateHashtag!$V$3:$Y$32,COLUMN(B$15),0)</f>
        <v>#N/A</v>
      </c>
      <c r="B415" s="252" t="str">
        <f>VLOOKUP($F415,UpdateHashtag!$V$3:$Y$32,COLUMN(C$13),0)</f>
        <v>#N/A</v>
      </c>
      <c r="C415" s="252" t="str">
        <f>VLOOKUP($F415,UpdateHashtag!$V$3:$Y$32,COLUMN(D$13),0)</f>
        <v>#N/A</v>
      </c>
      <c r="D415" s="392" t="str">
        <f t="shared" si="4"/>
        <v>#N/A</v>
      </c>
      <c r="E415" s="381"/>
      <c r="F415" s="393" t="str">
        <f>IF(VLOOKUP(J415,PasteHashtag!$C$2:$P1015,3,)="BRO","BKN",IF(VLOOKUP(J415,PasteHashtag!$C$2:$P1015,3,)="OKL","OKC",VLOOKUP(J415,PasteHashtag!$C$2:$P1015,3,)))</f>
        <v>#N/A</v>
      </c>
      <c r="G415" s="394">
        <v>395.0</v>
      </c>
      <c r="H415" s="395"/>
      <c r="I415" s="396"/>
      <c r="J415" s="396"/>
      <c r="K415" s="396"/>
      <c r="L415" s="397"/>
      <c r="M415" s="398"/>
      <c r="N415" s="399"/>
      <c r="O415" s="399"/>
      <c r="P415" s="400"/>
      <c r="Q415" s="400"/>
      <c r="R415" s="400"/>
      <c r="S415" s="401"/>
      <c r="T415" s="400"/>
      <c r="U415" s="400"/>
      <c r="V415" s="400"/>
      <c r="W415" s="400"/>
      <c r="X415" s="400"/>
      <c r="Y415" s="402"/>
      <c r="Z415" s="402"/>
      <c r="AA415" s="402"/>
      <c r="AB415" s="402"/>
      <c r="AC415" s="402"/>
      <c r="AD415" s="402"/>
      <c r="AE415" s="402"/>
      <c r="AF415" s="402"/>
      <c r="AG415" s="402"/>
      <c r="AH415" s="23"/>
      <c r="AI415" s="391"/>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row>
    <row r="416" hidden="1">
      <c r="A416" s="252" t="str">
        <f>VLOOKUP($F416,UpdateHashtag!$V$3:$Y$32,COLUMN(B$15),0)</f>
        <v>#N/A</v>
      </c>
      <c r="B416" s="252" t="str">
        <f>VLOOKUP($F416,UpdateHashtag!$V$3:$Y$32,COLUMN(C$13),0)</f>
        <v>#N/A</v>
      </c>
      <c r="C416" s="252" t="str">
        <f>VLOOKUP($F416,UpdateHashtag!$V$3:$Y$32,COLUMN(D$13),0)</f>
        <v>#N/A</v>
      </c>
      <c r="D416" s="392" t="str">
        <f t="shared" si="4"/>
        <v>#N/A</v>
      </c>
      <c r="E416" s="381"/>
      <c r="F416" s="393" t="str">
        <f>IF(VLOOKUP(J416,PasteHashtag!$C$2:$P1015,3,)="BRO","BKN",IF(VLOOKUP(J416,PasteHashtag!$C$2:$P1015,3,)="OKL","OKC",VLOOKUP(J416,PasteHashtag!$C$2:$P1015,3,)))</f>
        <v>#N/A</v>
      </c>
      <c r="G416" s="394">
        <v>396.0</v>
      </c>
      <c r="H416" s="395"/>
      <c r="I416" s="396"/>
      <c r="J416" s="396"/>
      <c r="K416" s="396"/>
      <c r="L416" s="397"/>
      <c r="M416" s="398"/>
      <c r="N416" s="399"/>
      <c r="O416" s="399"/>
      <c r="P416" s="400"/>
      <c r="Q416" s="400"/>
      <c r="R416" s="400"/>
      <c r="S416" s="401"/>
      <c r="T416" s="400"/>
      <c r="U416" s="400"/>
      <c r="V416" s="400"/>
      <c r="W416" s="400"/>
      <c r="X416" s="400"/>
      <c r="Y416" s="402"/>
      <c r="Z416" s="402"/>
      <c r="AA416" s="402"/>
      <c r="AB416" s="402"/>
      <c r="AC416" s="402"/>
      <c r="AD416" s="402"/>
      <c r="AE416" s="402"/>
      <c r="AF416" s="402"/>
      <c r="AG416" s="402"/>
      <c r="AH416" s="23"/>
      <c r="AI416" s="391"/>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row>
    <row r="417">
      <c r="A417" s="403"/>
      <c r="B417" s="403"/>
      <c r="C417" s="403"/>
      <c r="D417" s="403"/>
      <c r="E417" s="381"/>
      <c r="F417" s="381"/>
      <c r="G417" s="17"/>
      <c r="H417" s="17"/>
      <c r="I417" s="17"/>
      <c r="J417" s="4"/>
      <c r="K417" s="17"/>
      <c r="L417" s="4"/>
      <c r="M417" s="4"/>
      <c r="N417" s="4"/>
      <c r="O417" s="4"/>
      <c r="P417" s="4"/>
      <c r="Q417" s="4"/>
      <c r="R417" s="4"/>
      <c r="S417" s="4"/>
      <c r="T417" s="4"/>
      <c r="U417" s="4"/>
      <c r="V417" s="404"/>
      <c r="W417" s="404"/>
      <c r="X417" s="4"/>
      <c r="Y417" s="4"/>
      <c r="Z417" s="4"/>
      <c r="AA417" s="4"/>
      <c r="AB417" s="4"/>
      <c r="AC417" s="4"/>
      <c r="AD417" s="4"/>
      <c r="AE417" s="4"/>
      <c r="AF417" s="4"/>
      <c r="AG417" s="4"/>
      <c r="AH417" s="4"/>
      <c r="AI417" s="17"/>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row>
    <row r="418">
      <c r="A418" s="403"/>
      <c r="B418" s="403"/>
      <c r="C418" s="403"/>
      <c r="D418" s="403"/>
      <c r="E418" s="381"/>
      <c r="F418" s="381"/>
      <c r="G418" s="17"/>
      <c r="H418" s="17"/>
      <c r="I418" s="17"/>
      <c r="J418" s="4"/>
      <c r="K418" s="17"/>
      <c r="L418" s="4"/>
      <c r="M418" s="4"/>
      <c r="N418" s="4"/>
      <c r="O418" s="4"/>
      <c r="P418" s="4"/>
      <c r="Q418" s="4"/>
      <c r="R418" s="4"/>
      <c r="S418" s="4"/>
      <c r="T418" s="4"/>
      <c r="U418" s="4"/>
      <c r="V418" s="404"/>
      <c r="W418" s="404"/>
      <c r="X418" s="4"/>
      <c r="Y418" s="4"/>
      <c r="Z418" s="4"/>
      <c r="AA418" s="4"/>
      <c r="AB418" s="4"/>
      <c r="AC418" s="4"/>
      <c r="AD418" s="4"/>
      <c r="AE418" s="4"/>
      <c r="AF418" s="4"/>
      <c r="AG418" s="4"/>
      <c r="AH418" s="4"/>
      <c r="AI418" s="17"/>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row>
    <row r="419">
      <c r="A419" s="403"/>
      <c r="B419" s="403"/>
      <c r="C419" s="403"/>
      <c r="D419" s="403"/>
      <c r="E419" s="381"/>
      <c r="F419" s="381"/>
      <c r="G419" s="17"/>
      <c r="H419" s="17"/>
      <c r="I419" s="17"/>
      <c r="J419" s="4"/>
      <c r="K419" s="17"/>
      <c r="L419" s="4"/>
      <c r="M419" s="4"/>
      <c r="N419" s="4"/>
      <c r="O419" s="4"/>
      <c r="P419" s="4"/>
      <c r="Q419" s="4"/>
      <c r="R419" s="4"/>
      <c r="S419" s="4"/>
      <c r="T419" s="4"/>
      <c r="U419" s="4"/>
      <c r="V419" s="404"/>
      <c r="W419" s="404"/>
      <c r="X419" s="4"/>
      <c r="Y419" s="4"/>
      <c r="Z419" s="4"/>
      <c r="AA419" s="4"/>
      <c r="AB419" s="4"/>
      <c r="AC419" s="4"/>
      <c r="AD419" s="4"/>
      <c r="AE419" s="4"/>
      <c r="AF419" s="4"/>
      <c r="AG419" s="4"/>
      <c r="AH419" s="4"/>
      <c r="AI419" s="17"/>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row>
    <row r="420">
      <c r="A420" s="403"/>
      <c r="B420" s="403"/>
      <c r="C420" s="403"/>
      <c r="D420" s="403"/>
      <c r="E420" s="381"/>
      <c r="F420" s="381"/>
      <c r="G420" s="17"/>
      <c r="H420" s="17"/>
      <c r="I420" s="17"/>
      <c r="J420" s="4"/>
      <c r="K420" s="17"/>
      <c r="L420" s="4"/>
      <c r="M420" s="4"/>
      <c r="N420" s="4"/>
      <c r="O420" s="4"/>
      <c r="P420" s="4"/>
      <c r="Q420" s="4"/>
      <c r="R420" s="4"/>
      <c r="S420" s="4"/>
      <c r="T420" s="4"/>
      <c r="U420" s="4"/>
      <c r="V420" s="404"/>
      <c r="W420" s="404"/>
      <c r="X420" s="4"/>
      <c r="Y420" s="4"/>
      <c r="Z420" s="4"/>
      <c r="AA420" s="4"/>
      <c r="AB420" s="4"/>
      <c r="AC420" s="4"/>
      <c r="AD420" s="4"/>
      <c r="AE420" s="4"/>
      <c r="AF420" s="4"/>
      <c r="AG420" s="4"/>
      <c r="AH420" s="4"/>
      <c r="AI420" s="17"/>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row>
    <row r="421">
      <c r="A421" s="403"/>
      <c r="B421" s="403"/>
      <c r="C421" s="403"/>
      <c r="D421" s="403"/>
      <c r="E421" s="381"/>
      <c r="F421" s="381"/>
      <c r="G421" s="17"/>
      <c r="H421" s="17"/>
      <c r="I421" s="17"/>
      <c r="J421" s="4"/>
      <c r="K421" s="17"/>
      <c r="L421" s="4"/>
      <c r="M421" s="4"/>
      <c r="N421" s="4"/>
      <c r="O421" s="4"/>
      <c r="P421" s="4"/>
      <c r="Q421" s="4"/>
      <c r="R421" s="4"/>
      <c r="S421" s="4"/>
      <c r="T421" s="4"/>
      <c r="U421" s="4"/>
      <c r="V421" s="404"/>
      <c r="W421" s="404"/>
      <c r="X421" s="4"/>
      <c r="Y421" s="4"/>
      <c r="Z421" s="4"/>
      <c r="AA421" s="4"/>
      <c r="AB421" s="4"/>
      <c r="AC421" s="4"/>
      <c r="AD421" s="4"/>
      <c r="AE421" s="4"/>
      <c r="AF421" s="4"/>
      <c r="AG421" s="4"/>
      <c r="AH421" s="4"/>
      <c r="AI421" s="17"/>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row>
    <row r="422">
      <c r="A422" s="403"/>
      <c r="B422" s="403"/>
      <c r="C422" s="403"/>
      <c r="D422" s="403"/>
      <c r="E422" s="381"/>
      <c r="F422" s="381"/>
      <c r="G422" s="17"/>
      <c r="H422" s="17"/>
      <c r="I422" s="17"/>
      <c r="J422" s="4"/>
      <c r="K422" s="17"/>
      <c r="L422" s="4"/>
      <c r="M422" s="4"/>
      <c r="N422" s="4"/>
      <c r="O422" s="4"/>
      <c r="P422" s="4"/>
      <c r="Q422" s="4"/>
      <c r="R422" s="4"/>
      <c r="S422" s="4"/>
      <c r="T422" s="4"/>
      <c r="U422" s="4"/>
      <c r="V422" s="404"/>
      <c r="W422" s="404"/>
      <c r="X422" s="4"/>
      <c r="Y422" s="4"/>
      <c r="Z422" s="4"/>
      <c r="AA422" s="4"/>
      <c r="AB422" s="4"/>
      <c r="AC422" s="4"/>
      <c r="AD422" s="4"/>
      <c r="AE422" s="4"/>
      <c r="AF422" s="4"/>
      <c r="AG422" s="4"/>
      <c r="AH422" s="4"/>
      <c r="AI422" s="17"/>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row>
    <row r="423">
      <c r="A423" s="403"/>
      <c r="B423" s="403"/>
      <c r="C423" s="403"/>
      <c r="D423" s="403"/>
      <c r="E423" s="381"/>
      <c r="F423" s="381"/>
      <c r="G423" s="17"/>
      <c r="H423" s="17"/>
      <c r="I423" s="17"/>
      <c r="J423" s="4"/>
      <c r="K423" s="17"/>
      <c r="L423" s="4"/>
      <c r="M423" s="4"/>
      <c r="N423" s="4"/>
      <c r="O423" s="4"/>
      <c r="P423" s="4"/>
      <c r="Q423" s="4"/>
      <c r="R423" s="4"/>
      <c r="S423" s="4"/>
      <c r="T423" s="4"/>
      <c r="U423" s="4"/>
      <c r="V423" s="404"/>
      <c r="W423" s="404"/>
      <c r="X423" s="4"/>
      <c r="Y423" s="4"/>
      <c r="Z423" s="4"/>
      <c r="AA423" s="4"/>
      <c r="AB423" s="4"/>
      <c r="AC423" s="4"/>
      <c r="AD423" s="4"/>
      <c r="AE423" s="4"/>
      <c r="AF423" s="4"/>
      <c r="AG423" s="4"/>
      <c r="AH423" s="4"/>
      <c r="AI423" s="17"/>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row>
    <row r="424">
      <c r="A424" s="403"/>
      <c r="B424" s="403"/>
      <c r="C424" s="403"/>
      <c r="D424" s="403"/>
      <c r="E424" s="381"/>
      <c r="F424" s="381"/>
      <c r="G424" s="17"/>
      <c r="H424" s="17"/>
      <c r="I424" s="17"/>
      <c r="J424" s="4"/>
      <c r="K424" s="17"/>
      <c r="L424" s="4"/>
      <c r="M424" s="4"/>
      <c r="N424" s="4"/>
      <c r="O424" s="4"/>
      <c r="P424" s="4"/>
      <c r="Q424" s="4"/>
      <c r="R424" s="4"/>
      <c r="S424" s="4"/>
      <c r="T424" s="4"/>
      <c r="U424" s="4"/>
      <c r="V424" s="404"/>
      <c r="W424" s="404"/>
      <c r="X424" s="4"/>
      <c r="Y424" s="4"/>
      <c r="Z424" s="4"/>
      <c r="AA424" s="4"/>
      <c r="AB424" s="4"/>
      <c r="AC424" s="4"/>
      <c r="AD424" s="4"/>
      <c r="AE424" s="4"/>
      <c r="AF424" s="4"/>
      <c r="AG424" s="4"/>
      <c r="AH424" s="4"/>
      <c r="AI424" s="17"/>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row>
    <row r="425">
      <c r="A425" s="403"/>
      <c r="B425" s="403"/>
      <c r="C425" s="403"/>
      <c r="D425" s="403"/>
      <c r="E425" s="381"/>
      <c r="F425" s="381"/>
      <c r="G425" s="17"/>
      <c r="H425" s="17"/>
      <c r="I425" s="17"/>
      <c r="J425" s="4"/>
      <c r="K425" s="17"/>
      <c r="L425" s="4"/>
      <c r="M425" s="4"/>
      <c r="N425" s="4"/>
      <c r="O425" s="4"/>
      <c r="P425" s="4"/>
      <c r="Q425" s="4"/>
      <c r="R425" s="4"/>
      <c r="S425" s="4"/>
      <c r="T425" s="4"/>
      <c r="U425" s="4"/>
      <c r="V425" s="404"/>
      <c r="W425" s="404"/>
      <c r="X425" s="4"/>
      <c r="Y425" s="4"/>
      <c r="Z425" s="4"/>
      <c r="AA425" s="4"/>
      <c r="AB425" s="4"/>
      <c r="AC425" s="4"/>
      <c r="AD425" s="4"/>
      <c r="AE425" s="4"/>
      <c r="AF425" s="4"/>
      <c r="AG425" s="4"/>
      <c r="AH425" s="4"/>
      <c r="AI425" s="17"/>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row>
    <row r="426">
      <c r="A426" s="403"/>
      <c r="B426" s="403"/>
      <c r="C426" s="403"/>
      <c r="D426" s="403"/>
      <c r="E426" s="381"/>
      <c r="F426" s="381"/>
      <c r="G426" s="17"/>
      <c r="H426" s="17"/>
      <c r="I426" s="17"/>
      <c r="J426" s="4"/>
      <c r="K426" s="17"/>
      <c r="L426" s="4"/>
      <c r="M426" s="4"/>
      <c r="N426" s="4"/>
      <c r="O426" s="4"/>
      <c r="P426" s="4"/>
      <c r="Q426" s="4"/>
      <c r="R426" s="4"/>
      <c r="S426" s="4"/>
      <c r="T426" s="4"/>
      <c r="U426" s="4"/>
      <c r="V426" s="404"/>
      <c r="W426" s="404"/>
      <c r="X426" s="4"/>
      <c r="Y426" s="4"/>
      <c r="Z426" s="4"/>
      <c r="AA426" s="4"/>
      <c r="AB426" s="4"/>
      <c r="AC426" s="4"/>
      <c r="AD426" s="4"/>
      <c r="AE426" s="4"/>
      <c r="AF426" s="4"/>
      <c r="AG426" s="4"/>
      <c r="AH426" s="4"/>
      <c r="AI426" s="17"/>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row>
    <row r="427">
      <c r="A427" s="403"/>
      <c r="B427" s="403"/>
      <c r="C427" s="403"/>
      <c r="D427" s="403"/>
      <c r="E427" s="381"/>
      <c r="F427" s="381"/>
      <c r="G427" s="17"/>
      <c r="H427" s="17"/>
      <c r="I427" s="17"/>
      <c r="J427" s="4"/>
      <c r="K427" s="17"/>
      <c r="L427" s="4"/>
      <c r="M427" s="4"/>
      <c r="N427" s="4"/>
      <c r="O427" s="4"/>
      <c r="P427" s="4"/>
      <c r="Q427" s="4"/>
      <c r="R427" s="4"/>
      <c r="S427" s="4"/>
      <c r="T427" s="4"/>
      <c r="U427" s="4"/>
      <c r="V427" s="404"/>
      <c r="W427" s="404"/>
      <c r="X427" s="4"/>
      <c r="Y427" s="4"/>
      <c r="Z427" s="4"/>
      <c r="AA427" s="4"/>
      <c r="AB427" s="4"/>
      <c r="AC427" s="4"/>
      <c r="AD427" s="4"/>
      <c r="AE427" s="4"/>
      <c r="AF427" s="4"/>
      <c r="AG427" s="4"/>
      <c r="AH427" s="4"/>
      <c r="AI427" s="17"/>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row>
    <row r="428">
      <c r="A428" s="403"/>
      <c r="B428" s="403"/>
      <c r="C428" s="403"/>
      <c r="D428" s="403"/>
      <c r="E428" s="381"/>
      <c r="F428" s="381"/>
      <c r="G428" s="17"/>
      <c r="H428" s="17"/>
      <c r="I428" s="17"/>
      <c r="J428" s="4"/>
      <c r="K428" s="17"/>
      <c r="L428" s="4"/>
      <c r="M428" s="4"/>
      <c r="N428" s="4"/>
      <c r="O428" s="4"/>
      <c r="P428" s="4"/>
      <c r="Q428" s="4"/>
      <c r="R428" s="4"/>
      <c r="S428" s="4"/>
      <c r="T428" s="4"/>
      <c r="U428" s="4"/>
      <c r="V428" s="404"/>
      <c r="W428" s="404"/>
      <c r="X428" s="4"/>
      <c r="Y428" s="4"/>
      <c r="Z428" s="4"/>
      <c r="AA428" s="4"/>
      <c r="AB428" s="4"/>
      <c r="AC428" s="4"/>
      <c r="AD428" s="4"/>
      <c r="AE428" s="4"/>
      <c r="AF428" s="4"/>
      <c r="AG428" s="4"/>
      <c r="AH428" s="4"/>
      <c r="AI428" s="17"/>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row>
    <row r="429">
      <c r="A429" s="403"/>
      <c r="B429" s="403"/>
      <c r="C429" s="403"/>
      <c r="D429" s="403"/>
      <c r="E429" s="381"/>
      <c r="F429" s="381"/>
      <c r="G429" s="17"/>
      <c r="H429" s="17"/>
      <c r="I429" s="17"/>
      <c r="J429" s="4"/>
      <c r="K429" s="17"/>
      <c r="L429" s="4"/>
      <c r="M429" s="4"/>
      <c r="N429" s="4"/>
      <c r="O429" s="4"/>
      <c r="P429" s="4"/>
      <c r="Q429" s="4"/>
      <c r="R429" s="4"/>
      <c r="S429" s="4"/>
      <c r="T429" s="4"/>
      <c r="U429" s="4"/>
      <c r="V429" s="404"/>
      <c r="W429" s="404"/>
      <c r="X429" s="4"/>
      <c r="Y429" s="4"/>
      <c r="Z429" s="4"/>
      <c r="AA429" s="4"/>
      <c r="AB429" s="4"/>
      <c r="AC429" s="4"/>
      <c r="AD429" s="4"/>
      <c r="AE429" s="4"/>
      <c r="AF429" s="4"/>
      <c r="AG429" s="4"/>
      <c r="AH429" s="4"/>
      <c r="AI429" s="17"/>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row>
    <row r="430">
      <c r="A430" s="403"/>
      <c r="B430" s="403"/>
      <c r="C430" s="403"/>
      <c r="D430" s="403"/>
      <c r="E430" s="381"/>
      <c r="F430" s="381"/>
      <c r="G430" s="17"/>
      <c r="H430" s="17"/>
      <c r="I430" s="17"/>
      <c r="J430" s="4"/>
      <c r="K430" s="17"/>
      <c r="L430" s="4"/>
      <c r="M430" s="4"/>
      <c r="N430" s="4"/>
      <c r="O430" s="4"/>
      <c r="P430" s="4"/>
      <c r="Q430" s="4"/>
      <c r="R430" s="4"/>
      <c r="S430" s="4"/>
      <c r="T430" s="4"/>
      <c r="U430" s="4"/>
      <c r="V430" s="404"/>
      <c r="W430" s="404"/>
      <c r="X430" s="4"/>
      <c r="Y430" s="4"/>
      <c r="Z430" s="4"/>
      <c r="AA430" s="4"/>
      <c r="AB430" s="4"/>
      <c r="AC430" s="4"/>
      <c r="AD430" s="4"/>
      <c r="AE430" s="4"/>
      <c r="AF430" s="4"/>
      <c r="AG430" s="4"/>
      <c r="AH430" s="4"/>
      <c r="AI430" s="17"/>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row>
    <row r="431">
      <c r="A431" s="403"/>
      <c r="B431" s="403"/>
      <c r="C431" s="403"/>
      <c r="D431" s="403"/>
      <c r="E431" s="381"/>
      <c r="F431" s="381"/>
      <c r="G431" s="17"/>
      <c r="H431" s="17"/>
      <c r="I431" s="17"/>
      <c r="J431" s="4"/>
      <c r="K431" s="17"/>
      <c r="L431" s="4"/>
      <c r="M431" s="4"/>
      <c r="N431" s="4"/>
      <c r="O431" s="4"/>
      <c r="P431" s="4"/>
      <c r="Q431" s="4"/>
      <c r="R431" s="4"/>
      <c r="S431" s="4"/>
      <c r="T431" s="4"/>
      <c r="U431" s="4"/>
      <c r="V431" s="404"/>
      <c r="W431" s="404"/>
      <c r="X431" s="4"/>
      <c r="Y431" s="4"/>
      <c r="Z431" s="4"/>
      <c r="AA431" s="4"/>
      <c r="AB431" s="4"/>
      <c r="AC431" s="4"/>
      <c r="AD431" s="4"/>
      <c r="AE431" s="4"/>
      <c r="AF431" s="4"/>
      <c r="AG431" s="4"/>
      <c r="AH431" s="4"/>
      <c r="AI431" s="17"/>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row>
    <row r="432">
      <c r="A432" s="403"/>
      <c r="B432" s="403"/>
      <c r="C432" s="403"/>
      <c r="D432" s="403"/>
      <c r="E432" s="381"/>
      <c r="F432" s="381"/>
      <c r="G432" s="17"/>
      <c r="H432" s="17"/>
      <c r="I432" s="17"/>
      <c r="J432" s="4"/>
      <c r="K432" s="17"/>
      <c r="L432" s="4"/>
      <c r="M432" s="4"/>
      <c r="N432" s="4"/>
      <c r="O432" s="4"/>
      <c r="P432" s="4"/>
      <c r="Q432" s="4"/>
      <c r="R432" s="4"/>
      <c r="S432" s="4"/>
      <c r="T432" s="4"/>
      <c r="U432" s="4"/>
      <c r="V432" s="404"/>
      <c r="W432" s="404"/>
      <c r="X432" s="4"/>
      <c r="Y432" s="4"/>
      <c r="Z432" s="4"/>
      <c r="AA432" s="4"/>
      <c r="AB432" s="4"/>
      <c r="AC432" s="4"/>
      <c r="AD432" s="4"/>
      <c r="AE432" s="4"/>
      <c r="AF432" s="4"/>
      <c r="AG432" s="4"/>
      <c r="AH432" s="4"/>
      <c r="AI432" s="17"/>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row>
    <row r="433">
      <c r="A433" s="403"/>
      <c r="B433" s="403"/>
      <c r="C433" s="403"/>
      <c r="D433" s="403"/>
      <c r="E433" s="381"/>
      <c r="F433" s="381"/>
      <c r="G433" s="17"/>
      <c r="H433" s="17"/>
      <c r="I433" s="17"/>
      <c r="J433" s="4"/>
      <c r="K433" s="17"/>
      <c r="L433" s="4"/>
      <c r="M433" s="4"/>
      <c r="N433" s="4"/>
      <c r="O433" s="4"/>
      <c r="P433" s="4"/>
      <c r="Q433" s="4"/>
      <c r="R433" s="4"/>
      <c r="S433" s="4"/>
      <c r="T433" s="4"/>
      <c r="U433" s="4"/>
      <c r="V433" s="404"/>
      <c r="W433" s="404"/>
      <c r="X433" s="4"/>
      <c r="Y433" s="4"/>
      <c r="Z433" s="4"/>
      <c r="AA433" s="4"/>
      <c r="AB433" s="4"/>
      <c r="AC433" s="4"/>
      <c r="AD433" s="4"/>
      <c r="AE433" s="4"/>
      <c r="AF433" s="4"/>
      <c r="AG433" s="4"/>
      <c r="AH433" s="4"/>
      <c r="AI433" s="17"/>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row>
    <row r="434">
      <c r="A434" s="403"/>
      <c r="B434" s="403"/>
      <c r="C434" s="403"/>
      <c r="D434" s="403"/>
      <c r="E434" s="381"/>
      <c r="F434" s="381"/>
      <c r="G434" s="17"/>
      <c r="H434" s="17"/>
      <c r="I434" s="17"/>
      <c r="J434" s="4"/>
      <c r="K434" s="17"/>
      <c r="L434" s="4"/>
      <c r="M434" s="4"/>
      <c r="N434" s="4"/>
      <c r="O434" s="4"/>
      <c r="P434" s="4"/>
      <c r="Q434" s="4"/>
      <c r="R434" s="4"/>
      <c r="S434" s="4"/>
      <c r="T434" s="4"/>
      <c r="U434" s="4"/>
      <c r="V434" s="404"/>
      <c r="W434" s="404"/>
      <c r="X434" s="4"/>
      <c r="Y434" s="4"/>
      <c r="Z434" s="4"/>
      <c r="AA434" s="4"/>
      <c r="AB434" s="4"/>
      <c r="AC434" s="4"/>
      <c r="AD434" s="4"/>
      <c r="AE434" s="4"/>
      <c r="AF434" s="4"/>
      <c r="AG434" s="4"/>
      <c r="AH434" s="4"/>
      <c r="AI434" s="17"/>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row>
    <row r="435">
      <c r="A435" s="403"/>
      <c r="B435" s="403"/>
      <c r="C435" s="403"/>
      <c r="D435" s="403"/>
      <c r="E435" s="381"/>
      <c r="F435" s="381"/>
      <c r="G435" s="17"/>
      <c r="H435" s="17"/>
      <c r="I435" s="17"/>
      <c r="J435" s="4"/>
      <c r="K435" s="17"/>
      <c r="L435" s="4"/>
      <c r="M435" s="4"/>
      <c r="N435" s="4"/>
      <c r="O435" s="4"/>
      <c r="P435" s="4"/>
      <c r="Q435" s="4"/>
      <c r="R435" s="4"/>
      <c r="S435" s="4"/>
      <c r="T435" s="4"/>
      <c r="U435" s="4"/>
      <c r="V435" s="404"/>
      <c r="W435" s="404"/>
      <c r="X435" s="4"/>
      <c r="Y435" s="4"/>
      <c r="Z435" s="4"/>
      <c r="AA435" s="4"/>
      <c r="AB435" s="4"/>
      <c r="AC435" s="4"/>
      <c r="AD435" s="4"/>
      <c r="AE435" s="4"/>
      <c r="AF435" s="4"/>
      <c r="AG435" s="4"/>
      <c r="AH435" s="4"/>
      <c r="AI435" s="17"/>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row>
    <row r="436">
      <c r="A436" s="4"/>
      <c r="B436" s="4"/>
      <c r="C436" s="4"/>
      <c r="D436" s="4"/>
      <c r="E436" s="17"/>
      <c r="F436" s="17"/>
      <c r="G436" s="17"/>
      <c r="H436" s="17"/>
      <c r="I436" s="17"/>
      <c r="J436" s="4"/>
      <c r="K436" s="17"/>
      <c r="L436" s="4"/>
      <c r="M436" s="4"/>
      <c r="N436" s="4"/>
      <c r="O436" s="4"/>
      <c r="P436" s="4"/>
      <c r="Q436" s="4"/>
      <c r="R436" s="4"/>
      <c r="S436" s="4"/>
      <c r="T436" s="4"/>
      <c r="U436" s="4"/>
      <c r="V436" s="404"/>
      <c r="W436" s="404"/>
      <c r="X436" s="4"/>
      <c r="Y436" s="4"/>
      <c r="Z436" s="4"/>
      <c r="AA436" s="4"/>
      <c r="AB436" s="4"/>
      <c r="AC436" s="4"/>
      <c r="AD436" s="4"/>
      <c r="AE436" s="4"/>
      <c r="AF436" s="4"/>
      <c r="AG436" s="4"/>
      <c r="AH436" s="4"/>
      <c r="AI436" s="17"/>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row>
    <row r="437">
      <c r="A437" s="4"/>
      <c r="B437" s="4"/>
      <c r="C437" s="4"/>
      <c r="D437" s="4"/>
      <c r="E437" s="17"/>
      <c r="F437" s="17"/>
      <c r="G437" s="17"/>
      <c r="H437" s="17"/>
      <c r="I437" s="17"/>
      <c r="J437" s="4"/>
      <c r="K437" s="17"/>
      <c r="L437" s="4"/>
      <c r="M437" s="4"/>
      <c r="N437" s="4"/>
      <c r="O437" s="4"/>
      <c r="P437" s="4"/>
      <c r="Q437" s="4"/>
      <c r="R437" s="4"/>
      <c r="S437" s="4"/>
      <c r="T437" s="4"/>
      <c r="U437" s="4"/>
      <c r="V437" s="404"/>
      <c r="W437" s="404"/>
      <c r="X437" s="4"/>
      <c r="Y437" s="4"/>
      <c r="Z437" s="4"/>
      <c r="AA437" s="4"/>
      <c r="AB437" s="4"/>
      <c r="AC437" s="4"/>
      <c r="AD437" s="4"/>
      <c r="AE437" s="4"/>
      <c r="AF437" s="4"/>
      <c r="AG437" s="4"/>
      <c r="AH437" s="4"/>
      <c r="AI437" s="17"/>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row>
    <row r="438">
      <c r="A438" s="4"/>
      <c r="B438" s="4"/>
      <c r="C438" s="4"/>
      <c r="D438" s="4"/>
      <c r="E438" s="17"/>
      <c r="F438" s="17"/>
      <c r="G438" s="17"/>
      <c r="H438" s="17"/>
      <c r="I438" s="17"/>
      <c r="J438" s="4"/>
      <c r="K438" s="17"/>
      <c r="L438" s="4"/>
      <c r="M438" s="4"/>
      <c r="N438" s="4"/>
      <c r="O438" s="4"/>
      <c r="P438" s="4"/>
      <c r="Q438" s="4"/>
      <c r="R438" s="4"/>
      <c r="S438" s="4"/>
      <c r="T438" s="4"/>
      <c r="U438" s="4"/>
      <c r="V438" s="404"/>
      <c r="W438" s="404"/>
      <c r="X438" s="4"/>
      <c r="Y438" s="4"/>
      <c r="Z438" s="4"/>
      <c r="AA438" s="4"/>
      <c r="AB438" s="4"/>
      <c r="AC438" s="4"/>
      <c r="AD438" s="4"/>
      <c r="AE438" s="4"/>
      <c r="AF438" s="4"/>
      <c r="AG438" s="4"/>
      <c r="AH438" s="4"/>
      <c r="AI438" s="17"/>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row>
    <row r="439">
      <c r="A439" s="4"/>
      <c r="B439" s="4"/>
      <c r="C439" s="4"/>
      <c r="D439" s="4"/>
      <c r="E439" s="17"/>
      <c r="F439" s="17"/>
      <c r="G439" s="17"/>
      <c r="H439" s="17"/>
      <c r="I439" s="17"/>
      <c r="J439" s="4"/>
      <c r="K439" s="17"/>
      <c r="L439" s="4"/>
      <c r="M439" s="4"/>
      <c r="N439" s="4"/>
      <c r="O439" s="4"/>
      <c r="P439" s="4"/>
      <c r="Q439" s="4"/>
      <c r="R439" s="4"/>
      <c r="S439" s="4"/>
      <c r="T439" s="4"/>
      <c r="U439" s="4"/>
      <c r="V439" s="404"/>
      <c r="W439" s="404"/>
      <c r="X439" s="4"/>
      <c r="Y439" s="4"/>
      <c r="Z439" s="4"/>
      <c r="AA439" s="4"/>
      <c r="AB439" s="4"/>
      <c r="AC439" s="4"/>
      <c r="AD439" s="4"/>
      <c r="AE439" s="4"/>
      <c r="AF439" s="4"/>
      <c r="AG439" s="4"/>
      <c r="AH439" s="4"/>
      <c r="AI439" s="17"/>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row>
    <row r="440">
      <c r="A440" s="4"/>
      <c r="B440" s="4"/>
      <c r="C440" s="4"/>
      <c r="D440" s="4"/>
      <c r="E440" s="17"/>
      <c r="F440" s="17"/>
      <c r="G440" s="17"/>
      <c r="H440" s="17"/>
      <c r="I440" s="17"/>
      <c r="J440" s="4"/>
      <c r="K440" s="17"/>
      <c r="L440" s="4"/>
      <c r="M440" s="4"/>
      <c r="N440" s="4"/>
      <c r="O440" s="4"/>
      <c r="P440" s="4"/>
      <c r="Q440" s="4"/>
      <c r="R440" s="4"/>
      <c r="S440" s="4"/>
      <c r="T440" s="4"/>
      <c r="U440" s="4"/>
      <c r="V440" s="404"/>
      <c r="W440" s="404"/>
      <c r="X440" s="4"/>
      <c r="Y440" s="4"/>
      <c r="Z440" s="4"/>
      <c r="AA440" s="4"/>
      <c r="AB440" s="4"/>
      <c r="AC440" s="4"/>
      <c r="AD440" s="4"/>
      <c r="AE440" s="4"/>
      <c r="AF440" s="4"/>
      <c r="AG440" s="4"/>
      <c r="AH440" s="4"/>
      <c r="AI440" s="17"/>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row>
    <row r="441">
      <c r="A441" s="4"/>
      <c r="B441" s="4"/>
      <c r="C441" s="4"/>
      <c r="D441" s="4"/>
      <c r="E441" s="17"/>
      <c r="F441" s="17"/>
      <c r="G441" s="17"/>
      <c r="H441" s="17"/>
      <c r="I441" s="17"/>
      <c r="J441" s="4"/>
      <c r="K441" s="17"/>
      <c r="L441" s="4"/>
      <c r="M441" s="4"/>
      <c r="N441" s="4"/>
      <c r="O441" s="4"/>
      <c r="P441" s="4"/>
      <c r="Q441" s="4"/>
      <c r="R441" s="4"/>
      <c r="S441" s="4"/>
      <c r="T441" s="4"/>
      <c r="U441" s="4"/>
      <c r="V441" s="404"/>
      <c r="W441" s="404"/>
      <c r="X441" s="4"/>
      <c r="Y441" s="4"/>
      <c r="Z441" s="4"/>
      <c r="AA441" s="4"/>
      <c r="AB441" s="4"/>
      <c r="AC441" s="4"/>
      <c r="AD441" s="4"/>
      <c r="AE441" s="4"/>
      <c r="AF441" s="4"/>
      <c r="AG441" s="4"/>
      <c r="AH441" s="4"/>
      <c r="AI441" s="17"/>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row>
    <row r="442">
      <c r="A442" s="4"/>
      <c r="B442" s="4"/>
      <c r="C442" s="4"/>
      <c r="D442" s="4"/>
      <c r="E442" s="17"/>
      <c r="F442" s="17"/>
      <c r="G442" s="17"/>
      <c r="H442" s="17"/>
      <c r="I442" s="17"/>
      <c r="J442" s="4"/>
      <c r="K442" s="17"/>
      <c r="L442" s="4"/>
      <c r="M442" s="4"/>
      <c r="N442" s="4"/>
      <c r="O442" s="4"/>
      <c r="P442" s="4"/>
      <c r="Q442" s="4"/>
      <c r="R442" s="4"/>
      <c r="S442" s="4"/>
      <c r="T442" s="4"/>
      <c r="U442" s="4"/>
      <c r="V442" s="404"/>
      <c r="W442" s="404"/>
      <c r="X442" s="4"/>
      <c r="Y442" s="4"/>
      <c r="Z442" s="4"/>
      <c r="AA442" s="4"/>
      <c r="AB442" s="4"/>
      <c r="AC442" s="4"/>
      <c r="AD442" s="4"/>
      <c r="AE442" s="4"/>
      <c r="AF442" s="4"/>
      <c r="AG442" s="4"/>
      <c r="AH442" s="4"/>
      <c r="AI442" s="17"/>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row>
    <row r="443">
      <c r="A443" s="4"/>
      <c r="B443" s="4"/>
      <c r="C443" s="4"/>
      <c r="D443" s="4"/>
      <c r="E443" s="17"/>
      <c r="F443" s="17"/>
      <c r="G443" s="17"/>
      <c r="H443" s="17"/>
      <c r="I443" s="17"/>
      <c r="J443" s="4"/>
      <c r="K443" s="17"/>
      <c r="L443" s="4"/>
      <c r="M443" s="4"/>
      <c r="N443" s="4"/>
      <c r="O443" s="4"/>
      <c r="P443" s="4"/>
      <c r="Q443" s="4"/>
      <c r="R443" s="4"/>
      <c r="S443" s="4"/>
      <c r="T443" s="4"/>
      <c r="U443" s="4"/>
      <c r="V443" s="404"/>
      <c r="W443" s="404"/>
      <c r="X443" s="4"/>
      <c r="Y443" s="4"/>
      <c r="Z443" s="4"/>
      <c r="AA443" s="4"/>
      <c r="AB443" s="4"/>
      <c r="AC443" s="4"/>
      <c r="AD443" s="4"/>
      <c r="AE443" s="4"/>
      <c r="AF443" s="4"/>
      <c r="AG443" s="4"/>
      <c r="AH443" s="4"/>
      <c r="AI443" s="17"/>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row>
    <row r="444">
      <c r="A444" s="4"/>
      <c r="B444" s="4"/>
      <c r="C444" s="4"/>
      <c r="D444" s="4"/>
      <c r="E444" s="17"/>
      <c r="F444" s="17"/>
      <c r="G444" s="17"/>
      <c r="H444" s="17"/>
      <c r="I444" s="17"/>
      <c r="J444" s="4"/>
      <c r="K444" s="17"/>
      <c r="L444" s="4"/>
      <c r="M444" s="4"/>
      <c r="N444" s="4"/>
      <c r="O444" s="4"/>
      <c r="P444" s="4"/>
      <c r="Q444" s="4"/>
      <c r="R444" s="4"/>
      <c r="S444" s="4"/>
      <c r="T444" s="4"/>
      <c r="U444" s="4"/>
      <c r="V444" s="404"/>
      <c r="W444" s="404"/>
      <c r="X444" s="4"/>
      <c r="Y444" s="4"/>
      <c r="Z444" s="4"/>
      <c r="AA444" s="4"/>
      <c r="AB444" s="4"/>
      <c r="AC444" s="4"/>
      <c r="AD444" s="4"/>
      <c r="AE444" s="4"/>
      <c r="AF444" s="4"/>
      <c r="AG444" s="4"/>
      <c r="AH444" s="4"/>
      <c r="AI444" s="17"/>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row>
    <row r="445">
      <c r="A445" s="4"/>
      <c r="B445" s="4"/>
      <c r="C445" s="4"/>
      <c r="D445" s="4"/>
      <c r="E445" s="17"/>
      <c r="F445" s="17"/>
      <c r="G445" s="17"/>
      <c r="H445" s="17"/>
      <c r="I445" s="17"/>
      <c r="J445" s="4"/>
      <c r="K445" s="17"/>
      <c r="L445" s="4"/>
      <c r="M445" s="4"/>
      <c r="N445" s="4"/>
      <c r="O445" s="4"/>
      <c r="P445" s="4"/>
      <c r="Q445" s="4"/>
      <c r="R445" s="4"/>
      <c r="S445" s="4"/>
      <c r="T445" s="4"/>
      <c r="U445" s="4"/>
      <c r="V445" s="404"/>
      <c r="W445" s="404"/>
      <c r="X445" s="4"/>
      <c r="Y445" s="4"/>
      <c r="Z445" s="4"/>
      <c r="AA445" s="4"/>
      <c r="AB445" s="4"/>
      <c r="AC445" s="4"/>
      <c r="AD445" s="4"/>
      <c r="AE445" s="4"/>
      <c r="AF445" s="4"/>
      <c r="AG445" s="4"/>
      <c r="AH445" s="4"/>
      <c r="AI445" s="17"/>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row>
    <row r="446">
      <c r="A446" s="4"/>
      <c r="B446" s="4"/>
      <c r="C446" s="4"/>
      <c r="D446" s="4"/>
      <c r="E446" s="17"/>
      <c r="F446" s="17"/>
      <c r="G446" s="17"/>
      <c r="H446" s="17"/>
      <c r="I446" s="17"/>
      <c r="J446" s="4"/>
      <c r="K446" s="17"/>
      <c r="L446" s="4"/>
      <c r="M446" s="4"/>
      <c r="N446" s="4"/>
      <c r="O446" s="4"/>
      <c r="P446" s="4"/>
      <c r="Q446" s="4"/>
      <c r="R446" s="4"/>
      <c r="S446" s="4"/>
      <c r="T446" s="4"/>
      <c r="U446" s="4"/>
      <c r="V446" s="404"/>
      <c r="W446" s="404"/>
      <c r="X446" s="4"/>
      <c r="Y446" s="4"/>
      <c r="Z446" s="4"/>
      <c r="AA446" s="4"/>
      <c r="AB446" s="4"/>
      <c r="AC446" s="4"/>
      <c r="AD446" s="4"/>
      <c r="AE446" s="4"/>
      <c r="AF446" s="4"/>
      <c r="AG446" s="4"/>
      <c r="AH446" s="4"/>
      <c r="AI446" s="17"/>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row>
    <row r="447">
      <c r="A447" s="4"/>
      <c r="B447" s="4"/>
      <c r="C447" s="4"/>
      <c r="D447" s="4"/>
      <c r="E447" s="17"/>
      <c r="F447" s="17"/>
      <c r="G447" s="17"/>
      <c r="H447" s="17"/>
      <c r="I447" s="17"/>
      <c r="J447" s="4"/>
      <c r="K447" s="17"/>
      <c r="L447" s="4"/>
      <c r="M447" s="4"/>
      <c r="N447" s="4"/>
      <c r="O447" s="4"/>
      <c r="P447" s="4"/>
      <c r="Q447" s="4"/>
      <c r="R447" s="4"/>
      <c r="S447" s="4"/>
      <c r="T447" s="4"/>
      <c r="U447" s="4"/>
      <c r="V447" s="404"/>
      <c r="W447" s="404"/>
      <c r="X447" s="4"/>
      <c r="Y447" s="4"/>
      <c r="Z447" s="4"/>
      <c r="AA447" s="4"/>
      <c r="AB447" s="4"/>
      <c r="AC447" s="4"/>
      <c r="AD447" s="4"/>
      <c r="AE447" s="4"/>
      <c r="AF447" s="4"/>
      <c r="AG447" s="4"/>
      <c r="AH447" s="4"/>
      <c r="AI447" s="17"/>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row>
    <row r="448">
      <c r="A448" s="4"/>
      <c r="B448" s="4"/>
      <c r="C448" s="4"/>
      <c r="D448" s="4"/>
      <c r="E448" s="17"/>
      <c r="F448" s="17"/>
      <c r="G448" s="17"/>
      <c r="H448" s="17"/>
      <c r="I448" s="17"/>
      <c r="J448" s="4"/>
      <c r="K448" s="17"/>
      <c r="L448" s="4"/>
      <c r="M448" s="4"/>
      <c r="N448" s="4"/>
      <c r="O448" s="4"/>
      <c r="P448" s="4"/>
      <c r="Q448" s="4"/>
      <c r="R448" s="4"/>
      <c r="S448" s="4"/>
      <c r="T448" s="4"/>
      <c r="U448" s="4"/>
      <c r="V448" s="404"/>
      <c r="W448" s="404"/>
      <c r="X448" s="4"/>
      <c r="Y448" s="4"/>
      <c r="Z448" s="4"/>
      <c r="AA448" s="4"/>
      <c r="AB448" s="4"/>
      <c r="AC448" s="4"/>
      <c r="AD448" s="4"/>
      <c r="AE448" s="4"/>
      <c r="AF448" s="4"/>
      <c r="AG448" s="4"/>
      <c r="AH448" s="4"/>
      <c r="AI448" s="17"/>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row>
    <row r="449">
      <c r="A449" s="4"/>
      <c r="B449" s="4"/>
      <c r="C449" s="4"/>
      <c r="D449" s="4"/>
      <c r="E449" s="17"/>
      <c r="F449" s="17"/>
      <c r="G449" s="17"/>
      <c r="H449" s="17"/>
      <c r="I449" s="17"/>
      <c r="J449" s="4"/>
      <c r="K449" s="17"/>
      <c r="L449" s="4"/>
      <c r="M449" s="4"/>
      <c r="N449" s="4"/>
      <c r="O449" s="4"/>
      <c r="P449" s="4"/>
      <c r="Q449" s="4"/>
      <c r="R449" s="4"/>
      <c r="S449" s="4"/>
      <c r="T449" s="4"/>
      <c r="U449" s="4"/>
      <c r="V449" s="404"/>
      <c r="W449" s="404"/>
      <c r="X449" s="4"/>
      <c r="Y449" s="4"/>
      <c r="Z449" s="4"/>
      <c r="AA449" s="4"/>
      <c r="AB449" s="4"/>
      <c r="AC449" s="4"/>
      <c r="AD449" s="4"/>
      <c r="AE449" s="4"/>
      <c r="AF449" s="4"/>
      <c r="AG449" s="4"/>
      <c r="AH449" s="4"/>
      <c r="AI449" s="17"/>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row>
    <row r="450">
      <c r="A450" s="4"/>
      <c r="B450" s="4"/>
      <c r="C450" s="4"/>
      <c r="D450" s="4"/>
      <c r="E450" s="17"/>
      <c r="F450" s="17"/>
      <c r="G450" s="17"/>
      <c r="H450" s="17"/>
      <c r="I450" s="17"/>
      <c r="J450" s="4"/>
      <c r="K450" s="17"/>
      <c r="L450" s="4"/>
      <c r="M450" s="4"/>
      <c r="N450" s="4"/>
      <c r="O450" s="4"/>
      <c r="P450" s="4"/>
      <c r="Q450" s="4"/>
      <c r="R450" s="4"/>
      <c r="S450" s="4"/>
      <c r="T450" s="4"/>
      <c r="U450" s="4"/>
      <c r="V450" s="404"/>
      <c r="W450" s="404"/>
      <c r="X450" s="4"/>
      <c r="Y450" s="4"/>
      <c r="Z450" s="4"/>
      <c r="AA450" s="4"/>
      <c r="AB450" s="4"/>
      <c r="AC450" s="4"/>
      <c r="AD450" s="4"/>
      <c r="AE450" s="4"/>
      <c r="AF450" s="4"/>
      <c r="AG450" s="4"/>
      <c r="AH450" s="4"/>
      <c r="AI450" s="17"/>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row>
    <row r="451">
      <c r="A451" s="4"/>
      <c r="B451" s="4"/>
      <c r="C451" s="4"/>
      <c r="D451" s="4"/>
      <c r="E451" s="17"/>
      <c r="F451" s="17"/>
      <c r="G451" s="17"/>
      <c r="H451" s="17"/>
      <c r="I451" s="17"/>
      <c r="J451" s="4"/>
      <c r="K451" s="17"/>
      <c r="L451" s="4"/>
      <c r="M451" s="4"/>
      <c r="N451" s="4"/>
      <c r="O451" s="4"/>
      <c r="P451" s="4"/>
      <c r="Q451" s="4"/>
      <c r="R451" s="4"/>
      <c r="S451" s="4"/>
      <c r="T451" s="4"/>
      <c r="U451" s="4"/>
      <c r="V451" s="404"/>
      <c r="W451" s="404"/>
      <c r="X451" s="4"/>
      <c r="Y451" s="4"/>
      <c r="Z451" s="4"/>
      <c r="AA451" s="4"/>
      <c r="AB451" s="4"/>
      <c r="AC451" s="4"/>
      <c r="AD451" s="4"/>
      <c r="AE451" s="4"/>
      <c r="AF451" s="4"/>
      <c r="AG451" s="4"/>
      <c r="AH451" s="4"/>
      <c r="AI451" s="17"/>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row>
    <row r="452">
      <c r="A452" s="4"/>
      <c r="B452" s="4"/>
      <c r="C452" s="4"/>
      <c r="D452" s="4"/>
      <c r="E452" s="17"/>
      <c r="F452" s="17"/>
      <c r="G452" s="17"/>
      <c r="H452" s="17"/>
      <c r="I452" s="17"/>
      <c r="J452" s="4"/>
      <c r="K452" s="17"/>
      <c r="L452" s="4"/>
      <c r="M452" s="4"/>
      <c r="N452" s="4"/>
      <c r="O452" s="4"/>
      <c r="P452" s="4"/>
      <c r="Q452" s="4"/>
      <c r="R452" s="4"/>
      <c r="S452" s="4"/>
      <c r="T452" s="4"/>
      <c r="U452" s="4"/>
      <c r="V452" s="404"/>
      <c r="W452" s="404"/>
      <c r="X452" s="4"/>
      <c r="Y452" s="4"/>
      <c r="Z452" s="4"/>
      <c r="AA452" s="4"/>
      <c r="AB452" s="4"/>
      <c r="AC452" s="4"/>
      <c r="AD452" s="4"/>
      <c r="AE452" s="4"/>
      <c r="AF452" s="4"/>
      <c r="AG452" s="4"/>
      <c r="AH452" s="4"/>
      <c r="AI452" s="17"/>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row>
    <row r="453">
      <c r="A453" s="4"/>
      <c r="B453" s="4"/>
      <c r="C453" s="4"/>
      <c r="D453" s="4"/>
      <c r="E453" s="17"/>
      <c r="F453" s="17"/>
      <c r="G453" s="17"/>
      <c r="H453" s="17"/>
      <c r="I453" s="17"/>
      <c r="J453" s="4"/>
      <c r="K453" s="17"/>
      <c r="L453" s="4"/>
      <c r="M453" s="4"/>
      <c r="N453" s="4"/>
      <c r="O453" s="4"/>
      <c r="P453" s="4"/>
      <c r="Q453" s="4"/>
      <c r="R453" s="4"/>
      <c r="S453" s="4"/>
      <c r="T453" s="4"/>
      <c r="U453" s="4"/>
      <c r="V453" s="404"/>
      <c r="W453" s="404"/>
      <c r="X453" s="4"/>
      <c r="Y453" s="4"/>
      <c r="Z453" s="4"/>
      <c r="AA453" s="4"/>
      <c r="AB453" s="4"/>
      <c r="AC453" s="4"/>
      <c r="AD453" s="4"/>
      <c r="AE453" s="4"/>
      <c r="AF453" s="4"/>
      <c r="AG453" s="4"/>
      <c r="AH453" s="4"/>
      <c r="AI453" s="17"/>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row>
    <row r="454">
      <c r="A454" s="4"/>
      <c r="B454" s="4"/>
      <c r="C454" s="4"/>
      <c r="D454" s="4"/>
      <c r="E454" s="17"/>
      <c r="F454" s="17"/>
      <c r="G454" s="17"/>
      <c r="H454" s="17"/>
      <c r="I454" s="17"/>
      <c r="J454" s="4"/>
      <c r="K454" s="17"/>
      <c r="L454" s="4"/>
      <c r="M454" s="4"/>
      <c r="N454" s="4"/>
      <c r="O454" s="4"/>
      <c r="P454" s="4"/>
      <c r="Q454" s="4"/>
      <c r="R454" s="4"/>
      <c r="S454" s="4"/>
      <c r="T454" s="4"/>
      <c r="U454" s="4"/>
      <c r="V454" s="404"/>
      <c r="W454" s="404"/>
      <c r="X454" s="4"/>
      <c r="Y454" s="4"/>
      <c r="Z454" s="4"/>
      <c r="AA454" s="4"/>
      <c r="AB454" s="4"/>
      <c r="AC454" s="4"/>
      <c r="AD454" s="4"/>
      <c r="AE454" s="4"/>
      <c r="AF454" s="4"/>
      <c r="AG454" s="4"/>
      <c r="AH454" s="4"/>
      <c r="AI454" s="17"/>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row>
    <row r="455">
      <c r="A455" s="4"/>
      <c r="B455" s="4"/>
      <c r="C455" s="4"/>
      <c r="D455" s="4"/>
      <c r="E455" s="17"/>
      <c r="F455" s="17"/>
      <c r="G455" s="17"/>
      <c r="H455" s="17"/>
      <c r="I455" s="17"/>
      <c r="J455" s="4"/>
      <c r="K455" s="17"/>
      <c r="L455" s="4"/>
      <c r="M455" s="4"/>
      <c r="N455" s="4"/>
      <c r="O455" s="4"/>
      <c r="P455" s="4"/>
      <c r="Q455" s="4"/>
      <c r="R455" s="4"/>
      <c r="S455" s="4"/>
      <c r="T455" s="4"/>
      <c r="U455" s="4"/>
      <c r="V455" s="404"/>
      <c r="W455" s="404"/>
      <c r="X455" s="4"/>
      <c r="Y455" s="4"/>
      <c r="Z455" s="4"/>
      <c r="AA455" s="4"/>
      <c r="AB455" s="4"/>
      <c r="AC455" s="4"/>
      <c r="AD455" s="4"/>
      <c r="AE455" s="4"/>
      <c r="AF455" s="4"/>
      <c r="AG455" s="4"/>
      <c r="AH455" s="4"/>
      <c r="AI455" s="17"/>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row>
    <row r="456">
      <c r="A456" s="4"/>
      <c r="B456" s="4"/>
      <c r="C456" s="4"/>
      <c r="D456" s="4"/>
      <c r="E456" s="17"/>
      <c r="F456" s="17"/>
      <c r="G456" s="17"/>
      <c r="H456" s="17"/>
      <c r="I456" s="17"/>
      <c r="J456" s="4"/>
      <c r="K456" s="17"/>
      <c r="L456" s="4"/>
      <c r="M456" s="4"/>
      <c r="N456" s="4"/>
      <c r="O456" s="4"/>
      <c r="P456" s="4"/>
      <c r="Q456" s="4"/>
      <c r="R456" s="4"/>
      <c r="S456" s="4"/>
      <c r="T456" s="4"/>
      <c r="U456" s="4"/>
      <c r="V456" s="404"/>
      <c r="W456" s="404"/>
      <c r="X456" s="4"/>
      <c r="Y456" s="4"/>
      <c r="Z456" s="4"/>
      <c r="AA456" s="4"/>
      <c r="AB456" s="4"/>
      <c r="AC456" s="4"/>
      <c r="AD456" s="4"/>
      <c r="AE456" s="4"/>
      <c r="AF456" s="4"/>
      <c r="AG456" s="4"/>
      <c r="AH456" s="4"/>
      <c r="AI456" s="17"/>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row>
    <row r="457">
      <c r="A457" s="4"/>
      <c r="B457" s="4"/>
      <c r="C457" s="4"/>
      <c r="D457" s="4"/>
      <c r="E457" s="17"/>
      <c r="F457" s="17"/>
      <c r="G457" s="17"/>
      <c r="H457" s="17"/>
      <c r="I457" s="17"/>
      <c r="J457" s="4"/>
      <c r="K457" s="17"/>
      <c r="L457" s="4"/>
      <c r="M457" s="4"/>
      <c r="N457" s="4"/>
      <c r="O457" s="4"/>
      <c r="P457" s="4"/>
      <c r="Q457" s="4"/>
      <c r="R457" s="4"/>
      <c r="S457" s="4"/>
      <c r="T457" s="4"/>
      <c r="U457" s="4"/>
      <c r="V457" s="404"/>
      <c r="W457" s="404"/>
      <c r="X457" s="4"/>
      <c r="Y457" s="4"/>
      <c r="Z457" s="4"/>
      <c r="AA457" s="4"/>
      <c r="AB457" s="4"/>
      <c r="AC457" s="4"/>
      <c r="AD457" s="4"/>
      <c r="AE457" s="4"/>
      <c r="AF457" s="4"/>
      <c r="AG457" s="4"/>
      <c r="AH457" s="4"/>
      <c r="AI457" s="17"/>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row>
    <row r="458">
      <c r="A458" s="4"/>
      <c r="B458" s="4"/>
      <c r="C458" s="4"/>
      <c r="D458" s="4"/>
      <c r="E458" s="17"/>
      <c r="F458" s="17"/>
      <c r="G458" s="17"/>
      <c r="H458" s="17"/>
      <c r="I458" s="17"/>
      <c r="J458" s="4"/>
      <c r="K458" s="17"/>
      <c r="L458" s="4"/>
      <c r="M458" s="4"/>
      <c r="N458" s="4"/>
      <c r="O458" s="4"/>
      <c r="P458" s="4"/>
      <c r="Q458" s="4"/>
      <c r="R458" s="4"/>
      <c r="S458" s="4"/>
      <c r="T458" s="4"/>
      <c r="U458" s="4"/>
      <c r="V458" s="404"/>
      <c r="W458" s="404"/>
      <c r="X458" s="4"/>
      <c r="Y458" s="4"/>
      <c r="Z458" s="4"/>
      <c r="AA458" s="4"/>
      <c r="AB458" s="4"/>
      <c r="AC458" s="4"/>
      <c r="AD458" s="4"/>
      <c r="AE458" s="4"/>
      <c r="AF458" s="4"/>
      <c r="AG458" s="4"/>
      <c r="AH458" s="4"/>
      <c r="AI458" s="17"/>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row>
    <row r="459">
      <c r="A459" s="4"/>
      <c r="B459" s="4"/>
      <c r="C459" s="4"/>
      <c r="D459" s="4"/>
      <c r="E459" s="17"/>
      <c r="F459" s="17"/>
      <c r="G459" s="17"/>
      <c r="H459" s="17"/>
      <c r="I459" s="17"/>
      <c r="J459" s="4"/>
      <c r="K459" s="17"/>
      <c r="L459" s="4"/>
      <c r="M459" s="4"/>
      <c r="N459" s="4"/>
      <c r="O459" s="4"/>
      <c r="P459" s="4"/>
      <c r="Q459" s="4"/>
      <c r="R459" s="4"/>
      <c r="S459" s="4"/>
      <c r="T459" s="4"/>
      <c r="U459" s="4"/>
      <c r="V459" s="404"/>
      <c r="W459" s="404"/>
      <c r="X459" s="4"/>
      <c r="Y459" s="4"/>
      <c r="Z459" s="4"/>
      <c r="AA459" s="4"/>
      <c r="AB459" s="4"/>
      <c r="AC459" s="4"/>
      <c r="AD459" s="4"/>
      <c r="AE459" s="4"/>
      <c r="AF459" s="4"/>
      <c r="AG459" s="4"/>
      <c r="AH459" s="4"/>
      <c r="AI459" s="17"/>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row>
    <row r="460">
      <c r="A460" s="4"/>
      <c r="B460" s="4"/>
      <c r="C460" s="4"/>
      <c r="D460" s="4"/>
      <c r="E460" s="17"/>
      <c r="F460" s="17"/>
      <c r="G460" s="17"/>
      <c r="H460" s="17"/>
      <c r="I460" s="17"/>
      <c r="J460" s="4"/>
      <c r="K460" s="17"/>
      <c r="L460" s="4"/>
      <c r="M460" s="4"/>
      <c r="N460" s="4"/>
      <c r="O460" s="4"/>
      <c r="P460" s="4"/>
      <c r="Q460" s="4"/>
      <c r="R460" s="4"/>
      <c r="S460" s="4"/>
      <c r="T460" s="4"/>
      <c r="U460" s="4"/>
      <c r="V460" s="404"/>
      <c r="W460" s="404"/>
      <c r="X460" s="4"/>
      <c r="Y460" s="4"/>
      <c r="Z460" s="4"/>
      <c r="AA460" s="4"/>
      <c r="AB460" s="4"/>
      <c r="AC460" s="4"/>
      <c r="AD460" s="4"/>
      <c r="AE460" s="4"/>
      <c r="AF460" s="4"/>
      <c r="AG460" s="4"/>
      <c r="AH460" s="4"/>
      <c r="AI460" s="17"/>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row>
    <row r="461">
      <c r="A461" s="4"/>
      <c r="B461" s="4"/>
      <c r="C461" s="4"/>
      <c r="D461" s="4"/>
      <c r="E461" s="17"/>
      <c r="F461" s="17"/>
      <c r="G461" s="17"/>
      <c r="H461" s="17"/>
      <c r="I461" s="17"/>
      <c r="J461" s="4"/>
      <c r="K461" s="17"/>
      <c r="L461" s="4"/>
      <c r="M461" s="4"/>
      <c r="N461" s="4"/>
      <c r="O461" s="4"/>
      <c r="P461" s="4"/>
      <c r="Q461" s="4"/>
      <c r="R461" s="4"/>
      <c r="S461" s="4"/>
      <c r="T461" s="4"/>
      <c r="U461" s="4"/>
      <c r="V461" s="404"/>
      <c r="W461" s="404"/>
      <c r="X461" s="4"/>
      <c r="Y461" s="4"/>
      <c r="Z461" s="4"/>
      <c r="AA461" s="4"/>
      <c r="AB461" s="4"/>
      <c r="AC461" s="4"/>
      <c r="AD461" s="4"/>
      <c r="AE461" s="4"/>
      <c r="AF461" s="4"/>
      <c r="AG461" s="4"/>
      <c r="AH461" s="4"/>
      <c r="AI461" s="17"/>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row>
    <row r="462">
      <c r="A462" s="4"/>
      <c r="B462" s="4"/>
      <c r="C462" s="4"/>
      <c r="D462" s="4"/>
      <c r="E462" s="17"/>
      <c r="F462" s="17"/>
      <c r="G462" s="17"/>
      <c r="H462" s="17"/>
      <c r="I462" s="17"/>
      <c r="J462" s="4"/>
      <c r="K462" s="17"/>
      <c r="L462" s="4"/>
      <c r="M462" s="4"/>
      <c r="N462" s="4"/>
      <c r="O462" s="4"/>
      <c r="P462" s="4"/>
      <c r="Q462" s="4"/>
      <c r="R462" s="4"/>
      <c r="S462" s="4"/>
      <c r="T462" s="4"/>
      <c r="U462" s="4"/>
      <c r="V462" s="404"/>
      <c r="W462" s="404"/>
      <c r="X462" s="4"/>
      <c r="Y462" s="4"/>
      <c r="Z462" s="4"/>
      <c r="AA462" s="4"/>
      <c r="AB462" s="4"/>
      <c r="AC462" s="4"/>
      <c r="AD462" s="4"/>
      <c r="AE462" s="4"/>
      <c r="AF462" s="4"/>
      <c r="AG462" s="4"/>
      <c r="AH462" s="4"/>
      <c r="AI462" s="17"/>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row>
    <row r="463">
      <c r="A463" s="4"/>
      <c r="B463" s="4"/>
      <c r="C463" s="4"/>
      <c r="D463" s="4"/>
      <c r="E463" s="17"/>
      <c r="F463" s="17"/>
      <c r="G463" s="17"/>
      <c r="H463" s="17"/>
      <c r="I463" s="17"/>
      <c r="J463" s="4"/>
      <c r="K463" s="17"/>
      <c r="L463" s="4"/>
      <c r="M463" s="4"/>
      <c r="N463" s="4"/>
      <c r="O463" s="4"/>
      <c r="P463" s="4"/>
      <c r="Q463" s="4"/>
      <c r="R463" s="4"/>
      <c r="S463" s="4"/>
      <c r="T463" s="4"/>
      <c r="U463" s="4"/>
      <c r="V463" s="404"/>
      <c r="W463" s="404"/>
      <c r="X463" s="4"/>
      <c r="Y463" s="4"/>
      <c r="Z463" s="4"/>
      <c r="AA463" s="4"/>
      <c r="AB463" s="4"/>
      <c r="AC463" s="4"/>
      <c r="AD463" s="4"/>
      <c r="AE463" s="4"/>
      <c r="AF463" s="4"/>
      <c r="AG463" s="4"/>
      <c r="AH463" s="4"/>
      <c r="AI463" s="17"/>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row>
    <row r="464">
      <c r="A464" s="4"/>
      <c r="B464" s="4"/>
      <c r="C464" s="4"/>
      <c r="D464" s="4"/>
      <c r="E464" s="17"/>
      <c r="F464" s="17"/>
      <c r="G464" s="17"/>
      <c r="H464" s="17"/>
      <c r="I464" s="17"/>
      <c r="J464" s="4"/>
      <c r="K464" s="17"/>
      <c r="L464" s="4"/>
      <c r="M464" s="4"/>
      <c r="N464" s="4"/>
      <c r="O464" s="4"/>
      <c r="P464" s="4"/>
      <c r="Q464" s="4"/>
      <c r="R464" s="4"/>
      <c r="S464" s="4"/>
      <c r="T464" s="4"/>
      <c r="U464" s="4"/>
      <c r="V464" s="404"/>
      <c r="W464" s="404"/>
      <c r="X464" s="4"/>
      <c r="Y464" s="4"/>
      <c r="Z464" s="4"/>
      <c r="AA464" s="4"/>
      <c r="AB464" s="4"/>
      <c r="AC464" s="4"/>
      <c r="AD464" s="4"/>
      <c r="AE464" s="4"/>
      <c r="AF464" s="4"/>
      <c r="AG464" s="4"/>
      <c r="AH464" s="4"/>
      <c r="AI464" s="17"/>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row>
    <row r="465">
      <c r="A465" s="4"/>
      <c r="B465" s="4"/>
      <c r="C465" s="4"/>
      <c r="D465" s="4"/>
      <c r="E465" s="17"/>
      <c r="F465" s="17"/>
      <c r="G465" s="17"/>
      <c r="H465" s="17"/>
      <c r="I465" s="17"/>
      <c r="J465" s="4"/>
      <c r="K465" s="17"/>
      <c r="L465" s="4"/>
      <c r="M465" s="4"/>
      <c r="N465" s="4"/>
      <c r="O465" s="4"/>
      <c r="P465" s="4"/>
      <c r="Q465" s="4"/>
      <c r="R465" s="4"/>
      <c r="S465" s="4"/>
      <c r="T465" s="4"/>
      <c r="U465" s="4"/>
      <c r="V465" s="404"/>
      <c r="W465" s="404"/>
      <c r="X465" s="4"/>
      <c r="Y465" s="4"/>
      <c r="Z465" s="4"/>
      <c r="AA465" s="4"/>
      <c r="AB465" s="4"/>
      <c r="AC465" s="4"/>
      <c r="AD465" s="4"/>
      <c r="AE465" s="4"/>
      <c r="AF465" s="4"/>
      <c r="AG465" s="4"/>
      <c r="AH465" s="4"/>
      <c r="AI465" s="17"/>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row>
    <row r="466">
      <c r="A466" s="4"/>
      <c r="B466" s="4"/>
      <c r="C466" s="4"/>
      <c r="D466" s="4"/>
      <c r="E466" s="17"/>
      <c r="F466" s="17"/>
      <c r="G466" s="17"/>
      <c r="H466" s="17"/>
      <c r="I466" s="17"/>
      <c r="J466" s="4"/>
      <c r="K466" s="17"/>
      <c r="L466" s="4"/>
      <c r="M466" s="4"/>
      <c r="N466" s="4"/>
      <c r="O466" s="4"/>
      <c r="P466" s="4"/>
      <c r="Q466" s="4"/>
      <c r="R466" s="4"/>
      <c r="S466" s="4"/>
      <c r="T466" s="4"/>
      <c r="U466" s="4"/>
      <c r="V466" s="404"/>
      <c r="W466" s="404"/>
      <c r="X466" s="4"/>
      <c r="Y466" s="4"/>
      <c r="Z466" s="4"/>
      <c r="AA466" s="4"/>
      <c r="AB466" s="4"/>
      <c r="AC466" s="4"/>
      <c r="AD466" s="4"/>
      <c r="AE466" s="4"/>
      <c r="AF466" s="4"/>
      <c r="AG466" s="4"/>
      <c r="AH466" s="4"/>
      <c r="AI466" s="17"/>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row>
    <row r="467">
      <c r="A467" s="4"/>
      <c r="B467" s="4"/>
      <c r="C467" s="4"/>
      <c r="D467" s="4"/>
      <c r="E467" s="17"/>
      <c r="F467" s="17"/>
      <c r="G467" s="17"/>
      <c r="H467" s="17"/>
      <c r="I467" s="17"/>
      <c r="J467" s="4"/>
      <c r="K467" s="17"/>
      <c r="L467" s="4"/>
      <c r="M467" s="4"/>
      <c r="N467" s="4"/>
      <c r="O467" s="4"/>
      <c r="P467" s="4"/>
      <c r="Q467" s="4"/>
      <c r="R467" s="4"/>
      <c r="S467" s="4"/>
      <c r="T467" s="4"/>
      <c r="U467" s="4"/>
      <c r="V467" s="404"/>
      <c r="W467" s="404"/>
      <c r="X467" s="4"/>
      <c r="Y467" s="4"/>
      <c r="Z467" s="4"/>
      <c r="AA467" s="4"/>
      <c r="AB467" s="4"/>
      <c r="AC467" s="4"/>
      <c r="AD467" s="4"/>
      <c r="AE467" s="4"/>
      <c r="AF467" s="4"/>
      <c r="AG467" s="4"/>
      <c r="AH467" s="4"/>
      <c r="AI467" s="17"/>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row>
    <row r="468">
      <c r="A468" s="4"/>
      <c r="B468" s="4"/>
      <c r="C468" s="4"/>
      <c r="D468" s="4"/>
      <c r="E468" s="17"/>
      <c r="F468" s="17"/>
      <c r="G468" s="17"/>
      <c r="H468" s="17"/>
      <c r="I468" s="17"/>
      <c r="J468" s="4"/>
      <c r="K468" s="17"/>
      <c r="L468" s="4"/>
      <c r="M468" s="4"/>
      <c r="N468" s="4"/>
      <c r="O468" s="4"/>
      <c r="P468" s="4"/>
      <c r="Q468" s="4"/>
      <c r="R468" s="4"/>
      <c r="S468" s="4"/>
      <c r="T468" s="4"/>
      <c r="U468" s="4"/>
      <c r="V468" s="404"/>
      <c r="W468" s="404"/>
      <c r="X468" s="4"/>
      <c r="Y468" s="4"/>
      <c r="Z468" s="4"/>
      <c r="AA468" s="4"/>
      <c r="AB468" s="4"/>
      <c r="AC468" s="4"/>
      <c r="AD468" s="4"/>
      <c r="AE468" s="4"/>
      <c r="AF468" s="4"/>
      <c r="AG468" s="4"/>
      <c r="AH468" s="4"/>
      <c r="AI468" s="17"/>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row>
    <row r="469">
      <c r="A469" s="4"/>
      <c r="B469" s="4"/>
      <c r="C469" s="4"/>
      <c r="D469" s="4"/>
      <c r="E469" s="17"/>
      <c r="F469" s="17"/>
      <c r="G469" s="17"/>
      <c r="H469" s="17"/>
      <c r="I469" s="17"/>
      <c r="J469" s="4"/>
      <c r="K469" s="17"/>
      <c r="L469" s="4"/>
      <c r="M469" s="4"/>
      <c r="N469" s="4"/>
      <c r="O469" s="4"/>
      <c r="P469" s="4"/>
      <c r="Q469" s="4"/>
      <c r="R469" s="4"/>
      <c r="S469" s="4"/>
      <c r="T469" s="4"/>
      <c r="U469" s="4"/>
      <c r="V469" s="404"/>
      <c r="W469" s="404"/>
      <c r="X469" s="4"/>
      <c r="Y469" s="4"/>
      <c r="Z469" s="4"/>
      <c r="AA469" s="4"/>
      <c r="AB469" s="4"/>
      <c r="AC469" s="4"/>
      <c r="AD469" s="4"/>
      <c r="AE469" s="4"/>
      <c r="AF469" s="4"/>
      <c r="AG469" s="4"/>
      <c r="AH469" s="4"/>
      <c r="AI469" s="17"/>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row>
    <row r="470">
      <c r="A470" s="4"/>
      <c r="B470" s="4"/>
      <c r="C470" s="4"/>
      <c r="D470" s="4"/>
      <c r="E470" s="17"/>
      <c r="F470" s="17"/>
      <c r="G470" s="17"/>
      <c r="H470" s="17"/>
      <c r="I470" s="17"/>
      <c r="J470" s="4"/>
      <c r="K470" s="17"/>
      <c r="L470" s="4"/>
      <c r="M470" s="4"/>
      <c r="N470" s="4"/>
      <c r="O470" s="4"/>
      <c r="P470" s="4"/>
      <c r="Q470" s="4"/>
      <c r="R470" s="4"/>
      <c r="S470" s="4"/>
      <c r="T470" s="4"/>
      <c r="U470" s="4"/>
      <c r="V470" s="404"/>
      <c r="W470" s="404"/>
      <c r="X470" s="4"/>
      <c r="Y470" s="4"/>
      <c r="Z470" s="4"/>
      <c r="AA470" s="4"/>
      <c r="AB470" s="4"/>
      <c r="AC470" s="4"/>
      <c r="AD470" s="4"/>
      <c r="AE470" s="4"/>
      <c r="AF470" s="4"/>
      <c r="AG470" s="4"/>
      <c r="AH470" s="4"/>
      <c r="AI470" s="17"/>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row>
    <row r="471">
      <c r="A471" s="4"/>
      <c r="B471" s="4"/>
      <c r="C471" s="4"/>
      <c r="D471" s="4"/>
      <c r="E471" s="17"/>
      <c r="F471" s="17"/>
      <c r="G471" s="17"/>
      <c r="H471" s="17"/>
      <c r="I471" s="17"/>
      <c r="J471" s="4"/>
      <c r="K471" s="17"/>
      <c r="L471" s="4"/>
      <c r="M471" s="4"/>
      <c r="N471" s="4"/>
      <c r="O471" s="4"/>
      <c r="P471" s="4"/>
      <c r="Q471" s="4"/>
      <c r="R471" s="4"/>
      <c r="S471" s="4"/>
      <c r="T471" s="4"/>
      <c r="U471" s="4"/>
      <c r="V471" s="404"/>
      <c r="W471" s="404"/>
      <c r="X471" s="4"/>
      <c r="Y471" s="4"/>
      <c r="Z471" s="4"/>
      <c r="AA471" s="4"/>
      <c r="AB471" s="4"/>
      <c r="AC471" s="4"/>
      <c r="AD471" s="4"/>
      <c r="AE471" s="4"/>
      <c r="AF471" s="4"/>
      <c r="AG471" s="4"/>
      <c r="AH471" s="4"/>
      <c r="AI471" s="17"/>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row>
    <row r="472">
      <c r="A472" s="4"/>
      <c r="B472" s="4"/>
      <c r="C472" s="4"/>
      <c r="D472" s="4"/>
      <c r="E472" s="17"/>
      <c r="F472" s="17"/>
      <c r="G472" s="17"/>
      <c r="H472" s="17"/>
      <c r="I472" s="17"/>
      <c r="J472" s="4"/>
      <c r="K472" s="17"/>
      <c r="L472" s="4"/>
      <c r="M472" s="4"/>
      <c r="N472" s="4"/>
      <c r="O472" s="4"/>
      <c r="P472" s="4"/>
      <c r="Q472" s="4"/>
      <c r="R472" s="4"/>
      <c r="S472" s="4"/>
      <c r="T472" s="4"/>
      <c r="U472" s="4"/>
      <c r="V472" s="404"/>
      <c r="W472" s="404"/>
      <c r="X472" s="4"/>
      <c r="Y472" s="4"/>
      <c r="Z472" s="4"/>
      <c r="AA472" s="4"/>
      <c r="AB472" s="4"/>
      <c r="AC472" s="4"/>
      <c r="AD472" s="4"/>
      <c r="AE472" s="4"/>
      <c r="AF472" s="4"/>
      <c r="AG472" s="4"/>
      <c r="AH472" s="4"/>
      <c r="AI472" s="17"/>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row>
    <row r="473">
      <c r="A473" s="4"/>
      <c r="B473" s="4"/>
      <c r="C473" s="4"/>
      <c r="D473" s="4"/>
      <c r="E473" s="17"/>
      <c r="F473" s="17"/>
      <c r="G473" s="17"/>
      <c r="H473" s="17"/>
      <c r="I473" s="17"/>
      <c r="J473" s="4"/>
      <c r="K473" s="17"/>
      <c r="L473" s="4"/>
      <c r="M473" s="4"/>
      <c r="N473" s="4"/>
      <c r="O473" s="4"/>
      <c r="P473" s="4"/>
      <c r="Q473" s="4"/>
      <c r="R473" s="4"/>
      <c r="S473" s="4"/>
      <c r="T473" s="4"/>
      <c r="U473" s="4"/>
      <c r="V473" s="404"/>
      <c r="W473" s="404"/>
      <c r="X473" s="4"/>
      <c r="Y473" s="4"/>
      <c r="Z473" s="4"/>
      <c r="AA473" s="4"/>
      <c r="AB473" s="4"/>
      <c r="AC473" s="4"/>
      <c r="AD473" s="4"/>
      <c r="AE473" s="4"/>
      <c r="AF473" s="4"/>
      <c r="AG473" s="4"/>
      <c r="AH473" s="4"/>
      <c r="AI473" s="17"/>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row>
    <row r="474">
      <c r="A474" s="4"/>
      <c r="B474" s="4"/>
      <c r="C474" s="4"/>
      <c r="D474" s="4"/>
      <c r="E474" s="17"/>
      <c r="F474" s="17"/>
      <c r="G474" s="17"/>
      <c r="H474" s="17"/>
      <c r="I474" s="17"/>
      <c r="J474" s="4"/>
      <c r="K474" s="17"/>
      <c r="L474" s="4"/>
      <c r="M474" s="4"/>
      <c r="N474" s="4"/>
      <c r="O474" s="4"/>
      <c r="P474" s="4"/>
      <c r="Q474" s="4"/>
      <c r="R474" s="4"/>
      <c r="S474" s="4"/>
      <c r="T474" s="4"/>
      <c r="U474" s="4"/>
      <c r="V474" s="404"/>
      <c r="W474" s="404"/>
      <c r="X474" s="4"/>
      <c r="Y474" s="4"/>
      <c r="Z474" s="4"/>
      <c r="AA474" s="4"/>
      <c r="AB474" s="4"/>
      <c r="AC474" s="4"/>
      <c r="AD474" s="4"/>
      <c r="AE474" s="4"/>
      <c r="AF474" s="4"/>
      <c r="AG474" s="4"/>
      <c r="AH474" s="4"/>
      <c r="AI474" s="17"/>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row>
    <row r="475">
      <c r="A475" s="4"/>
      <c r="B475" s="4"/>
      <c r="C475" s="4"/>
      <c r="D475" s="4"/>
      <c r="E475" s="17"/>
      <c r="F475" s="17"/>
      <c r="G475" s="17"/>
      <c r="H475" s="17"/>
      <c r="I475" s="17"/>
      <c r="J475" s="4"/>
      <c r="K475" s="17"/>
      <c r="L475" s="4"/>
      <c r="M475" s="4"/>
      <c r="N475" s="4"/>
      <c r="O475" s="4"/>
      <c r="P475" s="4"/>
      <c r="Q475" s="4"/>
      <c r="R475" s="4"/>
      <c r="S475" s="4"/>
      <c r="T475" s="4"/>
      <c r="U475" s="4"/>
      <c r="V475" s="404"/>
      <c r="W475" s="404"/>
      <c r="X475" s="4"/>
      <c r="Y475" s="4"/>
      <c r="Z475" s="4"/>
      <c r="AA475" s="4"/>
      <c r="AB475" s="4"/>
      <c r="AC475" s="4"/>
      <c r="AD475" s="4"/>
      <c r="AE475" s="4"/>
      <c r="AF475" s="4"/>
      <c r="AG475" s="4"/>
      <c r="AH475" s="4"/>
      <c r="AI475" s="17"/>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row>
    <row r="476">
      <c r="A476" s="4"/>
      <c r="B476" s="4"/>
      <c r="C476" s="4"/>
      <c r="D476" s="4"/>
      <c r="E476" s="17"/>
      <c r="F476" s="17"/>
      <c r="G476" s="17"/>
      <c r="H476" s="17"/>
      <c r="I476" s="17"/>
      <c r="J476" s="4"/>
      <c r="K476" s="17"/>
      <c r="L476" s="4"/>
      <c r="M476" s="4"/>
      <c r="N476" s="4"/>
      <c r="O476" s="4"/>
      <c r="P476" s="4"/>
      <c r="Q476" s="4"/>
      <c r="R476" s="4"/>
      <c r="S476" s="4"/>
      <c r="T476" s="4"/>
      <c r="U476" s="4"/>
      <c r="V476" s="404"/>
      <c r="W476" s="404"/>
      <c r="X476" s="4"/>
      <c r="Y476" s="4"/>
      <c r="Z476" s="4"/>
      <c r="AA476" s="4"/>
      <c r="AB476" s="4"/>
      <c r="AC476" s="4"/>
      <c r="AD476" s="4"/>
      <c r="AE476" s="4"/>
      <c r="AF476" s="4"/>
      <c r="AG476" s="4"/>
      <c r="AH476" s="4"/>
      <c r="AI476" s="17"/>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row>
    <row r="477">
      <c r="A477" s="4"/>
      <c r="B477" s="4"/>
      <c r="C477" s="4"/>
      <c r="D477" s="4"/>
      <c r="E477" s="17"/>
      <c r="F477" s="17"/>
      <c r="G477" s="17"/>
      <c r="H477" s="17"/>
      <c r="I477" s="17"/>
      <c r="J477" s="4"/>
      <c r="K477" s="17"/>
      <c r="L477" s="4"/>
      <c r="M477" s="4"/>
      <c r="N477" s="4"/>
      <c r="O477" s="4"/>
      <c r="P477" s="4"/>
      <c r="Q477" s="4"/>
      <c r="R477" s="4"/>
      <c r="S477" s="4"/>
      <c r="T477" s="4"/>
      <c r="U477" s="4"/>
      <c r="V477" s="404"/>
      <c r="W477" s="404"/>
      <c r="X477" s="4"/>
      <c r="Y477" s="4"/>
      <c r="Z477" s="4"/>
      <c r="AA477" s="4"/>
      <c r="AB477" s="4"/>
      <c r="AC477" s="4"/>
      <c r="AD477" s="4"/>
      <c r="AE477" s="4"/>
      <c r="AF477" s="4"/>
      <c r="AG477" s="4"/>
      <c r="AH477" s="4"/>
      <c r="AI477" s="17"/>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row>
    <row r="478">
      <c r="A478" s="4"/>
      <c r="B478" s="4"/>
      <c r="C478" s="4"/>
      <c r="D478" s="4"/>
      <c r="E478" s="17"/>
      <c r="F478" s="17"/>
      <c r="G478" s="17"/>
      <c r="H478" s="17"/>
      <c r="I478" s="17"/>
      <c r="J478" s="4"/>
      <c r="K478" s="17"/>
      <c r="L478" s="4"/>
      <c r="M478" s="4"/>
      <c r="N478" s="4"/>
      <c r="O478" s="4"/>
      <c r="P478" s="4"/>
      <c r="Q478" s="4"/>
      <c r="R478" s="4"/>
      <c r="S478" s="4"/>
      <c r="T478" s="4"/>
      <c r="U478" s="4"/>
      <c r="V478" s="404"/>
      <c r="W478" s="404"/>
      <c r="X478" s="4"/>
      <c r="Y478" s="4"/>
      <c r="Z478" s="4"/>
      <c r="AA478" s="4"/>
      <c r="AB478" s="4"/>
      <c r="AC478" s="4"/>
      <c r="AD478" s="4"/>
      <c r="AE478" s="4"/>
      <c r="AF478" s="4"/>
      <c r="AG478" s="4"/>
      <c r="AH478" s="4"/>
      <c r="AI478" s="17"/>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row>
    <row r="479">
      <c r="A479" s="4"/>
      <c r="B479" s="4"/>
      <c r="C479" s="4"/>
      <c r="D479" s="4"/>
      <c r="E479" s="17"/>
      <c r="F479" s="17"/>
      <c r="G479" s="17"/>
      <c r="H479" s="17"/>
      <c r="I479" s="17"/>
      <c r="J479" s="4"/>
      <c r="K479" s="17"/>
      <c r="L479" s="4"/>
      <c r="M479" s="4"/>
      <c r="N479" s="4"/>
      <c r="O479" s="4"/>
      <c r="P479" s="4"/>
      <c r="Q479" s="4"/>
      <c r="R479" s="4"/>
      <c r="S479" s="4"/>
      <c r="T479" s="4"/>
      <c r="U479" s="4"/>
      <c r="V479" s="404"/>
      <c r="W479" s="404"/>
      <c r="X479" s="4"/>
      <c r="Y479" s="4"/>
      <c r="Z479" s="4"/>
      <c r="AA479" s="4"/>
      <c r="AB479" s="4"/>
      <c r="AC479" s="4"/>
      <c r="AD479" s="4"/>
      <c r="AE479" s="4"/>
      <c r="AF479" s="4"/>
      <c r="AG479" s="4"/>
      <c r="AH479" s="4"/>
      <c r="AI479" s="17"/>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row>
    <row r="480">
      <c r="A480" s="4"/>
      <c r="B480" s="4"/>
      <c r="C480" s="4"/>
      <c r="D480" s="4"/>
      <c r="E480" s="17"/>
      <c r="F480" s="17"/>
      <c r="G480" s="17"/>
      <c r="H480" s="17"/>
      <c r="I480" s="17"/>
      <c r="J480" s="4"/>
      <c r="K480" s="17"/>
      <c r="L480" s="4"/>
      <c r="M480" s="4"/>
      <c r="N480" s="4"/>
      <c r="O480" s="4"/>
      <c r="P480" s="4"/>
      <c r="Q480" s="4"/>
      <c r="R480" s="4"/>
      <c r="S480" s="4"/>
      <c r="T480" s="4"/>
      <c r="U480" s="4"/>
      <c r="V480" s="404"/>
      <c r="W480" s="404"/>
      <c r="X480" s="4"/>
      <c r="Y480" s="4"/>
      <c r="Z480" s="4"/>
      <c r="AA480" s="4"/>
      <c r="AB480" s="4"/>
      <c r="AC480" s="4"/>
      <c r="AD480" s="4"/>
      <c r="AE480" s="4"/>
      <c r="AF480" s="4"/>
      <c r="AG480" s="4"/>
      <c r="AH480" s="4"/>
      <c r="AI480" s="17"/>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row>
    <row r="481">
      <c r="A481" s="4"/>
      <c r="B481" s="4"/>
      <c r="C481" s="4"/>
      <c r="D481" s="4"/>
      <c r="E481" s="17"/>
      <c r="F481" s="17"/>
      <c r="G481" s="17"/>
      <c r="H481" s="17"/>
      <c r="I481" s="17"/>
      <c r="J481" s="4"/>
      <c r="K481" s="17"/>
      <c r="L481" s="4"/>
      <c r="M481" s="4"/>
      <c r="N481" s="4"/>
      <c r="O481" s="4"/>
      <c r="P481" s="4"/>
      <c r="Q481" s="4"/>
      <c r="R481" s="4"/>
      <c r="S481" s="4"/>
      <c r="T481" s="4"/>
      <c r="U481" s="4"/>
      <c r="V481" s="404"/>
      <c r="W481" s="404"/>
      <c r="X481" s="4"/>
      <c r="Y481" s="4"/>
      <c r="Z481" s="4"/>
      <c r="AA481" s="4"/>
      <c r="AB481" s="4"/>
      <c r="AC481" s="4"/>
      <c r="AD481" s="4"/>
      <c r="AE481" s="4"/>
      <c r="AF481" s="4"/>
      <c r="AG481" s="4"/>
      <c r="AH481" s="4"/>
      <c r="AI481" s="17"/>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row>
    <row r="482">
      <c r="A482" s="4"/>
      <c r="B482" s="4"/>
      <c r="C482" s="4"/>
      <c r="D482" s="4"/>
      <c r="E482" s="17"/>
      <c r="F482" s="17"/>
      <c r="G482" s="17"/>
      <c r="H482" s="17"/>
      <c r="I482" s="17"/>
      <c r="J482" s="4"/>
      <c r="K482" s="17"/>
      <c r="L482" s="4"/>
      <c r="M482" s="4"/>
      <c r="N482" s="4"/>
      <c r="O482" s="4"/>
      <c r="P482" s="4"/>
      <c r="Q482" s="4"/>
      <c r="R482" s="4"/>
      <c r="S482" s="4"/>
      <c r="T482" s="4"/>
      <c r="U482" s="4"/>
      <c r="V482" s="404"/>
      <c r="W482" s="404"/>
      <c r="X482" s="4"/>
      <c r="Y482" s="4"/>
      <c r="Z482" s="4"/>
      <c r="AA482" s="4"/>
      <c r="AB482" s="4"/>
      <c r="AC482" s="4"/>
      <c r="AD482" s="4"/>
      <c r="AE482" s="4"/>
      <c r="AF482" s="4"/>
      <c r="AG482" s="4"/>
      <c r="AH482" s="4"/>
      <c r="AI482" s="17"/>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row>
    <row r="483">
      <c r="A483" s="4"/>
      <c r="B483" s="4"/>
      <c r="C483" s="4"/>
      <c r="D483" s="4"/>
      <c r="E483" s="17"/>
      <c r="F483" s="17"/>
      <c r="G483" s="17"/>
      <c r="H483" s="17"/>
      <c r="I483" s="17"/>
      <c r="J483" s="4"/>
      <c r="K483" s="17"/>
      <c r="L483" s="4"/>
      <c r="M483" s="4"/>
      <c r="N483" s="4"/>
      <c r="O483" s="4"/>
      <c r="P483" s="4"/>
      <c r="Q483" s="4"/>
      <c r="R483" s="4"/>
      <c r="S483" s="4"/>
      <c r="T483" s="4"/>
      <c r="U483" s="4"/>
      <c r="V483" s="404"/>
      <c r="W483" s="404"/>
      <c r="X483" s="4"/>
      <c r="Y483" s="4"/>
      <c r="Z483" s="4"/>
      <c r="AA483" s="4"/>
      <c r="AB483" s="4"/>
      <c r="AC483" s="4"/>
      <c r="AD483" s="4"/>
      <c r="AE483" s="4"/>
      <c r="AF483" s="4"/>
      <c r="AG483" s="4"/>
      <c r="AH483" s="4"/>
      <c r="AI483" s="17"/>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row>
    <row r="484">
      <c r="A484" s="4"/>
      <c r="B484" s="4"/>
      <c r="C484" s="4"/>
      <c r="D484" s="4"/>
      <c r="E484" s="17"/>
      <c r="F484" s="17"/>
      <c r="G484" s="17"/>
      <c r="H484" s="17"/>
      <c r="I484" s="17"/>
      <c r="J484" s="4"/>
      <c r="K484" s="17"/>
      <c r="L484" s="4"/>
      <c r="M484" s="4"/>
      <c r="N484" s="4"/>
      <c r="O484" s="4"/>
      <c r="P484" s="4"/>
      <c r="Q484" s="4"/>
      <c r="R484" s="4"/>
      <c r="S484" s="4"/>
      <c r="T484" s="4"/>
      <c r="U484" s="4"/>
      <c r="V484" s="404"/>
      <c r="W484" s="404"/>
      <c r="X484" s="4"/>
      <c r="Y484" s="4"/>
      <c r="Z484" s="4"/>
      <c r="AA484" s="4"/>
      <c r="AB484" s="4"/>
      <c r="AC484" s="4"/>
      <c r="AD484" s="4"/>
      <c r="AE484" s="4"/>
      <c r="AF484" s="4"/>
      <c r="AG484" s="4"/>
      <c r="AH484" s="4"/>
      <c r="AI484" s="17"/>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row>
    <row r="485">
      <c r="A485" s="4"/>
      <c r="B485" s="4"/>
      <c r="C485" s="4"/>
      <c r="D485" s="4"/>
      <c r="E485" s="17"/>
      <c r="F485" s="17"/>
      <c r="G485" s="17"/>
      <c r="H485" s="17"/>
      <c r="I485" s="17"/>
      <c r="J485" s="4"/>
      <c r="K485" s="17"/>
      <c r="L485" s="4"/>
      <c r="M485" s="4"/>
      <c r="N485" s="4"/>
      <c r="O485" s="4"/>
      <c r="P485" s="4"/>
      <c r="Q485" s="4"/>
      <c r="R485" s="4"/>
      <c r="S485" s="4"/>
      <c r="T485" s="4"/>
      <c r="U485" s="4"/>
      <c r="V485" s="404"/>
      <c r="W485" s="404"/>
      <c r="X485" s="4"/>
      <c r="Y485" s="4"/>
      <c r="Z485" s="4"/>
      <c r="AA485" s="4"/>
      <c r="AB485" s="4"/>
      <c r="AC485" s="4"/>
      <c r="AD485" s="4"/>
      <c r="AE485" s="4"/>
      <c r="AF485" s="4"/>
      <c r="AG485" s="4"/>
      <c r="AH485" s="4"/>
      <c r="AI485" s="17"/>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row>
    <row r="486">
      <c r="A486" s="4"/>
      <c r="B486" s="4"/>
      <c r="C486" s="4"/>
      <c r="D486" s="4"/>
      <c r="E486" s="17"/>
      <c r="F486" s="17"/>
      <c r="G486" s="17"/>
      <c r="H486" s="17"/>
      <c r="I486" s="17"/>
      <c r="J486" s="4"/>
      <c r="K486" s="17"/>
      <c r="L486" s="4"/>
      <c r="M486" s="4"/>
      <c r="N486" s="4"/>
      <c r="O486" s="4"/>
      <c r="P486" s="4"/>
      <c r="Q486" s="4"/>
      <c r="R486" s="4"/>
      <c r="S486" s="4"/>
      <c r="T486" s="4"/>
      <c r="U486" s="4"/>
      <c r="V486" s="404"/>
      <c r="W486" s="404"/>
      <c r="X486" s="4"/>
      <c r="Y486" s="4"/>
      <c r="Z486" s="4"/>
      <c r="AA486" s="4"/>
      <c r="AB486" s="4"/>
      <c r="AC486" s="4"/>
      <c r="AD486" s="4"/>
      <c r="AE486" s="4"/>
      <c r="AF486" s="4"/>
      <c r="AG486" s="4"/>
      <c r="AH486" s="4"/>
      <c r="AI486" s="17"/>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row>
    <row r="487">
      <c r="A487" s="4"/>
      <c r="B487" s="4"/>
      <c r="C487" s="4"/>
      <c r="D487" s="4"/>
      <c r="E487" s="17"/>
      <c r="F487" s="17"/>
      <c r="G487" s="17"/>
      <c r="H487" s="17"/>
      <c r="I487" s="17"/>
      <c r="J487" s="4"/>
      <c r="K487" s="17"/>
      <c r="L487" s="4"/>
      <c r="M487" s="4"/>
      <c r="N487" s="4"/>
      <c r="O487" s="4"/>
      <c r="P487" s="4"/>
      <c r="Q487" s="4"/>
      <c r="R487" s="4"/>
      <c r="S487" s="4"/>
      <c r="T487" s="4"/>
      <c r="U487" s="4"/>
      <c r="V487" s="404"/>
      <c r="W487" s="404"/>
      <c r="X487" s="4"/>
      <c r="Y487" s="4"/>
      <c r="Z487" s="4"/>
      <c r="AA487" s="4"/>
      <c r="AB487" s="4"/>
      <c r="AC487" s="4"/>
      <c r="AD487" s="4"/>
      <c r="AE487" s="4"/>
      <c r="AF487" s="4"/>
      <c r="AG487" s="4"/>
      <c r="AH487" s="4"/>
      <c r="AI487" s="17"/>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row>
    <row r="488">
      <c r="A488" s="4"/>
      <c r="B488" s="4"/>
      <c r="C488" s="4"/>
      <c r="D488" s="4"/>
      <c r="E488" s="17"/>
      <c r="F488" s="17"/>
      <c r="G488" s="17"/>
      <c r="H488" s="17"/>
      <c r="I488" s="17"/>
      <c r="J488" s="4"/>
      <c r="K488" s="17"/>
      <c r="L488" s="4"/>
      <c r="M488" s="4"/>
      <c r="N488" s="4"/>
      <c r="O488" s="4"/>
      <c r="P488" s="4"/>
      <c r="Q488" s="4"/>
      <c r="R488" s="4"/>
      <c r="S488" s="4"/>
      <c r="T488" s="4"/>
      <c r="U488" s="4"/>
      <c r="V488" s="404"/>
      <c r="W488" s="404"/>
      <c r="X488" s="4"/>
      <c r="Y488" s="4"/>
      <c r="Z488" s="4"/>
      <c r="AA488" s="4"/>
      <c r="AB488" s="4"/>
      <c r="AC488" s="4"/>
      <c r="AD488" s="4"/>
      <c r="AE488" s="4"/>
      <c r="AF488" s="4"/>
      <c r="AG488" s="4"/>
      <c r="AH488" s="4"/>
      <c r="AI488" s="17"/>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row>
    <row r="489">
      <c r="A489" s="4"/>
      <c r="B489" s="4"/>
      <c r="C489" s="4"/>
      <c r="D489" s="4"/>
      <c r="E489" s="17"/>
      <c r="F489" s="17"/>
      <c r="G489" s="17"/>
      <c r="H489" s="17"/>
      <c r="I489" s="17"/>
      <c r="J489" s="4"/>
      <c r="K489" s="17"/>
      <c r="L489" s="4"/>
      <c r="M489" s="4"/>
      <c r="N489" s="4"/>
      <c r="O489" s="4"/>
      <c r="P489" s="4"/>
      <c r="Q489" s="4"/>
      <c r="R489" s="4"/>
      <c r="S489" s="4"/>
      <c r="T489" s="4"/>
      <c r="U489" s="4"/>
      <c r="V489" s="404"/>
      <c r="W489" s="404"/>
      <c r="X489" s="4"/>
      <c r="Y489" s="4"/>
      <c r="Z489" s="4"/>
      <c r="AA489" s="4"/>
      <c r="AB489" s="4"/>
      <c r="AC489" s="4"/>
      <c r="AD489" s="4"/>
      <c r="AE489" s="4"/>
      <c r="AF489" s="4"/>
      <c r="AG489" s="4"/>
      <c r="AH489" s="4"/>
      <c r="AI489" s="17"/>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row>
    <row r="490">
      <c r="A490" s="4"/>
      <c r="B490" s="4"/>
      <c r="C490" s="4"/>
      <c r="D490" s="4"/>
      <c r="E490" s="17"/>
      <c r="F490" s="17"/>
      <c r="G490" s="17"/>
      <c r="H490" s="17"/>
      <c r="I490" s="17"/>
      <c r="J490" s="4"/>
      <c r="K490" s="17"/>
      <c r="L490" s="4"/>
      <c r="M490" s="4"/>
      <c r="N490" s="4"/>
      <c r="O490" s="4"/>
      <c r="P490" s="4"/>
      <c r="Q490" s="4"/>
      <c r="R490" s="4"/>
      <c r="S490" s="4"/>
      <c r="T490" s="4"/>
      <c r="U490" s="4"/>
      <c r="V490" s="404"/>
      <c r="W490" s="404"/>
      <c r="X490" s="4"/>
      <c r="Y490" s="4"/>
      <c r="Z490" s="4"/>
      <c r="AA490" s="4"/>
      <c r="AB490" s="4"/>
      <c r="AC490" s="4"/>
      <c r="AD490" s="4"/>
      <c r="AE490" s="4"/>
      <c r="AF490" s="4"/>
      <c r="AG490" s="4"/>
      <c r="AH490" s="4"/>
      <c r="AI490" s="17"/>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row>
    <row r="491">
      <c r="A491" s="4"/>
      <c r="B491" s="4"/>
      <c r="C491" s="4"/>
      <c r="D491" s="4"/>
      <c r="E491" s="17"/>
      <c r="F491" s="17"/>
      <c r="G491" s="17"/>
      <c r="H491" s="17"/>
      <c r="I491" s="17"/>
      <c r="J491" s="4"/>
      <c r="K491" s="17"/>
      <c r="L491" s="4"/>
      <c r="M491" s="4"/>
      <c r="N491" s="4"/>
      <c r="O491" s="4"/>
      <c r="P491" s="4"/>
      <c r="Q491" s="4"/>
      <c r="R491" s="4"/>
      <c r="S491" s="4"/>
      <c r="T491" s="4"/>
      <c r="U491" s="4"/>
      <c r="V491" s="404"/>
      <c r="W491" s="404"/>
      <c r="X491" s="4"/>
      <c r="Y491" s="4"/>
      <c r="Z491" s="4"/>
      <c r="AA491" s="4"/>
      <c r="AB491" s="4"/>
      <c r="AC491" s="4"/>
      <c r="AD491" s="4"/>
      <c r="AE491" s="4"/>
      <c r="AF491" s="4"/>
      <c r="AG491" s="4"/>
      <c r="AH491" s="4"/>
      <c r="AI491" s="17"/>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row>
    <row r="492">
      <c r="A492" s="4"/>
      <c r="B492" s="4"/>
      <c r="C492" s="4"/>
      <c r="D492" s="4"/>
      <c r="E492" s="17"/>
      <c r="F492" s="17"/>
      <c r="G492" s="17"/>
      <c r="H492" s="17"/>
      <c r="I492" s="17"/>
      <c r="J492" s="4"/>
      <c r="K492" s="17"/>
      <c r="L492" s="4"/>
      <c r="M492" s="4"/>
      <c r="N492" s="4"/>
      <c r="O492" s="4"/>
      <c r="P492" s="4"/>
      <c r="Q492" s="4"/>
      <c r="R492" s="4"/>
      <c r="S492" s="4"/>
      <c r="T492" s="4"/>
      <c r="U492" s="4"/>
      <c r="V492" s="404"/>
      <c r="W492" s="404"/>
      <c r="X492" s="4"/>
      <c r="Y492" s="4"/>
      <c r="Z492" s="4"/>
      <c r="AA492" s="4"/>
      <c r="AB492" s="4"/>
      <c r="AC492" s="4"/>
      <c r="AD492" s="4"/>
      <c r="AE492" s="4"/>
      <c r="AF492" s="4"/>
      <c r="AG492" s="4"/>
      <c r="AH492" s="4"/>
      <c r="AI492" s="17"/>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row>
    <row r="493">
      <c r="A493" s="4"/>
      <c r="B493" s="4"/>
      <c r="C493" s="4"/>
      <c r="D493" s="4"/>
      <c r="E493" s="17"/>
      <c r="F493" s="17"/>
      <c r="G493" s="17"/>
      <c r="H493" s="17"/>
      <c r="I493" s="17"/>
      <c r="J493" s="4"/>
      <c r="K493" s="17"/>
      <c r="L493" s="4"/>
      <c r="M493" s="4"/>
      <c r="N493" s="4"/>
      <c r="O493" s="4"/>
      <c r="P493" s="4"/>
      <c r="Q493" s="4"/>
      <c r="R493" s="4"/>
      <c r="S493" s="4"/>
      <c r="T493" s="4"/>
      <c r="U493" s="4"/>
      <c r="V493" s="404"/>
      <c r="W493" s="404"/>
      <c r="X493" s="4"/>
      <c r="Y493" s="4"/>
      <c r="Z493" s="4"/>
      <c r="AA493" s="4"/>
      <c r="AB493" s="4"/>
      <c r="AC493" s="4"/>
      <c r="AD493" s="4"/>
      <c r="AE493" s="4"/>
      <c r="AF493" s="4"/>
      <c r="AG493" s="4"/>
      <c r="AH493" s="4"/>
      <c r="AI493" s="17"/>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row>
    <row r="494">
      <c r="A494" s="4"/>
      <c r="B494" s="4"/>
      <c r="C494" s="4"/>
      <c r="D494" s="4"/>
      <c r="E494" s="17"/>
      <c r="F494" s="17"/>
      <c r="G494" s="17"/>
      <c r="H494" s="17"/>
      <c r="I494" s="17"/>
      <c r="J494" s="4"/>
      <c r="K494" s="17"/>
      <c r="L494" s="4"/>
      <c r="M494" s="4"/>
      <c r="N494" s="4"/>
      <c r="O494" s="4"/>
      <c r="P494" s="4"/>
      <c r="Q494" s="4"/>
      <c r="R494" s="4"/>
      <c r="S494" s="4"/>
      <c r="T494" s="4"/>
      <c r="U494" s="4"/>
      <c r="V494" s="404"/>
      <c r="W494" s="404"/>
      <c r="X494" s="4"/>
      <c r="Y494" s="4"/>
      <c r="Z494" s="4"/>
      <c r="AA494" s="4"/>
      <c r="AB494" s="4"/>
      <c r="AC494" s="4"/>
      <c r="AD494" s="4"/>
      <c r="AE494" s="4"/>
      <c r="AF494" s="4"/>
      <c r="AG494" s="4"/>
      <c r="AH494" s="4"/>
      <c r="AI494" s="17"/>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row>
    <row r="495">
      <c r="A495" s="4"/>
      <c r="B495" s="4"/>
      <c r="C495" s="4"/>
      <c r="D495" s="4"/>
      <c r="E495" s="17"/>
      <c r="F495" s="17"/>
      <c r="G495" s="17"/>
      <c r="H495" s="17"/>
      <c r="I495" s="17"/>
      <c r="J495" s="4"/>
      <c r="K495" s="17"/>
      <c r="L495" s="4"/>
      <c r="M495" s="4"/>
      <c r="N495" s="4"/>
      <c r="O495" s="4"/>
      <c r="P495" s="4"/>
      <c r="Q495" s="4"/>
      <c r="R495" s="4"/>
      <c r="S495" s="4"/>
      <c r="T495" s="4"/>
      <c r="U495" s="4"/>
      <c r="V495" s="404"/>
      <c r="W495" s="404"/>
      <c r="X495" s="4"/>
      <c r="Y495" s="4"/>
      <c r="Z495" s="4"/>
      <c r="AA495" s="4"/>
      <c r="AB495" s="4"/>
      <c r="AC495" s="4"/>
      <c r="AD495" s="4"/>
      <c r="AE495" s="4"/>
      <c r="AF495" s="4"/>
      <c r="AG495" s="4"/>
      <c r="AH495" s="4"/>
      <c r="AI495" s="17"/>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row>
    <row r="496">
      <c r="A496" s="4"/>
      <c r="B496" s="4"/>
      <c r="C496" s="4"/>
      <c r="D496" s="4"/>
      <c r="E496" s="17"/>
      <c r="F496" s="17"/>
      <c r="G496" s="17"/>
      <c r="H496" s="17"/>
      <c r="I496" s="17"/>
      <c r="J496" s="4"/>
      <c r="K496" s="17"/>
      <c r="L496" s="4"/>
      <c r="M496" s="4"/>
      <c r="N496" s="4"/>
      <c r="O496" s="4"/>
      <c r="P496" s="4"/>
      <c r="Q496" s="4"/>
      <c r="R496" s="4"/>
      <c r="S496" s="4"/>
      <c r="T496" s="4"/>
      <c r="U496" s="4"/>
      <c r="V496" s="404"/>
      <c r="W496" s="404"/>
      <c r="X496" s="4"/>
      <c r="Y496" s="4"/>
      <c r="Z496" s="4"/>
      <c r="AA496" s="4"/>
      <c r="AB496" s="4"/>
      <c r="AC496" s="4"/>
      <c r="AD496" s="4"/>
      <c r="AE496" s="4"/>
      <c r="AF496" s="4"/>
      <c r="AG496" s="4"/>
      <c r="AH496" s="4"/>
      <c r="AI496" s="17"/>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row>
    <row r="497">
      <c r="A497" s="4"/>
      <c r="B497" s="4"/>
      <c r="C497" s="4"/>
      <c r="D497" s="4"/>
      <c r="E497" s="17"/>
      <c r="F497" s="17"/>
      <c r="G497" s="17"/>
      <c r="H497" s="17"/>
      <c r="I497" s="17"/>
      <c r="J497" s="4"/>
      <c r="K497" s="17"/>
      <c r="L497" s="4"/>
      <c r="M497" s="4"/>
      <c r="N497" s="4"/>
      <c r="O497" s="4"/>
      <c r="P497" s="4"/>
      <c r="Q497" s="4"/>
      <c r="R497" s="4"/>
      <c r="S497" s="4"/>
      <c r="T497" s="4"/>
      <c r="U497" s="4"/>
      <c r="V497" s="404"/>
      <c r="W497" s="404"/>
      <c r="X497" s="4"/>
      <c r="Y497" s="4"/>
      <c r="Z497" s="4"/>
      <c r="AA497" s="4"/>
      <c r="AB497" s="4"/>
      <c r="AC497" s="4"/>
      <c r="AD497" s="4"/>
      <c r="AE497" s="4"/>
      <c r="AF497" s="4"/>
      <c r="AG497" s="4"/>
      <c r="AH497" s="4"/>
      <c r="AI497" s="17"/>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row>
    <row r="498">
      <c r="A498" s="4"/>
      <c r="B498" s="4"/>
      <c r="C498" s="4"/>
      <c r="D498" s="4"/>
      <c r="E498" s="17"/>
      <c r="F498" s="17"/>
      <c r="G498" s="17"/>
      <c r="H498" s="17"/>
      <c r="I498" s="17"/>
      <c r="J498" s="4"/>
      <c r="K498" s="17"/>
      <c r="L498" s="4"/>
      <c r="M498" s="4"/>
      <c r="N498" s="4"/>
      <c r="O498" s="4"/>
      <c r="P498" s="4"/>
      <c r="Q498" s="4"/>
      <c r="R498" s="4"/>
      <c r="S498" s="4"/>
      <c r="T498" s="4"/>
      <c r="U498" s="4"/>
      <c r="V498" s="404"/>
      <c r="W498" s="404"/>
      <c r="X498" s="4"/>
      <c r="Y498" s="4"/>
      <c r="Z498" s="4"/>
      <c r="AA498" s="4"/>
      <c r="AB498" s="4"/>
      <c r="AC498" s="4"/>
      <c r="AD498" s="4"/>
      <c r="AE498" s="4"/>
      <c r="AF498" s="4"/>
      <c r="AG498" s="4"/>
      <c r="AH498" s="4"/>
      <c r="AI498" s="17"/>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row>
    <row r="499">
      <c r="A499" s="4"/>
      <c r="B499" s="4"/>
      <c r="C499" s="4"/>
      <c r="D499" s="4"/>
      <c r="E499" s="17"/>
      <c r="F499" s="17"/>
      <c r="G499" s="17"/>
      <c r="H499" s="17"/>
      <c r="I499" s="17"/>
      <c r="J499" s="4"/>
      <c r="K499" s="17"/>
      <c r="L499" s="4"/>
      <c r="M499" s="4"/>
      <c r="N499" s="4"/>
      <c r="O499" s="4"/>
      <c r="P499" s="4"/>
      <c r="Q499" s="4"/>
      <c r="R499" s="4"/>
      <c r="S499" s="4"/>
      <c r="T499" s="4"/>
      <c r="U499" s="4"/>
      <c r="V499" s="404"/>
      <c r="W499" s="404"/>
      <c r="X499" s="4"/>
      <c r="Y499" s="4"/>
      <c r="Z499" s="4"/>
      <c r="AA499" s="4"/>
      <c r="AB499" s="4"/>
      <c r="AC499" s="4"/>
      <c r="AD499" s="4"/>
      <c r="AE499" s="4"/>
      <c r="AF499" s="4"/>
      <c r="AG499" s="4"/>
      <c r="AH499" s="4"/>
      <c r="AI499" s="17"/>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row>
    <row r="500">
      <c r="A500" s="4"/>
      <c r="B500" s="4"/>
      <c r="C500" s="4"/>
      <c r="D500" s="4"/>
      <c r="E500" s="17"/>
      <c r="F500" s="17"/>
      <c r="G500" s="17"/>
      <c r="H500" s="17"/>
      <c r="I500" s="17"/>
      <c r="J500" s="4"/>
      <c r="K500" s="17"/>
      <c r="L500" s="4"/>
      <c r="M500" s="4"/>
      <c r="N500" s="4"/>
      <c r="O500" s="4"/>
      <c r="P500" s="4"/>
      <c r="Q500" s="4"/>
      <c r="R500" s="4"/>
      <c r="S500" s="4"/>
      <c r="T500" s="4"/>
      <c r="U500" s="4"/>
      <c r="V500" s="404"/>
      <c r="W500" s="404"/>
      <c r="X500" s="4"/>
      <c r="Y500" s="4"/>
      <c r="Z500" s="4"/>
      <c r="AA500" s="4"/>
      <c r="AB500" s="4"/>
      <c r="AC500" s="4"/>
      <c r="AD500" s="4"/>
      <c r="AE500" s="4"/>
      <c r="AF500" s="4"/>
      <c r="AG500" s="4"/>
      <c r="AH500" s="4"/>
      <c r="AI500" s="17"/>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row>
    <row r="501">
      <c r="A501" s="4"/>
      <c r="B501" s="4"/>
      <c r="C501" s="4"/>
      <c r="D501" s="4"/>
      <c r="E501" s="17"/>
      <c r="F501" s="17"/>
      <c r="G501" s="17"/>
      <c r="H501" s="17"/>
      <c r="I501" s="17"/>
      <c r="J501" s="4"/>
      <c r="K501" s="17"/>
      <c r="L501" s="4"/>
      <c r="M501" s="4"/>
      <c r="N501" s="4"/>
      <c r="O501" s="4"/>
      <c r="P501" s="4"/>
      <c r="Q501" s="4"/>
      <c r="R501" s="4"/>
      <c r="S501" s="4"/>
      <c r="T501" s="4"/>
      <c r="U501" s="4"/>
      <c r="V501" s="404"/>
      <c r="W501" s="404"/>
      <c r="X501" s="4"/>
      <c r="Y501" s="4"/>
      <c r="Z501" s="4"/>
      <c r="AA501" s="4"/>
      <c r="AB501" s="4"/>
      <c r="AC501" s="4"/>
      <c r="AD501" s="4"/>
      <c r="AE501" s="4"/>
      <c r="AF501" s="4"/>
      <c r="AG501" s="4"/>
      <c r="AH501" s="4"/>
      <c r="AI501" s="17"/>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row>
    <row r="502">
      <c r="A502" s="4"/>
      <c r="B502" s="4"/>
      <c r="C502" s="4"/>
      <c r="D502" s="4"/>
      <c r="E502" s="17"/>
      <c r="F502" s="17"/>
      <c r="G502" s="17"/>
      <c r="H502" s="17"/>
      <c r="I502" s="17"/>
      <c r="J502" s="4"/>
      <c r="K502" s="17"/>
      <c r="L502" s="4"/>
      <c r="M502" s="4"/>
      <c r="N502" s="4"/>
      <c r="O502" s="4"/>
      <c r="P502" s="4"/>
      <c r="Q502" s="4"/>
      <c r="R502" s="4"/>
      <c r="S502" s="4"/>
      <c r="T502" s="4"/>
      <c r="U502" s="4"/>
      <c r="V502" s="404"/>
      <c r="W502" s="404"/>
      <c r="X502" s="4"/>
      <c r="Y502" s="4"/>
      <c r="Z502" s="4"/>
      <c r="AA502" s="4"/>
      <c r="AB502" s="4"/>
      <c r="AC502" s="4"/>
      <c r="AD502" s="4"/>
      <c r="AE502" s="4"/>
      <c r="AF502" s="4"/>
      <c r="AG502" s="4"/>
      <c r="AH502" s="4"/>
      <c r="AI502" s="17"/>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row>
    <row r="503">
      <c r="A503" s="4"/>
      <c r="B503" s="4"/>
      <c r="C503" s="4"/>
      <c r="D503" s="4"/>
      <c r="E503" s="17"/>
      <c r="F503" s="17"/>
      <c r="G503" s="17"/>
      <c r="H503" s="17"/>
      <c r="I503" s="17"/>
      <c r="J503" s="4"/>
      <c r="K503" s="17"/>
      <c r="L503" s="4"/>
      <c r="M503" s="4"/>
      <c r="N503" s="4"/>
      <c r="O503" s="4"/>
      <c r="P503" s="4"/>
      <c r="Q503" s="4"/>
      <c r="R503" s="4"/>
      <c r="S503" s="4"/>
      <c r="T503" s="4"/>
      <c r="U503" s="4"/>
      <c r="V503" s="404"/>
      <c r="W503" s="404"/>
      <c r="X503" s="4"/>
      <c r="Y503" s="4"/>
      <c r="Z503" s="4"/>
      <c r="AA503" s="4"/>
      <c r="AB503" s="4"/>
      <c r="AC503" s="4"/>
      <c r="AD503" s="4"/>
      <c r="AE503" s="4"/>
      <c r="AF503" s="4"/>
      <c r="AG503" s="4"/>
      <c r="AH503" s="4"/>
      <c r="AI503" s="17"/>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row>
    <row r="504">
      <c r="A504" s="4"/>
      <c r="B504" s="4"/>
      <c r="C504" s="4"/>
      <c r="D504" s="4"/>
      <c r="E504" s="17"/>
      <c r="F504" s="17"/>
      <c r="G504" s="17"/>
      <c r="H504" s="17"/>
      <c r="I504" s="17"/>
      <c r="J504" s="4"/>
      <c r="K504" s="17"/>
      <c r="L504" s="4"/>
      <c r="M504" s="4"/>
      <c r="N504" s="4"/>
      <c r="O504" s="4"/>
      <c r="P504" s="4"/>
      <c r="Q504" s="4"/>
      <c r="R504" s="4"/>
      <c r="S504" s="4"/>
      <c r="T504" s="4"/>
      <c r="U504" s="4"/>
      <c r="V504" s="404"/>
      <c r="W504" s="404"/>
      <c r="X504" s="4"/>
      <c r="Y504" s="4"/>
      <c r="Z504" s="4"/>
      <c r="AA504" s="4"/>
      <c r="AB504" s="4"/>
      <c r="AC504" s="4"/>
      <c r="AD504" s="4"/>
      <c r="AE504" s="4"/>
      <c r="AF504" s="4"/>
      <c r="AG504" s="4"/>
      <c r="AH504" s="4"/>
      <c r="AI504" s="17"/>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row>
    <row r="505">
      <c r="A505" s="4"/>
      <c r="B505" s="4"/>
      <c r="C505" s="4"/>
      <c r="D505" s="4"/>
      <c r="E505" s="17"/>
      <c r="F505" s="17"/>
      <c r="G505" s="17"/>
      <c r="H505" s="17"/>
      <c r="I505" s="17"/>
      <c r="J505" s="4"/>
      <c r="K505" s="17"/>
      <c r="L505" s="4"/>
      <c r="M505" s="4"/>
      <c r="N505" s="4"/>
      <c r="O505" s="4"/>
      <c r="P505" s="4"/>
      <c r="Q505" s="4"/>
      <c r="R505" s="4"/>
      <c r="S505" s="4"/>
      <c r="T505" s="4"/>
      <c r="U505" s="4"/>
      <c r="V505" s="404"/>
      <c r="W505" s="404"/>
      <c r="X505" s="4"/>
      <c r="Y505" s="4"/>
      <c r="Z505" s="4"/>
      <c r="AA505" s="4"/>
      <c r="AB505" s="4"/>
      <c r="AC505" s="4"/>
      <c r="AD505" s="4"/>
      <c r="AE505" s="4"/>
      <c r="AF505" s="4"/>
      <c r="AG505" s="4"/>
      <c r="AH505" s="4"/>
      <c r="AI505" s="17"/>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row>
    <row r="506">
      <c r="A506" s="4"/>
      <c r="B506" s="4"/>
      <c r="C506" s="4"/>
      <c r="D506" s="4"/>
      <c r="E506" s="17"/>
      <c r="F506" s="17"/>
      <c r="G506" s="17"/>
      <c r="H506" s="17"/>
      <c r="I506" s="17"/>
      <c r="J506" s="4"/>
      <c r="K506" s="17"/>
      <c r="L506" s="4"/>
      <c r="M506" s="4"/>
      <c r="N506" s="4"/>
      <c r="O506" s="4"/>
      <c r="P506" s="4"/>
      <c r="Q506" s="4"/>
      <c r="R506" s="4"/>
      <c r="S506" s="4"/>
      <c r="T506" s="4"/>
      <c r="U506" s="4"/>
      <c r="V506" s="404"/>
      <c r="W506" s="404"/>
      <c r="X506" s="4"/>
      <c r="Y506" s="4"/>
      <c r="Z506" s="4"/>
      <c r="AA506" s="4"/>
      <c r="AB506" s="4"/>
      <c r="AC506" s="4"/>
      <c r="AD506" s="4"/>
      <c r="AE506" s="4"/>
      <c r="AF506" s="4"/>
      <c r="AG506" s="4"/>
      <c r="AH506" s="4"/>
      <c r="AI506" s="17"/>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row>
    <row r="507">
      <c r="A507" s="4"/>
      <c r="B507" s="4"/>
      <c r="C507" s="4"/>
      <c r="D507" s="4"/>
      <c r="E507" s="17"/>
      <c r="F507" s="17"/>
      <c r="G507" s="17"/>
      <c r="H507" s="17"/>
      <c r="I507" s="17"/>
      <c r="J507" s="4"/>
      <c r="K507" s="17"/>
      <c r="L507" s="4"/>
      <c r="M507" s="4"/>
      <c r="N507" s="4"/>
      <c r="O507" s="4"/>
      <c r="P507" s="4"/>
      <c r="Q507" s="4"/>
      <c r="R507" s="4"/>
      <c r="S507" s="4"/>
      <c r="T507" s="4"/>
      <c r="U507" s="4"/>
      <c r="V507" s="404"/>
      <c r="W507" s="404"/>
      <c r="X507" s="4"/>
      <c r="Y507" s="4"/>
      <c r="Z507" s="4"/>
      <c r="AA507" s="4"/>
      <c r="AB507" s="4"/>
      <c r="AC507" s="4"/>
      <c r="AD507" s="4"/>
      <c r="AE507" s="4"/>
      <c r="AF507" s="4"/>
      <c r="AG507" s="4"/>
      <c r="AH507" s="4"/>
      <c r="AI507" s="17"/>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row>
    <row r="508">
      <c r="A508" s="4"/>
      <c r="B508" s="4"/>
      <c r="C508" s="4"/>
      <c r="D508" s="4"/>
      <c r="E508" s="17"/>
      <c r="F508" s="17"/>
      <c r="G508" s="17"/>
      <c r="H508" s="17"/>
      <c r="I508" s="17"/>
      <c r="J508" s="4"/>
      <c r="K508" s="17"/>
      <c r="L508" s="4"/>
      <c r="M508" s="4"/>
      <c r="N508" s="4"/>
      <c r="O508" s="4"/>
      <c r="P508" s="4"/>
      <c r="Q508" s="4"/>
      <c r="R508" s="4"/>
      <c r="S508" s="4"/>
      <c r="T508" s="4"/>
      <c r="U508" s="4"/>
      <c r="V508" s="404"/>
      <c r="W508" s="404"/>
      <c r="X508" s="4"/>
      <c r="Y508" s="4"/>
      <c r="Z508" s="4"/>
      <c r="AA508" s="4"/>
      <c r="AB508" s="4"/>
      <c r="AC508" s="4"/>
      <c r="AD508" s="4"/>
      <c r="AE508" s="4"/>
      <c r="AF508" s="4"/>
      <c r="AG508" s="4"/>
      <c r="AH508" s="4"/>
      <c r="AI508" s="17"/>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row>
    <row r="509">
      <c r="A509" s="4"/>
      <c r="B509" s="4"/>
      <c r="C509" s="4"/>
      <c r="D509" s="4"/>
      <c r="E509" s="17"/>
      <c r="F509" s="17"/>
      <c r="G509" s="17"/>
      <c r="H509" s="17"/>
      <c r="I509" s="17"/>
      <c r="J509" s="4"/>
      <c r="K509" s="17"/>
      <c r="L509" s="4"/>
      <c r="M509" s="4"/>
      <c r="N509" s="4"/>
      <c r="O509" s="4"/>
      <c r="P509" s="4"/>
      <c r="Q509" s="4"/>
      <c r="R509" s="4"/>
      <c r="S509" s="4"/>
      <c r="T509" s="4"/>
      <c r="U509" s="4"/>
      <c r="V509" s="404"/>
      <c r="W509" s="404"/>
      <c r="X509" s="4"/>
      <c r="Y509" s="4"/>
      <c r="Z509" s="4"/>
      <c r="AA509" s="4"/>
      <c r="AB509" s="4"/>
      <c r="AC509" s="4"/>
      <c r="AD509" s="4"/>
      <c r="AE509" s="4"/>
      <c r="AF509" s="4"/>
      <c r="AG509" s="4"/>
      <c r="AH509" s="4"/>
      <c r="AI509" s="17"/>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row>
    <row r="510">
      <c r="A510" s="4"/>
      <c r="B510" s="4"/>
      <c r="C510" s="4"/>
      <c r="D510" s="4"/>
      <c r="E510" s="17"/>
      <c r="F510" s="17"/>
      <c r="G510" s="17"/>
      <c r="H510" s="17"/>
      <c r="I510" s="17"/>
      <c r="J510" s="4"/>
      <c r="K510" s="17"/>
      <c r="L510" s="4"/>
      <c r="M510" s="4"/>
      <c r="N510" s="4"/>
      <c r="O510" s="4"/>
      <c r="P510" s="4"/>
      <c r="Q510" s="4"/>
      <c r="R510" s="4"/>
      <c r="S510" s="4"/>
      <c r="T510" s="4"/>
      <c r="U510" s="4"/>
      <c r="V510" s="404"/>
      <c r="W510" s="404"/>
      <c r="X510" s="4"/>
      <c r="Y510" s="4"/>
      <c r="Z510" s="4"/>
      <c r="AA510" s="4"/>
      <c r="AB510" s="4"/>
      <c r="AC510" s="4"/>
      <c r="AD510" s="4"/>
      <c r="AE510" s="4"/>
      <c r="AF510" s="4"/>
      <c r="AG510" s="4"/>
      <c r="AH510" s="4"/>
      <c r="AI510" s="17"/>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row>
    <row r="511">
      <c r="A511" s="4"/>
      <c r="B511" s="4"/>
      <c r="C511" s="4"/>
      <c r="D511" s="4"/>
      <c r="E511" s="17"/>
      <c r="F511" s="17"/>
      <c r="G511" s="17"/>
      <c r="H511" s="17"/>
      <c r="I511" s="17"/>
      <c r="J511" s="4"/>
      <c r="K511" s="17"/>
      <c r="L511" s="4"/>
      <c r="M511" s="4"/>
      <c r="N511" s="4"/>
      <c r="O511" s="4"/>
      <c r="P511" s="4"/>
      <c r="Q511" s="4"/>
      <c r="R511" s="4"/>
      <c r="S511" s="4"/>
      <c r="T511" s="4"/>
      <c r="U511" s="4"/>
      <c r="V511" s="404"/>
      <c r="W511" s="404"/>
      <c r="X511" s="4"/>
      <c r="Y511" s="4"/>
      <c r="Z511" s="4"/>
      <c r="AA511" s="4"/>
      <c r="AB511" s="4"/>
      <c r="AC511" s="4"/>
      <c r="AD511" s="4"/>
      <c r="AE511" s="4"/>
      <c r="AF511" s="4"/>
      <c r="AG511" s="4"/>
      <c r="AH511" s="4"/>
      <c r="AI511" s="17"/>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row>
    <row r="512">
      <c r="A512" s="4"/>
      <c r="B512" s="4"/>
      <c r="C512" s="4"/>
      <c r="D512" s="4"/>
      <c r="E512" s="17"/>
      <c r="F512" s="17"/>
      <c r="G512" s="17"/>
      <c r="H512" s="17"/>
      <c r="I512" s="17"/>
      <c r="J512" s="4"/>
      <c r="K512" s="17"/>
      <c r="L512" s="4"/>
      <c r="M512" s="4"/>
      <c r="N512" s="4"/>
      <c r="O512" s="4"/>
      <c r="P512" s="4"/>
      <c r="Q512" s="4"/>
      <c r="R512" s="4"/>
      <c r="S512" s="4"/>
      <c r="T512" s="4"/>
      <c r="U512" s="4"/>
      <c r="V512" s="404"/>
      <c r="W512" s="404"/>
      <c r="X512" s="4"/>
      <c r="Y512" s="4"/>
      <c r="Z512" s="4"/>
      <c r="AA512" s="4"/>
      <c r="AB512" s="4"/>
      <c r="AC512" s="4"/>
      <c r="AD512" s="4"/>
      <c r="AE512" s="4"/>
      <c r="AF512" s="4"/>
      <c r="AG512" s="4"/>
      <c r="AH512" s="4"/>
      <c r="AI512" s="17"/>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row>
    <row r="513">
      <c r="A513" s="4"/>
      <c r="B513" s="4"/>
      <c r="C513" s="4"/>
      <c r="D513" s="4"/>
      <c r="E513" s="17"/>
      <c r="F513" s="17"/>
      <c r="G513" s="17"/>
      <c r="H513" s="17"/>
      <c r="I513" s="17"/>
      <c r="J513" s="4"/>
      <c r="K513" s="17"/>
      <c r="L513" s="4"/>
      <c r="M513" s="4"/>
      <c r="N513" s="4"/>
      <c r="O513" s="4"/>
      <c r="P513" s="4"/>
      <c r="Q513" s="4"/>
      <c r="R513" s="4"/>
      <c r="S513" s="4"/>
      <c r="T513" s="4"/>
      <c r="U513" s="4"/>
      <c r="V513" s="404"/>
      <c r="W513" s="404"/>
      <c r="X513" s="4"/>
      <c r="Y513" s="4"/>
      <c r="Z513" s="4"/>
      <c r="AA513" s="4"/>
      <c r="AB513" s="4"/>
      <c r="AC513" s="4"/>
      <c r="AD513" s="4"/>
      <c r="AE513" s="4"/>
      <c r="AF513" s="4"/>
      <c r="AG513" s="4"/>
      <c r="AH513" s="4"/>
      <c r="AI513" s="17"/>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row>
    <row r="514">
      <c r="A514" s="4"/>
      <c r="B514" s="4"/>
      <c r="C514" s="4"/>
      <c r="D514" s="4"/>
      <c r="E514" s="17"/>
      <c r="F514" s="17"/>
      <c r="G514" s="17"/>
      <c r="H514" s="17"/>
      <c r="I514" s="17"/>
      <c r="J514" s="4"/>
      <c r="K514" s="17"/>
      <c r="L514" s="4"/>
      <c r="M514" s="4"/>
      <c r="N514" s="4"/>
      <c r="O514" s="4"/>
      <c r="P514" s="4"/>
      <c r="Q514" s="4"/>
      <c r="R514" s="4"/>
      <c r="S514" s="4"/>
      <c r="T514" s="4"/>
      <c r="U514" s="4"/>
      <c r="V514" s="404"/>
      <c r="W514" s="404"/>
      <c r="X514" s="4"/>
      <c r="Y514" s="4"/>
      <c r="Z514" s="4"/>
      <c r="AA514" s="4"/>
      <c r="AB514" s="4"/>
      <c r="AC514" s="4"/>
      <c r="AD514" s="4"/>
      <c r="AE514" s="4"/>
      <c r="AF514" s="4"/>
      <c r="AG514" s="4"/>
      <c r="AH514" s="4"/>
      <c r="AI514" s="17"/>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row>
    <row r="515">
      <c r="A515" s="4"/>
      <c r="B515" s="4"/>
      <c r="C515" s="4"/>
      <c r="D515" s="4"/>
      <c r="E515" s="17"/>
      <c r="F515" s="17"/>
      <c r="G515" s="17"/>
      <c r="H515" s="17"/>
      <c r="I515" s="17"/>
      <c r="J515" s="4"/>
      <c r="K515" s="17"/>
      <c r="L515" s="4"/>
      <c r="M515" s="4"/>
      <c r="N515" s="4"/>
      <c r="O515" s="4"/>
      <c r="P515" s="4"/>
      <c r="Q515" s="4"/>
      <c r="R515" s="4"/>
      <c r="S515" s="4"/>
      <c r="T515" s="4"/>
      <c r="U515" s="4"/>
      <c r="V515" s="404"/>
      <c r="W515" s="404"/>
      <c r="X515" s="4"/>
      <c r="Y515" s="4"/>
      <c r="Z515" s="4"/>
      <c r="AA515" s="4"/>
      <c r="AB515" s="4"/>
      <c r="AC515" s="4"/>
      <c r="AD515" s="4"/>
      <c r="AE515" s="4"/>
      <c r="AF515" s="4"/>
      <c r="AG515" s="4"/>
      <c r="AH515" s="4"/>
      <c r="AI515" s="17"/>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row>
    <row r="516">
      <c r="A516" s="4"/>
      <c r="B516" s="4"/>
      <c r="C516" s="4"/>
      <c r="D516" s="4"/>
      <c r="E516" s="17"/>
      <c r="F516" s="17"/>
      <c r="G516" s="17"/>
      <c r="H516" s="17"/>
      <c r="I516" s="17"/>
      <c r="J516" s="4"/>
      <c r="K516" s="17"/>
      <c r="L516" s="4"/>
      <c r="M516" s="4"/>
      <c r="N516" s="4"/>
      <c r="O516" s="4"/>
      <c r="P516" s="4"/>
      <c r="Q516" s="4"/>
      <c r="R516" s="4"/>
      <c r="S516" s="4"/>
      <c r="T516" s="4"/>
      <c r="U516" s="4"/>
      <c r="V516" s="404"/>
      <c r="W516" s="404"/>
      <c r="X516" s="4"/>
      <c r="Y516" s="4"/>
      <c r="Z516" s="4"/>
      <c r="AA516" s="4"/>
      <c r="AB516" s="4"/>
      <c r="AC516" s="4"/>
      <c r="AD516" s="4"/>
      <c r="AE516" s="4"/>
      <c r="AF516" s="4"/>
      <c r="AG516" s="4"/>
      <c r="AH516" s="4"/>
      <c r="AI516" s="17"/>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row>
    <row r="517">
      <c r="A517" s="4"/>
      <c r="B517" s="4"/>
      <c r="C517" s="4"/>
      <c r="D517" s="4"/>
      <c r="E517" s="17"/>
      <c r="F517" s="17"/>
      <c r="G517" s="17"/>
      <c r="H517" s="17"/>
      <c r="I517" s="17"/>
      <c r="J517" s="4"/>
      <c r="K517" s="17"/>
      <c r="L517" s="4"/>
      <c r="M517" s="4"/>
      <c r="N517" s="4"/>
      <c r="O517" s="4"/>
      <c r="P517" s="4"/>
      <c r="Q517" s="4"/>
      <c r="R517" s="4"/>
      <c r="S517" s="4"/>
      <c r="T517" s="4"/>
      <c r="U517" s="4"/>
      <c r="V517" s="404"/>
      <c r="W517" s="404"/>
      <c r="X517" s="4"/>
      <c r="Y517" s="4"/>
      <c r="Z517" s="4"/>
      <c r="AA517" s="4"/>
      <c r="AB517" s="4"/>
      <c r="AC517" s="4"/>
      <c r="AD517" s="4"/>
      <c r="AE517" s="4"/>
      <c r="AF517" s="4"/>
      <c r="AG517" s="4"/>
      <c r="AH517" s="4"/>
      <c r="AI517" s="17"/>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row>
    <row r="518">
      <c r="A518" s="4"/>
      <c r="B518" s="4"/>
      <c r="C518" s="4"/>
      <c r="D518" s="4"/>
      <c r="E518" s="17"/>
      <c r="F518" s="17"/>
      <c r="G518" s="17"/>
      <c r="H518" s="17"/>
      <c r="I518" s="17"/>
      <c r="J518" s="4"/>
      <c r="K518" s="17"/>
      <c r="L518" s="4"/>
      <c r="M518" s="4"/>
      <c r="N518" s="4"/>
      <c r="O518" s="4"/>
      <c r="P518" s="4"/>
      <c r="Q518" s="4"/>
      <c r="R518" s="4"/>
      <c r="S518" s="4"/>
      <c r="T518" s="4"/>
      <c r="U518" s="4"/>
      <c r="V518" s="404"/>
      <c r="W518" s="404"/>
      <c r="X518" s="4"/>
      <c r="Y518" s="4"/>
      <c r="Z518" s="4"/>
      <c r="AA518" s="4"/>
      <c r="AB518" s="4"/>
      <c r="AC518" s="4"/>
      <c r="AD518" s="4"/>
      <c r="AE518" s="4"/>
      <c r="AF518" s="4"/>
      <c r="AG518" s="4"/>
      <c r="AH518" s="4"/>
      <c r="AI518" s="17"/>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row>
    <row r="519">
      <c r="A519" s="4"/>
      <c r="B519" s="4"/>
      <c r="C519" s="4"/>
      <c r="D519" s="4"/>
      <c r="E519" s="17"/>
      <c r="F519" s="17"/>
      <c r="G519" s="17"/>
      <c r="H519" s="17"/>
      <c r="I519" s="17"/>
      <c r="J519" s="4"/>
      <c r="K519" s="17"/>
      <c r="L519" s="4"/>
      <c r="M519" s="4"/>
      <c r="N519" s="4"/>
      <c r="O519" s="4"/>
      <c r="P519" s="4"/>
      <c r="Q519" s="4"/>
      <c r="R519" s="4"/>
      <c r="S519" s="4"/>
      <c r="T519" s="4"/>
      <c r="U519" s="4"/>
      <c r="V519" s="404"/>
      <c r="W519" s="404"/>
      <c r="X519" s="4"/>
      <c r="Y519" s="4"/>
      <c r="Z519" s="4"/>
      <c r="AA519" s="4"/>
      <c r="AB519" s="4"/>
      <c r="AC519" s="4"/>
      <c r="AD519" s="4"/>
      <c r="AE519" s="4"/>
      <c r="AF519" s="4"/>
      <c r="AG519" s="4"/>
      <c r="AH519" s="4"/>
      <c r="AI519" s="17"/>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row>
    <row r="520">
      <c r="A520" s="4"/>
      <c r="B520" s="4"/>
      <c r="C520" s="4"/>
      <c r="D520" s="4"/>
      <c r="E520" s="17"/>
      <c r="F520" s="17"/>
      <c r="G520" s="17"/>
      <c r="H520" s="17"/>
      <c r="I520" s="17"/>
      <c r="J520" s="4"/>
      <c r="K520" s="17"/>
      <c r="L520" s="4"/>
      <c r="M520" s="4"/>
      <c r="N520" s="4"/>
      <c r="O520" s="4"/>
      <c r="P520" s="4"/>
      <c r="Q520" s="4"/>
      <c r="R520" s="4"/>
      <c r="S520" s="4"/>
      <c r="T520" s="4"/>
      <c r="U520" s="4"/>
      <c r="V520" s="404"/>
      <c r="W520" s="404"/>
      <c r="X520" s="4"/>
      <c r="Y520" s="4"/>
      <c r="Z520" s="4"/>
      <c r="AA520" s="4"/>
      <c r="AB520" s="4"/>
      <c r="AC520" s="4"/>
      <c r="AD520" s="4"/>
      <c r="AE520" s="4"/>
      <c r="AF520" s="4"/>
      <c r="AG520" s="4"/>
      <c r="AH520" s="4"/>
      <c r="AI520" s="17"/>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row>
    <row r="521">
      <c r="A521" s="4"/>
      <c r="B521" s="4"/>
      <c r="C521" s="4"/>
      <c r="D521" s="4"/>
      <c r="E521" s="17"/>
      <c r="F521" s="17"/>
      <c r="G521" s="17"/>
      <c r="H521" s="17"/>
      <c r="I521" s="17"/>
      <c r="J521" s="4"/>
      <c r="K521" s="17"/>
      <c r="L521" s="4"/>
      <c r="M521" s="4"/>
      <c r="N521" s="4"/>
      <c r="O521" s="4"/>
      <c r="P521" s="4"/>
      <c r="Q521" s="4"/>
      <c r="R521" s="4"/>
      <c r="S521" s="4"/>
      <c r="T521" s="4"/>
      <c r="U521" s="4"/>
      <c r="V521" s="404"/>
      <c r="W521" s="404"/>
      <c r="X521" s="4"/>
      <c r="Y521" s="4"/>
      <c r="Z521" s="4"/>
      <c r="AA521" s="4"/>
      <c r="AB521" s="4"/>
      <c r="AC521" s="4"/>
      <c r="AD521" s="4"/>
      <c r="AE521" s="4"/>
      <c r="AF521" s="4"/>
      <c r="AG521" s="4"/>
      <c r="AH521" s="4"/>
      <c r="AI521" s="17"/>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row>
    <row r="522">
      <c r="A522" s="4"/>
      <c r="B522" s="4"/>
      <c r="C522" s="4"/>
      <c r="D522" s="4"/>
      <c r="E522" s="17"/>
      <c r="F522" s="17"/>
      <c r="G522" s="17"/>
      <c r="H522" s="17"/>
      <c r="I522" s="17"/>
      <c r="J522" s="4"/>
      <c r="K522" s="17"/>
      <c r="L522" s="4"/>
      <c r="M522" s="4"/>
      <c r="N522" s="4"/>
      <c r="O522" s="4"/>
      <c r="P522" s="4"/>
      <c r="Q522" s="4"/>
      <c r="R522" s="4"/>
      <c r="S522" s="4"/>
      <c r="T522" s="4"/>
      <c r="U522" s="4"/>
      <c r="V522" s="404"/>
      <c r="W522" s="404"/>
      <c r="X522" s="4"/>
      <c r="Y522" s="4"/>
      <c r="Z522" s="4"/>
      <c r="AA522" s="4"/>
      <c r="AB522" s="4"/>
      <c r="AC522" s="4"/>
      <c r="AD522" s="4"/>
      <c r="AE522" s="4"/>
      <c r="AF522" s="4"/>
      <c r="AG522" s="4"/>
      <c r="AH522" s="4"/>
      <c r="AI522" s="17"/>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row>
    <row r="523">
      <c r="A523" s="4"/>
      <c r="B523" s="4"/>
      <c r="C523" s="4"/>
      <c r="D523" s="4"/>
      <c r="E523" s="17"/>
      <c r="F523" s="17"/>
      <c r="G523" s="17"/>
      <c r="H523" s="17"/>
      <c r="I523" s="17"/>
      <c r="J523" s="4"/>
      <c r="K523" s="17"/>
      <c r="L523" s="4"/>
      <c r="M523" s="4"/>
      <c r="N523" s="4"/>
      <c r="O523" s="4"/>
      <c r="P523" s="4"/>
      <c r="Q523" s="4"/>
      <c r="R523" s="4"/>
      <c r="S523" s="4"/>
      <c r="T523" s="4"/>
      <c r="U523" s="4"/>
      <c r="V523" s="404"/>
      <c r="W523" s="404"/>
      <c r="X523" s="4"/>
      <c r="Y523" s="4"/>
      <c r="Z523" s="4"/>
      <c r="AA523" s="4"/>
      <c r="AB523" s="4"/>
      <c r="AC523" s="4"/>
      <c r="AD523" s="4"/>
      <c r="AE523" s="4"/>
      <c r="AF523" s="4"/>
      <c r="AG523" s="4"/>
      <c r="AH523" s="4"/>
      <c r="AI523" s="17"/>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row>
    <row r="524">
      <c r="A524" s="4"/>
      <c r="B524" s="4"/>
      <c r="C524" s="4"/>
      <c r="D524" s="4"/>
      <c r="E524" s="17"/>
      <c r="F524" s="17"/>
      <c r="G524" s="17"/>
      <c r="H524" s="17"/>
      <c r="I524" s="17"/>
      <c r="J524" s="4"/>
      <c r="K524" s="17"/>
      <c r="L524" s="4"/>
      <c r="M524" s="4"/>
      <c r="N524" s="4"/>
      <c r="O524" s="4"/>
      <c r="P524" s="4"/>
      <c r="Q524" s="4"/>
      <c r="R524" s="4"/>
      <c r="S524" s="4"/>
      <c r="T524" s="4"/>
      <c r="U524" s="4"/>
      <c r="V524" s="404"/>
      <c r="W524" s="404"/>
      <c r="X524" s="4"/>
      <c r="Y524" s="4"/>
      <c r="Z524" s="4"/>
      <c r="AA524" s="4"/>
      <c r="AB524" s="4"/>
      <c r="AC524" s="4"/>
      <c r="AD524" s="4"/>
      <c r="AE524" s="4"/>
      <c r="AF524" s="4"/>
      <c r="AG524" s="4"/>
      <c r="AH524" s="4"/>
      <c r="AI524" s="17"/>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row>
    <row r="525">
      <c r="A525" s="4"/>
      <c r="B525" s="4"/>
      <c r="C525" s="4"/>
      <c r="D525" s="4"/>
      <c r="E525" s="17"/>
      <c r="F525" s="17"/>
      <c r="G525" s="17"/>
      <c r="H525" s="17"/>
      <c r="I525" s="17"/>
      <c r="J525" s="4"/>
      <c r="K525" s="17"/>
      <c r="L525" s="4"/>
      <c r="M525" s="4"/>
      <c r="N525" s="4"/>
      <c r="O525" s="4"/>
      <c r="P525" s="4"/>
      <c r="Q525" s="4"/>
      <c r="R525" s="4"/>
      <c r="S525" s="4"/>
      <c r="T525" s="4"/>
      <c r="U525" s="4"/>
      <c r="V525" s="404"/>
      <c r="W525" s="404"/>
      <c r="X525" s="4"/>
      <c r="Y525" s="4"/>
      <c r="Z525" s="4"/>
      <c r="AA525" s="4"/>
      <c r="AB525" s="4"/>
      <c r="AC525" s="4"/>
      <c r="AD525" s="4"/>
      <c r="AE525" s="4"/>
      <c r="AF525" s="4"/>
      <c r="AG525" s="4"/>
      <c r="AH525" s="4"/>
      <c r="AI525" s="17"/>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row>
    <row r="526">
      <c r="A526" s="4"/>
      <c r="B526" s="4"/>
      <c r="C526" s="4"/>
      <c r="D526" s="4"/>
      <c r="E526" s="17"/>
      <c r="F526" s="17"/>
      <c r="G526" s="17"/>
      <c r="H526" s="17"/>
      <c r="I526" s="17"/>
      <c r="J526" s="4"/>
      <c r="K526" s="17"/>
      <c r="L526" s="4"/>
      <c r="M526" s="4"/>
      <c r="N526" s="4"/>
      <c r="O526" s="4"/>
      <c r="P526" s="4"/>
      <c r="Q526" s="4"/>
      <c r="R526" s="4"/>
      <c r="S526" s="4"/>
      <c r="T526" s="4"/>
      <c r="U526" s="4"/>
      <c r="V526" s="404"/>
      <c r="W526" s="404"/>
      <c r="X526" s="4"/>
      <c r="Y526" s="4"/>
      <c r="Z526" s="4"/>
      <c r="AA526" s="4"/>
      <c r="AB526" s="4"/>
      <c r="AC526" s="4"/>
      <c r="AD526" s="4"/>
      <c r="AE526" s="4"/>
      <c r="AF526" s="4"/>
      <c r="AG526" s="4"/>
      <c r="AH526" s="4"/>
      <c r="AI526" s="17"/>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row>
    <row r="527">
      <c r="A527" s="4"/>
      <c r="B527" s="4"/>
      <c r="C527" s="4"/>
      <c r="D527" s="4"/>
      <c r="E527" s="17"/>
      <c r="F527" s="17"/>
      <c r="G527" s="17"/>
      <c r="H527" s="17"/>
      <c r="I527" s="17"/>
      <c r="J527" s="4"/>
      <c r="K527" s="17"/>
      <c r="L527" s="4"/>
      <c r="M527" s="4"/>
      <c r="N527" s="4"/>
      <c r="O527" s="4"/>
      <c r="P527" s="4"/>
      <c r="Q527" s="4"/>
      <c r="R527" s="4"/>
      <c r="S527" s="4"/>
      <c r="T527" s="4"/>
      <c r="U527" s="4"/>
      <c r="V527" s="404"/>
      <c r="W527" s="404"/>
      <c r="X527" s="4"/>
      <c r="Y527" s="4"/>
      <c r="Z527" s="4"/>
      <c r="AA527" s="4"/>
      <c r="AB527" s="4"/>
      <c r="AC527" s="4"/>
      <c r="AD527" s="4"/>
      <c r="AE527" s="4"/>
      <c r="AF527" s="4"/>
      <c r="AG527" s="4"/>
      <c r="AH527" s="4"/>
      <c r="AI527" s="17"/>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row>
    <row r="528">
      <c r="A528" s="4"/>
      <c r="B528" s="4"/>
      <c r="C528" s="4"/>
      <c r="D528" s="4"/>
      <c r="E528" s="17"/>
      <c r="F528" s="17"/>
      <c r="G528" s="17"/>
      <c r="H528" s="17"/>
      <c r="I528" s="17"/>
      <c r="J528" s="4"/>
      <c r="K528" s="17"/>
      <c r="L528" s="4"/>
      <c r="M528" s="4"/>
      <c r="N528" s="4"/>
      <c r="O528" s="4"/>
      <c r="P528" s="4"/>
      <c r="Q528" s="4"/>
      <c r="R528" s="4"/>
      <c r="S528" s="4"/>
      <c r="T528" s="4"/>
      <c r="U528" s="4"/>
      <c r="V528" s="404"/>
      <c r="W528" s="404"/>
      <c r="X528" s="4"/>
      <c r="Y528" s="4"/>
      <c r="Z528" s="4"/>
      <c r="AA528" s="4"/>
      <c r="AB528" s="4"/>
      <c r="AC528" s="4"/>
      <c r="AD528" s="4"/>
      <c r="AE528" s="4"/>
      <c r="AF528" s="4"/>
      <c r="AG528" s="4"/>
      <c r="AH528" s="4"/>
      <c r="AI528" s="17"/>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row>
    <row r="529">
      <c r="A529" s="4"/>
      <c r="B529" s="4"/>
      <c r="C529" s="4"/>
      <c r="D529" s="4"/>
      <c r="E529" s="17"/>
      <c r="F529" s="17"/>
      <c r="G529" s="17"/>
      <c r="H529" s="17"/>
      <c r="I529" s="17"/>
      <c r="J529" s="4"/>
      <c r="K529" s="17"/>
      <c r="L529" s="4"/>
      <c r="M529" s="4"/>
      <c r="N529" s="4"/>
      <c r="O529" s="4"/>
      <c r="P529" s="4"/>
      <c r="Q529" s="4"/>
      <c r="R529" s="4"/>
      <c r="S529" s="4"/>
      <c r="T529" s="4"/>
      <c r="U529" s="4"/>
      <c r="V529" s="404"/>
      <c r="W529" s="404"/>
      <c r="X529" s="4"/>
      <c r="Y529" s="4"/>
      <c r="Z529" s="4"/>
      <c r="AA529" s="4"/>
      <c r="AB529" s="4"/>
      <c r="AC529" s="4"/>
      <c r="AD529" s="4"/>
      <c r="AE529" s="4"/>
      <c r="AF529" s="4"/>
      <c r="AG529" s="4"/>
      <c r="AH529" s="4"/>
      <c r="AI529" s="17"/>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row>
    <row r="530">
      <c r="A530" s="4"/>
      <c r="B530" s="4"/>
      <c r="C530" s="4"/>
      <c r="D530" s="4"/>
      <c r="E530" s="17"/>
      <c r="F530" s="17"/>
      <c r="G530" s="17"/>
      <c r="H530" s="17"/>
      <c r="I530" s="17"/>
      <c r="J530" s="4"/>
      <c r="K530" s="17"/>
      <c r="L530" s="4"/>
      <c r="M530" s="4"/>
      <c r="N530" s="4"/>
      <c r="O530" s="4"/>
      <c r="P530" s="4"/>
      <c r="Q530" s="4"/>
      <c r="R530" s="4"/>
      <c r="S530" s="4"/>
      <c r="T530" s="4"/>
      <c r="U530" s="4"/>
      <c r="V530" s="404"/>
      <c r="W530" s="404"/>
      <c r="X530" s="4"/>
      <c r="Y530" s="4"/>
      <c r="Z530" s="4"/>
      <c r="AA530" s="4"/>
      <c r="AB530" s="4"/>
      <c r="AC530" s="4"/>
      <c r="AD530" s="4"/>
      <c r="AE530" s="4"/>
      <c r="AF530" s="4"/>
      <c r="AG530" s="4"/>
      <c r="AH530" s="4"/>
      <c r="AI530" s="17"/>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row>
    <row r="531">
      <c r="A531" s="4"/>
      <c r="B531" s="4"/>
      <c r="C531" s="4"/>
      <c r="D531" s="4"/>
      <c r="E531" s="17"/>
      <c r="F531" s="17"/>
      <c r="G531" s="17"/>
      <c r="H531" s="17"/>
      <c r="I531" s="17"/>
      <c r="J531" s="4"/>
      <c r="K531" s="17"/>
      <c r="L531" s="4"/>
      <c r="M531" s="4"/>
      <c r="N531" s="4"/>
      <c r="O531" s="4"/>
      <c r="P531" s="4"/>
      <c r="Q531" s="4"/>
      <c r="R531" s="4"/>
      <c r="S531" s="4"/>
      <c r="T531" s="4"/>
      <c r="U531" s="4"/>
      <c r="V531" s="404"/>
      <c r="W531" s="404"/>
      <c r="X531" s="4"/>
      <c r="Y531" s="4"/>
      <c r="Z531" s="4"/>
      <c r="AA531" s="4"/>
      <c r="AB531" s="4"/>
      <c r="AC531" s="4"/>
      <c r="AD531" s="4"/>
      <c r="AE531" s="4"/>
      <c r="AF531" s="4"/>
      <c r="AG531" s="4"/>
      <c r="AH531" s="4"/>
      <c r="AI531" s="17"/>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row>
    <row r="532">
      <c r="A532" s="4"/>
      <c r="B532" s="4"/>
      <c r="C532" s="4"/>
      <c r="D532" s="4"/>
      <c r="E532" s="17"/>
      <c r="F532" s="17"/>
      <c r="G532" s="17"/>
      <c r="H532" s="17"/>
      <c r="I532" s="17"/>
      <c r="J532" s="4"/>
      <c r="K532" s="17"/>
      <c r="L532" s="4"/>
      <c r="M532" s="4"/>
      <c r="N532" s="4"/>
      <c r="O532" s="4"/>
      <c r="P532" s="4"/>
      <c r="Q532" s="4"/>
      <c r="R532" s="4"/>
      <c r="S532" s="4"/>
      <c r="T532" s="4"/>
      <c r="U532" s="4"/>
      <c r="V532" s="404"/>
      <c r="W532" s="404"/>
      <c r="X532" s="4"/>
      <c r="Y532" s="4"/>
      <c r="Z532" s="4"/>
      <c r="AA532" s="4"/>
      <c r="AB532" s="4"/>
      <c r="AC532" s="4"/>
      <c r="AD532" s="4"/>
      <c r="AE532" s="4"/>
      <c r="AF532" s="4"/>
      <c r="AG532" s="4"/>
      <c r="AH532" s="4"/>
      <c r="AI532" s="17"/>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row>
    <row r="533">
      <c r="A533" s="4"/>
      <c r="B533" s="4"/>
      <c r="C533" s="4"/>
      <c r="D533" s="4"/>
      <c r="E533" s="17"/>
      <c r="F533" s="17"/>
      <c r="G533" s="17"/>
      <c r="H533" s="17"/>
      <c r="I533" s="17"/>
      <c r="J533" s="4"/>
      <c r="K533" s="17"/>
      <c r="L533" s="4"/>
      <c r="M533" s="4"/>
      <c r="N533" s="4"/>
      <c r="O533" s="4"/>
      <c r="P533" s="4"/>
      <c r="Q533" s="4"/>
      <c r="R533" s="4"/>
      <c r="S533" s="4"/>
      <c r="T533" s="4"/>
      <c r="U533" s="4"/>
      <c r="V533" s="404"/>
      <c r="W533" s="404"/>
      <c r="X533" s="4"/>
      <c r="Y533" s="4"/>
      <c r="Z533" s="4"/>
      <c r="AA533" s="4"/>
      <c r="AB533" s="4"/>
      <c r="AC533" s="4"/>
      <c r="AD533" s="4"/>
      <c r="AE533" s="4"/>
      <c r="AF533" s="4"/>
      <c r="AG533" s="4"/>
      <c r="AH533" s="4"/>
      <c r="AI533" s="17"/>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row>
    <row r="534">
      <c r="A534" s="4"/>
      <c r="B534" s="4"/>
      <c r="C534" s="4"/>
      <c r="D534" s="4"/>
      <c r="E534" s="17"/>
      <c r="F534" s="17"/>
      <c r="G534" s="17"/>
      <c r="H534" s="17"/>
      <c r="I534" s="17"/>
      <c r="J534" s="4"/>
      <c r="K534" s="17"/>
      <c r="L534" s="4"/>
      <c r="M534" s="4"/>
      <c r="N534" s="4"/>
      <c r="O534" s="4"/>
      <c r="P534" s="4"/>
      <c r="Q534" s="4"/>
      <c r="R534" s="4"/>
      <c r="S534" s="4"/>
      <c r="T534" s="4"/>
      <c r="U534" s="4"/>
      <c r="V534" s="404"/>
      <c r="W534" s="404"/>
      <c r="X534" s="4"/>
      <c r="Y534" s="4"/>
      <c r="Z534" s="4"/>
      <c r="AA534" s="4"/>
      <c r="AB534" s="4"/>
      <c r="AC534" s="4"/>
      <c r="AD534" s="4"/>
      <c r="AE534" s="4"/>
      <c r="AF534" s="4"/>
      <c r="AG534" s="4"/>
      <c r="AH534" s="4"/>
      <c r="AI534" s="17"/>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row>
    <row r="535">
      <c r="A535" s="4"/>
      <c r="B535" s="4"/>
      <c r="C535" s="4"/>
      <c r="D535" s="4"/>
      <c r="E535" s="17"/>
      <c r="F535" s="17"/>
      <c r="G535" s="17"/>
      <c r="H535" s="17"/>
      <c r="I535" s="17"/>
      <c r="J535" s="4"/>
      <c r="K535" s="17"/>
      <c r="L535" s="4"/>
      <c r="M535" s="4"/>
      <c r="N535" s="4"/>
      <c r="O535" s="4"/>
      <c r="P535" s="4"/>
      <c r="Q535" s="4"/>
      <c r="R535" s="4"/>
      <c r="S535" s="4"/>
      <c r="T535" s="4"/>
      <c r="U535" s="4"/>
      <c r="V535" s="404"/>
      <c r="W535" s="404"/>
      <c r="X535" s="4"/>
      <c r="Y535" s="4"/>
      <c r="Z535" s="4"/>
      <c r="AA535" s="4"/>
      <c r="AB535" s="4"/>
      <c r="AC535" s="4"/>
      <c r="AD535" s="4"/>
      <c r="AE535" s="4"/>
      <c r="AF535" s="4"/>
      <c r="AG535" s="4"/>
      <c r="AH535" s="4"/>
      <c r="AI535" s="17"/>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row>
    <row r="536">
      <c r="A536" s="4"/>
      <c r="B536" s="4"/>
      <c r="C536" s="4"/>
      <c r="D536" s="4"/>
      <c r="E536" s="17"/>
      <c r="F536" s="17"/>
      <c r="G536" s="17"/>
      <c r="H536" s="17"/>
      <c r="I536" s="17"/>
      <c r="J536" s="4"/>
      <c r="K536" s="17"/>
      <c r="L536" s="4"/>
      <c r="M536" s="4"/>
      <c r="N536" s="4"/>
      <c r="O536" s="4"/>
      <c r="P536" s="4"/>
      <c r="Q536" s="4"/>
      <c r="R536" s="4"/>
      <c r="S536" s="4"/>
      <c r="T536" s="4"/>
      <c r="U536" s="4"/>
      <c r="V536" s="404"/>
      <c r="W536" s="404"/>
      <c r="X536" s="4"/>
      <c r="Y536" s="4"/>
      <c r="Z536" s="4"/>
      <c r="AA536" s="4"/>
      <c r="AB536" s="4"/>
      <c r="AC536" s="4"/>
      <c r="AD536" s="4"/>
      <c r="AE536" s="4"/>
      <c r="AF536" s="4"/>
      <c r="AG536" s="4"/>
      <c r="AH536" s="4"/>
      <c r="AI536" s="17"/>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row>
    <row r="537">
      <c r="A537" s="4"/>
      <c r="B537" s="4"/>
      <c r="C537" s="4"/>
      <c r="D537" s="4"/>
      <c r="E537" s="17"/>
      <c r="F537" s="17"/>
      <c r="G537" s="17"/>
      <c r="H537" s="17"/>
      <c r="I537" s="17"/>
      <c r="J537" s="4"/>
      <c r="K537" s="17"/>
      <c r="L537" s="4"/>
      <c r="M537" s="4"/>
      <c r="N537" s="4"/>
      <c r="O537" s="4"/>
      <c r="P537" s="4"/>
      <c r="Q537" s="4"/>
      <c r="R537" s="4"/>
      <c r="S537" s="4"/>
      <c r="T537" s="4"/>
      <c r="U537" s="4"/>
      <c r="V537" s="404"/>
      <c r="W537" s="404"/>
      <c r="X537" s="4"/>
      <c r="Y537" s="4"/>
      <c r="Z537" s="4"/>
      <c r="AA537" s="4"/>
      <c r="AB537" s="4"/>
      <c r="AC537" s="4"/>
      <c r="AD537" s="4"/>
      <c r="AE537" s="4"/>
      <c r="AF537" s="4"/>
      <c r="AG537" s="4"/>
      <c r="AH537" s="4"/>
      <c r="AI537" s="17"/>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row>
    <row r="538">
      <c r="A538" s="4"/>
      <c r="B538" s="4"/>
      <c r="C538" s="4"/>
      <c r="D538" s="4"/>
      <c r="E538" s="17"/>
      <c r="F538" s="17"/>
      <c r="G538" s="17"/>
      <c r="H538" s="17"/>
      <c r="I538" s="17"/>
      <c r="J538" s="4"/>
      <c r="K538" s="17"/>
      <c r="L538" s="4"/>
      <c r="M538" s="4"/>
      <c r="N538" s="4"/>
      <c r="O538" s="4"/>
      <c r="P538" s="4"/>
      <c r="Q538" s="4"/>
      <c r="R538" s="4"/>
      <c r="S538" s="4"/>
      <c r="T538" s="4"/>
      <c r="U538" s="4"/>
      <c r="V538" s="404"/>
      <c r="W538" s="404"/>
      <c r="X538" s="4"/>
      <c r="Y538" s="4"/>
      <c r="Z538" s="4"/>
      <c r="AA538" s="4"/>
      <c r="AB538" s="4"/>
      <c r="AC538" s="4"/>
      <c r="AD538" s="4"/>
      <c r="AE538" s="4"/>
      <c r="AF538" s="4"/>
      <c r="AG538" s="4"/>
      <c r="AH538" s="4"/>
      <c r="AI538" s="17"/>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row>
    <row r="539">
      <c r="A539" s="4"/>
      <c r="B539" s="4"/>
      <c r="C539" s="4"/>
      <c r="D539" s="4"/>
      <c r="E539" s="17"/>
      <c r="F539" s="17"/>
      <c r="G539" s="17"/>
      <c r="H539" s="17"/>
      <c r="I539" s="17"/>
      <c r="J539" s="4"/>
      <c r="K539" s="17"/>
      <c r="L539" s="4"/>
      <c r="M539" s="4"/>
      <c r="N539" s="4"/>
      <c r="O539" s="4"/>
      <c r="P539" s="4"/>
      <c r="Q539" s="4"/>
      <c r="R539" s="4"/>
      <c r="S539" s="4"/>
      <c r="T539" s="4"/>
      <c r="U539" s="4"/>
      <c r="V539" s="404"/>
      <c r="W539" s="404"/>
      <c r="X539" s="4"/>
      <c r="Y539" s="4"/>
      <c r="Z539" s="4"/>
      <c r="AA539" s="4"/>
      <c r="AB539" s="4"/>
      <c r="AC539" s="4"/>
      <c r="AD539" s="4"/>
      <c r="AE539" s="4"/>
      <c r="AF539" s="4"/>
      <c r="AG539" s="4"/>
      <c r="AH539" s="4"/>
      <c r="AI539" s="17"/>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row>
    <row r="540">
      <c r="A540" s="4"/>
      <c r="B540" s="4"/>
      <c r="C540" s="4"/>
      <c r="D540" s="4"/>
      <c r="E540" s="17"/>
      <c r="F540" s="17"/>
      <c r="G540" s="17"/>
      <c r="H540" s="17"/>
      <c r="I540" s="17"/>
      <c r="J540" s="4"/>
      <c r="K540" s="17"/>
      <c r="L540" s="4"/>
      <c r="M540" s="4"/>
      <c r="N540" s="4"/>
      <c r="O540" s="4"/>
      <c r="P540" s="4"/>
      <c r="Q540" s="4"/>
      <c r="R540" s="4"/>
      <c r="S540" s="4"/>
      <c r="T540" s="4"/>
      <c r="U540" s="4"/>
      <c r="V540" s="404"/>
      <c r="W540" s="404"/>
      <c r="X540" s="4"/>
      <c r="Y540" s="4"/>
      <c r="Z540" s="4"/>
      <c r="AA540" s="4"/>
      <c r="AB540" s="4"/>
      <c r="AC540" s="4"/>
      <c r="AD540" s="4"/>
      <c r="AE540" s="4"/>
      <c r="AF540" s="4"/>
      <c r="AG540" s="4"/>
      <c r="AH540" s="4"/>
      <c r="AI540" s="17"/>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row>
    <row r="541">
      <c r="A541" s="4"/>
      <c r="B541" s="4"/>
      <c r="C541" s="4"/>
      <c r="D541" s="4"/>
      <c r="E541" s="17"/>
      <c r="F541" s="17"/>
      <c r="G541" s="17"/>
      <c r="H541" s="17"/>
      <c r="I541" s="17"/>
      <c r="J541" s="4"/>
      <c r="K541" s="17"/>
      <c r="L541" s="4"/>
      <c r="M541" s="4"/>
      <c r="N541" s="4"/>
      <c r="O541" s="4"/>
      <c r="P541" s="4"/>
      <c r="Q541" s="4"/>
      <c r="R541" s="4"/>
      <c r="S541" s="4"/>
      <c r="T541" s="4"/>
      <c r="U541" s="4"/>
      <c r="V541" s="404"/>
      <c r="W541" s="404"/>
      <c r="X541" s="4"/>
      <c r="Y541" s="4"/>
      <c r="Z541" s="4"/>
      <c r="AA541" s="4"/>
      <c r="AB541" s="4"/>
      <c r="AC541" s="4"/>
      <c r="AD541" s="4"/>
      <c r="AE541" s="4"/>
      <c r="AF541" s="4"/>
      <c r="AG541" s="4"/>
      <c r="AH541" s="4"/>
      <c r="AI541" s="17"/>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row>
    <row r="542">
      <c r="A542" s="4"/>
      <c r="B542" s="4"/>
      <c r="C542" s="4"/>
      <c r="D542" s="4"/>
      <c r="E542" s="17"/>
      <c r="F542" s="17"/>
      <c r="G542" s="17"/>
      <c r="H542" s="17"/>
      <c r="I542" s="17"/>
      <c r="J542" s="4"/>
      <c r="K542" s="17"/>
      <c r="L542" s="4"/>
      <c r="M542" s="4"/>
      <c r="N542" s="4"/>
      <c r="O542" s="4"/>
      <c r="P542" s="4"/>
      <c r="Q542" s="4"/>
      <c r="R542" s="4"/>
      <c r="S542" s="4"/>
      <c r="T542" s="4"/>
      <c r="U542" s="4"/>
      <c r="V542" s="404"/>
      <c r="W542" s="404"/>
      <c r="X542" s="4"/>
      <c r="Y542" s="4"/>
      <c r="Z542" s="4"/>
      <c r="AA542" s="4"/>
      <c r="AB542" s="4"/>
      <c r="AC542" s="4"/>
      <c r="AD542" s="4"/>
      <c r="AE542" s="4"/>
      <c r="AF542" s="4"/>
      <c r="AG542" s="4"/>
      <c r="AH542" s="4"/>
      <c r="AI542" s="17"/>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row>
    <row r="543">
      <c r="A543" s="4"/>
      <c r="B543" s="4"/>
      <c r="C543" s="4"/>
      <c r="D543" s="4"/>
      <c r="E543" s="17"/>
      <c r="F543" s="17"/>
      <c r="G543" s="17"/>
      <c r="H543" s="17"/>
      <c r="I543" s="17"/>
      <c r="J543" s="4"/>
      <c r="K543" s="17"/>
      <c r="L543" s="4"/>
      <c r="M543" s="4"/>
      <c r="N543" s="4"/>
      <c r="O543" s="4"/>
      <c r="P543" s="4"/>
      <c r="Q543" s="4"/>
      <c r="R543" s="4"/>
      <c r="S543" s="4"/>
      <c r="T543" s="4"/>
      <c r="U543" s="4"/>
      <c r="V543" s="404"/>
      <c r="W543" s="404"/>
      <c r="X543" s="4"/>
      <c r="Y543" s="4"/>
      <c r="Z543" s="4"/>
      <c r="AA543" s="4"/>
      <c r="AB543" s="4"/>
      <c r="AC543" s="4"/>
      <c r="AD543" s="4"/>
      <c r="AE543" s="4"/>
      <c r="AF543" s="4"/>
      <c r="AG543" s="4"/>
      <c r="AH543" s="4"/>
      <c r="AI543" s="17"/>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row>
    <row r="544">
      <c r="A544" s="4"/>
      <c r="B544" s="4"/>
      <c r="C544" s="4"/>
      <c r="D544" s="4"/>
      <c r="E544" s="17"/>
      <c r="F544" s="17"/>
      <c r="G544" s="17"/>
      <c r="H544" s="17"/>
      <c r="I544" s="17"/>
      <c r="J544" s="4"/>
      <c r="K544" s="17"/>
      <c r="L544" s="4"/>
      <c r="M544" s="4"/>
      <c r="N544" s="4"/>
      <c r="O544" s="4"/>
      <c r="P544" s="4"/>
      <c r="Q544" s="4"/>
      <c r="R544" s="4"/>
      <c r="S544" s="4"/>
      <c r="T544" s="4"/>
      <c r="U544" s="4"/>
      <c r="V544" s="404"/>
      <c r="W544" s="404"/>
      <c r="X544" s="4"/>
      <c r="Y544" s="4"/>
      <c r="Z544" s="4"/>
      <c r="AA544" s="4"/>
      <c r="AB544" s="4"/>
      <c r="AC544" s="4"/>
      <c r="AD544" s="4"/>
      <c r="AE544" s="4"/>
      <c r="AF544" s="4"/>
      <c r="AG544" s="4"/>
      <c r="AH544" s="4"/>
      <c r="AI544" s="17"/>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row>
    <row r="545">
      <c r="A545" s="4"/>
      <c r="B545" s="4"/>
      <c r="C545" s="4"/>
      <c r="D545" s="4"/>
      <c r="E545" s="17"/>
      <c r="F545" s="17"/>
      <c r="G545" s="17"/>
      <c r="H545" s="17"/>
      <c r="I545" s="17"/>
      <c r="J545" s="4"/>
      <c r="K545" s="17"/>
      <c r="L545" s="4"/>
      <c r="M545" s="4"/>
      <c r="N545" s="4"/>
      <c r="O545" s="4"/>
      <c r="P545" s="4"/>
      <c r="Q545" s="4"/>
      <c r="R545" s="4"/>
      <c r="S545" s="4"/>
      <c r="T545" s="4"/>
      <c r="U545" s="4"/>
      <c r="V545" s="404"/>
      <c r="W545" s="404"/>
      <c r="X545" s="4"/>
      <c r="Y545" s="4"/>
      <c r="Z545" s="4"/>
      <c r="AA545" s="4"/>
      <c r="AB545" s="4"/>
      <c r="AC545" s="4"/>
      <c r="AD545" s="4"/>
      <c r="AE545" s="4"/>
      <c r="AF545" s="4"/>
      <c r="AG545" s="4"/>
      <c r="AH545" s="4"/>
      <c r="AI545" s="17"/>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row>
    <row r="546">
      <c r="A546" s="4"/>
      <c r="B546" s="4"/>
      <c r="C546" s="4"/>
      <c r="D546" s="4"/>
      <c r="E546" s="17"/>
      <c r="F546" s="17"/>
      <c r="G546" s="17"/>
      <c r="H546" s="17"/>
      <c r="I546" s="17"/>
      <c r="J546" s="4"/>
      <c r="K546" s="17"/>
      <c r="L546" s="4"/>
      <c r="M546" s="4"/>
      <c r="N546" s="4"/>
      <c r="O546" s="4"/>
      <c r="P546" s="4"/>
      <c r="Q546" s="4"/>
      <c r="R546" s="4"/>
      <c r="S546" s="4"/>
      <c r="T546" s="4"/>
      <c r="U546" s="4"/>
      <c r="V546" s="404"/>
      <c r="W546" s="404"/>
      <c r="X546" s="4"/>
      <c r="Y546" s="4"/>
      <c r="Z546" s="4"/>
      <c r="AA546" s="4"/>
      <c r="AB546" s="4"/>
      <c r="AC546" s="4"/>
      <c r="AD546" s="4"/>
      <c r="AE546" s="4"/>
      <c r="AF546" s="4"/>
      <c r="AG546" s="4"/>
      <c r="AH546" s="4"/>
      <c r="AI546" s="17"/>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row>
    <row r="547">
      <c r="A547" s="4"/>
      <c r="B547" s="4"/>
      <c r="C547" s="4"/>
      <c r="D547" s="4"/>
      <c r="E547" s="17"/>
      <c r="F547" s="17"/>
      <c r="G547" s="17"/>
      <c r="H547" s="17"/>
      <c r="I547" s="17"/>
      <c r="J547" s="4"/>
      <c r="K547" s="17"/>
      <c r="L547" s="4"/>
      <c r="M547" s="4"/>
      <c r="N547" s="4"/>
      <c r="O547" s="4"/>
      <c r="P547" s="4"/>
      <c r="Q547" s="4"/>
      <c r="R547" s="4"/>
      <c r="S547" s="4"/>
      <c r="T547" s="4"/>
      <c r="U547" s="4"/>
      <c r="V547" s="404"/>
      <c r="W547" s="404"/>
      <c r="X547" s="4"/>
      <c r="Y547" s="4"/>
      <c r="Z547" s="4"/>
      <c r="AA547" s="4"/>
      <c r="AB547" s="4"/>
      <c r="AC547" s="4"/>
      <c r="AD547" s="4"/>
      <c r="AE547" s="4"/>
      <c r="AF547" s="4"/>
      <c r="AG547" s="4"/>
      <c r="AH547" s="4"/>
      <c r="AI547" s="17"/>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row>
    <row r="548">
      <c r="A548" s="4"/>
      <c r="B548" s="4"/>
      <c r="C548" s="4"/>
      <c r="D548" s="4"/>
      <c r="E548" s="17"/>
      <c r="F548" s="17"/>
      <c r="G548" s="17"/>
      <c r="H548" s="17"/>
      <c r="I548" s="17"/>
      <c r="J548" s="4"/>
      <c r="K548" s="17"/>
      <c r="L548" s="4"/>
      <c r="M548" s="4"/>
      <c r="N548" s="4"/>
      <c r="O548" s="4"/>
      <c r="P548" s="4"/>
      <c r="Q548" s="4"/>
      <c r="R548" s="4"/>
      <c r="S548" s="4"/>
      <c r="T548" s="4"/>
      <c r="U548" s="4"/>
      <c r="V548" s="404"/>
      <c r="W548" s="404"/>
      <c r="X548" s="4"/>
      <c r="Y548" s="4"/>
      <c r="Z548" s="4"/>
      <c r="AA548" s="4"/>
      <c r="AB548" s="4"/>
      <c r="AC548" s="4"/>
      <c r="AD548" s="4"/>
      <c r="AE548" s="4"/>
      <c r="AF548" s="4"/>
      <c r="AG548" s="4"/>
      <c r="AH548" s="4"/>
      <c r="AI548" s="17"/>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row>
    <row r="549">
      <c r="A549" s="4"/>
      <c r="B549" s="4"/>
      <c r="C549" s="4"/>
      <c r="D549" s="4"/>
      <c r="E549" s="17"/>
      <c r="F549" s="17"/>
      <c r="G549" s="17"/>
      <c r="H549" s="17"/>
      <c r="I549" s="17"/>
      <c r="J549" s="4"/>
      <c r="K549" s="17"/>
      <c r="L549" s="4"/>
      <c r="M549" s="4"/>
      <c r="N549" s="4"/>
      <c r="O549" s="4"/>
      <c r="P549" s="4"/>
      <c r="Q549" s="4"/>
      <c r="R549" s="4"/>
      <c r="S549" s="4"/>
      <c r="T549" s="4"/>
      <c r="U549" s="4"/>
      <c r="V549" s="404"/>
      <c r="W549" s="404"/>
      <c r="X549" s="4"/>
      <c r="Y549" s="4"/>
      <c r="Z549" s="4"/>
      <c r="AA549" s="4"/>
      <c r="AB549" s="4"/>
      <c r="AC549" s="4"/>
      <c r="AD549" s="4"/>
      <c r="AE549" s="4"/>
      <c r="AF549" s="4"/>
      <c r="AG549" s="4"/>
      <c r="AH549" s="4"/>
      <c r="AI549" s="17"/>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row>
    <row r="550">
      <c r="A550" s="4"/>
      <c r="B550" s="4"/>
      <c r="C550" s="4"/>
      <c r="D550" s="4"/>
      <c r="E550" s="17"/>
      <c r="F550" s="17"/>
      <c r="G550" s="17"/>
      <c r="H550" s="17"/>
      <c r="I550" s="17"/>
      <c r="J550" s="4"/>
      <c r="K550" s="17"/>
      <c r="L550" s="4"/>
      <c r="M550" s="4"/>
      <c r="N550" s="4"/>
      <c r="O550" s="4"/>
      <c r="P550" s="4"/>
      <c r="Q550" s="4"/>
      <c r="R550" s="4"/>
      <c r="S550" s="4"/>
      <c r="T550" s="4"/>
      <c r="U550" s="4"/>
      <c r="V550" s="404"/>
      <c r="W550" s="404"/>
      <c r="X550" s="4"/>
      <c r="Y550" s="4"/>
      <c r="Z550" s="4"/>
      <c r="AA550" s="4"/>
      <c r="AB550" s="4"/>
      <c r="AC550" s="4"/>
      <c r="AD550" s="4"/>
      <c r="AE550" s="4"/>
      <c r="AF550" s="4"/>
      <c r="AG550" s="4"/>
      <c r="AH550" s="4"/>
      <c r="AI550" s="17"/>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row>
    <row r="551">
      <c r="A551" s="4"/>
      <c r="B551" s="4"/>
      <c r="C551" s="4"/>
      <c r="D551" s="4"/>
      <c r="E551" s="17"/>
      <c r="F551" s="17"/>
      <c r="G551" s="17"/>
      <c r="H551" s="17"/>
      <c r="I551" s="17"/>
      <c r="J551" s="4"/>
      <c r="K551" s="17"/>
      <c r="L551" s="4"/>
      <c r="M551" s="4"/>
      <c r="N551" s="4"/>
      <c r="O551" s="4"/>
      <c r="P551" s="4"/>
      <c r="Q551" s="4"/>
      <c r="R551" s="4"/>
      <c r="S551" s="4"/>
      <c r="T551" s="4"/>
      <c r="U551" s="4"/>
      <c r="V551" s="404"/>
      <c r="W551" s="404"/>
      <c r="X551" s="4"/>
      <c r="Y551" s="4"/>
      <c r="Z551" s="4"/>
      <c r="AA551" s="4"/>
      <c r="AB551" s="4"/>
      <c r="AC551" s="4"/>
      <c r="AD551" s="4"/>
      <c r="AE551" s="4"/>
      <c r="AF551" s="4"/>
      <c r="AG551" s="4"/>
      <c r="AH551" s="4"/>
      <c r="AI551" s="17"/>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row>
    <row r="552">
      <c r="A552" s="4"/>
      <c r="B552" s="4"/>
      <c r="C552" s="4"/>
      <c r="D552" s="4"/>
      <c r="E552" s="17"/>
      <c r="F552" s="17"/>
      <c r="G552" s="17"/>
      <c r="H552" s="17"/>
      <c r="I552" s="17"/>
      <c r="J552" s="4"/>
      <c r="K552" s="17"/>
      <c r="L552" s="4"/>
      <c r="M552" s="4"/>
      <c r="N552" s="4"/>
      <c r="O552" s="4"/>
      <c r="P552" s="4"/>
      <c r="Q552" s="4"/>
      <c r="R552" s="4"/>
      <c r="S552" s="4"/>
      <c r="T552" s="4"/>
      <c r="U552" s="4"/>
      <c r="V552" s="404"/>
      <c r="W552" s="404"/>
      <c r="X552" s="4"/>
      <c r="Y552" s="4"/>
      <c r="Z552" s="4"/>
      <c r="AA552" s="4"/>
      <c r="AB552" s="4"/>
      <c r="AC552" s="4"/>
      <c r="AD552" s="4"/>
      <c r="AE552" s="4"/>
      <c r="AF552" s="4"/>
      <c r="AG552" s="4"/>
      <c r="AH552" s="4"/>
      <c r="AI552" s="17"/>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row>
    <row r="553">
      <c r="A553" s="4"/>
      <c r="B553" s="4"/>
      <c r="C553" s="4"/>
      <c r="D553" s="4"/>
      <c r="E553" s="17"/>
      <c r="F553" s="17"/>
      <c r="G553" s="17"/>
      <c r="H553" s="17"/>
      <c r="I553" s="17"/>
      <c r="J553" s="4"/>
      <c r="K553" s="17"/>
      <c r="L553" s="4"/>
      <c r="M553" s="4"/>
      <c r="N553" s="4"/>
      <c r="O553" s="4"/>
      <c r="P553" s="4"/>
      <c r="Q553" s="4"/>
      <c r="R553" s="4"/>
      <c r="S553" s="4"/>
      <c r="T553" s="4"/>
      <c r="U553" s="4"/>
      <c r="V553" s="404"/>
      <c r="W553" s="404"/>
      <c r="X553" s="4"/>
      <c r="Y553" s="4"/>
      <c r="Z553" s="4"/>
      <c r="AA553" s="4"/>
      <c r="AB553" s="4"/>
      <c r="AC553" s="4"/>
      <c r="AD553" s="4"/>
      <c r="AE553" s="4"/>
      <c r="AF553" s="4"/>
      <c r="AG553" s="4"/>
      <c r="AH553" s="4"/>
      <c r="AI553" s="17"/>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row>
    <row r="554">
      <c r="A554" s="4"/>
      <c r="B554" s="4"/>
      <c r="C554" s="4"/>
      <c r="D554" s="4"/>
      <c r="E554" s="17"/>
      <c r="F554" s="17"/>
      <c r="G554" s="17"/>
      <c r="H554" s="17"/>
      <c r="I554" s="17"/>
      <c r="J554" s="4"/>
      <c r="K554" s="17"/>
      <c r="L554" s="4"/>
      <c r="M554" s="4"/>
      <c r="N554" s="4"/>
      <c r="O554" s="4"/>
      <c r="P554" s="4"/>
      <c r="Q554" s="4"/>
      <c r="R554" s="4"/>
      <c r="S554" s="4"/>
      <c r="T554" s="4"/>
      <c r="U554" s="4"/>
      <c r="V554" s="404"/>
      <c r="W554" s="404"/>
      <c r="X554" s="4"/>
      <c r="Y554" s="4"/>
      <c r="Z554" s="4"/>
      <c r="AA554" s="4"/>
      <c r="AB554" s="4"/>
      <c r="AC554" s="4"/>
      <c r="AD554" s="4"/>
      <c r="AE554" s="4"/>
      <c r="AF554" s="4"/>
      <c r="AG554" s="4"/>
      <c r="AH554" s="4"/>
      <c r="AI554" s="17"/>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row>
    <row r="555">
      <c r="A555" s="4"/>
      <c r="B555" s="4"/>
      <c r="C555" s="4"/>
      <c r="D555" s="4"/>
      <c r="E555" s="17"/>
      <c r="F555" s="17"/>
      <c r="G555" s="17"/>
      <c r="H555" s="17"/>
      <c r="I555" s="17"/>
      <c r="J555" s="4"/>
      <c r="K555" s="17"/>
      <c r="L555" s="4"/>
      <c r="M555" s="4"/>
      <c r="N555" s="4"/>
      <c r="O555" s="4"/>
      <c r="P555" s="4"/>
      <c r="Q555" s="4"/>
      <c r="R555" s="4"/>
      <c r="S555" s="4"/>
      <c r="T555" s="4"/>
      <c r="U555" s="4"/>
      <c r="V555" s="404"/>
      <c r="W555" s="404"/>
      <c r="X555" s="4"/>
      <c r="Y555" s="4"/>
      <c r="Z555" s="4"/>
      <c r="AA555" s="4"/>
      <c r="AB555" s="4"/>
      <c r="AC555" s="4"/>
      <c r="AD555" s="4"/>
      <c r="AE555" s="4"/>
      <c r="AF555" s="4"/>
      <c r="AG555" s="4"/>
      <c r="AH555" s="4"/>
      <c r="AI555" s="17"/>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row>
    <row r="556">
      <c r="A556" s="4"/>
      <c r="B556" s="4"/>
      <c r="C556" s="4"/>
      <c r="D556" s="4"/>
      <c r="E556" s="17"/>
      <c r="F556" s="17"/>
      <c r="G556" s="17"/>
      <c r="H556" s="17"/>
      <c r="I556" s="17"/>
      <c r="J556" s="4"/>
      <c r="K556" s="17"/>
      <c r="L556" s="4"/>
      <c r="M556" s="4"/>
      <c r="N556" s="4"/>
      <c r="O556" s="4"/>
      <c r="P556" s="4"/>
      <c r="Q556" s="4"/>
      <c r="R556" s="4"/>
      <c r="S556" s="4"/>
      <c r="T556" s="4"/>
      <c r="U556" s="4"/>
      <c r="V556" s="404"/>
      <c r="W556" s="404"/>
      <c r="X556" s="4"/>
      <c r="Y556" s="4"/>
      <c r="Z556" s="4"/>
      <c r="AA556" s="4"/>
      <c r="AB556" s="4"/>
      <c r="AC556" s="4"/>
      <c r="AD556" s="4"/>
      <c r="AE556" s="4"/>
      <c r="AF556" s="4"/>
      <c r="AG556" s="4"/>
      <c r="AH556" s="4"/>
      <c r="AI556" s="17"/>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row>
    <row r="557">
      <c r="A557" s="4"/>
      <c r="B557" s="4"/>
      <c r="C557" s="4"/>
      <c r="D557" s="4"/>
      <c r="E557" s="17"/>
      <c r="F557" s="17"/>
      <c r="G557" s="17"/>
      <c r="H557" s="17"/>
      <c r="I557" s="17"/>
      <c r="J557" s="4"/>
      <c r="K557" s="17"/>
      <c r="L557" s="4"/>
      <c r="M557" s="4"/>
      <c r="N557" s="4"/>
      <c r="O557" s="4"/>
      <c r="P557" s="4"/>
      <c r="Q557" s="4"/>
      <c r="R557" s="4"/>
      <c r="S557" s="4"/>
      <c r="T557" s="4"/>
      <c r="U557" s="4"/>
      <c r="V557" s="404"/>
      <c r="W557" s="404"/>
      <c r="X557" s="4"/>
      <c r="Y557" s="4"/>
      <c r="Z557" s="4"/>
      <c r="AA557" s="4"/>
      <c r="AB557" s="4"/>
      <c r="AC557" s="4"/>
      <c r="AD557" s="4"/>
      <c r="AE557" s="4"/>
      <c r="AF557" s="4"/>
      <c r="AG557" s="4"/>
      <c r="AH557" s="4"/>
      <c r="AI557" s="17"/>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row>
    <row r="558">
      <c r="A558" s="4"/>
      <c r="B558" s="4"/>
      <c r="C558" s="4"/>
      <c r="D558" s="4"/>
      <c r="E558" s="17"/>
      <c r="F558" s="17"/>
      <c r="G558" s="17"/>
      <c r="H558" s="17"/>
      <c r="I558" s="17"/>
      <c r="J558" s="4"/>
      <c r="K558" s="17"/>
      <c r="L558" s="4"/>
      <c r="M558" s="4"/>
      <c r="N558" s="4"/>
      <c r="O558" s="4"/>
      <c r="P558" s="4"/>
      <c r="Q558" s="4"/>
      <c r="R558" s="4"/>
      <c r="S558" s="4"/>
      <c r="T558" s="4"/>
      <c r="U558" s="4"/>
      <c r="V558" s="404"/>
      <c r="W558" s="404"/>
      <c r="X558" s="4"/>
      <c r="Y558" s="4"/>
      <c r="Z558" s="4"/>
      <c r="AA558" s="4"/>
      <c r="AB558" s="4"/>
      <c r="AC558" s="4"/>
      <c r="AD558" s="4"/>
      <c r="AE558" s="4"/>
      <c r="AF558" s="4"/>
      <c r="AG558" s="4"/>
      <c r="AH558" s="4"/>
      <c r="AI558" s="17"/>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row>
    <row r="559">
      <c r="A559" s="4"/>
      <c r="B559" s="4"/>
      <c r="C559" s="4"/>
      <c r="D559" s="4"/>
      <c r="E559" s="17"/>
      <c r="F559" s="17"/>
      <c r="G559" s="17"/>
      <c r="H559" s="17"/>
      <c r="I559" s="17"/>
      <c r="J559" s="4"/>
      <c r="K559" s="17"/>
      <c r="L559" s="4"/>
      <c r="M559" s="4"/>
      <c r="N559" s="4"/>
      <c r="O559" s="4"/>
      <c r="P559" s="4"/>
      <c r="Q559" s="4"/>
      <c r="R559" s="4"/>
      <c r="S559" s="4"/>
      <c r="T559" s="4"/>
      <c r="U559" s="4"/>
      <c r="V559" s="404"/>
      <c r="W559" s="404"/>
      <c r="X559" s="4"/>
      <c r="Y559" s="4"/>
      <c r="Z559" s="4"/>
      <c r="AA559" s="4"/>
      <c r="AB559" s="4"/>
      <c r="AC559" s="4"/>
      <c r="AD559" s="4"/>
      <c r="AE559" s="4"/>
      <c r="AF559" s="4"/>
      <c r="AG559" s="4"/>
      <c r="AH559" s="4"/>
      <c r="AI559" s="17"/>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row>
    <row r="560">
      <c r="A560" s="4"/>
      <c r="B560" s="4"/>
      <c r="C560" s="4"/>
      <c r="D560" s="4"/>
      <c r="E560" s="17"/>
      <c r="F560" s="17"/>
      <c r="G560" s="17"/>
      <c r="H560" s="17"/>
      <c r="I560" s="17"/>
      <c r="J560" s="4"/>
      <c r="K560" s="17"/>
      <c r="L560" s="4"/>
      <c r="M560" s="4"/>
      <c r="N560" s="4"/>
      <c r="O560" s="4"/>
      <c r="P560" s="4"/>
      <c r="Q560" s="4"/>
      <c r="R560" s="4"/>
      <c r="S560" s="4"/>
      <c r="T560" s="4"/>
      <c r="U560" s="4"/>
      <c r="V560" s="404"/>
      <c r="W560" s="404"/>
      <c r="X560" s="4"/>
      <c r="Y560" s="4"/>
      <c r="Z560" s="4"/>
      <c r="AA560" s="4"/>
      <c r="AB560" s="4"/>
      <c r="AC560" s="4"/>
      <c r="AD560" s="4"/>
      <c r="AE560" s="4"/>
      <c r="AF560" s="4"/>
      <c r="AG560" s="4"/>
      <c r="AH560" s="4"/>
      <c r="AI560" s="17"/>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row>
    <row r="561">
      <c r="A561" s="4"/>
      <c r="B561" s="4"/>
      <c r="C561" s="4"/>
      <c r="D561" s="4"/>
      <c r="E561" s="17"/>
      <c r="F561" s="17"/>
      <c r="G561" s="17"/>
      <c r="H561" s="17"/>
      <c r="I561" s="17"/>
      <c r="J561" s="4"/>
      <c r="K561" s="17"/>
      <c r="L561" s="4"/>
      <c r="M561" s="4"/>
      <c r="N561" s="4"/>
      <c r="O561" s="4"/>
      <c r="P561" s="4"/>
      <c r="Q561" s="4"/>
      <c r="R561" s="4"/>
      <c r="S561" s="4"/>
      <c r="T561" s="4"/>
      <c r="U561" s="4"/>
      <c r="V561" s="404"/>
      <c r="W561" s="404"/>
      <c r="X561" s="4"/>
      <c r="Y561" s="4"/>
      <c r="Z561" s="4"/>
      <c r="AA561" s="4"/>
      <c r="AB561" s="4"/>
      <c r="AC561" s="4"/>
      <c r="AD561" s="4"/>
      <c r="AE561" s="4"/>
      <c r="AF561" s="4"/>
      <c r="AG561" s="4"/>
      <c r="AH561" s="4"/>
      <c r="AI561" s="17"/>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row>
    <row r="562">
      <c r="A562" s="4"/>
      <c r="B562" s="4"/>
      <c r="C562" s="4"/>
      <c r="D562" s="4"/>
      <c r="E562" s="17"/>
      <c r="F562" s="17"/>
      <c r="G562" s="17"/>
      <c r="H562" s="17"/>
      <c r="I562" s="17"/>
      <c r="J562" s="4"/>
      <c r="K562" s="17"/>
      <c r="L562" s="4"/>
      <c r="M562" s="4"/>
      <c r="N562" s="4"/>
      <c r="O562" s="4"/>
      <c r="P562" s="4"/>
      <c r="Q562" s="4"/>
      <c r="R562" s="4"/>
      <c r="S562" s="4"/>
      <c r="T562" s="4"/>
      <c r="U562" s="4"/>
      <c r="V562" s="404"/>
      <c r="W562" s="404"/>
      <c r="X562" s="4"/>
      <c r="Y562" s="4"/>
      <c r="Z562" s="4"/>
      <c r="AA562" s="4"/>
      <c r="AB562" s="4"/>
      <c r="AC562" s="4"/>
      <c r="AD562" s="4"/>
      <c r="AE562" s="4"/>
      <c r="AF562" s="4"/>
      <c r="AG562" s="4"/>
      <c r="AH562" s="4"/>
      <c r="AI562" s="17"/>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row>
    <row r="563">
      <c r="A563" s="4"/>
      <c r="B563" s="4"/>
      <c r="C563" s="4"/>
      <c r="D563" s="4"/>
      <c r="E563" s="17"/>
      <c r="F563" s="17"/>
      <c r="G563" s="17"/>
      <c r="H563" s="17"/>
      <c r="I563" s="17"/>
      <c r="J563" s="4"/>
      <c r="K563" s="17"/>
      <c r="L563" s="4"/>
      <c r="M563" s="4"/>
      <c r="N563" s="4"/>
      <c r="O563" s="4"/>
      <c r="P563" s="4"/>
      <c r="Q563" s="4"/>
      <c r="R563" s="4"/>
      <c r="S563" s="4"/>
      <c r="T563" s="4"/>
      <c r="U563" s="4"/>
      <c r="V563" s="404"/>
      <c r="W563" s="404"/>
      <c r="X563" s="4"/>
      <c r="Y563" s="4"/>
      <c r="Z563" s="4"/>
      <c r="AA563" s="4"/>
      <c r="AB563" s="4"/>
      <c r="AC563" s="4"/>
      <c r="AD563" s="4"/>
      <c r="AE563" s="4"/>
      <c r="AF563" s="4"/>
      <c r="AG563" s="4"/>
      <c r="AH563" s="4"/>
      <c r="AI563" s="17"/>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row>
    <row r="564">
      <c r="A564" s="4"/>
      <c r="B564" s="4"/>
      <c r="C564" s="4"/>
      <c r="D564" s="4"/>
      <c r="E564" s="17"/>
      <c r="F564" s="17"/>
      <c r="G564" s="17"/>
      <c r="H564" s="17"/>
      <c r="I564" s="17"/>
      <c r="J564" s="4"/>
      <c r="K564" s="17"/>
      <c r="L564" s="4"/>
      <c r="M564" s="4"/>
      <c r="N564" s="4"/>
      <c r="O564" s="4"/>
      <c r="P564" s="4"/>
      <c r="Q564" s="4"/>
      <c r="R564" s="4"/>
      <c r="S564" s="4"/>
      <c r="T564" s="4"/>
      <c r="U564" s="4"/>
      <c r="V564" s="404"/>
      <c r="W564" s="404"/>
      <c r="X564" s="4"/>
      <c r="Y564" s="4"/>
      <c r="Z564" s="4"/>
      <c r="AA564" s="4"/>
      <c r="AB564" s="4"/>
      <c r="AC564" s="4"/>
      <c r="AD564" s="4"/>
      <c r="AE564" s="4"/>
      <c r="AF564" s="4"/>
      <c r="AG564" s="4"/>
      <c r="AH564" s="4"/>
      <c r="AI564" s="17"/>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row>
    <row r="565">
      <c r="A565" s="4"/>
      <c r="B565" s="4"/>
      <c r="C565" s="4"/>
      <c r="D565" s="4"/>
      <c r="E565" s="17"/>
      <c r="F565" s="17"/>
      <c r="G565" s="17"/>
      <c r="H565" s="17"/>
      <c r="I565" s="17"/>
      <c r="J565" s="4"/>
      <c r="K565" s="17"/>
      <c r="L565" s="4"/>
      <c r="M565" s="4"/>
      <c r="N565" s="4"/>
      <c r="O565" s="4"/>
      <c r="P565" s="4"/>
      <c r="Q565" s="4"/>
      <c r="R565" s="4"/>
      <c r="S565" s="4"/>
      <c r="T565" s="4"/>
      <c r="U565" s="4"/>
      <c r="V565" s="404"/>
      <c r="W565" s="404"/>
      <c r="X565" s="4"/>
      <c r="Y565" s="4"/>
      <c r="Z565" s="4"/>
      <c r="AA565" s="4"/>
      <c r="AB565" s="4"/>
      <c r="AC565" s="4"/>
      <c r="AD565" s="4"/>
      <c r="AE565" s="4"/>
      <c r="AF565" s="4"/>
      <c r="AG565" s="4"/>
      <c r="AH565" s="4"/>
      <c r="AI565" s="17"/>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row>
    <row r="566">
      <c r="A566" s="4"/>
      <c r="B566" s="4"/>
      <c r="C566" s="4"/>
      <c r="D566" s="4"/>
      <c r="E566" s="17"/>
      <c r="F566" s="17"/>
      <c r="G566" s="17"/>
      <c r="H566" s="17"/>
      <c r="I566" s="17"/>
      <c r="J566" s="4"/>
      <c r="K566" s="17"/>
      <c r="L566" s="4"/>
      <c r="M566" s="4"/>
      <c r="N566" s="4"/>
      <c r="O566" s="4"/>
      <c r="P566" s="4"/>
      <c r="Q566" s="4"/>
      <c r="R566" s="4"/>
      <c r="S566" s="4"/>
      <c r="T566" s="4"/>
      <c r="U566" s="4"/>
      <c r="V566" s="404"/>
      <c r="W566" s="404"/>
      <c r="X566" s="4"/>
      <c r="Y566" s="4"/>
      <c r="Z566" s="4"/>
      <c r="AA566" s="4"/>
      <c r="AB566" s="4"/>
      <c r="AC566" s="4"/>
      <c r="AD566" s="4"/>
      <c r="AE566" s="4"/>
      <c r="AF566" s="4"/>
      <c r="AG566" s="4"/>
      <c r="AH566" s="4"/>
      <c r="AI566" s="17"/>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row>
    <row r="567">
      <c r="A567" s="4"/>
      <c r="B567" s="4"/>
      <c r="C567" s="4"/>
      <c r="D567" s="4"/>
      <c r="E567" s="17"/>
      <c r="F567" s="17"/>
      <c r="G567" s="17"/>
      <c r="H567" s="17"/>
      <c r="I567" s="17"/>
      <c r="J567" s="4"/>
      <c r="K567" s="17"/>
      <c r="L567" s="4"/>
      <c r="M567" s="4"/>
      <c r="N567" s="4"/>
      <c r="O567" s="4"/>
      <c r="P567" s="4"/>
      <c r="Q567" s="4"/>
      <c r="R567" s="4"/>
      <c r="S567" s="4"/>
      <c r="T567" s="4"/>
      <c r="U567" s="4"/>
      <c r="V567" s="404"/>
      <c r="W567" s="404"/>
      <c r="X567" s="4"/>
      <c r="Y567" s="4"/>
      <c r="Z567" s="4"/>
      <c r="AA567" s="4"/>
      <c r="AB567" s="4"/>
      <c r="AC567" s="4"/>
      <c r="AD567" s="4"/>
      <c r="AE567" s="4"/>
      <c r="AF567" s="4"/>
      <c r="AG567" s="4"/>
      <c r="AH567" s="4"/>
      <c r="AI567" s="17"/>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row>
    <row r="568">
      <c r="A568" s="4"/>
      <c r="B568" s="4"/>
      <c r="C568" s="4"/>
      <c r="D568" s="4"/>
      <c r="E568" s="17"/>
      <c r="F568" s="17"/>
      <c r="G568" s="17"/>
      <c r="H568" s="17"/>
      <c r="I568" s="17"/>
      <c r="J568" s="4"/>
      <c r="K568" s="17"/>
      <c r="L568" s="4"/>
      <c r="M568" s="4"/>
      <c r="N568" s="4"/>
      <c r="O568" s="4"/>
      <c r="P568" s="4"/>
      <c r="Q568" s="4"/>
      <c r="R568" s="4"/>
      <c r="S568" s="4"/>
      <c r="T568" s="4"/>
      <c r="U568" s="4"/>
      <c r="V568" s="404"/>
      <c r="W568" s="404"/>
      <c r="X568" s="4"/>
      <c r="Y568" s="4"/>
      <c r="Z568" s="4"/>
      <c r="AA568" s="4"/>
      <c r="AB568" s="4"/>
      <c r="AC568" s="4"/>
      <c r="AD568" s="4"/>
      <c r="AE568" s="4"/>
      <c r="AF568" s="4"/>
      <c r="AG568" s="4"/>
      <c r="AH568" s="4"/>
      <c r="AI568" s="17"/>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row>
    <row r="569">
      <c r="A569" s="4"/>
      <c r="B569" s="4"/>
      <c r="C569" s="4"/>
      <c r="D569" s="4"/>
      <c r="E569" s="17"/>
      <c r="F569" s="17"/>
      <c r="G569" s="17"/>
      <c r="H569" s="17"/>
      <c r="I569" s="17"/>
      <c r="J569" s="4"/>
      <c r="K569" s="17"/>
      <c r="L569" s="4"/>
      <c r="M569" s="4"/>
      <c r="N569" s="4"/>
      <c r="O569" s="4"/>
      <c r="P569" s="4"/>
      <c r="Q569" s="4"/>
      <c r="R569" s="4"/>
      <c r="S569" s="4"/>
      <c r="T569" s="4"/>
      <c r="U569" s="4"/>
      <c r="V569" s="404"/>
      <c r="W569" s="404"/>
      <c r="X569" s="4"/>
      <c r="Y569" s="4"/>
      <c r="Z569" s="4"/>
      <c r="AA569" s="4"/>
      <c r="AB569" s="4"/>
      <c r="AC569" s="4"/>
      <c r="AD569" s="4"/>
      <c r="AE569" s="4"/>
      <c r="AF569" s="4"/>
      <c r="AG569" s="4"/>
      <c r="AH569" s="4"/>
      <c r="AI569" s="17"/>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row>
    <row r="570">
      <c r="A570" s="4"/>
      <c r="B570" s="4"/>
      <c r="C570" s="4"/>
      <c r="D570" s="4"/>
      <c r="E570" s="17"/>
      <c r="F570" s="17"/>
      <c r="G570" s="17"/>
      <c r="H570" s="17"/>
      <c r="I570" s="17"/>
      <c r="J570" s="4"/>
      <c r="K570" s="17"/>
      <c r="L570" s="4"/>
      <c r="M570" s="4"/>
      <c r="N570" s="4"/>
      <c r="O570" s="4"/>
      <c r="P570" s="4"/>
      <c r="Q570" s="4"/>
      <c r="R570" s="4"/>
      <c r="S570" s="4"/>
      <c r="T570" s="4"/>
      <c r="U570" s="4"/>
      <c r="V570" s="404"/>
      <c r="W570" s="404"/>
      <c r="X570" s="4"/>
      <c r="Y570" s="4"/>
      <c r="Z570" s="4"/>
      <c r="AA570" s="4"/>
      <c r="AB570" s="4"/>
      <c r="AC570" s="4"/>
      <c r="AD570" s="4"/>
      <c r="AE570" s="4"/>
      <c r="AF570" s="4"/>
      <c r="AG570" s="4"/>
      <c r="AH570" s="4"/>
      <c r="AI570" s="17"/>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row>
    <row r="571">
      <c r="A571" s="4"/>
      <c r="B571" s="4"/>
      <c r="C571" s="4"/>
      <c r="D571" s="4"/>
      <c r="E571" s="17"/>
      <c r="F571" s="17"/>
      <c r="G571" s="17"/>
      <c r="H571" s="17"/>
      <c r="I571" s="17"/>
      <c r="J571" s="4"/>
      <c r="K571" s="17"/>
      <c r="L571" s="4"/>
      <c r="M571" s="4"/>
      <c r="N571" s="4"/>
      <c r="O571" s="4"/>
      <c r="P571" s="4"/>
      <c r="Q571" s="4"/>
      <c r="R571" s="4"/>
      <c r="S571" s="4"/>
      <c r="T571" s="4"/>
      <c r="U571" s="4"/>
      <c r="V571" s="404"/>
      <c r="W571" s="404"/>
      <c r="X571" s="4"/>
      <c r="Y571" s="4"/>
      <c r="Z571" s="4"/>
      <c r="AA571" s="4"/>
      <c r="AB571" s="4"/>
      <c r="AC571" s="4"/>
      <c r="AD571" s="4"/>
      <c r="AE571" s="4"/>
      <c r="AF571" s="4"/>
      <c r="AG571" s="4"/>
      <c r="AH571" s="4"/>
      <c r="AI571" s="17"/>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row>
    <row r="572">
      <c r="A572" s="4"/>
      <c r="B572" s="4"/>
      <c r="C572" s="4"/>
      <c r="D572" s="4"/>
      <c r="E572" s="17"/>
      <c r="F572" s="17"/>
      <c r="G572" s="17"/>
      <c r="H572" s="17"/>
      <c r="I572" s="17"/>
      <c r="J572" s="4"/>
      <c r="K572" s="17"/>
      <c r="L572" s="4"/>
      <c r="M572" s="4"/>
      <c r="N572" s="4"/>
      <c r="O572" s="4"/>
      <c r="P572" s="4"/>
      <c r="Q572" s="4"/>
      <c r="R572" s="4"/>
      <c r="S572" s="4"/>
      <c r="T572" s="4"/>
      <c r="U572" s="4"/>
      <c r="V572" s="404"/>
      <c r="W572" s="404"/>
      <c r="X572" s="4"/>
      <c r="Y572" s="4"/>
      <c r="Z572" s="4"/>
      <c r="AA572" s="4"/>
      <c r="AB572" s="4"/>
      <c r="AC572" s="4"/>
      <c r="AD572" s="4"/>
      <c r="AE572" s="4"/>
      <c r="AF572" s="4"/>
      <c r="AG572" s="4"/>
      <c r="AH572" s="4"/>
      <c r="AI572" s="17"/>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row>
    <row r="573">
      <c r="A573" s="4"/>
      <c r="B573" s="4"/>
      <c r="C573" s="4"/>
      <c r="D573" s="4"/>
      <c r="E573" s="17"/>
      <c r="F573" s="17"/>
      <c r="G573" s="17"/>
      <c r="H573" s="17"/>
      <c r="I573" s="17"/>
      <c r="J573" s="4"/>
      <c r="K573" s="17"/>
      <c r="L573" s="4"/>
      <c r="M573" s="4"/>
      <c r="N573" s="4"/>
      <c r="O573" s="4"/>
      <c r="P573" s="4"/>
      <c r="Q573" s="4"/>
      <c r="R573" s="4"/>
      <c r="S573" s="4"/>
      <c r="T573" s="4"/>
      <c r="U573" s="4"/>
      <c r="V573" s="404"/>
      <c r="W573" s="404"/>
      <c r="X573" s="4"/>
      <c r="Y573" s="4"/>
      <c r="Z573" s="4"/>
      <c r="AA573" s="4"/>
      <c r="AB573" s="4"/>
      <c r="AC573" s="4"/>
      <c r="AD573" s="4"/>
      <c r="AE573" s="4"/>
      <c r="AF573" s="4"/>
      <c r="AG573" s="4"/>
      <c r="AH573" s="4"/>
      <c r="AI573" s="17"/>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row>
    <row r="574">
      <c r="A574" s="4"/>
      <c r="B574" s="4"/>
      <c r="C574" s="4"/>
      <c r="D574" s="4"/>
      <c r="E574" s="17"/>
      <c r="F574" s="17"/>
      <c r="G574" s="17"/>
      <c r="H574" s="17"/>
      <c r="I574" s="17"/>
      <c r="J574" s="4"/>
      <c r="K574" s="17"/>
      <c r="L574" s="4"/>
      <c r="M574" s="4"/>
      <c r="N574" s="4"/>
      <c r="O574" s="4"/>
      <c r="P574" s="4"/>
      <c r="Q574" s="4"/>
      <c r="R574" s="4"/>
      <c r="S574" s="4"/>
      <c r="T574" s="4"/>
      <c r="U574" s="4"/>
      <c r="V574" s="404"/>
      <c r="W574" s="404"/>
      <c r="X574" s="4"/>
      <c r="Y574" s="4"/>
      <c r="Z574" s="4"/>
      <c r="AA574" s="4"/>
      <c r="AB574" s="4"/>
      <c r="AC574" s="4"/>
      <c r="AD574" s="4"/>
      <c r="AE574" s="4"/>
      <c r="AF574" s="4"/>
      <c r="AG574" s="4"/>
      <c r="AH574" s="4"/>
      <c r="AI574" s="17"/>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row>
    <row r="575">
      <c r="A575" s="4"/>
      <c r="B575" s="4"/>
      <c r="C575" s="4"/>
      <c r="D575" s="4"/>
      <c r="E575" s="17"/>
      <c r="F575" s="17"/>
      <c r="G575" s="17"/>
      <c r="H575" s="17"/>
      <c r="I575" s="17"/>
      <c r="J575" s="4"/>
      <c r="K575" s="17"/>
      <c r="L575" s="4"/>
      <c r="M575" s="4"/>
      <c r="N575" s="4"/>
      <c r="O575" s="4"/>
      <c r="P575" s="4"/>
      <c r="Q575" s="4"/>
      <c r="R575" s="4"/>
      <c r="S575" s="4"/>
      <c r="T575" s="4"/>
      <c r="U575" s="4"/>
      <c r="V575" s="404"/>
      <c r="W575" s="404"/>
      <c r="X575" s="4"/>
      <c r="Y575" s="4"/>
      <c r="Z575" s="4"/>
      <c r="AA575" s="4"/>
      <c r="AB575" s="4"/>
      <c r="AC575" s="4"/>
      <c r="AD575" s="4"/>
      <c r="AE575" s="4"/>
      <c r="AF575" s="4"/>
      <c r="AG575" s="4"/>
      <c r="AH575" s="4"/>
      <c r="AI575" s="17"/>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row>
    <row r="576">
      <c r="A576" s="4"/>
      <c r="B576" s="4"/>
      <c r="C576" s="4"/>
      <c r="D576" s="4"/>
      <c r="E576" s="17"/>
      <c r="F576" s="17"/>
      <c r="G576" s="17"/>
      <c r="H576" s="17"/>
      <c r="I576" s="17"/>
      <c r="J576" s="4"/>
      <c r="K576" s="17"/>
      <c r="L576" s="4"/>
      <c r="M576" s="4"/>
      <c r="N576" s="4"/>
      <c r="O576" s="4"/>
      <c r="P576" s="4"/>
      <c r="Q576" s="4"/>
      <c r="R576" s="4"/>
      <c r="S576" s="4"/>
      <c r="T576" s="4"/>
      <c r="U576" s="4"/>
      <c r="V576" s="404"/>
      <c r="W576" s="404"/>
      <c r="X576" s="4"/>
      <c r="Y576" s="4"/>
      <c r="Z576" s="4"/>
      <c r="AA576" s="4"/>
      <c r="AB576" s="4"/>
      <c r="AC576" s="4"/>
      <c r="AD576" s="4"/>
      <c r="AE576" s="4"/>
      <c r="AF576" s="4"/>
      <c r="AG576" s="4"/>
      <c r="AH576" s="4"/>
      <c r="AI576" s="17"/>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row>
    <row r="577">
      <c r="A577" s="4"/>
      <c r="B577" s="4"/>
      <c r="C577" s="4"/>
      <c r="D577" s="4"/>
      <c r="E577" s="17"/>
      <c r="F577" s="17"/>
      <c r="G577" s="17"/>
      <c r="H577" s="17"/>
      <c r="I577" s="17"/>
      <c r="J577" s="4"/>
      <c r="K577" s="17"/>
      <c r="L577" s="4"/>
      <c r="M577" s="4"/>
      <c r="N577" s="4"/>
      <c r="O577" s="4"/>
      <c r="P577" s="4"/>
      <c r="Q577" s="4"/>
      <c r="R577" s="4"/>
      <c r="S577" s="4"/>
      <c r="T577" s="4"/>
      <c r="U577" s="4"/>
      <c r="V577" s="404"/>
      <c r="W577" s="404"/>
      <c r="X577" s="4"/>
      <c r="Y577" s="4"/>
      <c r="Z577" s="4"/>
      <c r="AA577" s="4"/>
      <c r="AB577" s="4"/>
      <c r="AC577" s="4"/>
      <c r="AD577" s="4"/>
      <c r="AE577" s="4"/>
      <c r="AF577" s="4"/>
      <c r="AG577" s="4"/>
      <c r="AH577" s="4"/>
      <c r="AI577" s="17"/>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row>
    <row r="578">
      <c r="A578" s="4"/>
      <c r="B578" s="4"/>
      <c r="C578" s="4"/>
      <c r="D578" s="4"/>
      <c r="E578" s="17"/>
      <c r="F578" s="17"/>
      <c r="G578" s="17"/>
      <c r="H578" s="17"/>
      <c r="I578" s="17"/>
      <c r="J578" s="4"/>
      <c r="K578" s="17"/>
      <c r="L578" s="4"/>
      <c r="M578" s="4"/>
      <c r="N578" s="4"/>
      <c r="O578" s="4"/>
      <c r="P578" s="4"/>
      <c r="Q578" s="4"/>
      <c r="R578" s="4"/>
      <c r="S578" s="4"/>
      <c r="T578" s="4"/>
      <c r="U578" s="4"/>
      <c r="V578" s="404"/>
      <c r="W578" s="404"/>
      <c r="X578" s="4"/>
      <c r="Y578" s="4"/>
      <c r="Z578" s="4"/>
      <c r="AA578" s="4"/>
      <c r="AB578" s="4"/>
      <c r="AC578" s="4"/>
      <c r="AD578" s="4"/>
      <c r="AE578" s="4"/>
      <c r="AF578" s="4"/>
      <c r="AG578" s="4"/>
      <c r="AH578" s="4"/>
      <c r="AI578" s="17"/>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row>
    <row r="579">
      <c r="A579" s="4"/>
      <c r="B579" s="4"/>
      <c r="C579" s="4"/>
      <c r="D579" s="4"/>
      <c r="E579" s="17"/>
      <c r="F579" s="17"/>
      <c r="G579" s="17"/>
      <c r="H579" s="17"/>
      <c r="I579" s="17"/>
      <c r="J579" s="4"/>
      <c r="K579" s="17"/>
      <c r="L579" s="4"/>
      <c r="M579" s="4"/>
      <c r="N579" s="4"/>
      <c r="O579" s="4"/>
      <c r="P579" s="4"/>
      <c r="Q579" s="4"/>
      <c r="R579" s="4"/>
      <c r="S579" s="4"/>
      <c r="T579" s="4"/>
      <c r="U579" s="4"/>
      <c r="V579" s="404"/>
      <c r="W579" s="404"/>
      <c r="X579" s="4"/>
      <c r="Y579" s="4"/>
      <c r="Z579" s="4"/>
      <c r="AA579" s="4"/>
      <c r="AB579" s="4"/>
      <c r="AC579" s="4"/>
      <c r="AD579" s="4"/>
      <c r="AE579" s="4"/>
      <c r="AF579" s="4"/>
      <c r="AG579" s="4"/>
      <c r="AH579" s="4"/>
      <c r="AI579" s="17"/>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row>
    <row r="580">
      <c r="A580" s="4"/>
      <c r="B580" s="4"/>
      <c r="C580" s="4"/>
      <c r="D580" s="4"/>
      <c r="E580" s="17"/>
      <c r="F580" s="17"/>
      <c r="G580" s="17"/>
      <c r="H580" s="17"/>
      <c r="I580" s="17"/>
      <c r="J580" s="4"/>
      <c r="K580" s="17"/>
      <c r="L580" s="4"/>
      <c r="M580" s="4"/>
      <c r="N580" s="4"/>
      <c r="O580" s="4"/>
      <c r="P580" s="4"/>
      <c r="Q580" s="4"/>
      <c r="R580" s="4"/>
      <c r="S580" s="4"/>
      <c r="T580" s="4"/>
      <c r="U580" s="4"/>
      <c r="V580" s="404"/>
      <c r="W580" s="404"/>
      <c r="X580" s="4"/>
      <c r="Y580" s="4"/>
      <c r="Z580" s="4"/>
      <c r="AA580" s="4"/>
      <c r="AB580" s="4"/>
      <c r="AC580" s="4"/>
      <c r="AD580" s="4"/>
      <c r="AE580" s="4"/>
      <c r="AF580" s="4"/>
      <c r="AG580" s="4"/>
      <c r="AH580" s="4"/>
      <c r="AI580" s="17"/>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row>
    <row r="581">
      <c r="A581" s="4"/>
      <c r="B581" s="4"/>
      <c r="C581" s="4"/>
      <c r="D581" s="4"/>
      <c r="E581" s="17"/>
      <c r="F581" s="17"/>
      <c r="G581" s="17"/>
      <c r="H581" s="17"/>
      <c r="I581" s="17"/>
      <c r="J581" s="4"/>
      <c r="K581" s="17"/>
      <c r="L581" s="4"/>
      <c r="M581" s="4"/>
      <c r="N581" s="4"/>
      <c r="O581" s="4"/>
      <c r="P581" s="4"/>
      <c r="Q581" s="4"/>
      <c r="R581" s="4"/>
      <c r="S581" s="4"/>
      <c r="T581" s="4"/>
      <c r="U581" s="4"/>
      <c r="V581" s="404"/>
      <c r="W581" s="404"/>
      <c r="X581" s="4"/>
      <c r="Y581" s="4"/>
      <c r="Z581" s="4"/>
      <c r="AA581" s="4"/>
      <c r="AB581" s="4"/>
      <c r="AC581" s="4"/>
      <c r="AD581" s="4"/>
      <c r="AE581" s="4"/>
      <c r="AF581" s="4"/>
      <c r="AG581" s="4"/>
      <c r="AH581" s="4"/>
      <c r="AI581" s="17"/>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row>
    <row r="582">
      <c r="A582" s="4"/>
      <c r="B582" s="4"/>
      <c r="C582" s="4"/>
      <c r="D582" s="4"/>
      <c r="E582" s="17"/>
      <c r="F582" s="17"/>
      <c r="G582" s="17"/>
      <c r="H582" s="17"/>
      <c r="I582" s="17"/>
      <c r="J582" s="4"/>
      <c r="K582" s="17"/>
      <c r="L582" s="4"/>
      <c r="M582" s="4"/>
      <c r="N582" s="4"/>
      <c r="O582" s="4"/>
      <c r="P582" s="4"/>
      <c r="Q582" s="4"/>
      <c r="R582" s="4"/>
      <c r="S582" s="4"/>
      <c r="T582" s="4"/>
      <c r="U582" s="4"/>
      <c r="V582" s="404"/>
      <c r="W582" s="404"/>
      <c r="X582" s="4"/>
      <c r="Y582" s="4"/>
      <c r="Z582" s="4"/>
      <c r="AA582" s="4"/>
      <c r="AB582" s="4"/>
      <c r="AC582" s="4"/>
      <c r="AD582" s="4"/>
      <c r="AE582" s="4"/>
      <c r="AF582" s="4"/>
      <c r="AG582" s="4"/>
      <c r="AH582" s="4"/>
      <c r="AI582" s="17"/>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row>
    <row r="583">
      <c r="A583" s="4"/>
      <c r="B583" s="4"/>
      <c r="C583" s="4"/>
      <c r="D583" s="4"/>
      <c r="E583" s="17"/>
      <c r="F583" s="17"/>
      <c r="G583" s="17"/>
      <c r="H583" s="17"/>
      <c r="I583" s="17"/>
      <c r="J583" s="4"/>
      <c r="K583" s="17"/>
      <c r="L583" s="4"/>
      <c r="M583" s="4"/>
      <c r="N583" s="4"/>
      <c r="O583" s="4"/>
      <c r="P583" s="4"/>
      <c r="Q583" s="4"/>
      <c r="R583" s="4"/>
      <c r="S583" s="4"/>
      <c r="T583" s="4"/>
      <c r="U583" s="4"/>
      <c r="V583" s="404"/>
      <c r="W583" s="404"/>
      <c r="X583" s="4"/>
      <c r="Y583" s="4"/>
      <c r="Z583" s="4"/>
      <c r="AA583" s="4"/>
      <c r="AB583" s="4"/>
      <c r="AC583" s="4"/>
      <c r="AD583" s="4"/>
      <c r="AE583" s="4"/>
      <c r="AF583" s="4"/>
      <c r="AG583" s="4"/>
      <c r="AH583" s="4"/>
      <c r="AI583" s="17"/>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row>
    <row r="584">
      <c r="A584" s="4"/>
      <c r="B584" s="4"/>
      <c r="C584" s="4"/>
      <c r="D584" s="4"/>
      <c r="E584" s="17"/>
      <c r="F584" s="17"/>
      <c r="G584" s="17"/>
      <c r="H584" s="17"/>
      <c r="I584" s="17"/>
      <c r="J584" s="4"/>
      <c r="K584" s="17"/>
      <c r="L584" s="4"/>
      <c r="M584" s="4"/>
      <c r="N584" s="4"/>
      <c r="O584" s="4"/>
      <c r="P584" s="4"/>
      <c r="Q584" s="4"/>
      <c r="R584" s="4"/>
      <c r="S584" s="4"/>
      <c r="T584" s="4"/>
      <c r="U584" s="4"/>
      <c r="V584" s="404"/>
      <c r="W584" s="404"/>
      <c r="X584" s="4"/>
      <c r="Y584" s="4"/>
      <c r="Z584" s="4"/>
      <c r="AA584" s="4"/>
      <c r="AB584" s="4"/>
      <c r="AC584" s="4"/>
      <c r="AD584" s="4"/>
      <c r="AE584" s="4"/>
      <c r="AF584" s="4"/>
      <c r="AG584" s="4"/>
      <c r="AH584" s="4"/>
      <c r="AI584" s="17"/>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row>
    <row r="585">
      <c r="A585" s="4"/>
      <c r="B585" s="4"/>
      <c r="C585" s="4"/>
      <c r="D585" s="4"/>
      <c r="E585" s="17"/>
      <c r="F585" s="17"/>
      <c r="G585" s="17"/>
      <c r="H585" s="17"/>
      <c r="I585" s="17"/>
      <c r="J585" s="4"/>
      <c r="K585" s="17"/>
      <c r="L585" s="4"/>
      <c r="M585" s="4"/>
      <c r="N585" s="4"/>
      <c r="O585" s="4"/>
      <c r="P585" s="4"/>
      <c r="Q585" s="4"/>
      <c r="R585" s="4"/>
      <c r="S585" s="4"/>
      <c r="T585" s="4"/>
      <c r="U585" s="4"/>
      <c r="V585" s="404"/>
      <c r="W585" s="404"/>
      <c r="X585" s="4"/>
      <c r="Y585" s="4"/>
      <c r="Z585" s="4"/>
      <c r="AA585" s="4"/>
      <c r="AB585" s="4"/>
      <c r="AC585" s="4"/>
      <c r="AD585" s="4"/>
      <c r="AE585" s="4"/>
      <c r="AF585" s="4"/>
      <c r="AG585" s="4"/>
      <c r="AH585" s="4"/>
      <c r="AI585" s="17"/>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row>
    <row r="586">
      <c r="A586" s="4"/>
      <c r="B586" s="4"/>
      <c r="C586" s="4"/>
      <c r="D586" s="4"/>
      <c r="E586" s="17"/>
      <c r="F586" s="17"/>
      <c r="G586" s="17"/>
      <c r="H586" s="17"/>
      <c r="I586" s="17"/>
      <c r="J586" s="4"/>
      <c r="K586" s="17"/>
      <c r="L586" s="4"/>
      <c r="M586" s="4"/>
      <c r="N586" s="4"/>
      <c r="O586" s="4"/>
      <c r="P586" s="4"/>
      <c r="Q586" s="4"/>
      <c r="R586" s="4"/>
      <c r="S586" s="4"/>
      <c r="T586" s="4"/>
      <c r="U586" s="4"/>
      <c r="V586" s="404"/>
      <c r="W586" s="404"/>
      <c r="X586" s="4"/>
      <c r="Y586" s="4"/>
      <c r="Z586" s="4"/>
      <c r="AA586" s="4"/>
      <c r="AB586" s="4"/>
      <c r="AC586" s="4"/>
      <c r="AD586" s="4"/>
      <c r="AE586" s="4"/>
      <c r="AF586" s="4"/>
      <c r="AG586" s="4"/>
      <c r="AH586" s="4"/>
      <c r="AI586" s="17"/>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row>
    <row r="587">
      <c r="A587" s="4"/>
      <c r="B587" s="4"/>
      <c r="C587" s="4"/>
      <c r="D587" s="4"/>
      <c r="E587" s="17"/>
      <c r="F587" s="17"/>
      <c r="G587" s="17"/>
      <c r="H587" s="17"/>
      <c r="I587" s="17"/>
      <c r="J587" s="4"/>
      <c r="K587" s="17"/>
      <c r="L587" s="4"/>
      <c r="M587" s="4"/>
      <c r="N587" s="4"/>
      <c r="O587" s="4"/>
      <c r="P587" s="4"/>
      <c r="Q587" s="4"/>
      <c r="R587" s="4"/>
      <c r="S587" s="4"/>
      <c r="T587" s="4"/>
      <c r="U587" s="4"/>
      <c r="V587" s="404"/>
      <c r="W587" s="404"/>
      <c r="X587" s="4"/>
      <c r="Y587" s="4"/>
      <c r="Z587" s="4"/>
      <c r="AA587" s="4"/>
      <c r="AB587" s="4"/>
      <c r="AC587" s="4"/>
      <c r="AD587" s="4"/>
      <c r="AE587" s="4"/>
      <c r="AF587" s="4"/>
      <c r="AG587" s="4"/>
      <c r="AH587" s="4"/>
      <c r="AI587" s="17"/>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row>
    <row r="588">
      <c r="A588" s="4"/>
      <c r="B588" s="4"/>
      <c r="C588" s="4"/>
      <c r="D588" s="4"/>
      <c r="E588" s="17"/>
      <c r="F588" s="17"/>
      <c r="G588" s="17"/>
      <c r="H588" s="17"/>
      <c r="I588" s="17"/>
      <c r="J588" s="4"/>
      <c r="K588" s="17"/>
      <c r="L588" s="4"/>
      <c r="M588" s="4"/>
      <c r="N588" s="4"/>
      <c r="O588" s="4"/>
      <c r="P588" s="4"/>
      <c r="Q588" s="4"/>
      <c r="R588" s="4"/>
      <c r="S588" s="4"/>
      <c r="T588" s="4"/>
      <c r="U588" s="4"/>
      <c r="V588" s="404"/>
      <c r="W588" s="404"/>
      <c r="X588" s="4"/>
      <c r="Y588" s="4"/>
      <c r="Z588" s="4"/>
      <c r="AA588" s="4"/>
      <c r="AB588" s="4"/>
      <c r="AC588" s="4"/>
      <c r="AD588" s="4"/>
      <c r="AE588" s="4"/>
      <c r="AF588" s="4"/>
      <c r="AG588" s="4"/>
      <c r="AH588" s="4"/>
      <c r="AI588" s="17"/>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row>
    <row r="589">
      <c r="A589" s="4"/>
      <c r="B589" s="4"/>
      <c r="C589" s="4"/>
      <c r="D589" s="4"/>
      <c r="E589" s="17"/>
      <c r="F589" s="17"/>
      <c r="G589" s="17"/>
      <c r="H589" s="17"/>
      <c r="I589" s="17"/>
      <c r="J589" s="4"/>
      <c r="K589" s="17"/>
      <c r="L589" s="4"/>
      <c r="M589" s="4"/>
      <c r="N589" s="4"/>
      <c r="O589" s="4"/>
      <c r="P589" s="4"/>
      <c r="Q589" s="4"/>
      <c r="R589" s="4"/>
      <c r="S589" s="4"/>
      <c r="T589" s="4"/>
      <c r="U589" s="4"/>
      <c r="V589" s="404"/>
      <c r="W589" s="404"/>
      <c r="X589" s="4"/>
      <c r="Y589" s="4"/>
      <c r="Z589" s="4"/>
      <c r="AA589" s="4"/>
      <c r="AB589" s="4"/>
      <c r="AC589" s="4"/>
      <c r="AD589" s="4"/>
      <c r="AE589" s="4"/>
      <c r="AF589" s="4"/>
      <c r="AG589" s="4"/>
      <c r="AH589" s="4"/>
      <c r="AI589" s="17"/>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row>
    <row r="590">
      <c r="A590" s="4"/>
      <c r="B590" s="4"/>
      <c r="C590" s="4"/>
      <c r="D590" s="4"/>
      <c r="E590" s="17"/>
      <c r="F590" s="17"/>
      <c r="G590" s="17"/>
      <c r="H590" s="17"/>
      <c r="I590" s="17"/>
      <c r="J590" s="4"/>
      <c r="K590" s="17"/>
      <c r="L590" s="4"/>
      <c r="M590" s="4"/>
      <c r="N590" s="4"/>
      <c r="O590" s="4"/>
      <c r="P590" s="4"/>
      <c r="Q590" s="4"/>
      <c r="R590" s="4"/>
      <c r="S590" s="4"/>
      <c r="T590" s="4"/>
      <c r="U590" s="4"/>
      <c r="V590" s="404"/>
      <c r="W590" s="404"/>
      <c r="X590" s="4"/>
      <c r="Y590" s="4"/>
      <c r="Z590" s="4"/>
      <c r="AA590" s="4"/>
      <c r="AB590" s="4"/>
      <c r="AC590" s="4"/>
      <c r="AD590" s="4"/>
      <c r="AE590" s="4"/>
      <c r="AF590" s="4"/>
      <c r="AG590" s="4"/>
      <c r="AH590" s="4"/>
      <c r="AI590" s="17"/>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row>
    <row r="591">
      <c r="A591" s="4"/>
      <c r="B591" s="4"/>
      <c r="C591" s="4"/>
      <c r="D591" s="4"/>
      <c r="E591" s="17"/>
      <c r="F591" s="17"/>
      <c r="G591" s="17"/>
      <c r="H591" s="17"/>
      <c r="I591" s="17"/>
      <c r="J591" s="4"/>
      <c r="K591" s="17"/>
      <c r="L591" s="4"/>
      <c r="M591" s="4"/>
      <c r="N591" s="4"/>
      <c r="O591" s="4"/>
      <c r="P591" s="4"/>
      <c r="Q591" s="4"/>
      <c r="R591" s="4"/>
      <c r="S591" s="4"/>
      <c r="T591" s="4"/>
      <c r="U591" s="4"/>
      <c r="V591" s="404"/>
      <c r="W591" s="404"/>
      <c r="X591" s="4"/>
      <c r="Y591" s="4"/>
      <c r="Z591" s="4"/>
      <c r="AA591" s="4"/>
      <c r="AB591" s="4"/>
      <c r="AC591" s="4"/>
      <c r="AD591" s="4"/>
      <c r="AE591" s="4"/>
      <c r="AF591" s="4"/>
      <c r="AG591" s="4"/>
      <c r="AH591" s="4"/>
      <c r="AI591" s="17"/>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row>
    <row r="592">
      <c r="A592" s="4"/>
      <c r="B592" s="4"/>
      <c r="C592" s="4"/>
      <c r="D592" s="4"/>
      <c r="E592" s="17"/>
      <c r="F592" s="17"/>
      <c r="G592" s="17"/>
      <c r="H592" s="17"/>
      <c r="I592" s="17"/>
      <c r="J592" s="4"/>
      <c r="K592" s="17"/>
      <c r="L592" s="4"/>
      <c r="M592" s="4"/>
      <c r="N592" s="4"/>
      <c r="O592" s="4"/>
      <c r="P592" s="4"/>
      <c r="Q592" s="4"/>
      <c r="R592" s="4"/>
      <c r="S592" s="4"/>
      <c r="T592" s="4"/>
      <c r="U592" s="4"/>
      <c r="V592" s="404"/>
      <c r="W592" s="404"/>
      <c r="X592" s="4"/>
      <c r="Y592" s="4"/>
      <c r="Z592" s="4"/>
      <c r="AA592" s="4"/>
      <c r="AB592" s="4"/>
      <c r="AC592" s="4"/>
      <c r="AD592" s="4"/>
      <c r="AE592" s="4"/>
      <c r="AF592" s="4"/>
      <c r="AG592" s="4"/>
      <c r="AH592" s="4"/>
      <c r="AI592" s="17"/>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row>
    <row r="593">
      <c r="A593" s="4"/>
      <c r="B593" s="4"/>
      <c r="C593" s="4"/>
      <c r="D593" s="4"/>
      <c r="E593" s="17"/>
      <c r="F593" s="17"/>
      <c r="G593" s="17"/>
      <c r="H593" s="17"/>
      <c r="I593" s="17"/>
      <c r="J593" s="4"/>
      <c r="K593" s="17"/>
      <c r="L593" s="4"/>
      <c r="M593" s="4"/>
      <c r="N593" s="4"/>
      <c r="O593" s="4"/>
      <c r="P593" s="4"/>
      <c r="Q593" s="4"/>
      <c r="R593" s="4"/>
      <c r="S593" s="4"/>
      <c r="T593" s="4"/>
      <c r="U593" s="4"/>
      <c r="V593" s="404"/>
      <c r="W593" s="404"/>
      <c r="X593" s="4"/>
      <c r="Y593" s="4"/>
      <c r="Z593" s="4"/>
      <c r="AA593" s="4"/>
      <c r="AB593" s="4"/>
      <c r="AC593" s="4"/>
      <c r="AD593" s="4"/>
      <c r="AE593" s="4"/>
      <c r="AF593" s="4"/>
      <c r="AG593" s="4"/>
      <c r="AH593" s="4"/>
      <c r="AI593" s="17"/>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row>
    <row r="594">
      <c r="A594" s="4"/>
      <c r="B594" s="4"/>
      <c r="C594" s="4"/>
      <c r="D594" s="4"/>
      <c r="E594" s="17"/>
      <c r="F594" s="17"/>
      <c r="G594" s="17"/>
      <c r="H594" s="17"/>
      <c r="I594" s="17"/>
      <c r="J594" s="4"/>
      <c r="K594" s="17"/>
      <c r="L594" s="4"/>
      <c r="M594" s="4"/>
      <c r="N594" s="4"/>
      <c r="O594" s="4"/>
      <c r="P594" s="4"/>
      <c r="Q594" s="4"/>
      <c r="R594" s="4"/>
      <c r="S594" s="4"/>
      <c r="T594" s="4"/>
      <c r="U594" s="4"/>
      <c r="V594" s="404"/>
      <c r="W594" s="404"/>
      <c r="X594" s="4"/>
      <c r="Y594" s="4"/>
      <c r="Z594" s="4"/>
      <c r="AA594" s="4"/>
      <c r="AB594" s="4"/>
      <c r="AC594" s="4"/>
      <c r="AD594" s="4"/>
      <c r="AE594" s="4"/>
      <c r="AF594" s="4"/>
      <c r="AG594" s="4"/>
      <c r="AH594" s="4"/>
      <c r="AI594" s="17"/>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row>
    <row r="595">
      <c r="A595" s="4"/>
      <c r="B595" s="4"/>
      <c r="C595" s="4"/>
      <c r="D595" s="4"/>
      <c r="E595" s="17"/>
      <c r="F595" s="17"/>
      <c r="G595" s="17"/>
      <c r="H595" s="17"/>
      <c r="I595" s="17"/>
      <c r="J595" s="4"/>
      <c r="K595" s="17"/>
      <c r="L595" s="4"/>
      <c r="M595" s="4"/>
      <c r="N595" s="4"/>
      <c r="O595" s="4"/>
      <c r="P595" s="4"/>
      <c r="Q595" s="4"/>
      <c r="R595" s="4"/>
      <c r="S595" s="4"/>
      <c r="T595" s="4"/>
      <c r="U595" s="4"/>
      <c r="V595" s="404"/>
      <c r="W595" s="404"/>
      <c r="X595" s="4"/>
      <c r="Y595" s="4"/>
      <c r="Z595" s="4"/>
      <c r="AA595" s="4"/>
      <c r="AB595" s="4"/>
      <c r="AC595" s="4"/>
      <c r="AD595" s="4"/>
      <c r="AE595" s="4"/>
      <c r="AF595" s="4"/>
      <c r="AG595" s="4"/>
      <c r="AH595" s="4"/>
      <c r="AI595" s="17"/>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row>
    <row r="596">
      <c r="A596" s="4"/>
      <c r="B596" s="4"/>
      <c r="C596" s="4"/>
      <c r="D596" s="4"/>
      <c r="E596" s="17"/>
      <c r="F596" s="17"/>
      <c r="G596" s="17"/>
      <c r="H596" s="17"/>
      <c r="I596" s="17"/>
      <c r="J596" s="4"/>
      <c r="K596" s="17"/>
      <c r="L596" s="4"/>
      <c r="M596" s="4"/>
      <c r="N596" s="4"/>
      <c r="O596" s="4"/>
      <c r="P596" s="4"/>
      <c r="Q596" s="4"/>
      <c r="R596" s="4"/>
      <c r="S596" s="4"/>
      <c r="T596" s="4"/>
      <c r="U596" s="4"/>
      <c r="V596" s="404"/>
      <c r="W596" s="404"/>
      <c r="X596" s="4"/>
      <c r="Y596" s="4"/>
      <c r="Z596" s="4"/>
      <c r="AA596" s="4"/>
      <c r="AB596" s="4"/>
      <c r="AC596" s="4"/>
      <c r="AD596" s="4"/>
      <c r="AE596" s="4"/>
      <c r="AF596" s="4"/>
      <c r="AG596" s="4"/>
      <c r="AH596" s="4"/>
      <c r="AI596" s="17"/>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row>
    <row r="597">
      <c r="A597" s="4"/>
      <c r="B597" s="4"/>
      <c r="C597" s="4"/>
      <c r="D597" s="4"/>
      <c r="E597" s="17"/>
      <c r="F597" s="17"/>
      <c r="G597" s="17"/>
      <c r="H597" s="17"/>
      <c r="I597" s="17"/>
      <c r="J597" s="4"/>
      <c r="K597" s="17"/>
      <c r="L597" s="4"/>
      <c r="M597" s="4"/>
      <c r="N597" s="4"/>
      <c r="O597" s="4"/>
      <c r="P597" s="4"/>
      <c r="Q597" s="4"/>
      <c r="R597" s="4"/>
      <c r="S597" s="4"/>
      <c r="T597" s="4"/>
      <c r="U597" s="4"/>
      <c r="V597" s="404"/>
      <c r="W597" s="404"/>
      <c r="X597" s="4"/>
      <c r="Y597" s="4"/>
      <c r="Z597" s="4"/>
      <c r="AA597" s="4"/>
      <c r="AB597" s="4"/>
      <c r="AC597" s="4"/>
      <c r="AD597" s="4"/>
      <c r="AE597" s="4"/>
      <c r="AF597" s="4"/>
      <c r="AG597" s="4"/>
      <c r="AH597" s="4"/>
      <c r="AI597" s="17"/>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row>
    <row r="598">
      <c r="A598" s="4"/>
      <c r="B598" s="4"/>
      <c r="C598" s="4"/>
      <c r="D598" s="4"/>
      <c r="E598" s="17"/>
      <c r="F598" s="17"/>
      <c r="G598" s="17"/>
      <c r="H598" s="17"/>
      <c r="I598" s="17"/>
      <c r="J598" s="4"/>
      <c r="K598" s="17"/>
      <c r="L598" s="4"/>
      <c r="M598" s="4"/>
      <c r="N598" s="4"/>
      <c r="O598" s="4"/>
      <c r="P598" s="4"/>
      <c r="Q598" s="4"/>
      <c r="R598" s="4"/>
      <c r="S598" s="4"/>
      <c r="T598" s="4"/>
      <c r="U598" s="4"/>
      <c r="V598" s="404"/>
      <c r="W598" s="404"/>
      <c r="X598" s="4"/>
      <c r="Y598" s="4"/>
      <c r="Z598" s="4"/>
      <c r="AA598" s="4"/>
      <c r="AB598" s="4"/>
      <c r="AC598" s="4"/>
      <c r="AD598" s="4"/>
      <c r="AE598" s="4"/>
      <c r="AF598" s="4"/>
      <c r="AG598" s="4"/>
      <c r="AH598" s="4"/>
      <c r="AI598" s="17"/>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row>
    <row r="599">
      <c r="A599" s="4"/>
      <c r="B599" s="4"/>
      <c r="C599" s="4"/>
      <c r="D599" s="4"/>
      <c r="E599" s="17"/>
      <c r="F599" s="17"/>
      <c r="G599" s="17"/>
      <c r="H599" s="17"/>
      <c r="I599" s="17"/>
      <c r="J599" s="4"/>
      <c r="K599" s="17"/>
      <c r="L599" s="4"/>
      <c r="M599" s="4"/>
      <c r="N599" s="4"/>
      <c r="O599" s="4"/>
      <c r="P599" s="4"/>
      <c r="Q599" s="4"/>
      <c r="R599" s="4"/>
      <c r="S599" s="4"/>
      <c r="T599" s="4"/>
      <c r="U599" s="4"/>
      <c r="V599" s="404"/>
      <c r="W599" s="404"/>
      <c r="X599" s="4"/>
      <c r="Y599" s="4"/>
      <c r="Z599" s="4"/>
      <c r="AA599" s="4"/>
      <c r="AB599" s="4"/>
      <c r="AC599" s="4"/>
      <c r="AD599" s="4"/>
      <c r="AE599" s="4"/>
      <c r="AF599" s="4"/>
      <c r="AG599" s="4"/>
      <c r="AH599" s="4"/>
      <c r="AI599" s="17"/>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row>
    <row r="600">
      <c r="A600" s="4"/>
      <c r="B600" s="4"/>
      <c r="C600" s="4"/>
      <c r="D600" s="4"/>
      <c r="E600" s="17"/>
      <c r="F600" s="17"/>
      <c r="G600" s="17"/>
      <c r="H600" s="17"/>
      <c r="I600" s="17"/>
      <c r="J600" s="4"/>
      <c r="K600" s="17"/>
      <c r="L600" s="4"/>
      <c r="M600" s="4"/>
      <c r="N600" s="4"/>
      <c r="O600" s="4"/>
      <c r="P600" s="4"/>
      <c r="Q600" s="4"/>
      <c r="R600" s="4"/>
      <c r="S600" s="4"/>
      <c r="T600" s="4"/>
      <c r="U600" s="4"/>
      <c r="V600" s="404"/>
      <c r="W600" s="404"/>
      <c r="X600" s="4"/>
      <c r="Y600" s="4"/>
      <c r="Z600" s="4"/>
      <c r="AA600" s="4"/>
      <c r="AB600" s="4"/>
      <c r="AC600" s="4"/>
      <c r="AD600" s="4"/>
      <c r="AE600" s="4"/>
      <c r="AF600" s="4"/>
      <c r="AG600" s="4"/>
      <c r="AH600" s="4"/>
      <c r="AI600" s="17"/>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row>
    <row r="601">
      <c r="A601" s="4"/>
      <c r="B601" s="4"/>
      <c r="C601" s="4"/>
      <c r="D601" s="4"/>
      <c r="E601" s="17"/>
      <c r="F601" s="17"/>
      <c r="G601" s="17"/>
      <c r="H601" s="17"/>
      <c r="I601" s="17"/>
      <c r="J601" s="4"/>
      <c r="K601" s="17"/>
      <c r="L601" s="4"/>
      <c r="M601" s="4"/>
      <c r="N601" s="4"/>
      <c r="O601" s="4"/>
      <c r="P601" s="4"/>
      <c r="Q601" s="4"/>
      <c r="R601" s="4"/>
      <c r="S601" s="4"/>
      <c r="T601" s="4"/>
      <c r="U601" s="4"/>
      <c r="V601" s="404"/>
      <c r="W601" s="404"/>
      <c r="X601" s="4"/>
      <c r="Y601" s="4"/>
      <c r="Z601" s="4"/>
      <c r="AA601" s="4"/>
      <c r="AB601" s="4"/>
      <c r="AC601" s="4"/>
      <c r="AD601" s="4"/>
      <c r="AE601" s="4"/>
      <c r="AF601" s="4"/>
      <c r="AG601" s="4"/>
      <c r="AH601" s="4"/>
      <c r="AI601" s="17"/>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row>
    <row r="602">
      <c r="A602" s="4"/>
      <c r="B602" s="4"/>
      <c r="C602" s="4"/>
      <c r="D602" s="4"/>
      <c r="E602" s="17"/>
      <c r="F602" s="17"/>
      <c r="G602" s="17"/>
      <c r="H602" s="17"/>
      <c r="I602" s="17"/>
      <c r="J602" s="4"/>
      <c r="K602" s="17"/>
      <c r="L602" s="4"/>
      <c r="M602" s="4"/>
      <c r="N602" s="4"/>
      <c r="O602" s="4"/>
      <c r="P602" s="4"/>
      <c r="Q602" s="4"/>
      <c r="R602" s="4"/>
      <c r="S602" s="4"/>
      <c r="T602" s="4"/>
      <c r="U602" s="4"/>
      <c r="V602" s="404"/>
      <c r="W602" s="404"/>
      <c r="X602" s="4"/>
      <c r="Y602" s="4"/>
      <c r="Z602" s="4"/>
      <c r="AA602" s="4"/>
      <c r="AB602" s="4"/>
      <c r="AC602" s="4"/>
      <c r="AD602" s="4"/>
      <c r="AE602" s="4"/>
      <c r="AF602" s="4"/>
      <c r="AG602" s="4"/>
      <c r="AH602" s="4"/>
      <c r="AI602" s="17"/>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row>
    <row r="603">
      <c r="A603" s="4"/>
      <c r="B603" s="4"/>
      <c r="C603" s="4"/>
      <c r="D603" s="4"/>
      <c r="E603" s="17"/>
      <c r="F603" s="17"/>
      <c r="G603" s="17"/>
      <c r="H603" s="17"/>
      <c r="I603" s="17"/>
      <c r="J603" s="4"/>
      <c r="K603" s="17"/>
      <c r="L603" s="4"/>
      <c r="M603" s="4"/>
      <c r="N603" s="4"/>
      <c r="O603" s="4"/>
      <c r="P603" s="4"/>
      <c r="Q603" s="4"/>
      <c r="R603" s="4"/>
      <c r="S603" s="4"/>
      <c r="T603" s="4"/>
      <c r="U603" s="4"/>
      <c r="V603" s="404"/>
      <c r="W603" s="404"/>
      <c r="X603" s="4"/>
      <c r="Y603" s="4"/>
      <c r="Z603" s="4"/>
      <c r="AA603" s="4"/>
      <c r="AB603" s="4"/>
      <c r="AC603" s="4"/>
      <c r="AD603" s="4"/>
      <c r="AE603" s="4"/>
      <c r="AF603" s="4"/>
      <c r="AG603" s="4"/>
      <c r="AH603" s="4"/>
      <c r="AI603" s="17"/>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row>
    <row r="604">
      <c r="A604" s="4"/>
      <c r="B604" s="4"/>
      <c r="C604" s="4"/>
      <c r="D604" s="4"/>
      <c r="E604" s="17"/>
      <c r="F604" s="17"/>
      <c r="G604" s="17"/>
      <c r="H604" s="17"/>
      <c r="I604" s="17"/>
      <c r="J604" s="4"/>
      <c r="K604" s="17"/>
      <c r="L604" s="4"/>
      <c r="M604" s="4"/>
      <c r="N604" s="4"/>
      <c r="O604" s="4"/>
      <c r="P604" s="4"/>
      <c r="Q604" s="4"/>
      <c r="R604" s="4"/>
      <c r="S604" s="4"/>
      <c r="T604" s="4"/>
      <c r="U604" s="4"/>
      <c r="V604" s="404"/>
      <c r="W604" s="404"/>
      <c r="X604" s="4"/>
      <c r="Y604" s="4"/>
      <c r="Z604" s="4"/>
      <c r="AA604" s="4"/>
      <c r="AB604" s="4"/>
      <c r="AC604" s="4"/>
      <c r="AD604" s="4"/>
      <c r="AE604" s="4"/>
      <c r="AF604" s="4"/>
      <c r="AG604" s="4"/>
      <c r="AH604" s="4"/>
      <c r="AI604" s="17"/>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row>
    <row r="605">
      <c r="A605" s="4"/>
      <c r="B605" s="4"/>
      <c r="C605" s="4"/>
      <c r="D605" s="4"/>
      <c r="E605" s="17"/>
      <c r="F605" s="17"/>
      <c r="G605" s="17"/>
      <c r="H605" s="17"/>
      <c r="I605" s="17"/>
      <c r="J605" s="4"/>
      <c r="K605" s="17"/>
      <c r="L605" s="4"/>
      <c r="M605" s="4"/>
      <c r="N605" s="4"/>
      <c r="O605" s="4"/>
      <c r="P605" s="4"/>
      <c r="Q605" s="4"/>
      <c r="R605" s="4"/>
      <c r="S605" s="4"/>
      <c r="T605" s="4"/>
      <c r="U605" s="4"/>
      <c r="V605" s="404"/>
      <c r="W605" s="404"/>
      <c r="X605" s="4"/>
      <c r="Y605" s="4"/>
      <c r="Z605" s="4"/>
      <c r="AA605" s="4"/>
      <c r="AB605" s="4"/>
      <c r="AC605" s="4"/>
      <c r="AD605" s="4"/>
      <c r="AE605" s="4"/>
      <c r="AF605" s="4"/>
      <c r="AG605" s="4"/>
      <c r="AH605" s="4"/>
      <c r="AI605" s="17"/>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row>
    <row r="606">
      <c r="A606" s="4"/>
      <c r="B606" s="4"/>
      <c r="C606" s="4"/>
      <c r="D606" s="4"/>
      <c r="E606" s="17"/>
      <c r="F606" s="17"/>
      <c r="G606" s="17"/>
      <c r="H606" s="17"/>
      <c r="I606" s="17"/>
      <c r="J606" s="4"/>
      <c r="K606" s="17"/>
      <c r="L606" s="4"/>
      <c r="M606" s="4"/>
      <c r="N606" s="4"/>
      <c r="O606" s="4"/>
      <c r="P606" s="4"/>
      <c r="Q606" s="4"/>
      <c r="R606" s="4"/>
      <c r="S606" s="4"/>
      <c r="T606" s="4"/>
      <c r="U606" s="4"/>
      <c r="V606" s="404"/>
      <c r="W606" s="404"/>
      <c r="X606" s="4"/>
      <c r="Y606" s="4"/>
      <c r="Z606" s="4"/>
      <c r="AA606" s="4"/>
      <c r="AB606" s="4"/>
      <c r="AC606" s="4"/>
      <c r="AD606" s="4"/>
      <c r="AE606" s="4"/>
      <c r="AF606" s="4"/>
      <c r="AG606" s="4"/>
      <c r="AH606" s="4"/>
      <c r="AI606" s="17"/>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row>
    <row r="607">
      <c r="A607" s="4"/>
      <c r="B607" s="4"/>
      <c r="C607" s="4"/>
      <c r="D607" s="4"/>
      <c r="E607" s="17"/>
      <c r="F607" s="17"/>
      <c r="G607" s="17"/>
      <c r="H607" s="17"/>
      <c r="I607" s="17"/>
      <c r="J607" s="4"/>
      <c r="K607" s="17"/>
      <c r="L607" s="4"/>
      <c r="M607" s="4"/>
      <c r="N607" s="4"/>
      <c r="O607" s="4"/>
      <c r="P607" s="4"/>
      <c r="Q607" s="4"/>
      <c r="R607" s="4"/>
      <c r="S607" s="4"/>
      <c r="T607" s="4"/>
      <c r="U607" s="4"/>
      <c r="V607" s="404"/>
      <c r="W607" s="404"/>
      <c r="X607" s="4"/>
      <c r="Y607" s="4"/>
      <c r="Z607" s="4"/>
      <c r="AA607" s="4"/>
      <c r="AB607" s="4"/>
      <c r="AC607" s="4"/>
      <c r="AD607" s="4"/>
      <c r="AE607" s="4"/>
      <c r="AF607" s="4"/>
      <c r="AG607" s="4"/>
      <c r="AH607" s="4"/>
      <c r="AI607" s="17"/>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row>
    <row r="608">
      <c r="A608" s="4"/>
      <c r="B608" s="4"/>
      <c r="C608" s="4"/>
      <c r="D608" s="4"/>
      <c r="E608" s="17"/>
      <c r="F608" s="17"/>
      <c r="G608" s="17"/>
      <c r="H608" s="17"/>
      <c r="I608" s="17"/>
      <c r="J608" s="4"/>
      <c r="K608" s="17"/>
      <c r="L608" s="4"/>
      <c r="M608" s="4"/>
      <c r="N608" s="4"/>
      <c r="O608" s="4"/>
      <c r="P608" s="4"/>
      <c r="Q608" s="4"/>
      <c r="R608" s="4"/>
      <c r="S608" s="4"/>
      <c r="T608" s="4"/>
      <c r="U608" s="4"/>
      <c r="V608" s="404"/>
      <c r="W608" s="404"/>
      <c r="X608" s="4"/>
      <c r="Y608" s="4"/>
      <c r="Z608" s="4"/>
      <c r="AA608" s="4"/>
      <c r="AB608" s="4"/>
      <c r="AC608" s="4"/>
      <c r="AD608" s="4"/>
      <c r="AE608" s="4"/>
      <c r="AF608" s="4"/>
      <c r="AG608" s="4"/>
      <c r="AH608" s="4"/>
      <c r="AI608" s="17"/>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row>
    <row r="609">
      <c r="A609" s="4"/>
      <c r="B609" s="4"/>
      <c r="C609" s="4"/>
      <c r="D609" s="4"/>
      <c r="E609" s="17"/>
      <c r="F609" s="17"/>
      <c r="G609" s="17"/>
      <c r="H609" s="17"/>
      <c r="I609" s="17"/>
      <c r="J609" s="4"/>
      <c r="K609" s="17"/>
      <c r="L609" s="4"/>
      <c r="M609" s="4"/>
      <c r="N609" s="4"/>
      <c r="O609" s="4"/>
      <c r="P609" s="4"/>
      <c r="Q609" s="4"/>
      <c r="R609" s="4"/>
      <c r="S609" s="4"/>
      <c r="T609" s="4"/>
      <c r="U609" s="4"/>
      <c r="V609" s="404"/>
      <c r="W609" s="404"/>
      <c r="X609" s="4"/>
      <c r="Y609" s="4"/>
      <c r="Z609" s="4"/>
      <c r="AA609" s="4"/>
      <c r="AB609" s="4"/>
      <c r="AC609" s="4"/>
      <c r="AD609" s="4"/>
      <c r="AE609" s="4"/>
      <c r="AF609" s="4"/>
      <c r="AG609" s="4"/>
      <c r="AH609" s="4"/>
      <c r="AI609" s="17"/>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row>
    <row r="610">
      <c r="A610" s="4"/>
      <c r="B610" s="4"/>
      <c r="C610" s="4"/>
      <c r="D610" s="4"/>
      <c r="E610" s="17"/>
      <c r="F610" s="17"/>
      <c r="G610" s="17"/>
      <c r="H610" s="17"/>
      <c r="I610" s="17"/>
      <c r="J610" s="4"/>
      <c r="K610" s="17"/>
      <c r="L610" s="4"/>
      <c r="M610" s="4"/>
      <c r="N610" s="4"/>
      <c r="O610" s="4"/>
      <c r="P610" s="4"/>
      <c r="Q610" s="4"/>
      <c r="R610" s="4"/>
      <c r="S610" s="4"/>
      <c r="T610" s="4"/>
      <c r="U610" s="4"/>
      <c r="V610" s="404"/>
      <c r="W610" s="404"/>
      <c r="X610" s="4"/>
      <c r="Y610" s="4"/>
      <c r="Z610" s="4"/>
      <c r="AA610" s="4"/>
      <c r="AB610" s="4"/>
      <c r="AC610" s="4"/>
      <c r="AD610" s="4"/>
      <c r="AE610" s="4"/>
      <c r="AF610" s="4"/>
      <c r="AG610" s="4"/>
      <c r="AH610" s="4"/>
      <c r="AI610" s="17"/>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row>
    <row r="611">
      <c r="A611" s="4"/>
      <c r="B611" s="4"/>
      <c r="C611" s="4"/>
      <c r="D611" s="4"/>
      <c r="E611" s="17"/>
      <c r="F611" s="17"/>
      <c r="G611" s="17"/>
      <c r="H611" s="17"/>
      <c r="I611" s="17"/>
      <c r="J611" s="4"/>
      <c r="K611" s="17"/>
      <c r="L611" s="4"/>
      <c r="M611" s="4"/>
      <c r="N611" s="4"/>
      <c r="O611" s="4"/>
      <c r="P611" s="4"/>
      <c r="Q611" s="4"/>
      <c r="R611" s="4"/>
      <c r="S611" s="4"/>
      <c r="T611" s="4"/>
      <c r="U611" s="4"/>
      <c r="V611" s="404"/>
      <c r="W611" s="404"/>
      <c r="X611" s="4"/>
      <c r="Y611" s="4"/>
      <c r="Z611" s="4"/>
      <c r="AA611" s="4"/>
      <c r="AB611" s="4"/>
      <c r="AC611" s="4"/>
      <c r="AD611" s="4"/>
      <c r="AE611" s="4"/>
      <c r="AF611" s="4"/>
      <c r="AG611" s="4"/>
      <c r="AH611" s="4"/>
      <c r="AI611" s="17"/>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row>
    <row r="612">
      <c r="A612" s="4"/>
      <c r="B612" s="4"/>
      <c r="C612" s="4"/>
      <c r="D612" s="4"/>
      <c r="E612" s="17"/>
      <c r="F612" s="17"/>
      <c r="G612" s="17"/>
      <c r="H612" s="17"/>
      <c r="I612" s="17"/>
      <c r="J612" s="4"/>
      <c r="K612" s="17"/>
      <c r="L612" s="4"/>
      <c r="M612" s="4"/>
      <c r="N612" s="4"/>
      <c r="O612" s="4"/>
      <c r="P612" s="4"/>
      <c r="Q612" s="4"/>
      <c r="R612" s="4"/>
      <c r="S612" s="4"/>
      <c r="T612" s="4"/>
      <c r="U612" s="4"/>
      <c r="V612" s="404"/>
      <c r="W612" s="404"/>
      <c r="X612" s="4"/>
      <c r="Y612" s="4"/>
      <c r="Z612" s="4"/>
      <c r="AA612" s="4"/>
      <c r="AB612" s="4"/>
      <c r="AC612" s="4"/>
      <c r="AD612" s="4"/>
      <c r="AE612" s="4"/>
      <c r="AF612" s="4"/>
      <c r="AG612" s="4"/>
      <c r="AH612" s="4"/>
      <c r="AI612" s="17"/>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row>
    <row r="613">
      <c r="A613" s="4"/>
      <c r="B613" s="4"/>
      <c r="C613" s="4"/>
      <c r="D613" s="4"/>
      <c r="E613" s="17"/>
      <c r="F613" s="17"/>
      <c r="G613" s="17"/>
      <c r="H613" s="17"/>
      <c r="I613" s="17"/>
      <c r="J613" s="4"/>
      <c r="K613" s="17"/>
      <c r="L613" s="4"/>
      <c r="M613" s="4"/>
      <c r="N613" s="4"/>
      <c r="O613" s="4"/>
      <c r="P613" s="4"/>
      <c r="Q613" s="4"/>
      <c r="R613" s="4"/>
      <c r="S613" s="4"/>
      <c r="T613" s="4"/>
      <c r="U613" s="4"/>
      <c r="V613" s="404"/>
      <c r="W613" s="404"/>
      <c r="X613" s="4"/>
      <c r="Y613" s="4"/>
      <c r="Z613" s="4"/>
      <c r="AA613" s="4"/>
      <c r="AB613" s="4"/>
      <c r="AC613" s="4"/>
      <c r="AD613" s="4"/>
      <c r="AE613" s="4"/>
      <c r="AF613" s="4"/>
      <c r="AG613" s="4"/>
      <c r="AH613" s="4"/>
      <c r="AI613" s="17"/>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row>
    <row r="614">
      <c r="A614" s="4"/>
      <c r="B614" s="4"/>
      <c r="C614" s="4"/>
      <c r="D614" s="4"/>
      <c r="E614" s="17"/>
      <c r="F614" s="17"/>
      <c r="G614" s="17"/>
      <c r="H614" s="17"/>
      <c r="I614" s="17"/>
      <c r="J614" s="4"/>
      <c r="K614" s="17"/>
      <c r="L614" s="4"/>
      <c r="M614" s="4"/>
      <c r="N614" s="4"/>
      <c r="O614" s="4"/>
      <c r="P614" s="4"/>
      <c r="Q614" s="4"/>
      <c r="R614" s="4"/>
      <c r="S614" s="4"/>
      <c r="T614" s="4"/>
      <c r="U614" s="4"/>
      <c r="V614" s="404"/>
      <c r="W614" s="404"/>
      <c r="X614" s="4"/>
      <c r="Y614" s="4"/>
      <c r="Z614" s="4"/>
      <c r="AA614" s="4"/>
      <c r="AB614" s="4"/>
      <c r="AC614" s="4"/>
      <c r="AD614" s="4"/>
      <c r="AE614" s="4"/>
      <c r="AF614" s="4"/>
      <c r="AG614" s="4"/>
      <c r="AH614" s="4"/>
      <c r="AI614" s="17"/>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row>
    <row r="615">
      <c r="A615" s="4"/>
      <c r="B615" s="4"/>
      <c r="C615" s="4"/>
      <c r="D615" s="4"/>
      <c r="E615" s="17"/>
      <c r="F615" s="17"/>
      <c r="G615" s="17"/>
      <c r="H615" s="17"/>
      <c r="I615" s="17"/>
      <c r="J615" s="4"/>
      <c r="K615" s="17"/>
      <c r="L615" s="4"/>
      <c r="M615" s="4"/>
      <c r="N615" s="4"/>
      <c r="O615" s="4"/>
      <c r="P615" s="4"/>
      <c r="Q615" s="4"/>
      <c r="R615" s="4"/>
      <c r="S615" s="4"/>
      <c r="T615" s="4"/>
      <c r="U615" s="4"/>
      <c r="V615" s="404"/>
      <c r="W615" s="404"/>
      <c r="X615" s="4"/>
      <c r="Y615" s="4"/>
      <c r="Z615" s="4"/>
      <c r="AA615" s="4"/>
      <c r="AB615" s="4"/>
      <c r="AC615" s="4"/>
      <c r="AD615" s="4"/>
      <c r="AE615" s="4"/>
      <c r="AF615" s="4"/>
      <c r="AG615" s="4"/>
      <c r="AH615" s="4"/>
      <c r="AI615" s="17"/>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row>
    <row r="616">
      <c r="A616" s="4"/>
      <c r="B616" s="4"/>
      <c r="C616" s="4"/>
      <c r="D616" s="4"/>
      <c r="E616" s="17"/>
      <c r="F616" s="17"/>
      <c r="G616" s="17"/>
      <c r="H616" s="17"/>
      <c r="I616" s="17"/>
      <c r="J616" s="4"/>
      <c r="K616" s="17"/>
      <c r="L616" s="4"/>
      <c r="M616" s="4"/>
      <c r="N616" s="4"/>
      <c r="O616" s="4"/>
      <c r="P616" s="4"/>
      <c r="Q616" s="4"/>
      <c r="R616" s="4"/>
      <c r="S616" s="4"/>
      <c r="T616" s="4"/>
      <c r="U616" s="4"/>
      <c r="V616" s="404"/>
      <c r="W616" s="404"/>
      <c r="X616" s="4"/>
      <c r="Y616" s="4"/>
      <c r="Z616" s="4"/>
      <c r="AA616" s="4"/>
      <c r="AB616" s="4"/>
      <c r="AC616" s="4"/>
      <c r="AD616" s="4"/>
      <c r="AE616" s="4"/>
      <c r="AF616" s="4"/>
      <c r="AG616" s="4"/>
      <c r="AH616" s="4"/>
      <c r="AI616" s="17"/>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row>
    <row r="617">
      <c r="A617" s="4"/>
      <c r="B617" s="4"/>
      <c r="C617" s="4"/>
      <c r="D617" s="4"/>
      <c r="E617" s="17"/>
      <c r="F617" s="17"/>
      <c r="G617" s="17"/>
      <c r="H617" s="17"/>
      <c r="I617" s="17"/>
      <c r="J617" s="4"/>
      <c r="K617" s="17"/>
      <c r="L617" s="4"/>
      <c r="M617" s="4"/>
      <c r="N617" s="4"/>
      <c r="O617" s="4"/>
      <c r="P617" s="4"/>
      <c r="Q617" s="4"/>
      <c r="R617" s="4"/>
      <c r="S617" s="4"/>
      <c r="T617" s="4"/>
      <c r="U617" s="4"/>
      <c r="V617" s="404"/>
      <c r="W617" s="404"/>
      <c r="X617" s="4"/>
      <c r="Y617" s="4"/>
      <c r="Z617" s="4"/>
      <c r="AA617" s="4"/>
      <c r="AB617" s="4"/>
      <c r="AC617" s="4"/>
      <c r="AD617" s="4"/>
      <c r="AE617" s="4"/>
      <c r="AF617" s="4"/>
      <c r="AG617" s="4"/>
      <c r="AH617" s="4"/>
      <c r="AI617" s="17"/>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row>
    <row r="618">
      <c r="A618" s="4"/>
      <c r="B618" s="4"/>
      <c r="C618" s="4"/>
      <c r="D618" s="4"/>
      <c r="E618" s="17"/>
      <c r="F618" s="17"/>
      <c r="G618" s="17"/>
      <c r="H618" s="17"/>
      <c r="I618" s="17"/>
      <c r="J618" s="4"/>
      <c r="K618" s="17"/>
      <c r="L618" s="4"/>
      <c r="M618" s="4"/>
      <c r="N618" s="4"/>
      <c r="O618" s="4"/>
      <c r="P618" s="4"/>
      <c r="Q618" s="4"/>
      <c r="R618" s="4"/>
      <c r="S618" s="4"/>
      <c r="T618" s="4"/>
      <c r="U618" s="4"/>
      <c r="V618" s="404"/>
      <c r="W618" s="404"/>
      <c r="X618" s="4"/>
      <c r="Y618" s="4"/>
      <c r="Z618" s="4"/>
      <c r="AA618" s="4"/>
      <c r="AB618" s="4"/>
      <c r="AC618" s="4"/>
      <c r="AD618" s="4"/>
      <c r="AE618" s="4"/>
      <c r="AF618" s="4"/>
      <c r="AG618" s="4"/>
      <c r="AH618" s="4"/>
      <c r="AI618" s="17"/>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row>
    <row r="619">
      <c r="A619" s="4"/>
      <c r="B619" s="4"/>
      <c r="C619" s="4"/>
      <c r="D619" s="4"/>
      <c r="E619" s="17"/>
      <c r="F619" s="17"/>
      <c r="G619" s="17"/>
      <c r="H619" s="17"/>
      <c r="I619" s="17"/>
      <c r="J619" s="4"/>
      <c r="K619" s="17"/>
      <c r="L619" s="4"/>
      <c r="M619" s="4"/>
      <c r="N619" s="4"/>
      <c r="O619" s="4"/>
      <c r="P619" s="4"/>
      <c r="Q619" s="4"/>
      <c r="R619" s="4"/>
      <c r="S619" s="4"/>
      <c r="T619" s="4"/>
      <c r="U619" s="4"/>
      <c r="V619" s="404"/>
      <c r="W619" s="404"/>
      <c r="X619" s="4"/>
      <c r="Y619" s="4"/>
      <c r="Z619" s="4"/>
      <c r="AA619" s="4"/>
      <c r="AB619" s="4"/>
      <c r="AC619" s="4"/>
      <c r="AD619" s="4"/>
      <c r="AE619" s="4"/>
      <c r="AF619" s="4"/>
      <c r="AG619" s="4"/>
      <c r="AH619" s="4"/>
      <c r="AI619" s="17"/>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row>
    <row r="620">
      <c r="A620" s="4"/>
      <c r="B620" s="4"/>
      <c r="C620" s="4"/>
      <c r="D620" s="4"/>
      <c r="E620" s="17"/>
      <c r="F620" s="17"/>
      <c r="G620" s="17"/>
      <c r="H620" s="17"/>
      <c r="I620" s="17"/>
      <c r="J620" s="4"/>
      <c r="K620" s="17"/>
      <c r="L620" s="4"/>
      <c r="M620" s="4"/>
      <c r="N620" s="4"/>
      <c r="O620" s="4"/>
      <c r="P620" s="4"/>
      <c r="Q620" s="4"/>
      <c r="R620" s="4"/>
      <c r="S620" s="4"/>
      <c r="T620" s="4"/>
      <c r="U620" s="4"/>
      <c r="V620" s="404"/>
      <c r="W620" s="404"/>
      <c r="X620" s="4"/>
      <c r="Y620" s="4"/>
      <c r="Z620" s="4"/>
      <c r="AA620" s="4"/>
      <c r="AB620" s="4"/>
      <c r="AC620" s="4"/>
      <c r="AD620" s="4"/>
      <c r="AE620" s="4"/>
      <c r="AF620" s="4"/>
      <c r="AG620" s="4"/>
      <c r="AH620" s="4"/>
      <c r="AI620" s="17"/>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row>
    <row r="621">
      <c r="A621" s="4"/>
      <c r="B621" s="4"/>
      <c r="C621" s="4"/>
      <c r="D621" s="4"/>
      <c r="E621" s="17"/>
      <c r="F621" s="17"/>
      <c r="G621" s="17"/>
      <c r="H621" s="17"/>
      <c r="I621" s="17"/>
      <c r="J621" s="4"/>
      <c r="K621" s="17"/>
      <c r="L621" s="4"/>
      <c r="M621" s="4"/>
      <c r="N621" s="4"/>
      <c r="O621" s="4"/>
      <c r="P621" s="4"/>
      <c r="Q621" s="4"/>
      <c r="R621" s="4"/>
      <c r="S621" s="4"/>
      <c r="T621" s="4"/>
      <c r="U621" s="4"/>
      <c r="V621" s="404"/>
      <c r="W621" s="404"/>
      <c r="X621" s="4"/>
      <c r="Y621" s="4"/>
      <c r="Z621" s="4"/>
      <c r="AA621" s="4"/>
      <c r="AB621" s="4"/>
      <c r="AC621" s="4"/>
      <c r="AD621" s="4"/>
      <c r="AE621" s="4"/>
      <c r="AF621" s="4"/>
      <c r="AG621" s="4"/>
      <c r="AH621" s="4"/>
      <c r="AI621" s="17"/>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row>
    <row r="622">
      <c r="A622" s="4"/>
      <c r="B622" s="4"/>
      <c r="C622" s="4"/>
      <c r="D622" s="4"/>
      <c r="E622" s="17"/>
      <c r="F622" s="17"/>
      <c r="G622" s="17"/>
      <c r="H622" s="17"/>
      <c r="I622" s="17"/>
      <c r="J622" s="4"/>
      <c r="K622" s="17"/>
      <c r="L622" s="4"/>
      <c r="M622" s="4"/>
      <c r="N622" s="4"/>
      <c r="O622" s="4"/>
      <c r="P622" s="4"/>
      <c r="Q622" s="4"/>
      <c r="R622" s="4"/>
      <c r="S622" s="4"/>
      <c r="T622" s="4"/>
      <c r="U622" s="4"/>
      <c r="V622" s="404"/>
      <c r="W622" s="404"/>
      <c r="X622" s="4"/>
      <c r="Y622" s="4"/>
      <c r="Z622" s="4"/>
      <c r="AA622" s="4"/>
      <c r="AB622" s="4"/>
      <c r="AC622" s="4"/>
      <c r="AD622" s="4"/>
      <c r="AE622" s="4"/>
      <c r="AF622" s="4"/>
      <c r="AG622" s="4"/>
      <c r="AH622" s="4"/>
      <c r="AI622" s="17"/>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row>
    <row r="623">
      <c r="A623" s="4"/>
      <c r="B623" s="4"/>
      <c r="C623" s="4"/>
      <c r="D623" s="4"/>
      <c r="E623" s="17"/>
      <c r="F623" s="17"/>
      <c r="G623" s="17"/>
      <c r="H623" s="17"/>
      <c r="I623" s="17"/>
      <c r="J623" s="4"/>
      <c r="K623" s="17"/>
      <c r="L623" s="4"/>
      <c r="M623" s="4"/>
      <c r="N623" s="4"/>
      <c r="O623" s="4"/>
      <c r="P623" s="4"/>
      <c r="Q623" s="4"/>
      <c r="R623" s="4"/>
      <c r="S623" s="4"/>
      <c r="T623" s="4"/>
      <c r="U623" s="4"/>
      <c r="V623" s="404"/>
      <c r="W623" s="404"/>
      <c r="X623" s="4"/>
      <c r="Y623" s="4"/>
      <c r="Z623" s="4"/>
      <c r="AA623" s="4"/>
      <c r="AB623" s="4"/>
      <c r="AC623" s="4"/>
      <c r="AD623" s="4"/>
      <c r="AE623" s="4"/>
      <c r="AF623" s="4"/>
      <c r="AG623" s="4"/>
      <c r="AH623" s="4"/>
      <c r="AI623" s="17"/>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row>
    <row r="624">
      <c r="A624" s="4"/>
      <c r="B624" s="4"/>
      <c r="C624" s="4"/>
      <c r="D624" s="4"/>
      <c r="E624" s="17"/>
      <c r="F624" s="17"/>
      <c r="G624" s="17"/>
      <c r="H624" s="17"/>
      <c r="I624" s="17"/>
      <c r="J624" s="4"/>
      <c r="K624" s="17"/>
      <c r="L624" s="4"/>
      <c r="M624" s="4"/>
      <c r="N624" s="4"/>
      <c r="O624" s="4"/>
      <c r="P624" s="4"/>
      <c r="Q624" s="4"/>
      <c r="R624" s="4"/>
      <c r="S624" s="4"/>
      <c r="T624" s="4"/>
      <c r="U624" s="4"/>
      <c r="V624" s="404"/>
      <c r="W624" s="404"/>
      <c r="X624" s="4"/>
      <c r="Y624" s="4"/>
      <c r="Z624" s="4"/>
      <c r="AA624" s="4"/>
      <c r="AB624" s="4"/>
      <c r="AC624" s="4"/>
      <c r="AD624" s="4"/>
      <c r="AE624" s="4"/>
      <c r="AF624" s="4"/>
      <c r="AG624" s="4"/>
      <c r="AH624" s="4"/>
      <c r="AI624" s="17"/>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row>
    <row r="625">
      <c r="A625" s="4"/>
      <c r="B625" s="4"/>
      <c r="C625" s="4"/>
      <c r="D625" s="4"/>
      <c r="E625" s="17"/>
      <c r="F625" s="17"/>
      <c r="G625" s="17"/>
      <c r="H625" s="17"/>
      <c r="I625" s="17"/>
      <c r="J625" s="4"/>
      <c r="K625" s="17"/>
      <c r="L625" s="4"/>
      <c r="M625" s="4"/>
      <c r="N625" s="4"/>
      <c r="O625" s="4"/>
      <c r="P625" s="4"/>
      <c r="Q625" s="4"/>
      <c r="R625" s="4"/>
      <c r="S625" s="4"/>
      <c r="T625" s="4"/>
      <c r="U625" s="4"/>
      <c r="V625" s="404"/>
      <c r="W625" s="404"/>
      <c r="X625" s="4"/>
      <c r="Y625" s="4"/>
      <c r="Z625" s="4"/>
      <c r="AA625" s="4"/>
      <c r="AB625" s="4"/>
      <c r="AC625" s="4"/>
      <c r="AD625" s="4"/>
      <c r="AE625" s="4"/>
      <c r="AF625" s="4"/>
      <c r="AG625" s="4"/>
      <c r="AH625" s="4"/>
      <c r="AI625" s="17"/>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row>
    <row r="626">
      <c r="A626" s="4"/>
      <c r="B626" s="4"/>
      <c r="C626" s="4"/>
      <c r="D626" s="4"/>
      <c r="E626" s="17"/>
      <c r="F626" s="17"/>
      <c r="G626" s="17"/>
      <c r="H626" s="17"/>
      <c r="I626" s="17"/>
      <c r="J626" s="4"/>
      <c r="K626" s="17"/>
      <c r="L626" s="4"/>
      <c r="M626" s="4"/>
      <c r="N626" s="4"/>
      <c r="O626" s="4"/>
      <c r="P626" s="4"/>
      <c r="Q626" s="4"/>
      <c r="R626" s="4"/>
      <c r="S626" s="4"/>
      <c r="T626" s="4"/>
      <c r="U626" s="4"/>
      <c r="V626" s="404"/>
      <c r="W626" s="404"/>
      <c r="X626" s="4"/>
      <c r="Y626" s="4"/>
      <c r="Z626" s="4"/>
      <c r="AA626" s="4"/>
      <c r="AB626" s="4"/>
      <c r="AC626" s="4"/>
      <c r="AD626" s="4"/>
      <c r="AE626" s="4"/>
      <c r="AF626" s="4"/>
      <c r="AG626" s="4"/>
      <c r="AH626" s="4"/>
      <c r="AI626" s="17"/>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row>
    <row r="627">
      <c r="A627" s="4"/>
      <c r="B627" s="4"/>
      <c r="C627" s="4"/>
      <c r="D627" s="4"/>
      <c r="E627" s="17"/>
      <c r="F627" s="17"/>
      <c r="G627" s="17"/>
      <c r="H627" s="17"/>
      <c r="I627" s="17"/>
      <c r="J627" s="4"/>
      <c r="K627" s="17"/>
      <c r="L627" s="4"/>
      <c r="M627" s="4"/>
      <c r="N627" s="4"/>
      <c r="O627" s="4"/>
      <c r="P627" s="4"/>
      <c r="Q627" s="4"/>
      <c r="R627" s="4"/>
      <c r="S627" s="4"/>
      <c r="T627" s="4"/>
      <c r="U627" s="4"/>
      <c r="V627" s="404"/>
      <c r="W627" s="404"/>
      <c r="X627" s="4"/>
      <c r="Y627" s="4"/>
      <c r="Z627" s="4"/>
      <c r="AA627" s="4"/>
      <c r="AB627" s="4"/>
      <c r="AC627" s="4"/>
      <c r="AD627" s="4"/>
      <c r="AE627" s="4"/>
      <c r="AF627" s="4"/>
      <c r="AG627" s="4"/>
      <c r="AH627" s="4"/>
      <c r="AI627" s="17"/>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row>
    <row r="628">
      <c r="A628" s="4"/>
      <c r="B628" s="4"/>
      <c r="C628" s="4"/>
      <c r="D628" s="4"/>
      <c r="E628" s="17"/>
      <c r="F628" s="17"/>
      <c r="G628" s="17"/>
      <c r="H628" s="17"/>
      <c r="I628" s="17"/>
      <c r="J628" s="4"/>
      <c r="K628" s="17"/>
      <c r="L628" s="4"/>
      <c r="M628" s="4"/>
      <c r="N628" s="4"/>
      <c r="O628" s="4"/>
      <c r="P628" s="4"/>
      <c r="Q628" s="4"/>
      <c r="R628" s="4"/>
      <c r="S628" s="4"/>
      <c r="T628" s="4"/>
      <c r="U628" s="4"/>
      <c r="V628" s="404"/>
      <c r="W628" s="404"/>
      <c r="X628" s="4"/>
      <c r="Y628" s="4"/>
      <c r="Z628" s="4"/>
      <c r="AA628" s="4"/>
      <c r="AB628" s="4"/>
      <c r="AC628" s="4"/>
      <c r="AD628" s="4"/>
      <c r="AE628" s="4"/>
      <c r="AF628" s="4"/>
      <c r="AG628" s="4"/>
      <c r="AH628" s="4"/>
      <c r="AI628" s="17"/>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row>
    <row r="629">
      <c r="A629" s="4"/>
      <c r="B629" s="4"/>
      <c r="C629" s="4"/>
      <c r="D629" s="4"/>
      <c r="E629" s="17"/>
      <c r="F629" s="17"/>
      <c r="G629" s="17"/>
      <c r="H629" s="17"/>
      <c r="I629" s="17"/>
      <c r="J629" s="4"/>
      <c r="K629" s="17"/>
      <c r="L629" s="4"/>
      <c r="M629" s="4"/>
      <c r="N629" s="4"/>
      <c r="O629" s="4"/>
      <c r="P629" s="4"/>
      <c r="Q629" s="4"/>
      <c r="R629" s="4"/>
      <c r="S629" s="4"/>
      <c r="T629" s="4"/>
      <c r="U629" s="4"/>
      <c r="V629" s="404"/>
      <c r="W629" s="404"/>
      <c r="X629" s="4"/>
      <c r="Y629" s="4"/>
      <c r="Z629" s="4"/>
      <c r="AA629" s="4"/>
      <c r="AB629" s="4"/>
      <c r="AC629" s="4"/>
      <c r="AD629" s="4"/>
      <c r="AE629" s="4"/>
      <c r="AF629" s="4"/>
      <c r="AG629" s="4"/>
      <c r="AH629" s="4"/>
      <c r="AI629" s="17"/>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row>
    <row r="630">
      <c r="A630" s="4"/>
      <c r="B630" s="4"/>
      <c r="C630" s="4"/>
      <c r="D630" s="4"/>
      <c r="E630" s="17"/>
      <c r="F630" s="17"/>
      <c r="G630" s="17"/>
      <c r="H630" s="17"/>
      <c r="I630" s="17"/>
      <c r="J630" s="4"/>
      <c r="K630" s="17"/>
      <c r="L630" s="4"/>
      <c r="M630" s="4"/>
      <c r="N630" s="4"/>
      <c r="O630" s="4"/>
      <c r="P630" s="4"/>
      <c r="Q630" s="4"/>
      <c r="R630" s="4"/>
      <c r="S630" s="4"/>
      <c r="T630" s="4"/>
      <c r="U630" s="4"/>
      <c r="V630" s="404"/>
      <c r="W630" s="404"/>
      <c r="X630" s="4"/>
      <c r="Y630" s="4"/>
      <c r="Z630" s="4"/>
      <c r="AA630" s="4"/>
      <c r="AB630" s="4"/>
      <c r="AC630" s="4"/>
      <c r="AD630" s="4"/>
      <c r="AE630" s="4"/>
      <c r="AF630" s="4"/>
      <c r="AG630" s="4"/>
      <c r="AH630" s="4"/>
      <c r="AI630" s="17"/>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row>
    <row r="631">
      <c r="A631" s="4"/>
      <c r="B631" s="4"/>
      <c r="C631" s="4"/>
      <c r="D631" s="4"/>
      <c r="E631" s="17"/>
      <c r="F631" s="17"/>
      <c r="G631" s="17"/>
      <c r="H631" s="17"/>
      <c r="I631" s="17"/>
      <c r="J631" s="4"/>
      <c r="K631" s="17"/>
      <c r="L631" s="4"/>
      <c r="M631" s="4"/>
      <c r="N631" s="4"/>
      <c r="O631" s="4"/>
      <c r="P631" s="4"/>
      <c r="Q631" s="4"/>
      <c r="R631" s="4"/>
      <c r="S631" s="4"/>
      <c r="T631" s="4"/>
      <c r="U631" s="4"/>
      <c r="V631" s="404"/>
      <c r="W631" s="404"/>
      <c r="X631" s="4"/>
      <c r="Y631" s="4"/>
      <c r="Z631" s="4"/>
      <c r="AA631" s="4"/>
      <c r="AB631" s="4"/>
      <c r="AC631" s="4"/>
      <c r="AD631" s="4"/>
      <c r="AE631" s="4"/>
      <c r="AF631" s="4"/>
      <c r="AG631" s="4"/>
      <c r="AH631" s="4"/>
      <c r="AI631" s="17"/>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row>
    <row r="632">
      <c r="A632" s="4"/>
      <c r="B632" s="4"/>
      <c r="C632" s="4"/>
      <c r="D632" s="4"/>
      <c r="E632" s="17"/>
      <c r="F632" s="17"/>
      <c r="G632" s="17"/>
      <c r="H632" s="17"/>
      <c r="I632" s="17"/>
      <c r="J632" s="4"/>
      <c r="K632" s="17"/>
      <c r="L632" s="4"/>
      <c r="M632" s="4"/>
      <c r="N632" s="4"/>
      <c r="O632" s="4"/>
      <c r="P632" s="4"/>
      <c r="Q632" s="4"/>
      <c r="R632" s="4"/>
      <c r="S632" s="4"/>
      <c r="T632" s="4"/>
      <c r="U632" s="4"/>
      <c r="V632" s="404"/>
      <c r="W632" s="404"/>
      <c r="X632" s="4"/>
      <c r="Y632" s="4"/>
      <c r="Z632" s="4"/>
      <c r="AA632" s="4"/>
      <c r="AB632" s="4"/>
      <c r="AC632" s="4"/>
      <c r="AD632" s="4"/>
      <c r="AE632" s="4"/>
      <c r="AF632" s="4"/>
      <c r="AG632" s="4"/>
      <c r="AH632" s="4"/>
      <c r="AI632" s="17"/>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row>
    <row r="633">
      <c r="A633" s="4"/>
      <c r="B633" s="4"/>
      <c r="C633" s="4"/>
      <c r="D633" s="4"/>
      <c r="E633" s="17"/>
      <c r="F633" s="17"/>
      <c r="G633" s="17"/>
      <c r="H633" s="17"/>
      <c r="I633" s="17"/>
      <c r="J633" s="4"/>
      <c r="K633" s="17"/>
      <c r="L633" s="4"/>
      <c r="M633" s="4"/>
      <c r="N633" s="4"/>
      <c r="O633" s="4"/>
      <c r="P633" s="4"/>
      <c r="Q633" s="4"/>
      <c r="R633" s="4"/>
      <c r="S633" s="4"/>
      <c r="T633" s="4"/>
      <c r="U633" s="4"/>
      <c r="V633" s="404"/>
      <c r="W633" s="404"/>
      <c r="X633" s="4"/>
      <c r="Y633" s="4"/>
      <c r="Z633" s="4"/>
      <c r="AA633" s="4"/>
      <c r="AB633" s="4"/>
      <c r="AC633" s="4"/>
      <c r="AD633" s="4"/>
      <c r="AE633" s="4"/>
      <c r="AF633" s="4"/>
      <c r="AG633" s="4"/>
      <c r="AH633" s="4"/>
      <c r="AI633" s="17"/>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row>
    <row r="634">
      <c r="A634" s="4"/>
      <c r="B634" s="4"/>
      <c r="C634" s="4"/>
      <c r="D634" s="4"/>
      <c r="E634" s="17"/>
      <c r="F634" s="17"/>
      <c r="G634" s="17"/>
      <c r="H634" s="17"/>
      <c r="I634" s="17"/>
      <c r="J634" s="4"/>
      <c r="K634" s="17"/>
      <c r="L634" s="4"/>
      <c r="M634" s="4"/>
      <c r="N634" s="4"/>
      <c r="O634" s="4"/>
      <c r="P634" s="4"/>
      <c r="Q634" s="4"/>
      <c r="R634" s="4"/>
      <c r="S634" s="4"/>
      <c r="T634" s="4"/>
      <c r="U634" s="4"/>
      <c r="V634" s="404"/>
      <c r="W634" s="404"/>
      <c r="X634" s="4"/>
      <c r="Y634" s="4"/>
      <c r="Z634" s="4"/>
      <c r="AA634" s="4"/>
      <c r="AB634" s="4"/>
      <c r="AC634" s="4"/>
      <c r="AD634" s="4"/>
      <c r="AE634" s="4"/>
      <c r="AF634" s="4"/>
      <c r="AG634" s="4"/>
      <c r="AH634" s="4"/>
      <c r="AI634" s="17"/>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row>
    <row r="635">
      <c r="A635" s="4"/>
      <c r="B635" s="4"/>
      <c r="C635" s="4"/>
      <c r="D635" s="4"/>
      <c r="E635" s="17"/>
      <c r="F635" s="17"/>
      <c r="G635" s="17"/>
      <c r="H635" s="17"/>
      <c r="I635" s="17"/>
      <c r="J635" s="4"/>
      <c r="K635" s="17"/>
      <c r="L635" s="4"/>
      <c r="M635" s="4"/>
      <c r="N635" s="4"/>
      <c r="O635" s="4"/>
      <c r="P635" s="4"/>
      <c r="Q635" s="4"/>
      <c r="R635" s="4"/>
      <c r="S635" s="4"/>
      <c r="T635" s="4"/>
      <c r="U635" s="4"/>
      <c r="V635" s="404"/>
      <c r="W635" s="404"/>
      <c r="X635" s="4"/>
      <c r="Y635" s="4"/>
      <c r="Z635" s="4"/>
      <c r="AA635" s="4"/>
      <c r="AB635" s="4"/>
      <c r="AC635" s="4"/>
      <c r="AD635" s="4"/>
      <c r="AE635" s="4"/>
      <c r="AF635" s="4"/>
      <c r="AG635" s="4"/>
      <c r="AH635" s="4"/>
      <c r="AI635" s="17"/>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row>
    <row r="636">
      <c r="A636" s="4"/>
      <c r="B636" s="4"/>
      <c r="C636" s="4"/>
      <c r="D636" s="4"/>
      <c r="E636" s="17"/>
      <c r="F636" s="17"/>
      <c r="G636" s="17"/>
      <c r="H636" s="17"/>
      <c r="I636" s="17"/>
      <c r="J636" s="4"/>
      <c r="K636" s="17"/>
      <c r="L636" s="4"/>
      <c r="M636" s="4"/>
      <c r="N636" s="4"/>
      <c r="O636" s="4"/>
      <c r="P636" s="4"/>
      <c r="Q636" s="4"/>
      <c r="R636" s="4"/>
      <c r="S636" s="4"/>
      <c r="T636" s="4"/>
      <c r="U636" s="4"/>
      <c r="V636" s="404"/>
      <c r="W636" s="404"/>
      <c r="X636" s="4"/>
      <c r="Y636" s="4"/>
      <c r="Z636" s="4"/>
      <c r="AA636" s="4"/>
      <c r="AB636" s="4"/>
      <c r="AC636" s="4"/>
      <c r="AD636" s="4"/>
      <c r="AE636" s="4"/>
      <c r="AF636" s="4"/>
      <c r="AG636" s="4"/>
      <c r="AH636" s="4"/>
      <c r="AI636" s="17"/>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row>
    <row r="637">
      <c r="A637" s="4"/>
      <c r="B637" s="4"/>
      <c r="C637" s="4"/>
      <c r="D637" s="4"/>
      <c r="E637" s="17"/>
      <c r="F637" s="17"/>
      <c r="G637" s="17"/>
      <c r="H637" s="17"/>
      <c r="I637" s="17"/>
      <c r="J637" s="4"/>
      <c r="K637" s="17"/>
      <c r="L637" s="4"/>
      <c r="M637" s="4"/>
      <c r="N637" s="4"/>
      <c r="O637" s="4"/>
      <c r="P637" s="4"/>
      <c r="Q637" s="4"/>
      <c r="R637" s="4"/>
      <c r="S637" s="4"/>
      <c r="T637" s="4"/>
      <c r="U637" s="4"/>
      <c r="V637" s="404"/>
      <c r="W637" s="404"/>
      <c r="X637" s="4"/>
      <c r="Y637" s="4"/>
      <c r="Z637" s="4"/>
      <c r="AA637" s="4"/>
      <c r="AB637" s="4"/>
      <c r="AC637" s="4"/>
      <c r="AD637" s="4"/>
      <c r="AE637" s="4"/>
      <c r="AF637" s="4"/>
      <c r="AG637" s="4"/>
      <c r="AH637" s="4"/>
      <c r="AI637" s="17"/>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row>
    <row r="638">
      <c r="A638" s="4"/>
      <c r="B638" s="4"/>
      <c r="C638" s="4"/>
      <c r="D638" s="4"/>
      <c r="E638" s="17"/>
      <c r="F638" s="17"/>
      <c r="G638" s="17"/>
      <c r="H638" s="17"/>
      <c r="I638" s="17"/>
      <c r="J638" s="4"/>
      <c r="K638" s="17"/>
      <c r="L638" s="4"/>
      <c r="M638" s="4"/>
      <c r="N638" s="4"/>
      <c r="O638" s="4"/>
      <c r="P638" s="4"/>
      <c r="Q638" s="4"/>
      <c r="R638" s="4"/>
      <c r="S638" s="4"/>
      <c r="T638" s="4"/>
      <c r="U638" s="4"/>
      <c r="V638" s="404"/>
      <c r="W638" s="404"/>
      <c r="X638" s="4"/>
      <c r="Y638" s="4"/>
      <c r="Z638" s="4"/>
      <c r="AA638" s="4"/>
      <c r="AB638" s="4"/>
      <c r="AC638" s="4"/>
      <c r="AD638" s="4"/>
      <c r="AE638" s="4"/>
      <c r="AF638" s="4"/>
      <c r="AG638" s="4"/>
      <c r="AH638" s="4"/>
      <c r="AI638" s="17"/>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row>
    <row r="639">
      <c r="A639" s="4"/>
      <c r="B639" s="4"/>
      <c r="C639" s="4"/>
      <c r="D639" s="4"/>
      <c r="E639" s="17"/>
      <c r="F639" s="17"/>
      <c r="G639" s="17"/>
      <c r="H639" s="17"/>
      <c r="I639" s="17"/>
      <c r="J639" s="4"/>
      <c r="K639" s="17"/>
      <c r="L639" s="4"/>
      <c r="M639" s="4"/>
      <c r="N639" s="4"/>
      <c r="O639" s="4"/>
      <c r="P639" s="4"/>
      <c r="Q639" s="4"/>
      <c r="R639" s="4"/>
      <c r="S639" s="4"/>
      <c r="T639" s="4"/>
      <c r="U639" s="4"/>
      <c r="V639" s="404"/>
      <c r="W639" s="404"/>
      <c r="X639" s="4"/>
      <c r="Y639" s="4"/>
      <c r="Z639" s="4"/>
      <c r="AA639" s="4"/>
      <c r="AB639" s="4"/>
      <c r="AC639" s="4"/>
      <c r="AD639" s="4"/>
      <c r="AE639" s="4"/>
      <c r="AF639" s="4"/>
      <c r="AG639" s="4"/>
      <c r="AH639" s="4"/>
      <c r="AI639" s="17"/>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row>
    <row r="640">
      <c r="A640" s="4"/>
      <c r="B640" s="4"/>
      <c r="C640" s="4"/>
      <c r="D640" s="4"/>
      <c r="E640" s="17"/>
      <c r="F640" s="17"/>
      <c r="G640" s="17"/>
      <c r="H640" s="17"/>
      <c r="I640" s="17"/>
      <c r="J640" s="4"/>
      <c r="K640" s="17"/>
      <c r="L640" s="4"/>
      <c r="M640" s="4"/>
      <c r="N640" s="4"/>
      <c r="O640" s="4"/>
      <c r="P640" s="4"/>
      <c r="Q640" s="4"/>
      <c r="R640" s="4"/>
      <c r="S640" s="4"/>
      <c r="T640" s="4"/>
      <c r="U640" s="4"/>
      <c r="V640" s="404"/>
      <c r="W640" s="404"/>
      <c r="X640" s="4"/>
      <c r="Y640" s="4"/>
      <c r="Z640" s="4"/>
      <c r="AA640" s="4"/>
      <c r="AB640" s="4"/>
      <c r="AC640" s="4"/>
      <c r="AD640" s="4"/>
      <c r="AE640" s="4"/>
      <c r="AF640" s="4"/>
      <c r="AG640" s="4"/>
      <c r="AH640" s="4"/>
      <c r="AI640" s="17"/>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row>
    <row r="641">
      <c r="A641" s="4"/>
      <c r="B641" s="4"/>
      <c r="C641" s="4"/>
      <c r="D641" s="4"/>
      <c r="E641" s="17"/>
      <c r="F641" s="17"/>
      <c r="G641" s="17"/>
      <c r="H641" s="17"/>
      <c r="I641" s="17"/>
      <c r="J641" s="4"/>
      <c r="K641" s="17"/>
      <c r="L641" s="4"/>
      <c r="M641" s="4"/>
      <c r="N641" s="4"/>
      <c r="O641" s="4"/>
      <c r="P641" s="4"/>
      <c r="Q641" s="4"/>
      <c r="R641" s="4"/>
      <c r="S641" s="4"/>
      <c r="T641" s="4"/>
      <c r="U641" s="4"/>
      <c r="V641" s="404"/>
      <c r="W641" s="404"/>
      <c r="X641" s="4"/>
      <c r="Y641" s="4"/>
      <c r="Z641" s="4"/>
      <c r="AA641" s="4"/>
      <c r="AB641" s="4"/>
      <c r="AC641" s="4"/>
      <c r="AD641" s="4"/>
      <c r="AE641" s="4"/>
      <c r="AF641" s="4"/>
      <c r="AG641" s="4"/>
      <c r="AH641" s="4"/>
      <c r="AI641" s="17"/>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row>
    <row r="642">
      <c r="A642" s="4"/>
      <c r="B642" s="4"/>
      <c r="C642" s="4"/>
      <c r="D642" s="4"/>
      <c r="E642" s="17"/>
      <c r="F642" s="17"/>
      <c r="G642" s="17"/>
      <c r="H642" s="17"/>
      <c r="I642" s="17"/>
      <c r="J642" s="4"/>
      <c r="K642" s="17"/>
      <c r="L642" s="4"/>
      <c r="M642" s="4"/>
      <c r="N642" s="4"/>
      <c r="O642" s="4"/>
      <c r="P642" s="4"/>
      <c r="Q642" s="4"/>
      <c r="R642" s="4"/>
      <c r="S642" s="4"/>
      <c r="T642" s="4"/>
      <c r="U642" s="4"/>
      <c r="V642" s="404"/>
      <c r="W642" s="404"/>
      <c r="X642" s="4"/>
      <c r="Y642" s="4"/>
      <c r="Z642" s="4"/>
      <c r="AA642" s="4"/>
      <c r="AB642" s="4"/>
      <c r="AC642" s="4"/>
      <c r="AD642" s="4"/>
      <c r="AE642" s="4"/>
      <c r="AF642" s="4"/>
      <c r="AG642" s="4"/>
      <c r="AH642" s="4"/>
      <c r="AI642" s="17"/>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row>
    <row r="643">
      <c r="A643" s="4"/>
      <c r="B643" s="4"/>
      <c r="C643" s="4"/>
      <c r="D643" s="4"/>
      <c r="E643" s="17"/>
      <c r="F643" s="17"/>
      <c r="G643" s="17"/>
      <c r="H643" s="17"/>
      <c r="I643" s="17"/>
      <c r="J643" s="4"/>
      <c r="K643" s="17"/>
      <c r="L643" s="4"/>
      <c r="M643" s="4"/>
      <c r="N643" s="4"/>
      <c r="O643" s="4"/>
      <c r="P643" s="4"/>
      <c r="Q643" s="4"/>
      <c r="R643" s="4"/>
      <c r="S643" s="4"/>
      <c r="T643" s="4"/>
      <c r="U643" s="4"/>
      <c r="V643" s="404"/>
      <c r="W643" s="404"/>
      <c r="X643" s="4"/>
      <c r="Y643" s="4"/>
      <c r="Z643" s="4"/>
      <c r="AA643" s="4"/>
      <c r="AB643" s="4"/>
      <c r="AC643" s="4"/>
      <c r="AD643" s="4"/>
      <c r="AE643" s="4"/>
      <c r="AF643" s="4"/>
      <c r="AG643" s="4"/>
      <c r="AH643" s="4"/>
      <c r="AI643" s="17"/>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row>
    <row r="644">
      <c r="A644" s="4"/>
      <c r="B644" s="4"/>
      <c r="C644" s="4"/>
      <c r="D644" s="4"/>
      <c r="E644" s="17"/>
      <c r="F644" s="17"/>
      <c r="G644" s="17"/>
      <c r="H644" s="17"/>
      <c r="I644" s="17"/>
      <c r="J644" s="4"/>
      <c r="K644" s="17"/>
      <c r="L644" s="4"/>
      <c r="M644" s="4"/>
      <c r="N644" s="4"/>
      <c r="O644" s="4"/>
      <c r="P644" s="4"/>
      <c r="Q644" s="4"/>
      <c r="R644" s="4"/>
      <c r="S644" s="4"/>
      <c r="T644" s="4"/>
      <c r="U644" s="4"/>
      <c r="V644" s="404"/>
      <c r="W644" s="404"/>
      <c r="X644" s="4"/>
      <c r="Y644" s="4"/>
      <c r="Z644" s="4"/>
      <c r="AA644" s="4"/>
      <c r="AB644" s="4"/>
      <c r="AC644" s="4"/>
      <c r="AD644" s="4"/>
      <c r="AE644" s="4"/>
      <c r="AF644" s="4"/>
      <c r="AG644" s="4"/>
      <c r="AH644" s="4"/>
      <c r="AI644" s="17"/>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row>
    <row r="645">
      <c r="A645" s="4"/>
      <c r="B645" s="4"/>
      <c r="C645" s="4"/>
      <c r="D645" s="4"/>
      <c r="E645" s="17"/>
      <c r="F645" s="17"/>
      <c r="G645" s="17"/>
      <c r="H645" s="17"/>
      <c r="I645" s="17"/>
      <c r="J645" s="4"/>
      <c r="K645" s="17"/>
      <c r="L645" s="4"/>
      <c r="M645" s="4"/>
      <c r="N645" s="4"/>
      <c r="O645" s="4"/>
      <c r="P645" s="4"/>
      <c r="Q645" s="4"/>
      <c r="R645" s="4"/>
      <c r="S645" s="4"/>
      <c r="T645" s="4"/>
      <c r="U645" s="4"/>
      <c r="V645" s="404"/>
      <c r="W645" s="404"/>
      <c r="X645" s="4"/>
      <c r="Y645" s="4"/>
      <c r="Z645" s="4"/>
      <c r="AA645" s="4"/>
      <c r="AB645" s="4"/>
      <c r="AC645" s="4"/>
      <c r="AD645" s="4"/>
      <c r="AE645" s="4"/>
      <c r="AF645" s="4"/>
      <c r="AG645" s="4"/>
      <c r="AH645" s="4"/>
      <c r="AI645" s="17"/>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row>
    <row r="646">
      <c r="A646" s="4"/>
      <c r="B646" s="4"/>
      <c r="C646" s="4"/>
      <c r="D646" s="4"/>
      <c r="E646" s="17"/>
      <c r="F646" s="17"/>
      <c r="G646" s="17"/>
      <c r="H646" s="17"/>
      <c r="I646" s="17"/>
      <c r="J646" s="4"/>
      <c r="K646" s="17"/>
      <c r="L646" s="4"/>
      <c r="M646" s="4"/>
      <c r="N646" s="4"/>
      <c r="O646" s="4"/>
      <c r="P646" s="4"/>
      <c r="Q646" s="4"/>
      <c r="R646" s="4"/>
      <c r="S646" s="4"/>
      <c r="T646" s="4"/>
      <c r="U646" s="4"/>
      <c r="V646" s="404"/>
      <c r="W646" s="404"/>
      <c r="X646" s="4"/>
      <c r="Y646" s="4"/>
      <c r="Z646" s="4"/>
      <c r="AA646" s="4"/>
      <c r="AB646" s="4"/>
      <c r="AC646" s="4"/>
      <c r="AD646" s="4"/>
      <c r="AE646" s="4"/>
      <c r="AF646" s="4"/>
      <c r="AG646" s="4"/>
      <c r="AH646" s="4"/>
      <c r="AI646" s="17"/>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row>
    <row r="647">
      <c r="A647" s="4"/>
      <c r="B647" s="4"/>
      <c r="C647" s="4"/>
      <c r="D647" s="4"/>
      <c r="E647" s="17"/>
      <c r="F647" s="17"/>
      <c r="G647" s="17"/>
      <c r="H647" s="17"/>
      <c r="I647" s="17"/>
      <c r="J647" s="4"/>
      <c r="K647" s="17"/>
      <c r="L647" s="4"/>
      <c r="M647" s="4"/>
      <c r="N647" s="4"/>
      <c r="O647" s="4"/>
      <c r="P647" s="4"/>
      <c r="Q647" s="4"/>
      <c r="R647" s="4"/>
      <c r="S647" s="4"/>
      <c r="T647" s="4"/>
      <c r="U647" s="4"/>
      <c r="V647" s="404"/>
      <c r="W647" s="404"/>
      <c r="X647" s="4"/>
      <c r="Y647" s="4"/>
      <c r="Z647" s="4"/>
      <c r="AA647" s="4"/>
      <c r="AB647" s="4"/>
      <c r="AC647" s="4"/>
      <c r="AD647" s="4"/>
      <c r="AE647" s="4"/>
      <c r="AF647" s="4"/>
      <c r="AG647" s="4"/>
      <c r="AH647" s="4"/>
      <c r="AI647" s="17"/>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row>
    <row r="648">
      <c r="A648" s="4"/>
      <c r="B648" s="4"/>
      <c r="C648" s="4"/>
      <c r="D648" s="4"/>
      <c r="E648" s="17"/>
      <c r="F648" s="17"/>
      <c r="G648" s="17"/>
      <c r="H648" s="17"/>
      <c r="I648" s="17"/>
      <c r="J648" s="4"/>
      <c r="K648" s="17"/>
      <c r="L648" s="4"/>
      <c r="M648" s="4"/>
      <c r="N648" s="4"/>
      <c r="O648" s="4"/>
      <c r="P648" s="4"/>
      <c r="Q648" s="4"/>
      <c r="R648" s="4"/>
      <c r="S648" s="4"/>
      <c r="T648" s="4"/>
      <c r="U648" s="4"/>
      <c r="V648" s="404"/>
      <c r="W648" s="404"/>
      <c r="X648" s="4"/>
      <c r="Y648" s="4"/>
      <c r="Z648" s="4"/>
      <c r="AA648" s="4"/>
      <c r="AB648" s="4"/>
      <c r="AC648" s="4"/>
      <c r="AD648" s="4"/>
      <c r="AE648" s="4"/>
      <c r="AF648" s="4"/>
      <c r="AG648" s="4"/>
      <c r="AH648" s="4"/>
      <c r="AI648" s="17"/>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row>
    <row r="649">
      <c r="A649" s="4"/>
      <c r="B649" s="4"/>
      <c r="C649" s="4"/>
      <c r="D649" s="4"/>
      <c r="E649" s="17"/>
      <c r="F649" s="17"/>
      <c r="G649" s="17"/>
      <c r="H649" s="17"/>
      <c r="I649" s="17"/>
      <c r="J649" s="4"/>
      <c r="K649" s="17"/>
      <c r="L649" s="4"/>
      <c r="M649" s="4"/>
      <c r="N649" s="4"/>
      <c r="O649" s="4"/>
      <c r="P649" s="4"/>
      <c r="Q649" s="4"/>
      <c r="R649" s="4"/>
      <c r="S649" s="4"/>
      <c r="T649" s="4"/>
      <c r="U649" s="4"/>
      <c r="V649" s="404"/>
      <c r="W649" s="404"/>
      <c r="X649" s="4"/>
      <c r="Y649" s="4"/>
      <c r="Z649" s="4"/>
      <c r="AA649" s="4"/>
      <c r="AB649" s="4"/>
      <c r="AC649" s="4"/>
      <c r="AD649" s="4"/>
      <c r="AE649" s="4"/>
      <c r="AF649" s="4"/>
      <c r="AG649" s="4"/>
      <c r="AH649" s="4"/>
      <c r="AI649" s="17"/>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row>
    <row r="650">
      <c r="A650" s="4"/>
      <c r="B650" s="4"/>
      <c r="C650" s="4"/>
      <c r="D650" s="4"/>
      <c r="E650" s="17"/>
      <c r="F650" s="17"/>
      <c r="G650" s="17"/>
      <c r="H650" s="17"/>
      <c r="I650" s="17"/>
      <c r="J650" s="4"/>
      <c r="K650" s="17"/>
      <c r="L650" s="4"/>
      <c r="M650" s="4"/>
      <c r="N650" s="4"/>
      <c r="O650" s="4"/>
      <c r="P650" s="4"/>
      <c r="Q650" s="4"/>
      <c r="R650" s="4"/>
      <c r="S650" s="4"/>
      <c r="T650" s="4"/>
      <c r="U650" s="4"/>
      <c r="V650" s="404"/>
      <c r="W650" s="404"/>
      <c r="X650" s="4"/>
      <c r="Y650" s="4"/>
      <c r="Z650" s="4"/>
      <c r="AA650" s="4"/>
      <c r="AB650" s="4"/>
      <c r="AC650" s="4"/>
      <c r="AD650" s="4"/>
      <c r="AE650" s="4"/>
      <c r="AF650" s="4"/>
      <c r="AG650" s="4"/>
      <c r="AH650" s="4"/>
      <c r="AI650" s="17"/>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row>
    <row r="651">
      <c r="A651" s="4"/>
      <c r="B651" s="4"/>
      <c r="C651" s="4"/>
      <c r="D651" s="4"/>
      <c r="E651" s="17"/>
      <c r="F651" s="17"/>
      <c r="G651" s="17"/>
      <c r="H651" s="17"/>
      <c r="I651" s="17"/>
      <c r="J651" s="4"/>
      <c r="K651" s="17"/>
      <c r="L651" s="4"/>
      <c r="M651" s="4"/>
      <c r="N651" s="4"/>
      <c r="O651" s="4"/>
      <c r="P651" s="4"/>
      <c r="Q651" s="4"/>
      <c r="R651" s="4"/>
      <c r="S651" s="4"/>
      <c r="T651" s="4"/>
      <c r="U651" s="4"/>
      <c r="V651" s="404"/>
      <c r="W651" s="404"/>
      <c r="X651" s="4"/>
      <c r="Y651" s="4"/>
      <c r="Z651" s="4"/>
      <c r="AA651" s="4"/>
      <c r="AB651" s="4"/>
      <c r="AC651" s="4"/>
      <c r="AD651" s="4"/>
      <c r="AE651" s="4"/>
      <c r="AF651" s="4"/>
      <c r="AG651" s="4"/>
      <c r="AH651" s="4"/>
      <c r="AI651" s="17"/>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row>
    <row r="652">
      <c r="A652" s="4"/>
      <c r="B652" s="4"/>
      <c r="C652" s="4"/>
      <c r="D652" s="4"/>
      <c r="E652" s="17"/>
      <c r="F652" s="17"/>
      <c r="G652" s="17"/>
      <c r="H652" s="17"/>
      <c r="I652" s="17"/>
      <c r="J652" s="4"/>
      <c r="K652" s="17"/>
      <c r="L652" s="4"/>
      <c r="M652" s="4"/>
      <c r="N652" s="4"/>
      <c r="O652" s="4"/>
      <c r="P652" s="4"/>
      <c r="Q652" s="4"/>
      <c r="R652" s="4"/>
      <c r="S652" s="4"/>
      <c r="T652" s="4"/>
      <c r="U652" s="4"/>
      <c r="V652" s="404"/>
      <c r="W652" s="404"/>
      <c r="X652" s="4"/>
      <c r="Y652" s="4"/>
      <c r="Z652" s="4"/>
      <c r="AA652" s="4"/>
      <c r="AB652" s="4"/>
      <c r="AC652" s="4"/>
      <c r="AD652" s="4"/>
      <c r="AE652" s="4"/>
      <c r="AF652" s="4"/>
      <c r="AG652" s="4"/>
      <c r="AH652" s="4"/>
      <c r="AI652" s="17"/>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row>
    <row r="653">
      <c r="A653" s="4"/>
      <c r="B653" s="4"/>
      <c r="C653" s="4"/>
      <c r="D653" s="4"/>
      <c r="E653" s="17"/>
      <c r="F653" s="17"/>
      <c r="G653" s="17"/>
      <c r="H653" s="17"/>
      <c r="I653" s="17"/>
      <c r="J653" s="4"/>
      <c r="K653" s="17"/>
      <c r="L653" s="4"/>
      <c r="M653" s="4"/>
      <c r="N653" s="4"/>
      <c r="O653" s="4"/>
      <c r="P653" s="4"/>
      <c r="Q653" s="4"/>
      <c r="R653" s="4"/>
      <c r="S653" s="4"/>
      <c r="T653" s="4"/>
      <c r="U653" s="4"/>
      <c r="V653" s="404"/>
      <c r="W653" s="404"/>
      <c r="X653" s="4"/>
      <c r="Y653" s="4"/>
      <c r="Z653" s="4"/>
      <c r="AA653" s="4"/>
      <c r="AB653" s="4"/>
      <c r="AC653" s="4"/>
      <c r="AD653" s="4"/>
      <c r="AE653" s="4"/>
      <c r="AF653" s="4"/>
      <c r="AG653" s="4"/>
      <c r="AH653" s="4"/>
      <c r="AI653" s="17"/>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row>
    <row r="654">
      <c r="A654" s="4"/>
      <c r="B654" s="4"/>
      <c r="C654" s="4"/>
      <c r="D654" s="4"/>
      <c r="E654" s="17"/>
      <c r="F654" s="17"/>
      <c r="G654" s="17"/>
      <c r="H654" s="17"/>
      <c r="I654" s="17"/>
      <c r="J654" s="4"/>
      <c r="K654" s="17"/>
      <c r="L654" s="4"/>
      <c r="M654" s="4"/>
      <c r="N654" s="4"/>
      <c r="O654" s="4"/>
      <c r="P654" s="4"/>
      <c r="Q654" s="4"/>
      <c r="R654" s="4"/>
      <c r="S654" s="4"/>
      <c r="T654" s="4"/>
      <c r="U654" s="4"/>
      <c r="V654" s="404"/>
      <c r="W654" s="404"/>
      <c r="X654" s="4"/>
      <c r="Y654" s="4"/>
      <c r="Z654" s="4"/>
      <c r="AA654" s="4"/>
      <c r="AB654" s="4"/>
      <c r="AC654" s="4"/>
      <c r="AD654" s="4"/>
      <c r="AE654" s="4"/>
      <c r="AF654" s="4"/>
      <c r="AG654" s="4"/>
      <c r="AH654" s="4"/>
      <c r="AI654" s="17"/>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row>
    <row r="655">
      <c r="A655" s="4"/>
      <c r="B655" s="4"/>
      <c r="C655" s="4"/>
      <c r="D655" s="4"/>
      <c r="E655" s="17"/>
      <c r="F655" s="17"/>
      <c r="G655" s="17"/>
      <c r="H655" s="17"/>
      <c r="I655" s="17"/>
      <c r="J655" s="4"/>
      <c r="K655" s="17"/>
      <c r="L655" s="4"/>
      <c r="M655" s="4"/>
      <c r="N655" s="4"/>
      <c r="O655" s="4"/>
      <c r="P655" s="4"/>
      <c r="Q655" s="4"/>
      <c r="R655" s="4"/>
      <c r="S655" s="4"/>
      <c r="T655" s="4"/>
      <c r="U655" s="4"/>
      <c r="V655" s="404"/>
      <c r="W655" s="404"/>
      <c r="X655" s="4"/>
      <c r="Y655" s="4"/>
      <c r="Z655" s="4"/>
      <c r="AA655" s="4"/>
      <c r="AB655" s="4"/>
      <c r="AC655" s="4"/>
      <c r="AD655" s="4"/>
      <c r="AE655" s="4"/>
      <c r="AF655" s="4"/>
      <c r="AG655" s="4"/>
      <c r="AH655" s="4"/>
      <c r="AI655" s="17"/>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row>
    <row r="656">
      <c r="A656" s="4"/>
      <c r="B656" s="4"/>
      <c r="C656" s="4"/>
      <c r="D656" s="4"/>
      <c r="E656" s="17"/>
      <c r="F656" s="17"/>
      <c r="G656" s="17"/>
      <c r="H656" s="17"/>
      <c r="I656" s="17"/>
      <c r="J656" s="4"/>
      <c r="K656" s="17"/>
      <c r="L656" s="4"/>
      <c r="M656" s="4"/>
      <c r="N656" s="4"/>
      <c r="O656" s="4"/>
      <c r="P656" s="4"/>
      <c r="Q656" s="4"/>
      <c r="R656" s="4"/>
      <c r="S656" s="4"/>
      <c r="T656" s="4"/>
      <c r="U656" s="4"/>
      <c r="V656" s="404"/>
      <c r="W656" s="404"/>
      <c r="X656" s="4"/>
      <c r="Y656" s="4"/>
      <c r="Z656" s="4"/>
      <c r="AA656" s="4"/>
      <c r="AB656" s="4"/>
      <c r="AC656" s="4"/>
      <c r="AD656" s="4"/>
      <c r="AE656" s="4"/>
      <c r="AF656" s="4"/>
      <c r="AG656" s="4"/>
      <c r="AH656" s="4"/>
      <c r="AI656" s="17"/>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row>
    <row r="657">
      <c r="A657" s="4"/>
      <c r="B657" s="4"/>
      <c r="C657" s="4"/>
      <c r="D657" s="4"/>
      <c r="E657" s="17"/>
      <c r="F657" s="17"/>
      <c r="G657" s="17"/>
      <c r="H657" s="17"/>
      <c r="I657" s="17"/>
      <c r="J657" s="4"/>
      <c r="K657" s="17"/>
      <c r="L657" s="4"/>
      <c r="M657" s="4"/>
      <c r="N657" s="4"/>
      <c r="O657" s="4"/>
      <c r="P657" s="4"/>
      <c r="Q657" s="4"/>
      <c r="R657" s="4"/>
      <c r="S657" s="4"/>
      <c r="T657" s="4"/>
      <c r="U657" s="4"/>
      <c r="V657" s="404"/>
      <c r="W657" s="404"/>
      <c r="X657" s="4"/>
      <c r="Y657" s="4"/>
      <c r="Z657" s="4"/>
      <c r="AA657" s="4"/>
      <c r="AB657" s="4"/>
      <c r="AC657" s="4"/>
      <c r="AD657" s="4"/>
      <c r="AE657" s="4"/>
      <c r="AF657" s="4"/>
      <c r="AG657" s="4"/>
      <c r="AH657" s="4"/>
      <c r="AI657" s="17"/>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row>
    <row r="658">
      <c r="A658" s="4"/>
      <c r="B658" s="4"/>
      <c r="C658" s="4"/>
      <c r="D658" s="4"/>
      <c r="E658" s="17"/>
      <c r="F658" s="17"/>
      <c r="G658" s="17"/>
      <c r="H658" s="17"/>
      <c r="I658" s="17"/>
      <c r="J658" s="4"/>
      <c r="K658" s="17"/>
      <c r="L658" s="4"/>
      <c r="M658" s="4"/>
      <c r="N658" s="4"/>
      <c r="O658" s="4"/>
      <c r="P658" s="4"/>
      <c r="Q658" s="4"/>
      <c r="R658" s="4"/>
      <c r="S658" s="4"/>
      <c r="T658" s="4"/>
      <c r="U658" s="4"/>
      <c r="V658" s="404"/>
      <c r="W658" s="404"/>
      <c r="X658" s="4"/>
      <c r="Y658" s="4"/>
      <c r="Z658" s="4"/>
      <c r="AA658" s="4"/>
      <c r="AB658" s="4"/>
      <c r="AC658" s="4"/>
      <c r="AD658" s="4"/>
      <c r="AE658" s="4"/>
      <c r="AF658" s="4"/>
      <c r="AG658" s="4"/>
      <c r="AH658" s="4"/>
      <c r="AI658" s="17"/>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row>
    <row r="659">
      <c r="A659" s="4"/>
      <c r="B659" s="4"/>
      <c r="C659" s="4"/>
      <c r="D659" s="4"/>
      <c r="E659" s="17"/>
      <c r="F659" s="17"/>
      <c r="G659" s="17"/>
      <c r="H659" s="17"/>
      <c r="I659" s="17"/>
      <c r="J659" s="4"/>
      <c r="K659" s="17"/>
      <c r="L659" s="4"/>
      <c r="M659" s="4"/>
      <c r="N659" s="4"/>
      <c r="O659" s="4"/>
      <c r="P659" s="4"/>
      <c r="Q659" s="4"/>
      <c r="R659" s="4"/>
      <c r="S659" s="4"/>
      <c r="T659" s="4"/>
      <c r="U659" s="4"/>
      <c r="V659" s="404"/>
      <c r="W659" s="404"/>
      <c r="X659" s="4"/>
      <c r="Y659" s="4"/>
      <c r="Z659" s="4"/>
      <c r="AA659" s="4"/>
      <c r="AB659" s="4"/>
      <c r="AC659" s="4"/>
      <c r="AD659" s="4"/>
      <c r="AE659" s="4"/>
      <c r="AF659" s="4"/>
      <c r="AG659" s="4"/>
      <c r="AH659" s="4"/>
      <c r="AI659" s="17"/>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row>
    <row r="660">
      <c r="A660" s="4"/>
      <c r="B660" s="4"/>
      <c r="C660" s="4"/>
      <c r="D660" s="4"/>
      <c r="E660" s="17"/>
      <c r="F660" s="17"/>
      <c r="G660" s="17"/>
      <c r="H660" s="17"/>
      <c r="I660" s="17"/>
      <c r="J660" s="4"/>
      <c r="K660" s="17"/>
      <c r="L660" s="4"/>
      <c r="M660" s="4"/>
      <c r="N660" s="4"/>
      <c r="O660" s="4"/>
      <c r="P660" s="4"/>
      <c r="Q660" s="4"/>
      <c r="R660" s="4"/>
      <c r="S660" s="4"/>
      <c r="T660" s="4"/>
      <c r="U660" s="4"/>
      <c r="V660" s="404"/>
      <c r="W660" s="404"/>
      <c r="X660" s="4"/>
      <c r="Y660" s="4"/>
      <c r="Z660" s="4"/>
      <c r="AA660" s="4"/>
      <c r="AB660" s="4"/>
      <c r="AC660" s="4"/>
      <c r="AD660" s="4"/>
      <c r="AE660" s="4"/>
      <c r="AF660" s="4"/>
      <c r="AG660" s="4"/>
      <c r="AH660" s="4"/>
      <c r="AI660" s="17"/>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row>
    <row r="661">
      <c r="A661" s="4"/>
      <c r="B661" s="4"/>
      <c r="C661" s="4"/>
      <c r="D661" s="4"/>
      <c r="E661" s="17"/>
      <c r="F661" s="17"/>
      <c r="G661" s="17"/>
      <c r="H661" s="17"/>
      <c r="I661" s="17"/>
      <c r="J661" s="4"/>
      <c r="K661" s="17"/>
      <c r="L661" s="4"/>
      <c r="M661" s="4"/>
      <c r="N661" s="4"/>
      <c r="O661" s="4"/>
      <c r="P661" s="4"/>
      <c r="Q661" s="4"/>
      <c r="R661" s="4"/>
      <c r="S661" s="4"/>
      <c r="T661" s="4"/>
      <c r="U661" s="4"/>
      <c r="V661" s="404"/>
      <c r="W661" s="404"/>
      <c r="X661" s="4"/>
      <c r="Y661" s="4"/>
      <c r="Z661" s="4"/>
      <c r="AA661" s="4"/>
      <c r="AB661" s="4"/>
      <c r="AC661" s="4"/>
      <c r="AD661" s="4"/>
      <c r="AE661" s="4"/>
      <c r="AF661" s="4"/>
      <c r="AG661" s="4"/>
      <c r="AH661" s="4"/>
      <c r="AI661" s="17"/>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row>
    <row r="662">
      <c r="A662" s="4"/>
      <c r="B662" s="4"/>
      <c r="C662" s="4"/>
      <c r="D662" s="4"/>
      <c r="E662" s="17"/>
      <c r="F662" s="17"/>
      <c r="G662" s="17"/>
      <c r="H662" s="17"/>
      <c r="I662" s="17"/>
      <c r="J662" s="4"/>
      <c r="K662" s="17"/>
      <c r="L662" s="4"/>
      <c r="M662" s="4"/>
      <c r="N662" s="4"/>
      <c r="O662" s="4"/>
      <c r="P662" s="4"/>
      <c r="Q662" s="4"/>
      <c r="R662" s="4"/>
      <c r="S662" s="4"/>
      <c r="T662" s="4"/>
      <c r="U662" s="4"/>
      <c r="V662" s="404"/>
      <c r="W662" s="404"/>
      <c r="X662" s="4"/>
      <c r="Y662" s="4"/>
      <c r="Z662" s="4"/>
      <c r="AA662" s="4"/>
      <c r="AB662" s="4"/>
      <c r="AC662" s="4"/>
      <c r="AD662" s="4"/>
      <c r="AE662" s="4"/>
      <c r="AF662" s="4"/>
      <c r="AG662" s="4"/>
      <c r="AH662" s="4"/>
      <c r="AI662" s="17"/>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row>
    <row r="663">
      <c r="A663" s="4"/>
      <c r="B663" s="4"/>
      <c r="C663" s="4"/>
      <c r="D663" s="4"/>
      <c r="E663" s="17"/>
      <c r="F663" s="17"/>
      <c r="G663" s="17"/>
      <c r="H663" s="17"/>
      <c r="I663" s="17"/>
      <c r="J663" s="4"/>
      <c r="K663" s="17"/>
      <c r="L663" s="4"/>
      <c r="M663" s="4"/>
      <c r="N663" s="4"/>
      <c r="O663" s="4"/>
      <c r="P663" s="4"/>
      <c r="Q663" s="4"/>
      <c r="R663" s="4"/>
      <c r="S663" s="4"/>
      <c r="T663" s="4"/>
      <c r="U663" s="4"/>
      <c r="V663" s="404"/>
      <c r="W663" s="404"/>
      <c r="X663" s="4"/>
      <c r="Y663" s="4"/>
      <c r="Z663" s="4"/>
      <c r="AA663" s="4"/>
      <c r="AB663" s="4"/>
      <c r="AC663" s="4"/>
      <c r="AD663" s="4"/>
      <c r="AE663" s="4"/>
      <c r="AF663" s="4"/>
      <c r="AG663" s="4"/>
      <c r="AH663" s="4"/>
      <c r="AI663" s="17"/>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row>
    <row r="664">
      <c r="A664" s="4"/>
      <c r="B664" s="4"/>
      <c r="C664" s="4"/>
      <c r="D664" s="4"/>
      <c r="E664" s="17"/>
      <c r="F664" s="17"/>
      <c r="G664" s="17"/>
      <c r="H664" s="17"/>
      <c r="I664" s="17"/>
      <c r="J664" s="4"/>
      <c r="K664" s="17"/>
      <c r="L664" s="4"/>
      <c r="M664" s="4"/>
      <c r="N664" s="4"/>
      <c r="O664" s="4"/>
      <c r="P664" s="4"/>
      <c r="Q664" s="4"/>
      <c r="R664" s="4"/>
      <c r="S664" s="4"/>
      <c r="T664" s="4"/>
      <c r="U664" s="4"/>
      <c r="V664" s="404"/>
      <c r="W664" s="404"/>
      <c r="X664" s="4"/>
      <c r="Y664" s="4"/>
      <c r="Z664" s="4"/>
      <c r="AA664" s="4"/>
      <c r="AB664" s="4"/>
      <c r="AC664" s="4"/>
      <c r="AD664" s="4"/>
      <c r="AE664" s="4"/>
      <c r="AF664" s="4"/>
      <c r="AG664" s="4"/>
      <c r="AH664" s="4"/>
      <c r="AI664" s="17"/>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row>
    <row r="665">
      <c r="A665" s="4"/>
      <c r="B665" s="4"/>
      <c r="C665" s="4"/>
      <c r="D665" s="4"/>
      <c r="E665" s="17"/>
      <c r="F665" s="17"/>
      <c r="G665" s="17"/>
      <c r="H665" s="17"/>
      <c r="I665" s="17"/>
      <c r="J665" s="4"/>
      <c r="K665" s="17"/>
      <c r="L665" s="4"/>
      <c r="M665" s="4"/>
      <c r="N665" s="4"/>
      <c r="O665" s="4"/>
      <c r="P665" s="4"/>
      <c r="Q665" s="4"/>
      <c r="R665" s="4"/>
      <c r="S665" s="4"/>
      <c r="T665" s="4"/>
      <c r="U665" s="4"/>
      <c r="V665" s="404"/>
      <c r="W665" s="404"/>
      <c r="X665" s="4"/>
      <c r="Y665" s="4"/>
      <c r="Z665" s="4"/>
      <c r="AA665" s="4"/>
      <c r="AB665" s="4"/>
      <c r="AC665" s="4"/>
      <c r="AD665" s="4"/>
      <c r="AE665" s="4"/>
      <c r="AF665" s="4"/>
      <c r="AG665" s="4"/>
      <c r="AH665" s="4"/>
      <c r="AI665" s="17"/>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row>
    <row r="666">
      <c r="A666" s="4"/>
      <c r="B666" s="4"/>
      <c r="C666" s="4"/>
      <c r="D666" s="4"/>
      <c r="E666" s="17"/>
      <c r="F666" s="17"/>
      <c r="G666" s="17"/>
      <c r="H666" s="17"/>
      <c r="I666" s="17"/>
      <c r="J666" s="4"/>
      <c r="K666" s="17"/>
      <c r="L666" s="4"/>
      <c r="M666" s="4"/>
      <c r="N666" s="4"/>
      <c r="O666" s="4"/>
      <c r="P666" s="4"/>
      <c r="Q666" s="4"/>
      <c r="R666" s="4"/>
      <c r="S666" s="4"/>
      <c r="T666" s="4"/>
      <c r="U666" s="4"/>
      <c r="V666" s="404"/>
      <c r="W666" s="404"/>
      <c r="X666" s="4"/>
      <c r="Y666" s="4"/>
      <c r="Z666" s="4"/>
      <c r="AA666" s="4"/>
      <c r="AB666" s="4"/>
      <c r="AC666" s="4"/>
      <c r="AD666" s="4"/>
      <c r="AE666" s="4"/>
      <c r="AF666" s="4"/>
      <c r="AG666" s="4"/>
      <c r="AH666" s="4"/>
      <c r="AI666" s="17"/>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row>
    <row r="667">
      <c r="A667" s="4"/>
      <c r="B667" s="4"/>
      <c r="C667" s="4"/>
      <c r="D667" s="4"/>
      <c r="E667" s="17"/>
      <c r="F667" s="17"/>
      <c r="G667" s="17"/>
      <c r="H667" s="17"/>
      <c r="I667" s="17"/>
      <c r="J667" s="4"/>
      <c r="K667" s="17"/>
      <c r="L667" s="4"/>
      <c r="M667" s="4"/>
      <c r="N667" s="4"/>
      <c r="O667" s="4"/>
      <c r="P667" s="4"/>
      <c r="Q667" s="4"/>
      <c r="R667" s="4"/>
      <c r="S667" s="4"/>
      <c r="T667" s="4"/>
      <c r="U667" s="4"/>
      <c r="V667" s="404"/>
      <c r="W667" s="404"/>
      <c r="X667" s="4"/>
      <c r="Y667" s="4"/>
      <c r="Z667" s="4"/>
      <c r="AA667" s="4"/>
      <c r="AB667" s="4"/>
      <c r="AC667" s="4"/>
      <c r="AD667" s="4"/>
      <c r="AE667" s="4"/>
      <c r="AF667" s="4"/>
      <c r="AG667" s="4"/>
      <c r="AH667" s="4"/>
      <c r="AI667" s="17"/>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row>
    <row r="668">
      <c r="A668" s="4"/>
      <c r="B668" s="4"/>
      <c r="C668" s="4"/>
      <c r="D668" s="4"/>
      <c r="E668" s="17"/>
      <c r="F668" s="17"/>
      <c r="G668" s="17"/>
      <c r="H668" s="17"/>
      <c r="I668" s="17"/>
      <c r="J668" s="4"/>
      <c r="K668" s="17"/>
      <c r="L668" s="4"/>
      <c r="M668" s="4"/>
      <c r="N668" s="4"/>
      <c r="O668" s="4"/>
      <c r="P668" s="4"/>
      <c r="Q668" s="4"/>
      <c r="R668" s="4"/>
      <c r="S668" s="4"/>
      <c r="T668" s="4"/>
      <c r="U668" s="4"/>
      <c r="V668" s="404"/>
      <c r="W668" s="404"/>
      <c r="X668" s="4"/>
      <c r="Y668" s="4"/>
      <c r="Z668" s="4"/>
      <c r="AA668" s="4"/>
      <c r="AB668" s="4"/>
      <c r="AC668" s="4"/>
      <c r="AD668" s="4"/>
      <c r="AE668" s="4"/>
      <c r="AF668" s="4"/>
      <c r="AG668" s="4"/>
      <c r="AH668" s="4"/>
      <c r="AI668" s="17"/>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row>
    <row r="669">
      <c r="A669" s="4"/>
      <c r="B669" s="4"/>
      <c r="C669" s="4"/>
      <c r="D669" s="4"/>
      <c r="E669" s="17"/>
      <c r="F669" s="17"/>
      <c r="G669" s="17"/>
      <c r="H669" s="17"/>
      <c r="I669" s="17"/>
      <c r="J669" s="4"/>
      <c r="K669" s="17"/>
      <c r="L669" s="4"/>
      <c r="M669" s="4"/>
      <c r="N669" s="4"/>
      <c r="O669" s="4"/>
      <c r="P669" s="4"/>
      <c r="Q669" s="4"/>
      <c r="R669" s="4"/>
      <c r="S669" s="4"/>
      <c r="T669" s="4"/>
      <c r="U669" s="4"/>
      <c r="V669" s="404"/>
      <c r="W669" s="404"/>
      <c r="X669" s="4"/>
      <c r="Y669" s="4"/>
      <c r="Z669" s="4"/>
      <c r="AA669" s="4"/>
      <c r="AB669" s="4"/>
      <c r="AC669" s="4"/>
      <c r="AD669" s="4"/>
      <c r="AE669" s="4"/>
      <c r="AF669" s="4"/>
      <c r="AG669" s="4"/>
      <c r="AH669" s="4"/>
      <c r="AI669" s="17"/>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row>
    <row r="670">
      <c r="A670" s="4"/>
      <c r="B670" s="4"/>
      <c r="C670" s="4"/>
      <c r="D670" s="4"/>
      <c r="E670" s="17"/>
      <c r="F670" s="17"/>
      <c r="G670" s="17"/>
      <c r="H670" s="17"/>
      <c r="I670" s="17"/>
      <c r="J670" s="4"/>
      <c r="K670" s="17"/>
      <c r="L670" s="4"/>
      <c r="M670" s="4"/>
      <c r="N670" s="4"/>
      <c r="O670" s="4"/>
      <c r="P670" s="4"/>
      <c r="Q670" s="4"/>
      <c r="R670" s="4"/>
      <c r="S670" s="4"/>
      <c r="T670" s="4"/>
      <c r="U670" s="4"/>
      <c r="V670" s="404"/>
      <c r="W670" s="404"/>
      <c r="X670" s="4"/>
      <c r="Y670" s="4"/>
      <c r="Z670" s="4"/>
      <c r="AA670" s="4"/>
      <c r="AB670" s="4"/>
      <c r="AC670" s="4"/>
      <c r="AD670" s="4"/>
      <c r="AE670" s="4"/>
      <c r="AF670" s="4"/>
      <c r="AG670" s="4"/>
      <c r="AH670" s="4"/>
      <c r="AI670" s="17"/>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row>
    <row r="671">
      <c r="A671" s="4"/>
      <c r="B671" s="4"/>
      <c r="C671" s="4"/>
      <c r="D671" s="4"/>
      <c r="E671" s="17"/>
      <c r="F671" s="17"/>
      <c r="G671" s="17"/>
      <c r="H671" s="17"/>
      <c r="I671" s="17"/>
      <c r="J671" s="4"/>
      <c r="K671" s="17"/>
      <c r="L671" s="4"/>
      <c r="M671" s="4"/>
      <c r="N671" s="4"/>
      <c r="O671" s="4"/>
      <c r="P671" s="4"/>
      <c r="Q671" s="4"/>
      <c r="R671" s="4"/>
      <c r="S671" s="4"/>
      <c r="T671" s="4"/>
      <c r="U671" s="4"/>
      <c r="V671" s="404"/>
      <c r="W671" s="404"/>
      <c r="X671" s="4"/>
      <c r="Y671" s="4"/>
      <c r="Z671" s="4"/>
      <c r="AA671" s="4"/>
      <c r="AB671" s="4"/>
      <c r="AC671" s="4"/>
      <c r="AD671" s="4"/>
      <c r="AE671" s="4"/>
      <c r="AF671" s="4"/>
      <c r="AG671" s="4"/>
      <c r="AH671" s="4"/>
      <c r="AI671" s="17"/>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row>
    <row r="672">
      <c r="A672" s="4"/>
      <c r="B672" s="4"/>
      <c r="C672" s="4"/>
      <c r="D672" s="4"/>
      <c r="E672" s="17"/>
      <c r="F672" s="17"/>
      <c r="G672" s="17"/>
      <c r="H672" s="17"/>
      <c r="I672" s="17"/>
      <c r="J672" s="4"/>
      <c r="K672" s="17"/>
      <c r="L672" s="4"/>
      <c r="M672" s="4"/>
      <c r="N672" s="4"/>
      <c r="O672" s="4"/>
      <c r="P672" s="4"/>
      <c r="Q672" s="4"/>
      <c r="R672" s="4"/>
      <c r="S672" s="4"/>
      <c r="T672" s="4"/>
      <c r="U672" s="4"/>
      <c r="V672" s="404"/>
      <c r="W672" s="404"/>
      <c r="X672" s="4"/>
      <c r="Y672" s="4"/>
      <c r="Z672" s="4"/>
      <c r="AA672" s="4"/>
      <c r="AB672" s="4"/>
      <c r="AC672" s="4"/>
      <c r="AD672" s="4"/>
      <c r="AE672" s="4"/>
      <c r="AF672" s="4"/>
      <c r="AG672" s="4"/>
      <c r="AH672" s="4"/>
      <c r="AI672" s="17"/>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row>
    <row r="673">
      <c r="A673" s="4"/>
      <c r="B673" s="4"/>
      <c r="C673" s="4"/>
      <c r="D673" s="4"/>
      <c r="E673" s="17"/>
      <c r="F673" s="17"/>
      <c r="G673" s="17"/>
      <c r="H673" s="17"/>
      <c r="I673" s="17"/>
      <c r="J673" s="4"/>
      <c r="K673" s="17"/>
      <c r="L673" s="4"/>
      <c r="M673" s="4"/>
      <c r="N673" s="4"/>
      <c r="O673" s="4"/>
      <c r="P673" s="4"/>
      <c r="Q673" s="4"/>
      <c r="R673" s="4"/>
      <c r="S673" s="4"/>
      <c r="T673" s="4"/>
      <c r="U673" s="4"/>
      <c r="V673" s="404"/>
      <c r="W673" s="404"/>
      <c r="X673" s="4"/>
      <c r="Y673" s="4"/>
      <c r="Z673" s="4"/>
      <c r="AA673" s="4"/>
      <c r="AB673" s="4"/>
      <c r="AC673" s="4"/>
      <c r="AD673" s="4"/>
      <c r="AE673" s="4"/>
      <c r="AF673" s="4"/>
      <c r="AG673" s="4"/>
      <c r="AH673" s="4"/>
      <c r="AI673" s="17"/>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row>
    <row r="674">
      <c r="A674" s="4"/>
      <c r="B674" s="4"/>
      <c r="C674" s="4"/>
      <c r="D674" s="4"/>
      <c r="E674" s="17"/>
      <c r="F674" s="17"/>
      <c r="G674" s="17"/>
      <c r="H674" s="17"/>
      <c r="I674" s="17"/>
      <c r="J674" s="4"/>
      <c r="K674" s="17"/>
      <c r="L674" s="4"/>
      <c r="M674" s="4"/>
      <c r="N674" s="4"/>
      <c r="O674" s="4"/>
      <c r="P674" s="4"/>
      <c r="Q674" s="4"/>
      <c r="R674" s="4"/>
      <c r="S674" s="4"/>
      <c r="T674" s="4"/>
      <c r="U674" s="4"/>
      <c r="V674" s="404"/>
      <c r="W674" s="404"/>
      <c r="X674" s="4"/>
      <c r="Y674" s="4"/>
      <c r="Z674" s="4"/>
      <c r="AA674" s="4"/>
      <c r="AB674" s="4"/>
      <c r="AC674" s="4"/>
      <c r="AD674" s="4"/>
      <c r="AE674" s="4"/>
      <c r="AF674" s="4"/>
      <c r="AG674" s="4"/>
      <c r="AH674" s="4"/>
      <c r="AI674" s="17"/>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row>
    <row r="675">
      <c r="A675" s="4"/>
      <c r="B675" s="4"/>
      <c r="C675" s="4"/>
      <c r="D675" s="4"/>
      <c r="E675" s="17"/>
      <c r="F675" s="17"/>
      <c r="G675" s="17"/>
      <c r="H675" s="17"/>
      <c r="I675" s="17"/>
      <c r="J675" s="4"/>
      <c r="K675" s="17"/>
      <c r="L675" s="4"/>
      <c r="M675" s="4"/>
      <c r="N675" s="4"/>
      <c r="O675" s="4"/>
      <c r="P675" s="4"/>
      <c r="Q675" s="4"/>
      <c r="R675" s="4"/>
      <c r="S675" s="4"/>
      <c r="T675" s="4"/>
      <c r="U675" s="4"/>
      <c r="V675" s="404"/>
      <c r="W675" s="404"/>
      <c r="X675" s="4"/>
      <c r="Y675" s="4"/>
      <c r="Z675" s="4"/>
      <c r="AA675" s="4"/>
      <c r="AB675" s="4"/>
      <c r="AC675" s="4"/>
      <c r="AD675" s="4"/>
      <c r="AE675" s="4"/>
      <c r="AF675" s="4"/>
      <c r="AG675" s="4"/>
      <c r="AH675" s="4"/>
      <c r="AI675" s="17"/>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row>
    <row r="676">
      <c r="A676" s="4"/>
      <c r="B676" s="4"/>
      <c r="C676" s="4"/>
      <c r="D676" s="4"/>
      <c r="E676" s="17"/>
      <c r="F676" s="17"/>
      <c r="G676" s="17"/>
      <c r="H676" s="17"/>
      <c r="I676" s="17"/>
      <c r="J676" s="4"/>
      <c r="K676" s="17"/>
      <c r="L676" s="4"/>
      <c r="M676" s="4"/>
      <c r="N676" s="4"/>
      <c r="O676" s="4"/>
      <c r="P676" s="4"/>
      <c r="Q676" s="4"/>
      <c r="R676" s="4"/>
      <c r="S676" s="4"/>
      <c r="T676" s="4"/>
      <c r="U676" s="4"/>
      <c r="V676" s="404"/>
      <c r="W676" s="404"/>
      <c r="X676" s="4"/>
      <c r="Y676" s="4"/>
      <c r="Z676" s="4"/>
      <c r="AA676" s="4"/>
      <c r="AB676" s="4"/>
      <c r="AC676" s="4"/>
      <c r="AD676" s="4"/>
      <c r="AE676" s="4"/>
      <c r="AF676" s="4"/>
      <c r="AG676" s="4"/>
      <c r="AH676" s="4"/>
      <c r="AI676" s="17"/>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row>
    <row r="677">
      <c r="A677" s="4"/>
      <c r="B677" s="4"/>
      <c r="C677" s="4"/>
      <c r="D677" s="4"/>
      <c r="E677" s="17"/>
      <c r="F677" s="17"/>
      <c r="G677" s="17"/>
      <c r="H677" s="17"/>
      <c r="I677" s="17"/>
      <c r="J677" s="4"/>
      <c r="K677" s="17"/>
      <c r="L677" s="4"/>
      <c r="M677" s="4"/>
      <c r="N677" s="4"/>
      <c r="O677" s="4"/>
      <c r="P677" s="4"/>
      <c r="Q677" s="4"/>
      <c r="R677" s="4"/>
      <c r="S677" s="4"/>
      <c r="T677" s="4"/>
      <c r="U677" s="4"/>
      <c r="V677" s="404"/>
      <c r="W677" s="404"/>
      <c r="X677" s="4"/>
      <c r="Y677" s="4"/>
      <c r="Z677" s="4"/>
      <c r="AA677" s="4"/>
      <c r="AB677" s="4"/>
      <c r="AC677" s="4"/>
      <c r="AD677" s="4"/>
      <c r="AE677" s="4"/>
      <c r="AF677" s="4"/>
      <c r="AG677" s="4"/>
      <c r="AH677" s="4"/>
      <c r="AI677" s="17"/>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row>
    <row r="678">
      <c r="A678" s="4"/>
      <c r="B678" s="4"/>
      <c r="C678" s="4"/>
      <c r="D678" s="4"/>
      <c r="E678" s="17"/>
      <c r="F678" s="17"/>
      <c r="G678" s="17"/>
      <c r="H678" s="17"/>
      <c r="I678" s="17"/>
      <c r="J678" s="4"/>
      <c r="K678" s="17"/>
      <c r="L678" s="4"/>
      <c r="M678" s="4"/>
      <c r="N678" s="4"/>
      <c r="O678" s="4"/>
      <c r="P678" s="4"/>
      <c r="Q678" s="4"/>
      <c r="R678" s="4"/>
      <c r="S678" s="4"/>
      <c r="T678" s="4"/>
      <c r="U678" s="4"/>
      <c r="V678" s="404"/>
      <c r="W678" s="404"/>
      <c r="X678" s="4"/>
      <c r="Y678" s="4"/>
      <c r="Z678" s="4"/>
      <c r="AA678" s="4"/>
      <c r="AB678" s="4"/>
      <c r="AC678" s="4"/>
      <c r="AD678" s="4"/>
      <c r="AE678" s="4"/>
      <c r="AF678" s="4"/>
      <c r="AG678" s="4"/>
      <c r="AH678" s="4"/>
      <c r="AI678" s="17"/>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row>
    <row r="679">
      <c r="A679" s="4"/>
      <c r="B679" s="4"/>
      <c r="C679" s="4"/>
      <c r="D679" s="4"/>
      <c r="E679" s="17"/>
      <c r="F679" s="17"/>
      <c r="G679" s="17"/>
      <c r="H679" s="17"/>
      <c r="I679" s="17"/>
      <c r="J679" s="4"/>
      <c r="K679" s="17"/>
      <c r="L679" s="4"/>
      <c r="M679" s="4"/>
      <c r="N679" s="4"/>
      <c r="O679" s="4"/>
      <c r="P679" s="4"/>
      <c r="Q679" s="4"/>
      <c r="R679" s="4"/>
      <c r="S679" s="4"/>
      <c r="T679" s="4"/>
      <c r="U679" s="4"/>
      <c r="V679" s="404"/>
      <c r="W679" s="404"/>
      <c r="X679" s="4"/>
      <c r="Y679" s="4"/>
      <c r="Z679" s="4"/>
      <c r="AA679" s="4"/>
      <c r="AB679" s="4"/>
      <c r="AC679" s="4"/>
      <c r="AD679" s="4"/>
      <c r="AE679" s="4"/>
      <c r="AF679" s="4"/>
      <c r="AG679" s="4"/>
      <c r="AH679" s="4"/>
      <c r="AI679" s="17"/>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row>
    <row r="680">
      <c r="A680" s="4"/>
      <c r="B680" s="4"/>
      <c r="C680" s="4"/>
      <c r="D680" s="4"/>
      <c r="E680" s="17"/>
      <c r="F680" s="17"/>
      <c r="G680" s="17"/>
      <c r="H680" s="17"/>
      <c r="I680" s="17"/>
      <c r="J680" s="4"/>
      <c r="K680" s="17"/>
      <c r="L680" s="4"/>
      <c r="M680" s="4"/>
      <c r="N680" s="4"/>
      <c r="O680" s="4"/>
      <c r="P680" s="4"/>
      <c r="Q680" s="4"/>
      <c r="R680" s="4"/>
      <c r="S680" s="4"/>
      <c r="T680" s="4"/>
      <c r="U680" s="4"/>
      <c r="V680" s="404"/>
      <c r="W680" s="404"/>
      <c r="X680" s="4"/>
      <c r="Y680" s="4"/>
      <c r="Z680" s="4"/>
      <c r="AA680" s="4"/>
      <c r="AB680" s="4"/>
      <c r="AC680" s="4"/>
      <c r="AD680" s="4"/>
      <c r="AE680" s="4"/>
      <c r="AF680" s="4"/>
      <c r="AG680" s="4"/>
      <c r="AH680" s="4"/>
      <c r="AI680" s="17"/>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row>
    <row r="681">
      <c r="A681" s="4"/>
      <c r="B681" s="4"/>
      <c r="C681" s="4"/>
      <c r="D681" s="4"/>
      <c r="E681" s="17"/>
      <c r="F681" s="17"/>
      <c r="G681" s="17"/>
      <c r="H681" s="17"/>
      <c r="I681" s="17"/>
      <c r="J681" s="4"/>
      <c r="K681" s="17"/>
      <c r="L681" s="4"/>
      <c r="M681" s="4"/>
      <c r="N681" s="4"/>
      <c r="O681" s="4"/>
      <c r="P681" s="4"/>
      <c r="Q681" s="4"/>
      <c r="R681" s="4"/>
      <c r="S681" s="4"/>
      <c r="T681" s="4"/>
      <c r="U681" s="4"/>
      <c r="V681" s="404"/>
      <c r="W681" s="404"/>
      <c r="X681" s="4"/>
      <c r="Y681" s="4"/>
      <c r="Z681" s="4"/>
      <c r="AA681" s="4"/>
      <c r="AB681" s="4"/>
      <c r="AC681" s="4"/>
      <c r="AD681" s="4"/>
      <c r="AE681" s="4"/>
      <c r="AF681" s="4"/>
      <c r="AG681" s="4"/>
      <c r="AH681" s="4"/>
      <c r="AI681" s="17"/>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row>
    <row r="682">
      <c r="A682" s="4"/>
      <c r="B682" s="4"/>
      <c r="C682" s="4"/>
      <c r="D682" s="4"/>
      <c r="E682" s="17"/>
      <c r="F682" s="17"/>
      <c r="G682" s="17"/>
      <c r="H682" s="17"/>
      <c r="I682" s="17"/>
      <c r="J682" s="4"/>
      <c r="K682" s="17"/>
      <c r="L682" s="4"/>
      <c r="M682" s="4"/>
      <c r="N682" s="4"/>
      <c r="O682" s="4"/>
      <c r="P682" s="4"/>
      <c r="Q682" s="4"/>
      <c r="R682" s="4"/>
      <c r="S682" s="4"/>
      <c r="T682" s="4"/>
      <c r="U682" s="4"/>
      <c r="V682" s="404"/>
      <c r="W682" s="404"/>
      <c r="X682" s="4"/>
      <c r="Y682" s="4"/>
      <c r="Z682" s="4"/>
      <c r="AA682" s="4"/>
      <c r="AB682" s="4"/>
      <c r="AC682" s="4"/>
      <c r="AD682" s="4"/>
      <c r="AE682" s="4"/>
      <c r="AF682" s="4"/>
      <c r="AG682" s="4"/>
      <c r="AH682" s="4"/>
      <c r="AI682" s="17"/>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row>
    <row r="683">
      <c r="A683" s="4"/>
      <c r="B683" s="4"/>
      <c r="C683" s="4"/>
      <c r="D683" s="4"/>
      <c r="E683" s="17"/>
      <c r="F683" s="17"/>
      <c r="G683" s="17"/>
      <c r="H683" s="17"/>
      <c r="I683" s="17"/>
      <c r="J683" s="4"/>
      <c r="K683" s="17"/>
      <c r="L683" s="4"/>
      <c r="M683" s="4"/>
      <c r="N683" s="4"/>
      <c r="O683" s="4"/>
      <c r="P683" s="4"/>
      <c r="Q683" s="4"/>
      <c r="R683" s="4"/>
      <c r="S683" s="4"/>
      <c r="T683" s="4"/>
      <c r="U683" s="4"/>
      <c r="V683" s="404"/>
      <c r="W683" s="404"/>
      <c r="X683" s="4"/>
      <c r="Y683" s="4"/>
      <c r="Z683" s="4"/>
      <c r="AA683" s="4"/>
      <c r="AB683" s="4"/>
      <c r="AC683" s="4"/>
      <c r="AD683" s="4"/>
      <c r="AE683" s="4"/>
      <c r="AF683" s="4"/>
      <c r="AG683" s="4"/>
      <c r="AH683" s="4"/>
      <c r="AI683" s="17"/>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row>
    <row r="684">
      <c r="A684" s="4"/>
      <c r="B684" s="4"/>
      <c r="C684" s="4"/>
      <c r="D684" s="4"/>
      <c r="E684" s="17"/>
      <c r="F684" s="17"/>
      <c r="G684" s="17"/>
      <c r="H684" s="17"/>
      <c r="I684" s="17"/>
      <c r="J684" s="4"/>
      <c r="K684" s="17"/>
      <c r="L684" s="4"/>
      <c r="M684" s="4"/>
      <c r="N684" s="4"/>
      <c r="O684" s="4"/>
      <c r="P684" s="4"/>
      <c r="Q684" s="4"/>
      <c r="R684" s="4"/>
      <c r="S684" s="4"/>
      <c r="T684" s="4"/>
      <c r="U684" s="4"/>
      <c r="V684" s="404"/>
      <c r="W684" s="404"/>
      <c r="X684" s="4"/>
      <c r="Y684" s="4"/>
      <c r="Z684" s="4"/>
      <c r="AA684" s="4"/>
      <c r="AB684" s="4"/>
      <c r="AC684" s="4"/>
      <c r="AD684" s="4"/>
      <c r="AE684" s="4"/>
      <c r="AF684" s="4"/>
      <c r="AG684" s="4"/>
      <c r="AH684" s="4"/>
      <c r="AI684" s="17"/>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row>
    <row r="685">
      <c r="A685" s="4"/>
      <c r="B685" s="4"/>
      <c r="C685" s="4"/>
      <c r="D685" s="4"/>
      <c r="E685" s="17"/>
      <c r="F685" s="17"/>
      <c r="G685" s="17"/>
      <c r="H685" s="17"/>
      <c r="I685" s="17"/>
      <c r="J685" s="4"/>
      <c r="K685" s="17"/>
      <c r="L685" s="4"/>
      <c r="M685" s="4"/>
      <c r="N685" s="4"/>
      <c r="O685" s="4"/>
      <c r="P685" s="4"/>
      <c r="Q685" s="4"/>
      <c r="R685" s="4"/>
      <c r="S685" s="4"/>
      <c r="T685" s="4"/>
      <c r="U685" s="4"/>
      <c r="V685" s="404"/>
      <c r="W685" s="404"/>
      <c r="X685" s="4"/>
      <c r="Y685" s="4"/>
      <c r="Z685" s="4"/>
      <c r="AA685" s="4"/>
      <c r="AB685" s="4"/>
      <c r="AC685" s="4"/>
      <c r="AD685" s="4"/>
      <c r="AE685" s="4"/>
      <c r="AF685" s="4"/>
      <c r="AG685" s="4"/>
      <c r="AH685" s="4"/>
      <c r="AI685" s="17"/>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row>
    <row r="686">
      <c r="A686" s="4"/>
      <c r="B686" s="4"/>
      <c r="C686" s="4"/>
      <c r="D686" s="4"/>
      <c r="E686" s="17"/>
      <c r="F686" s="17"/>
      <c r="G686" s="17"/>
      <c r="H686" s="17"/>
      <c r="I686" s="17"/>
      <c r="J686" s="4"/>
      <c r="K686" s="17"/>
      <c r="L686" s="4"/>
      <c r="M686" s="4"/>
      <c r="N686" s="4"/>
      <c r="O686" s="4"/>
      <c r="P686" s="4"/>
      <c r="Q686" s="4"/>
      <c r="R686" s="4"/>
      <c r="S686" s="4"/>
      <c r="T686" s="4"/>
      <c r="U686" s="4"/>
      <c r="V686" s="404"/>
      <c r="W686" s="404"/>
      <c r="X686" s="4"/>
      <c r="Y686" s="4"/>
      <c r="Z686" s="4"/>
      <c r="AA686" s="4"/>
      <c r="AB686" s="4"/>
      <c r="AC686" s="4"/>
      <c r="AD686" s="4"/>
      <c r="AE686" s="4"/>
      <c r="AF686" s="4"/>
      <c r="AG686" s="4"/>
      <c r="AH686" s="4"/>
      <c r="AI686" s="17"/>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row>
    <row r="687">
      <c r="A687" s="4"/>
      <c r="B687" s="4"/>
      <c r="C687" s="4"/>
      <c r="D687" s="4"/>
      <c r="E687" s="17"/>
      <c r="F687" s="17"/>
      <c r="G687" s="17"/>
      <c r="H687" s="17"/>
      <c r="I687" s="17"/>
      <c r="J687" s="4"/>
      <c r="K687" s="17"/>
      <c r="L687" s="4"/>
      <c r="M687" s="4"/>
      <c r="N687" s="4"/>
      <c r="O687" s="4"/>
      <c r="P687" s="4"/>
      <c r="Q687" s="4"/>
      <c r="R687" s="4"/>
      <c r="S687" s="4"/>
      <c r="T687" s="4"/>
      <c r="U687" s="4"/>
      <c r="V687" s="404"/>
      <c r="W687" s="404"/>
      <c r="X687" s="4"/>
      <c r="Y687" s="4"/>
      <c r="Z687" s="4"/>
      <c r="AA687" s="4"/>
      <c r="AB687" s="4"/>
      <c r="AC687" s="4"/>
      <c r="AD687" s="4"/>
      <c r="AE687" s="4"/>
      <c r="AF687" s="4"/>
      <c r="AG687" s="4"/>
      <c r="AH687" s="4"/>
      <c r="AI687" s="17"/>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row>
    <row r="688">
      <c r="A688" s="4"/>
      <c r="B688" s="4"/>
      <c r="C688" s="4"/>
      <c r="D688" s="4"/>
      <c r="E688" s="17"/>
      <c r="F688" s="17"/>
      <c r="G688" s="17"/>
      <c r="H688" s="17"/>
      <c r="I688" s="17"/>
      <c r="J688" s="4"/>
      <c r="K688" s="17"/>
      <c r="L688" s="4"/>
      <c r="M688" s="4"/>
      <c r="N688" s="4"/>
      <c r="O688" s="4"/>
      <c r="P688" s="4"/>
      <c r="Q688" s="4"/>
      <c r="R688" s="4"/>
      <c r="S688" s="4"/>
      <c r="T688" s="4"/>
      <c r="U688" s="4"/>
      <c r="V688" s="404"/>
      <c r="W688" s="404"/>
      <c r="X688" s="4"/>
      <c r="Y688" s="4"/>
      <c r="Z688" s="4"/>
      <c r="AA688" s="4"/>
      <c r="AB688" s="4"/>
      <c r="AC688" s="4"/>
      <c r="AD688" s="4"/>
      <c r="AE688" s="4"/>
      <c r="AF688" s="4"/>
      <c r="AG688" s="4"/>
      <c r="AH688" s="4"/>
      <c r="AI688" s="17"/>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row>
    <row r="689">
      <c r="A689" s="4"/>
      <c r="B689" s="4"/>
      <c r="C689" s="4"/>
      <c r="D689" s="4"/>
      <c r="E689" s="17"/>
      <c r="F689" s="17"/>
      <c r="G689" s="17"/>
      <c r="H689" s="17"/>
      <c r="I689" s="17"/>
      <c r="J689" s="4"/>
      <c r="K689" s="17"/>
      <c r="L689" s="4"/>
      <c r="M689" s="4"/>
      <c r="N689" s="4"/>
      <c r="O689" s="4"/>
      <c r="P689" s="4"/>
      <c r="Q689" s="4"/>
      <c r="R689" s="4"/>
      <c r="S689" s="4"/>
      <c r="T689" s="4"/>
      <c r="U689" s="4"/>
      <c r="V689" s="404"/>
      <c r="W689" s="404"/>
      <c r="X689" s="4"/>
      <c r="Y689" s="4"/>
      <c r="Z689" s="4"/>
      <c r="AA689" s="4"/>
      <c r="AB689" s="4"/>
      <c r="AC689" s="4"/>
      <c r="AD689" s="4"/>
      <c r="AE689" s="4"/>
      <c r="AF689" s="4"/>
      <c r="AG689" s="4"/>
      <c r="AH689" s="4"/>
      <c r="AI689" s="17"/>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row>
    <row r="690">
      <c r="A690" s="4"/>
      <c r="B690" s="4"/>
      <c r="C690" s="4"/>
      <c r="D690" s="4"/>
      <c r="E690" s="17"/>
      <c r="F690" s="17"/>
      <c r="G690" s="17"/>
      <c r="H690" s="17"/>
      <c r="I690" s="17"/>
      <c r="J690" s="4"/>
      <c r="K690" s="17"/>
      <c r="L690" s="4"/>
      <c r="M690" s="4"/>
      <c r="N690" s="4"/>
      <c r="O690" s="4"/>
      <c r="P690" s="4"/>
      <c r="Q690" s="4"/>
      <c r="R690" s="4"/>
      <c r="S690" s="4"/>
      <c r="T690" s="4"/>
      <c r="U690" s="4"/>
      <c r="V690" s="404"/>
      <c r="W690" s="404"/>
      <c r="X690" s="4"/>
      <c r="Y690" s="4"/>
      <c r="Z690" s="4"/>
      <c r="AA690" s="4"/>
      <c r="AB690" s="4"/>
      <c r="AC690" s="4"/>
      <c r="AD690" s="4"/>
      <c r="AE690" s="4"/>
      <c r="AF690" s="4"/>
      <c r="AG690" s="4"/>
      <c r="AH690" s="4"/>
      <c r="AI690" s="17"/>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row>
    <row r="691">
      <c r="A691" s="4"/>
      <c r="B691" s="4"/>
      <c r="C691" s="4"/>
      <c r="D691" s="4"/>
      <c r="E691" s="17"/>
      <c r="F691" s="17"/>
      <c r="G691" s="17"/>
      <c r="H691" s="17"/>
      <c r="I691" s="17"/>
      <c r="J691" s="4"/>
      <c r="K691" s="17"/>
      <c r="L691" s="4"/>
      <c r="M691" s="4"/>
      <c r="N691" s="4"/>
      <c r="O691" s="4"/>
      <c r="P691" s="4"/>
      <c r="Q691" s="4"/>
      <c r="R691" s="4"/>
      <c r="S691" s="4"/>
      <c r="T691" s="4"/>
      <c r="U691" s="4"/>
      <c r="V691" s="404"/>
      <c r="W691" s="404"/>
      <c r="X691" s="4"/>
      <c r="Y691" s="4"/>
      <c r="Z691" s="4"/>
      <c r="AA691" s="4"/>
      <c r="AB691" s="4"/>
      <c r="AC691" s="4"/>
      <c r="AD691" s="4"/>
      <c r="AE691" s="4"/>
      <c r="AF691" s="4"/>
      <c r="AG691" s="4"/>
      <c r="AH691" s="4"/>
      <c r="AI691" s="17"/>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row>
    <row r="692">
      <c r="A692" s="4"/>
      <c r="B692" s="4"/>
      <c r="C692" s="4"/>
      <c r="D692" s="4"/>
      <c r="E692" s="17"/>
      <c r="F692" s="17"/>
      <c r="G692" s="17"/>
      <c r="H692" s="17"/>
      <c r="I692" s="17"/>
      <c r="J692" s="4"/>
      <c r="K692" s="17"/>
      <c r="L692" s="4"/>
      <c r="M692" s="4"/>
      <c r="N692" s="4"/>
      <c r="O692" s="4"/>
      <c r="P692" s="4"/>
      <c r="Q692" s="4"/>
      <c r="R692" s="4"/>
      <c r="S692" s="4"/>
      <c r="T692" s="4"/>
      <c r="U692" s="4"/>
      <c r="V692" s="404"/>
      <c r="W692" s="404"/>
      <c r="X692" s="4"/>
      <c r="Y692" s="4"/>
      <c r="Z692" s="4"/>
      <c r="AA692" s="4"/>
      <c r="AB692" s="4"/>
      <c r="AC692" s="4"/>
      <c r="AD692" s="4"/>
      <c r="AE692" s="4"/>
      <c r="AF692" s="4"/>
      <c r="AG692" s="4"/>
      <c r="AH692" s="4"/>
      <c r="AI692" s="17"/>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row>
    <row r="693">
      <c r="A693" s="4"/>
      <c r="B693" s="4"/>
      <c r="C693" s="4"/>
      <c r="D693" s="4"/>
      <c r="E693" s="17"/>
      <c r="F693" s="17"/>
      <c r="G693" s="17"/>
      <c r="H693" s="17"/>
      <c r="I693" s="17"/>
      <c r="J693" s="4"/>
      <c r="K693" s="17"/>
      <c r="L693" s="4"/>
      <c r="M693" s="4"/>
      <c r="N693" s="4"/>
      <c r="O693" s="4"/>
      <c r="P693" s="4"/>
      <c r="Q693" s="4"/>
      <c r="R693" s="4"/>
      <c r="S693" s="4"/>
      <c r="T693" s="4"/>
      <c r="U693" s="4"/>
      <c r="V693" s="404"/>
      <c r="W693" s="404"/>
      <c r="X693" s="4"/>
      <c r="Y693" s="4"/>
      <c r="Z693" s="4"/>
      <c r="AA693" s="4"/>
      <c r="AB693" s="4"/>
      <c r="AC693" s="4"/>
      <c r="AD693" s="4"/>
      <c r="AE693" s="4"/>
      <c r="AF693" s="4"/>
      <c r="AG693" s="4"/>
      <c r="AH693" s="4"/>
      <c r="AI693" s="17"/>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row>
    <row r="694">
      <c r="A694" s="4"/>
      <c r="B694" s="4"/>
      <c r="C694" s="4"/>
      <c r="D694" s="4"/>
      <c r="E694" s="17"/>
      <c r="F694" s="17"/>
      <c r="G694" s="17"/>
      <c r="H694" s="17"/>
      <c r="I694" s="17"/>
      <c r="J694" s="4"/>
      <c r="K694" s="17"/>
      <c r="L694" s="4"/>
      <c r="M694" s="4"/>
      <c r="N694" s="4"/>
      <c r="O694" s="4"/>
      <c r="P694" s="4"/>
      <c r="Q694" s="4"/>
      <c r="R694" s="4"/>
      <c r="S694" s="4"/>
      <c r="T694" s="4"/>
      <c r="U694" s="4"/>
      <c r="V694" s="404"/>
      <c r="W694" s="404"/>
      <c r="X694" s="4"/>
      <c r="Y694" s="4"/>
      <c r="Z694" s="4"/>
      <c r="AA694" s="4"/>
      <c r="AB694" s="4"/>
      <c r="AC694" s="4"/>
      <c r="AD694" s="4"/>
      <c r="AE694" s="4"/>
      <c r="AF694" s="4"/>
      <c r="AG694" s="4"/>
      <c r="AH694" s="4"/>
      <c r="AI694" s="17"/>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row>
    <row r="695">
      <c r="A695" s="4"/>
      <c r="B695" s="4"/>
      <c r="C695" s="4"/>
      <c r="D695" s="4"/>
      <c r="E695" s="17"/>
      <c r="F695" s="17"/>
      <c r="G695" s="17"/>
      <c r="H695" s="17"/>
      <c r="I695" s="17"/>
      <c r="J695" s="4"/>
      <c r="K695" s="17"/>
      <c r="L695" s="4"/>
      <c r="M695" s="4"/>
      <c r="N695" s="4"/>
      <c r="O695" s="4"/>
      <c r="P695" s="4"/>
      <c r="Q695" s="4"/>
      <c r="R695" s="4"/>
      <c r="S695" s="4"/>
      <c r="T695" s="4"/>
      <c r="U695" s="4"/>
      <c r="V695" s="404"/>
      <c r="W695" s="404"/>
      <c r="X695" s="4"/>
      <c r="Y695" s="4"/>
      <c r="Z695" s="4"/>
      <c r="AA695" s="4"/>
      <c r="AB695" s="4"/>
      <c r="AC695" s="4"/>
      <c r="AD695" s="4"/>
      <c r="AE695" s="4"/>
      <c r="AF695" s="4"/>
      <c r="AG695" s="4"/>
      <c r="AH695" s="4"/>
      <c r="AI695" s="17"/>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row>
    <row r="696">
      <c r="A696" s="4"/>
      <c r="B696" s="4"/>
      <c r="C696" s="4"/>
      <c r="D696" s="4"/>
      <c r="E696" s="17"/>
      <c r="F696" s="17"/>
      <c r="G696" s="17"/>
      <c r="H696" s="17"/>
      <c r="I696" s="17"/>
      <c r="J696" s="4"/>
      <c r="K696" s="17"/>
      <c r="L696" s="4"/>
      <c r="M696" s="4"/>
      <c r="N696" s="4"/>
      <c r="O696" s="4"/>
      <c r="P696" s="4"/>
      <c r="Q696" s="4"/>
      <c r="R696" s="4"/>
      <c r="S696" s="4"/>
      <c r="T696" s="4"/>
      <c r="U696" s="4"/>
      <c r="V696" s="404"/>
      <c r="W696" s="404"/>
      <c r="X696" s="4"/>
      <c r="Y696" s="4"/>
      <c r="Z696" s="4"/>
      <c r="AA696" s="4"/>
      <c r="AB696" s="4"/>
      <c r="AC696" s="4"/>
      <c r="AD696" s="4"/>
      <c r="AE696" s="4"/>
      <c r="AF696" s="4"/>
      <c r="AG696" s="4"/>
      <c r="AH696" s="4"/>
      <c r="AI696" s="17"/>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row>
    <row r="697">
      <c r="A697" s="4"/>
      <c r="B697" s="4"/>
      <c r="C697" s="4"/>
      <c r="D697" s="4"/>
      <c r="E697" s="17"/>
      <c r="F697" s="17"/>
      <c r="G697" s="17"/>
      <c r="H697" s="17"/>
      <c r="I697" s="17"/>
      <c r="J697" s="4"/>
      <c r="K697" s="17"/>
      <c r="L697" s="4"/>
      <c r="M697" s="4"/>
      <c r="N697" s="4"/>
      <c r="O697" s="4"/>
      <c r="P697" s="4"/>
      <c r="Q697" s="4"/>
      <c r="R697" s="4"/>
      <c r="S697" s="4"/>
      <c r="T697" s="4"/>
      <c r="U697" s="4"/>
      <c r="V697" s="404"/>
      <c r="W697" s="404"/>
      <c r="X697" s="4"/>
      <c r="Y697" s="4"/>
      <c r="Z697" s="4"/>
      <c r="AA697" s="4"/>
      <c r="AB697" s="4"/>
      <c r="AC697" s="4"/>
      <c r="AD697" s="4"/>
      <c r="AE697" s="4"/>
      <c r="AF697" s="4"/>
      <c r="AG697" s="4"/>
      <c r="AH697" s="4"/>
      <c r="AI697" s="17"/>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row>
    <row r="698">
      <c r="A698" s="4"/>
      <c r="B698" s="4"/>
      <c r="C698" s="4"/>
      <c r="D698" s="4"/>
      <c r="E698" s="17"/>
      <c r="F698" s="17"/>
      <c r="G698" s="17"/>
      <c r="H698" s="17"/>
      <c r="I698" s="17"/>
      <c r="J698" s="4"/>
      <c r="K698" s="17"/>
      <c r="L698" s="4"/>
      <c r="M698" s="4"/>
      <c r="N698" s="4"/>
      <c r="O698" s="4"/>
      <c r="P698" s="4"/>
      <c r="Q698" s="4"/>
      <c r="R698" s="4"/>
      <c r="S698" s="4"/>
      <c r="T698" s="4"/>
      <c r="U698" s="4"/>
      <c r="V698" s="404"/>
      <c r="W698" s="404"/>
      <c r="X698" s="4"/>
      <c r="Y698" s="4"/>
      <c r="Z698" s="4"/>
      <c r="AA698" s="4"/>
      <c r="AB698" s="4"/>
      <c r="AC698" s="4"/>
      <c r="AD698" s="4"/>
      <c r="AE698" s="4"/>
      <c r="AF698" s="4"/>
      <c r="AG698" s="4"/>
      <c r="AH698" s="4"/>
      <c r="AI698" s="17"/>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row>
    <row r="699">
      <c r="A699" s="4"/>
      <c r="B699" s="4"/>
      <c r="C699" s="4"/>
      <c r="D699" s="4"/>
      <c r="E699" s="17"/>
      <c r="F699" s="17"/>
      <c r="G699" s="17"/>
      <c r="H699" s="17"/>
      <c r="I699" s="17"/>
      <c r="J699" s="4"/>
      <c r="K699" s="17"/>
      <c r="L699" s="4"/>
      <c r="M699" s="4"/>
      <c r="N699" s="4"/>
      <c r="O699" s="4"/>
      <c r="P699" s="4"/>
      <c r="Q699" s="4"/>
      <c r="R699" s="4"/>
      <c r="S699" s="4"/>
      <c r="T699" s="4"/>
      <c r="U699" s="4"/>
      <c r="V699" s="404"/>
      <c r="W699" s="404"/>
      <c r="X699" s="4"/>
      <c r="Y699" s="4"/>
      <c r="Z699" s="4"/>
      <c r="AA699" s="4"/>
      <c r="AB699" s="4"/>
      <c r="AC699" s="4"/>
      <c r="AD699" s="4"/>
      <c r="AE699" s="4"/>
      <c r="AF699" s="4"/>
      <c r="AG699" s="4"/>
      <c r="AH699" s="4"/>
      <c r="AI699" s="17"/>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row>
    <row r="700">
      <c r="A700" s="4"/>
      <c r="B700" s="4"/>
      <c r="C700" s="4"/>
      <c r="D700" s="4"/>
      <c r="E700" s="17"/>
      <c r="F700" s="17"/>
      <c r="G700" s="17"/>
      <c r="H700" s="17"/>
      <c r="I700" s="17"/>
      <c r="J700" s="4"/>
      <c r="K700" s="17"/>
      <c r="L700" s="4"/>
      <c r="M700" s="4"/>
      <c r="N700" s="4"/>
      <c r="O700" s="4"/>
      <c r="P700" s="4"/>
      <c r="Q700" s="4"/>
      <c r="R700" s="4"/>
      <c r="S700" s="4"/>
      <c r="T700" s="4"/>
      <c r="U700" s="4"/>
      <c r="V700" s="404"/>
      <c r="W700" s="404"/>
      <c r="X700" s="4"/>
      <c r="Y700" s="4"/>
      <c r="Z700" s="4"/>
      <c r="AA700" s="4"/>
      <c r="AB700" s="4"/>
      <c r="AC700" s="4"/>
      <c r="AD700" s="4"/>
      <c r="AE700" s="4"/>
      <c r="AF700" s="4"/>
      <c r="AG700" s="4"/>
      <c r="AH700" s="4"/>
      <c r="AI700" s="17"/>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row>
    <row r="701">
      <c r="A701" s="4"/>
      <c r="B701" s="4"/>
      <c r="C701" s="4"/>
      <c r="D701" s="4"/>
      <c r="E701" s="17"/>
      <c r="F701" s="17"/>
      <c r="G701" s="17"/>
      <c r="H701" s="17"/>
      <c r="I701" s="17"/>
      <c r="J701" s="4"/>
      <c r="K701" s="17"/>
      <c r="L701" s="4"/>
      <c r="M701" s="4"/>
      <c r="N701" s="4"/>
      <c r="O701" s="4"/>
      <c r="P701" s="4"/>
      <c r="Q701" s="4"/>
      <c r="R701" s="4"/>
      <c r="S701" s="4"/>
      <c r="T701" s="4"/>
      <c r="U701" s="4"/>
      <c r="V701" s="404"/>
      <c r="W701" s="404"/>
      <c r="X701" s="4"/>
      <c r="Y701" s="4"/>
      <c r="Z701" s="4"/>
      <c r="AA701" s="4"/>
      <c r="AB701" s="4"/>
      <c r="AC701" s="4"/>
      <c r="AD701" s="4"/>
      <c r="AE701" s="4"/>
      <c r="AF701" s="4"/>
      <c r="AG701" s="4"/>
      <c r="AH701" s="4"/>
      <c r="AI701" s="17"/>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row>
    <row r="702">
      <c r="A702" s="4"/>
      <c r="B702" s="4"/>
      <c r="C702" s="4"/>
      <c r="D702" s="4"/>
      <c r="E702" s="17"/>
      <c r="F702" s="17"/>
      <c r="G702" s="17"/>
      <c r="H702" s="17"/>
      <c r="I702" s="17"/>
      <c r="J702" s="4"/>
      <c r="K702" s="17"/>
      <c r="L702" s="4"/>
      <c r="M702" s="4"/>
      <c r="N702" s="4"/>
      <c r="O702" s="4"/>
      <c r="P702" s="4"/>
      <c r="Q702" s="4"/>
      <c r="R702" s="4"/>
      <c r="S702" s="4"/>
      <c r="T702" s="4"/>
      <c r="U702" s="4"/>
      <c r="V702" s="404"/>
      <c r="W702" s="404"/>
      <c r="X702" s="4"/>
      <c r="Y702" s="4"/>
      <c r="Z702" s="4"/>
      <c r="AA702" s="4"/>
      <c r="AB702" s="4"/>
      <c r="AC702" s="4"/>
      <c r="AD702" s="4"/>
      <c r="AE702" s="4"/>
      <c r="AF702" s="4"/>
      <c r="AG702" s="4"/>
      <c r="AH702" s="4"/>
      <c r="AI702" s="17"/>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row>
    <row r="703">
      <c r="A703" s="4"/>
      <c r="B703" s="4"/>
      <c r="C703" s="4"/>
      <c r="D703" s="4"/>
      <c r="E703" s="17"/>
      <c r="F703" s="17"/>
      <c r="G703" s="17"/>
      <c r="H703" s="17"/>
      <c r="I703" s="17"/>
      <c r="J703" s="4"/>
      <c r="K703" s="17"/>
      <c r="L703" s="4"/>
      <c r="M703" s="4"/>
      <c r="N703" s="4"/>
      <c r="O703" s="4"/>
      <c r="P703" s="4"/>
      <c r="Q703" s="4"/>
      <c r="R703" s="4"/>
      <c r="S703" s="4"/>
      <c r="T703" s="4"/>
      <c r="U703" s="4"/>
      <c r="V703" s="404"/>
      <c r="W703" s="404"/>
      <c r="X703" s="4"/>
      <c r="Y703" s="4"/>
      <c r="Z703" s="4"/>
      <c r="AA703" s="4"/>
      <c r="AB703" s="4"/>
      <c r="AC703" s="4"/>
      <c r="AD703" s="4"/>
      <c r="AE703" s="4"/>
      <c r="AF703" s="4"/>
      <c r="AG703" s="4"/>
      <c r="AH703" s="4"/>
      <c r="AI703" s="17"/>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row>
    <row r="704">
      <c r="A704" s="4"/>
      <c r="B704" s="4"/>
      <c r="C704" s="4"/>
      <c r="D704" s="4"/>
      <c r="E704" s="17"/>
      <c r="F704" s="17"/>
      <c r="G704" s="17"/>
      <c r="H704" s="17"/>
      <c r="I704" s="17"/>
      <c r="J704" s="4"/>
      <c r="K704" s="17"/>
      <c r="L704" s="4"/>
      <c r="M704" s="4"/>
      <c r="N704" s="4"/>
      <c r="O704" s="4"/>
      <c r="P704" s="4"/>
      <c r="Q704" s="4"/>
      <c r="R704" s="4"/>
      <c r="S704" s="4"/>
      <c r="T704" s="4"/>
      <c r="U704" s="4"/>
      <c r="V704" s="404"/>
      <c r="W704" s="404"/>
      <c r="X704" s="4"/>
      <c r="Y704" s="4"/>
      <c r="Z704" s="4"/>
      <c r="AA704" s="4"/>
      <c r="AB704" s="4"/>
      <c r="AC704" s="4"/>
      <c r="AD704" s="4"/>
      <c r="AE704" s="4"/>
      <c r="AF704" s="4"/>
      <c r="AG704" s="4"/>
      <c r="AH704" s="4"/>
      <c r="AI704" s="17"/>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row>
    <row r="705">
      <c r="A705" s="4"/>
      <c r="B705" s="4"/>
      <c r="C705" s="4"/>
      <c r="D705" s="4"/>
      <c r="E705" s="17"/>
      <c r="F705" s="17"/>
      <c r="G705" s="17"/>
      <c r="H705" s="17"/>
      <c r="I705" s="17"/>
      <c r="J705" s="4"/>
      <c r="K705" s="17"/>
      <c r="L705" s="4"/>
      <c r="M705" s="4"/>
      <c r="N705" s="4"/>
      <c r="O705" s="4"/>
      <c r="P705" s="4"/>
      <c r="Q705" s="4"/>
      <c r="R705" s="4"/>
      <c r="S705" s="4"/>
      <c r="T705" s="4"/>
      <c r="U705" s="4"/>
      <c r="V705" s="404"/>
      <c r="W705" s="404"/>
      <c r="X705" s="4"/>
      <c r="Y705" s="4"/>
      <c r="Z705" s="4"/>
      <c r="AA705" s="4"/>
      <c r="AB705" s="4"/>
      <c r="AC705" s="4"/>
      <c r="AD705" s="4"/>
      <c r="AE705" s="4"/>
      <c r="AF705" s="4"/>
      <c r="AG705" s="4"/>
      <c r="AH705" s="4"/>
      <c r="AI705" s="17"/>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row>
    <row r="706">
      <c r="A706" s="4"/>
      <c r="B706" s="4"/>
      <c r="C706" s="4"/>
      <c r="D706" s="4"/>
      <c r="E706" s="17"/>
      <c r="F706" s="17"/>
      <c r="G706" s="17"/>
      <c r="H706" s="17"/>
      <c r="I706" s="17"/>
      <c r="J706" s="4"/>
      <c r="K706" s="17"/>
      <c r="L706" s="4"/>
      <c r="M706" s="4"/>
      <c r="N706" s="4"/>
      <c r="O706" s="4"/>
      <c r="P706" s="4"/>
      <c r="Q706" s="4"/>
      <c r="R706" s="4"/>
      <c r="S706" s="4"/>
      <c r="T706" s="4"/>
      <c r="U706" s="4"/>
      <c r="V706" s="404"/>
      <c r="W706" s="404"/>
      <c r="X706" s="4"/>
      <c r="Y706" s="4"/>
      <c r="Z706" s="4"/>
      <c r="AA706" s="4"/>
      <c r="AB706" s="4"/>
      <c r="AC706" s="4"/>
      <c r="AD706" s="4"/>
      <c r="AE706" s="4"/>
      <c r="AF706" s="4"/>
      <c r="AG706" s="4"/>
      <c r="AH706" s="4"/>
      <c r="AI706" s="17"/>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row>
    <row r="707">
      <c r="A707" s="4"/>
      <c r="B707" s="4"/>
      <c r="C707" s="4"/>
      <c r="D707" s="4"/>
      <c r="E707" s="17"/>
      <c r="F707" s="17"/>
      <c r="G707" s="17"/>
      <c r="H707" s="17"/>
      <c r="I707" s="17"/>
      <c r="J707" s="4"/>
      <c r="K707" s="17"/>
      <c r="L707" s="4"/>
      <c r="M707" s="4"/>
      <c r="N707" s="4"/>
      <c r="O707" s="4"/>
      <c r="P707" s="4"/>
      <c r="Q707" s="4"/>
      <c r="R707" s="4"/>
      <c r="S707" s="4"/>
      <c r="T707" s="4"/>
      <c r="U707" s="4"/>
      <c r="V707" s="404"/>
      <c r="W707" s="404"/>
      <c r="X707" s="4"/>
      <c r="Y707" s="4"/>
      <c r="Z707" s="4"/>
      <c r="AA707" s="4"/>
      <c r="AB707" s="4"/>
      <c r="AC707" s="4"/>
      <c r="AD707" s="4"/>
      <c r="AE707" s="4"/>
      <c r="AF707" s="4"/>
      <c r="AG707" s="4"/>
      <c r="AH707" s="4"/>
      <c r="AI707" s="17"/>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row>
    <row r="708">
      <c r="A708" s="4"/>
      <c r="B708" s="4"/>
      <c r="C708" s="4"/>
      <c r="D708" s="4"/>
      <c r="E708" s="17"/>
      <c r="F708" s="17"/>
      <c r="G708" s="17"/>
      <c r="H708" s="17"/>
      <c r="I708" s="17"/>
      <c r="J708" s="4"/>
      <c r="K708" s="17"/>
      <c r="L708" s="4"/>
      <c r="M708" s="4"/>
      <c r="N708" s="4"/>
      <c r="O708" s="4"/>
      <c r="P708" s="4"/>
      <c r="Q708" s="4"/>
      <c r="R708" s="4"/>
      <c r="S708" s="4"/>
      <c r="T708" s="4"/>
      <c r="U708" s="4"/>
      <c r="V708" s="404"/>
      <c r="W708" s="404"/>
      <c r="X708" s="4"/>
      <c r="Y708" s="4"/>
      <c r="Z708" s="4"/>
      <c r="AA708" s="4"/>
      <c r="AB708" s="4"/>
      <c r="AC708" s="4"/>
      <c r="AD708" s="4"/>
      <c r="AE708" s="4"/>
      <c r="AF708" s="4"/>
      <c r="AG708" s="4"/>
      <c r="AH708" s="4"/>
      <c r="AI708" s="17"/>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row>
    <row r="709">
      <c r="A709" s="4"/>
      <c r="B709" s="4"/>
      <c r="C709" s="4"/>
      <c r="D709" s="4"/>
      <c r="E709" s="17"/>
      <c r="F709" s="17"/>
      <c r="G709" s="17"/>
      <c r="H709" s="17"/>
      <c r="I709" s="17"/>
      <c r="J709" s="4"/>
      <c r="K709" s="17"/>
      <c r="L709" s="4"/>
      <c r="M709" s="4"/>
      <c r="N709" s="4"/>
      <c r="O709" s="4"/>
      <c r="P709" s="4"/>
      <c r="Q709" s="4"/>
      <c r="R709" s="4"/>
      <c r="S709" s="4"/>
      <c r="T709" s="4"/>
      <c r="U709" s="4"/>
      <c r="V709" s="404"/>
      <c r="W709" s="404"/>
      <c r="X709" s="4"/>
      <c r="Y709" s="4"/>
      <c r="Z709" s="4"/>
      <c r="AA709" s="4"/>
      <c r="AB709" s="4"/>
      <c r="AC709" s="4"/>
      <c r="AD709" s="4"/>
      <c r="AE709" s="4"/>
      <c r="AF709" s="4"/>
      <c r="AG709" s="4"/>
      <c r="AH709" s="4"/>
      <c r="AI709" s="17"/>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row>
    <row r="710">
      <c r="A710" s="4"/>
      <c r="B710" s="4"/>
      <c r="C710" s="4"/>
      <c r="D710" s="4"/>
      <c r="E710" s="17"/>
      <c r="F710" s="17"/>
      <c r="G710" s="17"/>
      <c r="H710" s="17"/>
      <c r="I710" s="17"/>
      <c r="J710" s="4"/>
      <c r="K710" s="17"/>
      <c r="L710" s="4"/>
      <c r="M710" s="4"/>
      <c r="N710" s="4"/>
      <c r="O710" s="4"/>
      <c r="P710" s="4"/>
      <c r="Q710" s="4"/>
      <c r="R710" s="4"/>
      <c r="S710" s="4"/>
      <c r="T710" s="4"/>
      <c r="U710" s="4"/>
      <c r="V710" s="404"/>
      <c r="W710" s="404"/>
      <c r="X710" s="4"/>
      <c r="Y710" s="4"/>
      <c r="Z710" s="4"/>
      <c r="AA710" s="4"/>
      <c r="AB710" s="4"/>
      <c r="AC710" s="4"/>
      <c r="AD710" s="4"/>
      <c r="AE710" s="4"/>
      <c r="AF710" s="4"/>
      <c r="AG710" s="4"/>
      <c r="AH710" s="4"/>
      <c r="AI710" s="17"/>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row>
    <row r="711">
      <c r="A711" s="4"/>
      <c r="B711" s="4"/>
      <c r="C711" s="4"/>
      <c r="D711" s="4"/>
      <c r="E711" s="17"/>
      <c r="F711" s="17"/>
      <c r="G711" s="17"/>
      <c r="H711" s="17"/>
      <c r="I711" s="17"/>
      <c r="J711" s="4"/>
      <c r="K711" s="17"/>
      <c r="L711" s="4"/>
      <c r="M711" s="4"/>
      <c r="N711" s="4"/>
      <c r="O711" s="4"/>
      <c r="P711" s="4"/>
      <c r="Q711" s="4"/>
      <c r="R711" s="4"/>
      <c r="S711" s="4"/>
      <c r="T711" s="4"/>
      <c r="U711" s="4"/>
      <c r="V711" s="404"/>
      <c r="W711" s="404"/>
      <c r="X711" s="4"/>
      <c r="Y711" s="4"/>
      <c r="Z711" s="4"/>
      <c r="AA711" s="4"/>
      <c r="AB711" s="4"/>
      <c r="AC711" s="4"/>
      <c r="AD711" s="4"/>
      <c r="AE711" s="4"/>
      <c r="AF711" s="4"/>
      <c r="AG711" s="4"/>
      <c r="AH711" s="4"/>
      <c r="AI711" s="17"/>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row>
    <row r="712">
      <c r="A712" s="4"/>
      <c r="B712" s="4"/>
      <c r="C712" s="4"/>
      <c r="D712" s="4"/>
      <c r="E712" s="17"/>
      <c r="F712" s="17"/>
      <c r="G712" s="17"/>
      <c r="H712" s="17"/>
      <c r="I712" s="17"/>
      <c r="J712" s="4"/>
      <c r="K712" s="17"/>
      <c r="L712" s="4"/>
      <c r="M712" s="4"/>
      <c r="N712" s="4"/>
      <c r="O712" s="4"/>
      <c r="P712" s="4"/>
      <c r="Q712" s="4"/>
      <c r="R712" s="4"/>
      <c r="S712" s="4"/>
      <c r="T712" s="4"/>
      <c r="U712" s="4"/>
      <c r="V712" s="404"/>
      <c r="W712" s="404"/>
      <c r="X712" s="4"/>
      <c r="Y712" s="4"/>
      <c r="Z712" s="4"/>
      <c r="AA712" s="4"/>
      <c r="AB712" s="4"/>
      <c r="AC712" s="4"/>
      <c r="AD712" s="4"/>
      <c r="AE712" s="4"/>
      <c r="AF712" s="4"/>
      <c r="AG712" s="4"/>
      <c r="AH712" s="4"/>
      <c r="AI712" s="17"/>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row>
    <row r="713">
      <c r="A713" s="4"/>
      <c r="B713" s="4"/>
      <c r="C713" s="4"/>
      <c r="D713" s="4"/>
      <c r="E713" s="17"/>
      <c r="F713" s="17"/>
      <c r="G713" s="17"/>
      <c r="H713" s="17"/>
      <c r="I713" s="17"/>
      <c r="J713" s="4"/>
      <c r="K713" s="17"/>
      <c r="L713" s="4"/>
      <c r="M713" s="4"/>
      <c r="N713" s="4"/>
      <c r="O713" s="4"/>
      <c r="P713" s="4"/>
      <c r="Q713" s="4"/>
      <c r="R713" s="4"/>
      <c r="S713" s="4"/>
      <c r="T713" s="4"/>
      <c r="U713" s="4"/>
      <c r="V713" s="404"/>
      <c r="W713" s="404"/>
      <c r="X713" s="4"/>
      <c r="Y713" s="4"/>
      <c r="Z713" s="4"/>
      <c r="AA713" s="4"/>
      <c r="AB713" s="4"/>
      <c r="AC713" s="4"/>
      <c r="AD713" s="4"/>
      <c r="AE713" s="4"/>
      <c r="AF713" s="4"/>
      <c r="AG713" s="4"/>
      <c r="AH713" s="4"/>
      <c r="AI713" s="17"/>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row>
    <row r="714">
      <c r="A714" s="4"/>
      <c r="B714" s="4"/>
      <c r="C714" s="4"/>
      <c r="D714" s="4"/>
      <c r="E714" s="17"/>
      <c r="F714" s="17"/>
      <c r="G714" s="17"/>
      <c r="H714" s="17"/>
      <c r="I714" s="17"/>
      <c r="J714" s="4"/>
      <c r="K714" s="17"/>
      <c r="L714" s="4"/>
      <c r="M714" s="4"/>
      <c r="N714" s="4"/>
      <c r="O714" s="4"/>
      <c r="P714" s="4"/>
      <c r="Q714" s="4"/>
      <c r="R714" s="4"/>
      <c r="S714" s="4"/>
      <c r="T714" s="4"/>
      <c r="U714" s="4"/>
      <c r="V714" s="404"/>
      <c r="W714" s="404"/>
      <c r="X714" s="4"/>
      <c r="Y714" s="4"/>
      <c r="Z714" s="4"/>
      <c r="AA714" s="4"/>
      <c r="AB714" s="4"/>
      <c r="AC714" s="4"/>
      <c r="AD714" s="4"/>
      <c r="AE714" s="4"/>
      <c r="AF714" s="4"/>
      <c r="AG714" s="4"/>
      <c r="AH714" s="4"/>
      <c r="AI714" s="17"/>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row>
    <row r="715">
      <c r="A715" s="4"/>
      <c r="B715" s="4"/>
      <c r="C715" s="4"/>
      <c r="D715" s="4"/>
      <c r="E715" s="17"/>
      <c r="F715" s="17"/>
      <c r="G715" s="17"/>
      <c r="H715" s="17"/>
      <c r="I715" s="17"/>
      <c r="J715" s="4"/>
      <c r="K715" s="17"/>
      <c r="L715" s="4"/>
      <c r="M715" s="4"/>
      <c r="N715" s="4"/>
      <c r="O715" s="4"/>
      <c r="P715" s="4"/>
      <c r="Q715" s="4"/>
      <c r="R715" s="4"/>
      <c r="S715" s="4"/>
      <c r="T715" s="4"/>
      <c r="U715" s="4"/>
      <c r="V715" s="404"/>
      <c r="W715" s="404"/>
      <c r="X715" s="4"/>
      <c r="Y715" s="4"/>
      <c r="Z715" s="4"/>
      <c r="AA715" s="4"/>
      <c r="AB715" s="4"/>
      <c r="AC715" s="4"/>
      <c r="AD715" s="4"/>
      <c r="AE715" s="4"/>
      <c r="AF715" s="4"/>
      <c r="AG715" s="4"/>
      <c r="AH715" s="4"/>
      <c r="AI715" s="17"/>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row>
    <row r="716">
      <c r="A716" s="4"/>
      <c r="B716" s="4"/>
      <c r="C716" s="4"/>
      <c r="D716" s="4"/>
      <c r="E716" s="17"/>
      <c r="F716" s="17"/>
      <c r="G716" s="17"/>
      <c r="H716" s="17"/>
      <c r="I716" s="17"/>
      <c r="J716" s="4"/>
      <c r="K716" s="17"/>
      <c r="L716" s="4"/>
      <c r="M716" s="4"/>
      <c r="N716" s="4"/>
      <c r="O716" s="4"/>
      <c r="P716" s="4"/>
      <c r="Q716" s="4"/>
      <c r="R716" s="4"/>
      <c r="S716" s="4"/>
      <c r="T716" s="4"/>
      <c r="U716" s="4"/>
      <c r="V716" s="404"/>
      <c r="W716" s="404"/>
      <c r="X716" s="4"/>
      <c r="Y716" s="4"/>
      <c r="Z716" s="4"/>
      <c r="AA716" s="4"/>
      <c r="AB716" s="4"/>
      <c r="AC716" s="4"/>
      <c r="AD716" s="4"/>
      <c r="AE716" s="4"/>
      <c r="AF716" s="4"/>
      <c r="AG716" s="4"/>
      <c r="AH716" s="4"/>
      <c r="AI716" s="17"/>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row>
    <row r="717">
      <c r="A717" s="4"/>
      <c r="B717" s="4"/>
      <c r="C717" s="4"/>
      <c r="D717" s="4"/>
      <c r="E717" s="17"/>
      <c r="F717" s="17"/>
      <c r="G717" s="17"/>
      <c r="H717" s="17"/>
      <c r="I717" s="17"/>
      <c r="J717" s="4"/>
      <c r="K717" s="17"/>
      <c r="L717" s="4"/>
      <c r="M717" s="4"/>
      <c r="N717" s="4"/>
      <c r="O717" s="4"/>
      <c r="P717" s="4"/>
      <c r="Q717" s="4"/>
      <c r="R717" s="4"/>
      <c r="S717" s="4"/>
      <c r="T717" s="4"/>
      <c r="U717" s="4"/>
      <c r="V717" s="404"/>
      <c r="W717" s="404"/>
      <c r="X717" s="4"/>
      <c r="Y717" s="4"/>
      <c r="Z717" s="4"/>
      <c r="AA717" s="4"/>
      <c r="AB717" s="4"/>
      <c r="AC717" s="4"/>
      <c r="AD717" s="4"/>
      <c r="AE717" s="4"/>
      <c r="AF717" s="4"/>
      <c r="AG717" s="4"/>
      <c r="AH717" s="4"/>
      <c r="AI717" s="17"/>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row>
    <row r="718">
      <c r="A718" s="4"/>
      <c r="B718" s="4"/>
      <c r="C718" s="4"/>
      <c r="D718" s="4"/>
      <c r="E718" s="17"/>
      <c r="F718" s="17"/>
      <c r="G718" s="17"/>
      <c r="H718" s="17"/>
      <c r="I718" s="17"/>
      <c r="J718" s="4"/>
      <c r="K718" s="17"/>
      <c r="L718" s="4"/>
      <c r="M718" s="4"/>
      <c r="N718" s="4"/>
      <c r="O718" s="4"/>
      <c r="P718" s="4"/>
      <c r="Q718" s="4"/>
      <c r="R718" s="4"/>
      <c r="S718" s="4"/>
      <c r="T718" s="4"/>
      <c r="U718" s="4"/>
      <c r="V718" s="404"/>
      <c r="W718" s="404"/>
      <c r="X718" s="4"/>
      <c r="Y718" s="4"/>
      <c r="Z718" s="4"/>
      <c r="AA718" s="4"/>
      <c r="AB718" s="4"/>
      <c r="AC718" s="4"/>
      <c r="AD718" s="4"/>
      <c r="AE718" s="4"/>
      <c r="AF718" s="4"/>
      <c r="AG718" s="4"/>
      <c r="AH718" s="4"/>
      <c r="AI718" s="17"/>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row>
    <row r="719">
      <c r="A719" s="4"/>
      <c r="B719" s="4"/>
      <c r="C719" s="4"/>
      <c r="D719" s="4"/>
      <c r="E719" s="17"/>
      <c r="F719" s="17"/>
      <c r="G719" s="17"/>
      <c r="H719" s="17"/>
      <c r="I719" s="17"/>
      <c r="J719" s="4"/>
      <c r="K719" s="17"/>
      <c r="L719" s="4"/>
      <c r="M719" s="4"/>
      <c r="N719" s="4"/>
      <c r="O719" s="4"/>
      <c r="P719" s="4"/>
      <c r="Q719" s="4"/>
      <c r="R719" s="4"/>
      <c r="S719" s="4"/>
      <c r="T719" s="4"/>
      <c r="U719" s="4"/>
      <c r="V719" s="404"/>
      <c r="W719" s="404"/>
      <c r="X719" s="4"/>
      <c r="Y719" s="4"/>
      <c r="Z719" s="4"/>
      <c r="AA719" s="4"/>
      <c r="AB719" s="4"/>
      <c r="AC719" s="4"/>
      <c r="AD719" s="4"/>
      <c r="AE719" s="4"/>
      <c r="AF719" s="4"/>
      <c r="AG719" s="4"/>
      <c r="AH719" s="4"/>
      <c r="AI719" s="17"/>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row>
    <row r="720">
      <c r="A720" s="4"/>
      <c r="B720" s="4"/>
      <c r="C720" s="4"/>
      <c r="D720" s="4"/>
      <c r="E720" s="17"/>
      <c r="F720" s="17"/>
      <c r="G720" s="17"/>
      <c r="H720" s="17"/>
      <c r="I720" s="17"/>
      <c r="J720" s="4"/>
      <c r="K720" s="17"/>
      <c r="L720" s="4"/>
      <c r="M720" s="4"/>
      <c r="N720" s="4"/>
      <c r="O720" s="4"/>
      <c r="P720" s="4"/>
      <c r="Q720" s="4"/>
      <c r="R720" s="4"/>
      <c r="S720" s="4"/>
      <c r="T720" s="4"/>
      <c r="U720" s="4"/>
      <c r="V720" s="404"/>
      <c r="W720" s="404"/>
      <c r="X720" s="4"/>
      <c r="Y720" s="4"/>
      <c r="Z720" s="4"/>
      <c r="AA720" s="4"/>
      <c r="AB720" s="4"/>
      <c r="AC720" s="4"/>
      <c r="AD720" s="4"/>
      <c r="AE720" s="4"/>
      <c r="AF720" s="4"/>
      <c r="AG720" s="4"/>
      <c r="AH720" s="4"/>
      <c r="AI720" s="17"/>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row>
    <row r="721">
      <c r="A721" s="4"/>
      <c r="B721" s="4"/>
      <c r="C721" s="4"/>
      <c r="D721" s="4"/>
      <c r="E721" s="17"/>
      <c r="F721" s="17"/>
      <c r="G721" s="17"/>
      <c r="H721" s="17"/>
      <c r="I721" s="17"/>
      <c r="J721" s="4"/>
      <c r="K721" s="17"/>
      <c r="L721" s="4"/>
      <c r="M721" s="4"/>
      <c r="N721" s="4"/>
      <c r="O721" s="4"/>
      <c r="P721" s="4"/>
      <c r="Q721" s="4"/>
      <c r="R721" s="4"/>
      <c r="S721" s="4"/>
      <c r="T721" s="4"/>
      <c r="U721" s="4"/>
      <c r="V721" s="404"/>
      <c r="W721" s="404"/>
      <c r="X721" s="4"/>
      <c r="Y721" s="4"/>
      <c r="Z721" s="4"/>
      <c r="AA721" s="4"/>
      <c r="AB721" s="4"/>
      <c r="AC721" s="4"/>
      <c r="AD721" s="4"/>
      <c r="AE721" s="4"/>
      <c r="AF721" s="4"/>
      <c r="AG721" s="4"/>
      <c r="AH721" s="4"/>
      <c r="AI721" s="17"/>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row>
    <row r="722">
      <c r="A722" s="4"/>
      <c r="B722" s="4"/>
      <c r="C722" s="4"/>
      <c r="D722" s="4"/>
      <c r="E722" s="17"/>
      <c r="F722" s="17"/>
      <c r="G722" s="17"/>
      <c r="H722" s="17"/>
      <c r="I722" s="17"/>
      <c r="J722" s="4"/>
      <c r="K722" s="17"/>
      <c r="L722" s="4"/>
      <c r="M722" s="4"/>
      <c r="N722" s="4"/>
      <c r="O722" s="4"/>
      <c r="P722" s="4"/>
      <c r="Q722" s="4"/>
      <c r="R722" s="4"/>
      <c r="S722" s="4"/>
      <c r="T722" s="4"/>
      <c r="U722" s="4"/>
      <c r="V722" s="404"/>
      <c r="W722" s="404"/>
      <c r="X722" s="4"/>
      <c r="Y722" s="4"/>
      <c r="Z722" s="4"/>
      <c r="AA722" s="4"/>
      <c r="AB722" s="4"/>
      <c r="AC722" s="4"/>
      <c r="AD722" s="4"/>
      <c r="AE722" s="4"/>
      <c r="AF722" s="4"/>
      <c r="AG722" s="4"/>
      <c r="AH722" s="4"/>
      <c r="AI722" s="17"/>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row>
    <row r="723">
      <c r="A723" s="4"/>
      <c r="B723" s="4"/>
      <c r="C723" s="4"/>
      <c r="D723" s="4"/>
      <c r="E723" s="17"/>
      <c r="F723" s="17"/>
      <c r="G723" s="17"/>
      <c r="H723" s="17"/>
      <c r="I723" s="17"/>
      <c r="J723" s="4"/>
      <c r="K723" s="17"/>
      <c r="L723" s="4"/>
      <c r="M723" s="4"/>
      <c r="N723" s="4"/>
      <c r="O723" s="4"/>
      <c r="P723" s="4"/>
      <c r="Q723" s="4"/>
      <c r="R723" s="4"/>
      <c r="S723" s="4"/>
      <c r="T723" s="4"/>
      <c r="U723" s="4"/>
      <c r="V723" s="404"/>
      <c r="W723" s="404"/>
      <c r="X723" s="4"/>
      <c r="Y723" s="4"/>
      <c r="Z723" s="4"/>
      <c r="AA723" s="4"/>
      <c r="AB723" s="4"/>
      <c r="AC723" s="4"/>
      <c r="AD723" s="4"/>
      <c r="AE723" s="4"/>
      <c r="AF723" s="4"/>
      <c r="AG723" s="4"/>
      <c r="AH723" s="4"/>
      <c r="AI723" s="17"/>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row>
    <row r="724">
      <c r="A724" s="4"/>
      <c r="B724" s="4"/>
      <c r="C724" s="4"/>
      <c r="D724" s="4"/>
      <c r="E724" s="17"/>
      <c r="F724" s="17"/>
      <c r="G724" s="17"/>
      <c r="H724" s="17"/>
      <c r="I724" s="17"/>
      <c r="J724" s="4"/>
      <c r="K724" s="17"/>
      <c r="L724" s="4"/>
      <c r="M724" s="4"/>
      <c r="N724" s="4"/>
      <c r="O724" s="4"/>
      <c r="P724" s="4"/>
      <c r="Q724" s="4"/>
      <c r="R724" s="4"/>
      <c r="S724" s="4"/>
      <c r="T724" s="4"/>
      <c r="U724" s="4"/>
      <c r="V724" s="404"/>
      <c r="W724" s="404"/>
      <c r="X724" s="4"/>
      <c r="Y724" s="4"/>
      <c r="Z724" s="4"/>
      <c r="AA724" s="4"/>
      <c r="AB724" s="4"/>
      <c r="AC724" s="4"/>
      <c r="AD724" s="4"/>
      <c r="AE724" s="4"/>
      <c r="AF724" s="4"/>
      <c r="AG724" s="4"/>
      <c r="AH724" s="4"/>
      <c r="AI724" s="17"/>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row>
    <row r="725">
      <c r="A725" s="4"/>
      <c r="B725" s="4"/>
      <c r="C725" s="4"/>
      <c r="D725" s="4"/>
      <c r="E725" s="17"/>
      <c r="F725" s="17"/>
      <c r="G725" s="17"/>
      <c r="H725" s="17"/>
      <c r="I725" s="17"/>
      <c r="J725" s="4"/>
      <c r="K725" s="17"/>
      <c r="L725" s="4"/>
      <c r="M725" s="4"/>
      <c r="N725" s="4"/>
      <c r="O725" s="4"/>
      <c r="P725" s="4"/>
      <c r="Q725" s="4"/>
      <c r="R725" s="4"/>
      <c r="S725" s="4"/>
      <c r="T725" s="4"/>
      <c r="U725" s="4"/>
      <c r="V725" s="404"/>
      <c r="W725" s="404"/>
      <c r="X725" s="4"/>
      <c r="Y725" s="4"/>
      <c r="Z725" s="4"/>
      <c r="AA725" s="4"/>
      <c r="AB725" s="4"/>
      <c r="AC725" s="4"/>
      <c r="AD725" s="4"/>
      <c r="AE725" s="4"/>
      <c r="AF725" s="4"/>
      <c r="AG725" s="4"/>
      <c r="AH725" s="4"/>
      <c r="AI725" s="17"/>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row>
    <row r="726">
      <c r="A726" s="4"/>
      <c r="B726" s="4"/>
      <c r="C726" s="4"/>
      <c r="D726" s="4"/>
      <c r="E726" s="17"/>
      <c r="F726" s="17"/>
      <c r="G726" s="17"/>
      <c r="H726" s="17"/>
      <c r="I726" s="17"/>
      <c r="J726" s="4"/>
      <c r="K726" s="17"/>
      <c r="L726" s="4"/>
      <c r="M726" s="4"/>
      <c r="N726" s="4"/>
      <c r="O726" s="4"/>
      <c r="P726" s="4"/>
      <c r="Q726" s="4"/>
      <c r="R726" s="4"/>
      <c r="S726" s="4"/>
      <c r="T726" s="4"/>
      <c r="U726" s="4"/>
      <c r="V726" s="404"/>
      <c r="W726" s="404"/>
      <c r="X726" s="4"/>
      <c r="Y726" s="4"/>
      <c r="Z726" s="4"/>
      <c r="AA726" s="4"/>
      <c r="AB726" s="4"/>
      <c r="AC726" s="4"/>
      <c r="AD726" s="4"/>
      <c r="AE726" s="4"/>
      <c r="AF726" s="4"/>
      <c r="AG726" s="4"/>
      <c r="AH726" s="4"/>
      <c r="AI726" s="17"/>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row>
    <row r="727">
      <c r="A727" s="4"/>
      <c r="B727" s="4"/>
      <c r="C727" s="4"/>
      <c r="D727" s="4"/>
      <c r="E727" s="17"/>
      <c r="F727" s="17"/>
      <c r="G727" s="17"/>
      <c r="H727" s="17"/>
      <c r="I727" s="17"/>
      <c r="J727" s="4"/>
      <c r="K727" s="17"/>
      <c r="L727" s="4"/>
      <c r="M727" s="4"/>
      <c r="N727" s="4"/>
      <c r="O727" s="4"/>
      <c r="P727" s="4"/>
      <c r="Q727" s="4"/>
      <c r="R727" s="4"/>
      <c r="S727" s="4"/>
      <c r="T727" s="4"/>
      <c r="U727" s="4"/>
      <c r="V727" s="404"/>
      <c r="W727" s="404"/>
      <c r="X727" s="4"/>
      <c r="Y727" s="4"/>
      <c r="Z727" s="4"/>
      <c r="AA727" s="4"/>
      <c r="AB727" s="4"/>
      <c r="AC727" s="4"/>
      <c r="AD727" s="4"/>
      <c r="AE727" s="4"/>
      <c r="AF727" s="4"/>
      <c r="AG727" s="4"/>
      <c r="AH727" s="4"/>
      <c r="AI727" s="17"/>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row>
    <row r="728">
      <c r="A728" s="4"/>
      <c r="B728" s="4"/>
      <c r="C728" s="4"/>
      <c r="D728" s="4"/>
      <c r="E728" s="17"/>
      <c r="F728" s="17"/>
      <c r="G728" s="17"/>
      <c r="H728" s="17"/>
      <c r="I728" s="17"/>
      <c r="J728" s="4"/>
      <c r="K728" s="17"/>
      <c r="L728" s="4"/>
      <c r="M728" s="4"/>
      <c r="N728" s="4"/>
      <c r="O728" s="4"/>
      <c r="P728" s="4"/>
      <c r="Q728" s="4"/>
      <c r="R728" s="4"/>
      <c r="S728" s="4"/>
      <c r="T728" s="4"/>
      <c r="U728" s="4"/>
      <c r="V728" s="404"/>
      <c r="W728" s="404"/>
      <c r="X728" s="4"/>
      <c r="Y728" s="4"/>
      <c r="Z728" s="4"/>
      <c r="AA728" s="4"/>
      <c r="AB728" s="4"/>
      <c r="AC728" s="4"/>
      <c r="AD728" s="4"/>
      <c r="AE728" s="4"/>
      <c r="AF728" s="4"/>
      <c r="AG728" s="4"/>
      <c r="AH728" s="4"/>
      <c r="AI728" s="17"/>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row>
    <row r="729">
      <c r="A729" s="4"/>
      <c r="B729" s="4"/>
      <c r="C729" s="4"/>
      <c r="D729" s="4"/>
      <c r="E729" s="17"/>
      <c r="F729" s="17"/>
      <c r="G729" s="17"/>
      <c r="H729" s="17"/>
      <c r="I729" s="17"/>
      <c r="J729" s="4"/>
      <c r="K729" s="17"/>
      <c r="L729" s="4"/>
      <c r="M729" s="4"/>
      <c r="N729" s="4"/>
      <c r="O729" s="4"/>
      <c r="P729" s="4"/>
      <c r="Q729" s="4"/>
      <c r="R729" s="4"/>
      <c r="S729" s="4"/>
      <c r="T729" s="4"/>
      <c r="U729" s="4"/>
      <c r="V729" s="404"/>
      <c r="W729" s="404"/>
      <c r="X729" s="4"/>
      <c r="Y729" s="4"/>
      <c r="Z729" s="4"/>
      <c r="AA729" s="4"/>
      <c r="AB729" s="4"/>
      <c r="AC729" s="4"/>
      <c r="AD729" s="4"/>
      <c r="AE729" s="4"/>
      <c r="AF729" s="4"/>
      <c r="AG729" s="4"/>
      <c r="AH729" s="4"/>
      <c r="AI729" s="17"/>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row>
    <row r="730">
      <c r="A730" s="4"/>
      <c r="B730" s="4"/>
      <c r="C730" s="4"/>
      <c r="D730" s="4"/>
      <c r="E730" s="17"/>
      <c r="F730" s="17"/>
      <c r="G730" s="17"/>
      <c r="H730" s="17"/>
      <c r="I730" s="17"/>
      <c r="J730" s="4"/>
      <c r="K730" s="17"/>
      <c r="L730" s="4"/>
      <c r="M730" s="4"/>
      <c r="N730" s="4"/>
      <c r="O730" s="4"/>
      <c r="P730" s="4"/>
      <c r="Q730" s="4"/>
      <c r="R730" s="4"/>
      <c r="S730" s="4"/>
      <c r="T730" s="4"/>
      <c r="U730" s="4"/>
      <c r="V730" s="404"/>
      <c r="W730" s="404"/>
      <c r="X730" s="4"/>
      <c r="Y730" s="4"/>
      <c r="Z730" s="4"/>
      <c r="AA730" s="4"/>
      <c r="AB730" s="4"/>
      <c r="AC730" s="4"/>
      <c r="AD730" s="4"/>
      <c r="AE730" s="4"/>
      <c r="AF730" s="4"/>
      <c r="AG730" s="4"/>
      <c r="AH730" s="4"/>
      <c r="AI730" s="17"/>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row>
    <row r="731">
      <c r="A731" s="4"/>
      <c r="B731" s="4"/>
      <c r="C731" s="4"/>
      <c r="D731" s="4"/>
      <c r="E731" s="17"/>
      <c r="F731" s="17"/>
      <c r="G731" s="17"/>
      <c r="H731" s="17"/>
      <c r="I731" s="17"/>
      <c r="J731" s="4"/>
      <c r="K731" s="17"/>
      <c r="L731" s="4"/>
      <c r="M731" s="4"/>
      <c r="N731" s="4"/>
      <c r="O731" s="4"/>
      <c r="P731" s="4"/>
      <c r="Q731" s="4"/>
      <c r="R731" s="4"/>
      <c r="S731" s="4"/>
      <c r="T731" s="4"/>
      <c r="U731" s="4"/>
      <c r="V731" s="404"/>
      <c r="W731" s="404"/>
      <c r="X731" s="4"/>
      <c r="Y731" s="4"/>
      <c r="Z731" s="4"/>
      <c r="AA731" s="4"/>
      <c r="AB731" s="4"/>
      <c r="AC731" s="4"/>
      <c r="AD731" s="4"/>
      <c r="AE731" s="4"/>
      <c r="AF731" s="4"/>
      <c r="AG731" s="4"/>
      <c r="AH731" s="4"/>
      <c r="AI731" s="17"/>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row>
    <row r="732">
      <c r="A732" s="4"/>
      <c r="B732" s="4"/>
      <c r="C732" s="4"/>
      <c r="D732" s="4"/>
      <c r="E732" s="17"/>
      <c r="F732" s="17"/>
      <c r="G732" s="17"/>
      <c r="H732" s="17"/>
      <c r="I732" s="17"/>
      <c r="J732" s="4"/>
      <c r="K732" s="17"/>
      <c r="L732" s="4"/>
      <c r="M732" s="4"/>
      <c r="N732" s="4"/>
      <c r="O732" s="4"/>
      <c r="P732" s="4"/>
      <c r="Q732" s="4"/>
      <c r="R732" s="4"/>
      <c r="S732" s="4"/>
      <c r="T732" s="4"/>
      <c r="U732" s="4"/>
      <c r="V732" s="404"/>
      <c r="W732" s="404"/>
      <c r="X732" s="4"/>
      <c r="Y732" s="4"/>
      <c r="Z732" s="4"/>
      <c r="AA732" s="4"/>
      <c r="AB732" s="4"/>
      <c r="AC732" s="4"/>
      <c r="AD732" s="4"/>
      <c r="AE732" s="4"/>
      <c r="AF732" s="4"/>
      <c r="AG732" s="4"/>
      <c r="AH732" s="4"/>
      <c r="AI732" s="17"/>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row>
    <row r="733">
      <c r="A733" s="4"/>
      <c r="B733" s="4"/>
      <c r="C733" s="4"/>
      <c r="D733" s="4"/>
      <c r="E733" s="17"/>
      <c r="F733" s="17"/>
      <c r="G733" s="17"/>
      <c r="H733" s="17"/>
      <c r="I733" s="17"/>
      <c r="J733" s="4"/>
      <c r="K733" s="17"/>
      <c r="L733" s="4"/>
      <c r="M733" s="4"/>
      <c r="N733" s="4"/>
      <c r="O733" s="4"/>
      <c r="P733" s="4"/>
      <c r="Q733" s="4"/>
      <c r="R733" s="4"/>
      <c r="S733" s="4"/>
      <c r="T733" s="4"/>
      <c r="U733" s="4"/>
      <c r="V733" s="404"/>
      <c r="W733" s="404"/>
      <c r="X733" s="4"/>
      <c r="Y733" s="4"/>
      <c r="Z733" s="4"/>
      <c r="AA733" s="4"/>
      <c r="AB733" s="4"/>
      <c r="AC733" s="4"/>
      <c r="AD733" s="4"/>
      <c r="AE733" s="4"/>
      <c r="AF733" s="4"/>
      <c r="AG733" s="4"/>
      <c r="AH733" s="4"/>
      <c r="AI733" s="17"/>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row>
    <row r="734">
      <c r="A734" s="4"/>
      <c r="B734" s="4"/>
      <c r="C734" s="4"/>
      <c r="D734" s="4"/>
      <c r="E734" s="17"/>
      <c r="F734" s="17"/>
      <c r="G734" s="17"/>
      <c r="H734" s="17"/>
      <c r="I734" s="17"/>
      <c r="J734" s="4"/>
      <c r="K734" s="17"/>
      <c r="L734" s="4"/>
      <c r="M734" s="4"/>
      <c r="N734" s="4"/>
      <c r="O734" s="4"/>
      <c r="P734" s="4"/>
      <c r="Q734" s="4"/>
      <c r="R734" s="4"/>
      <c r="S734" s="4"/>
      <c r="T734" s="4"/>
      <c r="U734" s="4"/>
      <c r="V734" s="404"/>
      <c r="W734" s="404"/>
      <c r="X734" s="4"/>
      <c r="Y734" s="4"/>
      <c r="Z734" s="4"/>
      <c r="AA734" s="4"/>
      <c r="AB734" s="4"/>
      <c r="AC734" s="4"/>
      <c r="AD734" s="4"/>
      <c r="AE734" s="4"/>
      <c r="AF734" s="4"/>
      <c r="AG734" s="4"/>
      <c r="AH734" s="4"/>
      <c r="AI734" s="17"/>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row>
    <row r="735">
      <c r="A735" s="4"/>
      <c r="B735" s="4"/>
      <c r="C735" s="4"/>
      <c r="D735" s="4"/>
      <c r="E735" s="17"/>
      <c r="F735" s="17"/>
      <c r="G735" s="17"/>
      <c r="H735" s="17"/>
      <c r="I735" s="17"/>
      <c r="J735" s="4"/>
      <c r="K735" s="17"/>
      <c r="L735" s="4"/>
      <c r="M735" s="4"/>
      <c r="N735" s="4"/>
      <c r="O735" s="4"/>
      <c r="P735" s="4"/>
      <c r="Q735" s="4"/>
      <c r="R735" s="4"/>
      <c r="S735" s="4"/>
      <c r="T735" s="4"/>
      <c r="U735" s="4"/>
      <c r="V735" s="404"/>
      <c r="W735" s="404"/>
      <c r="X735" s="4"/>
      <c r="Y735" s="4"/>
      <c r="Z735" s="4"/>
      <c r="AA735" s="4"/>
      <c r="AB735" s="4"/>
      <c r="AC735" s="4"/>
      <c r="AD735" s="4"/>
      <c r="AE735" s="4"/>
      <c r="AF735" s="4"/>
      <c r="AG735" s="4"/>
      <c r="AH735" s="4"/>
      <c r="AI735" s="17"/>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row>
    <row r="736">
      <c r="A736" s="4"/>
      <c r="B736" s="4"/>
      <c r="C736" s="4"/>
      <c r="D736" s="4"/>
      <c r="E736" s="17"/>
      <c r="F736" s="17"/>
      <c r="G736" s="17"/>
      <c r="H736" s="17"/>
      <c r="I736" s="17"/>
      <c r="J736" s="4"/>
      <c r="K736" s="17"/>
      <c r="L736" s="4"/>
      <c r="M736" s="4"/>
      <c r="N736" s="4"/>
      <c r="O736" s="4"/>
      <c r="P736" s="4"/>
      <c r="Q736" s="4"/>
      <c r="R736" s="4"/>
      <c r="S736" s="4"/>
      <c r="T736" s="4"/>
      <c r="U736" s="4"/>
      <c r="V736" s="404"/>
      <c r="W736" s="404"/>
      <c r="X736" s="4"/>
      <c r="Y736" s="4"/>
      <c r="Z736" s="4"/>
      <c r="AA736" s="4"/>
      <c r="AB736" s="4"/>
      <c r="AC736" s="4"/>
      <c r="AD736" s="4"/>
      <c r="AE736" s="4"/>
      <c r="AF736" s="4"/>
      <c r="AG736" s="4"/>
      <c r="AH736" s="4"/>
      <c r="AI736" s="17"/>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row>
    <row r="737">
      <c r="A737" s="4"/>
      <c r="B737" s="4"/>
      <c r="C737" s="4"/>
      <c r="D737" s="4"/>
      <c r="E737" s="17"/>
      <c r="F737" s="17"/>
      <c r="G737" s="17"/>
      <c r="H737" s="17"/>
      <c r="I737" s="17"/>
      <c r="J737" s="4"/>
      <c r="K737" s="17"/>
      <c r="L737" s="4"/>
      <c r="M737" s="4"/>
      <c r="N737" s="4"/>
      <c r="O737" s="4"/>
      <c r="P737" s="4"/>
      <c r="Q737" s="4"/>
      <c r="R737" s="4"/>
      <c r="S737" s="4"/>
      <c r="T737" s="4"/>
      <c r="U737" s="4"/>
      <c r="V737" s="404"/>
      <c r="W737" s="404"/>
      <c r="X737" s="4"/>
      <c r="Y737" s="4"/>
      <c r="Z737" s="4"/>
      <c r="AA737" s="4"/>
      <c r="AB737" s="4"/>
      <c r="AC737" s="4"/>
      <c r="AD737" s="4"/>
      <c r="AE737" s="4"/>
      <c r="AF737" s="4"/>
      <c r="AG737" s="4"/>
      <c r="AH737" s="4"/>
      <c r="AI737" s="17"/>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row>
    <row r="738">
      <c r="A738" s="4"/>
      <c r="B738" s="4"/>
      <c r="C738" s="4"/>
      <c r="D738" s="4"/>
      <c r="E738" s="17"/>
      <c r="F738" s="17"/>
      <c r="G738" s="17"/>
      <c r="H738" s="17"/>
      <c r="I738" s="17"/>
      <c r="J738" s="4"/>
      <c r="K738" s="17"/>
      <c r="L738" s="4"/>
      <c r="M738" s="4"/>
      <c r="N738" s="4"/>
      <c r="O738" s="4"/>
      <c r="P738" s="4"/>
      <c r="Q738" s="4"/>
      <c r="R738" s="4"/>
      <c r="S738" s="4"/>
      <c r="T738" s="4"/>
      <c r="U738" s="4"/>
      <c r="V738" s="404"/>
      <c r="W738" s="404"/>
      <c r="X738" s="4"/>
      <c r="Y738" s="4"/>
      <c r="Z738" s="4"/>
      <c r="AA738" s="4"/>
      <c r="AB738" s="4"/>
      <c r="AC738" s="4"/>
      <c r="AD738" s="4"/>
      <c r="AE738" s="4"/>
      <c r="AF738" s="4"/>
      <c r="AG738" s="4"/>
      <c r="AH738" s="4"/>
      <c r="AI738" s="17"/>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row>
    <row r="739">
      <c r="A739" s="4"/>
      <c r="B739" s="4"/>
      <c r="C739" s="4"/>
      <c r="D739" s="4"/>
      <c r="E739" s="17"/>
      <c r="F739" s="17"/>
      <c r="G739" s="17"/>
      <c r="H739" s="17"/>
      <c r="I739" s="17"/>
      <c r="J739" s="4"/>
      <c r="K739" s="17"/>
      <c r="L739" s="4"/>
      <c r="M739" s="4"/>
      <c r="N739" s="4"/>
      <c r="O739" s="4"/>
      <c r="P739" s="4"/>
      <c r="Q739" s="4"/>
      <c r="R739" s="4"/>
      <c r="S739" s="4"/>
      <c r="T739" s="4"/>
      <c r="U739" s="4"/>
      <c r="V739" s="404"/>
      <c r="W739" s="404"/>
      <c r="X739" s="4"/>
      <c r="Y739" s="4"/>
      <c r="Z739" s="4"/>
      <c r="AA739" s="4"/>
      <c r="AB739" s="4"/>
      <c r="AC739" s="4"/>
      <c r="AD739" s="4"/>
      <c r="AE739" s="4"/>
      <c r="AF739" s="4"/>
      <c r="AG739" s="4"/>
      <c r="AH739" s="4"/>
      <c r="AI739" s="17"/>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row>
    <row r="740">
      <c r="A740" s="4"/>
      <c r="B740" s="4"/>
      <c r="C740" s="4"/>
      <c r="D740" s="4"/>
      <c r="E740" s="17"/>
      <c r="F740" s="17"/>
      <c r="G740" s="17"/>
      <c r="H740" s="17"/>
      <c r="I740" s="17"/>
      <c r="J740" s="4"/>
      <c r="K740" s="17"/>
      <c r="L740" s="4"/>
      <c r="M740" s="4"/>
      <c r="N740" s="4"/>
      <c r="O740" s="4"/>
      <c r="P740" s="4"/>
      <c r="Q740" s="4"/>
      <c r="R740" s="4"/>
      <c r="S740" s="4"/>
      <c r="T740" s="4"/>
      <c r="U740" s="4"/>
      <c r="V740" s="404"/>
      <c r="W740" s="404"/>
      <c r="X740" s="4"/>
      <c r="Y740" s="4"/>
      <c r="Z740" s="4"/>
      <c r="AA740" s="4"/>
      <c r="AB740" s="4"/>
      <c r="AC740" s="4"/>
      <c r="AD740" s="4"/>
      <c r="AE740" s="4"/>
      <c r="AF740" s="4"/>
      <c r="AG740" s="4"/>
      <c r="AH740" s="4"/>
      <c r="AI740" s="17"/>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row>
    <row r="741">
      <c r="A741" s="4"/>
      <c r="B741" s="4"/>
      <c r="C741" s="4"/>
      <c r="D741" s="4"/>
      <c r="E741" s="17"/>
      <c r="F741" s="17"/>
      <c r="G741" s="17"/>
      <c r="H741" s="17"/>
      <c r="I741" s="17"/>
      <c r="J741" s="4"/>
      <c r="K741" s="17"/>
      <c r="L741" s="4"/>
      <c r="M741" s="4"/>
      <c r="N741" s="4"/>
      <c r="O741" s="4"/>
      <c r="P741" s="4"/>
      <c r="Q741" s="4"/>
      <c r="R741" s="4"/>
      <c r="S741" s="4"/>
      <c r="T741" s="4"/>
      <c r="U741" s="4"/>
      <c r="V741" s="404"/>
      <c r="W741" s="404"/>
      <c r="X741" s="4"/>
      <c r="Y741" s="4"/>
      <c r="Z741" s="4"/>
      <c r="AA741" s="4"/>
      <c r="AB741" s="4"/>
      <c r="AC741" s="4"/>
      <c r="AD741" s="4"/>
      <c r="AE741" s="4"/>
      <c r="AF741" s="4"/>
      <c r="AG741" s="4"/>
      <c r="AH741" s="4"/>
      <c r="AI741" s="17"/>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row>
    <row r="742">
      <c r="A742" s="4"/>
      <c r="B742" s="4"/>
      <c r="C742" s="4"/>
      <c r="D742" s="4"/>
      <c r="E742" s="17"/>
      <c r="F742" s="17"/>
      <c r="G742" s="17"/>
      <c r="H742" s="17"/>
      <c r="I742" s="17"/>
      <c r="J742" s="4"/>
      <c r="K742" s="17"/>
      <c r="L742" s="4"/>
      <c r="M742" s="4"/>
      <c r="N742" s="4"/>
      <c r="O742" s="4"/>
      <c r="P742" s="4"/>
      <c r="Q742" s="4"/>
      <c r="R742" s="4"/>
      <c r="S742" s="4"/>
      <c r="T742" s="4"/>
      <c r="U742" s="4"/>
      <c r="V742" s="404"/>
      <c r="W742" s="404"/>
      <c r="X742" s="4"/>
      <c r="Y742" s="4"/>
      <c r="Z742" s="4"/>
      <c r="AA742" s="4"/>
      <c r="AB742" s="4"/>
      <c r="AC742" s="4"/>
      <c r="AD742" s="4"/>
      <c r="AE742" s="4"/>
      <c r="AF742" s="4"/>
      <c r="AG742" s="4"/>
      <c r="AH742" s="4"/>
      <c r="AI742" s="17"/>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row>
    <row r="743">
      <c r="A743" s="4"/>
      <c r="B743" s="4"/>
      <c r="C743" s="4"/>
      <c r="D743" s="4"/>
      <c r="E743" s="17"/>
      <c r="F743" s="17"/>
      <c r="G743" s="17"/>
      <c r="H743" s="17"/>
      <c r="I743" s="17"/>
      <c r="J743" s="4"/>
      <c r="K743" s="17"/>
      <c r="L743" s="4"/>
      <c r="M743" s="4"/>
      <c r="N743" s="4"/>
      <c r="O743" s="4"/>
      <c r="P743" s="4"/>
      <c r="Q743" s="4"/>
      <c r="R743" s="4"/>
      <c r="S743" s="4"/>
      <c r="T743" s="4"/>
      <c r="U743" s="4"/>
      <c r="V743" s="404"/>
      <c r="W743" s="404"/>
      <c r="X743" s="4"/>
      <c r="Y743" s="4"/>
      <c r="Z743" s="4"/>
      <c r="AA743" s="4"/>
      <c r="AB743" s="4"/>
      <c r="AC743" s="4"/>
      <c r="AD743" s="4"/>
      <c r="AE743" s="4"/>
      <c r="AF743" s="4"/>
      <c r="AG743" s="4"/>
      <c r="AH743" s="4"/>
      <c r="AI743" s="17"/>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row>
    <row r="744">
      <c r="A744" s="4"/>
      <c r="B744" s="4"/>
      <c r="C744" s="4"/>
      <c r="D744" s="4"/>
      <c r="E744" s="17"/>
      <c r="F744" s="17"/>
      <c r="G744" s="17"/>
      <c r="H744" s="17"/>
      <c r="I744" s="17"/>
      <c r="J744" s="4"/>
      <c r="K744" s="17"/>
      <c r="L744" s="4"/>
      <c r="M744" s="4"/>
      <c r="N744" s="4"/>
      <c r="O744" s="4"/>
      <c r="P744" s="4"/>
      <c r="Q744" s="4"/>
      <c r="R744" s="4"/>
      <c r="S744" s="4"/>
      <c r="T744" s="4"/>
      <c r="U744" s="4"/>
      <c r="V744" s="404"/>
      <c r="W744" s="404"/>
      <c r="X744" s="4"/>
      <c r="Y744" s="4"/>
      <c r="Z744" s="4"/>
      <c r="AA744" s="4"/>
      <c r="AB744" s="4"/>
      <c r="AC744" s="4"/>
      <c r="AD744" s="4"/>
      <c r="AE744" s="4"/>
      <c r="AF744" s="4"/>
      <c r="AG744" s="4"/>
      <c r="AH744" s="4"/>
      <c r="AI744" s="17"/>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row>
    <row r="745">
      <c r="A745" s="4"/>
      <c r="B745" s="4"/>
      <c r="C745" s="4"/>
      <c r="D745" s="4"/>
      <c r="E745" s="17"/>
      <c r="F745" s="17"/>
      <c r="G745" s="17"/>
      <c r="H745" s="17"/>
      <c r="I745" s="17"/>
      <c r="J745" s="4"/>
      <c r="K745" s="17"/>
      <c r="L745" s="4"/>
      <c r="M745" s="4"/>
      <c r="N745" s="4"/>
      <c r="O745" s="4"/>
      <c r="P745" s="4"/>
      <c r="Q745" s="4"/>
      <c r="R745" s="4"/>
      <c r="S745" s="4"/>
      <c r="T745" s="4"/>
      <c r="U745" s="4"/>
      <c r="V745" s="404"/>
      <c r="W745" s="404"/>
      <c r="X745" s="4"/>
      <c r="Y745" s="4"/>
      <c r="Z745" s="4"/>
      <c r="AA745" s="4"/>
      <c r="AB745" s="4"/>
      <c r="AC745" s="4"/>
      <c r="AD745" s="4"/>
      <c r="AE745" s="4"/>
      <c r="AF745" s="4"/>
      <c r="AG745" s="4"/>
      <c r="AH745" s="4"/>
      <c r="AI745" s="17"/>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row>
    <row r="746">
      <c r="A746" s="4"/>
      <c r="B746" s="4"/>
      <c r="C746" s="4"/>
      <c r="D746" s="4"/>
      <c r="E746" s="17"/>
      <c r="F746" s="17"/>
      <c r="G746" s="17"/>
      <c r="H746" s="17"/>
      <c r="I746" s="17"/>
      <c r="J746" s="4"/>
      <c r="K746" s="17"/>
      <c r="L746" s="4"/>
      <c r="M746" s="4"/>
      <c r="N746" s="4"/>
      <c r="O746" s="4"/>
      <c r="P746" s="4"/>
      <c r="Q746" s="4"/>
      <c r="R746" s="4"/>
      <c r="S746" s="4"/>
      <c r="T746" s="4"/>
      <c r="U746" s="4"/>
      <c r="V746" s="404"/>
      <c r="W746" s="404"/>
      <c r="X746" s="4"/>
      <c r="Y746" s="4"/>
      <c r="Z746" s="4"/>
      <c r="AA746" s="4"/>
      <c r="AB746" s="4"/>
      <c r="AC746" s="4"/>
      <c r="AD746" s="4"/>
      <c r="AE746" s="4"/>
      <c r="AF746" s="4"/>
      <c r="AG746" s="4"/>
      <c r="AH746" s="4"/>
      <c r="AI746" s="17"/>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row>
    <row r="747">
      <c r="A747" s="4"/>
      <c r="B747" s="4"/>
      <c r="C747" s="4"/>
      <c r="D747" s="4"/>
      <c r="E747" s="17"/>
      <c r="F747" s="17"/>
      <c r="G747" s="17"/>
      <c r="H747" s="17"/>
      <c r="I747" s="17"/>
      <c r="J747" s="4"/>
      <c r="K747" s="17"/>
      <c r="L747" s="4"/>
      <c r="M747" s="4"/>
      <c r="N747" s="4"/>
      <c r="O747" s="4"/>
      <c r="P747" s="4"/>
      <c r="Q747" s="4"/>
      <c r="R747" s="4"/>
      <c r="S747" s="4"/>
      <c r="T747" s="4"/>
      <c r="U747" s="4"/>
      <c r="V747" s="404"/>
      <c r="W747" s="404"/>
      <c r="X747" s="4"/>
      <c r="Y747" s="4"/>
      <c r="Z747" s="4"/>
      <c r="AA747" s="4"/>
      <c r="AB747" s="4"/>
      <c r="AC747" s="4"/>
      <c r="AD747" s="4"/>
      <c r="AE747" s="4"/>
      <c r="AF747" s="4"/>
      <c r="AG747" s="4"/>
      <c r="AH747" s="4"/>
      <c r="AI747" s="17"/>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row>
    <row r="748">
      <c r="A748" s="4"/>
      <c r="B748" s="4"/>
      <c r="C748" s="4"/>
      <c r="D748" s="4"/>
      <c r="E748" s="17"/>
      <c r="F748" s="17"/>
      <c r="G748" s="17"/>
      <c r="H748" s="17"/>
      <c r="I748" s="17"/>
      <c r="J748" s="4"/>
      <c r="K748" s="17"/>
      <c r="L748" s="4"/>
      <c r="M748" s="4"/>
      <c r="N748" s="4"/>
      <c r="O748" s="4"/>
      <c r="P748" s="4"/>
      <c r="Q748" s="4"/>
      <c r="R748" s="4"/>
      <c r="S748" s="4"/>
      <c r="T748" s="4"/>
      <c r="U748" s="4"/>
      <c r="V748" s="404"/>
      <c r="W748" s="404"/>
      <c r="X748" s="4"/>
      <c r="Y748" s="4"/>
      <c r="Z748" s="4"/>
      <c r="AA748" s="4"/>
      <c r="AB748" s="4"/>
      <c r="AC748" s="4"/>
      <c r="AD748" s="4"/>
      <c r="AE748" s="4"/>
      <c r="AF748" s="4"/>
      <c r="AG748" s="4"/>
      <c r="AH748" s="4"/>
      <c r="AI748" s="17"/>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row>
    <row r="749">
      <c r="A749" s="4"/>
      <c r="B749" s="4"/>
      <c r="C749" s="4"/>
      <c r="D749" s="4"/>
      <c r="E749" s="17"/>
      <c r="F749" s="17"/>
      <c r="G749" s="17"/>
      <c r="H749" s="17"/>
      <c r="I749" s="17"/>
      <c r="J749" s="4"/>
      <c r="K749" s="17"/>
      <c r="L749" s="4"/>
      <c r="M749" s="4"/>
      <c r="N749" s="4"/>
      <c r="O749" s="4"/>
      <c r="P749" s="4"/>
      <c r="Q749" s="4"/>
      <c r="R749" s="4"/>
      <c r="S749" s="4"/>
      <c r="T749" s="4"/>
      <c r="U749" s="4"/>
      <c r="V749" s="404"/>
      <c r="W749" s="404"/>
      <c r="X749" s="4"/>
      <c r="Y749" s="4"/>
      <c r="Z749" s="4"/>
      <c r="AA749" s="4"/>
      <c r="AB749" s="4"/>
      <c r="AC749" s="4"/>
      <c r="AD749" s="4"/>
      <c r="AE749" s="4"/>
      <c r="AF749" s="4"/>
      <c r="AG749" s="4"/>
      <c r="AH749" s="4"/>
      <c r="AI749" s="17"/>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row>
    <row r="750">
      <c r="A750" s="4"/>
      <c r="B750" s="4"/>
      <c r="C750" s="4"/>
      <c r="D750" s="4"/>
      <c r="E750" s="17"/>
      <c r="F750" s="17"/>
      <c r="G750" s="17"/>
      <c r="H750" s="17"/>
      <c r="I750" s="17"/>
      <c r="J750" s="4"/>
      <c r="K750" s="17"/>
      <c r="L750" s="4"/>
      <c r="M750" s="4"/>
      <c r="N750" s="4"/>
      <c r="O750" s="4"/>
      <c r="P750" s="4"/>
      <c r="Q750" s="4"/>
      <c r="R750" s="4"/>
      <c r="S750" s="4"/>
      <c r="T750" s="4"/>
      <c r="U750" s="4"/>
      <c r="V750" s="404"/>
      <c r="W750" s="404"/>
      <c r="X750" s="4"/>
      <c r="Y750" s="4"/>
      <c r="Z750" s="4"/>
      <c r="AA750" s="4"/>
      <c r="AB750" s="4"/>
      <c r="AC750" s="4"/>
      <c r="AD750" s="4"/>
      <c r="AE750" s="4"/>
      <c r="AF750" s="4"/>
      <c r="AG750" s="4"/>
      <c r="AH750" s="4"/>
      <c r="AI750" s="17"/>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row>
    <row r="751">
      <c r="A751" s="4"/>
      <c r="B751" s="4"/>
      <c r="C751" s="4"/>
      <c r="D751" s="4"/>
      <c r="E751" s="17"/>
      <c r="F751" s="17"/>
      <c r="G751" s="17"/>
      <c r="H751" s="17"/>
      <c r="I751" s="17"/>
      <c r="J751" s="4"/>
      <c r="K751" s="17"/>
      <c r="L751" s="4"/>
      <c r="M751" s="4"/>
      <c r="N751" s="4"/>
      <c r="O751" s="4"/>
      <c r="P751" s="4"/>
      <c r="Q751" s="4"/>
      <c r="R751" s="4"/>
      <c r="S751" s="4"/>
      <c r="T751" s="4"/>
      <c r="U751" s="4"/>
      <c r="V751" s="404"/>
      <c r="W751" s="404"/>
      <c r="X751" s="4"/>
      <c r="Y751" s="4"/>
      <c r="Z751" s="4"/>
      <c r="AA751" s="4"/>
      <c r="AB751" s="4"/>
      <c r="AC751" s="4"/>
      <c r="AD751" s="4"/>
      <c r="AE751" s="4"/>
      <c r="AF751" s="4"/>
      <c r="AG751" s="4"/>
      <c r="AH751" s="4"/>
      <c r="AI751" s="17"/>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row>
    <row r="752">
      <c r="A752" s="4"/>
      <c r="B752" s="4"/>
      <c r="C752" s="4"/>
      <c r="D752" s="4"/>
      <c r="E752" s="17"/>
      <c r="F752" s="17"/>
      <c r="G752" s="17"/>
      <c r="H752" s="17"/>
      <c r="I752" s="17"/>
      <c r="J752" s="4"/>
      <c r="K752" s="17"/>
      <c r="L752" s="4"/>
      <c r="M752" s="4"/>
      <c r="N752" s="4"/>
      <c r="O752" s="4"/>
      <c r="P752" s="4"/>
      <c r="Q752" s="4"/>
      <c r="R752" s="4"/>
      <c r="S752" s="4"/>
      <c r="T752" s="4"/>
      <c r="U752" s="4"/>
      <c r="V752" s="404"/>
      <c r="W752" s="404"/>
      <c r="X752" s="4"/>
      <c r="Y752" s="4"/>
      <c r="Z752" s="4"/>
      <c r="AA752" s="4"/>
      <c r="AB752" s="4"/>
      <c r="AC752" s="4"/>
      <c r="AD752" s="4"/>
      <c r="AE752" s="4"/>
      <c r="AF752" s="4"/>
      <c r="AG752" s="4"/>
      <c r="AH752" s="4"/>
      <c r="AI752" s="17"/>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row>
    <row r="753">
      <c r="A753" s="4"/>
      <c r="B753" s="4"/>
      <c r="C753" s="4"/>
      <c r="D753" s="4"/>
      <c r="E753" s="17"/>
      <c r="F753" s="17"/>
      <c r="G753" s="17"/>
      <c r="H753" s="17"/>
      <c r="I753" s="17"/>
      <c r="J753" s="4"/>
      <c r="K753" s="17"/>
      <c r="L753" s="4"/>
      <c r="M753" s="4"/>
      <c r="N753" s="4"/>
      <c r="O753" s="4"/>
      <c r="P753" s="4"/>
      <c r="Q753" s="4"/>
      <c r="R753" s="4"/>
      <c r="S753" s="4"/>
      <c r="T753" s="4"/>
      <c r="U753" s="4"/>
      <c r="V753" s="404"/>
      <c r="W753" s="404"/>
      <c r="X753" s="4"/>
      <c r="Y753" s="4"/>
      <c r="Z753" s="4"/>
      <c r="AA753" s="4"/>
      <c r="AB753" s="4"/>
      <c r="AC753" s="4"/>
      <c r="AD753" s="4"/>
      <c r="AE753" s="4"/>
      <c r="AF753" s="4"/>
      <c r="AG753" s="4"/>
      <c r="AH753" s="4"/>
      <c r="AI753" s="17"/>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row>
    <row r="754">
      <c r="A754" s="4"/>
      <c r="B754" s="4"/>
      <c r="C754" s="4"/>
      <c r="D754" s="4"/>
      <c r="E754" s="17"/>
      <c r="F754" s="17"/>
      <c r="G754" s="17"/>
      <c r="H754" s="17"/>
      <c r="I754" s="17"/>
      <c r="J754" s="4"/>
      <c r="K754" s="17"/>
      <c r="L754" s="4"/>
      <c r="M754" s="4"/>
      <c r="N754" s="4"/>
      <c r="O754" s="4"/>
      <c r="P754" s="4"/>
      <c r="Q754" s="4"/>
      <c r="R754" s="4"/>
      <c r="S754" s="4"/>
      <c r="T754" s="4"/>
      <c r="U754" s="4"/>
      <c r="V754" s="404"/>
      <c r="W754" s="404"/>
      <c r="X754" s="4"/>
      <c r="Y754" s="4"/>
      <c r="Z754" s="4"/>
      <c r="AA754" s="4"/>
      <c r="AB754" s="4"/>
      <c r="AC754" s="4"/>
      <c r="AD754" s="4"/>
      <c r="AE754" s="4"/>
      <c r="AF754" s="4"/>
      <c r="AG754" s="4"/>
      <c r="AH754" s="4"/>
      <c r="AI754" s="17"/>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row>
    <row r="755">
      <c r="A755" s="4"/>
      <c r="B755" s="4"/>
      <c r="C755" s="4"/>
      <c r="D755" s="4"/>
      <c r="E755" s="17"/>
      <c r="F755" s="17"/>
      <c r="G755" s="17"/>
      <c r="H755" s="17"/>
      <c r="I755" s="17"/>
      <c r="J755" s="4"/>
      <c r="K755" s="17"/>
      <c r="L755" s="4"/>
      <c r="M755" s="4"/>
      <c r="N755" s="4"/>
      <c r="O755" s="4"/>
      <c r="P755" s="4"/>
      <c r="Q755" s="4"/>
      <c r="R755" s="4"/>
      <c r="S755" s="4"/>
      <c r="T755" s="4"/>
      <c r="U755" s="4"/>
      <c r="V755" s="404"/>
      <c r="W755" s="404"/>
      <c r="X755" s="4"/>
      <c r="Y755" s="4"/>
      <c r="Z755" s="4"/>
      <c r="AA755" s="4"/>
      <c r="AB755" s="4"/>
      <c r="AC755" s="4"/>
      <c r="AD755" s="4"/>
      <c r="AE755" s="4"/>
      <c r="AF755" s="4"/>
      <c r="AG755" s="4"/>
      <c r="AH755" s="4"/>
      <c r="AI755" s="17"/>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row>
    <row r="756">
      <c r="A756" s="4"/>
      <c r="B756" s="4"/>
      <c r="C756" s="4"/>
      <c r="D756" s="4"/>
      <c r="E756" s="17"/>
      <c r="F756" s="17"/>
      <c r="G756" s="17"/>
      <c r="H756" s="17"/>
      <c r="I756" s="17"/>
      <c r="J756" s="4"/>
      <c r="K756" s="17"/>
      <c r="L756" s="4"/>
      <c r="M756" s="4"/>
      <c r="N756" s="4"/>
      <c r="O756" s="4"/>
      <c r="P756" s="4"/>
      <c r="Q756" s="4"/>
      <c r="R756" s="4"/>
      <c r="S756" s="4"/>
      <c r="T756" s="4"/>
      <c r="U756" s="4"/>
      <c r="V756" s="404"/>
      <c r="W756" s="404"/>
      <c r="X756" s="4"/>
      <c r="Y756" s="4"/>
      <c r="Z756" s="4"/>
      <c r="AA756" s="4"/>
      <c r="AB756" s="4"/>
      <c r="AC756" s="4"/>
      <c r="AD756" s="4"/>
      <c r="AE756" s="4"/>
      <c r="AF756" s="4"/>
      <c r="AG756" s="4"/>
      <c r="AH756" s="4"/>
      <c r="AI756" s="17"/>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row>
    <row r="757">
      <c r="A757" s="4"/>
      <c r="B757" s="4"/>
      <c r="C757" s="4"/>
      <c r="D757" s="4"/>
      <c r="E757" s="17"/>
      <c r="F757" s="17"/>
      <c r="G757" s="17"/>
      <c r="H757" s="17"/>
      <c r="I757" s="17"/>
      <c r="J757" s="4"/>
      <c r="K757" s="17"/>
      <c r="L757" s="4"/>
      <c r="M757" s="4"/>
      <c r="N757" s="4"/>
      <c r="O757" s="4"/>
      <c r="P757" s="4"/>
      <c r="Q757" s="4"/>
      <c r="R757" s="4"/>
      <c r="S757" s="4"/>
      <c r="T757" s="4"/>
      <c r="U757" s="4"/>
      <c r="V757" s="404"/>
      <c r="W757" s="404"/>
      <c r="X757" s="4"/>
      <c r="Y757" s="4"/>
      <c r="Z757" s="4"/>
      <c r="AA757" s="4"/>
      <c r="AB757" s="4"/>
      <c r="AC757" s="4"/>
      <c r="AD757" s="4"/>
      <c r="AE757" s="4"/>
      <c r="AF757" s="4"/>
      <c r="AG757" s="4"/>
      <c r="AH757" s="4"/>
      <c r="AI757" s="17"/>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row>
    <row r="758">
      <c r="A758" s="4"/>
      <c r="B758" s="4"/>
      <c r="C758" s="4"/>
      <c r="D758" s="4"/>
      <c r="E758" s="17"/>
      <c r="F758" s="17"/>
      <c r="G758" s="17"/>
      <c r="H758" s="17"/>
      <c r="I758" s="17"/>
      <c r="J758" s="4"/>
      <c r="K758" s="17"/>
      <c r="L758" s="4"/>
      <c r="M758" s="4"/>
      <c r="N758" s="4"/>
      <c r="O758" s="4"/>
      <c r="P758" s="4"/>
      <c r="Q758" s="4"/>
      <c r="R758" s="4"/>
      <c r="S758" s="4"/>
      <c r="T758" s="4"/>
      <c r="U758" s="4"/>
      <c r="V758" s="404"/>
      <c r="W758" s="404"/>
      <c r="X758" s="4"/>
      <c r="Y758" s="4"/>
      <c r="Z758" s="4"/>
      <c r="AA758" s="4"/>
      <c r="AB758" s="4"/>
      <c r="AC758" s="4"/>
      <c r="AD758" s="4"/>
      <c r="AE758" s="4"/>
      <c r="AF758" s="4"/>
      <c r="AG758" s="4"/>
      <c r="AH758" s="4"/>
      <c r="AI758" s="17"/>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row>
    <row r="759">
      <c r="A759" s="4"/>
      <c r="B759" s="4"/>
      <c r="C759" s="4"/>
      <c r="D759" s="4"/>
      <c r="E759" s="17"/>
      <c r="F759" s="17"/>
      <c r="G759" s="17"/>
      <c r="H759" s="17"/>
      <c r="I759" s="17"/>
      <c r="J759" s="4"/>
      <c r="K759" s="17"/>
      <c r="L759" s="4"/>
      <c r="M759" s="4"/>
      <c r="N759" s="4"/>
      <c r="O759" s="4"/>
      <c r="P759" s="4"/>
      <c r="Q759" s="4"/>
      <c r="R759" s="4"/>
      <c r="S759" s="4"/>
      <c r="T759" s="4"/>
      <c r="U759" s="4"/>
      <c r="V759" s="404"/>
      <c r="W759" s="404"/>
      <c r="X759" s="4"/>
      <c r="Y759" s="4"/>
      <c r="Z759" s="4"/>
      <c r="AA759" s="4"/>
      <c r="AB759" s="4"/>
      <c r="AC759" s="4"/>
      <c r="AD759" s="4"/>
      <c r="AE759" s="4"/>
      <c r="AF759" s="4"/>
      <c r="AG759" s="4"/>
      <c r="AH759" s="4"/>
      <c r="AI759" s="17"/>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row>
    <row r="760">
      <c r="A760" s="4"/>
      <c r="B760" s="4"/>
      <c r="C760" s="4"/>
      <c r="D760" s="4"/>
      <c r="E760" s="17"/>
      <c r="F760" s="17"/>
      <c r="G760" s="17"/>
      <c r="H760" s="17"/>
      <c r="I760" s="17"/>
      <c r="J760" s="4"/>
      <c r="K760" s="17"/>
      <c r="L760" s="4"/>
      <c r="M760" s="4"/>
      <c r="N760" s="4"/>
      <c r="O760" s="4"/>
      <c r="P760" s="4"/>
      <c r="Q760" s="4"/>
      <c r="R760" s="4"/>
      <c r="S760" s="4"/>
      <c r="T760" s="4"/>
      <c r="U760" s="4"/>
      <c r="V760" s="404"/>
      <c r="W760" s="404"/>
      <c r="X760" s="4"/>
      <c r="Y760" s="4"/>
      <c r="Z760" s="4"/>
      <c r="AA760" s="4"/>
      <c r="AB760" s="4"/>
      <c r="AC760" s="4"/>
      <c r="AD760" s="4"/>
      <c r="AE760" s="4"/>
      <c r="AF760" s="4"/>
      <c r="AG760" s="4"/>
      <c r="AH760" s="4"/>
      <c r="AI760" s="17"/>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row>
    <row r="761">
      <c r="A761" s="4"/>
      <c r="B761" s="4"/>
      <c r="C761" s="4"/>
      <c r="D761" s="4"/>
      <c r="E761" s="17"/>
      <c r="F761" s="17"/>
      <c r="G761" s="17"/>
      <c r="H761" s="17"/>
      <c r="I761" s="17"/>
      <c r="J761" s="4"/>
      <c r="K761" s="17"/>
      <c r="L761" s="4"/>
      <c r="M761" s="4"/>
      <c r="N761" s="4"/>
      <c r="O761" s="4"/>
      <c r="P761" s="4"/>
      <c r="Q761" s="4"/>
      <c r="R761" s="4"/>
      <c r="S761" s="4"/>
      <c r="T761" s="4"/>
      <c r="U761" s="4"/>
      <c r="V761" s="404"/>
      <c r="W761" s="404"/>
      <c r="X761" s="4"/>
      <c r="Y761" s="4"/>
      <c r="Z761" s="4"/>
      <c r="AA761" s="4"/>
      <c r="AB761" s="4"/>
      <c r="AC761" s="4"/>
      <c r="AD761" s="4"/>
      <c r="AE761" s="4"/>
      <c r="AF761" s="4"/>
      <c r="AG761" s="4"/>
      <c r="AH761" s="4"/>
      <c r="AI761" s="17"/>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row>
    <row r="762">
      <c r="A762" s="4"/>
      <c r="B762" s="4"/>
      <c r="C762" s="4"/>
      <c r="D762" s="4"/>
      <c r="E762" s="17"/>
      <c r="F762" s="17"/>
      <c r="G762" s="17"/>
      <c r="H762" s="17"/>
      <c r="I762" s="17"/>
      <c r="J762" s="4"/>
      <c r="K762" s="17"/>
      <c r="L762" s="4"/>
      <c r="M762" s="4"/>
      <c r="N762" s="4"/>
      <c r="O762" s="4"/>
      <c r="P762" s="4"/>
      <c r="Q762" s="4"/>
      <c r="R762" s="4"/>
      <c r="S762" s="4"/>
      <c r="T762" s="4"/>
      <c r="U762" s="4"/>
      <c r="V762" s="404"/>
      <c r="W762" s="404"/>
      <c r="X762" s="4"/>
      <c r="Y762" s="4"/>
      <c r="Z762" s="4"/>
      <c r="AA762" s="4"/>
      <c r="AB762" s="4"/>
      <c r="AC762" s="4"/>
      <c r="AD762" s="4"/>
      <c r="AE762" s="4"/>
      <c r="AF762" s="4"/>
      <c r="AG762" s="4"/>
      <c r="AH762" s="4"/>
      <c r="AI762" s="17"/>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row>
    <row r="763">
      <c r="A763" s="4"/>
      <c r="B763" s="4"/>
      <c r="C763" s="4"/>
      <c r="D763" s="4"/>
      <c r="E763" s="17"/>
      <c r="F763" s="17"/>
      <c r="G763" s="17"/>
      <c r="H763" s="17"/>
      <c r="I763" s="17"/>
      <c r="J763" s="4"/>
      <c r="K763" s="17"/>
      <c r="L763" s="4"/>
      <c r="M763" s="4"/>
      <c r="N763" s="4"/>
      <c r="O763" s="4"/>
      <c r="P763" s="4"/>
      <c r="Q763" s="4"/>
      <c r="R763" s="4"/>
      <c r="S763" s="4"/>
      <c r="T763" s="4"/>
      <c r="U763" s="4"/>
      <c r="V763" s="404"/>
      <c r="W763" s="404"/>
      <c r="X763" s="4"/>
      <c r="Y763" s="4"/>
      <c r="Z763" s="4"/>
      <c r="AA763" s="4"/>
      <c r="AB763" s="4"/>
      <c r="AC763" s="4"/>
      <c r="AD763" s="4"/>
      <c r="AE763" s="4"/>
      <c r="AF763" s="4"/>
      <c r="AG763" s="4"/>
      <c r="AH763" s="4"/>
      <c r="AI763" s="17"/>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row>
    <row r="764">
      <c r="A764" s="4"/>
      <c r="B764" s="4"/>
      <c r="C764" s="4"/>
      <c r="D764" s="4"/>
      <c r="E764" s="17"/>
      <c r="F764" s="17"/>
      <c r="G764" s="17"/>
      <c r="H764" s="17"/>
      <c r="I764" s="17"/>
      <c r="J764" s="4"/>
      <c r="K764" s="17"/>
      <c r="L764" s="4"/>
      <c r="M764" s="4"/>
      <c r="N764" s="4"/>
      <c r="O764" s="4"/>
      <c r="P764" s="4"/>
      <c r="Q764" s="4"/>
      <c r="R764" s="4"/>
      <c r="S764" s="4"/>
      <c r="T764" s="4"/>
      <c r="U764" s="4"/>
      <c r="V764" s="404"/>
      <c r="W764" s="404"/>
      <c r="X764" s="4"/>
      <c r="Y764" s="4"/>
      <c r="Z764" s="4"/>
      <c r="AA764" s="4"/>
      <c r="AB764" s="4"/>
      <c r="AC764" s="4"/>
      <c r="AD764" s="4"/>
      <c r="AE764" s="4"/>
      <c r="AF764" s="4"/>
      <c r="AG764" s="4"/>
      <c r="AH764" s="4"/>
      <c r="AI764" s="17"/>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row>
    <row r="765">
      <c r="A765" s="4"/>
      <c r="B765" s="4"/>
      <c r="C765" s="4"/>
      <c r="D765" s="4"/>
      <c r="E765" s="17"/>
      <c r="F765" s="17"/>
      <c r="G765" s="17"/>
      <c r="H765" s="17"/>
      <c r="I765" s="17"/>
      <c r="J765" s="4"/>
      <c r="K765" s="17"/>
      <c r="L765" s="4"/>
      <c r="M765" s="4"/>
      <c r="N765" s="4"/>
      <c r="O765" s="4"/>
      <c r="P765" s="4"/>
      <c r="Q765" s="4"/>
      <c r="R765" s="4"/>
      <c r="S765" s="4"/>
      <c r="T765" s="4"/>
      <c r="U765" s="4"/>
      <c r="V765" s="404"/>
      <c r="W765" s="404"/>
      <c r="X765" s="4"/>
      <c r="Y765" s="4"/>
      <c r="Z765" s="4"/>
      <c r="AA765" s="4"/>
      <c r="AB765" s="4"/>
      <c r="AC765" s="4"/>
      <c r="AD765" s="4"/>
      <c r="AE765" s="4"/>
      <c r="AF765" s="4"/>
      <c r="AG765" s="4"/>
      <c r="AH765" s="4"/>
      <c r="AI765" s="17"/>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row>
    <row r="766">
      <c r="A766" s="4"/>
      <c r="B766" s="4"/>
      <c r="C766" s="4"/>
      <c r="D766" s="4"/>
      <c r="E766" s="17"/>
      <c r="F766" s="17"/>
      <c r="G766" s="17"/>
      <c r="H766" s="17"/>
      <c r="I766" s="17"/>
      <c r="J766" s="4"/>
      <c r="K766" s="17"/>
      <c r="L766" s="4"/>
      <c r="M766" s="4"/>
      <c r="N766" s="4"/>
      <c r="O766" s="4"/>
      <c r="P766" s="4"/>
      <c r="Q766" s="4"/>
      <c r="R766" s="4"/>
      <c r="S766" s="4"/>
      <c r="T766" s="4"/>
      <c r="U766" s="4"/>
      <c r="V766" s="404"/>
      <c r="W766" s="404"/>
      <c r="X766" s="4"/>
      <c r="Y766" s="4"/>
      <c r="Z766" s="4"/>
      <c r="AA766" s="4"/>
      <c r="AB766" s="4"/>
      <c r="AC766" s="4"/>
      <c r="AD766" s="4"/>
      <c r="AE766" s="4"/>
      <c r="AF766" s="4"/>
      <c r="AG766" s="4"/>
      <c r="AH766" s="4"/>
      <c r="AI766" s="17"/>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row>
    <row r="767">
      <c r="A767" s="4"/>
      <c r="B767" s="4"/>
      <c r="C767" s="4"/>
      <c r="D767" s="4"/>
      <c r="E767" s="17"/>
      <c r="F767" s="17"/>
      <c r="G767" s="17"/>
      <c r="H767" s="17"/>
      <c r="I767" s="17"/>
      <c r="J767" s="4"/>
      <c r="K767" s="17"/>
      <c r="L767" s="4"/>
      <c r="M767" s="4"/>
      <c r="N767" s="4"/>
      <c r="O767" s="4"/>
      <c r="P767" s="4"/>
      <c r="Q767" s="4"/>
      <c r="R767" s="4"/>
      <c r="S767" s="4"/>
      <c r="T767" s="4"/>
      <c r="U767" s="4"/>
      <c r="V767" s="404"/>
      <c r="W767" s="404"/>
      <c r="X767" s="4"/>
      <c r="Y767" s="4"/>
      <c r="Z767" s="4"/>
      <c r="AA767" s="4"/>
      <c r="AB767" s="4"/>
      <c r="AC767" s="4"/>
      <c r="AD767" s="4"/>
      <c r="AE767" s="4"/>
      <c r="AF767" s="4"/>
      <c r="AG767" s="4"/>
      <c r="AH767" s="4"/>
      <c r="AI767" s="17"/>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row>
    <row r="768">
      <c r="A768" s="4"/>
      <c r="B768" s="4"/>
      <c r="C768" s="4"/>
      <c r="D768" s="4"/>
      <c r="E768" s="17"/>
      <c r="F768" s="17"/>
      <c r="G768" s="17"/>
      <c r="H768" s="17"/>
      <c r="I768" s="17"/>
      <c r="J768" s="4"/>
      <c r="K768" s="17"/>
      <c r="L768" s="4"/>
      <c r="M768" s="4"/>
      <c r="N768" s="4"/>
      <c r="O768" s="4"/>
      <c r="P768" s="4"/>
      <c r="Q768" s="4"/>
      <c r="R768" s="4"/>
      <c r="S768" s="4"/>
      <c r="T768" s="4"/>
      <c r="U768" s="4"/>
      <c r="V768" s="404"/>
      <c r="W768" s="404"/>
      <c r="X768" s="4"/>
      <c r="Y768" s="4"/>
      <c r="Z768" s="4"/>
      <c r="AA768" s="4"/>
      <c r="AB768" s="4"/>
      <c r="AC768" s="4"/>
      <c r="AD768" s="4"/>
      <c r="AE768" s="4"/>
      <c r="AF768" s="4"/>
      <c r="AG768" s="4"/>
      <c r="AH768" s="4"/>
      <c r="AI768" s="17"/>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row>
    <row r="769">
      <c r="A769" s="4"/>
      <c r="B769" s="4"/>
      <c r="C769" s="4"/>
      <c r="D769" s="4"/>
      <c r="E769" s="17"/>
      <c r="F769" s="17"/>
      <c r="G769" s="17"/>
      <c r="H769" s="17"/>
      <c r="I769" s="17"/>
      <c r="J769" s="4"/>
      <c r="K769" s="17"/>
      <c r="L769" s="4"/>
      <c r="M769" s="4"/>
      <c r="N769" s="4"/>
      <c r="O769" s="4"/>
      <c r="P769" s="4"/>
      <c r="Q769" s="4"/>
      <c r="R769" s="4"/>
      <c r="S769" s="4"/>
      <c r="T769" s="4"/>
      <c r="U769" s="4"/>
      <c r="V769" s="404"/>
      <c r="W769" s="404"/>
      <c r="X769" s="4"/>
      <c r="Y769" s="4"/>
      <c r="Z769" s="4"/>
      <c r="AA769" s="4"/>
      <c r="AB769" s="4"/>
      <c r="AC769" s="4"/>
      <c r="AD769" s="4"/>
      <c r="AE769" s="4"/>
      <c r="AF769" s="4"/>
      <c r="AG769" s="4"/>
      <c r="AH769" s="4"/>
      <c r="AI769" s="17"/>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row>
    <row r="770">
      <c r="A770" s="4"/>
      <c r="B770" s="4"/>
      <c r="C770" s="4"/>
      <c r="D770" s="4"/>
      <c r="E770" s="17"/>
      <c r="F770" s="17"/>
      <c r="G770" s="17"/>
      <c r="H770" s="17"/>
      <c r="I770" s="17"/>
      <c r="J770" s="4"/>
      <c r="K770" s="17"/>
      <c r="L770" s="4"/>
      <c r="M770" s="4"/>
      <c r="N770" s="4"/>
      <c r="O770" s="4"/>
      <c r="P770" s="4"/>
      <c r="Q770" s="4"/>
      <c r="R770" s="4"/>
      <c r="S770" s="4"/>
      <c r="T770" s="4"/>
      <c r="U770" s="4"/>
      <c r="V770" s="404"/>
      <c r="W770" s="404"/>
      <c r="X770" s="4"/>
      <c r="Y770" s="4"/>
      <c r="Z770" s="4"/>
      <c r="AA770" s="4"/>
      <c r="AB770" s="4"/>
      <c r="AC770" s="4"/>
      <c r="AD770" s="4"/>
      <c r="AE770" s="4"/>
      <c r="AF770" s="4"/>
      <c r="AG770" s="4"/>
      <c r="AH770" s="4"/>
      <c r="AI770" s="17"/>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row>
    <row r="771">
      <c r="A771" s="4"/>
      <c r="B771" s="4"/>
      <c r="C771" s="4"/>
      <c r="D771" s="4"/>
      <c r="E771" s="17"/>
      <c r="F771" s="17"/>
      <c r="G771" s="17"/>
      <c r="H771" s="17"/>
      <c r="I771" s="17"/>
      <c r="J771" s="4"/>
      <c r="K771" s="17"/>
      <c r="L771" s="4"/>
      <c r="M771" s="4"/>
      <c r="N771" s="4"/>
      <c r="O771" s="4"/>
      <c r="P771" s="4"/>
      <c r="Q771" s="4"/>
      <c r="R771" s="4"/>
      <c r="S771" s="4"/>
      <c r="T771" s="4"/>
      <c r="U771" s="4"/>
      <c r="V771" s="404"/>
      <c r="W771" s="404"/>
      <c r="X771" s="4"/>
      <c r="Y771" s="4"/>
      <c r="Z771" s="4"/>
      <c r="AA771" s="4"/>
      <c r="AB771" s="4"/>
      <c r="AC771" s="4"/>
      <c r="AD771" s="4"/>
      <c r="AE771" s="4"/>
      <c r="AF771" s="4"/>
      <c r="AG771" s="4"/>
      <c r="AH771" s="4"/>
      <c r="AI771" s="17"/>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row>
    <row r="772">
      <c r="A772" s="4"/>
      <c r="B772" s="4"/>
      <c r="C772" s="4"/>
      <c r="D772" s="4"/>
      <c r="E772" s="17"/>
      <c r="F772" s="17"/>
      <c r="G772" s="17"/>
      <c r="H772" s="17"/>
      <c r="I772" s="17"/>
      <c r="J772" s="4"/>
      <c r="K772" s="17"/>
      <c r="L772" s="4"/>
      <c r="M772" s="4"/>
      <c r="N772" s="4"/>
      <c r="O772" s="4"/>
      <c r="P772" s="4"/>
      <c r="Q772" s="4"/>
      <c r="R772" s="4"/>
      <c r="S772" s="4"/>
      <c r="T772" s="4"/>
      <c r="U772" s="4"/>
      <c r="V772" s="404"/>
      <c r="W772" s="404"/>
      <c r="X772" s="4"/>
      <c r="Y772" s="4"/>
      <c r="Z772" s="4"/>
      <c r="AA772" s="4"/>
      <c r="AB772" s="4"/>
      <c r="AC772" s="4"/>
      <c r="AD772" s="4"/>
      <c r="AE772" s="4"/>
      <c r="AF772" s="4"/>
      <c r="AG772" s="4"/>
      <c r="AH772" s="4"/>
      <c r="AI772" s="17"/>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row>
    <row r="773">
      <c r="A773" s="4"/>
      <c r="B773" s="4"/>
      <c r="C773" s="4"/>
      <c r="D773" s="4"/>
      <c r="E773" s="17"/>
      <c r="F773" s="17"/>
      <c r="G773" s="17"/>
      <c r="H773" s="17"/>
      <c r="I773" s="17"/>
      <c r="J773" s="4"/>
      <c r="K773" s="17"/>
      <c r="L773" s="4"/>
      <c r="M773" s="4"/>
      <c r="N773" s="4"/>
      <c r="O773" s="4"/>
      <c r="P773" s="4"/>
      <c r="Q773" s="4"/>
      <c r="R773" s="4"/>
      <c r="S773" s="4"/>
      <c r="T773" s="4"/>
      <c r="U773" s="4"/>
      <c r="V773" s="404"/>
      <c r="W773" s="404"/>
      <c r="X773" s="4"/>
      <c r="Y773" s="4"/>
      <c r="Z773" s="4"/>
      <c r="AA773" s="4"/>
      <c r="AB773" s="4"/>
      <c r="AC773" s="4"/>
      <c r="AD773" s="4"/>
      <c r="AE773" s="4"/>
      <c r="AF773" s="4"/>
      <c r="AG773" s="4"/>
      <c r="AH773" s="4"/>
      <c r="AI773" s="17"/>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row>
    <row r="774">
      <c r="A774" s="4"/>
      <c r="B774" s="4"/>
      <c r="C774" s="4"/>
      <c r="D774" s="4"/>
      <c r="E774" s="17"/>
      <c r="F774" s="17"/>
      <c r="G774" s="17"/>
      <c r="H774" s="17"/>
      <c r="I774" s="17"/>
      <c r="J774" s="4"/>
      <c r="K774" s="17"/>
      <c r="L774" s="4"/>
      <c r="M774" s="4"/>
      <c r="N774" s="4"/>
      <c r="O774" s="4"/>
      <c r="P774" s="4"/>
      <c r="Q774" s="4"/>
      <c r="R774" s="4"/>
      <c r="S774" s="4"/>
      <c r="T774" s="4"/>
      <c r="U774" s="4"/>
      <c r="V774" s="404"/>
      <c r="W774" s="404"/>
      <c r="X774" s="4"/>
      <c r="Y774" s="4"/>
      <c r="Z774" s="4"/>
      <c r="AA774" s="4"/>
      <c r="AB774" s="4"/>
      <c r="AC774" s="4"/>
      <c r="AD774" s="4"/>
      <c r="AE774" s="4"/>
      <c r="AF774" s="4"/>
      <c r="AG774" s="4"/>
      <c r="AH774" s="4"/>
      <c r="AI774" s="17"/>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row>
    <row r="775">
      <c r="A775" s="4"/>
      <c r="B775" s="4"/>
      <c r="C775" s="4"/>
      <c r="D775" s="4"/>
      <c r="E775" s="17"/>
      <c r="F775" s="17"/>
      <c r="G775" s="17"/>
      <c r="H775" s="17"/>
      <c r="I775" s="17"/>
      <c r="J775" s="4"/>
      <c r="K775" s="17"/>
      <c r="L775" s="4"/>
      <c r="M775" s="4"/>
      <c r="N775" s="4"/>
      <c r="O775" s="4"/>
      <c r="P775" s="4"/>
      <c r="Q775" s="4"/>
      <c r="R775" s="4"/>
      <c r="S775" s="4"/>
      <c r="T775" s="4"/>
      <c r="U775" s="4"/>
      <c r="V775" s="404"/>
      <c r="W775" s="404"/>
      <c r="X775" s="4"/>
      <c r="Y775" s="4"/>
      <c r="Z775" s="4"/>
      <c r="AA775" s="4"/>
      <c r="AB775" s="4"/>
      <c r="AC775" s="4"/>
      <c r="AD775" s="4"/>
      <c r="AE775" s="4"/>
      <c r="AF775" s="4"/>
      <c r="AG775" s="4"/>
      <c r="AH775" s="4"/>
      <c r="AI775" s="17"/>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row>
    <row r="776">
      <c r="A776" s="4"/>
      <c r="B776" s="4"/>
      <c r="C776" s="4"/>
      <c r="D776" s="4"/>
      <c r="E776" s="17"/>
      <c r="F776" s="17"/>
      <c r="G776" s="17"/>
      <c r="H776" s="17"/>
      <c r="I776" s="17"/>
      <c r="J776" s="4"/>
      <c r="K776" s="17"/>
      <c r="L776" s="4"/>
      <c r="M776" s="4"/>
      <c r="N776" s="4"/>
      <c r="O776" s="4"/>
      <c r="P776" s="4"/>
      <c r="Q776" s="4"/>
      <c r="R776" s="4"/>
      <c r="S776" s="4"/>
      <c r="T776" s="4"/>
      <c r="U776" s="4"/>
      <c r="V776" s="404"/>
      <c r="W776" s="404"/>
      <c r="X776" s="4"/>
      <c r="Y776" s="4"/>
      <c r="Z776" s="4"/>
      <c r="AA776" s="4"/>
      <c r="AB776" s="4"/>
      <c r="AC776" s="4"/>
      <c r="AD776" s="4"/>
      <c r="AE776" s="4"/>
      <c r="AF776" s="4"/>
      <c r="AG776" s="4"/>
      <c r="AH776" s="4"/>
      <c r="AI776" s="17"/>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row>
    <row r="777">
      <c r="A777" s="4"/>
      <c r="B777" s="4"/>
      <c r="C777" s="4"/>
      <c r="D777" s="4"/>
      <c r="E777" s="17"/>
      <c r="F777" s="17"/>
      <c r="G777" s="17"/>
      <c r="H777" s="17"/>
      <c r="I777" s="17"/>
      <c r="J777" s="4"/>
      <c r="K777" s="17"/>
      <c r="L777" s="4"/>
      <c r="M777" s="4"/>
      <c r="N777" s="4"/>
      <c r="O777" s="4"/>
      <c r="P777" s="4"/>
      <c r="Q777" s="4"/>
      <c r="R777" s="4"/>
      <c r="S777" s="4"/>
      <c r="T777" s="4"/>
      <c r="U777" s="4"/>
      <c r="V777" s="404"/>
      <c r="W777" s="404"/>
      <c r="X777" s="4"/>
      <c r="Y777" s="4"/>
      <c r="Z777" s="4"/>
      <c r="AA777" s="4"/>
      <c r="AB777" s="4"/>
      <c r="AC777" s="4"/>
      <c r="AD777" s="4"/>
      <c r="AE777" s="4"/>
      <c r="AF777" s="4"/>
      <c r="AG777" s="4"/>
      <c r="AH777" s="4"/>
      <c r="AI777" s="17"/>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row>
    <row r="778">
      <c r="A778" s="4"/>
      <c r="B778" s="4"/>
      <c r="C778" s="4"/>
      <c r="D778" s="4"/>
      <c r="E778" s="17"/>
      <c r="F778" s="17"/>
      <c r="G778" s="17"/>
      <c r="H778" s="17"/>
      <c r="I778" s="17"/>
      <c r="J778" s="4"/>
      <c r="K778" s="17"/>
      <c r="L778" s="4"/>
      <c r="M778" s="4"/>
      <c r="N778" s="4"/>
      <c r="O778" s="4"/>
      <c r="P778" s="4"/>
      <c r="Q778" s="4"/>
      <c r="R778" s="4"/>
      <c r="S778" s="4"/>
      <c r="T778" s="4"/>
      <c r="U778" s="4"/>
      <c r="V778" s="404"/>
      <c r="W778" s="404"/>
      <c r="X778" s="4"/>
      <c r="Y778" s="4"/>
      <c r="Z778" s="4"/>
      <c r="AA778" s="4"/>
      <c r="AB778" s="4"/>
      <c r="AC778" s="4"/>
      <c r="AD778" s="4"/>
      <c r="AE778" s="4"/>
      <c r="AF778" s="4"/>
      <c r="AG778" s="4"/>
      <c r="AH778" s="4"/>
      <c r="AI778" s="17"/>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row>
    <row r="779">
      <c r="A779" s="4"/>
      <c r="B779" s="4"/>
      <c r="C779" s="4"/>
      <c r="D779" s="4"/>
      <c r="E779" s="17"/>
      <c r="F779" s="17"/>
      <c r="G779" s="17"/>
      <c r="H779" s="17"/>
      <c r="I779" s="17"/>
      <c r="J779" s="4"/>
      <c r="K779" s="17"/>
      <c r="L779" s="4"/>
      <c r="M779" s="4"/>
      <c r="N779" s="4"/>
      <c r="O779" s="4"/>
      <c r="P779" s="4"/>
      <c r="Q779" s="4"/>
      <c r="R779" s="4"/>
      <c r="S779" s="4"/>
      <c r="T779" s="4"/>
      <c r="U779" s="4"/>
      <c r="V779" s="404"/>
      <c r="W779" s="404"/>
      <c r="X779" s="4"/>
      <c r="Y779" s="4"/>
      <c r="Z779" s="4"/>
      <c r="AA779" s="4"/>
      <c r="AB779" s="4"/>
      <c r="AC779" s="4"/>
      <c r="AD779" s="4"/>
      <c r="AE779" s="4"/>
      <c r="AF779" s="4"/>
      <c r="AG779" s="4"/>
      <c r="AH779" s="4"/>
      <c r="AI779" s="17"/>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row>
    <row r="780">
      <c r="A780" s="4"/>
      <c r="B780" s="4"/>
      <c r="C780" s="4"/>
      <c r="D780" s="4"/>
      <c r="E780" s="17"/>
      <c r="F780" s="17"/>
      <c r="G780" s="17"/>
      <c r="H780" s="17"/>
      <c r="I780" s="17"/>
      <c r="J780" s="4"/>
      <c r="K780" s="17"/>
      <c r="L780" s="4"/>
      <c r="M780" s="4"/>
      <c r="N780" s="4"/>
      <c r="O780" s="4"/>
      <c r="P780" s="4"/>
      <c r="Q780" s="4"/>
      <c r="R780" s="4"/>
      <c r="S780" s="4"/>
      <c r="T780" s="4"/>
      <c r="U780" s="4"/>
      <c r="V780" s="404"/>
      <c r="W780" s="404"/>
      <c r="X780" s="4"/>
      <c r="Y780" s="4"/>
      <c r="Z780" s="4"/>
      <c r="AA780" s="4"/>
      <c r="AB780" s="4"/>
      <c r="AC780" s="4"/>
      <c r="AD780" s="4"/>
      <c r="AE780" s="4"/>
      <c r="AF780" s="4"/>
      <c r="AG780" s="4"/>
      <c r="AH780" s="4"/>
      <c r="AI780" s="17"/>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row>
    <row r="781">
      <c r="A781" s="4"/>
      <c r="B781" s="4"/>
      <c r="C781" s="4"/>
      <c r="D781" s="4"/>
      <c r="E781" s="17"/>
      <c r="F781" s="17"/>
      <c r="G781" s="17"/>
      <c r="H781" s="17"/>
      <c r="I781" s="17"/>
      <c r="J781" s="4"/>
      <c r="K781" s="17"/>
      <c r="L781" s="4"/>
      <c r="M781" s="4"/>
      <c r="N781" s="4"/>
      <c r="O781" s="4"/>
      <c r="P781" s="4"/>
      <c r="Q781" s="4"/>
      <c r="R781" s="4"/>
      <c r="S781" s="4"/>
      <c r="T781" s="4"/>
      <c r="U781" s="4"/>
      <c r="V781" s="404"/>
      <c r="W781" s="404"/>
      <c r="X781" s="4"/>
      <c r="Y781" s="4"/>
      <c r="Z781" s="4"/>
      <c r="AA781" s="4"/>
      <c r="AB781" s="4"/>
      <c r="AC781" s="4"/>
      <c r="AD781" s="4"/>
      <c r="AE781" s="4"/>
      <c r="AF781" s="4"/>
      <c r="AG781" s="4"/>
      <c r="AH781" s="4"/>
      <c r="AI781" s="17"/>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row>
    <row r="782">
      <c r="A782" s="4"/>
      <c r="B782" s="4"/>
      <c r="C782" s="4"/>
      <c r="D782" s="4"/>
      <c r="E782" s="17"/>
      <c r="F782" s="17"/>
      <c r="G782" s="17"/>
      <c r="H782" s="17"/>
      <c r="I782" s="17"/>
      <c r="J782" s="4"/>
      <c r="K782" s="17"/>
      <c r="L782" s="4"/>
      <c r="M782" s="4"/>
      <c r="N782" s="4"/>
      <c r="O782" s="4"/>
      <c r="P782" s="4"/>
      <c r="Q782" s="4"/>
      <c r="R782" s="4"/>
      <c r="S782" s="4"/>
      <c r="T782" s="4"/>
      <c r="U782" s="4"/>
      <c r="V782" s="404"/>
      <c r="W782" s="404"/>
      <c r="X782" s="4"/>
      <c r="Y782" s="4"/>
      <c r="Z782" s="4"/>
      <c r="AA782" s="4"/>
      <c r="AB782" s="4"/>
      <c r="AC782" s="4"/>
      <c r="AD782" s="4"/>
      <c r="AE782" s="4"/>
      <c r="AF782" s="4"/>
      <c r="AG782" s="4"/>
      <c r="AH782" s="4"/>
      <c r="AI782" s="17"/>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row>
    <row r="783">
      <c r="A783" s="4"/>
      <c r="B783" s="4"/>
      <c r="C783" s="4"/>
      <c r="D783" s="4"/>
      <c r="E783" s="17"/>
      <c r="F783" s="17"/>
      <c r="G783" s="17"/>
      <c r="H783" s="17"/>
      <c r="I783" s="17"/>
      <c r="J783" s="4"/>
      <c r="K783" s="17"/>
      <c r="L783" s="4"/>
      <c r="M783" s="4"/>
      <c r="N783" s="4"/>
      <c r="O783" s="4"/>
      <c r="P783" s="4"/>
      <c r="Q783" s="4"/>
      <c r="R783" s="4"/>
      <c r="S783" s="4"/>
      <c r="T783" s="4"/>
      <c r="U783" s="4"/>
      <c r="V783" s="404"/>
      <c r="W783" s="404"/>
      <c r="X783" s="4"/>
      <c r="Y783" s="4"/>
      <c r="Z783" s="4"/>
      <c r="AA783" s="4"/>
      <c r="AB783" s="4"/>
      <c r="AC783" s="4"/>
      <c r="AD783" s="4"/>
      <c r="AE783" s="4"/>
      <c r="AF783" s="4"/>
      <c r="AG783" s="4"/>
      <c r="AH783" s="4"/>
      <c r="AI783" s="17"/>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row>
    <row r="784">
      <c r="A784" s="4"/>
      <c r="B784" s="4"/>
      <c r="C784" s="4"/>
      <c r="D784" s="4"/>
      <c r="E784" s="17"/>
      <c r="F784" s="17"/>
      <c r="G784" s="17"/>
      <c r="H784" s="17"/>
      <c r="I784" s="17"/>
      <c r="J784" s="4"/>
      <c r="K784" s="17"/>
      <c r="L784" s="4"/>
      <c r="M784" s="4"/>
      <c r="N784" s="4"/>
      <c r="O784" s="4"/>
      <c r="P784" s="4"/>
      <c r="Q784" s="4"/>
      <c r="R784" s="4"/>
      <c r="S784" s="4"/>
      <c r="T784" s="4"/>
      <c r="U784" s="4"/>
      <c r="V784" s="404"/>
      <c r="W784" s="404"/>
      <c r="X784" s="4"/>
      <c r="Y784" s="4"/>
      <c r="Z784" s="4"/>
      <c r="AA784" s="4"/>
      <c r="AB784" s="4"/>
      <c r="AC784" s="4"/>
      <c r="AD784" s="4"/>
      <c r="AE784" s="4"/>
      <c r="AF784" s="4"/>
      <c r="AG784" s="4"/>
      <c r="AH784" s="4"/>
      <c r="AI784" s="17"/>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row>
    <row r="785">
      <c r="A785" s="4"/>
      <c r="B785" s="4"/>
      <c r="C785" s="4"/>
      <c r="D785" s="4"/>
      <c r="E785" s="17"/>
      <c r="F785" s="17"/>
      <c r="G785" s="17"/>
      <c r="H785" s="17"/>
      <c r="I785" s="17"/>
      <c r="J785" s="4"/>
      <c r="K785" s="17"/>
      <c r="L785" s="4"/>
      <c r="M785" s="4"/>
      <c r="N785" s="4"/>
      <c r="O785" s="4"/>
      <c r="P785" s="4"/>
      <c r="Q785" s="4"/>
      <c r="R785" s="4"/>
      <c r="S785" s="4"/>
      <c r="T785" s="4"/>
      <c r="U785" s="4"/>
      <c r="V785" s="404"/>
      <c r="W785" s="404"/>
      <c r="X785" s="4"/>
      <c r="Y785" s="4"/>
      <c r="Z785" s="4"/>
      <c r="AA785" s="4"/>
      <c r="AB785" s="4"/>
      <c r="AC785" s="4"/>
      <c r="AD785" s="4"/>
      <c r="AE785" s="4"/>
      <c r="AF785" s="4"/>
      <c r="AG785" s="4"/>
      <c r="AH785" s="4"/>
      <c r="AI785" s="17"/>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row>
    <row r="786">
      <c r="A786" s="4"/>
      <c r="B786" s="4"/>
      <c r="C786" s="4"/>
      <c r="D786" s="4"/>
      <c r="E786" s="17"/>
      <c r="F786" s="17"/>
      <c r="G786" s="17"/>
      <c r="H786" s="17"/>
      <c r="I786" s="17"/>
      <c r="J786" s="4"/>
      <c r="K786" s="17"/>
      <c r="L786" s="4"/>
      <c r="M786" s="4"/>
      <c r="N786" s="4"/>
      <c r="O786" s="4"/>
      <c r="P786" s="4"/>
      <c r="Q786" s="4"/>
      <c r="R786" s="4"/>
      <c r="S786" s="4"/>
      <c r="T786" s="4"/>
      <c r="U786" s="4"/>
      <c r="V786" s="404"/>
      <c r="W786" s="404"/>
      <c r="X786" s="4"/>
      <c r="Y786" s="4"/>
      <c r="Z786" s="4"/>
      <c r="AA786" s="4"/>
      <c r="AB786" s="4"/>
      <c r="AC786" s="4"/>
      <c r="AD786" s="4"/>
      <c r="AE786" s="4"/>
      <c r="AF786" s="4"/>
      <c r="AG786" s="4"/>
      <c r="AH786" s="4"/>
      <c r="AI786" s="17"/>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row>
    <row r="787">
      <c r="A787" s="4"/>
      <c r="B787" s="4"/>
      <c r="C787" s="4"/>
      <c r="D787" s="4"/>
      <c r="E787" s="17"/>
      <c r="F787" s="17"/>
      <c r="G787" s="17"/>
      <c r="H787" s="17"/>
      <c r="I787" s="17"/>
      <c r="J787" s="4"/>
      <c r="K787" s="17"/>
      <c r="L787" s="4"/>
      <c r="M787" s="4"/>
      <c r="N787" s="4"/>
      <c r="O787" s="4"/>
      <c r="P787" s="4"/>
      <c r="Q787" s="4"/>
      <c r="R787" s="4"/>
      <c r="S787" s="4"/>
      <c r="T787" s="4"/>
      <c r="U787" s="4"/>
      <c r="V787" s="404"/>
      <c r="W787" s="404"/>
      <c r="X787" s="4"/>
      <c r="Y787" s="4"/>
      <c r="Z787" s="4"/>
      <c r="AA787" s="4"/>
      <c r="AB787" s="4"/>
      <c r="AC787" s="4"/>
      <c r="AD787" s="4"/>
      <c r="AE787" s="4"/>
      <c r="AF787" s="4"/>
      <c r="AG787" s="4"/>
      <c r="AH787" s="4"/>
      <c r="AI787" s="17"/>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row>
    <row r="788">
      <c r="A788" s="4"/>
      <c r="B788" s="4"/>
      <c r="C788" s="4"/>
      <c r="D788" s="4"/>
      <c r="E788" s="17"/>
      <c r="F788" s="17"/>
      <c r="G788" s="17"/>
      <c r="H788" s="17"/>
      <c r="I788" s="17"/>
      <c r="J788" s="4"/>
      <c r="K788" s="17"/>
      <c r="L788" s="4"/>
      <c r="M788" s="4"/>
      <c r="N788" s="4"/>
      <c r="O788" s="4"/>
      <c r="P788" s="4"/>
      <c r="Q788" s="4"/>
      <c r="R788" s="4"/>
      <c r="S788" s="4"/>
      <c r="T788" s="4"/>
      <c r="U788" s="4"/>
      <c r="V788" s="404"/>
      <c r="W788" s="404"/>
      <c r="X788" s="4"/>
      <c r="Y788" s="4"/>
      <c r="Z788" s="4"/>
      <c r="AA788" s="4"/>
      <c r="AB788" s="4"/>
      <c r="AC788" s="4"/>
      <c r="AD788" s="4"/>
      <c r="AE788" s="4"/>
      <c r="AF788" s="4"/>
      <c r="AG788" s="4"/>
      <c r="AH788" s="4"/>
      <c r="AI788" s="17"/>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row>
    <row r="789">
      <c r="A789" s="4"/>
      <c r="B789" s="4"/>
      <c r="C789" s="4"/>
      <c r="D789" s="4"/>
      <c r="E789" s="17"/>
      <c r="F789" s="17"/>
      <c r="G789" s="17"/>
      <c r="H789" s="17"/>
      <c r="I789" s="17"/>
      <c r="J789" s="4"/>
      <c r="K789" s="17"/>
      <c r="L789" s="4"/>
      <c r="M789" s="4"/>
      <c r="N789" s="4"/>
      <c r="O789" s="4"/>
      <c r="P789" s="4"/>
      <c r="Q789" s="4"/>
      <c r="R789" s="4"/>
      <c r="S789" s="4"/>
      <c r="T789" s="4"/>
      <c r="U789" s="4"/>
      <c r="V789" s="404"/>
      <c r="W789" s="404"/>
      <c r="X789" s="4"/>
      <c r="Y789" s="4"/>
      <c r="Z789" s="4"/>
      <c r="AA789" s="4"/>
      <c r="AB789" s="4"/>
      <c r="AC789" s="4"/>
      <c r="AD789" s="4"/>
      <c r="AE789" s="4"/>
      <c r="AF789" s="4"/>
      <c r="AG789" s="4"/>
      <c r="AH789" s="4"/>
      <c r="AI789" s="17"/>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row>
    <row r="790">
      <c r="A790" s="4"/>
      <c r="B790" s="4"/>
      <c r="C790" s="4"/>
      <c r="D790" s="4"/>
      <c r="E790" s="17"/>
      <c r="F790" s="17"/>
      <c r="G790" s="17"/>
      <c r="H790" s="17"/>
      <c r="I790" s="17"/>
      <c r="J790" s="4"/>
      <c r="K790" s="17"/>
      <c r="L790" s="4"/>
      <c r="M790" s="4"/>
      <c r="N790" s="4"/>
      <c r="O790" s="4"/>
      <c r="P790" s="4"/>
      <c r="Q790" s="4"/>
      <c r="R790" s="4"/>
      <c r="S790" s="4"/>
      <c r="T790" s="4"/>
      <c r="U790" s="4"/>
      <c r="V790" s="404"/>
      <c r="W790" s="404"/>
      <c r="X790" s="4"/>
      <c r="Y790" s="4"/>
      <c r="Z790" s="4"/>
      <c r="AA790" s="4"/>
      <c r="AB790" s="4"/>
      <c r="AC790" s="4"/>
      <c r="AD790" s="4"/>
      <c r="AE790" s="4"/>
      <c r="AF790" s="4"/>
      <c r="AG790" s="4"/>
      <c r="AH790" s="4"/>
      <c r="AI790" s="17"/>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row>
    <row r="791">
      <c r="A791" s="4"/>
      <c r="B791" s="4"/>
      <c r="C791" s="4"/>
      <c r="D791" s="4"/>
      <c r="E791" s="17"/>
      <c r="F791" s="17"/>
      <c r="G791" s="17"/>
      <c r="H791" s="17"/>
      <c r="I791" s="17"/>
      <c r="J791" s="4"/>
      <c r="K791" s="17"/>
      <c r="L791" s="4"/>
      <c r="M791" s="4"/>
      <c r="N791" s="4"/>
      <c r="O791" s="4"/>
      <c r="P791" s="4"/>
      <c r="Q791" s="4"/>
      <c r="R791" s="4"/>
      <c r="S791" s="4"/>
      <c r="T791" s="4"/>
      <c r="U791" s="4"/>
      <c r="V791" s="404"/>
      <c r="W791" s="404"/>
      <c r="X791" s="4"/>
      <c r="Y791" s="4"/>
      <c r="Z791" s="4"/>
      <c r="AA791" s="4"/>
      <c r="AB791" s="4"/>
      <c r="AC791" s="4"/>
      <c r="AD791" s="4"/>
      <c r="AE791" s="4"/>
      <c r="AF791" s="4"/>
      <c r="AG791" s="4"/>
      <c r="AH791" s="4"/>
      <c r="AI791" s="17"/>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row>
    <row r="792">
      <c r="A792" s="4"/>
      <c r="B792" s="4"/>
      <c r="C792" s="4"/>
      <c r="D792" s="4"/>
      <c r="E792" s="17"/>
      <c r="F792" s="17"/>
      <c r="G792" s="17"/>
      <c r="H792" s="17"/>
      <c r="I792" s="17"/>
      <c r="J792" s="4"/>
      <c r="K792" s="17"/>
      <c r="L792" s="4"/>
      <c r="M792" s="4"/>
      <c r="N792" s="4"/>
      <c r="O792" s="4"/>
      <c r="P792" s="4"/>
      <c r="Q792" s="4"/>
      <c r="R792" s="4"/>
      <c r="S792" s="4"/>
      <c r="T792" s="4"/>
      <c r="U792" s="4"/>
      <c r="V792" s="404"/>
      <c r="W792" s="404"/>
      <c r="X792" s="4"/>
      <c r="Y792" s="4"/>
      <c r="Z792" s="4"/>
      <c r="AA792" s="4"/>
      <c r="AB792" s="4"/>
      <c r="AC792" s="4"/>
      <c r="AD792" s="4"/>
      <c r="AE792" s="4"/>
      <c r="AF792" s="4"/>
      <c r="AG792" s="4"/>
      <c r="AH792" s="4"/>
      <c r="AI792" s="17"/>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row>
    <row r="793">
      <c r="A793" s="4"/>
      <c r="B793" s="4"/>
      <c r="C793" s="4"/>
      <c r="D793" s="4"/>
      <c r="E793" s="17"/>
      <c r="F793" s="17"/>
      <c r="G793" s="17"/>
      <c r="H793" s="17"/>
      <c r="I793" s="17"/>
      <c r="J793" s="4"/>
      <c r="K793" s="17"/>
      <c r="L793" s="4"/>
      <c r="M793" s="4"/>
      <c r="N793" s="4"/>
      <c r="O793" s="4"/>
      <c r="P793" s="4"/>
      <c r="Q793" s="4"/>
      <c r="R793" s="4"/>
      <c r="S793" s="4"/>
      <c r="T793" s="4"/>
      <c r="U793" s="4"/>
      <c r="V793" s="404"/>
      <c r="W793" s="404"/>
      <c r="X793" s="4"/>
      <c r="Y793" s="4"/>
      <c r="Z793" s="4"/>
      <c r="AA793" s="4"/>
      <c r="AB793" s="4"/>
      <c r="AC793" s="4"/>
      <c r="AD793" s="4"/>
      <c r="AE793" s="4"/>
      <c r="AF793" s="4"/>
      <c r="AG793" s="4"/>
      <c r="AH793" s="4"/>
      <c r="AI793" s="17"/>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row>
    <row r="794">
      <c r="A794" s="4"/>
      <c r="B794" s="4"/>
      <c r="C794" s="4"/>
      <c r="D794" s="4"/>
      <c r="E794" s="17"/>
      <c r="F794" s="17"/>
      <c r="G794" s="17"/>
      <c r="H794" s="17"/>
      <c r="I794" s="17"/>
      <c r="J794" s="4"/>
      <c r="K794" s="17"/>
      <c r="L794" s="4"/>
      <c r="M794" s="4"/>
      <c r="N794" s="4"/>
      <c r="O794" s="4"/>
      <c r="P794" s="4"/>
      <c r="Q794" s="4"/>
      <c r="R794" s="4"/>
      <c r="S794" s="4"/>
      <c r="T794" s="4"/>
      <c r="U794" s="4"/>
      <c r="V794" s="404"/>
      <c r="W794" s="404"/>
      <c r="X794" s="4"/>
      <c r="Y794" s="4"/>
      <c r="Z794" s="4"/>
      <c r="AA794" s="4"/>
      <c r="AB794" s="4"/>
      <c r="AC794" s="4"/>
      <c r="AD794" s="4"/>
      <c r="AE794" s="4"/>
      <c r="AF794" s="4"/>
      <c r="AG794" s="4"/>
      <c r="AH794" s="4"/>
      <c r="AI794" s="17"/>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row>
    <row r="795">
      <c r="A795" s="4"/>
      <c r="B795" s="4"/>
      <c r="C795" s="4"/>
      <c r="D795" s="4"/>
      <c r="E795" s="17"/>
      <c r="F795" s="17"/>
      <c r="G795" s="17"/>
      <c r="H795" s="17"/>
      <c r="I795" s="17"/>
      <c r="J795" s="4"/>
      <c r="K795" s="17"/>
      <c r="L795" s="4"/>
      <c r="M795" s="4"/>
      <c r="N795" s="4"/>
      <c r="O795" s="4"/>
      <c r="P795" s="4"/>
      <c r="Q795" s="4"/>
      <c r="R795" s="4"/>
      <c r="S795" s="4"/>
      <c r="T795" s="4"/>
      <c r="U795" s="4"/>
      <c r="V795" s="404"/>
      <c r="W795" s="404"/>
      <c r="X795" s="4"/>
      <c r="Y795" s="4"/>
      <c r="Z795" s="4"/>
      <c r="AA795" s="4"/>
      <c r="AB795" s="4"/>
      <c r="AC795" s="4"/>
      <c r="AD795" s="4"/>
      <c r="AE795" s="4"/>
      <c r="AF795" s="4"/>
      <c r="AG795" s="4"/>
      <c r="AH795" s="4"/>
      <c r="AI795" s="17"/>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row>
    <row r="796">
      <c r="A796" s="4"/>
      <c r="B796" s="4"/>
      <c r="C796" s="4"/>
      <c r="D796" s="4"/>
      <c r="E796" s="17"/>
      <c r="F796" s="17"/>
      <c r="G796" s="17"/>
      <c r="H796" s="17"/>
      <c r="I796" s="17"/>
      <c r="J796" s="4"/>
      <c r="K796" s="17"/>
      <c r="L796" s="4"/>
      <c r="M796" s="4"/>
      <c r="N796" s="4"/>
      <c r="O796" s="4"/>
      <c r="P796" s="4"/>
      <c r="Q796" s="4"/>
      <c r="R796" s="4"/>
      <c r="S796" s="4"/>
      <c r="T796" s="4"/>
      <c r="U796" s="4"/>
      <c r="V796" s="404"/>
      <c r="W796" s="404"/>
      <c r="X796" s="4"/>
      <c r="Y796" s="4"/>
      <c r="Z796" s="4"/>
      <c r="AA796" s="4"/>
      <c r="AB796" s="4"/>
      <c r="AC796" s="4"/>
      <c r="AD796" s="4"/>
      <c r="AE796" s="4"/>
      <c r="AF796" s="4"/>
      <c r="AG796" s="4"/>
      <c r="AH796" s="4"/>
      <c r="AI796" s="17"/>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row>
    <row r="797">
      <c r="A797" s="4"/>
      <c r="B797" s="4"/>
      <c r="C797" s="4"/>
      <c r="D797" s="4"/>
      <c r="E797" s="17"/>
      <c r="F797" s="17"/>
      <c r="G797" s="17"/>
      <c r="H797" s="17"/>
      <c r="I797" s="17"/>
      <c r="J797" s="4"/>
      <c r="K797" s="17"/>
      <c r="L797" s="4"/>
      <c r="M797" s="4"/>
      <c r="N797" s="4"/>
      <c r="O797" s="4"/>
      <c r="P797" s="4"/>
      <c r="Q797" s="4"/>
      <c r="R797" s="4"/>
      <c r="S797" s="4"/>
      <c r="T797" s="4"/>
      <c r="U797" s="4"/>
      <c r="V797" s="404"/>
      <c r="W797" s="404"/>
      <c r="X797" s="4"/>
      <c r="Y797" s="4"/>
      <c r="Z797" s="4"/>
      <c r="AA797" s="4"/>
      <c r="AB797" s="4"/>
      <c r="AC797" s="4"/>
      <c r="AD797" s="4"/>
      <c r="AE797" s="4"/>
      <c r="AF797" s="4"/>
      <c r="AG797" s="4"/>
      <c r="AH797" s="4"/>
      <c r="AI797" s="17"/>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row>
    <row r="798">
      <c r="A798" s="4"/>
      <c r="B798" s="4"/>
      <c r="C798" s="4"/>
      <c r="D798" s="4"/>
      <c r="E798" s="17"/>
      <c r="F798" s="17"/>
      <c r="G798" s="17"/>
      <c r="H798" s="17"/>
      <c r="I798" s="17"/>
      <c r="J798" s="4"/>
      <c r="K798" s="17"/>
      <c r="L798" s="4"/>
      <c r="M798" s="4"/>
      <c r="N798" s="4"/>
      <c r="O798" s="4"/>
      <c r="P798" s="4"/>
      <c r="Q798" s="4"/>
      <c r="R798" s="4"/>
      <c r="S798" s="4"/>
      <c r="T798" s="4"/>
      <c r="U798" s="4"/>
      <c r="V798" s="404"/>
      <c r="W798" s="404"/>
      <c r="X798" s="4"/>
      <c r="Y798" s="4"/>
      <c r="Z798" s="4"/>
      <c r="AA798" s="4"/>
      <c r="AB798" s="4"/>
      <c r="AC798" s="4"/>
      <c r="AD798" s="4"/>
      <c r="AE798" s="4"/>
      <c r="AF798" s="4"/>
      <c r="AG798" s="4"/>
      <c r="AH798" s="4"/>
      <c r="AI798" s="17"/>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row>
    <row r="799">
      <c r="A799" s="4"/>
      <c r="B799" s="4"/>
      <c r="C799" s="4"/>
      <c r="D799" s="4"/>
      <c r="E799" s="17"/>
      <c r="F799" s="17"/>
      <c r="G799" s="17"/>
      <c r="H799" s="17"/>
      <c r="I799" s="17"/>
      <c r="J799" s="4"/>
      <c r="K799" s="17"/>
      <c r="L799" s="4"/>
      <c r="M799" s="4"/>
      <c r="N799" s="4"/>
      <c r="O799" s="4"/>
      <c r="P799" s="4"/>
      <c r="Q799" s="4"/>
      <c r="R799" s="4"/>
      <c r="S799" s="4"/>
      <c r="T799" s="4"/>
      <c r="U799" s="4"/>
      <c r="V799" s="404"/>
      <c r="W799" s="404"/>
      <c r="X799" s="4"/>
      <c r="Y799" s="4"/>
      <c r="Z799" s="4"/>
      <c r="AA799" s="4"/>
      <c r="AB799" s="4"/>
      <c r="AC799" s="4"/>
      <c r="AD799" s="4"/>
      <c r="AE799" s="4"/>
      <c r="AF799" s="4"/>
      <c r="AG799" s="4"/>
      <c r="AH799" s="4"/>
      <c r="AI799" s="17"/>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row>
    <row r="800">
      <c r="A800" s="4"/>
      <c r="B800" s="4"/>
      <c r="C800" s="4"/>
      <c r="D800" s="4"/>
      <c r="E800" s="17"/>
      <c r="F800" s="17"/>
      <c r="G800" s="17"/>
      <c r="H800" s="17"/>
      <c r="I800" s="17"/>
      <c r="J800" s="4"/>
      <c r="K800" s="17"/>
      <c r="L800" s="4"/>
      <c r="M800" s="4"/>
      <c r="N800" s="4"/>
      <c r="O800" s="4"/>
      <c r="P800" s="4"/>
      <c r="Q800" s="4"/>
      <c r="R800" s="4"/>
      <c r="S800" s="4"/>
      <c r="T800" s="4"/>
      <c r="U800" s="4"/>
      <c r="V800" s="404"/>
      <c r="W800" s="404"/>
      <c r="X800" s="4"/>
      <c r="Y800" s="4"/>
      <c r="Z800" s="4"/>
      <c r="AA800" s="4"/>
      <c r="AB800" s="4"/>
      <c r="AC800" s="4"/>
      <c r="AD800" s="4"/>
      <c r="AE800" s="4"/>
      <c r="AF800" s="4"/>
      <c r="AG800" s="4"/>
      <c r="AH800" s="4"/>
      <c r="AI800" s="17"/>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row>
    <row r="801">
      <c r="A801" s="4"/>
      <c r="B801" s="4"/>
      <c r="C801" s="4"/>
      <c r="D801" s="4"/>
      <c r="E801" s="17"/>
      <c r="F801" s="17"/>
      <c r="G801" s="17"/>
      <c r="H801" s="17"/>
      <c r="I801" s="17"/>
      <c r="J801" s="4"/>
      <c r="K801" s="17"/>
      <c r="L801" s="4"/>
      <c r="M801" s="4"/>
      <c r="N801" s="4"/>
      <c r="O801" s="4"/>
      <c r="P801" s="4"/>
      <c r="Q801" s="4"/>
      <c r="R801" s="4"/>
      <c r="S801" s="4"/>
      <c r="T801" s="4"/>
      <c r="U801" s="4"/>
      <c r="V801" s="404"/>
      <c r="W801" s="404"/>
      <c r="X801" s="4"/>
      <c r="Y801" s="4"/>
      <c r="Z801" s="4"/>
      <c r="AA801" s="4"/>
      <c r="AB801" s="4"/>
      <c r="AC801" s="4"/>
      <c r="AD801" s="4"/>
      <c r="AE801" s="4"/>
      <c r="AF801" s="4"/>
      <c r="AG801" s="4"/>
      <c r="AH801" s="4"/>
      <c r="AI801" s="17"/>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row>
    <row r="802">
      <c r="A802" s="4"/>
      <c r="B802" s="4"/>
      <c r="C802" s="4"/>
      <c r="D802" s="4"/>
      <c r="E802" s="17"/>
      <c r="F802" s="17"/>
      <c r="G802" s="17"/>
      <c r="H802" s="17"/>
      <c r="I802" s="17"/>
      <c r="J802" s="4"/>
      <c r="K802" s="17"/>
      <c r="L802" s="4"/>
      <c r="M802" s="4"/>
      <c r="N802" s="4"/>
      <c r="O802" s="4"/>
      <c r="P802" s="4"/>
      <c r="Q802" s="4"/>
      <c r="R802" s="4"/>
      <c r="S802" s="4"/>
      <c r="T802" s="4"/>
      <c r="U802" s="4"/>
      <c r="V802" s="404"/>
      <c r="W802" s="404"/>
      <c r="X802" s="4"/>
      <c r="Y802" s="4"/>
      <c r="Z802" s="4"/>
      <c r="AA802" s="4"/>
      <c r="AB802" s="4"/>
      <c r="AC802" s="4"/>
      <c r="AD802" s="4"/>
      <c r="AE802" s="4"/>
      <c r="AF802" s="4"/>
      <c r="AG802" s="4"/>
      <c r="AH802" s="4"/>
      <c r="AI802" s="17"/>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row>
    <row r="803">
      <c r="A803" s="4"/>
      <c r="B803" s="4"/>
      <c r="C803" s="4"/>
      <c r="D803" s="4"/>
      <c r="E803" s="17"/>
      <c r="F803" s="17"/>
      <c r="G803" s="17"/>
      <c r="H803" s="17"/>
      <c r="I803" s="17"/>
      <c r="J803" s="4"/>
      <c r="K803" s="17"/>
      <c r="L803" s="4"/>
      <c r="M803" s="4"/>
      <c r="N803" s="4"/>
      <c r="O803" s="4"/>
      <c r="P803" s="4"/>
      <c r="Q803" s="4"/>
      <c r="R803" s="4"/>
      <c r="S803" s="4"/>
      <c r="T803" s="4"/>
      <c r="U803" s="4"/>
      <c r="V803" s="404"/>
      <c r="W803" s="404"/>
      <c r="X803" s="4"/>
      <c r="Y803" s="4"/>
      <c r="Z803" s="4"/>
      <c r="AA803" s="4"/>
      <c r="AB803" s="4"/>
      <c r="AC803" s="4"/>
      <c r="AD803" s="4"/>
      <c r="AE803" s="4"/>
      <c r="AF803" s="4"/>
      <c r="AG803" s="4"/>
      <c r="AH803" s="4"/>
      <c r="AI803" s="17"/>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row>
    <row r="804">
      <c r="A804" s="4"/>
      <c r="B804" s="4"/>
      <c r="C804" s="4"/>
      <c r="D804" s="4"/>
      <c r="E804" s="17"/>
      <c r="F804" s="17"/>
      <c r="G804" s="17"/>
      <c r="H804" s="17"/>
      <c r="I804" s="17"/>
      <c r="J804" s="4"/>
      <c r="K804" s="17"/>
      <c r="L804" s="4"/>
      <c r="M804" s="4"/>
      <c r="N804" s="4"/>
      <c r="O804" s="4"/>
      <c r="P804" s="4"/>
      <c r="Q804" s="4"/>
      <c r="R804" s="4"/>
      <c r="S804" s="4"/>
      <c r="T804" s="4"/>
      <c r="U804" s="4"/>
      <c r="V804" s="404"/>
      <c r="W804" s="404"/>
      <c r="X804" s="4"/>
      <c r="Y804" s="4"/>
      <c r="Z804" s="4"/>
      <c r="AA804" s="4"/>
      <c r="AB804" s="4"/>
      <c r="AC804" s="4"/>
      <c r="AD804" s="4"/>
      <c r="AE804" s="4"/>
      <c r="AF804" s="4"/>
      <c r="AG804" s="4"/>
      <c r="AH804" s="4"/>
      <c r="AI804" s="17"/>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row>
    <row r="805">
      <c r="A805" s="4"/>
      <c r="B805" s="4"/>
      <c r="C805" s="4"/>
      <c r="D805" s="4"/>
      <c r="E805" s="17"/>
      <c r="F805" s="17"/>
      <c r="G805" s="17"/>
      <c r="H805" s="17"/>
      <c r="I805" s="17"/>
      <c r="J805" s="4"/>
      <c r="K805" s="17"/>
      <c r="L805" s="4"/>
      <c r="M805" s="4"/>
      <c r="N805" s="4"/>
      <c r="O805" s="4"/>
      <c r="P805" s="4"/>
      <c r="Q805" s="4"/>
      <c r="R805" s="4"/>
      <c r="S805" s="4"/>
      <c r="T805" s="4"/>
      <c r="U805" s="4"/>
      <c r="V805" s="404"/>
      <c r="W805" s="404"/>
      <c r="X805" s="4"/>
      <c r="Y805" s="4"/>
      <c r="Z805" s="4"/>
      <c r="AA805" s="4"/>
      <c r="AB805" s="4"/>
      <c r="AC805" s="4"/>
      <c r="AD805" s="4"/>
      <c r="AE805" s="4"/>
      <c r="AF805" s="4"/>
      <c r="AG805" s="4"/>
      <c r="AH805" s="4"/>
      <c r="AI805" s="17"/>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row>
    <row r="806">
      <c r="A806" s="4"/>
      <c r="B806" s="4"/>
      <c r="C806" s="4"/>
      <c r="D806" s="4"/>
      <c r="E806" s="17"/>
      <c r="F806" s="17"/>
      <c r="G806" s="17"/>
      <c r="H806" s="17"/>
      <c r="I806" s="17"/>
      <c r="J806" s="4"/>
      <c r="K806" s="17"/>
      <c r="L806" s="4"/>
      <c r="M806" s="4"/>
      <c r="N806" s="4"/>
      <c r="O806" s="4"/>
      <c r="P806" s="4"/>
      <c r="Q806" s="4"/>
      <c r="R806" s="4"/>
      <c r="S806" s="4"/>
      <c r="T806" s="4"/>
      <c r="U806" s="4"/>
      <c r="V806" s="404"/>
      <c r="W806" s="404"/>
      <c r="X806" s="4"/>
      <c r="Y806" s="4"/>
      <c r="Z806" s="4"/>
      <c r="AA806" s="4"/>
      <c r="AB806" s="4"/>
      <c r="AC806" s="4"/>
      <c r="AD806" s="4"/>
      <c r="AE806" s="4"/>
      <c r="AF806" s="4"/>
      <c r="AG806" s="4"/>
      <c r="AH806" s="4"/>
      <c r="AI806" s="17"/>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row>
    <row r="807">
      <c r="A807" s="4"/>
      <c r="B807" s="4"/>
      <c r="C807" s="4"/>
      <c r="D807" s="4"/>
      <c r="E807" s="17"/>
      <c r="F807" s="17"/>
      <c r="G807" s="17"/>
      <c r="H807" s="17"/>
      <c r="I807" s="17"/>
      <c r="J807" s="4"/>
      <c r="K807" s="17"/>
      <c r="L807" s="4"/>
      <c r="M807" s="4"/>
      <c r="N807" s="4"/>
      <c r="O807" s="4"/>
      <c r="P807" s="4"/>
      <c r="Q807" s="4"/>
      <c r="R807" s="4"/>
      <c r="S807" s="4"/>
      <c r="T807" s="4"/>
      <c r="U807" s="4"/>
      <c r="V807" s="404"/>
      <c r="W807" s="404"/>
      <c r="X807" s="4"/>
      <c r="Y807" s="4"/>
      <c r="Z807" s="4"/>
      <c r="AA807" s="4"/>
      <c r="AB807" s="4"/>
      <c r="AC807" s="4"/>
      <c r="AD807" s="4"/>
      <c r="AE807" s="4"/>
      <c r="AF807" s="4"/>
      <c r="AG807" s="4"/>
      <c r="AH807" s="4"/>
      <c r="AI807" s="17"/>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row>
    <row r="808">
      <c r="A808" s="4"/>
      <c r="B808" s="4"/>
      <c r="C808" s="4"/>
      <c r="D808" s="4"/>
      <c r="E808" s="17"/>
      <c r="F808" s="17"/>
      <c r="G808" s="17"/>
      <c r="H808" s="17"/>
      <c r="I808" s="17"/>
      <c r="J808" s="4"/>
      <c r="K808" s="17"/>
      <c r="L808" s="4"/>
      <c r="M808" s="4"/>
      <c r="N808" s="4"/>
      <c r="O808" s="4"/>
      <c r="P808" s="4"/>
      <c r="Q808" s="4"/>
      <c r="R808" s="4"/>
      <c r="S808" s="4"/>
      <c r="T808" s="4"/>
      <c r="U808" s="4"/>
      <c r="V808" s="404"/>
      <c r="W808" s="404"/>
      <c r="X808" s="4"/>
      <c r="Y808" s="4"/>
      <c r="Z808" s="4"/>
      <c r="AA808" s="4"/>
      <c r="AB808" s="4"/>
      <c r="AC808" s="4"/>
      <c r="AD808" s="4"/>
      <c r="AE808" s="4"/>
      <c r="AF808" s="4"/>
      <c r="AG808" s="4"/>
      <c r="AH808" s="4"/>
      <c r="AI808" s="17"/>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row>
    <row r="809">
      <c r="A809" s="4"/>
      <c r="B809" s="4"/>
      <c r="C809" s="4"/>
      <c r="D809" s="4"/>
      <c r="E809" s="17"/>
      <c r="F809" s="17"/>
      <c r="G809" s="17"/>
      <c r="H809" s="17"/>
      <c r="I809" s="17"/>
      <c r="J809" s="4"/>
      <c r="K809" s="17"/>
      <c r="L809" s="4"/>
      <c r="M809" s="4"/>
      <c r="N809" s="4"/>
      <c r="O809" s="4"/>
      <c r="P809" s="4"/>
      <c r="Q809" s="4"/>
      <c r="R809" s="4"/>
      <c r="S809" s="4"/>
      <c r="T809" s="4"/>
      <c r="U809" s="4"/>
      <c r="V809" s="404"/>
      <c r="W809" s="404"/>
      <c r="X809" s="4"/>
      <c r="Y809" s="4"/>
      <c r="Z809" s="4"/>
      <c r="AA809" s="4"/>
      <c r="AB809" s="4"/>
      <c r="AC809" s="4"/>
      <c r="AD809" s="4"/>
      <c r="AE809" s="4"/>
      <c r="AF809" s="4"/>
      <c r="AG809" s="4"/>
      <c r="AH809" s="4"/>
      <c r="AI809" s="17"/>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row>
    <row r="810">
      <c r="A810" s="4"/>
      <c r="B810" s="4"/>
      <c r="C810" s="4"/>
      <c r="D810" s="4"/>
      <c r="E810" s="17"/>
      <c r="F810" s="17"/>
      <c r="G810" s="17"/>
      <c r="H810" s="17"/>
      <c r="I810" s="17"/>
      <c r="J810" s="4"/>
      <c r="K810" s="17"/>
      <c r="L810" s="4"/>
      <c r="M810" s="4"/>
      <c r="N810" s="4"/>
      <c r="O810" s="4"/>
      <c r="P810" s="4"/>
      <c r="Q810" s="4"/>
      <c r="R810" s="4"/>
      <c r="S810" s="4"/>
      <c r="T810" s="4"/>
      <c r="U810" s="4"/>
      <c r="V810" s="404"/>
      <c r="W810" s="404"/>
      <c r="X810" s="4"/>
      <c r="Y810" s="4"/>
      <c r="Z810" s="4"/>
      <c r="AA810" s="4"/>
      <c r="AB810" s="4"/>
      <c r="AC810" s="4"/>
      <c r="AD810" s="4"/>
      <c r="AE810" s="4"/>
      <c r="AF810" s="4"/>
      <c r="AG810" s="4"/>
      <c r="AH810" s="4"/>
      <c r="AI810" s="17"/>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row>
    <row r="811">
      <c r="A811" s="4"/>
      <c r="B811" s="4"/>
      <c r="C811" s="4"/>
      <c r="D811" s="4"/>
      <c r="E811" s="17"/>
      <c r="F811" s="17"/>
      <c r="G811" s="17"/>
      <c r="H811" s="17"/>
      <c r="I811" s="17"/>
      <c r="J811" s="4"/>
      <c r="K811" s="17"/>
      <c r="L811" s="4"/>
      <c r="M811" s="4"/>
      <c r="N811" s="4"/>
      <c r="O811" s="4"/>
      <c r="P811" s="4"/>
      <c r="Q811" s="4"/>
      <c r="R811" s="4"/>
      <c r="S811" s="4"/>
      <c r="T811" s="4"/>
      <c r="U811" s="4"/>
      <c r="V811" s="404"/>
      <c r="W811" s="404"/>
      <c r="X811" s="4"/>
      <c r="Y811" s="4"/>
      <c r="Z811" s="4"/>
      <c r="AA811" s="4"/>
      <c r="AB811" s="4"/>
      <c r="AC811" s="4"/>
      <c r="AD811" s="4"/>
      <c r="AE811" s="4"/>
      <c r="AF811" s="4"/>
      <c r="AG811" s="4"/>
      <c r="AH811" s="4"/>
      <c r="AI811" s="17"/>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row>
    <row r="812">
      <c r="A812" s="4"/>
      <c r="B812" s="4"/>
      <c r="C812" s="4"/>
      <c r="D812" s="4"/>
      <c r="E812" s="17"/>
      <c r="F812" s="17"/>
      <c r="G812" s="17"/>
      <c r="H812" s="17"/>
      <c r="I812" s="17"/>
      <c r="J812" s="4"/>
      <c r="K812" s="17"/>
      <c r="L812" s="4"/>
      <c r="M812" s="4"/>
      <c r="N812" s="4"/>
      <c r="O812" s="4"/>
      <c r="P812" s="4"/>
      <c r="Q812" s="4"/>
      <c r="R812" s="4"/>
      <c r="S812" s="4"/>
      <c r="T812" s="4"/>
      <c r="U812" s="4"/>
      <c r="V812" s="404"/>
      <c r="W812" s="404"/>
      <c r="X812" s="4"/>
      <c r="Y812" s="4"/>
      <c r="Z812" s="4"/>
      <c r="AA812" s="4"/>
      <c r="AB812" s="4"/>
      <c r="AC812" s="4"/>
      <c r="AD812" s="4"/>
      <c r="AE812" s="4"/>
      <c r="AF812" s="4"/>
      <c r="AG812" s="4"/>
      <c r="AH812" s="4"/>
      <c r="AI812" s="17"/>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row>
    <row r="813">
      <c r="A813" s="4"/>
      <c r="B813" s="4"/>
      <c r="C813" s="4"/>
      <c r="D813" s="4"/>
      <c r="E813" s="17"/>
      <c r="F813" s="17"/>
      <c r="G813" s="17"/>
      <c r="H813" s="17"/>
      <c r="I813" s="17"/>
      <c r="J813" s="4"/>
      <c r="K813" s="17"/>
      <c r="L813" s="4"/>
      <c r="M813" s="4"/>
      <c r="N813" s="4"/>
      <c r="O813" s="4"/>
      <c r="P813" s="4"/>
      <c r="Q813" s="4"/>
      <c r="R813" s="4"/>
      <c r="S813" s="4"/>
      <c r="T813" s="4"/>
      <c r="U813" s="4"/>
      <c r="V813" s="404"/>
      <c r="W813" s="404"/>
      <c r="X813" s="4"/>
      <c r="Y813" s="4"/>
      <c r="Z813" s="4"/>
      <c r="AA813" s="4"/>
      <c r="AB813" s="4"/>
      <c r="AC813" s="4"/>
      <c r="AD813" s="4"/>
      <c r="AE813" s="4"/>
      <c r="AF813" s="4"/>
      <c r="AG813" s="4"/>
      <c r="AH813" s="4"/>
      <c r="AI813" s="17"/>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row>
    <row r="814">
      <c r="A814" s="4"/>
      <c r="B814" s="4"/>
      <c r="C814" s="4"/>
      <c r="D814" s="4"/>
      <c r="E814" s="17"/>
      <c r="F814" s="17"/>
      <c r="G814" s="17"/>
      <c r="H814" s="17"/>
      <c r="I814" s="17"/>
      <c r="J814" s="4"/>
      <c r="K814" s="17"/>
      <c r="L814" s="4"/>
      <c r="M814" s="4"/>
      <c r="N814" s="4"/>
      <c r="O814" s="4"/>
      <c r="P814" s="4"/>
      <c r="Q814" s="4"/>
      <c r="R814" s="4"/>
      <c r="S814" s="4"/>
      <c r="T814" s="4"/>
      <c r="U814" s="4"/>
      <c r="V814" s="404"/>
      <c r="W814" s="404"/>
      <c r="X814" s="4"/>
      <c r="Y814" s="4"/>
      <c r="Z814" s="4"/>
      <c r="AA814" s="4"/>
      <c r="AB814" s="4"/>
      <c r="AC814" s="4"/>
      <c r="AD814" s="4"/>
      <c r="AE814" s="4"/>
      <c r="AF814" s="4"/>
      <c r="AG814" s="4"/>
      <c r="AH814" s="4"/>
      <c r="AI814" s="17"/>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row>
    <row r="815">
      <c r="A815" s="4"/>
      <c r="B815" s="4"/>
      <c r="C815" s="4"/>
      <c r="D815" s="4"/>
      <c r="E815" s="17"/>
      <c r="F815" s="17"/>
      <c r="G815" s="17"/>
      <c r="H815" s="17"/>
      <c r="I815" s="17"/>
      <c r="J815" s="4"/>
      <c r="K815" s="17"/>
      <c r="L815" s="4"/>
      <c r="M815" s="4"/>
      <c r="N815" s="4"/>
      <c r="O815" s="4"/>
      <c r="P815" s="4"/>
      <c r="Q815" s="4"/>
      <c r="R815" s="4"/>
      <c r="S815" s="4"/>
      <c r="T815" s="4"/>
      <c r="U815" s="4"/>
      <c r="V815" s="404"/>
      <c r="W815" s="404"/>
      <c r="X815" s="4"/>
      <c r="Y815" s="4"/>
      <c r="Z815" s="4"/>
      <c r="AA815" s="4"/>
      <c r="AB815" s="4"/>
      <c r="AC815" s="4"/>
      <c r="AD815" s="4"/>
      <c r="AE815" s="4"/>
      <c r="AF815" s="4"/>
      <c r="AG815" s="4"/>
      <c r="AH815" s="4"/>
      <c r="AI815" s="17"/>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row>
    <row r="816">
      <c r="A816" s="4"/>
      <c r="B816" s="4"/>
      <c r="C816" s="4"/>
      <c r="D816" s="4"/>
      <c r="E816" s="17"/>
      <c r="F816" s="17"/>
      <c r="G816" s="17"/>
      <c r="H816" s="17"/>
      <c r="I816" s="17"/>
      <c r="J816" s="4"/>
      <c r="K816" s="17"/>
      <c r="L816" s="4"/>
      <c r="M816" s="4"/>
      <c r="N816" s="4"/>
      <c r="O816" s="4"/>
      <c r="P816" s="4"/>
      <c r="Q816" s="4"/>
      <c r="R816" s="4"/>
      <c r="S816" s="4"/>
      <c r="T816" s="4"/>
      <c r="U816" s="4"/>
      <c r="V816" s="404"/>
      <c r="W816" s="404"/>
      <c r="X816" s="4"/>
      <c r="Y816" s="4"/>
      <c r="Z816" s="4"/>
      <c r="AA816" s="4"/>
      <c r="AB816" s="4"/>
      <c r="AC816" s="4"/>
      <c r="AD816" s="4"/>
      <c r="AE816" s="4"/>
      <c r="AF816" s="4"/>
      <c r="AG816" s="4"/>
      <c r="AH816" s="4"/>
      <c r="AI816" s="17"/>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row>
    <row r="817">
      <c r="A817" s="4"/>
      <c r="B817" s="4"/>
      <c r="C817" s="4"/>
      <c r="D817" s="4"/>
      <c r="E817" s="17"/>
      <c r="F817" s="17"/>
      <c r="G817" s="17"/>
      <c r="H817" s="17"/>
      <c r="I817" s="17"/>
      <c r="J817" s="4"/>
      <c r="K817" s="17"/>
      <c r="L817" s="4"/>
      <c r="M817" s="4"/>
      <c r="N817" s="4"/>
      <c r="O817" s="4"/>
      <c r="P817" s="4"/>
      <c r="Q817" s="4"/>
      <c r="R817" s="4"/>
      <c r="S817" s="4"/>
      <c r="T817" s="4"/>
      <c r="U817" s="4"/>
      <c r="V817" s="404"/>
      <c r="W817" s="404"/>
      <c r="X817" s="4"/>
      <c r="Y817" s="4"/>
      <c r="Z817" s="4"/>
      <c r="AA817" s="4"/>
      <c r="AB817" s="4"/>
      <c r="AC817" s="4"/>
      <c r="AD817" s="4"/>
      <c r="AE817" s="4"/>
      <c r="AF817" s="4"/>
      <c r="AG817" s="4"/>
      <c r="AH817" s="4"/>
      <c r="AI817" s="17"/>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row>
    <row r="818">
      <c r="A818" s="4"/>
      <c r="B818" s="4"/>
      <c r="C818" s="4"/>
      <c r="D818" s="4"/>
      <c r="E818" s="17"/>
      <c r="F818" s="17"/>
      <c r="G818" s="17"/>
      <c r="H818" s="17"/>
      <c r="I818" s="17"/>
      <c r="J818" s="4"/>
      <c r="K818" s="17"/>
      <c r="L818" s="4"/>
      <c r="M818" s="4"/>
      <c r="N818" s="4"/>
      <c r="O818" s="4"/>
      <c r="P818" s="4"/>
      <c r="Q818" s="4"/>
      <c r="R818" s="4"/>
      <c r="S818" s="4"/>
      <c r="T818" s="4"/>
      <c r="U818" s="4"/>
      <c r="V818" s="404"/>
      <c r="W818" s="404"/>
      <c r="X818" s="4"/>
      <c r="Y818" s="4"/>
      <c r="Z818" s="4"/>
      <c r="AA818" s="4"/>
      <c r="AB818" s="4"/>
      <c r="AC818" s="4"/>
      <c r="AD818" s="4"/>
      <c r="AE818" s="4"/>
      <c r="AF818" s="4"/>
      <c r="AG818" s="4"/>
      <c r="AH818" s="4"/>
      <c r="AI818" s="17"/>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row>
    <row r="819">
      <c r="A819" s="4"/>
      <c r="B819" s="4"/>
      <c r="C819" s="4"/>
      <c r="D819" s="4"/>
      <c r="E819" s="17"/>
      <c r="F819" s="17"/>
      <c r="G819" s="17"/>
      <c r="H819" s="17"/>
      <c r="I819" s="17"/>
      <c r="J819" s="4"/>
      <c r="K819" s="17"/>
      <c r="L819" s="4"/>
      <c r="M819" s="4"/>
      <c r="N819" s="4"/>
      <c r="O819" s="4"/>
      <c r="P819" s="4"/>
      <c r="Q819" s="4"/>
      <c r="R819" s="4"/>
      <c r="S819" s="4"/>
      <c r="T819" s="4"/>
      <c r="U819" s="4"/>
      <c r="V819" s="404"/>
      <c r="W819" s="404"/>
      <c r="X819" s="4"/>
      <c r="Y819" s="4"/>
      <c r="Z819" s="4"/>
      <c r="AA819" s="4"/>
      <c r="AB819" s="4"/>
      <c r="AC819" s="4"/>
      <c r="AD819" s="4"/>
      <c r="AE819" s="4"/>
      <c r="AF819" s="4"/>
      <c r="AG819" s="4"/>
      <c r="AH819" s="4"/>
      <c r="AI819" s="17"/>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row>
    <row r="820">
      <c r="A820" s="4"/>
      <c r="B820" s="4"/>
      <c r="C820" s="4"/>
      <c r="D820" s="4"/>
      <c r="E820" s="17"/>
      <c r="F820" s="17"/>
      <c r="G820" s="17"/>
      <c r="H820" s="17"/>
      <c r="I820" s="17"/>
      <c r="J820" s="4"/>
      <c r="K820" s="17"/>
      <c r="L820" s="4"/>
      <c r="M820" s="4"/>
      <c r="N820" s="4"/>
      <c r="O820" s="4"/>
      <c r="P820" s="4"/>
      <c r="Q820" s="4"/>
      <c r="R820" s="4"/>
      <c r="S820" s="4"/>
      <c r="T820" s="4"/>
      <c r="U820" s="4"/>
      <c r="V820" s="404"/>
      <c r="W820" s="404"/>
      <c r="X820" s="4"/>
      <c r="Y820" s="4"/>
      <c r="Z820" s="4"/>
      <c r="AA820" s="4"/>
      <c r="AB820" s="4"/>
      <c r="AC820" s="4"/>
      <c r="AD820" s="4"/>
      <c r="AE820" s="4"/>
      <c r="AF820" s="4"/>
      <c r="AG820" s="4"/>
      <c r="AH820" s="4"/>
      <c r="AI820" s="17"/>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row>
    <row r="821">
      <c r="A821" s="4"/>
      <c r="B821" s="4"/>
      <c r="C821" s="4"/>
      <c r="D821" s="4"/>
      <c r="E821" s="17"/>
      <c r="F821" s="17"/>
      <c r="G821" s="17"/>
      <c r="H821" s="17"/>
      <c r="I821" s="17"/>
      <c r="J821" s="4"/>
      <c r="K821" s="17"/>
      <c r="L821" s="4"/>
      <c r="M821" s="4"/>
      <c r="N821" s="4"/>
      <c r="O821" s="4"/>
      <c r="P821" s="4"/>
      <c r="Q821" s="4"/>
      <c r="R821" s="4"/>
      <c r="S821" s="4"/>
      <c r="T821" s="4"/>
      <c r="U821" s="4"/>
      <c r="V821" s="404"/>
      <c r="W821" s="404"/>
      <c r="X821" s="4"/>
      <c r="Y821" s="4"/>
      <c r="Z821" s="4"/>
      <c r="AA821" s="4"/>
      <c r="AB821" s="4"/>
      <c r="AC821" s="4"/>
      <c r="AD821" s="4"/>
      <c r="AE821" s="4"/>
      <c r="AF821" s="4"/>
      <c r="AG821" s="4"/>
      <c r="AH821" s="4"/>
      <c r="AI821" s="17"/>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row>
    <row r="822">
      <c r="A822" s="4"/>
      <c r="B822" s="4"/>
      <c r="C822" s="4"/>
      <c r="D822" s="4"/>
      <c r="E822" s="17"/>
      <c r="F822" s="17"/>
      <c r="G822" s="17"/>
      <c r="H822" s="17"/>
      <c r="I822" s="17"/>
      <c r="J822" s="4"/>
      <c r="K822" s="17"/>
      <c r="L822" s="4"/>
      <c r="M822" s="4"/>
      <c r="N822" s="4"/>
      <c r="O822" s="4"/>
      <c r="P822" s="4"/>
      <c r="Q822" s="4"/>
      <c r="R822" s="4"/>
      <c r="S822" s="4"/>
      <c r="T822" s="4"/>
      <c r="U822" s="4"/>
      <c r="V822" s="404"/>
      <c r="W822" s="404"/>
      <c r="X822" s="4"/>
      <c r="Y822" s="4"/>
      <c r="Z822" s="4"/>
      <c r="AA822" s="4"/>
      <c r="AB822" s="4"/>
      <c r="AC822" s="4"/>
      <c r="AD822" s="4"/>
      <c r="AE822" s="4"/>
      <c r="AF822" s="4"/>
      <c r="AG822" s="4"/>
      <c r="AH822" s="4"/>
      <c r="AI822" s="17"/>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row>
    <row r="823">
      <c r="A823" s="4"/>
      <c r="B823" s="4"/>
      <c r="C823" s="4"/>
      <c r="D823" s="4"/>
      <c r="E823" s="17"/>
      <c r="F823" s="17"/>
      <c r="G823" s="17"/>
      <c r="H823" s="17"/>
      <c r="I823" s="17"/>
      <c r="J823" s="4"/>
      <c r="K823" s="17"/>
      <c r="L823" s="4"/>
      <c r="M823" s="4"/>
      <c r="N823" s="4"/>
      <c r="O823" s="4"/>
      <c r="P823" s="4"/>
      <c r="Q823" s="4"/>
      <c r="R823" s="4"/>
      <c r="S823" s="4"/>
      <c r="T823" s="4"/>
      <c r="U823" s="4"/>
      <c r="V823" s="404"/>
      <c r="W823" s="404"/>
      <c r="X823" s="4"/>
      <c r="Y823" s="4"/>
      <c r="Z823" s="4"/>
      <c r="AA823" s="4"/>
      <c r="AB823" s="4"/>
      <c r="AC823" s="4"/>
      <c r="AD823" s="4"/>
      <c r="AE823" s="4"/>
      <c r="AF823" s="4"/>
      <c r="AG823" s="4"/>
      <c r="AH823" s="4"/>
      <c r="AI823" s="17"/>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row>
    <row r="824">
      <c r="A824" s="4"/>
      <c r="B824" s="4"/>
      <c r="C824" s="4"/>
      <c r="D824" s="4"/>
      <c r="E824" s="17"/>
      <c r="F824" s="17"/>
      <c r="G824" s="17"/>
      <c r="H824" s="17"/>
      <c r="I824" s="17"/>
      <c r="J824" s="4"/>
      <c r="K824" s="17"/>
      <c r="L824" s="4"/>
      <c r="M824" s="4"/>
      <c r="N824" s="4"/>
      <c r="O824" s="4"/>
      <c r="P824" s="4"/>
      <c r="Q824" s="4"/>
      <c r="R824" s="4"/>
      <c r="S824" s="4"/>
      <c r="T824" s="4"/>
      <c r="U824" s="4"/>
      <c r="V824" s="404"/>
      <c r="W824" s="404"/>
      <c r="X824" s="4"/>
      <c r="Y824" s="4"/>
      <c r="Z824" s="4"/>
      <c r="AA824" s="4"/>
      <c r="AB824" s="4"/>
      <c r="AC824" s="4"/>
      <c r="AD824" s="4"/>
      <c r="AE824" s="4"/>
      <c r="AF824" s="4"/>
      <c r="AG824" s="4"/>
      <c r="AH824" s="4"/>
      <c r="AI824" s="17"/>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row>
    <row r="825">
      <c r="A825" s="4"/>
      <c r="B825" s="4"/>
      <c r="C825" s="4"/>
      <c r="D825" s="4"/>
      <c r="E825" s="17"/>
      <c r="F825" s="17"/>
      <c r="G825" s="17"/>
      <c r="H825" s="17"/>
      <c r="I825" s="17"/>
      <c r="J825" s="4"/>
      <c r="K825" s="17"/>
      <c r="L825" s="4"/>
      <c r="M825" s="4"/>
      <c r="N825" s="4"/>
      <c r="O825" s="4"/>
      <c r="P825" s="4"/>
      <c r="Q825" s="4"/>
      <c r="R825" s="4"/>
      <c r="S825" s="4"/>
      <c r="T825" s="4"/>
      <c r="U825" s="4"/>
      <c r="V825" s="404"/>
      <c r="W825" s="404"/>
      <c r="X825" s="4"/>
      <c r="Y825" s="4"/>
      <c r="Z825" s="4"/>
      <c r="AA825" s="4"/>
      <c r="AB825" s="4"/>
      <c r="AC825" s="4"/>
      <c r="AD825" s="4"/>
      <c r="AE825" s="4"/>
      <c r="AF825" s="4"/>
      <c r="AG825" s="4"/>
      <c r="AH825" s="4"/>
      <c r="AI825" s="17"/>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row>
    <row r="826">
      <c r="A826" s="4"/>
      <c r="B826" s="4"/>
      <c r="C826" s="4"/>
      <c r="D826" s="4"/>
      <c r="E826" s="17"/>
      <c r="F826" s="17"/>
      <c r="G826" s="17"/>
      <c r="H826" s="17"/>
      <c r="I826" s="17"/>
      <c r="J826" s="4"/>
      <c r="K826" s="17"/>
      <c r="L826" s="4"/>
      <c r="M826" s="4"/>
      <c r="N826" s="4"/>
      <c r="O826" s="4"/>
      <c r="P826" s="4"/>
      <c r="Q826" s="4"/>
      <c r="R826" s="4"/>
      <c r="S826" s="4"/>
      <c r="T826" s="4"/>
      <c r="U826" s="4"/>
      <c r="V826" s="404"/>
      <c r="W826" s="404"/>
      <c r="X826" s="4"/>
      <c r="Y826" s="4"/>
      <c r="Z826" s="4"/>
      <c r="AA826" s="4"/>
      <c r="AB826" s="4"/>
      <c r="AC826" s="4"/>
      <c r="AD826" s="4"/>
      <c r="AE826" s="4"/>
      <c r="AF826" s="4"/>
      <c r="AG826" s="4"/>
      <c r="AH826" s="4"/>
      <c r="AI826" s="17"/>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row>
    <row r="827">
      <c r="A827" s="4"/>
      <c r="B827" s="4"/>
      <c r="C827" s="4"/>
      <c r="D827" s="4"/>
      <c r="E827" s="17"/>
      <c r="F827" s="17"/>
      <c r="G827" s="17"/>
      <c r="H827" s="17"/>
      <c r="I827" s="17"/>
      <c r="J827" s="4"/>
      <c r="K827" s="17"/>
      <c r="L827" s="4"/>
      <c r="M827" s="4"/>
      <c r="N827" s="4"/>
      <c r="O827" s="4"/>
      <c r="P827" s="4"/>
      <c r="Q827" s="4"/>
      <c r="R827" s="4"/>
      <c r="S827" s="4"/>
      <c r="T827" s="4"/>
      <c r="U827" s="4"/>
      <c r="V827" s="404"/>
      <c r="W827" s="404"/>
      <c r="X827" s="4"/>
      <c r="Y827" s="4"/>
      <c r="Z827" s="4"/>
      <c r="AA827" s="4"/>
      <c r="AB827" s="4"/>
      <c r="AC827" s="4"/>
      <c r="AD827" s="4"/>
      <c r="AE827" s="4"/>
      <c r="AF827" s="4"/>
      <c r="AG827" s="4"/>
      <c r="AH827" s="4"/>
      <c r="AI827" s="17"/>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row>
    <row r="828">
      <c r="A828" s="4"/>
      <c r="B828" s="4"/>
      <c r="C828" s="4"/>
      <c r="D828" s="4"/>
      <c r="E828" s="17"/>
      <c r="F828" s="17"/>
      <c r="G828" s="17"/>
      <c r="H828" s="17"/>
      <c r="I828" s="17"/>
      <c r="J828" s="4"/>
      <c r="K828" s="17"/>
      <c r="L828" s="4"/>
      <c r="M828" s="4"/>
      <c r="N828" s="4"/>
      <c r="O828" s="4"/>
      <c r="P828" s="4"/>
      <c r="Q828" s="4"/>
      <c r="R828" s="4"/>
      <c r="S828" s="4"/>
      <c r="T828" s="4"/>
      <c r="U828" s="4"/>
      <c r="V828" s="404"/>
      <c r="W828" s="404"/>
      <c r="X828" s="4"/>
      <c r="Y828" s="4"/>
      <c r="Z828" s="4"/>
      <c r="AA828" s="4"/>
      <c r="AB828" s="4"/>
      <c r="AC828" s="4"/>
      <c r="AD828" s="4"/>
      <c r="AE828" s="4"/>
      <c r="AF828" s="4"/>
      <c r="AG828" s="4"/>
      <c r="AH828" s="4"/>
      <c r="AI828" s="17"/>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row>
    <row r="829">
      <c r="A829" s="4"/>
      <c r="B829" s="4"/>
      <c r="C829" s="4"/>
      <c r="D829" s="4"/>
      <c r="E829" s="17"/>
      <c r="F829" s="17"/>
      <c r="G829" s="17"/>
      <c r="H829" s="17"/>
      <c r="I829" s="17"/>
      <c r="J829" s="4"/>
      <c r="K829" s="17"/>
      <c r="L829" s="4"/>
      <c r="M829" s="4"/>
      <c r="N829" s="4"/>
      <c r="O829" s="4"/>
      <c r="P829" s="4"/>
      <c r="Q829" s="4"/>
      <c r="R829" s="4"/>
      <c r="S829" s="4"/>
      <c r="T829" s="4"/>
      <c r="U829" s="4"/>
      <c r="V829" s="404"/>
      <c r="W829" s="404"/>
      <c r="X829" s="4"/>
      <c r="Y829" s="4"/>
      <c r="Z829" s="4"/>
      <c r="AA829" s="4"/>
      <c r="AB829" s="4"/>
      <c r="AC829" s="4"/>
      <c r="AD829" s="4"/>
      <c r="AE829" s="4"/>
      <c r="AF829" s="4"/>
      <c r="AG829" s="4"/>
      <c r="AH829" s="4"/>
      <c r="AI829" s="17"/>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row>
    <row r="830">
      <c r="A830" s="4"/>
      <c r="B830" s="4"/>
      <c r="C830" s="4"/>
      <c r="D830" s="4"/>
      <c r="E830" s="17"/>
      <c r="F830" s="17"/>
      <c r="G830" s="17"/>
      <c r="H830" s="17"/>
      <c r="I830" s="17"/>
      <c r="J830" s="4"/>
      <c r="K830" s="17"/>
      <c r="L830" s="4"/>
      <c r="M830" s="4"/>
      <c r="N830" s="4"/>
      <c r="O830" s="4"/>
      <c r="P830" s="4"/>
      <c r="Q830" s="4"/>
      <c r="R830" s="4"/>
      <c r="S830" s="4"/>
      <c r="T830" s="4"/>
      <c r="U830" s="4"/>
      <c r="V830" s="404"/>
      <c r="W830" s="404"/>
      <c r="X830" s="4"/>
      <c r="Y830" s="4"/>
      <c r="Z830" s="4"/>
      <c r="AA830" s="4"/>
      <c r="AB830" s="4"/>
      <c r="AC830" s="4"/>
      <c r="AD830" s="4"/>
      <c r="AE830" s="4"/>
      <c r="AF830" s="4"/>
      <c r="AG830" s="4"/>
      <c r="AH830" s="4"/>
      <c r="AI830" s="17"/>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row>
    <row r="831">
      <c r="A831" s="4"/>
      <c r="B831" s="4"/>
      <c r="C831" s="4"/>
      <c r="D831" s="4"/>
      <c r="E831" s="17"/>
      <c r="F831" s="17"/>
      <c r="G831" s="17"/>
      <c r="H831" s="17"/>
      <c r="I831" s="17"/>
      <c r="J831" s="4"/>
      <c r="K831" s="17"/>
      <c r="L831" s="4"/>
      <c r="M831" s="4"/>
      <c r="N831" s="4"/>
      <c r="O831" s="4"/>
      <c r="P831" s="4"/>
      <c r="Q831" s="4"/>
      <c r="R831" s="4"/>
      <c r="S831" s="4"/>
      <c r="T831" s="4"/>
      <c r="U831" s="4"/>
      <c r="V831" s="404"/>
      <c r="W831" s="404"/>
      <c r="X831" s="4"/>
      <c r="Y831" s="4"/>
      <c r="Z831" s="4"/>
      <c r="AA831" s="4"/>
      <c r="AB831" s="4"/>
      <c r="AC831" s="4"/>
      <c r="AD831" s="4"/>
      <c r="AE831" s="4"/>
      <c r="AF831" s="4"/>
      <c r="AG831" s="4"/>
      <c r="AH831" s="4"/>
      <c r="AI831" s="17"/>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row>
    <row r="832">
      <c r="A832" s="4"/>
      <c r="B832" s="4"/>
      <c r="C832" s="4"/>
      <c r="D832" s="4"/>
      <c r="E832" s="17"/>
      <c r="F832" s="17"/>
      <c r="G832" s="17"/>
      <c r="H832" s="17"/>
      <c r="I832" s="17"/>
      <c r="J832" s="4"/>
      <c r="K832" s="17"/>
      <c r="L832" s="4"/>
      <c r="M832" s="4"/>
      <c r="N832" s="4"/>
      <c r="O832" s="4"/>
      <c r="P832" s="4"/>
      <c r="Q832" s="4"/>
      <c r="R832" s="4"/>
      <c r="S832" s="4"/>
      <c r="T832" s="4"/>
      <c r="U832" s="4"/>
      <c r="V832" s="404"/>
      <c r="W832" s="404"/>
      <c r="X832" s="4"/>
      <c r="Y832" s="4"/>
      <c r="Z832" s="4"/>
      <c r="AA832" s="4"/>
      <c r="AB832" s="4"/>
      <c r="AC832" s="4"/>
      <c r="AD832" s="4"/>
      <c r="AE832" s="4"/>
      <c r="AF832" s="4"/>
      <c r="AG832" s="4"/>
      <c r="AH832" s="4"/>
      <c r="AI832" s="17"/>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row>
    <row r="833">
      <c r="A833" s="4"/>
      <c r="B833" s="4"/>
      <c r="C833" s="4"/>
      <c r="D833" s="4"/>
      <c r="E833" s="17"/>
      <c r="F833" s="17"/>
      <c r="G833" s="17"/>
      <c r="H833" s="17"/>
      <c r="I833" s="17"/>
      <c r="J833" s="4"/>
      <c r="K833" s="17"/>
      <c r="L833" s="4"/>
      <c r="M833" s="4"/>
      <c r="N833" s="4"/>
      <c r="O833" s="4"/>
      <c r="P833" s="4"/>
      <c r="Q833" s="4"/>
      <c r="R833" s="4"/>
      <c r="S833" s="4"/>
      <c r="T833" s="4"/>
      <c r="U833" s="4"/>
      <c r="V833" s="404"/>
      <c r="W833" s="404"/>
      <c r="X833" s="4"/>
      <c r="Y833" s="4"/>
      <c r="Z833" s="4"/>
      <c r="AA833" s="4"/>
      <c r="AB833" s="4"/>
      <c r="AC833" s="4"/>
      <c r="AD833" s="4"/>
      <c r="AE833" s="4"/>
      <c r="AF833" s="4"/>
      <c r="AG833" s="4"/>
      <c r="AH833" s="4"/>
      <c r="AI833" s="17"/>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row>
    <row r="834">
      <c r="A834" s="4"/>
      <c r="B834" s="4"/>
      <c r="C834" s="4"/>
      <c r="D834" s="4"/>
      <c r="E834" s="17"/>
      <c r="F834" s="17"/>
      <c r="G834" s="17"/>
      <c r="H834" s="17"/>
      <c r="I834" s="17"/>
      <c r="J834" s="4"/>
      <c r="K834" s="17"/>
      <c r="L834" s="4"/>
      <c r="M834" s="4"/>
      <c r="N834" s="4"/>
      <c r="O834" s="4"/>
      <c r="P834" s="4"/>
      <c r="Q834" s="4"/>
      <c r="R834" s="4"/>
      <c r="S834" s="4"/>
      <c r="T834" s="4"/>
      <c r="U834" s="4"/>
      <c r="V834" s="404"/>
      <c r="W834" s="404"/>
      <c r="X834" s="4"/>
      <c r="Y834" s="4"/>
      <c r="Z834" s="4"/>
      <c r="AA834" s="4"/>
      <c r="AB834" s="4"/>
      <c r="AC834" s="4"/>
      <c r="AD834" s="4"/>
      <c r="AE834" s="4"/>
      <c r="AF834" s="4"/>
      <c r="AG834" s="4"/>
      <c r="AH834" s="4"/>
      <c r="AI834" s="17"/>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row>
    <row r="835">
      <c r="A835" s="4"/>
      <c r="B835" s="4"/>
      <c r="C835" s="4"/>
      <c r="D835" s="4"/>
      <c r="E835" s="17"/>
      <c r="F835" s="17"/>
      <c r="G835" s="17"/>
      <c r="H835" s="17"/>
      <c r="I835" s="17"/>
      <c r="J835" s="4"/>
      <c r="K835" s="17"/>
      <c r="L835" s="4"/>
      <c r="M835" s="4"/>
      <c r="N835" s="4"/>
      <c r="O835" s="4"/>
      <c r="P835" s="4"/>
      <c r="Q835" s="4"/>
      <c r="R835" s="4"/>
      <c r="S835" s="4"/>
      <c r="T835" s="4"/>
      <c r="U835" s="4"/>
      <c r="V835" s="404"/>
      <c r="W835" s="404"/>
      <c r="X835" s="4"/>
      <c r="Y835" s="4"/>
      <c r="Z835" s="4"/>
      <c r="AA835" s="4"/>
      <c r="AB835" s="4"/>
      <c r="AC835" s="4"/>
      <c r="AD835" s="4"/>
      <c r="AE835" s="4"/>
      <c r="AF835" s="4"/>
      <c r="AG835" s="4"/>
      <c r="AH835" s="4"/>
      <c r="AI835" s="17"/>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row>
    <row r="836">
      <c r="A836" s="4"/>
      <c r="B836" s="4"/>
      <c r="C836" s="4"/>
      <c r="D836" s="4"/>
      <c r="E836" s="17"/>
      <c r="F836" s="17"/>
      <c r="G836" s="17"/>
      <c r="H836" s="17"/>
      <c r="I836" s="17"/>
      <c r="J836" s="4"/>
      <c r="K836" s="17"/>
      <c r="L836" s="4"/>
      <c r="M836" s="4"/>
      <c r="N836" s="4"/>
      <c r="O836" s="4"/>
      <c r="P836" s="4"/>
      <c r="Q836" s="4"/>
      <c r="R836" s="4"/>
      <c r="S836" s="4"/>
      <c r="T836" s="4"/>
      <c r="U836" s="4"/>
      <c r="V836" s="404"/>
      <c r="W836" s="404"/>
      <c r="X836" s="4"/>
      <c r="Y836" s="4"/>
      <c r="Z836" s="4"/>
      <c r="AA836" s="4"/>
      <c r="AB836" s="4"/>
      <c r="AC836" s="4"/>
      <c r="AD836" s="4"/>
      <c r="AE836" s="4"/>
      <c r="AF836" s="4"/>
      <c r="AG836" s="4"/>
      <c r="AH836" s="4"/>
      <c r="AI836" s="17"/>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row>
    <row r="837">
      <c r="A837" s="4"/>
      <c r="B837" s="4"/>
      <c r="C837" s="4"/>
      <c r="D837" s="4"/>
      <c r="E837" s="17"/>
      <c r="F837" s="17"/>
      <c r="G837" s="17"/>
      <c r="H837" s="17"/>
      <c r="I837" s="17"/>
      <c r="J837" s="4"/>
      <c r="K837" s="17"/>
      <c r="L837" s="4"/>
      <c r="M837" s="4"/>
      <c r="N837" s="4"/>
      <c r="O837" s="4"/>
      <c r="P837" s="4"/>
      <c r="Q837" s="4"/>
      <c r="R837" s="4"/>
      <c r="S837" s="4"/>
      <c r="T837" s="4"/>
      <c r="U837" s="4"/>
      <c r="V837" s="404"/>
      <c r="W837" s="404"/>
      <c r="X837" s="4"/>
      <c r="Y837" s="4"/>
      <c r="Z837" s="4"/>
      <c r="AA837" s="4"/>
      <c r="AB837" s="4"/>
      <c r="AC837" s="4"/>
      <c r="AD837" s="4"/>
      <c r="AE837" s="4"/>
      <c r="AF837" s="4"/>
      <c r="AG837" s="4"/>
      <c r="AH837" s="4"/>
      <c r="AI837" s="17"/>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row>
    <row r="838">
      <c r="A838" s="4"/>
      <c r="B838" s="4"/>
      <c r="C838" s="4"/>
      <c r="D838" s="4"/>
      <c r="E838" s="17"/>
      <c r="F838" s="17"/>
      <c r="G838" s="17"/>
      <c r="H838" s="17"/>
      <c r="I838" s="17"/>
      <c r="J838" s="4"/>
      <c r="K838" s="17"/>
      <c r="L838" s="4"/>
      <c r="M838" s="4"/>
      <c r="N838" s="4"/>
      <c r="O838" s="4"/>
      <c r="P838" s="4"/>
      <c r="Q838" s="4"/>
      <c r="R838" s="4"/>
      <c r="S838" s="4"/>
      <c r="T838" s="4"/>
      <c r="U838" s="4"/>
      <c r="V838" s="404"/>
      <c r="W838" s="404"/>
      <c r="X838" s="4"/>
      <c r="Y838" s="4"/>
      <c r="Z838" s="4"/>
      <c r="AA838" s="4"/>
      <c r="AB838" s="4"/>
      <c r="AC838" s="4"/>
      <c r="AD838" s="4"/>
      <c r="AE838" s="4"/>
      <c r="AF838" s="4"/>
      <c r="AG838" s="4"/>
      <c r="AH838" s="4"/>
      <c r="AI838" s="17"/>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row>
    <row r="839">
      <c r="A839" s="4"/>
      <c r="B839" s="4"/>
      <c r="C839" s="4"/>
      <c r="D839" s="4"/>
      <c r="E839" s="17"/>
      <c r="F839" s="17"/>
      <c r="G839" s="17"/>
      <c r="H839" s="17"/>
      <c r="I839" s="17"/>
      <c r="J839" s="4"/>
      <c r="K839" s="17"/>
      <c r="L839" s="4"/>
      <c r="M839" s="4"/>
      <c r="N839" s="4"/>
      <c r="O839" s="4"/>
      <c r="P839" s="4"/>
      <c r="Q839" s="4"/>
      <c r="R839" s="4"/>
      <c r="S839" s="4"/>
      <c r="T839" s="4"/>
      <c r="U839" s="4"/>
      <c r="V839" s="404"/>
      <c r="W839" s="404"/>
      <c r="X839" s="4"/>
      <c r="Y839" s="4"/>
      <c r="Z839" s="4"/>
      <c r="AA839" s="4"/>
      <c r="AB839" s="4"/>
      <c r="AC839" s="4"/>
      <c r="AD839" s="4"/>
      <c r="AE839" s="4"/>
      <c r="AF839" s="4"/>
      <c r="AG839" s="4"/>
      <c r="AH839" s="4"/>
      <c r="AI839" s="17"/>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row>
    <row r="840">
      <c r="A840" s="4"/>
      <c r="B840" s="4"/>
      <c r="C840" s="4"/>
      <c r="D840" s="4"/>
      <c r="E840" s="17"/>
      <c r="F840" s="17"/>
      <c r="G840" s="17"/>
      <c r="H840" s="17"/>
      <c r="I840" s="17"/>
      <c r="J840" s="4"/>
      <c r="K840" s="17"/>
      <c r="L840" s="4"/>
      <c r="M840" s="4"/>
      <c r="N840" s="4"/>
      <c r="O840" s="4"/>
      <c r="P840" s="4"/>
      <c r="Q840" s="4"/>
      <c r="R840" s="4"/>
      <c r="S840" s="4"/>
      <c r="T840" s="4"/>
      <c r="U840" s="4"/>
      <c r="V840" s="404"/>
      <c r="W840" s="404"/>
      <c r="X840" s="4"/>
      <c r="Y840" s="4"/>
      <c r="Z840" s="4"/>
      <c r="AA840" s="4"/>
      <c r="AB840" s="4"/>
      <c r="AC840" s="4"/>
      <c r="AD840" s="4"/>
      <c r="AE840" s="4"/>
      <c r="AF840" s="4"/>
      <c r="AG840" s="4"/>
      <c r="AH840" s="4"/>
      <c r="AI840" s="17"/>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row>
    <row r="841">
      <c r="A841" s="4"/>
      <c r="B841" s="4"/>
      <c r="C841" s="4"/>
      <c r="D841" s="4"/>
      <c r="E841" s="17"/>
      <c r="F841" s="17"/>
      <c r="G841" s="17"/>
      <c r="H841" s="17"/>
      <c r="I841" s="17"/>
      <c r="J841" s="4"/>
      <c r="K841" s="17"/>
      <c r="L841" s="4"/>
      <c r="M841" s="4"/>
      <c r="N841" s="4"/>
      <c r="O841" s="4"/>
      <c r="P841" s="4"/>
      <c r="Q841" s="4"/>
      <c r="R841" s="4"/>
      <c r="S841" s="4"/>
      <c r="T841" s="4"/>
      <c r="U841" s="4"/>
      <c r="V841" s="404"/>
      <c r="W841" s="404"/>
      <c r="X841" s="4"/>
      <c r="Y841" s="4"/>
      <c r="Z841" s="4"/>
      <c r="AA841" s="4"/>
      <c r="AB841" s="4"/>
      <c r="AC841" s="4"/>
      <c r="AD841" s="4"/>
      <c r="AE841" s="4"/>
      <c r="AF841" s="4"/>
      <c r="AG841" s="4"/>
      <c r="AH841" s="4"/>
      <c r="AI841" s="17"/>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row>
    <row r="842">
      <c r="A842" s="4"/>
      <c r="B842" s="4"/>
      <c r="C842" s="4"/>
      <c r="D842" s="4"/>
      <c r="E842" s="17"/>
      <c r="F842" s="17"/>
      <c r="G842" s="17"/>
      <c r="H842" s="17"/>
      <c r="I842" s="17"/>
      <c r="J842" s="4"/>
      <c r="K842" s="17"/>
      <c r="L842" s="4"/>
      <c r="M842" s="4"/>
      <c r="N842" s="4"/>
      <c r="O842" s="4"/>
      <c r="P842" s="4"/>
      <c r="Q842" s="4"/>
      <c r="R842" s="4"/>
      <c r="S842" s="4"/>
      <c r="T842" s="4"/>
      <c r="U842" s="4"/>
      <c r="V842" s="404"/>
      <c r="W842" s="404"/>
      <c r="X842" s="4"/>
      <c r="Y842" s="4"/>
      <c r="Z842" s="4"/>
      <c r="AA842" s="4"/>
      <c r="AB842" s="4"/>
      <c r="AC842" s="4"/>
      <c r="AD842" s="4"/>
      <c r="AE842" s="4"/>
      <c r="AF842" s="4"/>
      <c r="AG842" s="4"/>
      <c r="AH842" s="4"/>
      <c r="AI842" s="17"/>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row>
    <row r="843">
      <c r="A843" s="4"/>
      <c r="B843" s="4"/>
      <c r="C843" s="4"/>
      <c r="D843" s="4"/>
      <c r="E843" s="17"/>
      <c r="F843" s="17"/>
      <c r="G843" s="17"/>
      <c r="H843" s="17"/>
      <c r="I843" s="17"/>
      <c r="J843" s="4"/>
      <c r="K843" s="17"/>
      <c r="L843" s="4"/>
      <c r="M843" s="4"/>
      <c r="N843" s="4"/>
      <c r="O843" s="4"/>
      <c r="P843" s="4"/>
      <c r="Q843" s="4"/>
      <c r="R843" s="4"/>
      <c r="S843" s="4"/>
      <c r="T843" s="4"/>
      <c r="U843" s="4"/>
      <c r="V843" s="404"/>
      <c r="W843" s="404"/>
      <c r="X843" s="4"/>
      <c r="Y843" s="4"/>
      <c r="Z843" s="4"/>
      <c r="AA843" s="4"/>
      <c r="AB843" s="4"/>
      <c r="AC843" s="4"/>
      <c r="AD843" s="4"/>
      <c r="AE843" s="4"/>
      <c r="AF843" s="4"/>
      <c r="AG843" s="4"/>
      <c r="AH843" s="4"/>
      <c r="AI843" s="17"/>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row>
    <row r="844">
      <c r="A844" s="4"/>
      <c r="B844" s="4"/>
      <c r="C844" s="4"/>
      <c r="D844" s="4"/>
      <c r="E844" s="17"/>
      <c r="F844" s="17"/>
      <c r="G844" s="17"/>
      <c r="H844" s="17"/>
      <c r="I844" s="17"/>
      <c r="J844" s="4"/>
      <c r="K844" s="17"/>
      <c r="L844" s="4"/>
      <c r="M844" s="4"/>
      <c r="N844" s="4"/>
      <c r="O844" s="4"/>
      <c r="P844" s="4"/>
      <c r="Q844" s="4"/>
      <c r="R844" s="4"/>
      <c r="S844" s="4"/>
      <c r="T844" s="4"/>
      <c r="U844" s="4"/>
      <c r="V844" s="404"/>
      <c r="W844" s="404"/>
      <c r="X844" s="4"/>
      <c r="Y844" s="4"/>
      <c r="Z844" s="4"/>
      <c r="AA844" s="4"/>
      <c r="AB844" s="4"/>
      <c r="AC844" s="4"/>
      <c r="AD844" s="4"/>
      <c r="AE844" s="4"/>
      <c r="AF844" s="4"/>
      <c r="AG844" s="4"/>
      <c r="AH844" s="4"/>
      <c r="AI844" s="17"/>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row>
    <row r="845">
      <c r="A845" s="4"/>
      <c r="B845" s="4"/>
      <c r="C845" s="4"/>
      <c r="D845" s="4"/>
      <c r="E845" s="17"/>
      <c r="F845" s="17"/>
      <c r="G845" s="17"/>
      <c r="H845" s="17"/>
      <c r="I845" s="17"/>
      <c r="J845" s="4"/>
      <c r="K845" s="17"/>
      <c r="L845" s="4"/>
      <c r="M845" s="4"/>
      <c r="N845" s="4"/>
      <c r="O845" s="4"/>
      <c r="P845" s="4"/>
      <c r="Q845" s="4"/>
      <c r="R845" s="4"/>
      <c r="S845" s="4"/>
      <c r="T845" s="4"/>
      <c r="U845" s="4"/>
      <c r="V845" s="404"/>
      <c r="W845" s="404"/>
      <c r="X845" s="4"/>
      <c r="Y845" s="4"/>
      <c r="Z845" s="4"/>
      <c r="AA845" s="4"/>
      <c r="AB845" s="4"/>
      <c r="AC845" s="4"/>
      <c r="AD845" s="4"/>
      <c r="AE845" s="4"/>
      <c r="AF845" s="4"/>
      <c r="AG845" s="4"/>
      <c r="AH845" s="4"/>
      <c r="AI845" s="17"/>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row>
    <row r="846">
      <c r="A846" s="4"/>
      <c r="B846" s="4"/>
      <c r="C846" s="4"/>
      <c r="D846" s="4"/>
      <c r="E846" s="17"/>
      <c r="F846" s="17"/>
      <c r="G846" s="17"/>
      <c r="H846" s="17"/>
      <c r="I846" s="17"/>
      <c r="J846" s="4"/>
      <c r="K846" s="17"/>
      <c r="L846" s="4"/>
      <c r="M846" s="4"/>
      <c r="N846" s="4"/>
      <c r="O846" s="4"/>
      <c r="P846" s="4"/>
      <c r="Q846" s="4"/>
      <c r="R846" s="4"/>
      <c r="S846" s="4"/>
      <c r="T846" s="4"/>
      <c r="U846" s="4"/>
      <c r="V846" s="404"/>
      <c r="W846" s="404"/>
      <c r="X846" s="4"/>
      <c r="Y846" s="4"/>
      <c r="Z846" s="4"/>
      <c r="AA846" s="4"/>
      <c r="AB846" s="4"/>
      <c r="AC846" s="4"/>
      <c r="AD846" s="4"/>
      <c r="AE846" s="4"/>
      <c r="AF846" s="4"/>
      <c r="AG846" s="4"/>
      <c r="AH846" s="4"/>
      <c r="AI846" s="17"/>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row>
    <row r="847">
      <c r="A847" s="4"/>
      <c r="B847" s="4"/>
      <c r="C847" s="4"/>
      <c r="D847" s="4"/>
      <c r="E847" s="17"/>
      <c r="F847" s="17"/>
      <c r="G847" s="17"/>
      <c r="H847" s="17"/>
      <c r="I847" s="17"/>
      <c r="J847" s="4"/>
      <c r="K847" s="17"/>
      <c r="L847" s="4"/>
      <c r="M847" s="4"/>
      <c r="N847" s="4"/>
      <c r="O847" s="4"/>
      <c r="P847" s="4"/>
      <c r="Q847" s="4"/>
      <c r="R847" s="4"/>
      <c r="S847" s="4"/>
      <c r="T847" s="4"/>
      <c r="U847" s="4"/>
      <c r="V847" s="404"/>
      <c r="W847" s="404"/>
      <c r="X847" s="4"/>
      <c r="Y847" s="4"/>
      <c r="Z847" s="4"/>
      <c r="AA847" s="4"/>
      <c r="AB847" s="4"/>
      <c r="AC847" s="4"/>
      <c r="AD847" s="4"/>
      <c r="AE847" s="4"/>
      <c r="AF847" s="4"/>
      <c r="AG847" s="4"/>
      <c r="AH847" s="4"/>
      <c r="AI847" s="17"/>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row>
    <row r="848">
      <c r="A848" s="4"/>
      <c r="B848" s="4"/>
      <c r="C848" s="4"/>
      <c r="D848" s="4"/>
      <c r="E848" s="17"/>
      <c r="F848" s="17"/>
      <c r="G848" s="17"/>
      <c r="H848" s="17"/>
      <c r="I848" s="17"/>
      <c r="J848" s="4"/>
      <c r="K848" s="17"/>
      <c r="L848" s="4"/>
      <c r="M848" s="4"/>
      <c r="N848" s="4"/>
      <c r="O848" s="4"/>
      <c r="P848" s="4"/>
      <c r="Q848" s="4"/>
      <c r="R848" s="4"/>
      <c r="S848" s="4"/>
      <c r="T848" s="4"/>
      <c r="U848" s="4"/>
      <c r="V848" s="404"/>
      <c r="W848" s="404"/>
      <c r="X848" s="4"/>
      <c r="Y848" s="4"/>
      <c r="Z848" s="4"/>
      <c r="AA848" s="4"/>
      <c r="AB848" s="4"/>
      <c r="AC848" s="4"/>
      <c r="AD848" s="4"/>
      <c r="AE848" s="4"/>
      <c r="AF848" s="4"/>
      <c r="AG848" s="4"/>
      <c r="AH848" s="4"/>
      <c r="AI848" s="17"/>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row>
    <row r="849">
      <c r="A849" s="4"/>
      <c r="B849" s="4"/>
      <c r="C849" s="4"/>
      <c r="D849" s="4"/>
      <c r="E849" s="17"/>
      <c r="F849" s="17"/>
      <c r="G849" s="17"/>
      <c r="H849" s="17"/>
      <c r="I849" s="17"/>
      <c r="J849" s="4"/>
      <c r="K849" s="17"/>
      <c r="L849" s="4"/>
      <c r="M849" s="4"/>
      <c r="N849" s="4"/>
      <c r="O849" s="4"/>
      <c r="P849" s="4"/>
      <c r="Q849" s="4"/>
      <c r="R849" s="4"/>
      <c r="S849" s="4"/>
      <c r="T849" s="4"/>
      <c r="U849" s="4"/>
      <c r="V849" s="404"/>
      <c r="W849" s="404"/>
      <c r="X849" s="4"/>
      <c r="Y849" s="4"/>
      <c r="Z849" s="4"/>
      <c r="AA849" s="4"/>
      <c r="AB849" s="4"/>
      <c r="AC849" s="4"/>
      <c r="AD849" s="4"/>
      <c r="AE849" s="4"/>
      <c r="AF849" s="4"/>
      <c r="AG849" s="4"/>
      <c r="AH849" s="4"/>
      <c r="AI849" s="17"/>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row>
    <row r="850">
      <c r="A850" s="4"/>
      <c r="B850" s="4"/>
      <c r="C850" s="4"/>
      <c r="D850" s="4"/>
      <c r="E850" s="17"/>
      <c r="F850" s="17"/>
      <c r="G850" s="17"/>
      <c r="H850" s="17"/>
      <c r="I850" s="17"/>
      <c r="J850" s="4"/>
      <c r="K850" s="17"/>
      <c r="L850" s="4"/>
      <c r="M850" s="4"/>
      <c r="N850" s="4"/>
      <c r="O850" s="4"/>
      <c r="P850" s="4"/>
      <c r="Q850" s="4"/>
      <c r="R850" s="4"/>
      <c r="S850" s="4"/>
      <c r="T850" s="4"/>
      <c r="U850" s="4"/>
      <c r="V850" s="404"/>
      <c r="W850" s="404"/>
      <c r="X850" s="4"/>
      <c r="Y850" s="4"/>
      <c r="Z850" s="4"/>
      <c r="AA850" s="4"/>
      <c r="AB850" s="4"/>
      <c r="AC850" s="4"/>
      <c r="AD850" s="4"/>
      <c r="AE850" s="4"/>
      <c r="AF850" s="4"/>
      <c r="AG850" s="4"/>
      <c r="AH850" s="4"/>
      <c r="AI850" s="17"/>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row>
    <row r="851">
      <c r="A851" s="4"/>
      <c r="B851" s="4"/>
      <c r="C851" s="4"/>
      <c r="D851" s="4"/>
      <c r="E851" s="17"/>
      <c r="F851" s="17"/>
      <c r="G851" s="17"/>
      <c r="H851" s="17"/>
      <c r="I851" s="17"/>
      <c r="J851" s="4"/>
      <c r="K851" s="17"/>
      <c r="L851" s="4"/>
      <c r="M851" s="4"/>
      <c r="N851" s="4"/>
      <c r="O851" s="4"/>
      <c r="P851" s="4"/>
      <c r="Q851" s="4"/>
      <c r="R851" s="4"/>
      <c r="S851" s="4"/>
      <c r="T851" s="4"/>
      <c r="U851" s="4"/>
      <c r="V851" s="404"/>
      <c r="W851" s="404"/>
      <c r="X851" s="4"/>
      <c r="Y851" s="4"/>
      <c r="Z851" s="4"/>
      <c r="AA851" s="4"/>
      <c r="AB851" s="4"/>
      <c r="AC851" s="4"/>
      <c r="AD851" s="4"/>
      <c r="AE851" s="4"/>
      <c r="AF851" s="4"/>
      <c r="AG851" s="4"/>
      <c r="AH851" s="4"/>
      <c r="AI851" s="17"/>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row>
    <row r="852">
      <c r="A852" s="4"/>
      <c r="B852" s="4"/>
      <c r="C852" s="4"/>
      <c r="D852" s="4"/>
      <c r="E852" s="17"/>
      <c r="F852" s="17"/>
      <c r="G852" s="17"/>
      <c r="H852" s="17"/>
      <c r="I852" s="17"/>
      <c r="J852" s="4"/>
      <c r="K852" s="17"/>
      <c r="L852" s="4"/>
      <c r="M852" s="4"/>
      <c r="N852" s="4"/>
      <c r="O852" s="4"/>
      <c r="P852" s="4"/>
      <c r="Q852" s="4"/>
      <c r="R852" s="4"/>
      <c r="S852" s="4"/>
      <c r="T852" s="4"/>
      <c r="U852" s="4"/>
      <c r="V852" s="404"/>
      <c r="W852" s="404"/>
      <c r="X852" s="4"/>
      <c r="Y852" s="4"/>
      <c r="Z852" s="4"/>
      <c r="AA852" s="4"/>
      <c r="AB852" s="4"/>
      <c r="AC852" s="4"/>
      <c r="AD852" s="4"/>
      <c r="AE852" s="4"/>
      <c r="AF852" s="4"/>
      <c r="AG852" s="4"/>
      <c r="AH852" s="4"/>
      <c r="AI852" s="17"/>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row>
    <row r="853">
      <c r="A853" s="4"/>
      <c r="B853" s="4"/>
      <c r="C853" s="4"/>
      <c r="D853" s="4"/>
      <c r="E853" s="17"/>
      <c r="F853" s="17"/>
      <c r="G853" s="17"/>
      <c r="H853" s="17"/>
      <c r="I853" s="17"/>
      <c r="J853" s="4"/>
      <c r="K853" s="17"/>
      <c r="L853" s="4"/>
      <c r="M853" s="4"/>
      <c r="N853" s="4"/>
      <c r="O853" s="4"/>
      <c r="P853" s="4"/>
      <c r="Q853" s="4"/>
      <c r="R853" s="4"/>
      <c r="S853" s="4"/>
      <c r="T853" s="4"/>
      <c r="U853" s="4"/>
      <c r="V853" s="404"/>
      <c r="W853" s="404"/>
      <c r="X853" s="4"/>
      <c r="Y853" s="4"/>
      <c r="Z853" s="4"/>
      <c r="AA853" s="4"/>
      <c r="AB853" s="4"/>
      <c r="AC853" s="4"/>
      <c r="AD853" s="4"/>
      <c r="AE853" s="4"/>
      <c r="AF853" s="4"/>
      <c r="AG853" s="4"/>
      <c r="AH853" s="4"/>
      <c r="AI853" s="17"/>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row>
    <row r="854">
      <c r="A854" s="4"/>
      <c r="B854" s="4"/>
      <c r="C854" s="4"/>
      <c r="D854" s="4"/>
      <c r="E854" s="17"/>
      <c r="F854" s="17"/>
      <c r="G854" s="17"/>
      <c r="H854" s="17"/>
      <c r="I854" s="17"/>
      <c r="J854" s="4"/>
      <c r="K854" s="17"/>
      <c r="L854" s="4"/>
      <c r="M854" s="4"/>
      <c r="N854" s="4"/>
      <c r="O854" s="4"/>
      <c r="P854" s="4"/>
      <c r="Q854" s="4"/>
      <c r="R854" s="4"/>
      <c r="S854" s="4"/>
      <c r="T854" s="4"/>
      <c r="U854" s="4"/>
      <c r="V854" s="404"/>
      <c r="W854" s="404"/>
      <c r="X854" s="4"/>
      <c r="Y854" s="4"/>
      <c r="Z854" s="4"/>
      <c r="AA854" s="4"/>
      <c r="AB854" s="4"/>
      <c r="AC854" s="4"/>
      <c r="AD854" s="4"/>
      <c r="AE854" s="4"/>
      <c r="AF854" s="4"/>
      <c r="AG854" s="4"/>
      <c r="AH854" s="4"/>
      <c r="AI854" s="17"/>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row>
    <row r="855">
      <c r="A855" s="4"/>
      <c r="B855" s="4"/>
      <c r="C855" s="4"/>
      <c r="D855" s="4"/>
      <c r="E855" s="17"/>
      <c r="F855" s="17"/>
      <c r="G855" s="17"/>
      <c r="H855" s="17"/>
      <c r="I855" s="17"/>
      <c r="J855" s="4"/>
      <c r="K855" s="17"/>
      <c r="L855" s="4"/>
      <c r="M855" s="4"/>
      <c r="N855" s="4"/>
      <c r="O855" s="4"/>
      <c r="P855" s="4"/>
      <c r="Q855" s="4"/>
      <c r="R855" s="4"/>
      <c r="S855" s="4"/>
      <c r="T855" s="4"/>
      <c r="U855" s="4"/>
      <c r="V855" s="404"/>
      <c r="W855" s="404"/>
      <c r="X855" s="4"/>
      <c r="Y855" s="4"/>
      <c r="Z855" s="4"/>
      <c r="AA855" s="4"/>
      <c r="AB855" s="4"/>
      <c r="AC855" s="4"/>
      <c r="AD855" s="4"/>
      <c r="AE855" s="4"/>
      <c r="AF855" s="4"/>
      <c r="AG855" s="4"/>
      <c r="AH855" s="4"/>
      <c r="AI855" s="17"/>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row>
    <row r="856">
      <c r="A856" s="4"/>
      <c r="B856" s="4"/>
      <c r="C856" s="4"/>
      <c r="D856" s="4"/>
      <c r="E856" s="17"/>
      <c r="F856" s="17"/>
      <c r="G856" s="17"/>
      <c r="H856" s="17"/>
      <c r="I856" s="17"/>
      <c r="J856" s="4"/>
      <c r="K856" s="17"/>
      <c r="L856" s="4"/>
      <c r="M856" s="4"/>
      <c r="N856" s="4"/>
      <c r="O856" s="4"/>
      <c r="P856" s="4"/>
      <c r="Q856" s="4"/>
      <c r="R856" s="4"/>
      <c r="S856" s="4"/>
      <c r="T856" s="4"/>
      <c r="U856" s="4"/>
      <c r="V856" s="404"/>
      <c r="W856" s="404"/>
      <c r="X856" s="4"/>
      <c r="Y856" s="4"/>
      <c r="Z856" s="4"/>
      <c r="AA856" s="4"/>
      <c r="AB856" s="4"/>
      <c r="AC856" s="4"/>
      <c r="AD856" s="4"/>
      <c r="AE856" s="4"/>
      <c r="AF856" s="4"/>
      <c r="AG856" s="4"/>
      <c r="AH856" s="4"/>
      <c r="AI856" s="17"/>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row>
    <row r="857">
      <c r="A857" s="4"/>
      <c r="B857" s="4"/>
      <c r="C857" s="4"/>
      <c r="D857" s="4"/>
      <c r="E857" s="17"/>
      <c r="F857" s="17"/>
      <c r="G857" s="17"/>
      <c r="H857" s="17"/>
      <c r="I857" s="17"/>
      <c r="J857" s="4"/>
      <c r="K857" s="17"/>
      <c r="L857" s="4"/>
      <c r="M857" s="4"/>
      <c r="N857" s="4"/>
      <c r="O857" s="4"/>
      <c r="P857" s="4"/>
      <c r="Q857" s="4"/>
      <c r="R857" s="4"/>
      <c r="S857" s="4"/>
      <c r="T857" s="4"/>
      <c r="U857" s="4"/>
      <c r="V857" s="404"/>
      <c r="W857" s="404"/>
      <c r="X857" s="4"/>
      <c r="Y857" s="4"/>
      <c r="Z857" s="4"/>
      <c r="AA857" s="4"/>
      <c r="AB857" s="4"/>
      <c r="AC857" s="4"/>
      <c r="AD857" s="4"/>
      <c r="AE857" s="4"/>
      <c r="AF857" s="4"/>
      <c r="AG857" s="4"/>
      <c r="AH857" s="4"/>
      <c r="AI857" s="17"/>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row>
    <row r="858">
      <c r="A858" s="4"/>
      <c r="B858" s="4"/>
      <c r="C858" s="4"/>
      <c r="D858" s="4"/>
      <c r="E858" s="17"/>
      <c r="F858" s="17"/>
      <c r="G858" s="17"/>
      <c r="H858" s="17"/>
      <c r="I858" s="17"/>
      <c r="J858" s="4"/>
      <c r="K858" s="17"/>
      <c r="L858" s="4"/>
      <c r="M858" s="4"/>
      <c r="N858" s="4"/>
      <c r="O858" s="4"/>
      <c r="P858" s="4"/>
      <c r="Q858" s="4"/>
      <c r="R858" s="4"/>
      <c r="S858" s="4"/>
      <c r="T858" s="4"/>
      <c r="U858" s="4"/>
      <c r="V858" s="404"/>
      <c r="W858" s="404"/>
      <c r="X858" s="4"/>
      <c r="Y858" s="4"/>
      <c r="Z858" s="4"/>
      <c r="AA858" s="4"/>
      <c r="AB858" s="4"/>
      <c r="AC858" s="4"/>
      <c r="AD858" s="4"/>
      <c r="AE858" s="4"/>
      <c r="AF858" s="4"/>
      <c r="AG858" s="4"/>
      <c r="AH858" s="4"/>
      <c r="AI858" s="17"/>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row>
    <row r="859">
      <c r="A859" s="4"/>
      <c r="B859" s="4"/>
      <c r="C859" s="4"/>
      <c r="D859" s="4"/>
      <c r="E859" s="17"/>
      <c r="F859" s="17"/>
      <c r="G859" s="17"/>
      <c r="H859" s="17"/>
      <c r="I859" s="17"/>
      <c r="J859" s="4"/>
      <c r="K859" s="17"/>
      <c r="L859" s="4"/>
      <c r="M859" s="4"/>
      <c r="N859" s="4"/>
      <c r="O859" s="4"/>
      <c r="P859" s="4"/>
      <c r="Q859" s="4"/>
      <c r="R859" s="4"/>
      <c r="S859" s="4"/>
      <c r="T859" s="4"/>
      <c r="U859" s="4"/>
      <c r="V859" s="404"/>
      <c r="W859" s="404"/>
      <c r="X859" s="4"/>
      <c r="Y859" s="4"/>
      <c r="Z859" s="4"/>
      <c r="AA859" s="4"/>
      <c r="AB859" s="4"/>
      <c r="AC859" s="4"/>
      <c r="AD859" s="4"/>
      <c r="AE859" s="4"/>
      <c r="AF859" s="4"/>
      <c r="AG859" s="4"/>
      <c r="AH859" s="4"/>
      <c r="AI859" s="17"/>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row>
    <row r="860">
      <c r="A860" s="4"/>
      <c r="B860" s="4"/>
      <c r="C860" s="4"/>
      <c r="D860" s="4"/>
      <c r="E860" s="17"/>
      <c r="F860" s="17"/>
      <c r="G860" s="17"/>
      <c r="H860" s="17"/>
      <c r="I860" s="17"/>
      <c r="J860" s="4"/>
      <c r="K860" s="17"/>
      <c r="L860" s="4"/>
      <c r="M860" s="4"/>
      <c r="N860" s="4"/>
      <c r="O860" s="4"/>
      <c r="P860" s="4"/>
      <c r="Q860" s="4"/>
      <c r="R860" s="4"/>
      <c r="S860" s="4"/>
      <c r="T860" s="4"/>
      <c r="U860" s="4"/>
      <c r="V860" s="404"/>
      <c r="W860" s="404"/>
      <c r="X860" s="4"/>
      <c r="Y860" s="4"/>
      <c r="Z860" s="4"/>
      <c r="AA860" s="4"/>
      <c r="AB860" s="4"/>
      <c r="AC860" s="4"/>
      <c r="AD860" s="4"/>
      <c r="AE860" s="4"/>
      <c r="AF860" s="4"/>
      <c r="AG860" s="4"/>
      <c r="AH860" s="4"/>
      <c r="AI860" s="17"/>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row>
    <row r="861">
      <c r="A861" s="4"/>
      <c r="B861" s="4"/>
      <c r="C861" s="4"/>
      <c r="D861" s="4"/>
      <c r="E861" s="17"/>
      <c r="F861" s="17"/>
      <c r="G861" s="17"/>
      <c r="H861" s="17"/>
      <c r="I861" s="17"/>
      <c r="J861" s="4"/>
      <c r="K861" s="17"/>
      <c r="L861" s="4"/>
      <c r="M861" s="4"/>
      <c r="N861" s="4"/>
      <c r="O861" s="4"/>
      <c r="P861" s="4"/>
      <c r="Q861" s="4"/>
      <c r="R861" s="4"/>
      <c r="S861" s="4"/>
      <c r="T861" s="4"/>
      <c r="U861" s="4"/>
      <c r="V861" s="404"/>
      <c r="W861" s="404"/>
      <c r="X861" s="4"/>
      <c r="Y861" s="4"/>
      <c r="Z861" s="4"/>
      <c r="AA861" s="4"/>
      <c r="AB861" s="4"/>
      <c r="AC861" s="4"/>
      <c r="AD861" s="4"/>
      <c r="AE861" s="4"/>
      <c r="AF861" s="4"/>
      <c r="AG861" s="4"/>
      <c r="AH861" s="4"/>
      <c r="AI861" s="17"/>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row>
    <row r="862">
      <c r="A862" s="4"/>
      <c r="B862" s="4"/>
      <c r="C862" s="4"/>
      <c r="D862" s="4"/>
      <c r="E862" s="17"/>
      <c r="F862" s="17"/>
      <c r="G862" s="17"/>
      <c r="H862" s="17"/>
      <c r="I862" s="17"/>
      <c r="J862" s="4"/>
      <c r="K862" s="17"/>
      <c r="L862" s="4"/>
      <c r="M862" s="4"/>
      <c r="N862" s="4"/>
      <c r="O862" s="4"/>
      <c r="P862" s="4"/>
      <c r="Q862" s="4"/>
      <c r="R862" s="4"/>
      <c r="S862" s="4"/>
      <c r="T862" s="4"/>
      <c r="U862" s="4"/>
      <c r="V862" s="404"/>
      <c r="W862" s="404"/>
      <c r="X862" s="4"/>
      <c r="Y862" s="4"/>
      <c r="Z862" s="4"/>
      <c r="AA862" s="4"/>
      <c r="AB862" s="4"/>
      <c r="AC862" s="4"/>
      <c r="AD862" s="4"/>
      <c r="AE862" s="4"/>
      <c r="AF862" s="4"/>
      <c r="AG862" s="4"/>
      <c r="AH862" s="4"/>
      <c r="AI862" s="17"/>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row>
    <row r="863">
      <c r="A863" s="4"/>
      <c r="B863" s="4"/>
      <c r="C863" s="4"/>
      <c r="D863" s="4"/>
      <c r="E863" s="17"/>
      <c r="F863" s="17"/>
      <c r="G863" s="17"/>
      <c r="H863" s="17"/>
      <c r="I863" s="17"/>
      <c r="J863" s="4"/>
      <c r="K863" s="17"/>
      <c r="L863" s="4"/>
      <c r="M863" s="4"/>
      <c r="N863" s="4"/>
      <c r="O863" s="4"/>
      <c r="P863" s="4"/>
      <c r="Q863" s="4"/>
      <c r="R863" s="4"/>
      <c r="S863" s="4"/>
      <c r="T863" s="4"/>
      <c r="U863" s="4"/>
      <c r="V863" s="404"/>
      <c r="W863" s="404"/>
      <c r="X863" s="4"/>
      <c r="Y863" s="4"/>
      <c r="Z863" s="4"/>
      <c r="AA863" s="4"/>
      <c r="AB863" s="4"/>
      <c r="AC863" s="4"/>
      <c r="AD863" s="4"/>
      <c r="AE863" s="4"/>
      <c r="AF863" s="4"/>
      <c r="AG863" s="4"/>
      <c r="AH863" s="4"/>
      <c r="AI863" s="17"/>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row>
    <row r="864">
      <c r="A864" s="4"/>
      <c r="B864" s="4"/>
      <c r="C864" s="4"/>
      <c r="D864" s="4"/>
      <c r="E864" s="17"/>
      <c r="F864" s="17"/>
      <c r="G864" s="17"/>
      <c r="H864" s="17"/>
      <c r="I864" s="17"/>
      <c r="J864" s="4"/>
      <c r="K864" s="17"/>
      <c r="L864" s="4"/>
      <c r="M864" s="4"/>
      <c r="N864" s="4"/>
      <c r="O864" s="4"/>
      <c r="P864" s="4"/>
      <c r="Q864" s="4"/>
      <c r="R864" s="4"/>
      <c r="S864" s="4"/>
      <c r="T864" s="4"/>
      <c r="U864" s="4"/>
      <c r="V864" s="404"/>
      <c r="W864" s="404"/>
      <c r="X864" s="4"/>
      <c r="Y864" s="4"/>
      <c r="Z864" s="4"/>
      <c r="AA864" s="4"/>
      <c r="AB864" s="4"/>
      <c r="AC864" s="4"/>
      <c r="AD864" s="4"/>
      <c r="AE864" s="4"/>
      <c r="AF864" s="4"/>
      <c r="AG864" s="4"/>
      <c r="AH864" s="4"/>
      <c r="AI864" s="17"/>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row>
    <row r="865">
      <c r="A865" s="4"/>
      <c r="B865" s="4"/>
      <c r="C865" s="4"/>
      <c r="D865" s="4"/>
      <c r="E865" s="17"/>
      <c r="F865" s="17"/>
      <c r="G865" s="17"/>
      <c r="H865" s="17"/>
      <c r="I865" s="17"/>
      <c r="J865" s="4"/>
      <c r="K865" s="17"/>
      <c r="L865" s="4"/>
      <c r="M865" s="4"/>
      <c r="N865" s="4"/>
      <c r="O865" s="4"/>
      <c r="P865" s="4"/>
      <c r="Q865" s="4"/>
      <c r="R865" s="4"/>
      <c r="S865" s="4"/>
      <c r="T865" s="4"/>
      <c r="U865" s="4"/>
      <c r="V865" s="404"/>
      <c r="W865" s="404"/>
      <c r="X865" s="4"/>
      <c r="Y865" s="4"/>
      <c r="Z865" s="4"/>
      <c r="AA865" s="4"/>
      <c r="AB865" s="4"/>
      <c r="AC865" s="4"/>
      <c r="AD865" s="4"/>
      <c r="AE865" s="4"/>
      <c r="AF865" s="4"/>
      <c r="AG865" s="4"/>
      <c r="AH865" s="4"/>
      <c r="AI865" s="17"/>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row>
    <row r="866">
      <c r="A866" s="4"/>
      <c r="B866" s="4"/>
      <c r="C866" s="4"/>
      <c r="D866" s="4"/>
      <c r="E866" s="17"/>
      <c r="F866" s="17"/>
      <c r="G866" s="17"/>
      <c r="H866" s="17"/>
      <c r="I866" s="17"/>
      <c r="J866" s="4"/>
      <c r="K866" s="17"/>
      <c r="L866" s="4"/>
      <c r="M866" s="4"/>
      <c r="N866" s="4"/>
      <c r="O866" s="4"/>
      <c r="P866" s="4"/>
      <c r="Q866" s="4"/>
      <c r="R866" s="4"/>
      <c r="S866" s="4"/>
      <c r="T866" s="4"/>
      <c r="U866" s="4"/>
      <c r="V866" s="404"/>
      <c r="W866" s="404"/>
      <c r="X866" s="4"/>
      <c r="Y866" s="4"/>
      <c r="Z866" s="4"/>
      <c r="AA866" s="4"/>
      <c r="AB866" s="4"/>
      <c r="AC866" s="4"/>
      <c r="AD866" s="4"/>
      <c r="AE866" s="4"/>
      <c r="AF866" s="4"/>
      <c r="AG866" s="4"/>
      <c r="AH866" s="4"/>
      <c r="AI866" s="17"/>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row>
    <row r="867">
      <c r="A867" s="4"/>
      <c r="B867" s="4"/>
      <c r="C867" s="4"/>
      <c r="D867" s="4"/>
      <c r="E867" s="17"/>
      <c r="F867" s="17"/>
      <c r="G867" s="17"/>
      <c r="H867" s="17"/>
      <c r="I867" s="17"/>
      <c r="J867" s="4"/>
      <c r="K867" s="17"/>
      <c r="L867" s="4"/>
      <c r="M867" s="4"/>
      <c r="N867" s="4"/>
      <c r="O867" s="4"/>
      <c r="P867" s="4"/>
      <c r="Q867" s="4"/>
      <c r="R867" s="4"/>
      <c r="S867" s="4"/>
      <c r="T867" s="4"/>
      <c r="U867" s="4"/>
      <c r="V867" s="404"/>
      <c r="W867" s="404"/>
      <c r="X867" s="4"/>
      <c r="Y867" s="4"/>
      <c r="Z867" s="4"/>
      <c r="AA867" s="4"/>
      <c r="AB867" s="4"/>
      <c r="AC867" s="4"/>
      <c r="AD867" s="4"/>
      <c r="AE867" s="4"/>
      <c r="AF867" s="4"/>
      <c r="AG867" s="4"/>
      <c r="AH867" s="4"/>
      <c r="AI867" s="17"/>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row>
    <row r="868">
      <c r="A868" s="4"/>
      <c r="B868" s="4"/>
      <c r="C868" s="4"/>
      <c r="D868" s="4"/>
      <c r="E868" s="17"/>
      <c r="F868" s="17"/>
      <c r="G868" s="17"/>
      <c r="H868" s="17"/>
      <c r="I868" s="17"/>
      <c r="J868" s="4"/>
      <c r="K868" s="17"/>
      <c r="L868" s="4"/>
      <c r="M868" s="4"/>
      <c r="N868" s="4"/>
      <c r="O868" s="4"/>
      <c r="P868" s="4"/>
      <c r="Q868" s="4"/>
      <c r="R868" s="4"/>
      <c r="S868" s="4"/>
      <c r="T868" s="4"/>
      <c r="U868" s="4"/>
      <c r="V868" s="404"/>
      <c r="W868" s="404"/>
      <c r="X868" s="4"/>
      <c r="Y868" s="4"/>
      <c r="Z868" s="4"/>
      <c r="AA868" s="4"/>
      <c r="AB868" s="4"/>
      <c r="AC868" s="4"/>
      <c r="AD868" s="4"/>
      <c r="AE868" s="4"/>
      <c r="AF868" s="4"/>
      <c r="AG868" s="4"/>
      <c r="AH868" s="4"/>
      <c r="AI868" s="17"/>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row>
    <row r="869">
      <c r="A869" s="4"/>
      <c r="B869" s="4"/>
      <c r="C869" s="4"/>
      <c r="D869" s="4"/>
      <c r="E869" s="17"/>
      <c r="F869" s="17"/>
      <c r="G869" s="17"/>
      <c r="H869" s="17"/>
      <c r="I869" s="17"/>
      <c r="J869" s="4"/>
      <c r="K869" s="17"/>
      <c r="L869" s="4"/>
      <c r="M869" s="4"/>
      <c r="N869" s="4"/>
      <c r="O869" s="4"/>
      <c r="P869" s="4"/>
      <c r="Q869" s="4"/>
      <c r="R869" s="4"/>
      <c r="S869" s="4"/>
      <c r="T869" s="4"/>
      <c r="U869" s="4"/>
      <c r="V869" s="404"/>
      <c r="W869" s="404"/>
      <c r="X869" s="4"/>
      <c r="Y869" s="4"/>
      <c r="Z869" s="4"/>
      <c r="AA869" s="4"/>
      <c r="AB869" s="4"/>
      <c r="AC869" s="4"/>
      <c r="AD869" s="4"/>
      <c r="AE869" s="4"/>
      <c r="AF869" s="4"/>
      <c r="AG869" s="4"/>
      <c r="AH869" s="4"/>
      <c r="AI869" s="17"/>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row>
    <row r="870">
      <c r="A870" s="4"/>
      <c r="B870" s="4"/>
      <c r="C870" s="4"/>
      <c r="D870" s="4"/>
      <c r="E870" s="17"/>
      <c r="F870" s="17"/>
      <c r="G870" s="17"/>
      <c r="H870" s="17"/>
      <c r="I870" s="17"/>
      <c r="J870" s="4"/>
      <c r="K870" s="17"/>
      <c r="L870" s="4"/>
      <c r="M870" s="4"/>
      <c r="N870" s="4"/>
      <c r="O870" s="4"/>
      <c r="P870" s="4"/>
      <c r="Q870" s="4"/>
      <c r="R870" s="4"/>
      <c r="S870" s="4"/>
      <c r="T870" s="4"/>
      <c r="U870" s="4"/>
      <c r="V870" s="404"/>
      <c r="W870" s="404"/>
      <c r="X870" s="4"/>
      <c r="Y870" s="4"/>
      <c r="Z870" s="4"/>
      <c r="AA870" s="4"/>
      <c r="AB870" s="4"/>
      <c r="AC870" s="4"/>
      <c r="AD870" s="4"/>
      <c r="AE870" s="4"/>
      <c r="AF870" s="4"/>
      <c r="AG870" s="4"/>
      <c r="AH870" s="4"/>
      <c r="AI870" s="17"/>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row>
    <row r="871">
      <c r="A871" s="4"/>
      <c r="B871" s="4"/>
      <c r="C871" s="4"/>
      <c r="D871" s="4"/>
      <c r="E871" s="17"/>
      <c r="F871" s="17"/>
      <c r="G871" s="17"/>
      <c r="H871" s="17"/>
      <c r="I871" s="17"/>
      <c r="J871" s="4"/>
      <c r="K871" s="17"/>
      <c r="L871" s="4"/>
      <c r="M871" s="4"/>
      <c r="N871" s="4"/>
      <c r="O871" s="4"/>
      <c r="P871" s="4"/>
      <c r="Q871" s="4"/>
      <c r="R871" s="4"/>
      <c r="S871" s="4"/>
      <c r="T871" s="4"/>
      <c r="U871" s="4"/>
      <c r="V871" s="404"/>
      <c r="W871" s="404"/>
      <c r="X871" s="4"/>
      <c r="Y871" s="4"/>
      <c r="Z871" s="4"/>
      <c r="AA871" s="4"/>
      <c r="AB871" s="4"/>
      <c r="AC871" s="4"/>
      <c r="AD871" s="4"/>
      <c r="AE871" s="4"/>
      <c r="AF871" s="4"/>
      <c r="AG871" s="4"/>
      <c r="AH871" s="4"/>
      <c r="AI871" s="17"/>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row>
    <row r="872">
      <c r="A872" s="4"/>
      <c r="B872" s="4"/>
      <c r="C872" s="4"/>
      <c r="D872" s="4"/>
      <c r="E872" s="17"/>
      <c r="F872" s="17"/>
      <c r="G872" s="17"/>
      <c r="H872" s="17"/>
      <c r="I872" s="17"/>
      <c r="J872" s="4"/>
      <c r="K872" s="17"/>
      <c r="L872" s="4"/>
      <c r="M872" s="4"/>
      <c r="N872" s="4"/>
      <c r="O872" s="4"/>
      <c r="P872" s="4"/>
      <c r="Q872" s="4"/>
      <c r="R872" s="4"/>
      <c r="S872" s="4"/>
      <c r="T872" s="4"/>
      <c r="U872" s="4"/>
      <c r="V872" s="404"/>
      <c r="W872" s="404"/>
      <c r="X872" s="4"/>
      <c r="Y872" s="4"/>
      <c r="Z872" s="4"/>
      <c r="AA872" s="4"/>
      <c r="AB872" s="4"/>
      <c r="AC872" s="4"/>
      <c r="AD872" s="4"/>
      <c r="AE872" s="4"/>
      <c r="AF872" s="4"/>
      <c r="AG872" s="4"/>
      <c r="AH872" s="4"/>
      <c r="AI872" s="17"/>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row>
    <row r="873">
      <c r="A873" s="4"/>
      <c r="B873" s="4"/>
      <c r="C873" s="4"/>
      <c r="D873" s="4"/>
      <c r="E873" s="17"/>
      <c r="F873" s="17"/>
      <c r="G873" s="17"/>
      <c r="H873" s="17"/>
      <c r="I873" s="17"/>
      <c r="J873" s="4"/>
      <c r="K873" s="17"/>
      <c r="L873" s="4"/>
      <c r="M873" s="4"/>
      <c r="N873" s="4"/>
      <c r="O873" s="4"/>
      <c r="P873" s="4"/>
      <c r="Q873" s="4"/>
      <c r="R873" s="4"/>
      <c r="S873" s="4"/>
      <c r="T873" s="4"/>
      <c r="U873" s="4"/>
      <c r="V873" s="404"/>
      <c r="W873" s="404"/>
      <c r="X873" s="4"/>
      <c r="Y873" s="4"/>
      <c r="Z873" s="4"/>
      <c r="AA873" s="4"/>
      <c r="AB873" s="4"/>
      <c r="AC873" s="4"/>
      <c r="AD873" s="4"/>
      <c r="AE873" s="4"/>
      <c r="AF873" s="4"/>
      <c r="AG873" s="4"/>
      <c r="AH873" s="4"/>
      <c r="AI873" s="17"/>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row>
    <row r="874">
      <c r="A874" s="4"/>
      <c r="B874" s="4"/>
      <c r="C874" s="4"/>
      <c r="D874" s="4"/>
      <c r="E874" s="17"/>
      <c r="F874" s="17"/>
      <c r="G874" s="17"/>
      <c r="H874" s="17"/>
      <c r="I874" s="17"/>
      <c r="J874" s="4"/>
      <c r="K874" s="17"/>
      <c r="L874" s="4"/>
      <c r="M874" s="4"/>
      <c r="N874" s="4"/>
      <c r="O874" s="4"/>
      <c r="P874" s="4"/>
      <c r="Q874" s="4"/>
      <c r="R874" s="4"/>
      <c r="S874" s="4"/>
      <c r="T874" s="4"/>
      <c r="U874" s="4"/>
      <c r="V874" s="404"/>
      <c r="W874" s="404"/>
      <c r="X874" s="4"/>
      <c r="Y874" s="4"/>
      <c r="Z874" s="4"/>
      <c r="AA874" s="4"/>
      <c r="AB874" s="4"/>
      <c r="AC874" s="4"/>
      <c r="AD874" s="4"/>
      <c r="AE874" s="4"/>
      <c r="AF874" s="4"/>
      <c r="AG874" s="4"/>
      <c r="AH874" s="4"/>
      <c r="AI874" s="17"/>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row>
    <row r="875">
      <c r="A875" s="4"/>
      <c r="B875" s="4"/>
      <c r="C875" s="4"/>
      <c r="D875" s="4"/>
      <c r="E875" s="17"/>
      <c r="F875" s="17"/>
      <c r="G875" s="17"/>
      <c r="H875" s="17"/>
      <c r="I875" s="17"/>
      <c r="J875" s="4"/>
      <c r="K875" s="17"/>
      <c r="L875" s="4"/>
      <c r="M875" s="4"/>
      <c r="N875" s="4"/>
      <c r="O875" s="4"/>
      <c r="P875" s="4"/>
      <c r="Q875" s="4"/>
      <c r="R875" s="4"/>
      <c r="S875" s="4"/>
      <c r="T875" s="4"/>
      <c r="U875" s="4"/>
      <c r="V875" s="404"/>
      <c r="W875" s="404"/>
      <c r="X875" s="4"/>
      <c r="Y875" s="4"/>
      <c r="Z875" s="4"/>
      <c r="AA875" s="4"/>
      <c r="AB875" s="4"/>
      <c r="AC875" s="4"/>
      <c r="AD875" s="4"/>
      <c r="AE875" s="4"/>
      <c r="AF875" s="4"/>
      <c r="AG875" s="4"/>
      <c r="AH875" s="4"/>
      <c r="AI875" s="17"/>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row>
    <row r="876">
      <c r="A876" s="4"/>
      <c r="B876" s="4"/>
      <c r="C876" s="4"/>
      <c r="D876" s="4"/>
      <c r="E876" s="17"/>
      <c r="F876" s="17"/>
      <c r="G876" s="17"/>
      <c r="H876" s="17"/>
      <c r="I876" s="17"/>
      <c r="J876" s="4"/>
      <c r="K876" s="17"/>
      <c r="L876" s="4"/>
      <c r="M876" s="4"/>
      <c r="N876" s="4"/>
      <c r="O876" s="4"/>
      <c r="P876" s="4"/>
      <c r="Q876" s="4"/>
      <c r="R876" s="4"/>
      <c r="S876" s="4"/>
      <c r="T876" s="4"/>
      <c r="U876" s="4"/>
      <c r="V876" s="404"/>
      <c r="W876" s="404"/>
      <c r="X876" s="4"/>
      <c r="Y876" s="4"/>
      <c r="Z876" s="4"/>
      <c r="AA876" s="4"/>
      <c r="AB876" s="4"/>
      <c r="AC876" s="4"/>
      <c r="AD876" s="4"/>
      <c r="AE876" s="4"/>
      <c r="AF876" s="4"/>
      <c r="AG876" s="4"/>
      <c r="AH876" s="4"/>
      <c r="AI876" s="17"/>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row>
    <row r="877">
      <c r="A877" s="4"/>
      <c r="B877" s="4"/>
      <c r="C877" s="4"/>
      <c r="D877" s="4"/>
      <c r="E877" s="17"/>
      <c r="F877" s="17"/>
      <c r="G877" s="17"/>
      <c r="H877" s="17"/>
      <c r="I877" s="17"/>
      <c r="J877" s="4"/>
      <c r="K877" s="17"/>
      <c r="L877" s="4"/>
      <c r="M877" s="4"/>
      <c r="N877" s="4"/>
      <c r="O877" s="4"/>
      <c r="P877" s="4"/>
      <c r="Q877" s="4"/>
      <c r="R877" s="4"/>
      <c r="S877" s="4"/>
      <c r="T877" s="4"/>
      <c r="U877" s="4"/>
      <c r="V877" s="404"/>
      <c r="W877" s="404"/>
      <c r="X877" s="4"/>
      <c r="Y877" s="4"/>
      <c r="Z877" s="4"/>
      <c r="AA877" s="4"/>
      <c r="AB877" s="4"/>
      <c r="AC877" s="4"/>
      <c r="AD877" s="4"/>
      <c r="AE877" s="4"/>
      <c r="AF877" s="4"/>
      <c r="AG877" s="4"/>
      <c r="AH877" s="4"/>
      <c r="AI877" s="17"/>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row>
    <row r="878">
      <c r="A878" s="4"/>
      <c r="B878" s="4"/>
      <c r="C878" s="4"/>
      <c r="D878" s="4"/>
      <c r="E878" s="17"/>
      <c r="F878" s="17"/>
      <c r="G878" s="17"/>
      <c r="H878" s="17"/>
      <c r="I878" s="17"/>
      <c r="J878" s="4"/>
      <c r="K878" s="17"/>
      <c r="L878" s="4"/>
      <c r="M878" s="4"/>
      <c r="N878" s="4"/>
      <c r="O878" s="4"/>
      <c r="P878" s="4"/>
      <c r="Q878" s="4"/>
      <c r="R878" s="4"/>
      <c r="S878" s="4"/>
      <c r="T878" s="4"/>
      <c r="U878" s="4"/>
      <c r="V878" s="404"/>
      <c r="W878" s="404"/>
      <c r="X878" s="4"/>
      <c r="Y878" s="4"/>
      <c r="Z878" s="4"/>
      <c r="AA878" s="4"/>
      <c r="AB878" s="4"/>
      <c r="AC878" s="4"/>
      <c r="AD878" s="4"/>
      <c r="AE878" s="4"/>
      <c r="AF878" s="4"/>
      <c r="AG878" s="4"/>
      <c r="AH878" s="4"/>
      <c r="AI878" s="17"/>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row>
    <row r="879">
      <c r="A879" s="4"/>
      <c r="B879" s="4"/>
      <c r="C879" s="4"/>
      <c r="D879" s="4"/>
      <c r="E879" s="17"/>
      <c r="F879" s="17"/>
      <c r="G879" s="17"/>
      <c r="H879" s="17"/>
      <c r="I879" s="17"/>
      <c r="J879" s="4"/>
      <c r="K879" s="17"/>
      <c r="L879" s="4"/>
      <c r="M879" s="4"/>
      <c r="N879" s="4"/>
      <c r="O879" s="4"/>
      <c r="P879" s="4"/>
      <c r="Q879" s="4"/>
      <c r="R879" s="4"/>
      <c r="S879" s="4"/>
      <c r="T879" s="4"/>
      <c r="U879" s="4"/>
      <c r="V879" s="404"/>
      <c r="W879" s="404"/>
      <c r="X879" s="4"/>
      <c r="Y879" s="4"/>
      <c r="Z879" s="4"/>
      <c r="AA879" s="4"/>
      <c r="AB879" s="4"/>
      <c r="AC879" s="4"/>
      <c r="AD879" s="4"/>
      <c r="AE879" s="4"/>
      <c r="AF879" s="4"/>
      <c r="AG879" s="4"/>
      <c r="AH879" s="4"/>
      <c r="AI879" s="17"/>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row>
    <row r="880">
      <c r="A880" s="4"/>
      <c r="B880" s="4"/>
      <c r="C880" s="4"/>
      <c r="D880" s="4"/>
      <c r="E880" s="17"/>
      <c r="F880" s="17"/>
      <c r="G880" s="17"/>
      <c r="H880" s="17"/>
      <c r="I880" s="17"/>
      <c r="J880" s="4"/>
      <c r="K880" s="17"/>
      <c r="L880" s="4"/>
      <c r="M880" s="4"/>
      <c r="N880" s="4"/>
      <c r="O880" s="4"/>
      <c r="P880" s="4"/>
      <c r="Q880" s="4"/>
      <c r="R880" s="4"/>
      <c r="S880" s="4"/>
      <c r="T880" s="4"/>
      <c r="U880" s="4"/>
      <c r="V880" s="404"/>
      <c r="W880" s="404"/>
      <c r="X880" s="4"/>
      <c r="Y880" s="4"/>
      <c r="Z880" s="4"/>
      <c r="AA880" s="4"/>
      <c r="AB880" s="4"/>
      <c r="AC880" s="4"/>
      <c r="AD880" s="4"/>
      <c r="AE880" s="4"/>
      <c r="AF880" s="4"/>
      <c r="AG880" s="4"/>
      <c r="AH880" s="4"/>
      <c r="AI880" s="17"/>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row>
    <row r="881">
      <c r="A881" s="4"/>
      <c r="B881" s="4"/>
      <c r="C881" s="4"/>
      <c r="D881" s="4"/>
      <c r="E881" s="17"/>
      <c r="F881" s="17"/>
      <c r="G881" s="17"/>
      <c r="H881" s="17"/>
      <c r="I881" s="17"/>
      <c r="J881" s="4"/>
      <c r="K881" s="17"/>
      <c r="L881" s="4"/>
      <c r="M881" s="4"/>
      <c r="N881" s="4"/>
      <c r="O881" s="4"/>
      <c r="P881" s="4"/>
      <c r="Q881" s="4"/>
      <c r="R881" s="4"/>
      <c r="S881" s="4"/>
      <c r="T881" s="4"/>
      <c r="U881" s="4"/>
      <c r="V881" s="404"/>
      <c r="W881" s="404"/>
      <c r="X881" s="4"/>
      <c r="Y881" s="4"/>
      <c r="Z881" s="4"/>
      <c r="AA881" s="4"/>
      <c r="AB881" s="4"/>
      <c r="AC881" s="4"/>
      <c r="AD881" s="4"/>
      <c r="AE881" s="4"/>
      <c r="AF881" s="4"/>
      <c r="AG881" s="4"/>
      <c r="AH881" s="4"/>
      <c r="AI881" s="17"/>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row>
    <row r="882">
      <c r="A882" s="4"/>
      <c r="B882" s="4"/>
      <c r="C882" s="4"/>
      <c r="D882" s="4"/>
      <c r="E882" s="17"/>
      <c r="F882" s="17"/>
      <c r="G882" s="17"/>
      <c r="H882" s="17"/>
      <c r="I882" s="17"/>
      <c r="J882" s="4"/>
      <c r="K882" s="17"/>
      <c r="L882" s="4"/>
      <c r="M882" s="4"/>
      <c r="N882" s="4"/>
      <c r="O882" s="4"/>
      <c r="P882" s="4"/>
      <c r="Q882" s="4"/>
      <c r="R882" s="4"/>
      <c r="S882" s="4"/>
      <c r="T882" s="4"/>
      <c r="U882" s="4"/>
      <c r="V882" s="404"/>
      <c r="W882" s="404"/>
      <c r="X882" s="4"/>
      <c r="Y882" s="4"/>
      <c r="Z882" s="4"/>
      <c r="AA882" s="4"/>
      <c r="AB882" s="4"/>
      <c r="AC882" s="4"/>
      <c r="AD882" s="4"/>
      <c r="AE882" s="4"/>
      <c r="AF882" s="4"/>
      <c r="AG882" s="4"/>
      <c r="AH882" s="4"/>
      <c r="AI882" s="17"/>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row>
    <row r="883">
      <c r="A883" s="4"/>
      <c r="B883" s="4"/>
      <c r="C883" s="4"/>
      <c r="D883" s="4"/>
      <c r="E883" s="17"/>
      <c r="F883" s="17"/>
      <c r="G883" s="17"/>
      <c r="H883" s="17"/>
      <c r="I883" s="17"/>
      <c r="J883" s="4"/>
      <c r="K883" s="17"/>
      <c r="L883" s="4"/>
      <c r="M883" s="4"/>
      <c r="N883" s="4"/>
      <c r="O883" s="4"/>
      <c r="P883" s="4"/>
      <c r="Q883" s="4"/>
      <c r="R883" s="4"/>
      <c r="S883" s="4"/>
      <c r="T883" s="4"/>
      <c r="U883" s="4"/>
      <c r="V883" s="404"/>
      <c r="W883" s="404"/>
      <c r="X883" s="4"/>
      <c r="Y883" s="4"/>
      <c r="Z883" s="4"/>
      <c r="AA883" s="4"/>
      <c r="AB883" s="4"/>
      <c r="AC883" s="4"/>
      <c r="AD883" s="4"/>
      <c r="AE883" s="4"/>
      <c r="AF883" s="4"/>
      <c r="AG883" s="4"/>
      <c r="AH883" s="4"/>
      <c r="AI883" s="17"/>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row>
    <row r="884">
      <c r="A884" s="4"/>
      <c r="B884" s="4"/>
      <c r="C884" s="4"/>
      <c r="D884" s="4"/>
      <c r="E884" s="17"/>
      <c r="F884" s="17"/>
      <c r="G884" s="17"/>
      <c r="H884" s="17"/>
      <c r="I884" s="17"/>
      <c r="J884" s="4"/>
      <c r="K884" s="17"/>
      <c r="L884" s="4"/>
      <c r="M884" s="4"/>
      <c r="N884" s="4"/>
      <c r="O884" s="4"/>
      <c r="P884" s="4"/>
      <c r="Q884" s="4"/>
      <c r="R884" s="4"/>
      <c r="S884" s="4"/>
      <c r="T884" s="4"/>
      <c r="U884" s="4"/>
      <c r="V884" s="404"/>
      <c r="W884" s="404"/>
      <c r="X884" s="4"/>
      <c r="Y884" s="4"/>
      <c r="Z884" s="4"/>
      <c r="AA884" s="4"/>
      <c r="AB884" s="4"/>
      <c r="AC884" s="4"/>
      <c r="AD884" s="4"/>
      <c r="AE884" s="4"/>
      <c r="AF884" s="4"/>
      <c r="AG884" s="4"/>
      <c r="AH884" s="4"/>
      <c r="AI884" s="17"/>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row>
    <row r="885">
      <c r="A885" s="4"/>
      <c r="B885" s="4"/>
      <c r="C885" s="4"/>
      <c r="D885" s="4"/>
      <c r="E885" s="17"/>
      <c r="F885" s="17"/>
      <c r="G885" s="17"/>
      <c r="H885" s="17"/>
      <c r="I885" s="17"/>
      <c r="J885" s="4"/>
      <c r="K885" s="17"/>
      <c r="L885" s="4"/>
      <c r="M885" s="4"/>
      <c r="N885" s="4"/>
      <c r="O885" s="4"/>
      <c r="P885" s="4"/>
      <c r="Q885" s="4"/>
      <c r="R885" s="4"/>
      <c r="S885" s="4"/>
      <c r="T885" s="4"/>
      <c r="U885" s="4"/>
      <c r="V885" s="404"/>
      <c r="W885" s="404"/>
      <c r="X885" s="4"/>
      <c r="Y885" s="4"/>
      <c r="Z885" s="4"/>
      <c r="AA885" s="4"/>
      <c r="AB885" s="4"/>
      <c r="AC885" s="4"/>
      <c r="AD885" s="4"/>
      <c r="AE885" s="4"/>
      <c r="AF885" s="4"/>
      <c r="AG885" s="4"/>
      <c r="AH885" s="4"/>
      <c r="AI885" s="17"/>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row>
    <row r="886">
      <c r="A886" s="4"/>
      <c r="B886" s="4"/>
      <c r="C886" s="4"/>
      <c r="D886" s="4"/>
      <c r="E886" s="17"/>
      <c r="F886" s="17"/>
      <c r="G886" s="17"/>
      <c r="H886" s="17"/>
      <c r="I886" s="17"/>
      <c r="J886" s="4"/>
      <c r="K886" s="17"/>
      <c r="L886" s="4"/>
      <c r="M886" s="4"/>
      <c r="N886" s="4"/>
      <c r="O886" s="4"/>
      <c r="P886" s="4"/>
      <c r="Q886" s="4"/>
      <c r="R886" s="4"/>
      <c r="S886" s="4"/>
      <c r="T886" s="4"/>
      <c r="U886" s="4"/>
      <c r="V886" s="404"/>
      <c r="W886" s="404"/>
      <c r="X886" s="4"/>
      <c r="Y886" s="4"/>
      <c r="Z886" s="4"/>
      <c r="AA886" s="4"/>
      <c r="AB886" s="4"/>
      <c r="AC886" s="4"/>
      <c r="AD886" s="4"/>
      <c r="AE886" s="4"/>
      <c r="AF886" s="4"/>
      <c r="AG886" s="4"/>
      <c r="AH886" s="4"/>
      <c r="AI886" s="17"/>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row>
    <row r="887">
      <c r="A887" s="4"/>
      <c r="B887" s="4"/>
      <c r="C887" s="4"/>
      <c r="D887" s="4"/>
      <c r="E887" s="17"/>
      <c r="F887" s="17"/>
      <c r="G887" s="17"/>
      <c r="H887" s="17"/>
      <c r="I887" s="17"/>
      <c r="J887" s="4"/>
      <c r="K887" s="17"/>
      <c r="L887" s="4"/>
      <c r="M887" s="4"/>
      <c r="N887" s="4"/>
      <c r="O887" s="4"/>
      <c r="P887" s="4"/>
      <c r="Q887" s="4"/>
      <c r="R887" s="4"/>
      <c r="S887" s="4"/>
      <c r="T887" s="4"/>
      <c r="U887" s="4"/>
      <c r="V887" s="404"/>
      <c r="W887" s="404"/>
      <c r="X887" s="4"/>
      <c r="Y887" s="4"/>
      <c r="Z887" s="4"/>
      <c r="AA887" s="4"/>
      <c r="AB887" s="4"/>
      <c r="AC887" s="4"/>
      <c r="AD887" s="4"/>
      <c r="AE887" s="4"/>
      <c r="AF887" s="4"/>
      <c r="AG887" s="4"/>
      <c r="AH887" s="4"/>
      <c r="AI887" s="17"/>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row>
    <row r="888">
      <c r="A888" s="4"/>
      <c r="B888" s="4"/>
      <c r="C888" s="4"/>
      <c r="D888" s="4"/>
      <c r="E888" s="17"/>
      <c r="F888" s="17"/>
      <c r="G888" s="17"/>
      <c r="H888" s="17"/>
      <c r="I888" s="17"/>
      <c r="J888" s="4"/>
      <c r="K888" s="17"/>
      <c r="L888" s="4"/>
      <c r="M888" s="4"/>
      <c r="N888" s="4"/>
      <c r="O888" s="4"/>
      <c r="P888" s="4"/>
      <c r="Q888" s="4"/>
      <c r="R888" s="4"/>
      <c r="S888" s="4"/>
      <c r="T888" s="4"/>
      <c r="U888" s="4"/>
      <c r="V888" s="404"/>
      <c r="W888" s="404"/>
      <c r="X888" s="4"/>
      <c r="Y888" s="4"/>
      <c r="Z888" s="4"/>
      <c r="AA888" s="4"/>
      <c r="AB888" s="4"/>
      <c r="AC888" s="4"/>
      <c r="AD888" s="4"/>
      <c r="AE888" s="4"/>
      <c r="AF888" s="4"/>
      <c r="AG888" s="4"/>
      <c r="AH888" s="4"/>
      <c r="AI888" s="17"/>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row>
    <row r="889">
      <c r="A889" s="4"/>
      <c r="B889" s="4"/>
      <c r="C889" s="4"/>
      <c r="D889" s="4"/>
      <c r="E889" s="17"/>
      <c r="F889" s="17"/>
      <c r="G889" s="17"/>
      <c r="H889" s="17"/>
      <c r="I889" s="17"/>
      <c r="J889" s="4"/>
      <c r="K889" s="17"/>
      <c r="L889" s="4"/>
      <c r="M889" s="4"/>
      <c r="N889" s="4"/>
      <c r="O889" s="4"/>
      <c r="P889" s="4"/>
      <c r="Q889" s="4"/>
      <c r="R889" s="4"/>
      <c r="S889" s="4"/>
      <c r="T889" s="4"/>
      <c r="U889" s="4"/>
      <c r="V889" s="404"/>
      <c r="W889" s="404"/>
      <c r="X889" s="4"/>
      <c r="Y889" s="4"/>
      <c r="Z889" s="4"/>
      <c r="AA889" s="4"/>
      <c r="AB889" s="4"/>
      <c r="AC889" s="4"/>
      <c r="AD889" s="4"/>
      <c r="AE889" s="4"/>
      <c r="AF889" s="4"/>
      <c r="AG889" s="4"/>
      <c r="AH889" s="4"/>
      <c r="AI889" s="17"/>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row>
    <row r="890">
      <c r="A890" s="4"/>
      <c r="B890" s="4"/>
      <c r="C890" s="4"/>
      <c r="D890" s="4"/>
      <c r="E890" s="17"/>
      <c r="F890" s="17"/>
      <c r="G890" s="17"/>
      <c r="H890" s="17"/>
      <c r="I890" s="17"/>
      <c r="J890" s="4"/>
      <c r="K890" s="17"/>
      <c r="L890" s="4"/>
      <c r="M890" s="4"/>
      <c r="N890" s="4"/>
      <c r="O890" s="4"/>
      <c r="P890" s="4"/>
      <c r="Q890" s="4"/>
      <c r="R890" s="4"/>
      <c r="S890" s="4"/>
      <c r="T890" s="4"/>
      <c r="U890" s="4"/>
      <c r="V890" s="404"/>
      <c r="W890" s="404"/>
      <c r="X890" s="4"/>
      <c r="Y890" s="4"/>
      <c r="Z890" s="4"/>
      <c r="AA890" s="4"/>
      <c r="AB890" s="4"/>
      <c r="AC890" s="4"/>
      <c r="AD890" s="4"/>
      <c r="AE890" s="4"/>
      <c r="AF890" s="4"/>
      <c r="AG890" s="4"/>
      <c r="AH890" s="4"/>
      <c r="AI890" s="17"/>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row>
    <row r="891">
      <c r="A891" s="4"/>
      <c r="B891" s="4"/>
      <c r="C891" s="4"/>
      <c r="D891" s="4"/>
      <c r="E891" s="17"/>
      <c r="F891" s="17"/>
      <c r="G891" s="17"/>
      <c r="H891" s="17"/>
      <c r="I891" s="17"/>
      <c r="J891" s="4"/>
      <c r="K891" s="17"/>
      <c r="L891" s="4"/>
      <c r="M891" s="4"/>
      <c r="N891" s="4"/>
      <c r="O891" s="4"/>
      <c r="P891" s="4"/>
      <c r="Q891" s="4"/>
      <c r="R891" s="4"/>
      <c r="S891" s="4"/>
      <c r="T891" s="4"/>
      <c r="U891" s="4"/>
      <c r="V891" s="404"/>
      <c r="W891" s="404"/>
      <c r="X891" s="4"/>
      <c r="Y891" s="4"/>
      <c r="Z891" s="4"/>
      <c r="AA891" s="4"/>
      <c r="AB891" s="4"/>
      <c r="AC891" s="4"/>
      <c r="AD891" s="4"/>
      <c r="AE891" s="4"/>
      <c r="AF891" s="4"/>
      <c r="AG891" s="4"/>
      <c r="AH891" s="4"/>
      <c r="AI891" s="17"/>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row>
    <row r="892">
      <c r="A892" s="4"/>
      <c r="B892" s="4"/>
      <c r="C892" s="4"/>
      <c r="D892" s="4"/>
      <c r="E892" s="17"/>
      <c r="F892" s="17"/>
      <c r="G892" s="17"/>
      <c r="H892" s="17"/>
      <c r="I892" s="17"/>
      <c r="J892" s="4"/>
      <c r="K892" s="17"/>
      <c r="L892" s="4"/>
      <c r="M892" s="4"/>
      <c r="N892" s="4"/>
      <c r="O892" s="4"/>
      <c r="P892" s="4"/>
      <c r="Q892" s="4"/>
      <c r="R892" s="4"/>
      <c r="S892" s="4"/>
      <c r="T892" s="4"/>
      <c r="U892" s="4"/>
      <c r="V892" s="404"/>
      <c r="W892" s="404"/>
      <c r="X892" s="4"/>
      <c r="Y892" s="4"/>
      <c r="Z892" s="4"/>
      <c r="AA892" s="4"/>
      <c r="AB892" s="4"/>
      <c r="AC892" s="4"/>
      <c r="AD892" s="4"/>
      <c r="AE892" s="4"/>
      <c r="AF892" s="4"/>
      <c r="AG892" s="4"/>
      <c r="AH892" s="4"/>
      <c r="AI892" s="17"/>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row>
    <row r="893">
      <c r="A893" s="4"/>
      <c r="B893" s="4"/>
      <c r="C893" s="4"/>
      <c r="D893" s="4"/>
      <c r="E893" s="17"/>
      <c r="F893" s="17"/>
      <c r="G893" s="17"/>
      <c r="H893" s="17"/>
      <c r="I893" s="17"/>
      <c r="J893" s="4"/>
      <c r="K893" s="17"/>
      <c r="L893" s="4"/>
      <c r="M893" s="4"/>
      <c r="N893" s="4"/>
      <c r="O893" s="4"/>
      <c r="P893" s="4"/>
      <c r="Q893" s="4"/>
      <c r="R893" s="4"/>
      <c r="S893" s="4"/>
      <c r="T893" s="4"/>
      <c r="U893" s="4"/>
      <c r="V893" s="404"/>
      <c r="W893" s="404"/>
      <c r="X893" s="4"/>
      <c r="Y893" s="4"/>
      <c r="Z893" s="4"/>
      <c r="AA893" s="4"/>
      <c r="AB893" s="4"/>
      <c r="AC893" s="4"/>
      <c r="AD893" s="4"/>
      <c r="AE893" s="4"/>
      <c r="AF893" s="4"/>
      <c r="AG893" s="4"/>
      <c r="AH893" s="4"/>
      <c r="AI893" s="17"/>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row>
    <row r="894">
      <c r="A894" s="4"/>
      <c r="B894" s="4"/>
      <c r="C894" s="4"/>
      <c r="D894" s="4"/>
      <c r="E894" s="17"/>
      <c r="F894" s="17"/>
      <c r="G894" s="17"/>
      <c r="H894" s="17"/>
      <c r="I894" s="17"/>
      <c r="J894" s="4"/>
      <c r="K894" s="17"/>
      <c r="L894" s="4"/>
      <c r="M894" s="4"/>
      <c r="N894" s="4"/>
      <c r="O894" s="4"/>
      <c r="P894" s="4"/>
      <c r="Q894" s="4"/>
      <c r="R894" s="4"/>
      <c r="S894" s="4"/>
      <c r="T894" s="4"/>
      <c r="U894" s="4"/>
      <c r="V894" s="404"/>
      <c r="W894" s="404"/>
      <c r="X894" s="4"/>
      <c r="Y894" s="4"/>
      <c r="Z894" s="4"/>
      <c r="AA894" s="4"/>
      <c r="AB894" s="4"/>
      <c r="AC894" s="4"/>
      <c r="AD894" s="4"/>
      <c r="AE894" s="4"/>
      <c r="AF894" s="4"/>
      <c r="AG894" s="4"/>
      <c r="AH894" s="4"/>
      <c r="AI894" s="17"/>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row>
    <row r="895">
      <c r="A895" s="4"/>
      <c r="B895" s="4"/>
      <c r="C895" s="4"/>
      <c r="D895" s="4"/>
      <c r="E895" s="17"/>
      <c r="F895" s="17"/>
      <c r="G895" s="17"/>
      <c r="H895" s="17"/>
      <c r="I895" s="17"/>
      <c r="J895" s="4"/>
      <c r="K895" s="17"/>
      <c r="L895" s="4"/>
      <c r="M895" s="4"/>
      <c r="N895" s="4"/>
      <c r="O895" s="4"/>
      <c r="P895" s="4"/>
      <c r="Q895" s="4"/>
      <c r="R895" s="4"/>
      <c r="S895" s="4"/>
      <c r="T895" s="4"/>
      <c r="U895" s="4"/>
      <c r="V895" s="404"/>
      <c r="W895" s="404"/>
      <c r="X895" s="4"/>
      <c r="Y895" s="4"/>
      <c r="Z895" s="4"/>
      <c r="AA895" s="4"/>
      <c r="AB895" s="4"/>
      <c r="AC895" s="4"/>
      <c r="AD895" s="4"/>
      <c r="AE895" s="4"/>
      <c r="AF895" s="4"/>
      <c r="AG895" s="4"/>
      <c r="AH895" s="4"/>
      <c r="AI895" s="17"/>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row>
    <row r="896">
      <c r="A896" s="4"/>
      <c r="B896" s="4"/>
      <c r="C896" s="4"/>
      <c r="D896" s="4"/>
      <c r="E896" s="17"/>
      <c r="F896" s="17"/>
      <c r="G896" s="17"/>
      <c r="H896" s="17"/>
      <c r="I896" s="17"/>
      <c r="J896" s="4"/>
      <c r="K896" s="17"/>
      <c r="L896" s="4"/>
      <c r="M896" s="4"/>
      <c r="N896" s="4"/>
      <c r="O896" s="4"/>
      <c r="P896" s="4"/>
      <c r="Q896" s="4"/>
      <c r="R896" s="4"/>
      <c r="S896" s="4"/>
      <c r="T896" s="4"/>
      <c r="U896" s="4"/>
      <c r="V896" s="404"/>
      <c r="W896" s="404"/>
      <c r="X896" s="4"/>
      <c r="Y896" s="4"/>
      <c r="Z896" s="4"/>
      <c r="AA896" s="4"/>
      <c r="AB896" s="4"/>
      <c r="AC896" s="4"/>
      <c r="AD896" s="4"/>
      <c r="AE896" s="4"/>
      <c r="AF896" s="4"/>
      <c r="AG896" s="4"/>
      <c r="AH896" s="4"/>
      <c r="AI896" s="17"/>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row>
    <row r="897">
      <c r="A897" s="4"/>
      <c r="B897" s="4"/>
      <c r="C897" s="4"/>
      <c r="D897" s="4"/>
      <c r="E897" s="17"/>
      <c r="F897" s="17"/>
      <c r="G897" s="17"/>
      <c r="H897" s="17"/>
      <c r="I897" s="17"/>
      <c r="J897" s="4"/>
      <c r="K897" s="17"/>
      <c r="L897" s="4"/>
      <c r="M897" s="4"/>
      <c r="N897" s="4"/>
      <c r="O897" s="4"/>
      <c r="P897" s="4"/>
      <c r="Q897" s="4"/>
      <c r="R897" s="4"/>
      <c r="S897" s="4"/>
      <c r="T897" s="4"/>
      <c r="U897" s="4"/>
      <c r="V897" s="404"/>
      <c r="W897" s="404"/>
      <c r="X897" s="4"/>
      <c r="Y897" s="4"/>
      <c r="Z897" s="4"/>
      <c r="AA897" s="4"/>
      <c r="AB897" s="4"/>
      <c r="AC897" s="4"/>
      <c r="AD897" s="4"/>
      <c r="AE897" s="4"/>
      <c r="AF897" s="4"/>
      <c r="AG897" s="4"/>
      <c r="AH897" s="4"/>
      <c r="AI897" s="17"/>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row>
    <row r="898">
      <c r="A898" s="4"/>
      <c r="B898" s="4"/>
      <c r="C898" s="4"/>
      <c r="D898" s="4"/>
      <c r="E898" s="17"/>
      <c r="F898" s="17"/>
      <c r="G898" s="17"/>
      <c r="H898" s="17"/>
      <c r="I898" s="17"/>
      <c r="J898" s="4"/>
      <c r="K898" s="17"/>
      <c r="L898" s="4"/>
      <c r="M898" s="4"/>
      <c r="N898" s="4"/>
      <c r="O898" s="4"/>
      <c r="P898" s="4"/>
      <c r="Q898" s="4"/>
      <c r="R898" s="4"/>
      <c r="S898" s="4"/>
      <c r="T898" s="4"/>
      <c r="U898" s="4"/>
      <c r="V898" s="404"/>
      <c r="W898" s="404"/>
      <c r="X898" s="4"/>
      <c r="Y898" s="4"/>
      <c r="Z898" s="4"/>
      <c r="AA898" s="4"/>
      <c r="AB898" s="4"/>
      <c r="AC898" s="4"/>
      <c r="AD898" s="4"/>
      <c r="AE898" s="4"/>
      <c r="AF898" s="4"/>
      <c r="AG898" s="4"/>
      <c r="AH898" s="4"/>
      <c r="AI898" s="17"/>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row>
    <row r="899">
      <c r="A899" s="4"/>
      <c r="B899" s="4"/>
      <c r="C899" s="4"/>
      <c r="D899" s="4"/>
      <c r="E899" s="17"/>
      <c r="F899" s="17"/>
      <c r="G899" s="17"/>
      <c r="H899" s="17"/>
      <c r="I899" s="17"/>
      <c r="J899" s="4"/>
      <c r="K899" s="17"/>
      <c r="L899" s="4"/>
      <c r="M899" s="4"/>
      <c r="N899" s="4"/>
      <c r="O899" s="4"/>
      <c r="P899" s="4"/>
      <c r="Q899" s="4"/>
      <c r="R899" s="4"/>
      <c r="S899" s="4"/>
      <c r="T899" s="4"/>
      <c r="U899" s="4"/>
      <c r="V899" s="404"/>
      <c r="W899" s="404"/>
      <c r="X899" s="4"/>
      <c r="Y899" s="4"/>
      <c r="Z899" s="4"/>
      <c r="AA899" s="4"/>
      <c r="AB899" s="4"/>
      <c r="AC899" s="4"/>
      <c r="AD899" s="4"/>
      <c r="AE899" s="4"/>
      <c r="AF899" s="4"/>
      <c r="AG899" s="4"/>
      <c r="AH899" s="4"/>
      <c r="AI899" s="17"/>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row>
    <row r="900">
      <c r="A900" s="4"/>
      <c r="B900" s="4"/>
      <c r="C900" s="4"/>
      <c r="D900" s="4"/>
      <c r="E900" s="17"/>
      <c r="F900" s="17"/>
      <c r="G900" s="17"/>
      <c r="H900" s="17"/>
      <c r="I900" s="17"/>
      <c r="J900" s="4"/>
      <c r="K900" s="17"/>
      <c r="L900" s="4"/>
      <c r="M900" s="4"/>
      <c r="N900" s="4"/>
      <c r="O900" s="4"/>
      <c r="P900" s="4"/>
      <c r="Q900" s="4"/>
      <c r="R900" s="4"/>
      <c r="S900" s="4"/>
      <c r="T900" s="4"/>
      <c r="U900" s="4"/>
      <c r="V900" s="404"/>
      <c r="W900" s="404"/>
      <c r="X900" s="4"/>
      <c r="Y900" s="4"/>
      <c r="Z900" s="4"/>
      <c r="AA900" s="4"/>
      <c r="AB900" s="4"/>
      <c r="AC900" s="4"/>
      <c r="AD900" s="4"/>
      <c r="AE900" s="4"/>
      <c r="AF900" s="4"/>
      <c r="AG900" s="4"/>
      <c r="AH900" s="4"/>
      <c r="AI900" s="17"/>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row>
    <row r="901">
      <c r="A901" s="4"/>
      <c r="B901" s="4"/>
      <c r="C901" s="4"/>
      <c r="D901" s="4"/>
      <c r="E901" s="17"/>
      <c r="F901" s="17"/>
      <c r="G901" s="17"/>
      <c r="H901" s="17"/>
      <c r="I901" s="17"/>
      <c r="J901" s="4"/>
      <c r="K901" s="17"/>
      <c r="L901" s="4"/>
      <c r="M901" s="4"/>
      <c r="N901" s="4"/>
      <c r="O901" s="4"/>
      <c r="P901" s="4"/>
      <c r="Q901" s="4"/>
      <c r="R901" s="4"/>
      <c r="S901" s="4"/>
      <c r="T901" s="4"/>
      <c r="U901" s="4"/>
      <c r="V901" s="404"/>
      <c r="W901" s="404"/>
      <c r="X901" s="4"/>
      <c r="Y901" s="4"/>
      <c r="Z901" s="4"/>
      <c r="AA901" s="4"/>
      <c r="AB901" s="4"/>
      <c r="AC901" s="4"/>
      <c r="AD901" s="4"/>
      <c r="AE901" s="4"/>
      <c r="AF901" s="4"/>
      <c r="AG901" s="4"/>
      <c r="AH901" s="4"/>
      <c r="AI901" s="17"/>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row>
    <row r="902">
      <c r="A902" s="4"/>
      <c r="B902" s="4"/>
      <c r="C902" s="4"/>
      <c r="D902" s="4"/>
      <c r="E902" s="17"/>
      <c r="F902" s="17"/>
      <c r="G902" s="17"/>
      <c r="H902" s="17"/>
      <c r="I902" s="17"/>
      <c r="J902" s="4"/>
      <c r="K902" s="17"/>
      <c r="L902" s="4"/>
      <c r="M902" s="4"/>
      <c r="N902" s="4"/>
      <c r="O902" s="4"/>
      <c r="P902" s="4"/>
      <c r="Q902" s="4"/>
      <c r="R902" s="4"/>
      <c r="S902" s="4"/>
      <c r="T902" s="4"/>
      <c r="U902" s="4"/>
      <c r="V902" s="404"/>
      <c r="W902" s="404"/>
      <c r="X902" s="4"/>
      <c r="Y902" s="4"/>
      <c r="Z902" s="4"/>
      <c r="AA902" s="4"/>
      <c r="AB902" s="4"/>
      <c r="AC902" s="4"/>
      <c r="AD902" s="4"/>
      <c r="AE902" s="4"/>
      <c r="AF902" s="4"/>
      <c r="AG902" s="4"/>
      <c r="AH902" s="4"/>
      <c r="AI902" s="17"/>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row>
    <row r="903">
      <c r="A903" s="4"/>
      <c r="B903" s="4"/>
      <c r="C903" s="4"/>
      <c r="D903" s="4"/>
      <c r="E903" s="17"/>
      <c r="F903" s="17"/>
      <c r="G903" s="17"/>
      <c r="H903" s="17"/>
      <c r="I903" s="17"/>
      <c r="J903" s="4"/>
      <c r="K903" s="17"/>
      <c r="L903" s="4"/>
      <c r="M903" s="4"/>
      <c r="N903" s="4"/>
      <c r="O903" s="4"/>
      <c r="P903" s="4"/>
      <c r="Q903" s="4"/>
      <c r="R903" s="4"/>
      <c r="S903" s="4"/>
      <c r="T903" s="4"/>
      <c r="U903" s="4"/>
      <c r="V903" s="404"/>
      <c r="W903" s="404"/>
      <c r="X903" s="4"/>
      <c r="Y903" s="4"/>
      <c r="Z903" s="4"/>
      <c r="AA903" s="4"/>
      <c r="AB903" s="4"/>
      <c r="AC903" s="4"/>
      <c r="AD903" s="4"/>
      <c r="AE903" s="4"/>
      <c r="AF903" s="4"/>
      <c r="AG903" s="4"/>
      <c r="AH903" s="4"/>
      <c r="AI903" s="17"/>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row>
    <row r="904">
      <c r="A904" s="4"/>
      <c r="B904" s="4"/>
      <c r="C904" s="4"/>
      <c r="D904" s="4"/>
      <c r="E904" s="17"/>
      <c r="F904" s="17"/>
      <c r="G904" s="17"/>
      <c r="H904" s="17"/>
      <c r="I904" s="17"/>
      <c r="J904" s="4"/>
      <c r="K904" s="17"/>
      <c r="L904" s="4"/>
      <c r="M904" s="4"/>
      <c r="N904" s="4"/>
      <c r="O904" s="4"/>
      <c r="P904" s="4"/>
      <c r="Q904" s="4"/>
      <c r="R904" s="4"/>
      <c r="S904" s="4"/>
      <c r="T904" s="4"/>
      <c r="U904" s="4"/>
      <c r="V904" s="404"/>
      <c r="W904" s="404"/>
      <c r="X904" s="4"/>
      <c r="Y904" s="4"/>
      <c r="Z904" s="4"/>
      <c r="AA904" s="4"/>
      <c r="AB904" s="4"/>
      <c r="AC904" s="4"/>
      <c r="AD904" s="4"/>
      <c r="AE904" s="4"/>
      <c r="AF904" s="4"/>
      <c r="AG904" s="4"/>
      <c r="AH904" s="4"/>
      <c r="AI904" s="17"/>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row>
    <row r="905">
      <c r="A905" s="4"/>
      <c r="B905" s="4"/>
      <c r="C905" s="4"/>
      <c r="D905" s="4"/>
      <c r="E905" s="17"/>
      <c r="F905" s="17"/>
      <c r="G905" s="17"/>
      <c r="H905" s="17"/>
      <c r="I905" s="17"/>
      <c r="J905" s="4"/>
      <c r="K905" s="17"/>
      <c r="L905" s="4"/>
      <c r="M905" s="4"/>
      <c r="N905" s="4"/>
      <c r="O905" s="4"/>
      <c r="P905" s="4"/>
      <c r="Q905" s="4"/>
      <c r="R905" s="4"/>
      <c r="S905" s="4"/>
      <c r="T905" s="4"/>
      <c r="U905" s="4"/>
      <c r="V905" s="404"/>
      <c r="W905" s="404"/>
      <c r="X905" s="4"/>
      <c r="Y905" s="4"/>
      <c r="Z905" s="4"/>
      <c r="AA905" s="4"/>
      <c r="AB905" s="4"/>
      <c r="AC905" s="4"/>
      <c r="AD905" s="4"/>
      <c r="AE905" s="4"/>
      <c r="AF905" s="4"/>
      <c r="AG905" s="4"/>
      <c r="AH905" s="4"/>
      <c r="AI905" s="17"/>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row>
    <row r="906">
      <c r="A906" s="4"/>
      <c r="B906" s="4"/>
      <c r="C906" s="4"/>
      <c r="D906" s="4"/>
      <c r="E906" s="17"/>
      <c r="F906" s="17"/>
      <c r="G906" s="17"/>
      <c r="H906" s="17"/>
      <c r="I906" s="17"/>
      <c r="J906" s="4"/>
      <c r="K906" s="17"/>
      <c r="L906" s="4"/>
      <c r="M906" s="4"/>
      <c r="N906" s="4"/>
      <c r="O906" s="4"/>
      <c r="P906" s="4"/>
      <c r="Q906" s="4"/>
      <c r="R906" s="4"/>
      <c r="S906" s="4"/>
      <c r="T906" s="4"/>
      <c r="U906" s="4"/>
      <c r="V906" s="404"/>
      <c r="W906" s="404"/>
      <c r="X906" s="4"/>
      <c r="Y906" s="4"/>
      <c r="Z906" s="4"/>
      <c r="AA906" s="4"/>
      <c r="AB906" s="4"/>
      <c r="AC906" s="4"/>
      <c r="AD906" s="4"/>
      <c r="AE906" s="4"/>
      <c r="AF906" s="4"/>
      <c r="AG906" s="4"/>
      <c r="AH906" s="4"/>
      <c r="AI906" s="17"/>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row>
    <row r="907">
      <c r="A907" s="4"/>
      <c r="B907" s="4"/>
      <c r="C907" s="4"/>
      <c r="D907" s="4"/>
      <c r="E907" s="17"/>
      <c r="F907" s="17"/>
      <c r="G907" s="17"/>
      <c r="H907" s="17"/>
      <c r="I907" s="17"/>
      <c r="J907" s="4"/>
      <c r="K907" s="17"/>
      <c r="L907" s="4"/>
      <c r="M907" s="4"/>
      <c r="N907" s="4"/>
      <c r="O907" s="4"/>
      <c r="P907" s="4"/>
      <c r="Q907" s="4"/>
      <c r="R907" s="4"/>
      <c r="S907" s="4"/>
      <c r="T907" s="4"/>
      <c r="U907" s="4"/>
      <c r="V907" s="404"/>
      <c r="W907" s="404"/>
      <c r="X907" s="4"/>
      <c r="Y907" s="4"/>
      <c r="Z907" s="4"/>
      <c r="AA907" s="4"/>
      <c r="AB907" s="4"/>
      <c r="AC907" s="4"/>
      <c r="AD907" s="4"/>
      <c r="AE907" s="4"/>
      <c r="AF907" s="4"/>
      <c r="AG907" s="4"/>
      <c r="AH907" s="4"/>
      <c r="AI907" s="17"/>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row>
    <row r="908">
      <c r="A908" s="4"/>
      <c r="B908" s="4"/>
      <c r="C908" s="4"/>
      <c r="D908" s="4"/>
      <c r="E908" s="17"/>
      <c r="F908" s="17"/>
      <c r="G908" s="17"/>
      <c r="H908" s="17"/>
      <c r="I908" s="17"/>
      <c r="J908" s="4"/>
      <c r="K908" s="17"/>
      <c r="L908" s="4"/>
      <c r="M908" s="4"/>
      <c r="N908" s="4"/>
      <c r="O908" s="4"/>
      <c r="P908" s="4"/>
      <c r="Q908" s="4"/>
      <c r="R908" s="4"/>
      <c r="S908" s="4"/>
      <c r="T908" s="4"/>
      <c r="U908" s="4"/>
      <c r="V908" s="404"/>
      <c r="W908" s="404"/>
      <c r="X908" s="4"/>
      <c r="Y908" s="4"/>
      <c r="Z908" s="4"/>
      <c r="AA908" s="4"/>
      <c r="AB908" s="4"/>
      <c r="AC908" s="4"/>
      <c r="AD908" s="4"/>
      <c r="AE908" s="4"/>
      <c r="AF908" s="4"/>
      <c r="AG908" s="4"/>
      <c r="AH908" s="4"/>
      <c r="AI908" s="17"/>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row>
    <row r="909">
      <c r="A909" s="4"/>
      <c r="B909" s="4"/>
      <c r="C909" s="4"/>
      <c r="D909" s="4"/>
      <c r="E909" s="17"/>
      <c r="F909" s="17"/>
      <c r="G909" s="17"/>
      <c r="H909" s="17"/>
      <c r="I909" s="17"/>
      <c r="J909" s="4"/>
      <c r="K909" s="17"/>
      <c r="L909" s="4"/>
      <c r="M909" s="4"/>
      <c r="N909" s="4"/>
      <c r="O909" s="4"/>
      <c r="P909" s="4"/>
      <c r="Q909" s="4"/>
      <c r="R909" s="4"/>
      <c r="S909" s="4"/>
      <c r="T909" s="4"/>
      <c r="U909" s="4"/>
      <c r="V909" s="404"/>
      <c r="W909" s="404"/>
      <c r="X909" s="4"/>
      <c r="Y909" s="4"/>
      <c r="Z909" s="4"/>
      <c r="AA909" s="4"/>
      <c r="AB909" s="4"/>
      <c r="AC909" s="4"/>
      <c r="AD909" s="4"/>
      <c r="AE909" s="4"/>
      <c r="AF909" s="4"/>
      <c r="AG909" s="4"/>
      <c r="AH909" s="4"/>
      <c r="AI909" s="17"/>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row>
    <row r="910">
      <c r="A910" s="4"/>
      <c r="B910" s="4"/>
      <c r="C910" s="4"/>
      <c r="D910" s="4"/>
      <c r="E910" s="17"/>
      <c r="F910" s="17"/>
      <c r="G910" s="17"/>
      <c r="H910" s="17"/>
      <c r="I910" s="17"/>
      <c r="J910" s="4"/>
      <c r="K910" s="17"/>
      <c r="L910" s="4"/>
      <c r="M910" s="4"/>
      <c r="N910" s="4"/>
      <c r="O910" s="4"/>
      <c r="P910" s="4"/>
      <c r="Q910" s="4"/>
      <c r="R910" s="4"/>
      <c r="S910" s="4"/>
      <c r="T910" s="4"/>
      <c r="U910" s="4"/>
      <c r="V910" s="404"/>
      <c r="W910" s="404"/>
      <c r="X910" s="4"/>
      <c r="Y910" s="4"/>
      <c r="Z910" s="4"/>
      <c r="AA910" s="4"/>
      <c r="AB910" s="4"/>
      <c r="AC910" s="4"/>
      <c r="AD910" s="4"/>
      <c r="AE910" s="4"/>
      <c r="AF910" s="4"/>
      <c r="AG910" s="4"/>
      <c r="AH910" s="4"/>
      <c r="AI910" s="17"/>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row>
    <row r="911">
      <c r="A911" s="4"/>
      <c r="B911" s="4"/>
      <c r="C911" s="4"/>
      <c r="D911" s="4"/>
      <c r="E911" s="17"/>
      <c r="F911" s="17"/>
      <c r="G911" s="17"/>
      <c r="H911" s="17"/>
      <c r="I911" s="17"/>
      <c r="J911" s="4"/>
      <c r="K911" s="17"/>
      <c r="L911" s="4"/>
      <c r="M911" s="4"/>
      <c r="N911" s="4"/>
      <c r="O911" s="4"/>
      <c r="P911" s="4"/>
      <c r="Q911" s="4"/>
      <c r="R911" s="4"/>
      <c r="S911" s="4"/>
      <c r="T911" s="4"/>
      <c r="U911" s="4"/>
      <c r="V911" s="404"/>
      <c r="W911" s="404"/>
      <c r="X911" s="4"/>
      <c r="Y911" s="4"/>
      <c r="Z911" s="4"/>
      <c r="AA911" s="4"/>
      <c r="AB911" s="4"/>
      <c r="AC911" s="4"/>
      <c r="AD911" s="4"/>
      <c r="AE911" s="4"/>
      <c r="AF911" s="4"/>
      <c r="AG911" s="4"/>
      <c r="AH911" s="4"/>
      <c r="AI911" s="17"/>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row>
    <row r="912">
      <c r="A912" s="4"/>
      <c r="B912" s="4"/>
      <c r="C912" s="4"/>
      <c r="D912" s="4"/>
      <c r="E912" s="17"/>
      <c r="F912" s="17"/>
      <c r="G912" s="17"/>
      <c r="H912" s="17"/>
      <c r="I912" s="17"/>
      <c r="J912" s="4"/>
      <c r="K912" s="17"/>
      <c r="L912" s="4"/>
      <c r="M912" s="4"/>
      <c r="N912" s="4"/>
      <c r="O912" s="4"/>
      <c r="P912" s="4"/>
      <c r="Q912" s="4"/>
      <c r="R912" s="4"/>
      <c r="S912" s="4"/>
      <c r="T912" s="4"/>
      <c r="U912" s="4"/>
      <c r="V912" s="404"/>
      <c r="W912" s="404"/>
      <c r="X912" s="4"/>
      <c r="Y912" s="4"/>
      <c r="Z912" s="4"/>
      <c r="AA912" s="4"/>
      <c r="AB912" s="4"/>
      <c r="AC912" s="4"/>
      <c r="AD912" s="4"/>
      <c r="AE912" s="4"/>
      <c r="AF912" s="4"/>
      <c r="AG912" s="4"/>
      <c r="AH912" s="4"/>
      <c r="AI912" s="17"/>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row>
    <row r="913">
      <c r="A913" s="4"/>
      <c r="B913" s="4"/>
      <c r="C913" s="4"/>
      <c r="D913" s="4"/>
      <c r="E913" s="17"/>
      <c r="F913" s="17"/>
      <c r="G913" s="17"/>
      <c r="H913" s="17"/>
      <c r="I913" s="17"/>
      <c r="J913" s="4"/>
      <c r="K913" s="17"/>
      <c r="L913" s="4"/>
      <c r="M913" s="4"/>
      <c r="N913" s="4"/>
      <c r="O913" s="4"/>
      <c r="P913" s="4"/>
      <c r="Q913" s="4"/>
      <c r="R913" s="4"/>
      <c r="S913" s="4"/>
      <c r="T913" s="4"/>
      <c r="U913" s="4"/>
      <c r="V913" s="404"/>
      <c r="W913" s="404"/>
      <c r="X913" s="4"/>
      <c r="Y913" s="4"/>
      <c r="Z913" s="4"/>
      <c r="AA913" s="4"/>
      <c r="AB913" s="4"/>
      <c r="AC913" s="4"/>
      <c r="AD913" s="4"/>
      <c r="AE913" s="4"/>
      <c r="AF913" s="4"/>
      <c r="AG913" s="4"/>
      <c r="AH913" s="4"/>
      <c r="AI913" s="17"/>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row>
    <row r="914">
      <c r="A914" s="4"/>
      <c r="B914" s="4"/>
      <c r="C914" s="4"/>
      <c r="D914" s="4"/>
      <c r="E914" s="17"/>
      <c r="F914" s="17"/>
      <c r="G914" s="17"/>
      <c r="H914" s="17"/>
      <c r="I914" s="17"/>
      <c r="J914" s="4"/>
      <c r="K914" s="17"/>
      <c r="L914" s="4"/>
      <c r="M914" s="4"/>
      <c r="N914" s="4"/>
      <c r="O914" s="4"/>
      <c r="P914" s="4"/>
      <c r="Q914" s="4"/>
      <c r="R914" s="4"/>
      <c r="S914" s="4"/>
      <c r="T914" s="4"/>
      <c r="U914" s="4"/>
      <c r="V914" s="404"/>
      <c r="W914" s="404"/>
      <c r="X914" s="4"/>
      <c r="Y914" s="4"/>
      <c r="Z914" s="4"/>
      <c r="AA914" s="4"/>
      <c r="AB914" s="4"/>
      <c r="AC914" s="4"/>
      <c r="AD914" s="4"/>
      <c r="AE914" s="4"/>
      <c r="AF914" s="4"/>
      <c r="AG914" s="4"/>
      <c r="AH914" s="4"/>
      <c r="AI914" s="17"/>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row>
    <row r="915">
      <c r="A915" s="4"/>
      <c r="B915" s="4"/>
      <c r="C915" s="4"/>
      <c r="D915" s="4"/>
      <c r="E915" s="17"/>
      <c r="F915" s="17"/>
      <c r="G915" s="17"/>
      <c r="H915" s="17"/>
      <c r="I915" s="17"/>
      <c r="J915" s="4"/>
      <c r="K915" s="17"/>
      <c r="L915" s="4"/>
      <c r="M915" s="4"/>
      <c r="N915" s="4"/>
      <c r="O915" s="4"/>
      <c r="P915" s="4"/>
      <c r="Q915" s="4"/>
      <c r="R915" s="4"/>
      <c r="S915" s="4"/>
      <c r="T915" s="4"/>
      <c r="U915" s="4"/>
      <c r="V915" s="404"/>
      <c r="W915" s="404"/>
      <c r="X915" s="4"/>
      <c r="Y915" s="4"/>
      <c r="Z915" s="4"/>
      <c r="AA915" s="4"/>
      <c r="AB915" s="4"/>
      <c r="AC915" s="4"/>
      <c r="AD915" s="4"/>
      <c r="AE915" s="4"/>
      <c r="AF915" s="4"/>
      <c r="AG915" s="4"/>
      <c r="AH915" s="4"/>
      <c r="AI915" s="17"/>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row>
    <row r="916">
      <c r="A916" s="4"/>
      <c r="B916" s="4"/>
      <c r="C916" s="4"/>
      <c r="D916" s="4"/>
      <c r="E916" s="17"/>
      <c r="F916" s="17"/>
      <c r="G916" s="17"/>
      <c r="H916" s="17"/>
      <c r="I916" s="17"/>
      <c r="J916" s="4"/>
      <c r="K916" s="17"/>
      <c r="L916" s="4"/>
      <c r="M916" s="4"/>
      <c r="N916" s="4"/>
      <c r="O916" s="4"/>
      <c r="P916" s="4"/>
      <c r="Q916" s="4"/>
      <c r="R916" s="4"/>
      <c r="S916" s="4"/>
      <c r="T916" s="4"/>
      <c r="U916" s="4"/>
      <c r="V916" s="404"/>
      <c r="W916" s="404"/>
      <c r="X916" s="4"/>
      <c r="Y916" s="4"/>
      <c r="Z916" s="4"/>
      <c r="AA916" s="4"/>
      <c r="AB916" s="4"/>
      <c r="AC916" s="4"/>
      <c r="AD916" s="4"/>
      <c r="AE916" s="4"/>
      <c r="AF916" s="4"/>
      <c r="AG916" s="4"/>
      <c r="AH916" s="4"/>
      <c r="AI916" s="17"/>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row>
    <row r="917">
      <c r="A917" s="4"/>
      <c r="B917" s="4"/>
      <c r="C917" s="4"/>
      <c r="D917" s="4"/>
      <c r="E917" s="17"/>
      <c r="F917" s="17"/>
      <c r="G917" s="17"/>
      <c r="H917" s="17"/>
      <c r="I917" s="17"/>
      <c r="J917" s="4"/>
      <c r="K917" s="17"/>
      <c r="L917" s="4"/>
      <c r="M917" s="4"/>
      <c r="N917" s="4"/>
      <c r="O917" s="4"/>
      <c r="P917" s="4"/>
      <c r="Q917" s="4"/>
      <c r="R917" s="4"/>
      <c r="S917" s="4"/>
      <c r="T917" s="4"/>
      <c r="U917" s="4"/>
      <c r="V917" s="404"/>
      <c r="W917" s="404"/>
      <c r="X917" s="4"/>
      <c r="Y917" s="4"/>
      <c r="Z917" s="4"/>
      <c r="AA917" s="4"/>
      <c r="AB917" s="4"/>
      <c r="AC917" s="4"/>
      <c r="AD917" s="4"/>
      <c r="AE917" s="4"/>
      <c r="AF917" s="4"/>
      <c r="AG917" s="4"/>
      <c r="AH917" s="4"/>
      <c r="AI917" s="17"/>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row>
    <row r="918">
      <c r="A918" s="4"/>
      <c r="B918" s="4"/>
      <c r="C918" s="4"/>
      <c r="D918" s="4"/>
      <c r="E918" s="17"/>
      <c r="F918" s="17"/>
      <c r="G918" s="17"/>
      <c r="H918" s="17"/>
      <c r="I918" s="17"/>
      <c r="J918" s="4"/>
      <c r="K918" s="17"/>
      <c r="L918" s="4"/>
      <c r="M918" s="4"/>
      <c r="N918" s="4"/>
      <c r="O918" s="4"/>
      <c r="P918" s="4"/>
      <c r="Q918" s="4"/>
      <c r="R918" s="4"/>
      <c r="S918" s="4"/>
      <c r="T918" s="4"/>
      <c r="U918" s="4"/>
      <c r="V918" s="404"/>
      <c r="W918" s="404"/>
      <c r="X918" s="4"/>
      <c r="Y918" s="4"/>
      <c r="Z918" s="4"/>
      <c r="AA918" s="4"/>
      <c r="AB918" s="4"/>
      <c r="AC918" s="4"/>
      <c r="AD918" s="4"/>
      <c r="AE918" s="4"/>
      <c r="AF918" s="4"/>
      <c r="AG918" s="4"/>
      <c r="AH918" s="4"/>
      <c r="AI918" s="17"/>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row>
    <row r="919">
      <c r="A919" s="4"/>
      <c r="B919" s="4"/>
      <c r="C919" s="4"/>
      <c r="D919" s="4"/>
      <c r="E919" s="17"/>
      <c r="F919" s="17"/>
      <c r="G919" s="17"/>
      <c r="H919" s="17"/>
      <c r="I919" s="17"/>
      <c r="J919" s="4"/>
      <c r="K919" s="17"/>
      <c r="L919" s="4"/>
      <c r="M919" s="4"/>
      <c r="N919" s="4"/>
      <c r="O919" s="4"/>
      <c r="P919" s="4"/>
      <c r="Q919" s="4"/>
      <c r="R919" s="4"/>
      <c r="S919" s="4"/>
      <c r="T919" s="4"/>
      <c r="U919" s="4"/>
      <c r="V919" s="404"/>
      <c r="W919" s="404"/>
      <c r="X919" s="4"/>
      <c r="Y919" s="4"/>
      <c r="Z919" s="4"/>
      <c r="AA919" s="4"/>
      <c r="AB919" s="4"/>
      <c r="AC919" s="4"/>
      <c r="AD919" s="4"/>
      <c r="AE919" s="4"/>
      <c r="AF919" s="4"/>
      <c r="AG919" s="4"/>
      <c r="AH919" s="4"/>
      <c r="AI919" s="17"/>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row>
    <row r="920">
      <c r="A920" s="4"/>
      <c r="B920" s="4"/>
      <c r="C920" s="4"/>
      <c r="D920" s="4"/>
      <c r="E920" s="17"/>
      <c r="F920" s="17"/>
      <c r="G920" s="17"/>
      <c r="H920" s="17"/>
      <c r="I920" s="17"/>
      <c r="J920" s="4"/>
      <c r="K920" s="17"/>
      <c r="L920" s="4"/>
      <c r="M920" s="4"/>
      <c r="N920" s="4"/>
      <c r="O920" s="4"/>
      <c r="P920" s="4"/>
      <c r="Q920" s="4"/>
      <c r="R920" s="4"/>
      <c r="S920" s="4"/>
      <c r="T920" s="4"/>
      <c r="U920" s="4"/>
      <c r="V920" s="404"/>
      <c r="W920" s="404"/>
      <c r="X920" s="4"/>
      <c r="Y920" s="4"/>
      <c r="Z920" s="4"/>
      <c r="AA920" s="4"/>
      <c r="AB920" s="4"/>
      <c r="AC920" s="4"/>
      <c r="AD920" s="4"/>
      <c r="AE920" s="4"/>
      <c r="AF920" s="4"/>
      <c r="AG920" s="4"/>
      <c r="AH920" s="4"/>
      <c r="AI920" s="17"/>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row>
    <row r="921">
      <c r="A921" s="4"/>
      <c r="B921" s="4"/>
      <c r="C921" s="4"/>
      <c r="D921" s="4"/>
      <c r="E921" s="17"/>
      <c r="F921" s="17"/>
      <c r="G921" s="17"/>
      <c r="H921" s="17"/>
      <c r="I921" s="17"/>
      <c r="J921" s="4"/>
      <c r="K921" s="17"/>
      <c r="L921" s="4"/>
      <c r="M921" s="4"/>
      <c r="N921" s="4"/>
      <c r="O921" s="4"/>
      <c r="P921" s="4"/>
      <c r="Q921" s="4"/>
      <c r="R921" s="4"/>
      <c r="S921" s="4"/>
      <c r="T921" s="4"/>
      <c r="U921" s="4"/>
      <c r="V921" s="404"/>
      <c r="W921" s="404"/>
      <c r="X921" s="4"/>
      <c r="Y921" s="4"/>
      <c r="Z921" s="4"/>
      <c r="AA921" s="4"/>
      <c r="AB921" s="4"/>
      <c r="AC921" s="4"/>
      <c r="AD921" s="4"/>
      <c r="AE921" s="4"/>
      <c r="AF921" s="4"/>
      <c r="AG921" s="4"/>
      <c r="AH921" s="4"/>
      <c r="AI921" s="17"/>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row>
    <row r="922">
      <c r="A922" s="4"/>
      <c r="B922" s="4"/>
      <c r="C922" s="4"/>
      <c r="D922" s="4"/>
      <c r="E922" s="17"/>
      <c r="F922" s="17"/>
      <c r="G922" s="17"/>
      <c r="H922" s="17"/>
      <c r="I922" s="17"/>
      <c r="J922" s="4"/>
      <c r="K922" s="17"/>
      <c r="L922" s="4"/>
      <c r="M922" s="4"/>
      <c r="N922" s="4"/>
      <c r="O922" s="4"/>
      <c r="P922" s="4"/>
      <c r="Q922" s="4"/>
      <c r="R922" s="4"/>
      <c r="S922" s="4"/>
      <c r="T922" s="4"/>
      <c r="U922" s="4"/>
      <c r="V922" s="404"/>
      <c r="W922" s="404"/>
      <c r="X922" s="4"/>
      <c r="Y922" s="4"/>
      <c r="Z922" s="4"/>
      <c r="AA922" s="4"/>
      <c r="AB922" s="4"/>
      <c r="AC922" s="4"/>
      <c r="AD922" s="4"/>
      <c r="AE922" s="4"/>
      <c r="AF922" s="4"/>
      <c r="AG922" s="4"/>
      <c r="AH922" s="4"/>
      <c r="AI922" s="17"/>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row>
    <row r="923">
      <c r="A923" s="4"/>
      <c r="B923" s="4"/>
      <c r="C923" s="4"/>
      <c r="D923" s="4"/>
      <c r="E923" s="17"/>
      <c r="F923" s="17"/>
      <c r="G923" s="17"/>
      <c r="H923" s="17"/>
      <c r="I923" s="17"/>
      <c r="J923" s="4"/>
      <c r="K923" s="17"/>
      <c r="L923" s="4"/>
      <c r="M923" s="4"/>
      <c r="N923" s="4"/>
      <c r="O923" s="4"/>
      <c r="P923" s="4"/>
      <c r="Q923" s="4"/>
      <c r="R923" s="4"/>
      <c r="S923" s="4"/>
      <c r="T923" s="4"/>
      <c r="U923" s="4"/>
      <c r="V923" s="404"/>
      <c r="W923" s="404"/>
      <c r="X923" s="4"/>
      <c r="Y923" s="4"/>
      <c r="Z923" s="4"/>
      <c r="AA923" s="4"/>
      <c r="AB923" s="4"/>
      <c r="AC923" s="4"/>
      <c r="AD923" s="4"/>
      <c r="AE923" s="4"/>
      <c r="AF923" s="4"/>
      <c r="AG923" s="4"/>
      <c r="AH923" s="4"/>
      <c r="AI923" s="17"/>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row>
    <row r="924">
      <c r="A924" s="4"/>
      <c r="B924" s="4"/>
      <c r="C924" s="4"/>
      <c r="D924" s="4"/>
      <c r="E924" s="17"/>
      <c r="F924" s="17"/>
      <c r="G924" s="17"/>
      <c r="H924" s="17"/>
      <c r="I924" s="17"/>
      <c r="J924" s="4"/>
      <c r="K924" s="17"/>
      <c r="L924" s="4"/>
      <c r="M924" s="4"/>
      <c r="N924" s="4"/>
      <c r="O924" s="4"/>
      <c r="P924" s="4"/>
      <c r="Q924" s="4"/>
      <c r="R924" s="4"/>
      <c r="S924" s="4"/>
      <c r="T924" s="4"/>
      <c r="U924" s="4"/>
      <c r="V924" s="404"/>
      <c r="W924" s="404"/>
      <c r="X924" s="4"/>
      <c r="Y924" s="4"/>
      <c r="Z924" s="4"/>
      <c r="AA924" s="4"/>
      <c r="AB924" s="4"/>
      <c r="AC924" s="4"/>
      <c r="AD924" s="4"/>
      <c r="AE924" s="4"/>
      <c r="AF924" s="4"/>
      <c r="AG924" s="4"/>
      <c r="AH924" s="4"/>
      <c r="AI924" s="17"/>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row>
    <row r="925">
      <c r="A925" s="4"/>
      <c r="B925" s="4"/>
      <c r="C925" s="4"/>
      <c r="D925" s="4"/>
      <c r="E925" s="17"/>
      <c r="F925" s="17"/>
      <c r="G925" s="17"/>
      <c r="H925" s="17"/>
      <c r="I925" s="17"/>
      <c r="J925" s="4"/>
      <c r="K925" s="17"/>
      <c r="L925" s="4"/>
      <c r="M925" s="4"/>
      <c r="N925" s="4"/>
      <c r="O925" s="4"/>
      <c r="P925" s="4"/>
      <c r="Q925" s="4"/>
      <c r="R925" s="4"/>
      <c r="S925" s="4"/>
      <c r="T925" s="4"/>
      <c r="U925" s="4"/>
      <c r="V925" s="404"/>
      <c r="W925" s="404"/>
      <c r="X925" s="4"/>
      <c r="Y925" s="4"/>
      <c r="Z925" s="4"/>
      <c r="AA925" s="4"/>
      <c r="AB925" s="4"/>
      <c r="AC925" s="4"/>
      <c r="AD925" s="4"/>
      <c r="AE925" s="4"/>
      <c r="AF925" s="4"/>
      <c r="AG925" s="4"/>
      <c r="AH925" s="4"/>
      <c r="AI925" s="17"/>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row>
    <row r="926">
      <c r="A926" s="4"/>
      <c r="B926" s="4"/>
      <c r="C926" s="4"/>
      <c r="D926" s="4"/>
      <c r="E926" s="17"/>
      <c r="F926" s="17"/>
      <c r="G926" s="17"/>
      <c r="H926" s="17"/>
      <c r="I926" s="17"/>
      <c r="J926" s="4"/>
      <c r="K926" s="17"/>
      <c r="L926" s="4"/>
      <c r="M926" s="4"/>
      <c r="N926" s="4"/>
      <c r="O926" s="4"/>
      <c r="P926" s="4"/>
      <c r="Q926" s="4"/>
      <c r="R926" s="4"/>
      <c r="S926" s="4"/>
      <c r="T926" s="4"/>
      <c r="U926" s="4"/>
      <c r="V926" s="404"/>
      <c r="W926" s="404"/>
      <c r="X926" s="4"/>
      <c r="Y926" s="4"/>
      <c r="Z926" s="4"/>
      <c r="AA926" s="4"/>
      <c r="AB926" s="4"/>
      <c r="AC926" s="4"/>
      <c r="AD926" s="4"/>
      <c r="AE926" s="4"/>
      <c r="AF926" s="4"/>
      <c r="AG926" s="4"/>
      <c r="AH926" s="4"/>
      <c r="AI926" s="17"/>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row>
    <row r="927">
      <c r="A927" s="4"/>
      <c r="B927" s="4"/>
      <c r="C927" s="4"/>
      <c r="D927" s="4"/>
      <c r="E927" s="17"/>
      <c r="F927" s="17"/>
      <c r="G927" s="17"/>
      <c r="H927" s="17"/>
      <c r="I927" s="17"/>
      <c r="J927" s="4"/>
      <c r="K927" s="17"/>
      <c r="L927" s="4"/>
      <c r="M927" s="4"/>
      <c r="N927" s="4"/>
      <c r="O927" s="4"/>
      <c r="P927" s="4"/>
      <c r="Q927" s="4"/>
      <c r="R927" s="4"/>
      <c r="S927" s="4"/>
      <c r="T927" s="4"/>
      <c r="U927" s="4"/>
      <c r="V927" s="404"/>
      <c r="W927" s="404"/>
      <c r="X927" s="4"/>
      <c r="Y927" s="4"/>
      <c r="Z927" s="4"/>
      <c r="AA927" s="4"/>
      <c r="AB927" s="4"/>
      <c r="AC927" s="4"/>
      <c r="AD927" s="4"/>
      <c r="AE927" s="4"/>
      <c r="AF927" s="4"/>
      <c r="AG927" s="4"/>
      <c r="AH927" s="4"/>
      <c r="AI927" s="17"/>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row>
    <row r="928">
      <c r="A928" s="4"/>
      <c r="B928" s="4"/>
      <c r="C928" s="4"/>
      <c r="D928" s="4"/>
      <c r="E928" s="17"/>
      <c r="F928" s="17"/>
      <c r="G928" s="17"/>
      <c r="H928" s="17"/>
      <c r="I928" s="17"/>
      <c r="J928" s="4"/>
      <c r="K928" s="17"/>
      <c r="L928" s="4"/>
      <c r="M928" s="4"/>
      <c r="N928" s="4"/>
      <c r="O928" s="4"/>
      <c r="P928" s="4"/>
      <c r="Q928" s="4"/>
      <c r="R928" s="4"/>
      <c r="S928" s="4"/>
      <c r="T928" s="4"/>
      <c r="U928" s="4"/>
      <c r="V928" s="404"/>
      <c r="W928" s="404"/>
      <c r="X928" s="4"/>
      <c r="Y928" s="4"/>
      <c r="Z928" s="4"/>
      <c r="AA928" s="4"/>
      <c r="AB928" s="4"/>
      <c r="AC928" s="4"/>
      <c r="AD928" s="4"/>
      <c r="AE928" s="4"/>
      <c r="AF928" s="4"/>
      <c r="AG928" s="4"/>
      <c r="AH928" s="4"/>
      <c r="AI928" s="17"/>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row>
    <row r="929">
      <c r="A929" s="4"/>
      <c r="B929" s="4"/>
      <c r="C929" s="4"/>
      <c r="D929" s="4"/>
      <c r="E929" s="17"/>
      <c r="F929" s="17"/>
      <c r="G929" s="17"/>
      <c r="H929" s="17"/>
      <c r="I929" s="17"/>
      <c r="J929" s="4"/>
      <c r="K929" s="17"/>
      <c r="L929" s="4"/>
      <c r="M929" s="4"/>
      <c r="N929" s="4"/>
      <c r="O929" s="4"/>
      <c r="P929" s="4"/>
      <c r="Q929" s="4"/>
      <c r="R929" s="4"/>
      <c r="S929" s="4"/>
      <c r="T929" s="4"/>
      <c r="U929" s="4"/>
      <c r="V929" s="404"/>
      <c r="W929" s="404"/>
      <c r="X929" s="4"/>
      <c r="Y929" s="4"/>
      <c r="Z929" s="4"/>
      <c r="AA929" s="4"/>
      <c r="AB929" s="4"/>
      <c r="AC929" s="4"/>
      <c r="AD929" s="4"/>
      <c r="AE929" s="4"/>
      <c r="AF929" s="4"/>
      <c r="AG929" s="4"/>
      <c r="AH929" s="4"/>
      <c r="AI929" s="17"/>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row>
    <row r="930">
      <c r="A930" s="4"/>
      <c r="B930" s="4"/>
      <c r="C930" s="4"/>
      <c r="D930" s="4"/>
      <c r="E930" s="17"/>
      <c r="F930" s="17"/>
      <c r="G930" s="17"/>
      <c r="H930" s="17"/>
      <c r="I930" s="17"/>
      <c r="J930" s="4"/>
      <c r="K930" s="17"/>
      <c r="L930" s="4"/>
      <c r="M930" s="4"/>
      <c r="N930" s="4"/>
      <c r="O930" s="4"/>
      <c r="P930" s="4"/>
      <c r="Q930" s="4"/>
      <c r="R930" s="4"/>
      <c r="S930" s="4"/>
      <c r="T930" s="4"/>
      <c r="U930" s="4"/>
      <c r="V930" s="404"/>
      <c r="W930" s="404"/>
      <c r="X930" s="4"/>
      <c r="Y930" s="4"/>
      <c r="Z930" s="4"/>
      <c r="AA930" s="4"/>
      <c r="AB930" s="4"/>
      <c r="AC930" s="4"/>
      <c r="AD930" s="4"/>
      <c r="AE930" s="4"/>
      <c r="AF930" s="4"/>
      <c r="AG930" s="4"/>
      <c r="AH930" s="4"/>
      <c r="AI930" s="17"/>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row>
    <row r="931">
      <c r="A931" s="4"/>
      <c r="B931" s="4"/>
      <c r="C931" s="4"/>
      <c r="D931" s="4"/>
      <c r="E931" s="17"/>
      <c r="F931" s="17"/>
      <c r="G931" s="17"/>
      <c r="H931" s="17"/>
      <c r="I931" s="17"/>
      <c r="J931" s="4"/>
      <c r="K931" s="17"/>
      <c r="L931" s="4"/>
      <c r="M931" s="4"/>
      <c r="N931" s="4"/>
      <c r="O931" s="4"/>
      <c r="P931" s="4"/>
      <c r="Q931" s="4"/>
      <c r="R931" s="4"/>
      <c r="S931" s="4"/>
      <c r="T931" s="4"/>
      <c r="U931" s="4"/>
      <c r="V931" s="404"/>
      <c r="W931" s="404"/>
      <c r="X931" s="4"/>
      <c r="Y931" s="4"/>
      <c r="Z931" s="4"/>
      <c r="AA931" s="4"/>
      <c r="AB931" s="4"/>
      <c r="AC931" s="4"/>
      <c r="AD931" s="4"/>
      <c r="AE931" s="4"/>
      <c r="AF931" s="4"/>
      <c r="AG931" s="4"/>
      <c r="AH931" s="4"/>
      <c r="AI931" s="17"/>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row>
    <row r="932">
      <c r="A932" s="4"/>
      <c r="B932" s="4"/>
      <c r="C932" s="4"/>
      <c r="D932" s="4"/>
      <c r="E932" s="17"/>
      <c r="F932" s="17"/>
      <c r="G932" s="17"/>
      <c r="H932" s="17"/>
      <c r="I932" s="17"/>
      <c r="J932" s="4"/>
      <c r="K932" s="17"/>
      <c r="L932" s="4"/>
      <c r="M932" s="4"/>
      <c r="N932" s="4"/>
      <c r="O932" s="4"/>
      <c r="P932" s="4"/>
      <c r="Q932" s="4"/>
      <c r="R932" s="4"/>
      <c r="S932" s="4"/>
      <c r="T932" s="4"/>
      <c r="U932" s="4"/>
      <c r="V932" s="404"/>
      <c r="W932" s="404"/>
      <c r="X932" s="4"/>
      <c r="Y932" s="4"/>
      <c r="Z932" s="4"/>
      <c r="AA932" s="4"/>
      <c r="AB932" s="4"/>
      <c r="AC932" s="4"/>
      <c r="AD932" s="4"/>
      <c r="AE932" s="4"/>
      <c r="AF932" s="4"/>
      <c r="AG932" s="4"/>
      <c r="AH932" s="4"/>
      <c r="AI932" s="17"/>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row>
    <row r="933">
      <c r="A933" s="4"/>
      <c r="B933" s="4"/>
      <c r="C933" s="4"/>
      <c r="D933" s="4"/>
      <c r="E933" s="17"/>
      <c r="F933" s="17"/>
      <c r="G933" s="17"/>
      <c r="H933" s="17"/>
      <c r="I933" s="17"/>
      <c r="J933" s="4"/>
      <c r="K933" s="17"/>
      <c r="L933" s="4"/>
      <c r="M933" s="4"/>
      <c r="N933" s="4"/>
      <c r="O933" s="4"/>
      <c r="P933" s="4"/>
      <c r="Q933" s="4"/>
      <c r="R933" s="4"/>
      <c r="S933" s="4"/>
      <c r="T933" s="4"/>
      <c r="U933" s="4"/>
      <c r="V933" s="404"/>
      <c r="W933" s="404"/>
      <c r="X933" s="4"/>
      <c r="Y933" s="4"/>
      <c r="Z933" s="4"/>
      <c r="AA933" s="4"/>
      <c r="AB933" s="4"/>
      <c r="AC933" s="4"/>
      <c r="AD933" s="4"/>
      <c r="AE933" s="4"/>
      <c r="AF933" s="4"/>
      <c r="AG933" s="4"/>
      <c r="AH933" s="4"/>
      <c r="AI933" s="17"/>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row>
    <row r="934">
      <c r="A934" s="4"/>
      <c r="B934" s="4"/>
      <c r="C934" s="4"/>
      <c r="D934" s="4"/>
      <c r="E934" s="17"/>
      <c r="F934" s="17"/>
      <c r="G934" s="17"/>
      <c r="H934" s="17"/>
      <c r="I934" s="17"/>
      <c r="J934" s="4"/>
      <c r="K934" s="17"/>
      <c r="L934" s="4"/>
      <c r="M934" s="4"/>
      <c r="N934" s="4"/>
      <c r="O934" s="4"/>
      <c r="P934" s="4"/>
      <c r="Q934" s="4"/>
      <c r="R934" s="4"/>
      <c r="S934" s="4"/>
      <c r="T934" s="4"/>
      <c r="U934" s="4"/>
      <c r="V934" s="404"/>
      <c r="W934" s="404"/>
      <c r="X934" s="4"/>
      <c r="Y934" s="4"/>
      <c r="Z934" s="4"/>
      <c r="AA934" s="4"/>
      <c r="AB934" s="4"/>
      <c r="AC934" s="4"/>
      <c r="AD934" s="4"/>
      <c r="AE934" s="4"/>
      <c r="AF934" s="4"/>
      <c r="AG934" s="4"/>
      <c r="AH934" s="4"/>
      <c r="AI934" s="17"/>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row>
    <row r="935">
      <c r="A935" s="4"/>
      <c r="B935" s="4"/>
      <c r="C935" s="4"/>
      <c r="D935" s="4"/>
      <c r="E935" s="17"/>
      <c r="F935" s="17"/>
      <c r="G935" s="17"/>
      <c r="H935" s="17"/>
      <c r="I935" s="17"/>
      <c r="J935" s="4"/>
      <c r="K935" s="17"/>
      <c r="L935" s="4"/>
      <c r="M935" s="4"/>
      <c r="N935" s="4"/>
      <c r="O935" s="4"/>
      <c r="P935" s="4"/>
      <c r="Q935" s="4"/>
      <c r="R935" s="4"/>
      <c r="S935" s="4"/>
      <c r="T935" s="4"/>
      <c r="U935" s="4"/>
      <c r="V935" s="404"/>
      <c r="W935" s="404"/>
      <c r="X935" s="4"/>
      <c r="Y935" s="4"/>
      <c r="Z935" s="4"/>
      <c r="AA935" s="4"/>
      <c r="AB935" s="4"/>
      <c r="AC935" s="4"/>
      <c r="AD935" s="4"/>
      <c r="AE935" s="4"/>
      <c r="AF935" s="4"/>
      <c r="AG935" s="4"/>
      <c r="AH935" s="4"/>
      <c r="AI935" s="17"/>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row>
    <row r="936">
      <c r="A936" s="4"/>
      <c r="B936" s="4"/>
      <c r="C936" s="4"/>
      <c r="D936" s="4"/>
      <c r="E936" s="17"/>
      <c r="F936" s="17"/>
      <c r="G936" s="17"/>
      <c r="H936" s="17"/>
      <c r="I936" s="17"/>
      <c r="J936" s="4"/>
      <c r="K936" s="17"/>
      <c r="L936" s="4"/>
      <c r="M936" s="4"/>
      <c r="N936" s="4"/>
      <c r="O936" s="4"/>
      <c r="P936" s="4"/>
      <c r="Q936" s="4"/>
      <c r="R936" s="4"/>
      <c r="S936" s="4"/>
      <c r="T936" s="4"/>
      <c r="U936" s="4"/>
      <c r="V936" s="404"/>
      <c r="W936" s="404"/>
      <c r="X936" s="4"/>
      <c r="Y936" s="4"/>
      <c r="Z936" s="4"/>
      <c r="AA936" s="4"/>
      <c r="AB936" s="4"/>
      <c r="AC936" s="4"/>
      <c r="AD936" s="4"/>
      <c r="AE936" s="4"/>
      <c r="AF936" s="4"/>
      <c r="AG936" s="4"/>
      <c r="AH936" s="4"/>
      <c r="AI936" s="17"/>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row>
    <row r="937">
      <c r="A937" s="4"/>
      <c r="B937" s="4"/>
      <c r="C937" s="4"/>
      <c r="D937" s="4"/>
      <c r="E937" s="17"/>
      <c r="F937" s="17"/>
      <c r="G937" s="17"/>
      <c r="H937" s="17"/>
      <c r="I937" s="17"/>
      <c r="J937" s="4"/>
      <c r="K937" s="17"/>
      <c r="L937" s="4"/>
      <c r="M937" s="4"/>
      <c r="N937" s="4"/>
      <c r="O937" s="4"/>
      <c r="P937" s="4"/>
      <c r="Q937" s="4"/>
      <c r="R937" s="4"/>
      <c r="S937" s="4"/>
      <c r="T937" s="4"/>
      <c r="U937" s="4"/>
      <c r="V937" s="404"/>
      <c r="W937" s="404"/>
      <c r="X937" s="4"/>
      <c r="Y937" s="4"/>
      <c r="Z937" s="4"/>
      <c r="AA937" s="4"/>
      <c r="AB937" s="4"/>
      <c r="AC937" s="4"/>
      <c r="AD937" s="4"/>
      <c r="AE937" s="4"/>
      <c r="AF937" s="4"/>
      <c r="AG937" s="4"/>
      <c r="AH937" s="4"/>
      <c r="AI937" s="17"/>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row>
    <row r="938">
      <c r="A938" s="4"/>
      <c r="B938" s="4"/>
      <c r="C938" s="4"/>
      <c r="D938" s="4"/>
      <c r="E938" s="17"/>
      <c r="F938" s="17"/>
      <c r="G938" s="17"/>
      <c r="H938" s="17"/>
      <c r="I938" s="17"/>
      <c r="J938" s="4"/>
      <c r="K938" s="17"/>
      <c r="L938" s="4"/>
      <c r="M938" s="4"/>
      <c r="N938" s="4"/>
      <c r="O938" s="4"/>
      <c r="P938" s="4"/>
      <c r="Q938" s="4"/>
      <c r="R938" s="4"/>
      <c r="S938" s="4"/>
      <c r="T938" s="4"/>
      <c r="U938" s="4"/>
      <c r="V938" s="404"/>
      <c r="W938" s="404"/>
      <c r="X938" s="4"/>
      <c r="Y938" s="4"/>
      <c r="Z938" s="4"/>
      <c r="AA938" s="4"/>
      <c r="AB938" s="4"/>
      <c r="AC938" s="4"/>
      <c r="AD938" s="4"/>
      <c r="AE938" s="4"/>
      <c r="AF938" s="4"/>
      <c r="AG938" s="4"/>
      <c r="AH938" s="4"/>
      <c r="AI938" s="17"/>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row>
    <row r="939">
      <c r="A939" s="4"/>
      <c r="B939" s="4"/>
      <c r="C939" s="4"/>
      <c r="D939" s="4"/>
      <c r="E939" s="17"/>
      <c r="F939" s="17"/>
      <c r="G939" s="17"/>
      <c r="H939" s="17"/>
      <c r="I939" s="17"/>
      <c r="J939" s="4"/>
      <c r="K939" s="17"/>
      <c r="L939" s="4"/>
      <c r="M939" s="4"/>
      <c r="N939" s="4"/>
      <c r="O939" s="4"/>
      <c r="P939" s="4"/>
      <c r="Q939" s="4"/>
      <c r="R939" s="4"/>
      <c r="S939" s="4"/>
      <c r="T939" s="4"/>
      <c r="U939" s="4"/>
      <c r="V939" s="404"/>
      <c r="W939" s="404"/>
      <c r="X939" s="4"/>
      <c r="Y939" s="4"/>
      <c r="Z939" s="4"/>
      <c r="AA939" s="4"/>
      <c r="AB939" s="4"/>
      <c r="AC939" s="4"/>
      <c r="AD939" s="4"/>
      <c r="AE939" s="4"/>
      <c r="AF939" s="4"/>
      <c r="AG939" s="4"/>
      <c r="AH939" s="4"/>
      <c r="AI939" s="17"/>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row>
    <row r="940">
      <c r="A940" s="4"/>
      <c r="B940" s="4"/>
      <c r="C940" s="4"/>
      <c r="D940" s="4"/>
      <c r="E940" s="17"/>
      <c r="F940" s="17"/>
      <c r="G940" s="17"/>
      <c r="H940" s="17"/>
      <c r="I940" s="17"/>
      <c r="J940" s="4"/>
      <c r="K940" s="17"/>
      <c r="L940" s="4"/>
      <c r="M940" s="4"/>
      <c r="N940" s="4"/>
      <c r="O940" s="4"/>
      <c r="P940" s="4"/>
      <c r="Q940" s="4"/>
      <c r="R940" s="4"/>
      <c r="S940" s="4"/>
      <c r="T940" s="4"/>
      <c r="U940" s="4"/>
      <c r="V940" s="404"/>
      <c r="W940" s="404"/>
      <c r="X940" s="4"/>
      <c r="Y940" s="4"/>
      <c r="Z940" s="4"/>
      <c r="AA940" s="4"/>
      <c r="AB940" s="4"/>
      <c r="AC940" s="4"/>
      <c r="AD940" s="4"/>
      <c r="AE940" s="4"/>
      <c r="AF940" s="4"/>
      <c r="AG940" s="4"/>
      <c r="AH940" s="4"/>
      <c r="AI940" s="17"/>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row>
    <row r="941">
      <c r="A941" s="4"/>
      <c r="B941" s="4"/>
      <c r="C941" s="4"/>
      <c r="D941" s="4"/>
      <c r="E941" s="17"/>
      <c r="F941" s="17"/>
      <c r="G941" s="17"/>
      <c r="H941" s="17"/>
      <c r="I941" s="17"/>
      <c r="J941" s="4"/>
      <c r="K941" s="17"/>
      <c r="L941" s="4"/>
      <c r="M941" s="4"/>
      <c r="N941" s="4"/>
      <c r="O941" s="4"/>
      <c r="P941" s="4"/>
      <c r="Q941" s="4"/>
      <c r="R941" s="4"/>
      <c r="S941" s="4"/>
      <c r="T941" s="4"/>
      <c r="U941" s="4"/>
      <c r="V941" s="404"/>
      <c r="W941" s="404"/>
      <c r="X941" s="4"/>
      <c r="Y941" s="4"/>
      <c r="Z941" s="4"/>
      <c r="AA941" s="4"/>
      <c r="AB941" s="4"/>
      <c r="AC941" s="4"/>
      <c r="AD941" s="4"/>
      <c r="AE941" s="4"/>
      <c r="AF941" s="4"/>
      <c r="AG941" s="4"/>
      <c r="AH941" s="4"/>
      <c r="AI941" s="17"/>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row>
    <row r="942">
      <c r="A942" s="4"/>
      <c r="B942" s="4"/>
      <c r="C942" s="4"/>
      <c r="D942" s="4"/>
      <c r="E942" s="17"/>
      <c r="F942" s="17"/>
      <c r="G942" s="17"/>
      <c r="H942" s="17"/>
      <c r="I942" s="17"/>
      <c r="J942" s="4"/>
      <c r="K942" s="17"/>
      <c r="L942" s="4"/>
      <c r="M942" s="4"/>
      <c r="N942" s="4"/>
      <c r="O942" s="4"/>
      <c r="P942" s="4"/>
      <c r="Q942" s="4"/>
      <c r="R942" s="4"/>
      <c r="S942" s="4"/>
      <c r="T942" s="4"/>
      <c r="U942" s="4"/>
      <c r="V942" s="404"/>
      <c r="W942" s="404"/>
      <c r="X942" s="4"/>
      <c r="Y942" s="4"/>
      <c r="Z942" s="4"/>
      <c r="AA942" s="4"/>
      <c r="AB942" s="4"/>
      <c r="AC942" s="4"/>
      <c r="AD942" s="4"/>
      <c r="AE942" s="4"/>
      <c r="AF942" s="4"/>
      <c r="AG942" s="4"/>
      <c r="AH942" s="4"/>
      <c r="AI942" s="17"/>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row>
    <row r="943">
      <c r="A943" s="4"/>
      <c r="B943" s="4"/>
      <c r="C943" s="4"/>
      <c r="D943" s="4"/>
      <c r="E943" s="17"/>
      <c r="F943" s="17"/>
      <c r="G943" s="17"/>
      <c r="H943" s="17"/>
      <c r="I943" s="17"/>
      <c r="J943" s="4"/>
      <c r="K943" s="17"/>
      <c r="L943" s="4"/>
      <c r="M943" s="4"/>
      <c r="N943" s="4"/>
      <c r="O943" s="4"/>
      <c r="P943" s="4"/>
      <c r="Q943" s="4"/>
      <c r="R943" s="4"/>
      <c r="S943" s="4"/>
      <c r="T943" s="4"/>
      <c r="U943" s="4"/>
      <c r="V943" s="404"/>
      <c r="W943" s="404"/>
      <c r="X943" s="4"/>
      <c r="Y943" s="4"/>
      <c r="Z943" s="4"/>
      <c r="AA943" s="4"/>
      <c r="AB943" s="4"/>
      <c r="AC943" s="4"/>
      <c r="AD943" s="4"/>
      <c r="AE943" s="4"/>
      <c r="AF943" s="4"/>
      <c r="AG943" s="4"/>
      <c r="AH943" s="4"/>
      <c r="AI943" s="17"/>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row>
    <row r="944">
      <c r="A944" s="4"/>
      <c r="B944" s="4"/>
      <c r="C944" s="4"/>
      <c r="D944" s="4"/>
      <c r="E944" s="17"/>
      <c r="F944" s="17"/>
      <c r="G944" s="17"/>
      <c r="H944" s="17"/>
      <c r="I944" s="17"/>
      <c r="J944" s="4"/>
      <c r="K944" s="17"/>
      <c r="L944" s="4"/>
      <c r="M944" s="4"/>
      <c r="N944" s="4"/>
      <c r="O944" s="4"/>
      <c r="P944" s="4"/>
      <c r="Q944" s="4"/>
      <c r="R944" s="4"/>
      <c r="S944" s="4"/>
      <c r="T944" s="4"/>
      <c r="U944" s="4"/>
      <c r="V944" s="404"/>
      <c r="W944" s="404"/>
      <c r="X944" s="4"/>
      <c r="Y944" s="4"/>
      <c r="Z944" s="4"/>
      <c r="AA944" s="4"/>
      <c r="AB944" s="4"/>
      <c r="AC944" s="4"/>
      <c r="AD944" s="4"/>
      <c r="AE944" s="4"/>
      <c r="AF944" s="4"/>
      <c r="AG944" s="4"/>
      <c r="AH944" s="4"/>
      <c r="AI944" s="17"/>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row>
    <row r="945">
      <c r="A945" s="4"/>
      <c r="B945" s="4"/>
      <c r="C945" s="4"/>
      <c r="D945" s="4"/>
      <c r="E945" s="17"/>
      <c r="F945" s="17"/>
      <c r="G945" s="17"/>
      <c r="H945" s="17"/>
      <c r="I945" s="17"/>
      <c r="J945" s="4"/>
      <c r="K945" s="17"/>
      <c r="L945" s="4"/>
      <c r="M945" s="4"/>
      <c r="N945" s="4"/>
      <c r="O945" s="4"/>
      <c r="P945" s="4"/>
      <c r="Q945" s="4"/>
      <c r="R945" s="4"/>
      <c r="S945" s="4"/>
      <c r="T945" s="4"/>
      <c r="U945" s="4"/>
      <c r="V945" s="404"/>
      <c r="W945" s="404"/>
      <c r="X945" s="4"/>
      <c r="Y945" s="4"/>
      <c r="Z945" s="4"/>
      <c r="AA945" s="4"/>
      <c r="AB945" s="4"/>
      <c r="AC945" s="4"/>
      <c r="AD945" s="4"/>
      <c r="AE945" s="4"/>
      <c r="AF945" s="4"/>
      <c r="AG945" s="4"/>
      <c r="AH945" s="4"/>
      <c r="AI945" s="17"/>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row>
    <row r="946">
      <c r="A946" s="4"/>
      <c r="B946" s="4"/>
      <c r="C946" s="4"/>
      <c r="D946" s="4"/>
      <c r="E946" s="17"/>
      <c r="F946" s="17"/>
      <c r="G946" s="17"/>
      <c r="H946" s="17"/>
      <c r="I946" s="17"/>
      <c r="J946" s="4"/>
      <c r="K946" s="17"/>
      <c r="L946" s="4"/>
      <c r="M946" s="4"/>
      <c r="N946" s="4"/>
      <c r="O946" s="4"/>
      <c r="P946" s="4"/>
      <c r="Q946" s="4"/>
      <c r="R946" s="4"/>
      <c r="S946" s="4"/>
      <c r="T946" s="4"/>
      <c r="U946" s="4"/>
      <c r="V946" s="404"/>
      <c r="W946" s="404"/>
      <c r="X946" s="4"/>
      <c r="Y946" s="4"/>
      <c r="Z946" s="4"/>
      <c r="AA946" s="4"/>
      <c r="AB946" s="4"/>
      <c r="AC946" s="4"/>
      <c r="AD946" s="4"/>
      <c r="AE946" s="4"/>
      <c r="AF946" s="4"/>
      <c r="AG946" s="4"/>
      <c r="AH946" s="4"/>
      <c r="AI946" s="17"/>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row>
    <row r="947">
      <c r="A947" s="4"/>
      <c r="B947" s="4"/>
      <c r="C947" s="4"/>
      <c r="D947" s="4"/>
      <c r="E947" s="17"/>
      <c r="F947" s="17"/>
      <c r="G947" s="17"/>
      <c r="H947" s="17"/>
      <c r="I947" s="17"/>
      <c r="J947" s="4"/>
      <c r="K947" s="17"/>
      <c r="L947" s="4"/>
      <c r="M947" s="4"/>
      <c r="N947" s="4"/>
      <c r="O947" s="4"/>
      <c r="P947" s="4"/>
      <c r="Q947" s="4"/>
      <c r="R947" s="4"/>
      <c r="S947" s="4"/>
      <c r="T947" s="4"/>
      <c r="U947" s="4"/>
      <c r="V947" s="404"/>
      <c r="W947" s="404"/>
      <c r="X947" s="4"/>
      <c r="Y947" s="4"/>
      <c r="Z947" s="4"/>
      <c r="AA947" s="4"/>
      <c r="AB947" s="4"/>
      <c r="AC947" s="4"/>
      <c r="AD947" s="4"/>
      <c r="AE947" s="4"/>
      <c r="AF947" s="4"/>
      <c r="AG947" s="4"/>
      <c r="AH947" s="4"/>
      <c r="AI947" s="17"/>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row>
    <row r="948">
      <c r="A948" s="4"/>
      <c r="B948" s="4"/>
      <c r="C948" s="4"/>
      <c r="D948" s="4"/>
      <c r="E948" s="17"/>
      <c r="F948" s="17"/>
      <c r="G948" s="17"/>
      <c r="H948" s="17"/>
      <c r="I948" s="17"/>
      <c r="J948" s="4"/>
      <c r="K948" s="17"/>
      <c r="L948" s="4"/>
      <c r="M948" s="4"/>
      <c r="N948" s="4"/>
      <c r="O948" s="4"/>
      <c r="P948" s="4"/>
      <c r="Q948" s="4"/>
      <c r="R948" s="4"/>
      <c r="S948" s="4"/>
      <c r="T948" s="4"/>
      <c r="U948" s="4"/>
      <c r="V948" s="404"/>
      <c r="W948" s="404"/>
      <c r="X948" s="4"/>
      <c r="Y948" s="4"/>
      <c r="Z948" s="4"/>
      <c r="AA948" s="4"/>
      <c r="AB948" s="4"/>
      <c r="AC948" s="4"/>
      <c r="AD948" s="4"/>
      <c r="AE948" s="4"/>
      <c r="AF948" s="4"/>
      <c r="AG948" s="4"/>
      <c r="AH948" s="4"/>
      <c r="AI948" s="17"/>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row>
    <row r="949">
      <c r="A949" s="4"/>
      <c r="B949" s="4"/>
      <c r="C949" s="4"/>
      <c r="D949" s="4"/>
      <c r="E949" s="17"/>
      <c r="F949" s="17"/>
      <c r="G949" s="17"/>
      <c r="H949" s="17"/>
      <c r="I949" s="17"/>
      <c r="J949" s="4"/>
      <c r="K949" s="17"/>
      <c r="L949" s="4"/>
      <c r="M949" s="4"/>
      <c r="N949" s="4"/>
      <c r="O949" s="4"/>
      <c r="P949" s="4"/>
      <c r="Q949" s="4"/>
      <c r="R949" s="4"/>
      <c r="S949" s="4"/>
      <c r="T949" s="4"/>
      <c r="U949" s="4"/>
      <c r="V949" s="404"/>
      <c r="W949" s="404"/>
      <c r="X949" s="4"/>
      <c r="Y949" s="4"/>
      <c r="Z949" s="4"/>
      <c r="AA949" s="4"/>
      <c r="AB949" s="4"/>
      <c r="AC949" s="4"/>
      <c r="AD949" s="4"/>
      <c r="AE949" s="4"/>
      <c r="AF949" s="4"/>
      <c r="AG949" s="4"/>
      <c r="AH949" s="4"/>
      <c r="AI949" s="17"/>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row>
    <row r="950">
      <c r="A950" s="4"/>
      <c r="B950" s="4"/>
      <c r="C950" s="4"/>
      <c r="D950" s="4"/>
      <c r="E950" s="17"/>
      <c r="F950" s="17"/>
      <c r="G950" s="17"/>
      <c r="H950" s="17"/>
      <c r="I950" s="17"/>
      <c r="J950" s="4"/>
      <c r="K950" s="17"/>
      <c r="L950" s="4"/>
      <c r="M950" s="4"/>
      <c r="N950" s="4"/>
      <c r="O950" s="4"/>
      <c r="P950" s="4"/>
      <c r="Q950" s="4"/>
      <c r="R950" s="4"/>
      <c r="S950" s="4"/>
      <c r="T950" s="4"/>
      <c r="U950" s="4"/>
      <c r="V950" s="404"/>
      <c r="W950" s="404"/>
      <c r="X950" s="4"/>
      <c r="Y950" s="4"/>
      <c r="Z950" s="4"/>
      <c r="AA950" s="4"/>
      <c r="AB950" s="4"/>
      <c r="AC950" s="4"/>
      <c r="AD950" s="4"/>
      <c r="AE950" s="4"/>
      <c r="AF950" s="4"/>
      <c r="AG950" s="4"/>
      <c r="AH950" s="4"/>
      <c r="AI950" s="17"/>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row>
    <row r="951">
      <c r="A951" s="4"/>
      <c r="B951" s="4"/>
      <c r="C951" s="4"/>
      <c r="D951" s="4"/>
      <c r="E951" s="17"/>
      <c r="F951" s="17"/>
      <c r="G951" s="17"/>
      <c r="H951" s="17"/>
      <c r="I951" s="17"/>
      <c r="J951" s="4"/>
      <c r="K951" s="17"/>
      <c r="L951" s="4"/>
      <c r="M951" s="4"/>
      <c r="N951" s="4"/>
      <c r="O951" s="4"/>
      <c r="P951" s="4"/>
      <c r="Q951" s="4"/>
      <c r="R951" s="4"/>
      <c r="S951" s="4"/>
      <c r="T951" s="4"/>
      <c r="U951" s="4"/>
      <c r="V951" s="404"/>
      <c r="W951" s="404"/>
      <c r="X951" s="4"/>
      <c r="Y951" s="4"/>
      <c r="Z951" s="4"/>
      <c r="AA951" s="4"/>
      <c r="AB951" s="4"/>
      <c r="AC951" s="4"/>
      <c r="AD951" s="4"/>
      <c r="AE951" s="4"/>
      <c r="AF951" s="4"/>
      <c r="AG951" s="4"/>
      <c r="AH951" s="4"/>
      <c r="AI951" s="17"/>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row>
    <row r="952">
      <c r="A952" s="4"/>
      <c r="B952" s="4"/>
      <c r="C952" s="4"/>
      <c r="D952" s="4"/>
      <c r="E952" s="17"/>
      <c r="F952" s="17"/>
      <c r="G952" s="17"/>
      <c r="H952" s="17"/>
      <c r="I952" s="17"/>
      <c r="J952" s="4"/>
      <c r="K952" s="17"/>
      <c r="L952" s="4"/>
      <c r="M952" s="4"/>
      <c r="N952" s="4"/>
      <c r="O952" s="4"/>
      <c r="P952" s="4"/>
      <c r="Q952" s="4"/>
      <c r="R952" s="4"/>
      <c r="S952" s="4"/>
      <c r="T952" s="4"/>
      <c r="U952" s="4"/>
      <c r="V952" s="404"/>
      <c r="W952" s="404"/>
      <c r="X952" s="4"/>
      <c r="Y952" s="4"/>
      <c r="Z952" s="4"/>
      <c r="AA952" s="4"/>
      <c r="AB952" s="4"/>
      <c r="AC952" s="4"/>
      <c r="AD952" s="4"/>
      <c r="AE952" s="4"/>
      <c r="AF952" s="4"/>
      <c r="AG952" s="4"/>
      <c r="AH952" s="4"/>
      <c r="AI952" s="17"/>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row>
    <row r="953">
      <c r="A953" s="4"/>
      <c r="B953" s="4"/>
      <c r="C953" s="4"/>
      <c r="D953" s="4"/>
      <c r="E953" s="17"/>
      <c r="F953" s="17"/>
      <c r="G953" s="17"/>
      <c r="H953" s="17"/>
      <c r="I953" s="17"/>
      <c r="J953" s="4"/>
      <c r="K953" s="17"/>
      <c r="L953" s="4"/>
      <c r="M953" s="4"/>
      <c r="N953" s="4"/>
      <c r="O953" s="4"/>
      <c r="P953" s="4"/>
      <c r="Q953" s="4"/>
      <c r="R953" s="4"/>
      <c r="S953" s="4"/>
      <c r="T953" s="4"/>
      <c r="U953" s="4"/>
      <c r="V953" s="404"/>
      <c r="W953" s="404"/>
      <c r="X953" s="4"/>
      <c r="Y953" s="4"/>
      <c r="Z953" s="4"/>
      <c r="AA953" s="4"/>
      <c r="AB953" s="4"/>
      <c r="AC953" s="4"/>
      <c r="AD953" s="4"/>
      <c r="AE953" s="4"/>
      <c r="AF953" s="4"/>
      <c r="AG953" s="4"/>
      <c r="AH953" s="4"/>
      <c r="AI953" s="17"/>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row>
    <row r="954">
      <c r="A954" s="4"/>
      <c r="B954" s="4"/>
      <c r="C954" s="4"/>
      <c r="D954" s="4"/>
      <c r="E954" s="17"/>
      <c r="F954" s="17"/>
      <c r="G954" s="17"/>
      <c r="H954" s="17"/>
      <c r="I954" s="17"/>
      <c r="J954" s="4"/>
      <c r="K954" s="17"/>
      <c r="L954" s="4"/>
      <c r="M954" s="4"/>
      <c r="N954" s="4"/>
      <c r="O954" s="4"/>
      <c r="P954" s="4"/>
      <c r="Q954" s="4"/>
      <c r="R954" s="4"/>
      <c r="S954" s="4"/>
      <c r="T954" s="4"/>
      <c r="U954" s="4"/>
      <c r="V954" s="404"/>
      <c r="W954" s="404"/>
      <c r="X954" s="4"/>
      <c r="Y954" s="4"/>
      <c r="Z954" s="4"/>
      <c r="AA954" s="4"/>
      <c r="AB954" s="4"/>
      <c r="AC954" s="4"/>
      <c r="AD954" s="4"/>
      <c r="AE954" s="4"/>
      <c r="AF954" s="4"/>
      <c r="AG954" s="4"/>
      <c r="AH954" s="4"/>
      <c r="AI954" s="17"/>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row>
    <row r="955">
      <c r="A955" s="4"/>
      <c r="B955" s="4"/>
      <c r="C955" s="4"/>
      <c r="D955" s="4"/>
      <c r="E955" s="17"/>
      <c r="F955" s="17"/>
      <c r="G955" s="17"/>
      <c r="H955" s="17"/>
      <c r="I955" s="17"/>
      <c r="J955" s="4"/>
      <c r="K955" s="17"/>
      <c r="L955" s="4"/>
      <c r="M955" s="4"/>
      <c r="N955" s="4"/>
      <c r="O955" s="4"/>
      <c r="P955" s="4"/>
      <c r="Q955" s="4"/>
      <c r="R955" s="4"/>
      <c r="S955" s="4"/>
      <c r="T955" s="4"/>
      <c r="U955" s="4"/>
      <c r="V955" s="404"/>
      <c r="W955" s="404"/>
      <c r="X955" s="4"/>
      <c r="Y955" s="4"/>
      <c r="Z955" s="4"/>
      <c r="AA955" s="4"/>
      <c r="AB955" s="4"/>
      <c r="AC955" s="4"/>
      <c r="AD955" s="4"/>
      <c r="AE955" s="4"/>
      <c r="AF955" s="4"/>
      <c r="AG955" s="4"/>
      <c r="AH955" s="4"/>
      <c r="AI955" s="17"/>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row>
    <row r="956">
      <c r="A956" s="4"/>
      <c r="B956" s="4"/>
      <c r="C956" s="4"/>
      <c r="D956" s="4"/>
      <c r="E956" s="17"/>
      <c r="F956" s="17"/>
      <c r="G956" s="17"/>
      <c r="H956" s="17"/>
      <c r="I956" s="17"/>
      <c r="J956" s="4"/>
      <c r="K956" s="17"/>
      <c r="L956" s="4"/>
      <c r="M956" s="4"/>
      <c r="N956" s="4"/>
      <c r="O956" s="4"/>
      <c r="P956" s="4"/>
      <c r="Q956" s="4"/>
      <c r="R956" s="4"/>
      <c r="S956" s="4"/>
      <c r="T956" s="4"/>
      <c r="U956" s="4"/>
      <c r="V956" s="404"/>
      <c r="W956" s="404"/>
      <c r="X956" s="4"/>
      <c r="Y956" s="4"/>
      <c r="Z956" s="4"/>
      <c r="AA956" s="4"/>
      <c r="AB956" s="4"/>
      <c r="AC956" s="4"/>
      <c r="AD956" s="4"/>
      <c r="AE956" s="4"/>
      <c r="AF956" s="4"/>
      <c r="AG956" s="4"/>
      <c r="AH956" s="4"/>
      <c r="AI956" s="17"/>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row>
    <row r="957">
      <c r="A957" s="4"/>
      <c r="B957" s="4"/>
      <c r="C957" s="4"/>
      <c r="D957" s="4"/>
      <c r="E957" s="17"/>
      <c r="F957" s="17"/>
      <c r="G957" s="17"/>
      <c r="H957" s="17"/>
      <c r="I957" s="17"/>
      <c r="J957" s="4"/>
      <c r="K957" s="17"/>
      <c r="L957" s="4"/>
      <c r="M957" s="4"/>
      <c r="N957" s="4"/>
      <c r="O957" s="4"/>
      <c r="P957" s="4"/>
      <c r="Q957" s="4"/>
      <c r="R957" s="4"/>
      <c r="S957" s="4"/>
      <c r="T957" s="4"/>
      <c r="U957" s="4"/>
      <c r="V957" s="404"/>
      <c r="W957" s="404"/>
      <c r="X957" s="4"/>
      <c r="Y957" s="4"/>
      <c r="Z957" s="4"/>
      <c r="AA957" s="4"/>
      <c r="AB957" s="4"/>
      <c r="AC957" s="4"/>
      <c r="AD957" s="4"/>
      <c r="AE957" s="4"/>
      <c r="AF957" s="4"/>
      <c r="AG957" s="4"/>
      <c r="AH957" s="4"/>
      <c r="AI957" s="17"/>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row>
    <row r="958">
      <c r="A958" s="4"/>
      <c r="B958" s="4"/>
      <c r="C958" s="4"/>
      <c r="D958" s="4"/>
      <c r="E958" s="17"/>
      <c r="F958" s="17"/>
      <c r="G958" s="17"/>
      <c r="H958" s="17"/>
      <c r="I958" s="17"/>
      <c r="J958" s="4"/>
      <c r="K958" s="17"/>
      <c r="L958" s="4"/>
      <c r="M958" s="4"/>
      <c r="N958" s="4"/>
      <c r="O958" s="4"/>
      <c r="P958" s="4"/>
      <c r="Q958" s="4"/>
      <c r="R958" s="4"/>
      <c r="S958" s="4"/>
      <c r="T958" s="4"/>
      <c r="U958" s="4"/>
      <c r="V958" s="404"/>
      <c r="W958" s="404"/>
      <c r="X958" s="4"/>
      <c r="Y958" s="4"/>
      <c r="Z958" s="4"/>
      <c r="AA958" s="4"/>
      <c r="AB958" s="4"/>
      <c r="AC958" s="4"/>
      <c r="AD958" s="4"/>
      <c r="AE958" s="4"/>
      <c r="AF958" s="4"/>
      <c r="AG958" s="4"/>
      <c r="AH958" s="4"/>
      <c r="AI958" s="17"/>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row>
    <row r="959">
      <c r="A959" s="4"/>
      <c r="B959" s="4"/>
      <c r="C959" s="4"/>
      <c r="D959" s="4"/>
      <c r="E959" s="17"/>
      <c r="F959" s="17"/>
      <c r="G959" s="17"/>
      <c r="H959" s="17"/>
      <c r="I959" s="17"/>
      <c r="J959" s="4"/>
      <c r="K959" s="17"/>
      <c r="L959" s="4"/>
      <c r="M959" s="4"/>
      <c r="N959" s="4"/>
      <c r="O959" s="4"/>
      <c r="P959" s="4"/>
      <c r="Q959" s="4"/>
      <c r="R959" s="4"/>
      <c r="S959" s="4"/>
      <c r="T959" s="4"/>
      <c r="U959" s="4"/>
      <c r="V959" s="404"/>
      <c r="W959" s="404"/>
      <c r="X959" s="4"/>
      <c r="Y959" s="4"/>
      <c r="Z959" s="4"/>
      <c r="AA959" s="4"/>
      <c r="AB959" s="4"/>
      <c r="AC959" s="4"/>
      <c r="AD959" s="4"/>
      <c r="AE959" s="4"/>
      <c r="AF959" s="4"/>
      <c r="AG959" s="4"/>
      <c r="AH959" s="4"/>
      <c r="AI959" s="17"/>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row>
    <row r="960">
      <c r="A960" s="4"/>
      <c r="B960" s="4"/>
      <c r="C960" s="4"/>
      <c r="D960" s="4"/>
      <c r="E960" s="17"/>
      <c r="F960" s="17"/>
      <c r="G960" s="17"/>
      <c r="H960" s="17"/>
      <c r="I960" s="17"/>
      <c r="J960" s="4"/>
      <c r="K960" s="17"/>
      <c r="L960" s="4"/>
      <c r="M960" s="4"/>
      <c r="N960" s="4"/>
      <c r="O960" s="4"/>
      <c r="P960" s="4"/>
      <c r="Q960" s="4"/>
      <c r="R960" s="4"/>
      <c r="S960" s="4"/>
      <c r="T960" s="4"/>
      <c r="U960" s="4"/>
      <c r="V960" s="404"/>
      <c r="W960" s="404"/>
      <c r="X960" s="4"/>
      <c r="Y960" s="4"/>
      <c r="Z960" s="4"/>
      <c r="AA960" s="4"/>
      <c r="AB960" s="4"/>
      <c r="AC960" s="4"/>
      <c r="AD960" s="4"/>
      <c r="AE960" s="4"/>
      <c r="AF960" s="4"/>
      <c r="AG960" s="4"/>
      <c r="AH960" s="4"/>
      <c r="AI960" s="17"/>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row>
    <row r="961">
      <c r="A961" s="4"/>
      <c r="B961" s="4"/>
      <c r="C961" s="4"/>
      <c r="D961" s="4"/>
      <c r="E961" s="17"/>
      <c r="F961" s="17"/>
      <c r="G961" s="17"/>
      <c r="H961" s="17"/>
      <c r="I961" s="17"/>
      <c r="J961" s="4"/>
      <c r="K961" s="17"/>
      <c r="L961" s="4"/>
      <c r="M961" s="4"/>
      <c r="N961" s="4"/>
      <c r="O961" s="4"/>
      <c r="P961" s="4"/>
      <c r="Q961" s="4"/>
      <c r="R961" s="4"/>
      <c r="S961" s="4"/>
      <c r="T961" s="4"/>
      <c r="U961" s="4"/>
      <c r="V961" s="404"/>
      <c r="W961" s="404"/>
      <c r="X961" s="4"/>
      <c r="Y961" s="4"/>
      <c r="Z961" s="4"/>
      <c r="AA961" s="4"/>
      <c r="AB961" s="4"/>
      <c r="AC961" s="4"/>
      <c r="AD961" s="4"/>
      <c r="AE961" s="4"/>
      <c r="AF961" s="4"/>
      <c r="AG961" s="4"/>
      <c r="AH961" s="4"/>
      <c r="AI961" s="17"/>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row>
    <row r="962">
      <c r="A962" s="4"/>
      <c r="B962" s="4"/>
      <c r="C962" s="4"/>
      <c r="D962" s="4"/>
      <c r="E962" s="17"/>
      <c r="F962" s="17"/>
      <c r="G962" s="17"/>
      <c r="H962" s="17"/>
      <c r="I962" s="17"/>
      <c r="J962" s="4"/>
      <c r="K962" s="17"/>
      <c r="L962" s="4"/>
      <c r="M962" s="4"/>
      <c r="N962" s="4"/>
      <c r="O962" s="4"/>
      <c r="P962" s="4"/>
      <c r="Q962" s="4"/>
      <c r="R962" s="4"/>
      <c r="S962" s="4"/>
      <c r="T962" s="4"/>
      <c r="U962" s="4"/>
      <c r="V962" s="404"/>
      <c r="W962" s="404"/>
      <c r="X962" s="4"/>
      <c r="Y962" s="4"/>
      <c r="Z962" s="4"/>
      <c r="AA962" s="4"/>
      <c r="AB962" s="4"/>
      <c r="AC962" s="4"/>
      <c r="AD962" s="4"/>
      <c r="AE962" s="4"/>
      <c r="AF962" s="4"/>
      <c r="AG962" s="4"/>
      <c r="AH962" s="4"/>
      <c r="AI962" s="17"/>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row>
    <row r="963">
      <c r="A963" s="4"/>
      <c r="B963" s="4"/>
      <c r="C963" s="4"/>
      <c r="D963" s="4"/>
      <c r="E963" s="17"/>
      <c r="F963" s="17"/>
      <c r="G963" s="17"/>
      <c r="H963" s="17"/>
      <c r="I963" s="17"/>
      <c r="J963" s="4"/>
      <c r="K963" s="17"/>
      <c r="L963" s="4"/>
      <c r="M963" s="4"/>
      <c r="N963" s="4"/>
      <c r="O963" s="4"/>
      <c r="P963" s="4"/>
      <c r="Q963" s="4"/>
      <c r="R963" s="4"/>
      <c r="S963" s="4"/>
      <c r="T963" s="4"/>
      <c r="U963" s="4"/>
      <c r="V963" s="404"/>
      <c r="W963" s="404"/>
      <c r="X963" s="4"/>
      <c r="Y963" s="4"/>
      <c r="Z963" s="4"/>
      <c r="AA963" s="4"/>
      <c r="AB963" s="4"/>
      <c r="AC963" s="4"/>
      <c r="AD963" s="4"/>
      <c r="AE963" s="4"/>
      <c r="AF963" s="4"/>
      <c r="AG963" s="4"/>
      <c r="AH963" s="4"/>
      <c r="AI963" s="17"/>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row>
    <row r="964">
      <c r="A964" s="4"/>
      <c r="B964" s="4"/>
      <c r="C964" s="4"/>
      <c r="D964" s="4"/>
      <c r="E964" s="17"/>
      <c r="F964" s="17"/>
      <c r="G964" s="17"/>
      <c r="H964" s="17"/>
      <c r="I964" s="17"/>
      <c r="J964" s="4"/>
      <c r="K964" s="17"/>
      <c r="L964" s="4"/>
      <c r="M964" s="4"/>
      <c r="N964" s="4"/>
      <c r="O964" s="4"/>
      <c r="P964" s="4"/>
      <c r="Q964" s="4"/>
      <c r="R964" s="4"/>
      <c r="S964" s="4"/>
      <c r="T964" s="4"/>
      <c r="U964" s="4"/>
      <c r="V964" s="404"/>
      <c r="W964" s="404"/>
      <c r="X964" s="4"/>
      <c r="Y964" s="4"/>
      <c r="Z964" s="4"/>
      <c r="AA964" s="4"/>
      <c r="AB964" s="4"/>
      <c r="AC964" s="4"/>
      <c r="AD964" s="4"/>
      <c r="AE964" s="4"/>
      <c r="AF964" s="4"/>
      <c r="AG964" s="4"/>
      <c r="AH964" s="4"/>
      <c r="AI964" s="17"/>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row>
    <row r="965">
      <c r="A965" s="4"/>
      <c r="B965" s="4"/>
      <c r="C965" s="4"/>
      <c r="D965" s="4"/>
      <c r="E965" s="17"/>
      <c r="F965" s="17"/>
      <c r="G965" s="17"/>
      <c r="H965" s="17"/>
      <c r="I965" s="17"/>
      <c r="J965" s="4"/>
      <c r="K965" s="17"/>
      <c r="L965" s="4"/>
      <c r="M965" s="4"/>
      <c r="N965" s="4"/>
      <c r="O965" s="4"/>
      <c r="P965" s="4"/>
      <c r="Q965" s="4"/>
      <c r="R965" s="4"/>
      <c r="S965" s="4"/>
      <c r="T965" s="4"/>
      <c r="U965" s="4"/>
      <c r="V965" s="404"/>
      <c r="W965" s="404"/>
      <c r="X965" s="4"/>
      <c r="Y965" s="4"/>
      <c r="Z965" s="4"/>
      <c r="AA965" s="4"/>
      <c r="AB965" s="4"/>
      <c r="AC965" s="4"/>
      <c r="AD965" s="4"/>
      <c r="AE965" s="4"/>
      <c r="AF965" s="4"/>
      <c r="AG965" s="4"/>
      <c r="AH965" s="4"/>
      <c r="AI965" s="17"/>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row>
    <row r="966">
      <c r="A966" s="4"/>
      <c r="B966" s="4"/>
      <c r="C966" s="4"/>
      <c r="D966" s="4"/>
      <c r="E966" s="17"/>
      <c r="F966" s="17"/>
      <c r="G966" s="17"/>
      <c r="H966" s="17"/>
      <c r="I966" s="17"/>
      <c r="J966" s="4"/>
      <c r="K966" s="17"/>
      <c r="L966" s="4"/>
      <c r="M966" s="4"/>
      <c r="N966" s="4"/>
      <c r="O966" s="4"/>
      <c r="P966" s="4"/>
      <c r="Q966" s="4"/>
      <c r="R966" s="4"/>
      <c r="S966" s="4"/>
      <c r="T966" s="4"/>
      <c r="U966" s="4"/>
      <c r="V966" s="404"/>
      <c r="W966" s="404"/>
      <c r="X966" s="4"/>
      <c r="Y966" s="4"/>
      <c r="Z966" s="4"/>
      <c r="AA966" s="4"/>
      <c r="AB966" s="4"/>
      <c r="AC966" s="4"/>
      <c r="AD966" s="4"/>
      <c r="AE966" s="4"/>
      <c r="AF966" s="4"/>
      <c r="AG966" s="4"/>
      <c r="AH966" s="4"/>
      <c r="AI966" s="17"/>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row>
    <row r="967">
      <c r="A967" s="4"/>
      <c r="B967" s="4"/>
      <c r="C967" s="4"/>
      <c r="D967" s="4"/>
      <c r="E967" s="17"/>
      <c r="F967" s="17"/>
      <c r="G967" s="17"/>
      <c r="H967" s="17"/>
      <c r="I967" s="17"/>
      <c r="J967" s="4"/>
      <c r="K967" s="17"/>
      <c r="L967" s="4"/>
      <c r="M967" s="4"/>
      <c r="N967" s="4"/>
      <c r="O967" s="4"/>
      <c r="P967" s="4"/>
      <c r="Q967" s="4"/>
      <c r="R967" s="4"/>
      <c r="S967" s="4"/>
      <c r="T967" s="4"/>
      <c r="U967" s="4"/>
      <c r="V967" s="404"/>
      <c r="W967" s="404"/>
      <c r="X967" s="4"/>
      <c r="Y967" s="4"/>
      <c r="Z967" s="4"/>
      <c r="AA967" s="4"/>
      <c r="AB967" s="4"/>
      <c r="AC967" s="4"/>
      <c r="AD967" s="4"/>
      <c r="AE967" s="4"/>
      <c r="AF967" s="4"/>
      <c r="AG967" s="4"/>
      <c r="AH967" s="4"/>
      <c r="AI967" s="17"/>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row>
    <row r="968">
      <c r="A968" s="4"/>
      <c r="B968" s="4"/>
      <c r="C968" s="4"/>
      <c r="D968" s="4"/>
      <c r="E968" s="17"/>
      <c r="F968" s="17"/>
      <c r="G968" s="17"/>
      <c r="H968" s="17"/>
      <c r="I968" s="17"/>
      <c r="J968" s="4"/>
      <c r="K968" s="17"/>
      <c r="L968" s="4"/>
      <c r="M968" s="4"/>
      <c r="N968" s="4"/>
      <c r="O968" s="4"/>
      <c r="P968" s="4"/>
      <c r="Q968" s="4"/>
      <c r="R968" s="4"/>
      <c r="S968" s="4"/>
      <c r="T968" s="4"/>
      <c r="U968" s="4"/>
      <c r="V968" s="404"/>
      <c r="W968" s="404"/>
      <c r="X968" s="4"/>
      <c r="Y968" s="4"/>
      <c r="Z968" s="4"/>
      <c r="AA968" s="4"/>
      <c r="AB968" s="4"/>
      <c r="AC968" s="4"/>
      <c r="AD968" s="4"/>
      <c r="AE968" s="4"/>
      <c r="AF968" s="4"/>
      <c r="AG968" s="4"/>
      <c r="AH968" s="4"/>
      <c r="AI968" s="17"/>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row>
    <row r="969">
      <c r="A969" s="4"/>
      <c r="B969" s="4"/>
      <c r="C969" s="4"/>
      <c r="D969" s="4"/>
      <c r="E969" s="17"/>
      <c r="F969" s="17"/>
      <c r="G969" s="17"/>
      <c r="H969" s="17"/>
      <c r="I969" s="17"/>
      <c r="J969" s="4"/>
      <c r="K969" s="17"/>
      <c r="L969" s="4"/>
      <c r="M969" s="4"/>
      <c r="N969" s="4"/>
      <c r="O969" s="4"/>
      <c r="P969" s="4"/>
      <c r="Q969" s="4"/>
      <c r="R969" s="4"/>
      <c r="S969" s="4"/>
      <c r="T969" s="4"/>
      <c r="U969" s="4"/>
      <c r="V969" s="404"/>
      <c r="W969" s="404"/>
      <c r="X969" s="4"/>
      <c r="Y969" s="4"/>
      <c r="Z969" s="4"/>
      <c r="AA969" s="4"/>
      <c r="AB969" s="4"/>
      <c r="AC969" s="4"/>
      <c r="AD969" s="4"/>
      <c r="AE969" s="4"/>
      <c r="AF969" s="4"/>
      <c r="AG969" s="4"/>
      <c r="AH969" s="4"/>
      <c r="AI969" s="17"/>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row>
    <row r="970">
      <c r="A970" s="4"/>
      <c r="B970" s="4"/>
      <c r="C970" s="4"/>
      <c r="D970" s="4"/>
      <c r="E970" s="17"/>
      <c r="F970" s="17"/>
      <c r="G970" s="17"/>
      <c r="H970" s="17"/>
      <c r="I970" s="17"/>
      <c r="J970" s="4"/>
      <c r="K970" s="17"/>
      <c r="L970" s="4"/>
      <c r="M970" s="4"/>
      <c r="N970" s="4"/>
      <c r="O970" s="4"/>
      <c r="P970" s="4"/>
      <c r="Q970" s="4"/>
      <c r="R970" s="4"/>
      <c r="S970" s="4"/>
      <c r="T970" s="4"/>
      <c r="U970" s="4"/>
      <c r="V970" s="404"/>
      <c r="W970" s="404"/>
      <c r="X970" s="4"/>
      <c r="Y970" s="4"/>
      <c r="Z970" s="4"/>
      <c r="AA970" s="4"/>
      <c r="AB970" s="4"/>
      <c r="AC970" s="4"/>
      <c r="AD970" s="4"/>
      <c r="AE970" s="4"/>
      <c r="AF970" s="4"/>
      <c r="AG970" s="4"/>
      <c r="AH970" s="4"/>
      <c r="AI970" s="17"/>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row>
    <row r="971">
      <c r="A971" s="4"/>
      <c r="B971" s="4"/>
      <c r="C971" s="4"/>
      <c r="D971" s="4"/>
      <c r="E971" s="17"/>
      <c r="F971" s="17"/>
      <c r="G971" s="17"/>
      <c r="H971" s="17"/>
      <c r="I971" s="17"/>
      <c r="J971" s="4"/>
      <c r="K971" s="17"/>
      <c r="L971" s="4"/>
      <c r="M971" s="4"/>
      <c r="N971" s="4"/>
      <c r="O971" s="4"/>
      <c r="P971" s="4"/>
      <c r="Q971" s="4"/>
      <c r="R971" s="4"/>
      <c r="S971" s="4"/>
      <c r="T971" s="4"/>
      <c r="U971" s="4"/>
      <c r="V971" s="404"/>
      <c r="W971" s="404"/>
      <c r="X971" s="4"/>
      <c r="Y971" s="4"/>
      <c r="Z971" s="4"/>
      <c r="AA971" s="4"/>
      <c r="AB971" s="4"/>
      <c r="AC971" s="4"/>
      <c r="AD971" s="4"/>
      <c r="AE971" s="4"/>
      <c r="AF971" s="4"/>
      <c r="AG971" s="4"/>
      <c r="AH971" s="4"/>
      <c r="AI971" s="17"/>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row>
    <row r="972">
      <c r="A972" s="4"/>
      <c r="B972" s="4"/>
      <c r="C972" s="4"/>
      <c r="D972" s="4"/>
      <c r="E972" s="17"/>
      <c r="F972" s="17"/>
      <c r="G972" s="17"/>
      <c r="H972" s="17"/>
      <c r="I972" s="17"/>
      <c r="J972" s="4"/>
      <c r="K972" s="17"/>
      <c r="L972" s="4"/>
      <c r="M972" s="4"/>
      <c r="N972" s="4"/>
      <c r="O972" s="4"/>
      <c r="P972" s="4"/>
      <c r="Q972" s="4"/>
      <c r="R972" s="4"/>
      <c r="S972" s="4"/>
      <c r="T972" s="4"/>
      <c r="U972" s="4"/>
      <c r="V972" s="404"/>
      <c r="W972" s="404"/>
      <c r="X972" s="4"/>
      <c r="Y972" s="4"/>
      <c r="Z972" s="4"/>
      <c r="AA972" s="4"/>
      <c r="AB972" s="4"/>
      <c r="AC972" s="4"/>
      <c r="AD972" s="4"/>
      <c r="AE972" s="4"/>
      <c r="AF972" s="4"/>
      <c r="AG972" s="4"/>
      <c r="AH972" s="4"/>
      <c r="AI972" s="17"/>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row>
    <row r="973">
      <c r="A973" s="4"/>
      <c r="B973" s="4"/>
      <c r="C973" s="4"/>
      <c r="D973" s="4"/>
      <c r="E973" s="17"/>
      <c r="F973" s="17"/>
      <c r="G973" s="17"/>
      <c r="H973" s="17"/>
      <c r="I973" s="17"/>
      <c r="J973" s="4"/>
      <c r="K973" s="17"/>
      <c r="L973" s="4"/>
      <c r="M973" s="4"/>
      <c r="N973" s="4"/>
      <c r="O973" s="4"/>
      <c r="P973" s="4"/>
      <c r="Q973" s="4"/>
      <c r="R973" s="4"/>
      <c r="S973" s="4"/>
      <c r="T973" s="4"/>
      <c r="U973" s="4"/>
      <c r="V973" s="404"/>
      <c r="W973" s="404"/>
      <c r="X973" s="4"/>
      <c r="Y973" s="4"/>
      <c r="Z973" s="4"/>
      <c r="AA973" s="4"/>
      <c r="AB973" s="4"/>
      <c r="AC973" s="4"/>
      <c r="AD973" s="4"/>
      <c r="AE973" s="4"/>
      <c r="AF973" s="4"/>
      <c r="AG973" s="4"/>
      <c r="AH973" s="4"/>
      <c r="AI973" s="17"/>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row>
    <row r="974">
      <c r="A974" s="4"/>
      <c r="B974" s="4"/>
      <c r="C974" s="4"/>
      <c r="D974" s="4"/>
      <c r="E974" s="17"/>
      <c r="F974" s="17"/>
      <c r="G974" s="17"/>
      <c r="H974" s="17"/>
      <c r="I974" s="17"/>
      <c r="J974" s="4"/>
      <c r="K974" s="17"/>
      <c r="L974" s="4"/>
      <c r="M974" s="4"/>
      <c r="N974" s="4"/>
      <c r="O974" s="4"/>
      <c r="P974" s="4"/>
      <c r="Q974" s="4"/>
      <c r="R974" s="4"/>
      <c r="S974" s="4"/>
      <c r="T974" s="4"/>
      <c r="U974" s="4"/>
      <c r="V974" s="404"/>
      <c r="W974" s="404"/>
      <c r="X974" s="4"/>
      <c r="Y974" s="4"/>
      <c r="Z974" s="4"/>
      <c r="AA974" s="4"/>
      <c r="AB974" s="4"/>
      <c r="AC974" s="4"/>
      <c r="AD974" s="4"/>
      <c r="AE974" s="4"/>
      <c r="AF974" s="4"/>
      <c r="AG974" s="4"/>
      <c r="AH974" s="4"/>
      <c r="AI974" s="17"/>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row>
    <row r="975">
      <c r="A975" s="4"/>
      <c r="B975" s="4"/>
      <c r="C975" s="4"/>
      <c r="D975" s="4"/>
      <c r="E975" s="17"/>
      <c r="F975" s="17"/>
      <c r="G975" s="17"/>
      <c r="H975" s="17"/>
      <c r="I975" s="17"/>
      <c r="J975" s="4"/>
      <c r="K975" s="17"/>
      <c r="L975" s="4"/>
      <c r="M975" s="4"/>
      <c r="N975" s="4"/>
      <c r="O975" s="4"/>
      <c r="P975" s="4"/>
      <c r="Q975" s="4"/>
      <c r="R975" s="4"/>
      <c r="S975" s="4"/>
      <c r="T975" s="4"/>
      <c r="U975" s="4"/>
      <c r="V975" s="404"/>
      <c r="W975" s="404"/>
      <c r="X975" s="4"/>
      <c r="Y975" s="4"/>
      <c r="Z975" s="4"/>
      <c r="AA975" s="4"/>
      <c r="AB975" s="4"/>
      <c r="AC975" s="4"/>
      <c r="AD975" s="4"/>
      <c r="AE975" s="4"/>
      <c r="AF975" s="4"/>
      <c r="AG975" s="4"/>
      <c r="AH975" s="4"/>
      <c r="AI975" s="17"/>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row>
    <row r="976">
      <c r="A976" s="4"/>
      <c r="B976" s="4"/>
      <c r="C976" s="4"/>
      <c r="D976" s="4"/>
      <c r="E976" s="17"/>
      <c r="F976" s="17"/>
      <c r="G976" s="17"/>
      <c r="H976" s="17"/>
      <c r="I976" s="17"/>
      <c r="J976" s="4"/>
      <c r="K976" s="17"/>
      <c r="L976" s="4"/>
      <c r="M976" s="4"/>
      <c r="N976" s="4"/>
      <c r="O976" s="4"/>
      <c r="P976" s="4"/>
      <c r="Q976" s="4"/>
      <c r="R976" s="4"/>
      <c r="S976" s="4"/>
      <c r="T976" s="4"/>
      <c r="U976" s="4"/>
      <c r="V976" s="404"/>
      <c r="W976" s="404"/>
      <c r="X976" s="4"/>
      <c r="Y976" s="4"/>
      <c r="Z976" s="4"/>
      <c r="AA976" s="4"/>
      <c r="AB976" s="4"/>
      <c r="AC976" s="4"/>
      <c r="AD976" s="4"/>
      <c r="AE976" s="4"/>
      <c r="AF976" s="4"/>
      <c r="AG976" s="4"/>
      <c r="AH976" s="4"/>
      <c r="AI976" s="17"/>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row>
    <row r="977">
      <c r="A977" s="4"/>
      <c r="B977" s="4"/>
      <c r="C977" s="4"/>
      <c r="D977" s="4"/>
      <c r="E977" s="17"/>
      <c r="F977" s="17"/>
      <c r="G977" s="17"/>
      <c r="H977" s="17"/>
      <c r="I977" s="17"/>
      <c r="J977" s="4"/>
      <c r="K977" s="17"/>
      <c r="L977" s="4"/>
      <c r="M977" s="4"/>
      <c r="N977" s="4"/>
      <c r="O977" s="4"/>
      <c r="P977" s="4"/>
      <c r="Q977" s="4"/>
      <c r="R977" s="4"/>
      <c r="S977" s="4"/>
      <c r="T977" s="4"/>
      <c r="U977" s="4"/>
      <c r="V977" s="404"/>
      <c r="W977" s="404"/>
      <c r="X977" s="4"/>
      <c r="Y977" s="4"/>
      <c r="Z977" s="4"/>
      <c r="AA977" s="4"/>
      <c r="AB977" s="4"/>
      <c r="AC977" s="4"/>
      <c r="AD977" s="4"/>
      <c r="AE977" s="4"/>
      <c r="AF977" s="4"/>
      <c r="AG977" s="4"/>
      <c r="AH977" s="4"/>
      <c r="AI977" s="17"/>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row>
    <row r="978">
      <c r="A978" s="4"/>
      <c r="B978" s="4"/>
      <c r="C978" s="4"/>
      <c r="D978" s="4"/>
      <c r="E978" s="17"/>
      <c r="F978" s="17"/>
      <c r="G978" s="17"/>
      <c r="H978" s="17"/>
      <c r="I978" s="17"/>
      <c r="J978" s="4"/>
      <c r="K978" s="17"/>
      <c r="L978" s="4"/>
      <c r="M978" s="4"/>
      <c r="N978" s="4"/>
      <c r="O978" s="4"/>
      <c r="P978" s="4"/>
      <c r="Q978" s="4"/>
      <c r="R978" s="4"/>
      <c r="S978" s="4"/>
      <c r="T978" s="4"/>
      <c r="U978" s="4"/>
      <c r="V978" s="404"/>
      <c r="W978" s="404"/>
      <c r="X978" s="4"/>
      <c r="Y978" s="4"/>
      <c r="Z978" s="4"/>
      <c r="AA978" s="4"/>
      <c r="AB978" s="4"/>
      <c r="AC978" s="4"/>
      <c r="AD978" s="4"/>
      <c r="AE978" s="4"/>
      <c r="AF978" s="4"/>
      <c r="AG978" s="4"/>
      <c r="AH978" s="4"/>
      <c r="AI978" s="17"/>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row>
    <row r="979">
      <c r="A979" s="4"/>
      <c r="B979" s="4"/>
      <c r="C979" s="4"/>
      <c r="D979" s="4"/>
      <c r="E979" s="17"/>
      <c r="F979" s="17"/>
      <c r="G979" s="17"/>
      <c r="H979" s="17"/>
      <c r="I979" s="17"/>
      <c r="J979" s="4"/>
      <c r="K979" s="17"/>
      <c r="L979" s="4"/>
      <c r="M979" s="4"/>
      <c r="N979" s="4"/>
      <c r="O979" s="4"/>
      <c r="P979" s="4"/>
      <c r="Q979" s="4"/>
      <c r="R979" s="4"/>
      <c r="S979" s="4"/>
      <c r="T979" s="4"/>
      <c r="U979" s="4"/>
      <c r="V979" s="404"/>
      <c r="W979" s="404"/>
      <c r="X979" s="4"/>
      <c r="Y979" s="4"/>
      <c r="Z979" s="4"/>
      <c r="AA979" s="4"/>
      <c r="AB979" s="4"/>
      <c r="AC979" s="4"/>
      <c r="AD979" s="4"/>
      <c r="AE979" s="4"/>
      <c r="AF979" s="4"/>
      <c r="AG979" s="4"/>
      <c r="AH979" s="4"/>
      <c r="AI979" s="17"/>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row>
    <row r="980">
      <c r="A980" s="4"/>
      <c r="B980" s="4"/>
      <c r="C980" s="4"/>
      <c r="D980" s="4"/>
      <c r="E980" s="17"/>
      <c r="F980" s="17"/>
      <c r="G980" s="17"/>
      <c r="H980" s="17"/>
      <c r="I980" s="17"/>
      <c r="J980" s="4"/>
      <c r="K980" s="17"/>
      <c r="L980" s="4"/>
      <c r="M980" s="4"/>
      <c r="N980" s="4"/>
      <c r="O980" s="4"/>
      <c r="P980" s="4"/>
      <c r="Q980" s="4"/>
      <c r="R980" s="4"/>
      <c r="S980" s="4"/>
      <c r="T980" s="4"/>
      <c r="U980" s="4"/>
      <c r="V980" s="404"/>
      <c r="W980" s="404"/>
      <c r="X980" s="4"/>
      <c r="Y980" s="4"/>
      <c r="Z980" s="4"/>
      <c r="AA980" s="4"/>
      <c r="AB980" s="4"/>
      <c r="AC980" s="4"/>
      <c r="AD980" s="4"/>
      <c r="AE980" s="4"/>
      <c r="AF980" s="4"/>
      <c r="AG980" s="4"/>
      <c r="AH980" s="4"/>
      <c r="AI980" s="17"/>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row>
    <row r="981">
      <c r="A981" s="4"/>
      <c r="B981" s="4"/>
      <c r="C981" s="4"/>
      <c r="D981" s="4"/>
      <c r="E981" s="17"/>
      <c r="F981" s="17"/>
      <c r="G981" s="17"/>
      <c r="H981" s="17"/>
      <c r="I981" s="17"/>
      <c r="J981" s="4"/>
      <c r="K981" s="17"/>
      <c r="L981" s="4"/>
      <c r="M981" s="4"/>
      <c r="N981" s="4"/>
      <c r="O981" s="4"/>
      <c r="P981" s="4"/>
      <c r="Q981" s="4"/>
      <c r="R981" s="4"/>
      <c r="S981" s="4"/>
      <c r="T981" s="4"/>
      <c r="U981" s="4"/>
      <c r="V981" s="404"/>
      <c r="W981" s="404"/>
      <c r="X981" s="4"/>
      <c r="Y981" s="4"/>
      <c r="Z981" s="4"/>
      <c r="AA981" s="4"/>
      <c r="AB981" s="4"/>
      <c r="AC981" s="4"/>
      <c r="AD981" s="4"/>
      <c r="AE981" s="4"/>
      <c r="AF981" s="4"/>
      <c r="AG981" s="4"/>
      <c r="AH981" s="4"/>
      <c r="AI981" s="17"/>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row>
    <row r="982">
      <c r="A982" s="4"/>
      <c r="B982" s="4"/>
      <c r="C982" s="4"/>
      <c r="D982" s="4"/>
      <c r="E982" s="17"/>
      <c r="F982" s="17"/>
      <c r="G982" s="17"/>
      <c r="H982" s="17"/>
      <c r="I982" s="17"/>
      <c r="J982" s="4"/>
      <c r="K982" s="17"/>
      <c r="L982" s="4"/>
      <c r="M982" s="4"/>
      <c r="N982" s="4"/>
      <c r="O982" s="4"/>
      <c r="P982" s="4"/>
      <c r="Q982" s="4"/>
      <c r="R982" s="4"/>
      <c r="S982" s="4"/>
      <c r="T982" s="4"/>
      <c r="U982" s="4"/>
      <c r="V982" s="404"/>
      <c r="W982" s="404"/>
      <c r="X982" s="4"/>
      <c r="Y982" s="4"/>
      <c r="Z982" s="4"/>
      <c r="AA982" s="4"/>
      <c r="AB982" s="4"/>
      <c r="AC982" s="4"/>
      <c r="AD982" s="4"/>
      <c r="AE982" s="4"/>
      <c r="AF982" s="4"/>
      <c r="AG982" s="4"/>
      <c r="AH982" s="4"/>
      <c r="AI982" s="17"/>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row>
    <row r="983">
      <c r="A983" s="4"/>
      <c r="B983" s="4"/>
      <c r="C983" s="4"/>
      <c r="D983" s="4"/>
      <c r="E983" s="17"/>
      <c r="F983" s="17"/>
      <c r="G983" s="17"/>
      <c r="H983" s="17"/>
      <c r="I983" s="17"/>
      <c r="J983" s="4"/>
      <c r="K983" s="17"/>
      <c r="L983" s="4"/>
      <c r="M983" s="4"/>
      <c r="N983" s="4"/>
      <c r="O983" s="4"/>
      <c r="P983" s="4"/>
      <c r="Q983" s="4"/>
      <c r="R983" s="4"/>
      <c r="S983" s="4"/>
      <c r="T983" s="4"/>
      <c r="U983" s="4"/>
      <c r="V983" s="404"/>
      <c r="W983" s="404"/>
      <c r="X983" s="4"/>
      <c r="Y983" s="4"/>
      <c r="Z983" s="4"/>
      <c r="AA983" s="4"/>
      <c r="AB983" s="4"/>
      <c r="AC983" s="4"/>
      <c r="AD983" s="4"/>
      <c r="AE983" s="4"/>
      <c r="AF983" s="4"/>
      <c r="AG983" s="4"/>
      <c r="AH983" s="4"/>
      <c r="AI983" s="17"/>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row>
    <row r="984">
      <c r="A984" s="4"/>
      <c r="B984" s="4"/>
      <c r="C984" s="4"/>
      <c r="D984" s="4"/>
      <c r="E984" s="17"/>
      <c r="F984" s="17"/>
      <c r="G984" s="17"/>
      <c r="H984" s="17"/>
      <c r="I984" s="17"/>
      <c r="J984" s="4"/>
      <c r="K984" s="17"/>
      <c r="L984" s="4"/>
      <c r="M984" s="4"/>
      <c r="N984" s="4"/>
      <c r="O984" s="4"/>
      <c r="P984" s="4"/>
      <c r="Q984" s="4"/>
      <c r="R984" s="4"/>
      <c r="S984" s="4"/>
      <c r="T984" s="4"/>
      <c r="U984" s="4"/>
      <c r="V984" s="404"/>
      <c r="W984" s="404"/>
      <c r="X984" s="4"/>
      <c r="Y984" s="4"/>
      <c r="Z984" s="4"/>
      <c r="AA984" s="4"/>
      <c r="AB984" s="4"/>
      <c r="AC984" s="4"/>
      <c r="AD984" s="4"/>
      <c r="AE984" s="4"/>
      <c r="AF984" s="4"/>
      <c r="AG984" s="4"/>
      <c r="AH984" s="4"/>
      <c r="AI984" s="17"/>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row>
    <row r="985">
      <c r="A985" s="4"/>
      <c r="B985" s="4"/>
      <c r="C985" s="4"/>
      <c r="D985" s="4"/>
      <c r="E985" s="17"/>
      <c r="F985" s="17"/>
      <c r="G985" s="17"/>
      <c r="H985" s="17"/>
      <c r="I985" s="17"/>
      <c r="J985" s="4"/>
      <c r="K985" s="17"/>
      <c r="L985" s="4"/>
      <c r="M985" s="4"/>
      <c r="N985" s="4"/>
      <c r="O985" s="4"/>
      <c r="P985" s="4"/>
      <c r="Q985" s="4"/>
      <c r="R985" s="4"/>
      <c r="S985" s="4"/>
      <c r="T985" s="4"/>
      <c r="U985" s="4"/>
      <c r="V985" s="404"/>
      <c r="W985" s="404"/>
      <c r="X985" s="4"/>
      <c r="Y985" s="4"/>
      <c r="Z985" s="4"/>
      <c r="AA985" s="4"/>
      <c r="AB985" s="4"/>
      <c r="AC985" s="4"/>
      <c r="AD985" s="4"/>
      <c r="AE985" s="4"/>
      <c r="AF985" s="4"/>
      <c r="AG985" s="4"/>
      <c r="AH985" s="4"/>
      <c r="AI985" s="17"/>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row>
    <row r="986">
      <c r="A986" s="4"/>
      <c r="B986" s="4"/>
      <c r="C986" s="4"/>
      <c r="D986" s="4"/>
      <c r="E986" s="17"/>
      <c r="F986" s="17"/>
      <c r="G986" s="17"/>
      <c r="H986" s="17"/>
      <c r="I986" s="17"/>
      <c r="J986" s="4"/>
      <c r="K986" s="17"/>
      <c r="L986" s="4"/>
      <c r="M986" s="4"/>
      <c r="N986" s="4"/>
      <c r="O986" s="4"/>
      <c r="P986" s="4"/>
      <c r="Q986" s="4"/>
      <c r="R986" s="4"/>
      <c r="S986" s="4"/>
      <c r="T986" s="4"/>
      <c r="U986" s="4"/>
      <c r="V986" s="404"/>
      <c r="W986" s="404"/>
      <c r="X986" s="4"/>
      <c r="Y986" s="4"/>
      <c r="Z986" s="4"/>
      <c r="AA986" s="4"/>
      <c r="AB986" s="4"/>
      <c r="AC986" s="4"/>
      <c r="AD986" s="4"/>
      <c r="AE986" s="4"/>
      <c r="AF986" s="4"/>
      <c r="AG986" s="4"/>
      <c r="AH986" s="4"/>
      <c r="AI986" s="17"/>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row>
    <row r="987">
      <c r="A987" s="4"/>
      <c r="B987" s="4"/>
      <c r="C987" s="4"/>
      <c r="D987" s="4"/>
      <c r="E987" s="17"/>
      <c r="F987" s="17"/>
      <c r="G987" s="17"/>
      <c r="H987" s="17"/>
      <c r="I987" s="17"/>
      <c r="J987" s="4"/>
      <c r="K987" s="17"/>
      <c r="L987" s="4"/>
      <c r="M987" s="4"/>
      <c r="N987" s="4"/>
      <c r="O987" s="4"/>
      <c r="P987" s="4"/>
      <c r="Q987" s="4"/>
      <c r="R987" s="4"/>
      <c r="S987" s="4"/>
      <c r="T987" s="4"/>
      <c r="U987" s="4"/>
      <c r="V987" s="404"/>
      <c r="W987" s="404"/>
      <c r="X987" s="4"/>
      <c r="Y987" s="4"/>
      <c r="Z987" s="4"/>
      <c r="AA987" s="4"/>
      <c r="AB987" s="4"/>
      <c r="AC987" s="4"/>
      <c r="AD987" s="4"/>
      <c r="AE987" s="4"/>
      <c r="AF987" s="4"/>
      <c r="AG987" s="4"/>
      <c r="AH987" s="4"/>
      <c r="AI987" s="17"/>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row>
    <row r="988">
      <c r="A988" s="4"/>
      <c r="B988" s="4"/>
      <c r="C988" s="4"/>
      <c r="D988" s="4"/>
      <c r="E988" s="17"/>
      <c r="F988" s="17"/>
      <c r="G988" s="17"/>
      <c r="H988" s="17"/>
      <c r="I988" s="17"/>
      <c r="J988" s="4"/>
      <c r="K988" s="17"/>
      <c r="L988" s="4"/>
      <c r="M988" s="4"/>
      <c r="N988" s="4"/>
      <c r="O988" s="4"/>
      <c r="P988" s="4"/>
      <c r="Q988" s="4"/>
      <c r="R988" s="4"/>
      <c r="S988" s="4"/>
      <c r="T988" s="4"/>
      <c r="U988" s="4"/>
      <c r="V988" s="404"/>
      <c r="W988" s="404"/>
      <c r="X988" s="4"/>
      <c r="Y988" s="4"/>
      <c r="Z988" s="4"/>
      <c r="AA988" s="4"/>
      <c r="AB988" s="4"/>
      <c r="AC988" s="4"/>
      <c r="AD988" s="4"/>
      <c r="AE988" s="4"/>
      <c r="AF988" s="4"/>
      <c r="AG988" s="4"/>
      <c r="AH988" s="4"/>
      <c r="AI988" s="17"/>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row>
    <row r="989">
      <c r="A989" s="4"/>
      <c r="B989" s="4"/>
      <c r="C989" s="4"/>
      <c r="D989" s="4"/>
      <c r="E989" s="17"/>
      <c r="F989" s="17"/>
      <c r="G989" s="17"/>
      <c r="H989" s="17"/>
      <c r="I989" s="17"/>
      <c r="J989" s="4"/>
      <c r="K989" s="17"/>
      <c r="L989" s="4"/>
      <c r="M989" s="4"/>
      <c r="N989" s="4"/>
      <c r="O989" s="4"/>
      <c r="P989" s="4"/>
      <c r="Q989" s="4"/>
      <c r="R989" s="4"/>
      <c r="S989" s="4"/>
      <c r="T989" s="4"/>
      <c r="U989" s="4"/>
      <c r="V989" s="404"/>
      <c r="W989" s="404"/>
      <c r="X989" s="4"/>
      <c r="Y989" s="4"/>
      <c r="Z989" s="4"/>
      <c r="AA989" s="4"/>
      <c r="AB989" s="4"/>
      <c r="AC989" s="4"/>
      <c r="AD989" s="4"/>
      <c r="AE989" s="4"/>
      <c r="AF989" s="4"/>
      <c r="AG989" s="4"/>
      <c r="AH989" s="4"/>
      <c r="AI989" s="17"/>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row>
    <row r="990">
      <c r="A990" s="4"/>
      <c r="B990" s="4"/>
      <c r="C990" s="4"/>
      <c r="D990" s="4"/>
      <c r="E990" s="17"/>
      <c r="F990" s="17"/>
      <c r="G990" s="17"/>
      <c r="H990" s="17"/>
      <c r="I990" s="17"/>
      <c r="J990" s="4"/>
      <c r="K990" s="17"/>
      <c r="L990" s="4"/>
      <c r="M990" s="4"/>
      <c r="N990" s="4"/>
      <c r="O990" s="4"/>
      <c r="P990" s="4"/>
      <c r="Q990" s="4"/>
      <c r="R990" s="4"/>
      <c r="S990" s="4"/>
      <c r="T990" s="4"/>
      <c r="U990" s="4"/>
      <c r="V990" s="404"/>
      <c r="W990" s="404"/>
      <c r="X990" s="4"/>
      <c r="Y990" s="4"/>
      <c r="Z990" s="4"/>
      <c r="AA990" s="4"/>
      <c r="AB990" s="4"/>
      <c r="AC990" s="4"/>
      <c r="AD990" s="4"/>
      <c r="AE990" s="4"/>
      <c r="AF990" s="4"/>
      <c r="AG990" s="4"/>
      <c r="AH990" s="4"/>
      <c r="AI990" s="17"/>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row>
    <row r="991">
      <c r="A991" s="4"/>
      <c r="B991" s="4"/>
      <c r="C991" s="4"/>
      <c r="D991" s="4"/>
      <c r="E991" s="17"/>
      <c r="F991" s="17"/>
      <c r="G991" s="17"/>
      <c r="H991" s="17"/>
      <c r="I991" s="17"/>
      <c r="J991" s="4"/>
      <c r="K991" s="17"/>
      <c r="L991" s="4"/>
      <c r="M991" s="4"/>
      <c r="N991" s="4"/>
      <c r="O991" s="4"/>
      <c r="P991" s="4"/>
      <c r="Q991" s="4"/>
      <c r="R991" s="4"/>
      <c r="S991" s="4"/>
      <c r="T991" s="4"/>
      <c r="U991" s="4"/>
      <c r="V991" s="404"/>
      <c r="W991" s="404"/>
      <c r="X991" s="4"/>
      <c r="Y991" s="4"/>
      <c r="Z991" s="4"/>
      <c r="AA991" s="4"/>
      <c r="AB991" s="4"/>
      <c r="AC991" s="4"/>
      <c r="AD991" s="4"/>
      <c r="AE991" s="4"/>
      <c r="AF991" s="4"/>
      <c r="AG991" s="4"/>
      <c r="AH991" s="4"/>
      <c r="AI991" s="17"/>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row>
    <row r="992">
      <c r="A992" s="4"/>
      <c r="B992" s="4"/>
      <c r="C992" s="4"/>
      <c r="D992" s="4"/>
      <c r="E992" s="17"/>
      <c r="F992" s="17"/>
      <c r="G992" s="17"/>
      <c r="H992" s="17"/>
      <c r="I992" s="17"/>
      <c r="J992" s="4"/>
      <c r="K992" s="17"/>
      <c r="L992" s="4"/>
      <c r="M992" s="4"/>
      <c r="N992" s="4"/>
      <c r="O992" s="4"/>
      <c r="P992" s="4"/>
      <c r="Q992" s="4"/>
      <c r="R992" s="4"/>
      <c r="S992" s="4"/>
      <c r="T992" s="4"/>
      <c r="U992" s="4"/>
      <c r="V992" s="404"/>
      <c r="W992" s="404"/>
      <c r="X992" s="4"/>
      <c r="Y992" s="4"/>
      <c r="Z992" s="4"/>
      <c r="AA992" s="4"/>
      <c r="AB992" s="4"/>
      <c r="AC992" s="4"/>
      <c r="AD992" s="4"/>
      <c r="AE992" s="4"/>
      <c r="AF992" s="4"/>
      <c r="AG992" s="4"/>
      <c r="AH992" s="4"/>
      <c r="AI992" s="17"/>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row>
    <row r="993">
      <c r="A993" s="4"/>
      <c r="B993" s="4"/>
      <c r="C993" s="4"/>
      <c r="D993" s="4"/>
      <c r="E993" s="17"/>
      <c r="F993" s="17"/>
      <c r="G993" s="17"/>
      <c r="H993" s="17"/>
      <c r="I993" s="17"/>
      <c r="J993" s="4"/>
      <c r="K993" s="17"/>
      <c r="L993" s="4"/>
      <c r="M993" s="4"/>
      <c r="N993" s="4"/>
      <c r="O993" s="4"/>
      <c r="P993" s="4"/>
      <c r="Q993" s="4"/>
      <c r="R993" s="4"/>
      <c r="S993" s="4"/>
      <c r="T993" s="4"/>
      <c r="U993" s="4"/>
      <c r="V993" s="404"/>
      <c r="W993" s="404"/>
      <c r="X993" s="4"/>
      <c r="Y993" s="4"/>
      <c r="Z993" s="4"/>
      <c r="AA993" s="4"/>
      <c r="AB993" s="4"/>
      <c r="AC993" s="4"/>
      <c r="AD993" s="4"/>
      <c r="AE993" s="4"/>
      <c r="AF993" s="4"/>
      <c r="AG993" s="4"/>
      <c r="AH993" s="4"/>
      <c r="AI993" s="17"/>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row>
    <row r="994">
      <c r="A994" s="4"/>
      <c r="B994" s="4"/>
      <c r="C994" s="4"/>
      <c r="D994" s="4"/>
      <c r="E994" s="17"/>
      <c r="F994" s="17"/>
      <c r="G994" s="17"/>
      <c r="H994" s="17"/>
      <c r="I994" s="17"/>
      <c r="J994" s="4"/>
      <c r="K994" s="17"/>
      <c r="L994" s="4"/>
      <c r="M994" s="4"/>
      <c r="N994" s="4"/>
      <c r="O994" s="4"/>
      <c r="P994" s="4"/>
      <c r="Q994" s="4"/>
      <c r="R994" s="4"/>
      <c r="S994" s="4"/>
      <c r="T994" s="4"/>
      <c r="U994" s="4"/>
      <c r="V994" s="404"/>
      <c r="W994" s="404"/>
      <c r="X994" s="4"/>
      <c r="Y994" s="4"/>
      <c r="Z994" s="4"/>
      <c r="AA994" s="4"/>
      <c r="AB994" s="4"/>
      <c r="AC994" s="4"/>
      <c r="AD994" s="4"/>
      <c r="AE994" s="4"/>
      <c r="AF994" s="4"/>
      <c r="AG994" s="4"/>
      <c r="AH994" s="4"/>
      <c r="AI994" s="17"/>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row>
    <row r="995">
      <c r="A995" s="4"/>
      <c r="B995" s="4"/>
      <c r="C995" s="4"/>
      <c r="D995" s="4"/>
      <c r="E995" s="17"/>
      <c r="F995" s="17"/>
      <c r="G995" s="17"/>
      <c r="H995" s="17"/>
      <c r="I995" s="17"/>
      <c r="J995" s="4"/>
      <c r="K995" s="17"/>
      <c r="L995" s="4"/>
      <c r="M995" s="4"/>
      <c r="N995" s="4"/>
      <c r="O995" s="4"/>
      <c r="P995" s="4"/>
      <c r="Q995" s="4"/>
      <c r="R995" s="4"/>
      <c r="S995" s="4"/>
      <c r="T995" s="4"/>
      <c r="U995" s="4"/>
      <c r="V995" s="404"/>
      <c r="W995" s="404"/>
      <c r="X995" s="4"/>
      <c r="Y995" s="4"/>
      <c r="Z995" s="4"/>
      <c r="AA995" s="4"/>
      <c r="AB995" s="4"/>
      <c r="AC995" s="4"/>
      <c r="AD995" s="4"/>
      <c r="AE995" s="4"/>
      <c r="AF995" s="4"/>
      <c r="AG995" s="4"/>
      <c r="AH995" s="4"/>
      <c r="AI995" s="17"/>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row>
    <row r="996">
      <c r="A996" s="4"/>
      <c r="B996" s="4"/>
      <c r="C996" s="4"/>
      <c r="D996" s="4"/>
      <c r="E996" s="17"/>
      <c r="F996" s="17"/>
      <c r="G996" s="17"/>
      <c r="H996" s="17"/>
      <c r="I996" s="17"/>
      <c r="J996" s="4"/>
      <c r="K996" s="17"/>
      <c r="L996" s="4"/>
      <c r="M996" s="4"/>
      <c r="N996" s="4"/>
      <c r="O996" s="4"/>
      <c r="P996" s="4"/>
      <c r="Q996" s="4"/>
      <c r="R996" s="4"/>
      <c r="S996" s="4"/>
      <c r="T996" s="4"/>
      <c r="U996" s="4"/>
      <c r="V996" s="404"/>
      <c r="W996" s="404"/>
      <c r="X996" s="4"/>
      <c r="Y996" s="4"/>
      <c r="Z996" s="4"/>
      <c r="AA996" s="4"/>
      <c r="AB996" s="4"/>
      <c r="AC996" s="4"/>
      <c r="AD996" s="4"/>
      <c r="AE996" s="4"/>
      <c r="AF996" s="4"/>
      <c r="AG996" s="4"/>
      <c r="AH996" s="4"/>
      <c r="AI996" s="17"/>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row>
    <row r="997">
      <c r="A997" s="4"/>
      <c r="B997" s="4"/>
      <c r="C997" s="4"/>
      <c r="D997" s="4"/>
      <c r="E997" s="17"/>
      <c r="F997" s="17"/>
      <c r="G997" s="17"/>
      <c r="H997" s="17"/>
      <c r="I997" s="17"/>
      <c r="J997" s="4"/>
      <c r="K997" s="17"/>
      <c r="L997" s="4"/>
      <c r="M997" s="4"/>
      <c r="N997" s="4"/>
      <c r="O997" s="4"/>
      <c r="P997" s="4"/>
      <c r="Q997" s="4"/>
      <c r="R997" s="4"/>
      <c r="S997" s="4"/>
      <c r="T997" s="4"/>
      <c r="U997" s="4"/>
      <c r="V997" s="404"/>
      <c r="W997" s="404"/>
      <c r="X997" s="4"/>
      <c r="Y997" s="4"/>
      <c r="Z997" s="4"/>
      <c r="AA997" s="4"/>
      <c r="AB997" s="4"/>
      <c r="AC997" s="4"/>
      <c r="AD997" s="4"/>
      <c r="AE997" s="4"/>
      <c r="AF997" s="4"/>
      <c r="AG997" s="4"/>
      <c r="AH997" s="4"/>
      <c r="AI997" s="17"/>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row>
    <row r="998">
      <c r="A998" s="4"/>
      <c r="B998" s="4"/>
      <c r="C998" s="4"/>
      <c r="D998" s="4"/>
      <c r="E998" s="17"/>
      <c r="F998" s="17"/>
      <c r="G998" s="17"/>
      <c r="H998" s="17"/>
      <c r="I998" s="17"/>
      <c r="J998" s="4"/>
      <c r="K998" s="17"/>
      <c r="L998" s="4"/>
      <c r="M998" s="4"/>
      <c r="N998" s="4"/>
      <c r="O998" s="4"/>
      <c r="P998" s="4"/>
      <c r="Q998" s="4"/>
      <c r="R998" s="4"/>
      <c r="S998" s="4"/>
      <c r="T998" s="4"/>
      <c r="U998" s="4"/>
      <c r="V998" s="404"/>
      <c r="W998" s="404"/>
      <c r="X998" s="4"/>
      <c r="Y998" s="4"/>
      <c r="Z998" s="4"/>
      <c r="AA998" s="4"/>
      <c r="AB998" s="4"/>
      <c r="AC998" s="4"/>
      <c r="AD998" s="4"/>
      <c r="AE998" s="4"/>
      <c r="AF998" s="4"/>
      <c r="AG998" s="4"/>
      <c r="AH998" s="4"/>
      <c r="AI998" s="17"/>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row>
    <row r="999">
      <c r="A999" s="4"/>
      <c r="B999" s="4"/>
      <c r="C999" s="4"/>
      <c r="D999" s="4"/>
      <c r="E999" s="17"/>
      <c r="F999" s="17"/>
      <c r="G999" s="17"/>
      <c r="H999" s="17"/>
      <c r="I999" s="17"/>
      <c r="J999" s="4"/>
      <c r="K999" s="17"/>
      <c r="L999" s="4"/>
      <c r="M999" s="4"/>
      <c r="N999" s="4"/>
      <c r="O999" s="4"/>
      <c r="P999" s="4"/>
      <c r="Q999" s="4"/>
      <c r="R999" s="4"/>
      <c r="S999" s="4"/>
      <c r="T999" s="4"/>
      <c r="U999" s="4"/>
      <c r="V999" s="404"/>
      <c r="W999" s="404"/>
      <c r="X999" s="4"/>
      <c r="Y999" s="4"/>
      <c r="Z999" s="4"/>
      <c r="AA999" s="4"/>
      <c r="AB999" s="4"/>
      <c r="AC999" s="4"/>
      <c r="AD999" s="4"/>
      <c r="AE999" s="4"/>
      <c r="AF999" s="4"/>
      <c r="AG999" s="4"/>
      <c r="AH999" s="4"/>
      <c r="AI999" s="17"/>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row>
    <row r="1000">
      <c r="A1000" s="4"/>
      <c r="B1000" s="4"/>
      <c r="C1000" s="4"/>
      <c r="D1000" s="4"/>
      <c r="E1000" s="17"/>
      <c r="F1000" s="17"/>
      <c r="G1000" s="17"/>
      <c r="H1000" s="17"/>
      <c r="I1000" s="17"/>
      <c r="J1000" s="4"/>
      <c r="K1000" s="17"/>
      <c r="L1000" s="4"/>
      <c r="M1000" s="4"/>
      <c r="N1000" s="4"/>
      <c r="O1000" s="4"/>
      <c r="P1000" s="4"/>
      <c r="Q1000" s="4"/>
      <c r="R1000" s="4"/>
      <c r="S1000" s="4"/>
      <c r="T1000" s="4"/>
      <c r="U1000" s="4"/>
      <c r="V1000" s="404"/>
      <c r="W1000" s="404"/>
      <c r="X1000" s="4"/>
      <c r="Y1000" s="4"/>
      <c r="Z1000" s="4"/>
      <c r="AA1000" s="4"/>
      <c r="AB1000" s="4"/>
      <c r="AC1000" s="4"/>
      <c r="AD1000" s="4"/>
      <c r="AE1000" s="4"/>
      <c r="AF1000" s="4"/>
      <c r="AG1000" s="4"/>
      <c r="AH1000" s="4"/>
      <c r="AI1000" s="17"/>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row>
    <row r="1001">
      <c r="A1001" s="4"/>
      <c r="B1001" s="4"/>
      <c r="C1001" s="4"/>
      <c r="D1001" s="4"/>
      <c r="E1001" s="17"/>
      <c r="F1001" s="17"/>
      <c r="G1001" s="17"/>
      <c r="H1001" s="17"/>
      <c r="I1001" s="17"/>
      <c r="J1001" s="4"/>
      <c r="K1001" s="17"/>
      <c r="L1001" s="4"/>
      <c r="M1001" s="4"/>
      <c r="N1001" s="4"/>
      <c r="O1001" s="4"/>
      <c r="P1001" s="4"/>
      <c r="Q1001" s="4"/>
      <c r="R1001" s="4"/>
      <c r="S1001" s="4"/>
      <c r="T1001" s="4"/>
      <c r="U1001" s="4"/>
      <c r="V1001" s="404"/>
      <c r="W1001" s="404"/>
      <c r="X1001" s="4"/>
      <c r="Y1001" s="4"/>
      <c r="Z1001" s="4"/>
      <c r="AA1001" s="4"/>
      <c r="AB1001" s="4"/>
      <c r="AC1001" s="4"/>
      <c r="AD1001" s="4"/>
      <c r="AE1001" s="4"/>
      <c r="AF1001" s="4"/>
      <c r="AG1001" s="4"/>
      <c r="AH1001" s="4"/>
      <c r="AI1001" s="17"/>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row>
    <row r="1002">
      <c r="A1002" s="4"/>
      <c r="B1002" s="4"/>
      <c r="C1002" s="4"/>
      <c r="D1002" s="4"/>
      <c r="E1002" s="17"/>
      <c r="F1002" s="17"/>
      <c r="G1002" s="17"/>
      <c r="H1002" s="17"/>
      <c r="I1002" s="17"/>
      <c r="J1002" s="4"/>
      <c r="K1002" s="17"/>
      <c r="L1002" s="4"/>
      <c r="M1002" s="4"/>
      <c r="N1002" s="4"/>
      <c r="O1002" s="4"/>
      <c r="P1002" s="4"/>
      <c r="Q1002" s="4"/>
      <c r="R1002" s="4"/>
      <c r="S1002" s="4"/>
      <c r="T1002" s="4"/>
      <c r="U1002" s="4"/>
      <c r="V1002" s="404"/>
      <c r="W1002" s="404"/>
      <c r="X1002" s="4"/>
      <c r="Y1002" s="4"/>
      <c r="Z1002" s="4"/>
      <c r="AA1002" s="4"/>
      <c r="AB1002" s="4"/>
      <c r="AC1002" s="4"/>
      <c r="AD1002" s="4"/>
      <c r="AE1002" s="4"/>
      <c r="AF1002" s="4"/>
      <c r="AG1002" s="4"/>
      <c r="AH1002" s="4"/>
      <c r="AI1002" s="17"/>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row>
    <row r="1003">
      <c r="A1003" s="4"/>
      <c r="B1003" s="4"/>
      <c r="C1003" s="4"/>
      <c r="D1003" s="4"/>
      <c r="E1003" s="17"/>
      <c r="F1003" s="17"/>
      <c r="G1003" s="17"/>
      <c r="H1003" s="17"/>
      <c r="I1003" s="17"/>
      <c r="J1003" s="4"/>
      <c r="K1003" s="17"/>
      <c r="L1003" s="4"/>
      <c r="M1003" s="4"/>
      <c r="N1003" s="4"/>
      <c r="O1003" s="4"/>
      <c r="P1003" s="4"/>
      <c r="Q1003" s="4"/>
      <c r="R1003" s="4"/>
      <c r="S1003" s="4"/>
      <c r="T1003" s="4"/>
      <c r="U1003" s="4"/>
      <c r="V1003" s="404"/>
      <c r="W1003" s="404"/>
      <c r="X1003" s="4"/>
      <c r="Y1003" s="4"/>
      <c r="Z1003" s="4"/>
      <c r="AA1003" s="4"/>
      <c r="AB1003" s="4"/>
      <c r="AC1003" s="4"/>
      <c r="AD1003" s="4"/>
      <c r="AE1003" s="4"/>
      <c r="AF1003" s="4"/>
      <c r="AG1003" s="4"/>
      <c r="AH1003" s="4"/>
      <c r="AI1003" s="17"/>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row>
    <row r="1004">
      <c r="A1004" s="4"/>
      <c r="B1004" s="4"/>
      <c r="C1004" s="4"/>
      <c r="D1004" s="4"/>
      <c r="E1004" s="17"/>
      <c r="F1004" s="17"/>
      <c r="G1004" s="17"/>
      <c r="H1004" s="17"/>
      <c r="I1004" s="17"/>
      <c r="J1004" s="4"/>
      <c r="K1004" s="17"/>
      <c r="L1004" s="4"/>
      <c r="M1004" s="4"/>
      <c r="N1004" s="4"/>
      <c r="O1004" s="4"/>
      <c r="P1004" s="4"/>
      <c r="Q1004" s="4"/>
      <c r="R1004" s="4"/>
      <c r="S1004" s="4"/>
      <c r="T1004" s="4"/>
      <c r="U1004" s="4"/>
      <c r="V1004" s="404"/>
      <c r="W1004" s="404"/>
      <c r="X1004" s="4"/>
      <c r="Y1004" s="4"/>
      <c r="Z1004" s="4"/>
      <c r="AA1004" s="4"/>
      <c r="AB1004" s="4"/>
      <c r="AC1004" s="4"/>
      <c r="AD1004" s="4"/>
      <c r="AE1004" s="4"/>
      <c r="AF1004" s="4"/>
      <c r="AG1004" s="4"/>
      <c r="AH1004" s="4"/>
      <c r="AI1004" s="17"/>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row>
    <row r="1005">
      <c r="A1005" s="4"/>
      <c r="B1005" s="4"/>
      <c r="C1005" s="4"/>
      <c r="D1005" s="4"/>
      <c r="E1005" s="17"/>
      <c r="F1005" s="17"/>
      <c r="G1005" s="17"/>
      <c r="H1005" s="17"/>
      <c r="I1005" s="17"/>
      <c r="J1005" s="4"/>
      <c r="K1005" s="17"/>
      <c r="L1005" s="4"/>
      <c r="M1005" s="4"/>
      <c r="N1005" s="4"/>
      <c r="O1005" s="4"/>
      <c r="P1005" s="4"/>
      <c r="Q1005" s="4"/>
      <c r="R1005" s="4"/>
      <c r="S1005" s="4"/>
      <c r="T1005" s="4"/>
      <c r="U1005" s="4"/>
      <c r="V1005" s="404"/>
      <c r="W1005" s="404"/>
      <c r="X1005" s="4"/>
      <c r="Y1005" s="4"/>
      <c r="Z1005" s="4"/>
      <c r="AA1005" s="4"/>
      <c r="AB1005" s="4"/>
      <c r="AC1005" s="4"/>
      <c r="AD1005" s="4"/>
      <c r="AE1005" s="4"/>
      <c r="AF1005" s="4"/>
      <c r="AG1005" s="4"/>
      <c r="AH1005" s="4"/>
      <c r="AI1005" s="17"/>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row>
    <row r="1006">
      <c r="A1006" s="4"/>
      <c r="B1006" s="4"/>
      <c r="C1006" s="4"/>
      <c r="D1006" s="4"/>
      <c r="E1006" s="17"/>
      <c r="F1006" s="17"/>
      <c r="G1006" s="17"/>
      <c r="H1006" s="17"/>
      <c r="I1006" s="17"/>
      <c r="J1006" s="4"/>
      <c r="K1006" s="17"/>
      <c r="L1006" s="4"/>
      <c r="M1006" s="4"/>
      <c r="N1006" s="4"/>
      <c r="O1006" s="4"/>
      <c r="P1006" s="4"/>
      <c r="Q1006" s="4"/>
      <c r="R1006" s="4"/>
      <c r="S1006" s="4"/>
      <c r="T1006" s="4"/>
      <c r="U1006" s="4"/>
      <c r="V1006" s="404"/>
      <c r="W1006" s="404"/>
      <c r="X1006" s="4"/>
      <c r="Y1006" s="4"/>
      <c r="Z1006" s="4"/>
      <c r="AA1006" s="4"/>
      <c r="AB1006" s="4"/>
      <c r="AC1006" s="4"/>
      <c r="AD1006" s="4"/>
      <c r="AE1006" s="4"/>
      <c r="AF1006" s="4"/>
      <c r="AG1006" s="4"/>
      <c r="AH1006" s="4"/>
      <c r="AI1006" s="17"/>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row>
    <row r="1007">
      <c r="A1007" s="4"/>
      <c r="B1007" s="4"/>
      <c r="C1007" s="4"/>
      <c r="D1007" s="4"/>
      <c r="E1007" s="17"/>
      <c r="F1007" s="17"/>
      <c r="G1007" s="17"/>
      <c r="H1007" s="17"/>
      <c r="I1007" s="17"/>
      <c r="J1007" s="4"/>
      <c r="K1007" s="17"/>
      <c r="L1007" s="4"/>
      <c r="M1007" s="4"/>
      <c r="N1007" s="4"/>
      <c r="O1007" s="4"/>
      <c r="P1007" s="4"/>
      <c r="Q1007" s="4"/>
      <c r="R1007" s="4"/>
      <c r="S1007" s="4"/>
      <c r="T1007" s="4"/>
      <c r="U1007" s="4"/>
      <c r="V1007" s="404"/>
      <c r="W1007" s="404"/>
      <c r="X1007" s="4"/>
      <c r="Y1007" s="4"/>
      <c r="Z1007" s="4"/>
      <c r="AA1007" s="4"/>
      <c r="AB1007" s="4"/>
      <c r="AC1007" s="4"/>
      <c r="AD1007" s="4"/>
      <c r="AE1007" s="4"/>
      <c r="AF1007" s="4"/>
      <c r="AG1007" s="4"/>
      <c r="AH1007" s="4"/>
      <c r="AI1007" s="17"/>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row>
    <row r="1008">
      <c r="A1008" s="4"/>
      <c r="B1008" s="4"/>
      <c r="C1008" s="4"/>
      <c r="D1008" s="4"/>
      <c r="E1008" s="17"/>
      <c r="F1008" s="17"/>
      <c r="G1008" s="17"/>
      <c r="H1008" s="17"/>
      <c r="I1008" s="17"/>
      <c r="J1008" s="4"/>
      <c r="K1008" s="17"/>
      <c r="L1008" s="4"/>
      <c r="M1008" s="4"/>
      <c r="N1008" s="4"/>
      <c r="O1008" s="4"/>
      <c r="P1008" s="4"/>
      <c r="Q1008" s="4"/>
      <c r="R1008" s="4"/>
      <c r="S1008" s="4"/>
      <c r="T1008" s="4"/>
      <c r="U1008" s="4"/>
      <c r="V1008" s="404"/>
      <c r="W1008" s="404"/>
      <c r="X1008" s="4"/>
      <c r="Y1008" s="4"/>
      <c r="Z1008" s="4"/>
      <c r="AA1008" s="4"/>
      <c r="AB1008" s="4"/>
      <c r="AC1008" s="4"/>
      <c r="AD1008" s="4"/>
      <c r="AE1008" s="4"/>
      <c r="AF1008" s="4"/>
      <c r="AG1008" s="4"/>
      <c r="AH1008" s="4"/>
      <c r="AI1008" s="17"/>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row>
    <row r="1009">
      <c r="A1009" s="4"/>
      <c r="B1009" s="4"/>
      <c r="C1009" s="4"/>
      <c r="D1009" s="4"/>
      <c r="E1009" s="17"/>
      <c r="F1009" s="17"/>
      <c r="G1009" s="17"/>
      <c r="H1009" s="17"/>
      <c r="I1009" s="17"/>
      <c r="J1009" s="4"/>
      <c r="K1009" s="17"/>
      <c r="L1009" s="4"/>
      <c r="M1009" s="4"/>
      <c r="N1009" s="4"/>
      <c r="O1009" s="4"/>
      <c r="P1009" s="4"/>
      <c r="Q1009" s="4"/>
      <c r="R1009" s="4"/>
      <c r="S1009" s="4"/>
      <c r="T1009" s="4"/>
      <c r="U1009" s="4"/>
      <c r="V1009" s="404"/>
      <c r="W1009" s="404"/>
      <c r="X1009" s="4"/>
      <c r="Y1009" s="4"/>
      <c r="Z1009" s="4"/>
      <c r="AA1009" s="4"/>
      <c r="AB1009" s="4"/>
      <c r="AC1009" s="4"/>
      <c r="AD1009" s="4"/>
      <c r="AE1009" s="4"/>
      <c r="AF1009" s="4"/>
      <c r="AG1009" s="4"/>
      <c r="AH1009" s="4"/>
      <c r="AI1009" s="17"/>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row>
    <row r="1010">
      <c r="A1010" s="4"/>
      <c r="B1010" s="4"/>
      <c r="C1010" s="4"/>
      <c r="D1010" s="4"/>
      <c r="E1010" s="17"/>
      <c r="F1010" s="17"/>
      <c r="G1010" s="17"/>
      <c r="H1010" s="17"/>
      <c r="I1010" s="17"/>
      <c r="J1010" s="4"/>
      <c r="K1010" s="17"/>
      <c r="L1010" s="4"/>
      <c r="M1010" s="4"/>
      <c r="N1010" s="4"/>
      <c r="O1010" s="4"/>
      <c r="P1010" s="4"/>
      <c r="Q1010" s="4"/>
      <c r="R1010" s="4"/>
      <c r="S1010" s="4"/>
      <c r="T1010" s="4"/>
      <c r="U1010" s="4"/>
      <c r="V1010" s="404"/>
      <c r="W1010" s="404"/>
      <c r="X1010" s="4"/>
      <c r="Y1010" s="4"/>
      <c r="Z1010" s="4"/>
      <c r="AA1010" s="4"/>
      <c r="AB1010" s="4"/>
      <c r="AC1010" s="4"/>
      <c r="AD1010" s="4"/>
      <c r="AE1010" s="4"/>
      <c r="AF1010" s="4"/>
      <c r="AG1010" s="4"/>
      <c r="AH1010" s="4"/>
      <c r="AI1010" s="17"/>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row>
    <row r="1011">
      <c r="A1011" s="4"/>
      <c r="B1011" s="4"/>
      <c r="C1011" s="4"/>
      <c r="D1011" s="4"/>
      <c r="E1011" s="17"/>
      <c r="F1011" s="17"/>
      <c r="G1011" s="17"/>
      <c r="H1011" s="17"/>
      <c r="I1011" s="17"/>
      <c r="J1011" s="4"/>
      <c r="K1011" s="17"/>
      <c r="L1011" s="4"/>
      <c r="M1011" s="4"/>
      <c r="N1011" s="4"/>
      <c r="O1011" s="4"/>
      <c r="P1011" s="4"/>
      <c r="Q1011" s="4"/>
      <c r="R1011" s="4"/>
      <c r="S1011" s="4"/>
      <c r="T1011" s="4"/>
      <c r="U1011" s="4"/>
      <c r="V1011" s="404"/>
      <c r="W1011" s="404"/>
      <c r="X1011" s="4"/>
      <c r="Y1011" s="4"/>
      <c r="Z1011" s="4"/>
      <c r="AA1011" s="4"/>
      <c r="AB1011" s="4"/>
      <c r="AC1011" s="4"/>
      <c r="AD1011" s="4"/>
      <c r="AE1011" s="4"/>
      <c r="AF1011" s="4"/>
      <c r="AG1011" s="4"/>
      <c r="AH1011" s="4"/>
      <c r="AI1011" s="17"/>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row>
    <row r="1012">
      <c r="A1012" s="4"/>
      <c r="B1012" s="4"/>
      <c r="C1012" s="4"/>
      <c r="D1012" s="4"/>
      <c r="E1012" s="17"/>
      <c r="F1012" s="17"/>
      <c r="G1012" s="17"/>
      <c r="H1012" s="17"/>
      <c r="I1012" s="17"/>
      <c r="J1012" s="4"/>
      <c r="K1012" s="17"/>
      <c r="L1012" s="4"/>
      <c r="M1012" s="4"/>
      <c r="N1012" s="4"/>
      <c r="O1012" s="4"/>
      <c r="P1012" s="4"/>
      <c r="Q1012" s="4"/>
      <c r="R1012" s="4"/>
      <c r="S1012" s="4"/>
      <c r="T1012" s="4"/>
      <c r="U1012" s="4"/>
      <c r="V1012" s="404"/>
      <c r="W1012" s="404"/>
      <c r="X1012" s="4"/>
      <c r="Y1012" s="4"/>
      <c r="Z1012" s="4"/>
      <c r="AA1012" s="4"/>
      <c r="AB1012" s="4"/>
      <c r="AC1012" s="4"/>
      <c r="AD1012" s="4"/>
      <c r="AE1012" s="4"/>
      <c r="AF1012" s="4"/>
      <c r="AG1012" s="4"/>
      <c r="AH1012" s="4"/>
      <c r="AI1012" s="17"/>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row>
    <row r="1013">
      <c r="A1013" s="4"/>
      <c r="B1013" s="4"/>
      <c r="C1013" s="4"/>
      <c r="D1013" s="4"/>
      <c r="E1013" s="17"/>
      <c r="F1013" s="17"/>
      <c r="G1013" s="17"/>
      <c r="H1013" s="17"/>
      <c r="I1013" s="17"/>
      <c r="J1013" s="4"/>
      <c r="K1013" s="17"/>
      <c r="L1013" s="4"/>
      <c r="M1013" s="4"/>
      <c r="N1013" s="4"/>
      <c r="O1013" s="4"/>
      <c r="P1013" s="4"/>
      <c r="Q1013" s="4"/>
      <c r="R1013" s="4"/>
      <c r="S1013" s="4"/>
      <c r="T1013" s="4"/>
      <c r="U1013" s="4"/>
      <c r="V1013" s="404"/>
      <c r="W1013" s="404"/>
      <c r="X1013" s="4"/>
      <c r="Y1013" s="4"/>
      <c r="Z1013" s="4"/>
      <c r="AA1013" s="4"/>
      <c r="AB1013" s="4"/>
      <c r="AC1013" s="4"/>
      <c r="AD1013" s="4"/>
      <c r="AE1013" s="4"/>
      <c r="AF1013" s="4"/>
      <c r="AG1013" s="4"/>
      <c r="AH1013" s="4"/>
      <c r="AI1013" s="17"/>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row>
    <row r="1014">
      <c r="A1014" s="4"/>
      <c r="B1014" s="4"/>
      <c r="C1014" s="4"/>
      <c r="D1014" s="4"/>
      <c r="E1014" s="17"/>
      <c r="F1014" s="17"/>
      <c r="G1014" s="17"/>
      <c r="H1014" s="17"/>
      <c r="I1014" s="17"/>
      <c r="J1014" s="4"/>
      <c r="K1014" s="17"/>
      <c r="L1014" s="4"/>
      <c r="M1014" s="4"/>
      <c r="N1014" s="4"/>
      <c r="O1014" s="4"/>
      <c r="P1014" s="4"/>
      <c r="Q1014" s="4"/>
      <c r="R1014" s="4"/>
      <c r="S1014" s="4"/>
      <c r="T1014" s="4"/>
      <c r="U1014" s="4"/>
      <c r="V1014" s="404"/>
      <c r="W1014" s="404"/>
      <c r="X1014" s="4"/>
      <c r="Y1014" s="4"/>
      <c r="Z1014" s="4"/>
      <c r="AA1014" s="4"/>
      <c r="AB1014" s="4"/>
      <c r="AC1014" s="4"/>
      <c r="AD1014" s="4"/>
      <c r="AE1014" s="4"/>
      <c r="AF1014" s="4"/>
      <c r="AG1014" s="4"/>
      <c r="AH1014" s="4"/>
      <c r="AI1014" s="17"/>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row>
    <row r="1015">
      <c r="A1015" s="4"/>
      <c r="B1015" s="4"/>
      <c r="C1015" s="4"/>
      <c r="D1015" s="4"/>
      <c r="E1015" s="17"/>
      <c r="F1015" s="17"/>
      <c r="G1015" s="17"/>
      <c r="H1015" s="17"/>
      <c r="I1015" s="17"/>
      <c r="J1015" s="4"/>
      <c r="K1015" s="17"/>
      <c r="L1015" s="4"/>
      <c r="M1015" s="4"/>
      <c r="N1015" s="4"/>
      <c r="O1015" s="4"/>
      <c r="P1015" s="4"/>
      <c r="Q1015" s="4"/>
      <c r="R1015" s="4"/>
      <c r="S1015" s="4"/>
      <c r="T1015" s="4"/>
      <c r="U1015" s="4"/>
      <c r="V1015" s="404"/>
      <c r="W1015" s="404"/>
      <c r="X1015" s="4"/>
      <c r="Y1015" s="4"/>
      <c r="Z1015" s="4"/>
      <c r="AA1015" s="4"/>
      <c r="AB1015" s="4"/>
      <c r="AC1015" s="4"/>
      <c r="AD1015" s="4"/>
      <c r="AE1015" s="4"/>
      <c r="AF1015" s="4"/>
      <c r="AG1015" s="4"/>
      <c r="AH1015" s="4"/>
      <c r="AI1015" s="17"/>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row>
  </sheetData>
  <autoFilter ref="$A$19:$D$416">
    <filterColumn colId="3">
      <filters>
        <filter val="11"/>
        <filter val="12"/>
        <filter val="9"/>
        <filter val="10"/>
      </filters>
    </filterColumn>
  </autoFilter>
  <customSheetViews>
    <customSheetView guid="{E21C4D45-E0F3-4CD3-A3BD-46B155FDCE3B}" filter="1" showAutoFilter="1">
      <autoFilter ref="$AA$18:$AA$19"/>
    </customSheetView>
  </customSheetViews>
  <mergeCells count="122">
    <mergeCell ref="AC5:AD5"/>
    <mergeCell ref="AE5:AF5"/>
    <mergeCell ref="AC6:AD6"/>
    <mergeCell ref="AE6:AF6"/>
    <mergeCell ref="AC7:AD7"/>
    <mergeCell ref="AE7:AF7"/>
    <mergeCell ref="AC8:AD8"/>
    <mergeCell ref="AE8:AF8"/>
    <mergeCell ref="Y5:Z5"/>
    <mergeCell ref="AA5:AB5"/>
    <mergeCell ref="Y6:Z6"/>
    <mergeCell ref="AA6:AB6"/>
    <mergeCell ref="W7:X7"/>
    <mergeCell ref="Y7:Z7"/>
    <mergeCell ref="AA7:AB7"/>
    <mergeCell ref="AK2:AL2"/>
    <mergeCell ref="AM2:AN2"/>
    <mergeCell ref="AO2:AP2"/>
    <mergeCell ref="AQ2:AR2"/>
    <mergeCell ref="AS2:AT2"/>
    <mergeCell ref="AU2:AV2"/>
    <mergeCell ref="W2:X2"/>
    <mergeCell ref="Y2:Z2"/>
    <mergeCell ref="AA2:AB2"/>
    <mergeCell ref="AC2:AD2"/>
    <mergeCell ref="AE2:AF2"/>
    <mergeCell ref="AG2:AH2"/>
    <mergeCell ref="AI2:AJ2"/>
    <mergeCell ref="W3:X3"/>
    <mergeCell ref="Y3:Z3"/>
    <mergeCell ref="AA3:AB3"/>
    <mergeCell ref="AC3:AD3"/>
    <mergeCell ref="AE3:AF3"/>
    <mergeCell ref="AG3:AH3"/>
    <mergeCell ref="AI3:AJ3"/>
    <mergeCell ref="AG5:AH5"/>
    <mergeCell ref="AI5:AJ5"/>
    <mergeCell ref="AG6:AH6"/>
    <mergeCell ref="AI6:AJ6"/>
    <mergeCell ref="AG7:AH7"/>
    <mergeCell ref="AI7:AJ7"/>
    <mergeCell ref="AG8:AH8"/>
    <mergeCell ref="AI8:AJ8"/>
    <mergeCell ref="Y4:Z4"/>
    <mergeCell ref="AA4:AB4"/>
    <mergeCell ref="AC4:AD4"/>
    <mergeCell ref="AE4:AF4"/>
    <mergeCell ref="AG4:AH4"/>
    <mergeCell ref="AI4:AJ4"/>
    <mergeCell ref="F5:G5"/>
    <mergeCell ref="F7:G7"/>
    <mergeCell ref="B11:C11"/>
    <mergeCell ref="F11:G11"/>
    <mergeCell ref="W11:X11"/>
    <mergeCell ref="Y11:Z11"/>
    <mergeCell ref="AA11:AB11"/>
    <mergeCell ref="AC11:AD11"/>
    <mergeCell ref="AE11:AF11"/>
    <mergeCell ref="AG11:AH11"/>
    <mergeCell ref="AI11:AJ11"/>
    <mergeCell ref="AK15:AL15"/>
    <mergeCell ref="AM15:AN15"/>
    <mergeCell ref="AO15:AP15"/>
    <mergeCell ref="AQ15:AR15"/>
    <mergeCell ref="AS15:AT15"/>
    <mergeCell ref="AU15:AV15"/>
    <mergeCell ref="AX21:AY21"/>
    <mergeCell ref="W15:X15"/>
    <mergeCell ref="Y15:Z15"/>
    <mergeCell ref="AA15:AB15"/>
    <mergeCell ref="AC15:AD15"/>
    <mergeCell ref="AE15:AF15"/>
    <mergeCell ref="AG15:AH15"/>
    <mergeCell ref="AI15:AJ15"/>
    <mergeCell ref="Y9:Z9"/>
    <mergeCell ref="AA9:AB9"/>
    <mergeCell ref="AC9:AD9"/>
    <mergeCell ref="AE9:AF9"/>
    <mergeCell ref="AG9:AH9"/>
    <mergeCell ref="AI9:AJ9"/>
    <mergeCell ref="W10:X10"/>
    <mergeCell ref="Y10:Z10"/>
    <mergeCell ref="AA10:AB10"/>
    <mergeCell ref="AC10:AD10"/>
    <mergeCell ref="AE10:AF10"/>
    <mergeCell ref="AG10:AH10"/>
    <mergeCell ref="AI10:AJ10"/>
    <mergeCell ref="W4:X4"/>
    <mergeCell ref="W5:X5"/>
    <mergeCell ref="W6:X6"/>
    <mergeCell ref="W8:X8"/>
    <mergeCell ref="Y8:Z8"/>
    <mergeCell ref="AA8:AB8"/>
    <mergeCell ref="W9:X9"/>
    <mergeCell ref="W12:X12"/>
    <mergeCell ref="Y12:Z12"/>
    <mergeCell ref="AA12:AB12"/>
    <mergeCell ref="AC12:AD12"/>
    <mergeCell ref="AE12:AF12"/>
    <mergeCell ref="AG12:AH12"/>
    <mergeCell ref="AI12:AJ12"/>
    <mergeCell ref="W13:X13"/>
    <mergeCell ref="Y13:Z13"/>
    <mergeCell ref="AA13:AB13"/>
    <mergeCell ref="AC13:AD13"/>
    <mergeCell ref="AE13:AF13"/>
    <mergeCell ref="AG13:AH13"/>
    <mergeCell ref="AI13:AJ13"/>
    <mergeCell ref="W14:X14"/>
    <mergeCell ref="Y14:Z14"/>
    <mergeCell ref="AA14:AB14"/>
    <mergeCell ref="AC14:AD14"/>
    <mergeCell ref="AE14:AF14"/>
    <mergeCell ref="AG14:AH14"/>
    <mergeCell ref="AI14:AJ14"/>
    <mergeCell ref="Z16:AA16"/>
    <mergeCell ref="AB16:AD16"/>
    <mergeCell ref="AE16:AF16"/>
    <mergeCell ref="Z17:AA17"/>
    <mergeCell ref="AB17:AD17"/>
    <mergeCell ref="AE17:AF17"/>
    <mergeCell ref="AG17:AH17"/>
  </mergeCells>
  <conditionalFormatting sqref="K3:U14">
    <cfRule type="containsBlanks" dxfId="2" priority="1">
      <formula>LEN(TRIM(K3))=0</formula>
    </cfRule>
  </conditionalFormatting>
  <conditionalFormatting sqref="K1:U14">
    <cfRule type="cellIs" dxfId="3" priority="2" operator="equal">
      <formula>0</formula>
    </cfRule>
  </conditionalFormatting>
  <conditionalFormatting sqref="U1:U14 BH21:BI21">
    <cfRule type="colorScale" priority="3">
      <colorScale>
        <cfvo type="min"/>
        <cfvo type="formula" val="0.5"/>
        <cfvo type="max"/>
        <color rgb="FFFF0000"/>
        <color rgb="FFFFFFFF"/>
        <color rgb="FF00FF00"/>
      </colorScale>
    </cfRule>
  </conditionalFormatting>
  <conditionalFormatting sqref="T1:T14">
    <cfRule type="colorScale" priority="4">
      <colorScale>
        <cfvo type="formula" val="2"/>
        <cfvo type="formula" val="4.5"/>
        <cfvo type="formula" val="8"/>
        <color rgb="FFFF0000"/>
        <color rgb="FFFFFFFF"/>
        <color rgb="FF00FF00"/>
      </colorScale>
    </cfRule>
  </conditionalFormatting>
  <conditionalFormatting sqref="K1:U14">
    <cfRule type="colorScale" priority="5">
      <colorScale>
        <cfvo type="min"/>
        <cfvo type="formula" val="0"/>
        <cfvo type="max"/>
        <color rgb="FFFF0000"/>
        <color rgb="FFFFFFFF"/>
        <color rgb="FF00FF00"/>
      </colorScale>
    </cfRule>
  </conditionalFormatting>
  <conditionalFormatting sqref="Y20:AG408">
    <cfRule type="cellIs" dxfId="4" priority="6" operator="equal">
      <formula>0</formula>
    </cfRule>
  </conditionalFormatting>
  <conditionalFormatting sqref="AD20:AD408">
    <cfRule type="colorScale" priority="7">
      <colorScale>
        <cfvo type="min"/>
        <cfvo type="formula" val="0"/>
        <cfvo type="max"/>
        <color rgb="FFFF0000"/>
        <color rgb="FFFFFF00"/>
        <color rgb="FF00FF00"/>
      </colorScale>
    </cfRule>
  </conditionalFormatting>
  <conditionalFormatting sqref="Y20:Y416">
    <cfRule type="colorScale" priority="8">
      <colorScale>
        <cfvo type="min"/>
        <cfvo type="formula" val="0"/>
        <cfvo type="max"/>
        <color rgb="FFFF0000"/>
        <color rgb="FFFFFF00"/>
        <color rgb="FF00FF00"/>
      </colorScale>
    </cfRule>
  </conditionalFormatting>
  <conditionalFormatting sqref="M20:N416">
    <cfRule type="colorScale" priority="9">
      <colorScale>
        <cfvo type="min"/>
        <cfvo type="formula" val="0"/>
        <cfvo type="max"/>
        <color rgb="FFFF0000"/>
        <color rgb="FFFFFF00"/>
        <color rgb="FF00FF00"/>
      </colorScale>
    </cfRule>
  </conditionalFormatting>
  <conditionalFormatting sqref="A20:C480">
    <cfRule type="cellIs" dxfId="5" priority="10" operator="equal">
      <formula>2</formula>
    </cfRule>
  </conditionalFormatting>
  <conditionalFormatting sqref="A20:C480">
    <cfRule type="cellIs" dxfId="4" priority="11" operator="equal">
      <formula>3</formula>
    </cfRule>
  </conditionalFormatting>
  <conditionalFormatting sqref="A20:C480">
    <cfRule type="cellIs" dxfId="0" priority="12" operator="equal">
      <formula>4</formula>
    </cfRule>
  </conditionalFormatting>
  <conditionalFormatting sqref="A20:C480">
    <cfRule type="cellIs" dxfId="6" priority="13" operator="equal">
      <formula>5</formula>
    </cfRule>
  </conditionalFormatting>
  <conditionalFormatting sqref="D20:D435">
    <cfRule type="colorScale" priority="14">
      <colorScale>
        <cfvo type="min"/>
        <cfvo type="percentile" val="50"/>
        <cfvo type="max"/>
        <color rgb="FFFF0000"/>
        <color rgb="FFFFFF00"/>
        <color rgb="FF00FF00"/>
      </colorScale>
    </cfRule>
  </conditionalFormatting>
  <conditionalFormatting sqref="Z20:Z408">
    <cfRule type="colorScale" priority="15">
      <colorScale>
        <cfvo type="min"/>
        <cfvo type="formula" val="0"/>
        <cfvo type="max"/>
        <color rgb="FFFF0000"/>
        <color rgb="FFFFFF00"/>
        <color rgb="FF00FF00"/>
      </colorScale>
    </cfRule>
  </conditionalFormatting>
  <conditionalFormatting sqref="O20:O408">
    <cfRule type="cellIs" dxfId="4" priority="16" operator="equal">
      <formula>0</formula>
    </cfRule>
  </conditionalFormatting>
  <conditionalFormatting sqref="O20:O408">
    <cfRule type="colorScale" priority="17">
      <colorScale>
        <cfvo type="min"/>
        <cfvo type="formula" val="0"/>
        <cfvo type="max"/>
        <color rgb="FFFF0000"/>
        <color rgb="FFFFFF00"/>
        <color rgb="FF00FF00"/>
      </colorScale>
    </cfRule>
  </conditionalFormatting>
  <conditionalFormatting sqref="AA20:AA408">
    <cfRule type="colorScale" priority="18">
      <colorScale>
        <cfvo type="min"/>
        <cfvo type="formula" val="0"/>
        <cfvo type="max"/>
        <color rgb="FFFF0000"/>
        <color rgb="FFFFFF00"/>
        <color rgb="FF00FF00"/>
      </colorScale>
    </cfRule>
  </conditionalFormatting>
  <conditionalFormatting sqref="AB20:AB408">
    <cfRule type="colorScale" priority="19">
      <colorScale>
        <cfvo type="min"/>
        <cfvo type="formula" val="0"/>
        <cfvo type="max"/>
        <color rgb="FFFF0000"/>
        <color rgb="FFFFFF00"/>
        <color rgb="FF00FF00"/>
      </colorScale>
    </cfRule>
  </conditionalFormatting>
  <conditionalFormatting sqref="AC20:AC408">
    <cfRule type="colorScale" priority="20">
      <colorScale>
        <cfvo type="min"/>
        <cfvo type="formula" val="0"/>
        <cfvo type="max"/>
        <color rgb="FFFF0000"/>
        <color rgb="FFFFFF00"/>
        <color rgb="FF00FF00"/>
      </colorScale>
    </cfRule>
  </conditionalFormatting>
  <conditionalFormatting sqref="AE20:AE408">
    <cfRule type="colorScale" priority="21">
      <colorScale>
        <cfvo type="min"/>
        <cfvo type="formula" val="0"/>
        <cfvo type="max"/>
        <color rgb="FFFF0000"/>
        <color rgb="FFFFFF00"/>
        <color rgb="FF00FF00"/>
      </colorScale>
    </cfRule>
  </conditionalFormatting>
  <conditionalFormatting sqref="AF20:AF408">
    <cfRule type="colorScale" priority="22">
      <colorScale>
        <cfvo type="min"/>
        <cfvo type="formula" val="0"/>
        <cfvo type="max"/>
        <color rgb="FFFF0000"/>
        <color rgb="FFFFFF00"/>
        <color rgb="FF00FF00"/>
      </colorScale>
    </cfRule>
  </conditionalFormatting>
  <conditionalFormatting sqref="AG20:AG408">
    <cfRule type="colorScale" priority="23">
      <colorScale>
        <cfvo type="min"/>
        <cfvo type="formula" val="0"/>
        <cfvo type="max"/>
        <color rgb="FFFF0000"/>
        <color rgb="FFFFFF00"/>
        <color rgb="FF00FF00"/>
      </colorScale>
    </cfRule>
  </conditionalFormatting>
  <dataValidations>
    <dataValidation type="list" allowBlank="1" sqref="Z17">
      <formula1>'Final Update'!$M$11:$M$32</formula1>
    </dataValidation>
    <dataValidation type="list" allowBlank="1" showErrorMessage="1" sqref="AG17">
      <formula1>"BBM,HASHTAG"</formula1>
    </dataValidation>
    <dataValidation type="list" allowBlank="1" sqref="AJ22">
      <formula1>"100,75,50,25,0"</formula1>
    </dataValidation>
    <dataValidation type="list" allowBlank="1" sqref="AJ23:AJ35">
      <formula1>"100,75,50,25,0"</formula1>
    </dataValidation>
    <dataValidation type="list" allowBlank="1" showErrorMessage="1" sqref="G3">
      <formula1>"1,2,3,4,5,6,7,8,9,10,11,12"</formula1>
    </dataValidation>
    <dataValidation type="list" allowBlank="1" sqref="K17:S17">
      <formula1>'Final Update'!$U$7:$U$16</formula1>
    </dataValidation>
    <dataValidation type="list" allowBlank="1" showErrorMessage="1" sqref="F7 G15">
      <formula1>Projections!$J$20:$J1015</formula1>
    </dataValidation>
    <dataValidation type="list" allowBlank="1" showErrorMessage="1" sqref="G6">
      <formula1>"1,2,3,4,5,6,7,8,9,10,11,12,13,14"</formula1>
    </dataValidation>
    <dataValidation type="list" allowBlank="1" showErrorMessage="1" sqref="AE17">
      <formula1>"50,100,150,200,400"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15" max="16" width="20.0"/>
    <col customWidth="1" min="17" max="17" width="6.13"/>
    <col customWidth="1" min="18" max="18" width="5.88"/>
    <col customWidth="1" min="19" max="19" width="5.75"/>
    <col customWidth="1" min="20" max="20" width="7.75"/>
    <col customWidth="1" min="21" max="29" width="6.63"/>
    <col customWidth="1" min="30" max="30" width="7.38"/>
    <col customWidth="1" min="31" max="31" width="4.75"/>
    <col customWidth="1" min="32" max="32" width="6.88"/>
    <col customWidth="1" min="33" max="33" width="4.75"/>
    <col customWidth="1" min="34" max="34" width="4.63"/>
    <col customWidth="1" min="35" max="35" width="4.75"/>
    <col customWidth="1" min="36" max="36" width="5.25"/>
    <col customWidth="1" min="37" max="37" width="4.75"/>
    <col customWidth="1" min="38" max="43" width="5.25"/>
  </cols>
  <sheetData>
    <row r="1">
      <c r="A1" s="5" t="s">
        <v>0</v>
      </c>
      <c r="B1">
        <f>AVERAGE(UpdateHashtag!M2:M151)</f>
        <v>17.48866667</v>
      </c>
      <c r="C1">
        <f>AVERAGE(UpdateHashtag!$L$2:$L$151)</f>
        <v>1.748666667</v>
      </c>
      <c r="D1">
        <f>AVERAGE(UpdateHashtag!N$2:N$151)</f>
        <v>6.083333333</v>
      </c>
      <c r="E1">
        <f>AVERAGE(UpdateHashtag!O$2:O$151)</f>
        <v>3.933333333</v>
      </c>
      <c r="F1">
        <f>AVERAGE(UpdateHashtag!P$2:P$151)</f>
        <v>0.976</v>
      </c>
      <c r="G1">
        <f>AVERAGE(UpdateHashtag!Q$2:Q$151)</f>
        <v>0.7486666667</v>
      </c>
      <c r="H1">
        <f>AVERAGE(UpdateHashtag!I$2:I$151)</f>
        <v>0.4972466667</v>
      </c>
      <c r="I1" s="26">
        <f>AVERAGE(I4:I151)</f>
        <v>13.16081081</v>
      </c>
      <c r="J1">
        <f>AVERAGE(UpdateHashtag!K$2:K$151)</f>
        <v>0.79498</v>
      </c>
      <c r="K1" s="26">
        <f>AVERAGE(K4:K151)</f>
        <v>3.677027027</v>
      </c>
      <c r="L1">
        <f>AVERAGE(UpdateHashtag!$L$2:$L$151)</f>
        <v>1.748666667</v>
      </c>
      <c r="M1">
        <f>SUM(UpdateHashtag!R2:R202)</f>
        <v>363.7</v>
      </c>
      <c r="N1" s="29">
        <f>Team!Z1</f>
        <v>150</v>
      </c>
    </row>
    <row r="2">
      <c r="A2" s="5" t="s">
        <v>52</v>
      </c>
      <c r="B2" s="26">
        <f>STDEV(UpdateHashtag!M2:M151)</f>
        <v>5.547676661</v>
      </c>
      <c r="C2" s="26">
        <f>STDEV(UpdateHashtag!$L$2:$L$151)</f>
        <v>1.00813714</v>
      </c>
      <c r="D2" s="26">
        <f>STDEV(UpdateHashtag!N$2:N$151)</f>
        <v>2.551625792</v>
      </c>
      <c r="E2" s="26">
        <f>STDEV(UpdateHashtag!O$2:O$151)</f>
        <v>2.201971864</v>
      </c>
      <c r="F2" s="26">
        <f>STDEV(UpdateHashtag!P$2:P$151)</f>
        <v>0.3022688256</v>
      </c>
      <c r="G2" s="26">
        <f>STDEV(UpdateHashtag!Q$2:Q$151)</f>
        <v>0.5606487932</v>
      </c>
      <c r="H2" s="26">
        <f>STDEV(UpdateHashtag!I$2:I$151)</f>
        <v>0.06532468589</v>
      </c>
      <c r="J2" s="26">
        <f>STDEV(UpdateHashtag!K$2:K$151)</f>
        <v>0.07741359938</v>
      </c>
      <c r="L2" s="26">
        <f>STDEV(UpdateHashtag!$L$2:$L$151)</f>
        <v>1.00813714</v>
      </c>
      <c r="O2" s="36" t="s">
        <v>44</v>
      </c>
      <c r="P2" s="36"/>
      <c r="Q2" s="36" t="s">
        <v>71</v>
      </c>
      <c r="R2" s="36" t="s">
        <v>72</v>
      </c>
      <c r="S2" s="36" t="s">
        <v>73</v>
      </c>
      <c r="T2" s="36"/>
      <c r="U2" s="36" t="s">
        <v>34</v>
      </c>
    </row>
    <row r="3">
      <c r="A3" t="str">
        <f>UpdateHashtag!B1</f>
        <v>ADP</v>
      </c>
      <c r="B3" s="37" t="s">
        <v>78</v>
      </c>
      <c r="C3" s="37" t="s">
        <v>79</v>
      </c>
      <c r="D3" s="37" t="s">
        <v>80</v>
      </c>
      <c r="E3" s="37" t="s">
        <v>81</v>
      </c>
      <c r="F3" s="37" t="s">
        <v>82</v>
      </c>
      <c r="G3" s="37" t="s">
        <v>83</v>
      </c>
      <c r="H3" s="37" t="s">
        <v>84</v>
      </c>
      <c r="I3" s="37" t="s">
        <v>85</v>
      </c>
      <c r="J3" s="37" t="s">
        <v>86</v>
      </c>
      <c r="K3" s="37" t="s">
        <v>87</v>
      </c>
      <c r="L3" s="37" t="s">
        <v>88</v>
      </c>
      <c r="N3" s="38"/>
      <c r="O3" s="39" t="s">
        <v>44</v>
      </c>
      <c r="P3" s="39"/>
      <c r="Q3" s="39"/>
      <c r="R3" s="39" t="s">
        <v>72</v>
      </c>
      <c r="S3" s="39" t="s">
        <v>73</v>
      </c>
      <c r="T3" s="39"/>
      <c r="U3" s="39" t="s">
        <v>34</v>
      </c>
    </row>
    <row r="4">
      <c r="A4" s="40" t="str">
        <f>IF(UpdateHashtag!C2="",ROW(UpdateHashtag!C2),UpdateHashtag!C2)</f>
        <v>Victor Wembanyama</v>
      </c>
      <c r="B4" s="41">
        <f>IF(TYPE($A4)=1,"",(UpdateHashtag!M2-B$1)/B$2)</f>
        <v>1.191730113</v>
      </c>
      <c r="C4" s="41">
        <f>IF(TYPE($A4)=1,"",(UpdateHashtag!L2-C$1)/C$2)</f>
        <v>0.2493047061</v>
      </c>
      <c r="D4" s="41">
        <f>IF(TYPE($A4)=1,"",(UpdateHashtag!N2-D$1)/D$2)</f>
        <v>2.162020263</v>
      </c>
      <c r="E4" s="41">
        <f>IF(TYPE($A4)=1,"",(UpdateHashtag!O2-E$1)/E$2)</f>
        <v>0.2119312578</v>
      </c>
      <c r="F4" s="41">
        <f>IF(TYPE($A4)=1,"",(UpdateHashtag!P2-F$1)/F$2)</f>
        <v>1.402724873</v>
      </c>
      <c r="G4" s="41">
        <f>IF(TYPE($A4)=1,"",(UpdateHashtag!Q2-G$1)/G$2)</f>
        <v>5.620868842</v>
      </c>
      <c r="H4" s="41">
        <f>IF(TYPE($A4)=1,"",(UpdateHashtag!I2-H$1)/H$2*I4/$I$1)</f>
        <v>-0.5245718845</v>
      </c>
      <c r="I4" s="41">
        <f>UpdateHashtag!S2</f>
        <v>18.6</v>
      </c>
      <c r="J4" s="53">
        <f>IF(TYPE($A4)=1,"",(UpdateHashtag!K2-J$1)/J$2*K4/$K$1)</f>
        <v>0.138105526</v>
      </c>
      <c r="K4" s="55">
        <f>UpdateHashtag!T2</f>
        <v>5.6</v>
      </c>
      <c r="L4" s="41">
        <f>IF(TYPE($A4)=1,"",-(UpdateHashtag!R2-L$1)/L$2)</f>
        <v>-1.638004661</v>
      </c>
    </row>
    <row r="5">
      <c r="A5" s="40" t="str">
        <f>IF(UpdateHashtag!C3="",ROW(UpdateHashtag!C3),UpdateHashtag!C3)</f>
        <v>Nikola Jokic</v>
      </c>
      <c r="B5" s="41">
        <f>IF(TYPE($A5)=1,"",(UpdateHashtag!M3-B$1)/B$2)</f>
        <v>1.660394774</v>
      </c>
      <c r="C5" s="41">
        <f>IF(TYPE($A5)=1,"",(UpdateHashtag!L3-C$1)/C$2)</f>
        <v>-0.643430979</v>
      </c>
      <c r="D5" s="41">
        <f>IF(TYPE($A5)=1,"",(UpdateHashtag!N3-D$1)/D$2)</f>
        <v>2.357973761</v>
      </c>
      <c r="E5" s="41">
        <f>IF(TYPE($A5)=1,"",(UpdateHashtag!O3-E$1)/E$2)</f>
        <v>2.300967941</v>
      </c>
      <c r="F5" s="41">
        <f>IF(TYPE($A5)=1,"",(UpdateHashtag!P3-F$1)/F$2)</f>
        <v>1.402724873</v>
      </c>
      <c r="G5" s="41">
        <f>IF(TYPE($A5)=1,"",(UpdateHashtag!Q3-G$1)/G$2)</f>
        <v>0.2699253707</v>
      </c>
      <c r="H5" s="41">
        <f>IF(TYPE($A5)=1,"",(UpdateHashtag!I3-H$1)/H$2*I5/$I$1)</f>
        <v>1.81686914</v>
      </c>
      <c r="I5" s="41">
        <f>UpdateHashtag!S3</f>
        <v>17.8</v>
      </c>
      <c r="J5" s="53">
        <f>IF(TYPE($A5)=1,"",(UpdateHashtag!K3-J$1)/J$2*K5/$K$1)</f>
        <v>0.4894258615</v>
      </c>
      <c r="K5" s="55">
        <f>UpdateHashtag!T3</f>
        <v>5.8</v>
      </c>
      <c r="L5" s="41">
        <f>IF(TYPE($A5)=1,"",-(UpdateHashtag!R3-L$1)/L$2)</f>
        <v>-1.241233245</v>
      </c>
    </row>
    <row r="6">
      <c r="A6" s="40" t="str">
        <f>IF(UpdateHashtag!C4="",ROW(UpdateHashtag!C4),UpdateHashtag!C4)</f>
        <v>Shai Gilgeous-Alexander</v>
      </c>
      <c r="B6" s="41">
        <f>IF(TYPE($A6)=1,"",(UpdateHashtag!M4-B$1)/B$2)</f>
        <v>2.237212818</v>
      </c>
      <c r="C6" s="41">
        <f>IF(TYPE($A6)=1,"",(UpdateHashtag!L4-C$1)/C$2)</f>
        <v>-0.3458524173</v>
      </c>
      <c r="D6" s="41">
        <f>IF(TYPE($A6)=1,"",(UpdateHashtag!N4-D$1)/D$2)</f>
        <v>-0.3853752131</v>
      </c>
      <c r="E6" s="41">
        <f>IF(TYPE($A6)=1,"",(UpdateHashtag!O4-E$1)/E$2)</f>
        <v>1.165621918</v>
      </c>
      <c r="F6" s="41">
        <f>IF(TYPE($A6)=1,"",(UpdateHashtag!P4-F$1)/F$2)</f>
        <v>3.056881562</v>
      </c>
      <c r="G6" s="41">
        <f>IF(TYPE($A6)=1,"",(UpdateHashtag!Q4-G$1)/G$2)</f>
        <v>0.2699253707</v>
      </c>
      <c r="H6" s="41">
        <f>IF(TYPE($A6)=1,"",(UpdateHashtag!I4-H$1)/H$2*I6/$I$1)</f>
        <v>0.6068097299</v>
      </c>
      <c r="I6" s="41">
        <f>UpdateHashtag!S4</f>
        <v>19.5</v>
      </c>
      <c r="J6" s="53">
        <f>IF(TYPE($A6)=1,"",(UpdateHashtag!K4-J$1)/J$2*K6/$K$1)</f>
        <v>2.747861538</v>
      </c>
      <c r="K6" s="55">
        <f>UpdateHashtag!T4</f>
        <v>9.2</v>
      </c>
      <c r="L6" s="41">
        <f>IF(TYPE($A6)=1,"",-(UpdateHashtag!R4-L$1)/L$2)</f>
        <v>-0.6460761218</v>
      </c>
    </row>
    <row r="7">
      <c r="A7" s="40" t="str">
        <f>IF(UpdateHashtag!C5="",ROW(UpdateHashtag!C5),UpdateHashtag!C5)</f>
        <v>Luka Doncic</v>
      </c>
      <c r="B7" s="41">
        <f>IF(TYPE($A7)=1,"",(UpdateHashtag!M5-B$1)/B$2)</f>
        <v>3.048363192</v>
      </c>
      <c r="C7" s="41">
        <f>IF(TYPE($A7)=1,"",(UpdateHashtag!L5-C$1)/C$2)</f>
        <v>2.332354638</v>
      </c>
      <c r="D7" s="41">
        <f>IF(TYPE($A7)=1,"",(UpdateHashtag!N5-D$1)/D$2)</f>
        <v>1.260634172</v>
      </c>
      <c r="E7" s="41">
        <f>IF(TYPE($A7)=1,"",(UpdateHashtag!O5-E$1)/E$2)</f>
        <v>2.70969251</v>
      </c>
      <c r="F7" s="41">
        <f>IF(TYPE($A7)=1,"",(UpdateHashtag!P5-F$1)/F$2)</f>
        <v>1.402724873</v>
      </c>
      <c r="G7" s="41">
        <f>IF(TYPE($A7)=1,"",(UpdateHashtag!Q5-G$1)/G$2)</f>
        <v>-0.4435337589</v>
      </c>
      <c r="H7" s="41">
        <f>IF(TYPE($A7)=1,"",(UpdateHashtag!I5-H$1)/H$2*I7/$I$1)</f>
        <v>-0.1671152918</v>
      </c>
      <c r="I7" s="41">
        <f>UpdateHashtag!S5</f>
        <v>23</v>
      </c>
      <c r="J7" s="53">
        <f>IF(TYPE($A7)=1,"",(UpdateHashtag!K5-J$1)/J$2*K7/$K$1)</f>
        <v>-0.1015485942</v>
      </c>
      <c r="K7" s="55">
        <f>UpdateHashtag!T5</f>
        <v>9.7</v>
      </c>
      <c r="L7" s="41">
        <f>IF(TYPE($A7)=1,"",-(UpdateHashtag!R5-L$1)/L$2)</f>
        <v>-2.034776076</v>
      </c>
    </row>
    <row r="8">
      <c r="A8" s="40" t="str">
        <f>IF(UpdateHashtag!C6="",ROW(UpdateHashtag!C6),UpdateHashtag!C6)</f>
        <v>Anthony Davis</v>
      </c>
      <c r="B8" s="41">
        <f>IF(TYPE($A8)=1,"",(UpdateHashtag!M6-B$1)/B$2)</f>
        <v>1.390011316</v>
      </c>
      <c r="C8" s="41">
        <f>IF(TYPE($A8)=1,"",(UpdateHashtag!L6-C$1)/C$2)</f>
        <v>-1.337780956</v>
      </c>
      <c r="D8" s="41">
        <f>IF(TYPE($A8)=1,"",(UpdateHashtag!N6-D$1)/D$2)</f>
        <v>2.593117959</v>
      </c>
      <c r="E8" s="41">
        <f>IF(TYPE($A8)=1,"",(UpdateHashtag!O6-E$1)/E$2)</f>
        <v>-0.1513794698</v>
      </c>
      <c r="F8" s="41">
        <f>IF(TYPE($A8)=1,"",(UpdateHashtag!P6-F$1)/F$2)</f>
        <v>0.741062197</v>
      </c>
      <c r="G8" s="41">
        <f>IF(TYPE($A8)=1,"",(UpdateHashtag!Q6-G$1)/G$2)</f>
        <v>2.767032324</v>
      </c>
      <c r="H8" s="41">
        <f>IF(TYPE($A8)=1,"",(UpdateHashtag!I6-H$1)/H$2*I8/$I$1)</f>
        <v>1.221094711</v>
      </c>
      <c r="I8" s="41">
        <f>UpdateHashtag!S6</f>
        <v>17</v>
      </c>
      <c r="J8" s="53">
        <f>IF(TYPE($A8)=1,"",(UpdateHashtag!K6-J$1)/J$2*K8/$K$1)</f>
        <v>0.1800304179</v>
      </c>
      <c r="K8" s="55">
        <f>UpdateHashtag!T6</f>
        <v>7.3</v>
      </c>
      <c r="L8" s="41">
        <f>IF(TYPE($A8)=1,"",-(UpdateHashtag!R6-L$1)/L$2)</f>
        <v>-0.34849756</v>
      </c>
      <c r="U8" s="5">
        <v>2.0</v>
      </c>
    </row>
    <row r="9">
      <c r="A9" s="40" t="str">
        <f>IF(UpdateHashtag!C7="",ROW(UpdateHashtag!C7),UpdateHashtag!C7)</f>
        <v>Joel Embiid</v>
      </c>
      <c r="B9" s="41">
        <f>IF(TYPE($A9)=1,"",(UpdateHashtag!M7-B$1)/B$2)</f>
        <v>1.912752668</v>
      </c>
      <c r="C9" s="41">
        <f>IF(TYPE($A9)=1,"",(UpdateHashtag!L7-C$1)/C$2)</f>
        <v>-0.4450452712</v>
      </c>
      <c r="D9" s="41">
        <f>IF(TYPE($A9)=1,"",(UpdateHashtag!N7-D$1)/D$2)</f>
        <v>1.534969069</v>
      </c>
      <c r="E9" s="41">
        <f>IF(TYPE($A9)=1,"",(UpdateHashtag!O7-E$1)/E$2)</f>
        <v>-0.01513794698</v>
      </c>
      <c r="F9" s="41">
        <f>IF(TYPE($A9)=1,"",(UpdateHashtag!P7-F$1)/F$2)</f>
        <v>-0.2514318168</v>
      </c>
      <c r="G9" s="41">
        <f>IF(TYPE($A9)=1,"",(UpdateHashtag!Q7-G$1)/G$2)</f>
        <v>1.161749283</v>
      </c>
      <c r="H9" s="41">
        <f>IF(TYPE($A9)=1,"",(UpdateHashtag!I7-H$1)/H$2*I9/$I$1)</f>
        <v>0.4248548235</v>
      </c>
      <c r="I9" s="41">
        <f>UpdateHashtag!S7</f>
        <v>17.6</v>
      </c>
      <c r="J9" s="53">
        <f>IF(TYPE($A9)=1,"",(UpdateHashtag!K7-J$1)/J$2*K9/$K$1)</f>
        <v>2.643924061</v>
      </c>
      <c r="K9" s="55">
        <f>UpdateHashtag!T7</f>
        <v>9.9</v>
      </c>
      <c r="L9" s="41">
        <f>IF(TYPE($A9)=1,"",-(UpdateHashtag!R7-L$1)/L$2)</f>
        <v>-1.538811807</v>
      </c>
      <c r="U9" s="99">
        <v>1.75</v>
      </c>
    </row>
    <row r="10">
      <c r="A10" s="40" t="str">
        <f>IF(UpdateHashtag!C8="",ROW(UpdateHashtag!C8),UpdateHashtag!C8)</f>
        <v>Giannis Antetokounmpo</v>
      </c>
      <c r="B10" s="41">
        <f>IF(TYPE($A10)=1,"",(UpdateHashtag!M8-B$1)/B$2)</f>
        <v>2.453519584</v>
      </c>
      <c r="C10" s="41">
        <f>IF(TYPE($A10)=1,"",(UpdateHashtag!L8-C$1)/C$2)</f>
        <v>-1.139395249</v>
      </c>
      <c r="D10" s="41">
        <f>IF(TYPE($A10)=1,"",(UpdateHashtag!N8-D$1)/D$2)</f>
        <v>2.240401662</v>
      </c>
      <c r="E10" s="41">
        <f>IF(TYPE($A10)=1,"",(UpdateHashtag!O8-E$1)/E$2)</f>
        <v>1.2564496</v>
      </c>
      <c r="F10" s="41">
        <f>IF(TYPE($A10)=1,"",(UpdateHashtag!P8-F$1)/F$2)</f>
        <v>0.741062197</v>
      </c>
      <c r="G10" s="41">
        <f>IF(TYPE($A10)=1,"",(UpdateHashtag!Q8-G$1)/G$2)</f>
        <v>0.6266549355</v>
      </c>
      <c r="H10" s="41">
        <f>IF(TYPE($A10)=1,"",(UpdateHashtag!I8-H$1)/H$2*I10/$I$1)</f>
        <v>2.60741729</v>
      </c>
      <c r="I10" s="41">
        <f>UpdateHashtag!S8</f>
        <v>19.2</v>
      </c>
      <c r="J10" s="53">
        <f>IF(TYPE($A10)=1,"",(UpdateHashtag!K8-J$1)/J$2*K10/$K$1)</f>
        <v>-4.573270064</v>
      </c>
      <c r="K10" s="55">
        <f>UpdateHashtag!T8</f>
        <v>10.5</v>
      </c>
      <c r="L10" s="41">
        <f>IF(TYPE($A10)=1,"",-(UpdateHashtag!R8-L$1)/L$2)</f>
        <v>-1.638004661</v>
      </c>
      <c r="U10" s="107">
        <v>1.5</v>
      </c>
    </row>
    <row r="11">
      <c r="A11" s="40" t="str">
        <f>IF(UpdateHashtag!C9="",ROW(UpdateHashtag!C9),UpdateHashtag!C9)</f>
        <v>Tyrese Haliburton</v>
      </c>
      <c r="B11" s="41">
        <f>IF(TYPE($A11)=1,"",(UpdateHashtag!M9-B$1)/B$2)</f>
        <v>0.6509631967</v>
      </c>
      <c r="C11" s="41">
        <f>IF(TYPE($A11)=1,"",(UpdateHashtag!L9-C$1)/C$2)</f>
        <v>1.241233245</v>
      </c>
      <c r="D11" s="41">
        <f>IF(TYPE($A11)=1,"",(UpdateHashtag!N9-D$1)/D$2)</f>
        <v>-0.8556636087</v>
      </c>
      <c r="E11" s="41">
        <f>IF(TYPE($A11)=1,"",(UpdateHashtag!O9-E$1)/E$2)</f>
        <v>3.254658601</v>
      </c>
      <c r="F11" s="41">
        <f>IF(TYPE($A11)=1,"",(UpdateHashtag!P9-F$1)/F$2)</f>
        <v>1.402724873</v>
      </c>
      <c r="G11" s="41">
        <f>IF(TYPE($A11)=1,"",(UpdateHashtag!Q9-G$1)/G$2)</f>
        <v>-0.08680419409</v>
      </c>
      <c r="H11" s="41">
        <f>IF(TYPE($A11)=1,"",(UpdateHashtag!I9-H$1)/H$2*I11/$I$1)</f>
        <v>-0.25851032</v>
      </c>
      <c r="I11" s="41">
        <f>UpdateHashtag!S9</f>
        <v>15.6</v>
      </c>
      <c r="J11" s="53">
        <f>IF(TYPE($A11)=1,"",(UpdateHashtag!K9-J$1)/J$2*K11/$K$1)</f>
        <v>0.8240591485</v>
      </c>
      <c r="K11" s="55">
        <f>UpdateHashtag!T9</f>
        <v>3.5</v>
      </c>
      <c r="L11" s="41">
        <f>IF(TYPE($A11)=1,"",-(UpdateHashtag!R9-L$1)/L$2)</f>
        <v>-0.7452689757</v>
      </c>
      <c r="M11" s="5" t="s">
        <v>2</v>
      </c>
      <c r="U11" s="112">
        <v>1.25</v>
      </c>
      <c r="Y11" s="37"/>
      <c r="Z11" s="114"/>
    </row>
    <row r="12">
      <c r="A12" s="40" t="str">
        <f>IF(UpdateHashtag!C10="",ROW(UpdateHashtag!C10),UpdateHashtag!C10)</f>
        <v>Trae Young</v>
      </c>
      <c r="B12" s="41">
        <f>IF(TYPE($A12)=1,"",(UpdateHashtag!M10-B$1)/B$2)</f>
        <v>1.912752668</v>
      </c>
      <c r="C12" s="41">
        <f>IF(TYPE($A12)=1,"",(UpdateHashtag!L10-C$1)/C$2)</f>
        <v>1.638004661</v>
      </c>
      <c r="D12" s="41">
        <f>IF(TYPE($A12)=1,"",(UpdateHashtag!N10-D$1)/D$2)</f>
        <v>-1.247570605</v>
      </c>
      <c r="E12" s="41">
        <f>IF(TYPE($A12)=1,"",(UpdateHashtag!O10-E$1)/E$2)</f>
        <v>3.118417078</v>
      </c>
      <c r="F12" s="41">
        <f>IF(TYPE($A12)=1,"",(UpdateHashtag!P10-F$1)/F$2)</f>
        <v>0.741062197</v>
      </c>
      <c r="G12" s="41">
        <f>IF(TYPE($A12)=1,"",(UpdateHashtag!Q10-G$1)/G$2)</f>
        <v>-0.978628106</v>
      </c>
      <c r="H12" s="41">
        <f>IF(TYPE($A12)=1,"",(UpdateHashtag!I10-H$1)/H$2*I12/$I$1)</f>
        <v>-1.479902025</v>
      </c>
      <c r="I12" s="41">
        <f>UpdateHashtag!S10</f>
        <v>19.5</v>
      </c>
      <c r="J12" s="53">
        <f>IF(TYPE($A12)=1,"",(UpdateHashtag!K10-J$1)/J$2*K12/$K$1)</f>
        <v>2.56445858</v>
      </c>
      <c r="K12" s="55">
        <f>UpdateHashtag!T10</f>
        <v>8.9</v>
      </c>
      <c r="L12" s="41">
        <f>IF(TYPE($A12)=1,"",-(UpdateHashtag!R10-L$1)/L$2)</f>
        <v>-2.431547492</v>
      </c>
      <c r="M12" t="str">
        <f t="array" ref="M12:M30">transpose(Projections!M19:AE19)</f>
        <v>LeagV</v>
      </c>
      <c r="U12" s="123">
        <v>1.0</v>
      </c>
      <c r="Y12" s="124"/>
      <c r="Z12" s="124"/>
    </row>
    <row r="13">
      <c r="A13" s="40" t="str">
        <f>IF(UpdateHashtag!C11="",ROW(UpdateHashtag!C11),UpdateHashtag!C11)</f>
        <v>Jayson Tatum</v>
      </c>
      <c r="B13" s="41">
        <f>IF(TYPE($A13)=1,"",(UpdateHashtag!M11-B$1)/B$2)</f>
        <v>1.87670154</v>
      </c>
      <c r="C13" s="41">
        <f>IF(TYPE($A13)=1,"",(UpdateHashtag!L11-C$1)/C$2)</f>
        <v>1.142040391</v>
      </c>
      <c r="D13" s="41">
        <f>IF(TYPE($A13)=1,"",(UpdateHashtag!N11-D$1)/D$2)</f>
        <v>1.143062073</v>
      </c>
      <c r="E13" s="41">
        <f>IF(TYPE($A13)=1,"",(UpdateHashtag!O11-E$1)/E$2)</f>
        <v>0.5298281444</v>
      </c>
      <c r="F13" s="41">
        <f>IF(TYPE($A13)=1,"",(UpdateHashtag!P11-F$1)/F$2)</f>
        <v>0.410230859</v>
      </c>
      <c r="G13" s="41">
        <f>IF(TYPE($A13)=1,"",(UpdateHashtag!Q11-G$1)/G$2)</f>
        <v>-0.08680419409</v>
      </c>
      <c r="H13" s="41">
        <f>IF(TYPE($A13)=1,"",(UpdateHashtag!I11-H$1)/H$2*I13/$I$1)</f>
        <v>-0.6603942544</v>
      </c>
      <c r="I13" s="41">
        <f>UpdateHashtag!S11</f>
        <v>20.1</v>
      </c>
      <c r="J13" s="53">
        <f>IF(TYPE($A13)=1,"",(UpdateHashtag!K11-J$1)/J$2*K13/$K$1)</f>
        <v>1.051972613</v>
      </c>
      <c r="K13" s="55">
        <f>UpdateHashtag!T11</f>
        <v>7.3</v>
      </c>
      <c r="L13" s="41">
        <f>IF(TYPE($A13)=1,"",-(UpdateHashtag!R11-L$1)/L$2)</f>
        <v>-0.7452689757</v>
      </c>
      <c r="M13" t="s">
        <v>327</v>
      </c>
      <c r="U13" s="112">
        <v>0.75</v>
      </c>
    </row>
    <row r="14">
      <c r="A14" s="40" t="str">
        <f>IF(UpdateHashtag!C12="",ROW(UpdateHashtag!C12),UpdateHashtag!C12)</f>
        <v>James Harden</v>
      </c>
      <c r="B14" s="41">
        <f>IF(TYPE($A14)=1,"",(UpdateHashtag!M12-B$1)/B$2)</f>
        <v>0.5247842496</v>
      </c>
      <c r="C14" s="41">
        <f>IF(TYPE($A14)=1,"",(UpdateHashtag!L12-C$1)/C$2)</f>
        <v>1.042847537</v>
      </c>
      <c r="D14" s="41">
        <f>IF(TYPE($A14)=1,"",(UpdateHashtag!N12-D$1)/D$2)</f>
        <v>0.006531783272</v>
      </c>
      <c r="E14" s="41">
        <f>IF(TYPE($A14)=1,"",(UpdateHashtag!O12-E$1)/E$2)</f>
        <v>2.936761715</v>
      </c>
      <c r="F14" s="41">
        <f>IF(TYPE($A14)=1,"",(UpdateHashtag!P12-F$1)/F$2)</f>
        <v>0.410230859</v>
      </c>
      <c r="G14" s="41">
        <f>IF(TYPE($A14)=1,"",(UpdateHashtag!Q12-G$1)/G$2)</f>
        <v>-0.08680419409</v>
      </c>
      <c r="H14" s="41">
        <f>IF(TYPE($A14)=1,"",(UpdateHashtag!I12-H$1)/H$2*I14/$I$1)</f>
        <v>-1.019918948</v>
      </c>
      <c r="I14" s="41">
        <f>UpdateHashtag!S12</f>
        <v>14.8</v>
      </c>
      <c r="J14" s="53">
        <f>IF(TYPE($A14)=1,"",(UpdateHashtag!K12-J$1)/J$2*K14/$K$1)</f>
        <v>1.415434093</v>
      </c>
      <c r="K14" s="55">
        <f>UpdateHashtag!T12</f>
        <v>5.3</v>
      </c>
      <c r="L14" s="41">
        <f>IF(TYPE($A14)=1,"",-(UpdateHashtag!R12-L$1)/L$2)</f>
        <v>-1.142040391</v>
      </c>
      <c r="M14" t="s">
        <v>344</v>
      </c>
      <c r="U14" s="112">
        <v>0.5</v>
      </c>
    </row>
    <row r="15">
      <c r="A15" s="40" t="str">
        <f>IF(UpdateHashtag!C13="",ROW(UpdateHashtag!C13),UpdateHashtag!C13)</f>
        <v>Stephen Curry</v>
      </c>
      <c r="B15" s="41">
        <f>IF(TYPE($A15)=1,"",(UpdateHashtag!M13-B$1)/B$2)</f>
        <v>1.606318082</v>
      </c>
      <c r="C15" s="41">
        <f>IF(TYPE($A15)=1,"",(UpdateHashtag!L13-C$1)/C$2)</f>
        <v>3.026704615</v>
      </c>
      <c r="D15" s="41">
        <f>IF(TYPE($A15)=1,"",(UpdateHashtag!N13-D$1)/D$2)</f>
        <v>-0.6205194109</v>
      </c>
      <c r="E15" s="41">
        <f>IF(TYPE($A15)=1,"",(UpdateHashtag!O13-E$1)/E$2)</f>
        <v>0.6206558263</v>
      </c>
      <c r="F15" s="41">
        <f>IF(TYPE($A15)=1,"",(UpdateHashtag!P13-F$1)/F$2)</f>
        <v>-0.5822631548</v>
      </c>
      <c r="G15" s="41">
        <f>IF(TYPE($A15)=1,"",(UpdateHashtag!Q13-G$1)/G$2)</f>
        <v>-0.6218985413</v>
      </c>
      <c r="H15" s="41">
        <f>IF(TYPE($A15)=1,"",(UpdateHashtag!I13-H$1)/H$2*I15/$I$1)</f>
        <v>-0.6143966447</v>
      </c>
      <c r="I15" s="41">
        <f>UpdateHashtag!S13</f>
        <v>18.7</v>
      </c>
      <c r="J15" s="53">
        <f>IF(TYPE($A15)=1,"",(UpdateHashtag!K13-J$1)/J$2*K15/$K$1)</f>
        <v>1.901578754</v>
      </c>
      <c r="K15" s="55">
        <f>UpdateHashtag!T13</f>
        <v>4.4</v>
      </c>
      <c r="L15" s="41">
        <f>IF(TYPE($A15)=1,"",-(UpdateHashtag!R13-L$1)/L$2)</f>
        <v>-1.042847537</v>
      </c>
      <c r="M15" t="s">
        <v>11</v>
      </c>
      <c r="U15" s="112">
        <v>0.25</v>
      </c>
      <c r="V15">
        <f>COLUMN(K1)</f>
        <v>11</v>
      </c>
    </row>
    <row r="16">
      <c r="A16" s="40" t="str">
        <f>IF(UpdateHashtag!C14="",ROW(UpdateHashtag!C14),UpdateHashtag!C14)</f>
        <v>Donovan Mitchell</v>
      </c>
      <c r="B16" s="41">
        <f>IF(TYPE($A16)=1,"",(UpdateHashtag!M14-B$1)/B$2)</f>
        <v>1.570266954</v>
      </c>
      <c r="C16" s="41">
        <f>IF(TYPE($A16)=1,"",(UpdateHashtag!L14-C$1)/C$2)</f>
        <v>1.538811807</v>
      </c>
      <c r="D16" s="41">
        <f>IF(TYPE($A16)=1,"",(UpdateHashtag!N14-D$1)/D$2)</f>
        <v>-0.6597101105</v>
      </c>
      <c r="E16" s="41">
        <f>IF(TYPE($A16)=1,"",(UpdateHashtag!O14-E$1)/E$2)</f>
        <v>0.6660696672</v>
      </c>
      <c r="F16" s="41">
        <f>IF(TYPE($A16)=1,"",(UpdateHashtag!P14-F$1)/F$2)</f>
        <v>2.064387549</v>
      </c>
      <c r="G16" s="41">
        <f>IF(TYPE($A16)=1,"",(UpdateHashtag!Q14-G$1)/G$2)</f>
        <v>-0.6218985413</v>
      </c>
      <c r="H16" s="41">
        <f>IF(TYPE($A16)=1,"",(UpdateHashtag!I14-H$1)/H$2*I16/$I$1)</f>
        <v>-0.6633626426</v>
      </c>
      <c r="I16" s="41">
        <f>UpdateHashtag!S14</f>
        <v>19.5</v>
      </c>
      <c r="J16" s="53">
        <f>IF(TYPE($A16)=1,"",(UpdateHashtag!K14-J$1)/J$2*K16/$K$1)</f>
        <v>1.347287701</v>
      </c>
      <c r="K16" s="55">
        <f>UpdateHashtag!T14</f>
        <v>5.4</v>
      </c>
      <c r="L16" s="41">
        <f>IF(TYPE($A16)=1,"",-(UpdateHashtag!R14-L$1)/L$2)</f>
        <v>-1.042847537</v>
      </c>
      <c r="M16" t="s">
        <v>51</v>
      </c>
      <c r="U16" s="112">
        <v>0.0</v>
      </c>
    </row>
    <row r="17">
      <c r="A17" s="40" t="str">
        <f>IF(UpdateHashtag!C15="",ROW(UpdateHashtag!C15),UpdateHashtag!C15)</f>
        <v>Kyrie Irving</v>
      </c>
      <c r="B17" s="41">
        <f>IF(TYPE($A17)=1,"",(UpdateHashtag!M15-B$1)/B$2)</f>
        <v>1.281857932</v>
      </c>
      <c r="C17" s="41">
        <f>IF(TYPE($A17)=1,"",(UpdateHashtag!L15-C$1)/C$2)</f>
        <v>1.241233245</v>
      </c>
      <c r="D17" s="41">
        <f>IF(TYPE($A17)=1,"",(UpdateHashtag!N15-D$1)/D$2)</f>
        <v>-0.4637566123</v>
      </c>
      <c r="E17" s="41">
        <f>IF(TYPE($A17)=1,"",(UpdateHashtag!O15-E$1)/E$2)</f>
        <v>0.5752419853</v>
      </c>
      <c r="F17" s="41">
        <f>IF(TYPE($A17)=1,"",(UpdateHashtag!P15-F$1)/F$2)</f>
        <v>0.741062197</v>
      </c>
      <c r="G17" s="41">
        <f>IF(TYPE($A17)=1,"",(UpdateHashtag!Q15-G$1)/G$2)</f>
        <v>-0.2651689765</v>
      </c>
      <c r="H17" s="41">
        <f>IF(TYPE($A17)=1,"",(UpdateHashtag!I15-H$1)/H$2*I17/$I$1)</f>
        <v>-0.04860619332</v>
      </c>
      <c r="I17" s="41">
        <f>UpdateHashtag!S15</f>
        <v>18.6</v>
      </c>
      <c r="J17" s="53">
        <f>IF(TYPE($A17)=1,"",(UpdateHashtag!K15-J$1)/J$2*K17/$K$1)</f>
        <v>1.416719874</v>
      </c>
      <c r="K17" s="55">
        <f>UpdateHashtag!T15</f>
        <v>3.6</v>
      </c>
      <c r="L17" s="41">
        <f>IF(TYPE($A17)=1,"",-(UpdateHashtag!R15-L$1)/L$2)</f>
        <v>-0.05091899834</v>
      </c>
      <c r="M17" t="s">
        <v>53</v>
      </c>
    </row>
    <row r="18">
      <c r="A18" s="40" t="str">
        <f>IF(UpdateHashtag!C16="",ROW(UpdateHashtag!C16),UpdateHashtag!C16)</f>
        <v>Kevin Durant</v>
      </c>
      <c r="B18" s="41">
        <f>IF(TYPE($A18)=1,"",(UpdateHashtag!M16-B$1)/B$2)</f>
        <v>1.480139135</v>
      </c>
      <c r="C18" s="41">
        <f>IF(TYPE($A18)=1,"",(UpdateHashtag!L16-C$1)/C$2)</f>
        <v>0.34849756</v>
      </c>
      <c r="D18" s="41">
        <f>IF(TYPE($A18)=1,"",(UpdateHashtag!N16-D$1)/D$2)</f>
        <v>0.1241038822</v>
      </c>
      <c r="E18" s="41">
        <f>IF(TYPE($A18)=1,"",(UpdateHashtag!O16-E$1)/E$2)</f>
        <v>0.3935866215</v>
      </c>
      <c r="F18" s="41">
        <f>IF(TYPE($A18)=1,"",(UpdateHashtag!P16-F$1)/F$2)</f>
        <v>-0.5822631548</v>
      </c>
      <c r="G18" s="41">
        <f>IF(TYPE($A18)=1,"",(UpdateHashtag!Q16-G$1)/G$2)</f>
        <v>0.8050197178</v>
      </c>
      <c r="H18" s="41">
        <f>IF(TYPE($A18)=1,"",(UpdateHashtag!I16-H$1)/H$2*I18/$I$1)</f>
        <v>0.4843241699</v>
      </c>
      <c r="I18" s="41">
        <f>UpdateHashtag!S16</f>
        <v>18.3</v>
      </c>
      <c r="J18" s="53">
        <f>IF(TYPE($A18)=1,"",(UpdateHashtag!K16-J$1)/J$2*K18/$K$1)</f>
        <v>0.9858005612</v>
      </c>
      <c r="K18" s="55">
        <f>UpdateHashtag!T16</f>
        <v>5.5</v>
      </c>
      <c r="L18" s="41">
        <f>IF(TYPE($A18)=1,"",-(UpdateHashtag!R16-L$1)/L$2)</f>
        <v>-1.439618953</v>
      </c>
      <c r="M18" t="s">
        <v>14</v>
      </c>
      <c r="Q18" s="36"/>
      <c r="R18" s="153"/>
      <c r="S18" s="36"/>
      <c r="T18" s="36"/>
      <c r="U18" s="36" t="s">
        <v>11</v>
      </c>
      <c r="V18" s="153">
        <v>3.0</v>
      </c>
      <c r="W18" s="36" t="s">
        <v>53</v>
      </c>
      <c r="X18" s="36" t="s">
        <v>14</v>
      </c>
      <c r="Y18" s="36" t="s">
        <v>15</v>
      </c>
      <c r="Z18" s="36" t="s">
        <v>413</v>
      </c>
      <c r="AA18" s="36" t="s">
        <v>8</v>
      </c>
      <c r="AB18" s="36" t="s">
        <v>9</v>
      </c>
      <c r="AC18" s="36" t="s">
        <v>17</v>
      </c>
    </row>
    <row r="19">
      <c r="A19" s="40" t="str">
        <f>IF(UpdateHashtag!C17="",ROW(UpdateHashtag!C17),UpdateHashtag!C17)</f>
        <v>LeBron James</v>
      </c>
      <c r="B19" s="41">
        <f>IF(TYPE($A19)=1,"",(UpdateHashtag!M17-B$1)/B$2)</f>
        <v>1.390011316</v>
      </c>
      <c r="C19" s="41">
        <f>IF(TYPE($A19)=1,"",(UpdateHashtag!L17-C$1)/C$2)</f>
        <v>0.34849756</v>
      </c>
      <c r="D19" s="41">
        <f>IF(TYPE($A19)=1,"",(UpdateHashtag!N17-D$1)/D$2)</f>
        <v>0.4376294792</v>
      </c>
      <c r="E19" s="41">
        <f>IF(TYPE($A19)=1,"",(UpdateHashtag!O17-E$1)/E$2)</f>
        <v>1.937657214</v>
      </c>
      <c r="F19" s="41">
        <f>IF(TYPE($A19)=1,"",(UpdateHashtag!P17-F$1)/F$2)</f>
        <v>0.410230859</v>
      </c>
      <c r="G19" s="41">
        <f>IF(TYPE($A19)=1,"",(UpdateHashtag!Q17-G$1)/G$2)</f>
        <v>-0.4435337589</v>
      </c>
      <c r="H19" s="41">
        <f>IF(TYPE($A19)=1,"",(UpdateHashtag!I17-H$1)/H$2*I19/$I$1)</f>
        <v>0.7728727482</v>
      </c>
      <c r="I19" s="41">
        <f>UpdateHashtag!S17</f>
        <v>17.6</v>
      </c>
      <c r="J19" s="53">
        <f>IF(TYPE($A19)=1,"",(UpdateHashtag!K17-J$1)/J$2*K19/$K$1)</f>
        <v>-0.7275131557</v>
      </c>
      <c r="K19" s="55">
        <f>UpdateHashtag!T17</f>
        <v>5.6</v>
      </c>
      <c r="L19" s="41">
        <f>IF(TYPE($A19)=1,"",-(UpdateHashtag!R17-L$1)/L$2)</f>
        <v>-1.538811807</v>
      </c>
      <c r="M19" t="s">
        <v>15</v>
      </c>
      <c r="U19" s="5">
        <f>Projections!K17</f>
        <v>1</v>
      </c>
      <c r="V19" s="5">
        <f>Projections!L17</f>
        <v>1</v>
      </c>
      <c r="W19" s="5">
        <f>Projections!M17</f>
        <v>1</v>
      </c>
      <c r="X19" s="5">
        <f>Projections!N17</f>
        <v>1</v>
      </c>
      <c r="Y19" s="5">
        <f>Projections!O17</f>
        <v>1</v>
      </c>
      <c r="Z19" s="5">
        <f>Projections!P17</f>
        <v>1</v>
      </c>
      <c r="AA19" s="5">
        <f>Projections!Q17</f>
        <v>1</v>
      </c>
      <c r="AB19" s="5">
        <f>Projections!R17</f>
        <v>1</v>
      </c>
      <c r="AC19" s="5">
        <f>Projections!S17</f>
        <v>0</v>
      </c>
    </row>
    <row r="20">
      <c r="A20" s="40" t="str">
        <f>IF(UpdateHashtag!C18="",ROW(UpdateHashtag!C18),UpdateHashtag!C18)</f>
        <v>Scottie Barnes</v>
      </c>
      <c r="B20" s="41">
        <f>IF(TYPE($A20)=1,"",(UpdateHashtag!M18-B$1)/B$2)</f>
        <v>0.2904519192</v>
      </c>
      <c r="C20" s="41">
        <f>IF(TYPE($A20)=1,"",(UpdateHashtag!L18-C$1)/C$2)</f>
        <v>-0.04827385557</v>
      </c>
      <c r="D20" s="41">
        <f>IF(TYPE($A20)=1,"",(UpdateHashtag!N18-D$1)/D$2)</f>
        <v>0.8687271752</v>
      </c>
      <c r="E20" s="41">
        <f>IF(TYPE($A20)=1,"",(UpdateHashtag!O18-E$1)/E$2)</f>
        <v>0.9385527129</v>
      </c>
      <c r="F20" s="41">
        <f>IF(TYPE($A20)=1,"",(UpdateHashtag!P18-F$1)/F$2)</f>
        <v>1.071893535</v>
      </c>
      <c r="G20" s="41">
        <f>IF(TYPE($A20)=1,"",(UpdateHashtag!Q18-G$1)/G$2)</f>
        <v>1.340114065</v>
      </c>
      <c r="H20" s="41">
        <f>IF(TYPE($A20)=1,"",(UpdateHashtag!I18-H$1)/H$2*I20/$I$1)</f>
        <v>-0.307745396</v>
      </c>
      <c r="I20" s="41">
        <f>UpdateHashtag!S18</f>
        <v>14.5</v>
      </c>
      <c r="J20" s="53">
        <f>IF(TYPE($A20)=1,"",(UpdateHashtag!K18-J$1)/J$2*K20/$K$1)</f>
        <v>-0.06152075631</v>
      </c>
      <c r="K20" s="55">
        <f>UpdateHashtag!T18</f>
        <v>4.4</v>
      </c>
      <c r="L20" s="41">
        <f>IF(TYPE($A20)=1,"",-(UpdateHashtag!R18-L$1)/L$2)</f>
        <v>-0.6460761218</v>
      </c>
      <c r="M20" t="s">
        <v>16</v>
      </c>
      <c r="N20" s="114" t="s">
        <v>454</v>
      </c>
      <c r="O20" s="164" t="s">
        <v>2</v>
      </c>
      <c r="P20" s="165" t="s">
        <v>455</v>
      </c>
      <c r="Q20" s="114" t="s">
        <v>6</v>
      </c>
      <c r="R20" s="165" t="s">
        <v>456</v>
      </c>
      <c r="S20" s="37" t="s">
        <v>457</v>
      </c>
      <c r="T20" s="165" t="s">
        <v>327</v>
      </c>
      <c r="U20" s="165" t="s">
        <v>344</v>
      </c>
      <c r="V20" s="166" t="s">
        <v>11</v>
      </c>
      <c r="W20" s="166" t="s">
        <v>51</v>
      </c>
      <c r="X20" s="166" t="s">
        <v>53</v>
      </c>
      <c r="Y20" s="166" t="s">
        <v>14</v>
      </c>
      <c r="Z20" s="166" t="s">
        <v>15</v>
      </c>
      <c r="AA20" s="166" t="s">
        <v>16</v>
      </c>
      <c r="AB20" s="166" t="s">
        <v>8</v>
      </c>
      <c r="AC20" s="166" t="s">
        <v>9</v>
      </c>
      <c r="AD20" s="114" t="s">
        <v>17</v>
      </c>
      <c r="AE20" s="37" t="s">
        <v>78</v>
      </c>
      <c r="AF20" s="37" t="s">
        <v>79</v>
      </c>
      <c r="AG20" s="37" t="s">
        <v>80</v>
      </c>
      <c r="AH20" s="37" t="s">
        <v>81</v>
      </c>
      <c r="AI20" s="37" t="s">
        <v>82</v>
      </c>
      <c r="AJ20" s="37" t="s">
        <v>83</v>
      </c>
      <c r="AK20" s="37" t="s">
        <v>84</v>
      </c>
      <c r="AL20" s="37" t="s">
        <v>86</v>
      </c>
      <c r="AM20" s="166" t="s">
        <v>88</v>
      </c>
      <c r="AN20" s="166" t="s">
        <v>461</v>
      </c>
      <c r="AO20" s="166" t="s">
        <v>462</v>
      </c>
      <c r="AP20" s="38" t="s">
        <v>463</v>
      </c>
      <c r="AQ20" s="38" t="s">
        <v>464</v>
      </c>
    </row>
    <row r="21">
      <c r="A21" s="40" t="str">
        <f>IF(UpdateHashtag!C19="",ROW(UpdateHashtag!C19),UpdateHashtag!C19)</f>
        <v>Damian Lillard</v>
      </c>
      <c r="B21" s="41">
        <f>IF(TYPE($A21)=1,"",(UpdateHashtag!M19-B$1)/B$2)</f>
        <v>1.335934624</v>
      </c>
      <c r="C21" s="41">
        <f>IF(TYPE($A21)=1,"",(UpdateHashtag!L19-C$1)/C$2)</f>
        <v>1.340426099</v>
      </c>
      <c r="D21" s="41">
        <f>IF(TYPE($A21)=1,"",(UpdateHashtag!N19-D$1)/D$2)</f>
        <v>-0.6205194109</v>
      </c>
      <c r="E21" s="41">
        <f>IF(TYPE($A21)=1,"",(UpdateHashtag!O19-E$1)/E$2)</f>
        <v>1.438104963</v>
      </c>
      <c r="F21" s="41">
        <f>IF(TYPE($A21)=1,"",(UpdateHashtag!P19-F$1)/F$2)</f>
        <v>-0.2514318168</v>
      </c>
      <c r="G21" s="41">
        <f>IF(TYPE($A21)=1,"",(UpdateHashtag!Q19-G$1)/G$2)</f>
        <v>-0.8002633236</v>
      </c>
      <c r="H21" s="41">
        <f>IF(TYPE($A21)=1,"",(UpdateHashtag!I19-H$1)/H$2*I21/$I$1)</f>
        <v>-1.350884925</v>
      </c>
      <c r="I21" s="41">
        <f>UpdateHashtag!S19</f>
        <v>17.8</v>
      </c>
      <c r="J21" s="53">
        <f>IF(TYPE($A21)=1,"",(UpdateHashtag!K19-J$1)/J$2*K21/$K$1)</f>
        <v>3.025238927</v>
      </c>
      <c r="K21" s="55">
        <f>UpdateHashtag!T19</f>
        <v>7</v>
      </c>
      <c r="L21" s="41">
        <f>IF(TYPE($A21)=1,"",-(UpdateHashtag!R19-L$1)/L$2)</f>
        <v>-1.142040391</v>
      </c>
      <c r="M21" t="s">
        <v>8</v>
      </c>
      <c r="N21" s="112">
        <v>1.0</v>
      </c>
      <c r="O21" s="170">
        <f t="array" ref="O21">INDIRECT("Update"&amp;Projections!$AG$17&amp;"!B"&amp;ROW(B2))</f>
        <v>2</v>
      </c>
      <c r="P21" s="172" t="str">
        <f t="array" ref="P21">INDIRECT("Update"&amp;Projections!$AG$17&amp;"!C"&amp;ROW(B2))</f>
        <v>Victor Wembanyama</v>
      </c>
      <c r="Q21" s="170">
        <f>UpdateHashtag!F59</f>
        <v>72</v>
      </c>
      <c r="R21" s="177" t="str">
        <f>IF(UpdateHashtag!D59="",ROW(UpdateHashtag!D59),UpdateHashtag!D59)</f>
        <v>PG</v>
      </c>
      <c r="S21" s="124">
        <f t="shared" ref="S21:S420" si="1">(V21-$B$1)/$B$2+(W21-$C$1)/$C$2+(X21-$D$1)/$D$2+(Y21-$E$1)/$E$2+(Z21-$F$1)/$F$2+(AA21-$G$1)/$G$2+(AB21-$H$1)/$H$2*AP21/$I$1+(AC21-$J$1)/$J$2*AQ21/$K$1-(AD21-$L$1)/$L$2*0.25</f>
        <v>10.97739767</v>
      </c>
      <c r="T21" s="124">
        <f>SUM(AE21:AM21)-IFERROR(IFS(Projections!$I$17,AN21,Projections!$J$17,AO21),"")</f>
        <v>11.45714912</v>
      </c>
      <c r="U21" s="124">
        <f t="shared" ref="U21:U420" si="2">T21-S21</f>
        <v>0.4797514466</v>
      </c>
      <c r="V21" s="124">
        <f t="array" ref="V21">INDIRECT("Update"&amp;Projections!$AG$17&amp;"!M"&amp;ROW(B2))</f>
        <v>25.20041096</v>
      </c>
      <c r="W21" s="124">
        <f t="array" ref="W21">INDIRECT("Update"&amp;Projections!$AG$17&amp;"!L"&amp;ROW(B2))</f>
        <v>2.309589041</v>
      </c>
      <c r="X21" s="124">
        <f t="array" ref="X21">INDIRECT("Update"&amp;Projections!$AG$17&amp;"!N"&amp;ROW(B2))</f>
        <v>12.32493151</v>
      </c>
      <c r="Y21" s="124">
        <f t="array" ref="Y21">INDIRECT("Update"&amp;Projections!$AG$17&amp;"!O"&amp;ROW(B2))</f>
        <v>5.170821918</v>
      </c>
      <c r="Z21" s="124">
        <f t="array" ref="Z21">INDIRECT("Update"&amp;Projections!$AG$17&amp;"!P"&amp;ROW(B2))</f>
        <v>1.274931507</v>
      </c>
      <c r="AA21" s="124">
        <f t="array" ref="AA21">INDIRECT("Update"&amp;Projections!$AG$17&amp;"!Q"&amp;ROW(B2))</f>
        <v>4.125479452</v>
      </c>
      <c r="AB21" s="180">
        <f t="array" ref="AB21">INDIRECT("Update"&amp;Projections!$AG$17&amp;"!I"&amp;ROW(B2))</f>
        <v>0.4727531115</v>
      </c>
      <c r="AC21" s="180">
        <f t="array" ref="AC21">INDIRECT("Update"&amp;Projections!$AG$17&amp;"!K"&amp;ROW(B2))</f>
        <v>0.7959939721</v>
      </c>
      <c r="AD21" s="124">
        <f t="array" ref="AD21">INDIRECT("Update"&amp;Projections!$AG$17&amp;"!R"&amp;ROW(B2))</f>
        <v>3.683287671</v>
      </c>
      <c r="AE21" s="124">
        <f t="shared" ref="AE21:AE420" si="3">U$19*(V21-$B$1)/$B$2</f>
        <v>1.390085393</v>
      </c>
      <c r="AF21" s="124">
        <f t="shared" ref="AF21:AF420" si="4">V$19*(W21-$C$1)/$C$2</f>
        <v>0.5563949113</v>
      </c>
      <c r="AG21" s="124">
        <f t="shared" ref="AG21:AG420" si="5">W$19*(X21-$D$1)/$D$2</f>
        <v>2.446125994</v>
      </c>
      <c r="AH21" s="124">
        <f t="shared" ref="AH21:AH420" si="6">X$19*(Y21-$E$1)/$E$2</f>
        <v>0.5619910976</v>
      </c>
      <c r="AI21" s="124">
        <f t="shared" ref="AI21:AI420" si="7">Y$19*(Z21-$F$1)/$F$2</f>
        <v>0.9889591041</v>
      </c>
      <c r="AJ21" s="124">
        <f t="shared" ref="AJ21:AJ420" si="8">Z$19*(AA21-$G$1)/$G$2</f>
        <v>6.023044776</v>
      </c>
      <c r="AK21" s="124">
        <f t="shared" ref="AK21:AK420" si="9">AA$19*(AB21-$H$1)/$H$2*AP21/$I$1</f>
        <v>-0.5327661678</v>
      </c>
      <c r="AL21" s="124">
        <f t="shared" ref="AL21:AL420" si="10">AB$19*(AC21-$J$1)/$J$2*AQ21/$K$1</f>
        <v>0.02331401269</v>
      </c>
      <c r="AM21" s="124">
        <f t="shared" ref="AM21:AM420" si="11">-AC$19*(AD21-$L$1)/$L$2</f>
        <v>0</v>
      </c>
      <c r="AN21" s="183">
        <f t="shared" ref="AN21:AN420" si="12">MIN(AE21:AM21)</f>
        <v>-0.5327661678</v>
      </c>
      <c r="AO21" s="183">
        <f t="shared" ref="AO21:AO420" si="13">small(AE21:AM21,2)+AN21</f>
        <v>-0.5327661678</v>
      </c>
      <c r="AP21" s="183">
        <f t="array" ref="AP21">INDIRECT("Update"&amp;Projections!$AG$17&amp;"!S"&amp;ROW(B2))</f>
        <v>18.70013699</v>
      </c>
      <c r="AQ21" s="183">
        <f t="array" ref="AQ21">INDIRECT("Update"&amp;Projections!$AG$17&amp;"!T"&amp;ROW(B2))</f>
        <v>6.544931507</v>
      </c>
    </row>
    <row r="22">
      <c r="A22" s="40" t="str">
        <f>IF(UpdateHashtag!C20="",ROW(UpdateHashtag!C20),UpdateHashtag!C20)</f>
        <v>Devin Booker</v>
      </c>
      <c r="B22" s="41">
        <f>IF(TYPE($A22)=1,"",(UpdateHashtag!M20-B$1)/B$2)</f>
        <v>1.858675976</v>
      </c>
      <c r="C22" s="41">
        <f>IF(TYPE($A22)=1,"",(UpdateHashtag!L20-C$1)/C$2)</f>
        <v>0.447690414</v>
      </c>
      <c r="D22" s="41">
        <f>IF(TYPE($A22)=1,"",(UpdateHashtag!N20-D$1)/D$2)</f>
        <v>-0.6205194109</v>
      </c>
      <c r="E22" s="41">
        <f>IF(TYPE($A22)=1,"",(UpdateHashtag!O20-E$1)/E$2)</f>
        <v>0.7114835082</v>
      </c>
      <c r="F22" s="41">
        <f>IF(TYPE($A22)=1,"",(UpdateHashtag!P20-F$1)/F$2)</f>
        <v>0.0793995211</v>
      </c>
      <c r="G22" s="41">
        <f>IF(TYPE($A22)=1,"",(UpdateHashtag!Q20-G$1)/G$2)</f>
        <v>-0.6218985413</v>
      </c>
      <c r="H22" s="41">
        <f>IF(TYPE($A22)=1,"",(UpdateHashtag!I20-H$1)/H$2*I22/$I$1)</f>
        <v>-0.1694237797</v>
      </c>
      <c r="I22" s="41">
        <f>UpdateHashtag!S20</f>
        <v>20.1</v>
      </c>
      <c r="J22" s="53">
        <f>IF(TYPE($A22)=1,"",(UpdateHashtag!K20-J$1)/J$2*K22/$K$1)</f>
        <v>1.863806303</v>
      </c>
      <c r="K22" s="55">
        <f>UpdateHashtag!T20</f>
        <v>6.8</v>
      </c>
      <c r="L22" s="41">
        <f>IF(TYPE($A22)=1,"",-(UpdateHashtag!R20-L$1)/L$2)</f>
        <v>-0.9436546835</v>
      </c>
      <c r="M22" t="s">
        <v>9</v>
      </c>
      <c r="N22" s="5">
        <v>2.0</v>
      </c>
      <c r="O22" s="170">
        <f t="array" ref="O22">INDIRECT("Update"&amp;Projections!$AG$17&amp;"!B"&amp;ROW(B3))</f>
        <v>9.6</v>
      </c>
      <c r="P22" s="172" t="str">
        <f t="array" ref="P22">INDIRECT("Update"&amp;Projections!$AG$17&amp;"!C"&amp;ROW(B3))</f>
        <v>Joel Embiid</v>
      </c>
      <c r="Q22" s="170">
        <f>UpdateHashtag!F60</f>
        <v>68</v>
      </c>
      <c r="R22" s="177" t="str">
        <f>IF(UpdateHashtag!D60="",ROW(UpdateHashtag!D60),UpdateHashtag!D60)</f>
        <v>C</v>
      </c>
      <c r="S22" s="124">
        <f t="shared" si="1"/>
        <v>8.95790469</v>
      </c>
      <c r="T22" s="124">
        <f>SUM(AE22:AM22)-IFERROR(IFS(Projections!$I$17,AN22,Projections!$J$17,AO22),"")</f>
        <v>9.410476437</v>
      </c>
      <c r="U22" s="124">
        <f t="shared" si="2"/>
        <v>0.4525717466</v>
      </c>
      <c r="V22" s="124">
        <f t="array" ref="V22">INDIRECT("Update"&amp;Projections!$AG$17&amp;"!M"&amp;ROW(B3))</f>
        <v>30.23877193</v>
      </c>
      <c r="W22" s="124">
        <f t="array" ref="W22">INDIRECT("Update"&amp;Projections!$AG$17&amp;"!L"&amp;ROW(B3))</f>
        <v>1.142982456</v>
      </c>
      <c r="X22" s="124">
        <f t="array" ref="X22">INDIRECT("Update"&amp;Projections!$AG$17&amp;"!N"&amp;ROW(B3))</f>
        <v>10.51052632</v>
      </c>
      <c r="Y22" s="124">
        <f t="array" ref="Y22">INDIRECT("Update"&amp;Projections!$AG$17&amp;"!O"&amp;ROW(B3))</f>
        <v>5.037368421</v>
      </c>
      <c r="Z22" s="124">
        <f t="array" ref="Z22">INDIRECT("Update"&amp;Projections!$AG$17&amp;"!P"&amp;ROW(B3))</f>
        <v>1.143859649</v>
      </c>
      <c r="AA22" s="124">
        <f t="array" ref="AA22">INDIRECT("Update"&amp;Projections!$AG$17&amp;"!Q"&amp;ROW(B3))</f>
        <v>1.551052632</v>
      </c>
      <c r="AB22" s="180">
        <f t="array" ref="AB22">INDIRECT("Update"&amp;Projections!$AG$17&amp;"!I"&amp;ROW(B3))</f>
        <v>0.5367911594</v>
      </c>
      <c r="AC22" s="180">
        <f t="array" ref="AC22">INDIRECT("Update"&amp;Projections!$AG$17&amp;"!K"&amp;ROW(B3))</f>
        <v>0.8699991153</v>
      </c>
      <c r="AD22" s="124">
        <f t="array" ref="AD22">INDIRECT("Update"&amp;Projections!$AG$17&amp;"!R"&amp;ROW(B3))</f>
        <v>3.573684211</v>
      </c>
      <c r="AE22" s="124">
        <f t="shared" si="3"/>
        <v>2.298278368</v>
      </c>
      <c r="AF22" s="124">
        <f t="shared" si="4"/>
        <v>-0.6007954542</v>
      </c>
      <c r="AG22" s="124">
        <f t="shared" si="5"/>
        <v>1.735047906</v>
      </c>
      <c r="AH22" s="124">
        <f t="shared" si="6"/>
        <v>0.5013847387</v>
      </c>
      <c r="AI22" s="124">
        <f t="shared" si="7"/>
        <v>0.5553323226</v>
      </c>
      <c r="AJ22" s="124">
        <f t="shared" si="8"/>
        <v>1.431173981</v>
      </c>
      <c r="AK22" s="124">
        <f t="shared" si="9"/>
        <v>0.8770105201</v>
      </c>
      <c r="AL22" s="124">
        <f t="shared" si="10"/>
        <v>2.613044055</v>
      </c>
      <c r="AM22" s="124">
        <f t="shared" si="11"/>
        <v>0</v>
      </c>
      <c r="AN22" s="183">
        <f t="shared" si="12"/>
        <v>-0.6007954542</v>
      </c>
      <c r="AO22" s="183">
        <f t="shared" si="13"/>
        <v>-0.6007954542</v>
      </c>
      <c r="AP22" s="183">
        <f t="array" ref="AP22">INDIRECT("Update"&amp;Projections!$AG$17&amp;"!S"&amp;ROW(B3))</f>
        <v>19.06684211</v>
      </c>
      <c r="AQ22" s="183">
        <f t="array" ref="AQ22">INDIRECT("Update"&amp;Projections!$AG$17&amp;"!T"&amp;ROW(B3))</f>
        <v>9.914912281</v>
      </c>
    </row>
    <row r="23">
      <c r="A23" s="40" t="str">
        <f>IF(UpdateHashtag!C21="",ROW(UpdateHashtag!C21),UpdateHashtag!C21)</f>
        <v>LaMelo Ball</v>
      </c>
      <c r="B23" s="41">
        <f>IF(TYPE($A23)=1,"",(UpdateHashtag!M21-B$1)/B$2)</f>
        <v>1.029500038</v>
      </c>
      <c r="C23" s="41">
        <f>IF(TYPE($A23)=1,"",(UpdateHashtag!L21-C$1)/C$2)</f>
        <v>1.836390369</v>
      </c>
      <c r="D23" s="41">
        <f>IF(TYPE($A23)=1,"",(UpdateHashtag!N21-D$1)/D$2)</f>
        <v>-0.1502310153</v>
      </c>
      <c r="E23" s="41">
        <f>IF(TYPE($A23)=1,"",(UpdateHashtag!O21-E$1)/E$2)</f>
        <v>2.119312578</v>
      </c>
      <c r="F23" s="41">
        <f>IF(TYPE($A23)=1,"",(UpdateHashtag!P21-F$1)/F$2)</f>
        <v>2.064387549</v>
      </c>
      <c r="G23" s="41">
        <f>IF(TYPE($A23)=1,"",(UpdateHashtag!Q21-G$1)/G$2)</f>
        <v>-0.8002633236</v>
      </c>
      <c r="H23" s="41">
        <f>IF(TYPE($A23)=1,"",(UpdateHashtag!I21-H$1)/H$2*I23/$I$1)</f>
        <v>-1.568797807</v>
      </c>
      <c r="I23" s="41">
        <f>UpdateHashtag!S21</f>
        <v>19.2</v>
      </c>
      <c r="J23" s="53">
        <f>IF(TYPE($A23)=1,"",(UpdateHashtag!K21-J$1)/J$2*K23/$K$1)</f>
        <v>0.8061565803</v>
      </c>
      <c r="K23" s="55">
        <f>UpdateHashtag!T21</f>
        <v>3.7</v>
      </c>
      <c r="L23" s="41">
        <f>IF(TYPE($A23)=1,"",-(UpdateHashtag!R21-L$1)/L$2)</f>
        <v>-1.737197515</v>
      </c>
      <c r="M23" t="s">
        <v>17</v>
      </c>
      <c r="N23" s="112">
        <v>3.0</v>
      </c>
      <c r="O23" s="170">
        <f t="array" ref="O23">INDIRECT("Update"&amp;Projections!$AG$17&amp;"!B"&amp;ROW(B4))</f>
        <v>2.4</v>
      </c>
      <c r="P23" s="172" t="str">
        <f t="array" ref="P23">INDIRECT("Update"&amp;Projections!$AG$17&amp;"!C"&amp;ROW(B4))</f>
        <v>Nikola Jokic</v>
      </c>
      <c r="Q23" s="170">
        <f>UpdateHashtag!F62</f>
        <v>67</v>
      </c>
      <c r="R23" s="177" t="str">
        <f>IF(UpdateHashtag!D62="",ROW(UpdateHashtag!D62),UpdateHashtag!D62)</f>
        <v>PF,C</v>
      </c>
      <c r="S23" s="124">
        <f t="shared" si="1"/>
        <v>8.517820595</v>
      </c>
      <c r="T23" s="124">
        <f>SUM(AE23:AM23)-IFERROR(IFS(Projections!$I$17,AN23,Projections!$J$17,AO23),"")</f>
        <v>8.88158999</v>
      </c>
      <c r="U23" s="124">
        <f t="shared" si="2"/>
        <v>0.363769395</v>
      </c>
      <c r="V23" s="124">
        <f t="array" ref="V23">INDIRECT("Update"&amp;Projections!$AG$17&amp;"!M"&amp;ROW(B4))</f>
        <v>25.55948052</v>
      </c>
      <c r="W23" s="124">
        <f t="array" ref="W23">INDIRECT("Update"&amp;Projections!$AG$17&amp;"!L"&amp;ROW(B4))</f>
        <v>0.9916883117</v>
      </c>
      <c r="X23" s="124">
        <f t="array" ref="X23">INDIRECT("Update"&amp;Projections!$AG$17&amp;"!N"&amp;ROW(B4))</f>
        <v>11.79064935</v>
      </c>
      <c r="Y23" s="124">
        <f t="array" ref="Y23">INDIRECT("Update"&amp;Projections!$AG$17&amp;"!O"&amp;ROW(B4))</f>
        <v>8.360649351</v>
      </c>
      <c r="Z23" s="124">
        <f t="array" ref="Z23">INDIRECT("Update"&amp;Projections!$AG$17&amp;"!P"&amp;ROW(B4))</f>
        <v>1.492597403</v>
      </c>
      <c r="AA23" s="124">
        <f t="array" ref="AA23">INDIRECT("Update"&amp;Projections!$AG$17&amp;"!Q"&amp;ROW(B4))</f>
        <v>0.788961039</v>
      </c>
      <c r="AB23" s="180">
        <f t="array" ref="AB23">INDIRECT("Update"&amp;Projections!$AG$17&amp;"!I"&amp;ROW(B4))</f>
        <v>0.5897010341</v>
      </c>
      <c r="AC23" s="180">
        <f t="array" ref="AC23">INDIRECT("Update"&amp;Projections!$AG$17&amp;"!K"&amp;ROW(B4))</f>
        <v>0.8110073214</v>
      </c>
      <c r="AD23" s="124">
        <f t="array" ref="AD23">INDIRECT("Update"&amp;Projections!$AG$17&amp;"!R"&amp;ROW(B4))</f>
        <v>3.215584416</v>
      </c>
      <c r="AE23" s="124">
        <f t="shared" si="3"/>
        <v>1.454809706</v>
      </c>
      <c r="AF23" s="124">
        <f t="shared" si="4"/>
        <v>-0.7508684337</v>
      </c>
      <c r="AG23" s="124">
        <f t="shared" si="5"/>
        <v>2.236737077</v>
      </c>
      <c r="AH23" s="124">
        <f t="shared" si="6"/>
        <v>2.010614255</v>
      </c>
      <c r="AI23" s="124">
        <f t="shared" si="7"/>
        <v>1.7090661</v>
      </c>
      <c r="AJ23" s="124">
        <f t="shared" si="8"/>
        <v>0.07187096953</v>
      </c>
      <c r="AK23" s="124">
        <f t="shared" si="9"/>
        <v>1.859718687</v>
      </c>
      <c r="AL23" s="124">
        <f t="shared" si="10"/>
        <v>0.2896416285</v>
      </c>
      <c r="AM23" s="124">
        <f t="shared" si="11"/>
        <v>0</v>
      </c>
      <c r="AN23" s="183">
        <f t="shared" si="12"/>
        <v>-0.7508684337</v>
      </c>
      <c r="AO23" s="183">
        <f t="shared" si="13"/>
        <v>-0.7508684337</v>
      </c>
      <c r="AP23" s="183">
        <f t="array" ref="AP23">INDIRECT("Update"&amp;Projections!$AG$17&amp;"!S"&amp;ROW(B4))</f>
        <v>17.29337662</v>
      </c>
      <c r="AQ23" s="183">
        <f t="array" ref="AQ23">INDIRECT("Update"&amp;Projections!$AG$17&amp;"!T"&amp;ROW(B4))</f>
        <v>5.144155844</v>
      </c>
    </row>
    <row r="24">
      <c r="A24" s="40" t="str">
        <f>IF(UpdateHashtag!C22="",ROW(UpdateHashtag!C22),UpdateHashtag!C22)</f>
        <v>Karl-Anthony Towns</v>
      </c>
      <c r="B24" s="41">
        <f>IF(TYPE($A24)=1,"",(UpdateHashtag!M22-B$1)/B$2)</f>
        <v>0.7050398883</v>
      </c>
      <c r="C24" s="41">
        <f>IF(TYPE($A24)=1,"",(UpdateHashtag!L22-C$1)/C$2)</f>
        <v>0.447690414</v>
      </c>
      <c r="D24" s="41">
        <f>IF(TYPE($A24)=1,"",(UpdateHashtag!N22-D$1)/D$2)</f>
        <v>1.339015571</v>
      </c>
      <c r="E24" s="41">
        <f>IF(TYPE($A24)=1,"",(UpdateHashtag!O22-E$1)/E$2)</f>
        <v>-0.2876209927</v>
      </c>
      <c r="F24" s="41">
        <f>IF(TYPE($A24)=1,"",(UpdateHashtag!P22-F$1)/F$2)</f>
        <v>-0.9130944927</v>
      </c>
      <c r="G24" s="41">
        <f>IF(TYPE($A24)=1,"",(UpdateHashtag!Q22-G$1)/G$2)</f>
        <v>0.4482901531</v>
      </c>
      <c r="H24" s="41">
        <f>IF(TYPE($A24)=1,"",(UpdateHashtag!I22-H$1)/H$2*I24/$I$1)</f>
        <v>0.06461284662</v>
      </c>
      <c r="I24" s="41">
        <f>UpdateHashtag!S22</f>
        <v>14.8</v>
      </c>
      <c r="J24" s="53">
        <f>IF(TYPE($A24)=1,"",(UpdateHashtag!K22-J$1)/J$2*K24/$K$1)</f>
        <v>1.397854727</v>
      </c>
      <c r="K24" s="55">
        <f>UpdateHashtag!T22</f>
        <v>5.1</v>
      </c>
      <c r="L24" s="41">
        <f>IF(TYPE($A24)=1,"",-(UpdateHashtag!R22-L$1)/L$2)</f>
        <v>-1.142040391</v>
      </c>
      <c r="M24" t="s">
        <v>78</v>
      </c>
      <c r="N24" s="112">
        <v>4.0</v>
      </c>
      <c r="O24" s="170">
        <f t="array" ref="O24">INDIRECT("Update"&amp;Projections!$AG$17&amp;"!B"&amp;ROW(B5))</f>
        <v>3.8</v>
      </c>
      <c r="P24" s="172" t="str">
        <f t="array" ref="P24">INDIRECT("Update"&amp;Projections!$AG$17&amp;"!C"&amp;ROW(B5))</f>
        <v>Luka Doncic</v>
      </c>
      <c r="Q24" s="170">
        <f>UpdateHashtag!F61</f>
        <v>68</v>
      </c>
      <c r="R24" s="177" t="str">
        <f>IF(UpdateHashtag!D61="",ROW(UpdateHashtag!D61),UpdateHashtag!D61)</f>
        <v>PG,SG</v>
      </c>
      <c r="S24" s="124">
        <f t="shared" si="1"/>
        <v>8.299053452</v>
      </c>
      <c r="T24" s="124">
        <f>SUM(AE24:AM24)-IFERROR(IFS(Projections!$I$17,AN24,Projections!$J$17,AO24),"")</f>
        <v>8.833457384</v>
      </c>
      <c r="U24" s="124">
        <f t="shared" si="2"/>
        <v>0.5344039317</v>
      </c>
      <c r="V24" s="124">
        <f t="array" ref="V24">INDIRECT("Update"&amp;Projections!$AG$17&amp;"!M"&amp;ROW(B5))</f>
        <v>31.87132353</v>
      </c>
      <c r="W24" s="124">
        <f t="array" ref="W24">INDIRECT("Update"&amp;Projections!$AG$17&amp;"!L"&amp;ROW(B5))</f>
        <v>3.974117647</v>
      </c>
      <c r="X24" s="124">
        <f t="array" ref="X24">INDIRECT("Update"&amp;Projections!$AG$17&amp;"!N"&amp;ROW(B5))</f>
        <v>9.108970588</v>
      </c>
      <c r="Y24" s="124">
        <f t="array" ref="Y24">INDIRECT("Update"&amp;Projections!$AG$17&amp;"!O"&amp;ROW(B5))</f>
        <v>9.498235294</v>
      </c>
      <c r="Z24" s="124">
        <f t="array" ref="Z24">INDIRECT("Update"&amp;Projections!$AG$17&amp;"!P"&amp;ROW(B5))</f>
        <v>1.394852941</v>
      </c>
      <c r="AA24" s="124">
        <f t="array" ref="AA24">INDIRECT("Update"&amp;Projections!$AG$17&amp;"!Q"&amp;ROW(B5))</f>
        <v>0.5467647059</v>
      </c>
      <c r="AB24" s="180">
        <f t="array" ref="AB24">INDIRECT("Update"&amp;Projections!$AG$17&amp;"!I"&amp;ROW(B5))</f>
        <v>0.4797165326</v>
      </c>
      <c r="AC24" s="180">
        <f t="array" ref="AC24">INDIRECT("Update"&amp;Projections!$AG$17&amp;"!K"&amp;ROW(B5))</f>
        <v>0.7859938088</v>
      </c>
      <c r="AD24" s="124">
        <f t="array" ref="AD24">INDIRECT("Update"&amp;Projections!$AG$17&amp;"!R"&amp;ROW(B5))</f>
        <v>3.903676471</v>
      </c>
      <c r="AE24" s="124">
        <f t="shared" si="3"/>
        <v>2.592555</v>
      </c>
      <c r="AF24" s="124">
        <f t="shared" si="4"/>
        <v>2.20748834</v>
      </c>
      <c r="AG24" s="124">
        <f t="shared" si="5"/>
        <v>1.185768408</v>
      </c>
      <c r="AH24" s="124">
        <f t="shared" si="6"/>
        <v>2.527235725</v>
      </c>
      <c r="AI24" s="124">
        <f t="shared" si="7"/>
        <v>1.385696789</v>
      </c>
      <c r="AJ24" s="124">
        <f t="shared" si="8"/>
        <v>-0.360121993</v>
      </c>
      <c r="AK24" s="124">
        <f t="shared" si="9"/>
        <v>-0.466711747</v>
      </c>
      <c r="AL24" s="124">
        <f t="shared" si="10"/>
        <v>-0.2384531377</v>
      </c>
      <c r="AM24" s="124">
        <f t="shared" si="11"/>
        <v>0</v>
      </c>
      <c r="AN24" s="183">
        <f t="shared" si="12"/>
        <v>-0.466711747</v>
      </c>
      <c r="AO24" s="183">
        <f t="shared" si="13"/>
        <v>-0.82683374</v>
      </c>
      <c r="AP24" s="183">
        <f t="array" ref="AP24">INDIRECT("Update"&amp;Projections!$AG$17&amp;"!S"&amp;ROW(B5))</f>
        <v>22.88882353</v>
      </c>
      <c r="AQ24" s="183">
        <f t="array" ref="AQ24">INDIRECT("Update"&amp;Projections!$AG$17&amp;"!T"&amp;ROW(B5))</f>
        <v>7.553382353</v>
      </c>
    </row>
    <row r="25">
      <c r="A25" s="40" t="str">
        <f>IF(UpdateHashtag!C23="",ROW(UpdateHashtag!C23),UpdateHashtag!C23)</f>
        <v>Domantas Sabonis</v>
      </c>
      <c r="B25" s="41">
        <f>IF(TYPE($A25)=1,"",(UpdateHashtag!M23-B$1)/B$2)</f>
        <v>0.2363752276</v>
      </c>
      <c r="C25" s="41">
        <f>IF(TYPE($A25)=1,"",(UpdateHashtag!L23-C$1)/C$2)</f>
        <v>-1.337780956</v>
      </c>
      <c r="D25" s="41">
        <f>IF(TYPE($A25)=1,"",(UpdateHashtag!N23-D$1)/D$2)</f>
        <v>2.789071457</v>
      </c>
      <c r="E25" s="41">
        <f>IF(TYPE($A25)=1,"",(UpdateHashtag!O23-E$1)/E$2)</f>
        <v>1.801415691</v>
      </c>
      <c r="F25" s="41">
        <f>IF(TYPE($A25)=1,"",(UpdateHashtag!P23-F$1)/F$2)</f>
        <v>-0.2514318168</v>
      </c>
      <c r="G25" s="41">
        <f>IF(TYPE($A25)=1,"",(UpdateHashtag!Q23-G$1)/G$2)</f>
        <v>-0.2651689765</v>
      </c>
      <c r="H25" s="41">
        <f>IF(TYPE($A25)=1,"",(UpdateHashtag!I23-H$1)/H$2*I25/$I$1)</f>
        <v>1.446176545</v>
      </c>
      <c r="I25" s="41">
        <f>UpdateHashtag!S23</f>
        <v>12.1</v>
      </c>
      <c r="J25" s="53">
        <f>IF(TYPE($A25)=1,"",(UpdateHashtag!K23-J$1)/J$2*K25/$K$1)</f>
        <v>-1.32755834</v>
      </c>
      <c r="K25" s="55">
        <f>UpdateHashtag!T23</f>
        <v>5.4</v>
      </c>
      <c r="L25" s="41">
        <f>IF(TYPE($A25)=1,"",-(UpdateHashtag!R23-L$1)/L$2)</f>
        <v>-1.439618953</v>
      </c>
      <c r="M25" t="s">
        <v>79</v>
      </c>
      <c r="N25" s="5">
        <v>5.0</v>
      </c>
      <c r="O25" s="170">
        <f t="array" ref="O25">INDIRECT("Update"&amp;Projections!$AG$17&amp;"!B"&amp;ROW(B6))</f>
        <v>7.4</v>
      </c>
      <c r="P25" s="172" t="str">
        <f t="array" ref="P25">INDIRECT("Update"&amp;Projections!$AG$17&amp;"!C"&amp;ROW(B6))</f>
        <v>Anthony Davis</v>
      </c>
      <c r="Q25" s="170">
        <f>UpdateHashtag!F63</f>
        <v>74</v>
      </c>
      <c r="R25" s="177" t="str">
        <f>IF(UpdateHashtag!D63="",ROW(UpdateHashtag!D63),UpdateHashtag!D63)</f>
        <v>SF,PF</v>
      </c>
      <c r="S25" s="124">
        <f t="shared" si="1"/>
        <v>7.557301441</v>
      </c>
      <c r="T25" s="124">
        <f>SUM(AE25:AM25)-IFERROR(IFS(Projections!$I$17,AN25,Projections!$J$17,AO25),"")</f>
        <v>7.711756738</v>
      </c>
      <c r="U25" s="124">
        <f t="shared" si="2"/>
        <v>0.154455297</v>
      </c>
      <c r="V25" s="124">
        <f t="array" ref="V25">INDIRECT("Update"&amp;Projections!$AG$17&amp;"!M"&amp;ROW(B6))</f>
        <v>25.12242424</v>
      </c>
      <c r="W25" s="124">
        <f t="array" ref="W25">INDIRECT("Update"&amp;Projections!$AG$17&amp;"!L"&amp;ROW(B6))</f>
        <v>0.5036363636</v>
      </c>
      <c r="X25" s="124">
        <f t="array" ref="X25">INDIRECT("Update"&amp;Projections!$AG$17&amp;"!N"&amp;ROW(B6))</f>
        <v>13.46393939</v>
      </c>
      <c r="Y25" s="124">
        <f t="array" ref="Y25">INDIRECT("Update"&amp;Projections!$AG$17&amp;"!O"&amp;ROW(B6))</f>
        <v>3.366060606</v>
      </c>
      <c r="Z25" s="124">
        <f t="array" ref="Z25">INDIRECT("Update"&amp;Projections!$AG$17&amp;"!P"&amp;ROW(B6))</f>
        <v>1.307878788</v>
      </c>
      <c r="AA25" s="124">
        <f t="array" ref="AA25">INDIRECT("Update"&amp;Projections!$AG$17&amp;"!Q"&amp;ROW(B6))</f>
        <v>2.065454545</v>
      </c>
      <c r="AB25" s="180">
        <f t="array" ref="AB25">INDIRECT("Update"&amp;Projections!$AG$17&amp;"!I"&amp;ROW(B6))</f>
        <v>0.556141401</v>
      </c>
      <c r="AC25" s="180">
        <f t="array" ref="AC25">INDIRECT("Update"&amp;Projections!$AG$17&amp;"!K"&amp;ROW(B6))</f>
        <v>0.8080080528</v>
      </c>
      <c r="AD25" s="124">
        <f t="array" ref="AD25">INDIRECT("Update"&amp;Projections!$AG$17&amp;"!R"&amp;ROW(B6))</f>
        <v>2.371515152</v>
      </c>
      <c r="AE25" s="124">
        <f t="shared" si="3"/>
        <v>1.376027847</v>
      </c>
      <c r="AF25" s="124">
        <f t="shared" si="4"/>
        <v>-1.23498109</v>
      </c>
      <c r="AG25" s="124">
        <f t="shared" si="5"/>
        <v>2.892511151</v>
      </c>
      <c r="AH25" s="124">
        <f t="shared" si="6"/>
        <v>-0.2576203341</v>
      </c>
      <c r="AI25" s="124">
        <f t="shared" si="7"/>
        <v>1.097959035</v>
      </c>
      <c r="AJ25" s="124">
        <f t="shared" si="8"/>
        <v>2.348685834</v>
      </c>
      <c r="AK25" s="124">
        <f t="shared" si="9"/>
        <v>1.179162948</v>
      </c>
      <c r="AL25" s="124">
        <f t="shared" si="10"/>
        <v>0.3100113476</v>
      </c>
      <c r="AM25" s="124">
        <f t="shared" si="11"/>
        <v>0</v>
      </c>
      <c r="AN25" s="183">
        <f t="shared" si="12"/>
        <v>-1.23498109</v>
      </c>
      <c r="AO25" s="183">
        <f t="shared" si="13"/>
        <v>-1.492601424</v>
      </c>
      <c r="AP25" s="183">
        <f t="array" ref="AP25">INDIRECT("Update"&amp;Projections!$AG$17&amp;"!S"&amp;ROW(B6))</f>
        <v>17.2130303</v>
      </c>
      <c r="AQ25" s="183">
        <f t="array" ref="AQ25">INDIRECT("Update"&amp;Projections!$AG$17&amp;"!T"&amp;ROW(B6))</f>
        <v>6.773484848</v>
      </c>
    </row>
    <row r="26">
      <c r="A26" s="40" t="str">
        <f>IF(UpdateHashtag!C24="",ROW(UpdateHashtag!C24),UpdateHashtag!C24)</f>
        <v>Lauri Markkanen</v>
      </c>
      <c r="B26" s="41">
        <f>IF(TYPE($A26)=1,"",(UpdateHashtag!M24-B$1)/B$2)</f>
        <v>1.263832368</v>
      </c>
      <c r="C26" s="41">
        <f>IF(TYPE($A26)=1,"",(UpdateHashtag!L24-C$1)/C$2)</f>
        <v>1.340426099</v>
      </c>
      <c r="D26" s="41">
        <f>IF(TYPE($A26)=1,"",(UpdateHashtag!N24-D$1)/D$2)</f>
        <v>0.9079178748</v>
      </c>
      <c r="E26" s="41">
        <f>IF(TYPE($A26)=1,"",(UpdateHashtag!O24-E$1)/E$2)</f>
        <v>-0.9234147659</v>
      </c>
      <c r="F26" s="41">
        <f>IF(TYPE($A26)=1,"",(UpdateHashtag!P24-F$1)/F$2)</f>
        <v>-0.5822631548</v>
      </c>
      <c r="G26" s="41">
        <f>IF(TYPE($A26)=1,"",(UpdateHashtag!Q24-G$1)/G$2)</f>
        <v>-0.4435337589</v>
      </c>
      <c r="H26" s="41">
        <f>IF(TYPE($A26)=1,"",(UpdateHashtag!I24-H$1)/H$2*I26/$I$1)</f>
        <v>-0.2833670815</v>
      </c>
      <c r="I26" s="41">
        <f>UpdateHashtag!S24</f>
        <v>17.1</v>
      </c>
      <c r="J26" s="53">
        <f>IF(TYPE($A26)=1,"",(UpdateHashtag!K24-J$1)/J$2*K26/$K$1)</f>
        <v>1.751303978</v>
      </c>
      <c r="K26" s="55">
        <f>UpdateHashtag!T24</f>
        <v>5.6</v>
      </c>
      <c r="L26" s="41">
        <f>IF(TYPE($A26)=1,"",-(UpdateHashtag!R24-L$1)/L$2)</f>
        <v>0.04827385557</v>
      </c>
      <c r="M26" t="s">
        <v>80</v>
      </c>
      <c r="N26" s="112">
        <v>6.0</v>
      </c>
      <c r="O26" s="170">
        <f t="array" ref="O26">INDIRECT("Update"&amp;Projections!$AG$17&amp;"!B"&amp;ROW(B7))</f>
        <v>4.5</v>
      </c>
      <c r="P26" s="172" t="str">
        <f t="array" ref="P26">INDIRECT("Update"&amp;Projections!$AG$17&amp;"!C"&amp;ROW(B7))</f>
        <v>Shai Gilgeous-Alexander</v>
      </c>
      <c r="Q26" s="170">
        <f>UpdateHashtag!F64</f>
        <v>64</v>
      </c>
      <c r="R26" s="177" t="str">
        <f>IF(UpdateHashtag!D64="",ROW(UpdateHashtag!D64),UpdateHashtag!D64)</f>
        <v>SG,SF</v>
      </c>
      <c r="S26" s="124">
        <f t="shared" si="1"/>
        <v>6.736591491</v>
      </c>
      <c r="T26" s="124">
        <f>SUM(AE26:AM26)-IFERROR(IFS(Projections!$I$17,AN26,Projections!$J$17,AO26),"")</f>
        <v>6.959358711</v>
      </c>
      <c r="U26" s="124">
        <f t="shared" si="2"/>
        <v>0.2227672206</v>
      </c>
      <c r="V26" s="124">
        <f t="array" ref="V26">INDIRECT("Update"&amp;Projections!$AG$17&amp;"!M"&amp;ROW(B7))</f>
        <v>29.18123288</v>
      </c>
      <c r="W26" s="124">
        <f t="array" ref="W26">INDIRECT("Update"&amp;Projections!$AG$17&amp;"!L"&amp;ROW(B7))</f>
        <v>1.557945205</v>
      </c>
      <c r="X26" s="124">
        <f t="array" ref="X26">INDIRECT("Update"&amp;Projections!$AG$17&amp;"!N"&amp;ROW(B7))</f>
        <v>5.437123288</v>
      </c>
      <c r="Y26" s="124">
        <f t="array" ref="Y26">INDIRECT("Update"&amp;Projections!$AG$17&amp;"!O"&amp;ROW(B7))</f>
        <v>6.939589041</v>
      </c>
      <c r="Z26" s="124">
        <f t="array" ref="Z26">INDIRECT("Update"&amp;Projections!$AG$17&amp;"!P"&amp;ROW(B7))</f>
        <v>1.502328767</v>
      </c>
      <c r="AA26" s="124">
        <f t="array" ref="AA26">INDIRECT("Update"&amp;Projections!$AG$17&amp;"!Q"&amp;ROW(B7))</f>
        <v>0.7869863014</v>
      </c>
      <c r="AB26" s="180">
        <f t="array" ref="AB26">INDIRECT("Update"&amp;Projections!$AG$17&amp;"!I"&amp;ROW(B7))</f>
        <v>0.5123976584</v>
      </c>
      <c r="AC26" s="180">
        <f t="array" ref="AC26">INDIRECT("Update"&amp;Projections!$AG$17&amp;"!K"&amp;ROW(B7))</f>
        <v>0.8549952613</v>
      </c>
      <c r="AD26" s="124">
        <f t="array" ref="AD26">INDIRECT("Update"&amp;Projections!$AG$17&amp;"!R"&amp;ROW(B7))</f>
        <v>2.646986301</v>
      </c>
      <c r="AE26" s="124">
        <f t="shared" si="3"/>
        <v>2.107650991</v>
      </c>
      <c r="AF26" s="124">
        <f t="shared" si="4"/>
        <v>-0.1891820608</v>
      </c>
      <c r="AG26" s="124">
        <f t="shared" si="5"/>
        <v>-0.2532542379</v>
      </c>
      <c r="AH26" s="124">
        <f t="shared" si="6"/>
        <v>1.365256186</v>
      </c>
      <c r="AI26" s="124">
        <f t="shared" si="7"/>
        <v>1.741260502</v>
      </c>
      <c r="AJ26" s="124">
        <f t="shared" si="8"/>
        <v>0.0683487331</v>
      </c>
      <c r="AK26" s="124">
        <f t="shared" si="9"/>
        <v>0.351768158</v>
      </c>
      <c r="AL26" s="124">
        <f t="shared" si="10"/>
        <v>1.76751044</v>
      </c>
      <c r="AM26" s="124">
        <f t="shared" si="11"/>
        <v>0</v>
      </c>
      <c r="AN26" s="183">
        <f t="shared" si="12"/>
        <v>-0.2532542379</v>
      </c>
      <c r="AO26" s="183">
        <f t="shared" si="13"/>
        <v>-0.4424362987</v>
      </c>
      <c r="AP26" s="183">
        <f t="array" ref="AP26">INDIRECT("Update"&amp;Projections!$AG$17&amp;"!S"&amp;ROW(B7))</f>
        <v>19.96068493</v>
      </c>
      <c r="AQ26" s="183">
        <f t="array" ref="AQ26">INDIRECT("Update"&amp;Projections!$AG$17&amp;"!T"&amp;ROW(B7))</f>
        <v>8.383287671</v>
      </c>
    </row>
    <row r="27">
      <c r="A27" s="40" t="str">
        <f>IF(UpdateHashtag!C25="",ROW(UpdateHashtag!C25),UpdateHashtag!C25)</f>
        <v>Chet Holmgren</v>
      </c>
      <c r="B27" s="41">
        <f>IF(TYPE($A27)=1,"",(UpdateHashtag!M25-B$1)/B$2)</f>
        <v>-0.01598266664</v>
      </c>
      <c r="C27" s="41">
        <f>IF(TYPE($A27)=1,"",(UpdateHashtag!L25-C$1)/C$2)</f>
        <v>-0.04827385557</v>
      </c>
      <c r="D27" s="41">
        <f>IF(TYPE($A27)=1,"",(UpdateHashtag!N25-D$1)/D$2)</f>
        <v>0.7903457759</v>
      </c>
      <c r="E27" s="41">
        <f>IF(TYPE($A27)=1,"",(UpdateHashtag!O25-E$1)/E$2)</f>
        <v>-0.6055178793</v>
      </c>
      <c r="F27" s="41">
        <f>IF(TYPE($A27)=1,"",(UpdateHashtag!P25-F$1)/F$2)</f>
        <v>-0.9130944927</v>
      </c>
      <c r="G27" s="41">
        <f>IF(TYPE($A27)=1,"",(UpdateHashtag!Q25-G$1)/G$2)</f>
        <v>2.767032324</v>
      </c>
      <c r="H27" s="41">
        <f>IF(TYPE($A27)=1,"",(UpdateHashtag!I25-H$1)/H$2*I27/$I$1)</f>
        <v>0.4647884845</v>
      </c>
      <c r="I27" s="41">
        <f>UpdateHashtag!S25</f>
        <v>12.2</v>
      </c>
      <c r="J27" s="53">
        <f>IF(TYPE($A27)=1,"",(UpdateHashtag!K25-J$1)/J$2*K27/$K$1)</f>
        <v>-0.02434552542</v>
      </c>
      <c r="K27" s="55">
        <f>UpdateHashtag!T25</f>
        <v>3.5</v>
      </c>
      <c r="L27" s="41">
        <f>IF(TYPE($A27)=1,"",-(UpdateHashtag!R25-L$1)/L$2)</f>
        <v>0.04827385557</v>
      </c>
      <c r="M27" t="s">
        <v>81</v>
      </c>
      <c r="N27" s="112">
        <v>7.0</v>
      </c>
      <c r="O27" s="170">
        <f t="array" ref="O27">INDIRECT("Update"&amp;Projections!$AG$17&amp;"!B"&amp;ROW(B8))</f>
        <v>22.3</v>
      </c>
      <c r="P27" s="172" t="str">
        <f t="array" ref="P27">INDIRECT("Update"&amp;Projections!$AG$17&amp;"!C"&amp;ROW(B8))</f>
        <v>LaMelo Ball</v>
      </c>
      <c r="Q27" s="170">
        <f>UpdateHashtag!F65</f>
        <v>77</v>
      </c>
      <c r="R27" s="177" t="str">
        <f>IF(UpdateHashtag!D65="",ROW(UpdateHashtag!D65),UpdateHashtag!D65)</f>
        <v>PG,SG</v>
      </c>
      <c r="S27" s="124">
        <f t="shared" si="1"/>
        <v>6.171957497</v>
      </c>
      <c r="T27" s="124">
        <f>SUM(AE27:AM27)-IFERROR(IFS(Projections!$I$17,AN27,Projections!$J$17,AO27),"")</f>
        <v>6.588658143</v>
      </c>
      <c r="U27" s="124">
        <f t="shared" si="2"/>
        <v>0.4167006465</v>
      </c>
      <c r="V27" s="124">
        <f t="array" ref="V27">INDIRECT("Update"&amp;Projections!$AG$17&amp;"!M"&amp;ROW(B8))</f>
        <v>26.09983871</v>
      </c>
      <c r="W27" s="124">
        <f t="array" ref="W27">INDIRECT("Update"&amp;Projections!$AG$17&amp;"!L"&amp;ROW(B8))</f>
        <v>3.96</v>
      </c>
      <c r="X27" s="124">
        <f t="array" ref="X27">INDIRECT("Update"&amp;Projections!$AG$17&amp;"!N"&amp;ROW(B8))</f>
        <v>5.909677419</v>
      </c>
      <c r="Y27" s="124">
        <f t="array" ref="Y27">INDIRECT("Update"&amp;Projections!$AG$17&amp;"!O"&amp;ROW(B8))</f>
        <v>8.492419355</v>
      </c>
      <c r="Z27" s="124">
        <f t="array" ref="Z27">INDIRECT("Update"&amp;Projections!$AG$17&amp;"!P"&amp;ROW(B8))</f>
        <v>1.680483871</v>
      </c>
      <c r="AA27" s="124">
        <f t="array" ref="AA27">INDIRECT("Update"&amp;Projections!$AG$17&amp;"!Q"&amp;ROW(B8))</f>
        <v>0.2917741935</v>
      </c>
      <c r="AB27" s="180">
        <f t="array" ref="AB27">INDIRECT("Update"&amp;Projections!$AG$17&amp;"!I"&amp;ROW(B8))</f>
        <v>0.4356151932</v>
      </c>
      <c r="AC27" s="180">
        <f t="array" ref="AC27">INDIRECT("Update"&amp;Projections!$AG$17&amp;"!K"&amp;ROW(B8))</f>
        <v>0.846013795</v>
      </c>
      <c r="AD27" s="124">
        <f t="array" ref="AD27">INDIRECT("Update"&amp;Projections!$AG$17&amp;"!R"&amp;ROW(B8))</f>
        <v>3.429032258</v>
      </c>
      <c r="AE27" s="124">
        <f t="shared" si="3"/>
        <v>1.552212317</v>
      </c>
      <c r="AF27" s="124">
        <f t="shared" si="4"/>
        <v>2.193484643</v>
      </c>
      <c r="AG27" s="124">
        <f t="shared" si="5"/>
        <v>-0.06805696778</v>
      </c>
      <c r="AH27" s="124">
        <f t="shared" si="6"/>
        <v>2.070456075</v>
      </c>
      <c r="AI27" s="124">
        <f t="shared" si="7"/>
        <v>2.330653416</v>
      </c>
      <c r="AJ27" s="124">
        <f t="shared" si="8"/>
        <v>-0.8149352655</v>
      </c>
      <c r="AK27" s="124">
        <f t="shared" si="9"/>
        <v>-1.501052338</v>
      </c>
      <c r="AL27" s="124">
        <f t="shared" si="10"/>
        <v>0.8258962644</v>
      </c>
      <c r="AM27" s="124">
        <f t="shared" si="11"/>
        <v>0</v>
      </c>
      <c r="AN27" s="183">
        <f t="shared" si="12"/>
        <v>-1.501052338</v>
      </c>
      <c r="AO27" s="183">
        <f t="shared" si="13"/>
        <v>-2.315987604</v>
      </c>
      <c r="AP27" s="183">
        <f t="array" ref="AP27">INDIRECT("Update"&amp;Projections!$AG$17&amp;"!S"&amp;ROW(B8))</f>
        <v>20.93887097</v>
      </c>
      <c r="AQ27" s="183">
        <f t="array" ref="AQ27">INDIRECT("Update"&amp;Projections!$AG$17&amp;"!T"&amp;ROW(B8))</f>
        <v>4.606612903</v>
      </c>
    </row>
    <row r="28">
      <c r="A28" s="40" t="str">
        <f>IF(UpdateHashtag!C26="",ROW(UpdateHashtag!C26),UpdateHashtag!C26)</f>
        <v>Jalen Brunson</v>
      </c>
      <c r="B28" s="41">
        <f>IF(TYPE($A28)=1,"",(UpdateHashtag!M26-B$1)/B$2)</f>
        <v>1.840650412</v>
      </c>
      <c r="C28" s="41">
        <f>IF(TYPE($A28)=1,"",(UpdateHashtag!L26-C$1)/C$2)</f>
        <v>0.9436546835</v>
      </c>
      <c r="D28" s="41">
        <f>IF(TYPE($A28)=1,"",(UpdateHashtag!N26-D$1)/D$2)</f>
        <v>-0.9340450079</v>
      </c>
      <c r="E28" s="41">
        <f>IF(TYPE($A28)=1,"",(UpdateHashtag!O26-E$1)/E$2)</f>
        <v>1.392691122</v>
      </c>
      <c r="F28" s="41">
        <f>IF(TYPE($A28)=1,"",(UpdateHashtag!P26-F$1)/F$2)</f>
        <v>-0.2514318168</v>
      </c>
      <c r="G28" s="41">
        <f>IF(TYPE($A28)=1,"",(UpdateHashtag!Q26-G$1)/G$2)</f>
        <v>-0.978628106</v>
      </c>
      <c r="H28" s="41">
        <f>IF(TYPE($A28)=1,"",(UpdateHashtag!I26-H$1)/H$2*I28/$I$1)</f>
        <v>-0.3127826608</v>
      </c>
      <c r="I28" s="41">
        <f>UpdateHashtag!S26</f>
        <v>20.3</v>
      </c>
      <c r="J28" s="53">
        <f>IF(TYPE($A28)=1,"",(UpdateHashtag!K26-J$1)/J$2*K28/$K$1)</f>
        <v>0.9897281655</v>
      </c>
      <c r="K28" s="55">
        <f>UpdateHashtag!T26</f>
        <v>6.4</v>
      </c>
      <c r="L28" s="41">
        <f>IF(TYPE($A28)=1,"",-(UpdateHashtag!R26-L$1)/L$2)</f>
        <v>-0.5468832679</v>
      </c>
      <c r="M28" t="s">
        <v>82</v>
      </c>
      <c r="N28" s="5">
        <v>8.0</v>
      </c>
      <c r="O28" s="170">
        <f t="array" ref="O28">INDIRECT("Update"&amp;Projections!$AG$17&amp;"!B"&amp;ROW(B9))</f>
        <v>8.4</v>
      </c>
      <c r="P28" s="172" t="str">
        <f t="array" ref="P28">INDIRECT("Update"&amp;Projections!$AG$17&amp;"!C"&amp;ROW(B9))</f>
        <v>Tyrese Haliburton</v>
      </c>
      <c r="Q28" s="170">
        <f>UpdateHashtag!F67</f>
        <v>73</v>
      </c>
      <c r="R28" s="177" t="str">
        <f>IF(UpdateHashtag!D67="",ROW(UpdateHashtag!D67),UpdateHashtag!D67)</f>
        <v>SF,PF</v>
      </c>
      <c r="S28" s="124">
        <f t="shared" si="1"/>
        <v>5.239584636</v>
      </c>
      <c r="T28" s="124">
        <f>SUM(AE28:AM28)-IFERROR(IFS(Projections!$I$17,AN28,Projections!$J$17,AO28),"")</f>
        <v>5.381228628</v>
      </c>
      <c r="U28" s="124">
        <f t="shared" si="2"/>
        <v>0.1416439917</v>
      </c>
      <c r="V28" s="124">
        <f t="array" ref="V28">INDIRECT("Update"&amp;Projections!$AG$17&amp;"!M"&amp;ROW(B9))</f>
        <v>19.71779412</v>
      </c>
      <c r="W28" s="124">
        <f t="array" ref="W28">INDIRECT("Update"&amp;Projections!$AG$17&amp;"!L"&amp;ROW(B9))</f>
        <v>2.888382353</v>
      </c>
      <c r="X28" s="124">
        <f t="array" ref="X28">INDIRECT("Update"&amp;Projections!$AG$17&amp;"!N"&amp;ROW(B9))</f>
        <v>3.965441176</v>
      </c>
      <c r="Y28" s="124">
        <f t="array" ref="Y28">INDIRECT("Update"&amp;Projections!$AG$17&amp;"!O"&amp;ROW(B9))</f>
        <v>10.62191176</v>
      </c>
      <c r="Z28" s="124">
        <f t="array" ref="Z28">INDIRECT("Update"&amp;Projections!$AG$17&amp;"!P"&amp;ROW(B9))</f>
        <v>1.416176471</v>
      </c>
      <c r="AA28" s="124">
        <f t="array" ref="AA28">INDIRECT("Update"&amp;Projections!$AG$17&amp;"!Q"&amp;ROW(B9))</f>
        <v>0.6373529412</v>
      </c>
      <c r="AB28" s="180">
        <f t="array" ref="AB28">INDIRECT("Update"&amp;Projections!$AG$17&amp;"!I"&amp;ROW(B9))</f>
        <v>0.4795063553</v>
      </c>
      <c r="AC28" s="180">
        <f t="array" ref="AC28">INDIRECT("Update"&amp;Projections!$AG$17&amp;"!K"&amp;ROW(B9))</f>
        <v>0.8569964121</v>
      </c>
      <c r="AD28" s="124">
        <f t="array" ref="AD28">INDIRECT("Update"&amp;Projections!$AG$17&amp;"!R"&amp;ROW(B9))</f>
        <v>2.319852941</v>
      </c>
      <c r="AE28" s="124">
        <f t="shared" si="3"/>
        <v>0.4018127929</v>
      </c>
      <c r="AF28" s="124">
        <f t="shared" si="4"/>
        <v>1.130516516</v>
      </c>
      <c r="AG28" s="124">
        <f t="shared" si="5"/>
        <v>-0.8300167539</v>
      </c>
      <c r="AH28" s="124">
        <f t="shared" si="6"/>
        <v>3.037540368</v>
      </c>
      <c r="AI28" s="124">
        <f t="shared" si="7"/>
        <v>1.456241708</v>
      </c>
      <c r="AJ28" s="124">
        <f t="shared" si="8"/>
        <v>-0.1985444842</v>
      </c>
      <c r="AK28" s="124">
        <f t="shared" si="9"/>
        <v>-0.3039179225</v>
      </c>
      <c r="AL28" s="124">
        <f t="shared" si="10"/>
        <v>0.687596403</v>
      </c>
      <c r="AM28" s="124">
        <f t="shared" si="11"/>
        <v>0</v>
      </c>
      <c r="AN28" s="183">
        <f t="shared" si="12"/>
        <v>-0.8300167539</v>
      </c>
      <c r="AO28" s="183">
        <f t="shared" si="13"/>
        <v>-1.133934676</v>
      </c>
      <c r="AP28" s="183">
        <f t="array" ref="AP28">INDIRECT("Update"&amp;Projections!$AG$17&amp;"!S"&amp;ROW(B9))</f>
        <v>14.72838235</v>
      </c>
      <c r="AQ28" s="183">
        <f t="array" ref="AQ28">INDIRECT("Update"&amp;Projections!$AG$17&amp;"!T"&amp;ROW(B9))</f>
        <v>3.156029412</v>
      </c>
    </row>
    <row r="29">
      <c r="A29" s="40" t="str">
        <f>IF(UpdateHashtag!C27="",ROW(UpdateHashtag!C27),UpdateHashtag!C27)</f>
        <v>Anthony Edwards</v>
      </c>
      <c r="B29" s="41">
        <f>IF(TYPE($A29)=1,"",(UpdateHashtag!M27-B$1)/B$2)</f>
        <v>1.570266954</v>
      </c>
      <c r="C29" s="41">
        <f>IF(TYPE($A29)=1,"",(UpdateHashtag!L27-C$1)/C$2)</f>
        <v>0.7452689757</v>
      </c>
      <c r="D29" s="41">
        <f>IF(TYPE($A29)=1,"",(UpdateHashtag!N27-D$1)/D$2)</f>
        <v>-0.2286124145</v>
      </c>
      <c r="E29" s="41">
        <f>IF(TYPE($A29)=1,"",(UpdateHashtag!O27-E$1)/E$2)</f>
        <v>0.5752419853</v>
      </c>
      <c r="F29" s="41">
        <f>IF(TYPE($A29)=1,"",(UpdateHashtag!P27-F$1)/F$2)</f>
        <v>1.402724873</v>
      </c>
      <c r="G29" s="41">
        <f>IF(TYPE($A29)=1,"",(UpdateHashtag!Q27-G$1)/G$2)</f>
        <v>-0.08680419409</v>
      </c>
      <c r="H29" s="41">
        <f>IF(TYPE($A29)=1,"",(UpdateHashtag!I27-H$1)/H$2*I29/$I$1)</f>
        <v>-0.87947495</v>
      </c>
      <c r="I29" s="41">
        <f>UpdateHashtag!S27</f>
        <v>20.3</v>
      </c>
      <c r="J29" s="53">
        <f>IF(TYPE($A29)=1,"",(UpdateHashtag!K27-J$1)/J$2*K29/$K$1)</f>
        <v>0.6004597253</v>
      </c>
      <c r="K29" s="55">
        <f>UpdateHashtag!T27</f>
        <v>6.1</v>
      </c>
      <c r="L29" s="41">
        <f>IF(TYPE($A29)=1,"",-(UpdateHashtag!R27-L$1)/L$2)</f>
        <v>-1.340426099</v>
      </c>
      <c r="M29" t="s">
        <v>83</v>
      </c>
      <c r="N29" s="112">
        <v>9.0</v>
      </c>
      <c r="O29" s="170">
        <f t="array" ref="O29">INDIRECT("Update"&amp;Projections!$AG$17&amp;"!B"&amp;ROW(B10))</f>
        <v>12.4</v>
      </c>
      <c r="P29" s="172" t="str">
        <f t="array" ref="P29">INDIRECT("Update"&amp;Projections!$AG$17&amp;"!C"&amp;ROW(B10))</f>
        <v>Stephen Curry</v>
      </c>
      <c r="Q29" s="170">
        <f>UpdateHashtag!F66</f>
        <v>72</v>
      </c>
      <c r="R29" s="177" t="str">
        <f>IF(UpdateHashtag!D66="",ROW(UpdateHashtag!D66),UpdateHashtag!D66)</f>
        <v>C</v>
      </c>
      <c r="S29" s="124">
        <f t="shared" si="1"/>
        <v>4.898364318</v>
      </c>
      <c r="T29" s="124">
        <f>SUM(AE29:AM29)-IFERROR(IFS(Projections!$I$17,AN29,Projections!$J$17,AO29),"")</f>
        <v>5.214872183</v>
      </c>
      <c r="U29" s="124">
        <f t="shared" si="2"/>
        <v>0.3165078647</v>
      </c>
      <c r="V29" s="124">
        <f t="array" ref="V29">INDIRECT("Update"&amp;Projections!$AG$17&amp;"!M"&amp;ROW(B10))</f>
        <v>27.32397059</v>
      </c>
      <c r="W29" s="124">
        <f t="array" ref="W29">INDIRECT("Update"&amp;Projections!$AG$17&amp;"!L"&amp;ROW(B10))</f>
        <v>5.063235294</v>
      </c>
      <c r="X29" s="124">
        <f t="array" ref="X29">INDIRECT("Update"&amp;Projections!$AG$17&amp;"!N"&amp;ROW(B10))</f>
        <v>4.8125</v>
      </c>
      <c r="Y29" s="124">
        <f t="array" ref="Y29">INDIRECT("Update"&amp;Projections!$AG$17&amp;"!O"&amp;ROW(B10))</f>
        <v>6.1875</v>
      </c>
      <c r="Z29" s="124">
        <f t="array" ref="Z29">INDIRECT("Update"&amp;Projections!$AG$17&amp;"!P"&amp;ROW(B10))</f>
        <v>0.825</v>
      </c>
      <c r="AA29" s="124">
        <f t="array" ref="AA29">INDIRECT("Update"&amp;Projections!$AG$17&amp;"!Q"&amp;ROW(B10))</f>
        <v>0.3408823529</v>
      </c>
      <c r="AB29" s="180">
        <f t="array" ref="AB29">INDIRECT("Update"&amp;Projections!$AG$17&amp;"!I"&amp;ROW(B10))</f>
        <v>0.4492422534</v>
      </c>
      <c r="AC29" s="180">
        <f t="array" ref="AC29">INDIRECT("Update"&amp;Projections!$AG$17&amp;"!K"&amp;ROW(B10))</f>
        <v>0.9219855811</v>
      </c>
      <c r="AD29" s="124">
        <f t="array" ref="AD29">INDIRECT("Update"&amp;Projections!$AG$17&amp;"!R"&amp;ROW(B10))</f>
        <v>3.025</v>
      </c>
      <c r="AE29" s="124">
        <f t="shared" si="3"/>
        <v>1.772868991</v>
      </c>
      <c r="AF29" s="124">
        <f t="shared" si="4"/>
        <v>3.287815216</v>
      </c>
      <c r="AG29" s="124">
        <f t="shared" si="5"/>
        <v>-0.4980484745</v>
      </c>
      <c r="AH29" s="124">
        <f t="shared" si="6"/>
        <v>1.023703665</v>
      </c>
      <c r="AI29" s="124">
        <f t="shared" si="7"/>
        <v>-0.4995553203</v>
      </c>
      <c r="AJ29" s="124">
        <f t="shared" si="8"/>
        <v>-0.7273436039</v>
      </c>
      <c r="AK29" s="124">
        <f t="shared" si="9"/>
        <v>-1.128619481</v>
      </c>
      <c r="AL29" s="124">
        <f t="shared" si="10"/>
        <v>1.984051191</v>
      </c>
      <c r="AM29" s="124">
        <f t="shared" si="11"/>
        <v>0</v>
      </c>
      <c r="AN29" s="183">
        <f t="shared" si="12"/>
        <v>-1.128619481</v>
      </c>
      <c r="AO29" s="183">
        <f t="shared" si="13"/>
        <v>-1.855963084</v>
      </c>
      <c r="AP29" s="183">
        <f t="array" ref="AP29">INDIRECT("Update"&amp;Projections!$AG$17&amp;"!S"&amp;ROW(B10))</f>
        <v>20.21279412</v>
      </c>
      <c r="AQ29" s="183">
        <f t="array" ref="AQ29">INDIRECT("Update"&amp;Projections!$AG$17&amp;"!T"&amp;ROW(B10))</f>
        <v>4.446764706</v>
      </c>
    </row>
    <row r="30">
      <c r="A30" s="40" t="str">
        <f>IF(UpdateHashtag!C28="",ROW(UpdateHashtag!C28),UpdateHashtag!C28)</f>
        <v>Paul George</v>
      </c>
      <c r="B30" s="41">
        <f>IF(TYPE($A30)=1,"",(UpdateHashtag!M28-B$1)/B$2)</f>
        <v>0.8312188355</v>
      </c>
      <c r="C30" s="41">
        <f>IF(TYPE($A30)=1,"",(UpdateHashtag!L28-C$1)/C$2)</f>
        <v>1.241233245</v>
      </c>
      <c r="D30" s="41">
        <f>IF(TYPE($A30)=1,"",(UpdateHashtag!N28-D$1)/D$2)</f>
        <v>-0.4245659127</v>
      </c>
      <c r="E30" s="41">
        <f>IF(TYPE($A30)=1,"",(UpdateHashtag!O28-E$1)/E$2)</f>
        <v>-0.2422071517</v>
      </c>
      <c r="F30" s="41">
        <f>IF(TYPE($A30)=1,"",(UpdateHashtag!P28-F$1)/F$2)</f>
        <v>1.402724873</v>
      </c>
      <c r="G30" s="41">
        <f>IF(TYPE($A30)=1,"",(UpdateHashtag!Q28-G$1)/G$2)</f>
        <v>-0.6218985413</v>
      </c>
      <c r="H30" s="41">
        <f>IF(TYPE($A30)=1,"",(UpdateHashtag!I28-H$1)/H$2*I30/$I$1)</f>
        <v>-0.6188833464</v>
      </c>
      <c r="I30" s="41">
        <f>UpdateHashtag!S28</f>
        <v>16.5</v>
      </c>
      <c r="J30" s="53">
        <f>IF(TYPE($A30)=1,"",(UpdateHashtag!K28-J$1)/J$2*K30/$K$1)</f>
        <v>1.42028212</v>
      </c>
      <c r="K30" s="55">
        <f>UpdateHashtag!T28</f>
        <v>4.3</v>
      </c>
      <c r="L30" s="41">
        <f>IF(TYPE($A30)=1,"",-(UpdateHashtag!R28-L$1)/L$2)</f>
        <v>-0.6460761218</v>
      </c>
      <c r="M30" t="s">
        <v>84</v>
      </c>
      <c r="N30" s="112">
        <v>10.0</v>
      </c>
      <c r="O30" s="170">
        <f t="array" ref="O30">INDIRECT("Update"&amp;Projections!$AG$17&amp;"!B"&amp;ROW(B11))</f>
        <v>16.2</v>
      </c>
      <c r="P30" s="172" t="str">
        <f t="array" ref="P30">INDIRECT("Update"&amp;Projections!$AG$17&amp;"!C"&amp;ROW(B11))</f>
        <v>James Harden</v>
      </c>
      <c r="Q30" s="170">
        <f>UpdateHashtag!F68</f>
        <v>67</v>
      </c>
      <c r="R30" s="177" t="str">
        <f>IF(UpdateHashtag!D68="",ROW(UpdateHashtag!D68),UpdateHashtag!D68)</f>
        <v>PG,SG</v>
      </c>
      <c r="S30" s="124">
        <f t="shared" si="1"/>
        <v>4.551259773</v>
      </c>
      <c r="T30" s="124">
        <f>SUM(AE30:AM30)-IFERROR(IFS(Projections!$I$17,AN30,Projections!$J$17,AO30),"")</f>
        <v>4.926699863</v>
      </c>
      <c r="U30" s="124">
        <f t="shared" si="2"/>
        <v>0.3754400897</v>
      </c>
      <c r="V30" s="124">
        <f t="array" ref="V30">INDIRECT("Update"&amp;Projections!$AG$17&amp;"!M"&amp;ROW(B11))</f>
        <v>22.65044118</v>
      </c>
      <c r="W30" s="124">
        <f t="array" ref="W30">INDIRECT("Update"&amp;Projections!$AG$17&amp;"!L"&amp;ROW(B11))</f>
        <v>2.797941176</v>
      </c>
      <c r="X30" s="124">
        <f t="array" ref="X30">INDIRECT("Update"&amp;Projections!$AG$17&amp;"!N"&amp;ROW(B11))</f>
        <v>5.900441176</v>
      </c>
      <c r="Y30" s="124">
        <f t="array" ref="Y30">INDIRECT("Update"&amp;Projections!$AG$17&amp;"!O"&amp;ROW(B11))</f>
        <v>9.440735294</v>
      </c>
      <c r="Z30" s="124">
        <f t="array" ref="Z30">INDIRECT("Update"&amp;Projections!$AG$17&amp;"!P"&amp;ROW(B11))</f>
        <v>0.9710294118</v>
      </c>
      <c r="AA30" s="124">
        <f t="array" ref="AA30">INDIRECT("Update"&amp;Projections!$AG$17&amp;"!Q"&amp;ROW(B11))</f>
        <v>0.5552941176</v>
      </c>
      <c r="AB30" s="180">
        <f t="array" ref="AB30">INDIRECT("Update"&amp;Projections!$AG$17&amp;"!I"&amp;ROW(B11))</f>
        <v>0.4337920333</v>
      </c>
      <c r="AC30" s="180">
        <f t="array" ref="AC30">INDIRECT("Update"&amp;Projections!$AG$17&amp;"!K"&amp;ROW(B11))</f>
        <v>0.8789990497</v>
      </c>
      <c r="AD30" s="124">
        <f t="array" ref="AD30">INDIRECT("Update"&amp;Projections!$AG$17&amp;"!R"&amp;ROW(B11))</f>
        <v>3.262647059</v>
      </c>
      <c r="AE30" s="124">
        <f t="shared" si="3"/>
        <v>0.9304389619</v>
      </c>
      <c r="AF30" s="124">
        <f t="shared" si="4"/>
        <v>1.040805331</v>
      </c>
      <c r="AG30" s="124">
        <f t="shared" si="5"/>
        <v>-0.07167671603</v>
      </c>
      <c r="AH30" s="124">
        <f t="shared" si="6"/>
        <v>2.501122767</v>
      </c>
      <c r="AI30" s="124">
        <f t="shared" si="7"/>
        <v>-0.01644426344</v>
      </c>
      <c r="AJ30" s="124">
        <f t="shared" si="8"/>
        <v>-0.3449085263</v>
      </c>
      <c r="AK30" s="124">
        <f t="shared" si="9"/>
        <v>-1.168152503</v>
      </c>
      <c r="AL30" s="124">
        <f t="shared" si="10"/>
        <v>2.055514812</v>
      </c>
      <c r="AM30" s="124">
        <f t="shared" si="11"/>
        <v>0</v>
      </c>
      <c r="AN30" s="183">
        <f t="shared" si="12"/>
        <v>-1.168152503</v>
      </c>
      <c r="AO30" s="183">
        <f t="shared" si="13"/>
        <v>-1.51306103</v>
      </c>
      <c r="AP30" s="183">
        <f t="array" ref="AP30">INDIRECT("Update"&amp;Projections!$AG$17&amp;"!S"&amp;ROW(B11))</f>
        <v>15.82691176</v>
      </c>
      <c r="AQ30" s="183">
        <f t="array" ref="AQ30">INDIRECT("Update"&amp;Projections!$AG$17&amp;"!T"&amp;ROW(B11))</f>
        <v>6.963970588</v>
      </c>
    </row>
    <row r="31">
      <c r="A31" s="40" t="str">
        <f>IF(UpdateHashtag!C29="",ROW(UpdateHashtag!C29),UpdateHashtag!C29)</f>
        <v>Jalen Williams</v>
      </c>
      <c r="B31" s="41">
        <f>IF(TYPE($A31)=1,"",(UpdateHashtag!M29-B$1)/B$2)</f>
        <v>0.4526819941</v>
      </c>
      <c r="C31" s="41">
        <f>IF(TYPE($A31)=1,"",(UpdateHashtag!L29-C$1)/C$2)</f>
        <v>-0.04827385557</v>
      </c>
      <c r="D31" s="41">
        <f>IF(TYPE($A31)=1,"",(UpdateHashtag!N29-D$1)/D$2)</f>
        <v>-0.5813287112</v>
      </c>
      <c r="E31" s="41">
        <f>IF(TYPE($A31)=1,"",(UpdateHashtag!O29-E$1)/E$2)</f>
        <v>0.4390004625</v>
      </c>
      <c r="F31" s="41">
        <f>IF(TYPE($A31)=1,"",(UpdateHashtag!P29-F$1)/F$2)</f>
        <v>0.741062197</v>
      </c>
      <c r="G31" s="41">
        <f>IF(TYPE($A31)=1,"",(UpdateHashtag!Q29-G$1)/G$2)</f>
        <v>-0.2651689765</v>
      </c>
      <c r="H31" s="41">
        <f>IF(TYPE($A31)=1,"",(UpdateHashtag!I29-H$1)/H$2*I31/$I$1)</f>
        <v>0.6536075947</v>
      </c>
      <c r="I31" s="41">
        <f>UpdateHashtag!S29</f>
        <v>14.5</v>
      </c>
      <c r="J31" s="53">
        <f>IF(TYPE($A31)=1,"",(UpdateHashtag!K29-J$1)/J$2*K31/$K$1)</f>
        <v>0.3227380562</v>
      </c>
      <c r="K31" s="55">
        <f>UpdateHashtag!T29</f>
        <v>3.4</v>
      </c>
      <c r="L31" s="41">
        <f>IF(TYPE($A31)=1,"",-(UpdateHashtag!R29-L$1)/L$2)</f>
        <v>-0.05091899834</v>
      </c>
      <c r="N31" s="5">
        <v>11.0</v>
      </c>
      <c r="O31" s="170">
        <f t="array" ref="O31">INDIRECT("Update"&amp;Projections!$AG$17&amp;"!B"&amp;ROW(B12))</f>
        <v>24.2</v>
      </c>
      <c r="P31" s="172" t="str">
        <f t="array" ref="P31">INDIRECT("Update"&amp;Projections!$AG$17&amp;"!C"&amp;ROW(B12))</f>
        <v>LeBron James</v>
      </c>
      <c r="Q31" s="170">
        <f>UpdateHashtag!F69</f>
        <v>62</v>
      </c>
      <c r="R31" s="177" t="str">
        <f>IF(UpdateHashtag!D69="",ROW(UpdateHashtag!D69),UpdateHashtag!D69)</f>
        <v>SF,PF</v>
      </c>
      <c r="S31" s="124">
        <f t="shared" si="1"/>
        <v>3.92339239</v>
      </c>
      <c r="T31" s="124">
        <f>SUM(AE31:AM31)-IFERROR(IFS(Projections!$I$17,AN31,Projections!$J$17,AO31),"")</f>
        <v>4.393498886</v>
      </c>
      <c r="U31" s="124">
        <f t="shared" si="2"/>
        <v>0.4701064959</v>
      </c>
      <c r="V31" s="124">
        <f t="array" ref="V31">INDIRECT("Update"&amp;Projections!$AG$17&amp;"!M"&amp;ROW(B12))</f>
        <v>24.64166667</v>
      </c>
      <c r="W31" s="124">
        <f t="array" ref="W31">INDIRECT("Update"&amp;Projections!$AG$17&amp;"!L"&amp;ROW(B12))</f>
        <v>1.924848485</v>
      </c>
      <c r="X31" s="124">
        <f t="array" ref="X31">INDIRECT("Update"&amp;Projections!$AG$17&amp;"!N"&amp;ROW(B12))</f>
        <v>7.14</v>
      </c>
      <c r="Y31" s="124">
        <f t="array" ref="Y31">INDIRECT("Update"&amp;Projections!$AG$17&amp;"!O"&amp;ROW(B12))</f>
        <v>8.776212121</v>
      </c>
      <c r="Z31" s="124">
        <f t="array" ref="Z31">INDIRECT("Update"&amp;Projections!$AG$17&amp;"!P"&amp;ROW(B12))</f>
        <v>1.109242424</v>
      </c>
      <c r="AA31" s="124">
        <f t="array" ref="AA31">INDIRECT("Update"&amp;Projections!$AG$17&amp;"!Q"&amp;ROW(B12))</f>
        <v>0.5227272727</v>
      </c>
      <c r="AB31" s="180">
        <f t="array" ref="AB31">INDIRECT("Update"&amp;Projections!$AG$17&amp;"!I"&amp;ROW(B12))</f>
        <v>0.5371077316</v>
      </c>
      <c r="AC31" s="180">
        <f t="array" ref="AC31">INDIRECT("Update"&amp;Projections!$AG$17&amp;"!K"&amp;ROW(B12))</f>
        <v>0.7690098505</v>
      </c>
      <c r="AD31" s="124">
        <f t="array" ref="AD31">INDIRECT("Update"&amp;Projections!$AG$17&amp;"!R"&amp;ROW(B12))</f>
        <v>3.644393939</v>
      </c>
      <c r="AE31" s="124">
        <f t="shared" si="3"/>
        <v>1.289368585</v>
      </c>
      <c r="AF31" s="124">
        <f t="shared" si="4"/>
        <v>0.1747597737</v>
      </c>
      <c r="AG31" s="124">
        <f t="shared" si="5"/>
        <v>0.4141150595</v>
      </c>
      <c r="AH31" s="124">
        <f t="shared" si="6"/>
        <v>2.19933727</v>
      </c>
      <c r="AI31" s="124">
        <f t="shared" si="7"/>
        <v>0.440807694</v>
      </c>
      <c r="AJ31" s="124">
        <f t="shared" si="8"/>
        <v>-0.4029963084</v>
      </c>
      <c r="AK31" s="124">
        <f t="shared" si="9"/>
        <v>0.7931270721</v>
      </c>
      <c r="AL31" s="124">
        <f t="shared" si="10"/>
        <v>-0.5150202594</v>
      </c>
      <c r="AM31" s="124">
        <f t="shared" si="11"/>
        <v>0</v>
      </c>
      <c r="AN31" s="183">
        <f t="shared" si="12"/>
        <v>-0.5150202594</v>
      </c>
      <c r="AO31" s="183">
        <f t="shared" si="13"/>
        <v>-0.9180165678</v>
      </c>
      <c r="AP31" s="183">
        <f t="array" ref="AP31">INDIRECT("Update"&amp;Projections!$AG$17&amp;"!S"&amp;ROW(B12))</f>
        <v>17.10621212</v>
      </c>
      <c r="AQ31" s="183">
        <f t="array" ref="AQ31">INDIRECT("Update"&amp;Projections!$AG$17&amp;"!T"&amp;ROW(B12))</f>
        <v>5.645</v>
      </c>
    </row>
    <row r="32">
      <c r="A32" s="40" t="str">
        <f>IF(UpdateHashtag!C30="",ROW(UpdateHashtag!C30),UpdateHashtag!C30)</f>
        <v>Jimmy Butler</v>
      </c>
      <c r="B32" s="41">
        <f>IF(TYPE($A32)=1,"",(UpdateHashtag!M30-B$1)/B$2)</f>
        <v>0.5788609412</v>
      </c>
      <c r="C32" s="41">
        <f>IF(TYPE($A32)=1,"",(UpdateHashtag!L30-C$1)/C$2)</f>
        <v>-0.9410095407</v>
      </c>
      <c r="D32" s="41">
        <f>IF(TYPE($A32)=1,"",(UpdateHashtag!N30-D$1)/D$2)</f>
        <v>-0.2678031142</v>
      </c>
      <c r="E32" s="41">
        <f>IF(TYPE($A32)=1,"",(UpdateHashtag!O30-E$1)/E$2)</f>
        <v>0.5298281444</v>
      </c>
      <c r="F32" s="41">
        <f>IF(TYPE($A32)=1,"",(UpdateHashtag!P30-F$1)/F$2)</f>
        <v>1.071893535</v>
      </c>
      <c r="G32" s="41">
        <f>IF(TYPE($A32)=1,"",(UpdateHashtag!Q30-G$1)/G$2)</f>
        <v>-0.8002633236</v>
      </c>
      <c r="H32" s="41">
        <f>IF(TYPE($A32)=1,"",(UpdateHashtag!I30-H$1)/H$2*I32/$I$1)</f>
        <v>-0.08055591376</v>
      </c>
      <c r="I32" s="41">
        <f>UpdateHashtag!S30</f>
        <v>13.2</v>
      </c>
      <c r="J32" s="53">
        <f>IF(TYPE($A32)=1,"",(UpdateHashtag!K30-J$1)/J$2*K32/$K$1)</f>
        <v>1.707917652</v>
      </c>
      <c r="K32" s="55">
        <f>UpdateHashtag!T30</f>
        <v>8.1</v>
      </c>
      <c r="L32" s="41">
        <f>IF(TYPE($A32)=1,"",-(UpdateHashtag!R30-L$1)/L$2)</f>
        <v>0.1474667095</v>
      </c>
      <c r="M32" s="5" t="s">
        <v>88</v>
      </c>
      <c r="N32" s="112">
        <v>12.0</v>
      </c>
      <c r="O32" s="170">
        <f t="array" ref="O32">INDIRECT("Update"&amp;Projections!$AG$17&amp;"!B"&amp;ROW(B13))</f>
        <v>26.6</v>
      </c>
      <c r="P32" s="172" t="str">
        <f t="array" ref="P32">INDIRECT("Update"&amp;Projections!$AG$17&amp;"!C"&amp;ROW(B13))</f>
        <v>Kyrie Irving</v>
      </c>
      <c r="Q32" s="170">
        <f>UpdateHashtag!F72</f>
        <v>78</v>
      </c>
      <c r="R32" s="177" t="str">
        <f>IF(UpdateHashtag!D72="",ROW(UpdateHashtag!D72),UpdateHashtag!D72)</f>
        <v>SG,SF,PF</v>
      </c>
      <c r="S32" s="124">
        <f t="shared" si="1"/>
        <v>4.390704317</v>
      </c>
      <c r="T32" s="124">
        <f>SUM(AE32:AM32)-IFERROR(IFS(Projections!$I$17,AN32,Projections!$J$17,AO32),"")</f>
        <v>4.464262626</v>
      </c>
      <c r="U32" s="124">
        <f t="shared" si="2"/>
        <v>0.07355830861</v>
      </c>
      <c r="V32" s="124">
        <f t="array" ref="V32">INDIRECT("Update"&amp;Projections!$AG$17&amp;"!M"&amp;ROW(B13))</f>
        <v>24.8325</v>
      </c>
      <c r="W32" s="124">
        <f t="array" ref="W32">INDIRECT("Update"&amp;Projections!$AG$17&amp;"!L"&amp;ROW(B13))</f>
        <v>2.898382353</v>
      </c>
      <c r="X32" s="124">
        <f t="array" ref="X32">INDIRECT("Update"&amp;Projections!$AG$17&amp;"!N"&amp;ROW(B13))</f>
        <v>4.999558824</v>
      </c>
      <c r="Y32" s="124">
        <f t="array" ref="Y32">INDIRECT("Update"&amp;Projections!$AG$17&amp;"!O"&amp;ROW(B13))</f>
        <v>4.999558824</v>
      </c>
      <c r="Z32" s="124">
        <f t="array" ref="Z32">INDIRECT("Update"&amp;Projections!$AG$17&amp;"!P"&amp;ROW(B13))</f>
        <v>1.212205882</v>
      </c>
      <c r="AA32" s="124">
        <f t="array" ref="AA32">INDIRECT("Update"&amp;Projections!$AG$17&amp;"!Q"&amp;ROW(B13))</f>
        <v>0.5301470588</v>
      </c>
      <c r="AB32" s="180">
        <f t="array" ref="AB32">INDIRECT("Update"&amp;Projections!$AG$17&amp;"!I"&amp;ROW(B13))</f>
        <v>0.5067040208</v>
      </c>
      <c r="AC32" s="180">
        <f t="array" ref="AC32">INDIRECT("Update"&amp;Projections!$AG$17&amp;"!K"&amp;ROW(B13))</f>
        <v>0.9090032436</v>
      </c>
      <c r="AD32" s="124">
        <f t="array" ref="AD32">INDIRECT("Update"&amp;Projections!$AG$17&amp;"!R"&amp;ROW(B13))</f>
        <v>2.045294118</v>
      </c>
      <c r="AE32" s="124">
        <f t="shared" si="3"/>
        <v>1.323767368</v>
      </c>
      <c r="AF32" s="124">
        <f t="shared" si="4"/>
        <v>1.140435801</v>
      </c>
      <c r="AG32" s="124">
        <f t="shared" si="5"/>
        <v>-0.4247388127</v>
      </c>
      <c r="AH32" s="124">
        <f t="shared" si="6"/>
        <v>0.4842139485</v>
      </c>
      <c r="AI32" s="124">
        <f t="shared" si="7"/>
        <v>0.7814430797</v>
      </c>
      <c r="AJ32" s="124">
        <f t="shared" si="8"/>
        <v>-0.389762023</v>
      </c>
      <c r="AK32" s="124">
        <f t="shared" si="9"/>
        <v>0.2049881663</v>
      </c>
      <c r="AL32" s="124">
        <f t="shared" si="10"/>
        <v>1.343915098</v>
      </c>
      <c r="AM32" s="124">
        <f t="shared" si="11"/>
        <v>0</v>
      </c>
      <c r="AN32" s="183">
        <f t="shared" si="12"/>
        <v>-0.4247388127</v>
      </c>
      <c r="AO32" s="183">
        <f t="shared" si="13"/>
        <v>-0.8145008357</v>
      </c>
      <c r="AP32" s="183">
        <f t="array" ref="AP32">INDIRECT("Update"&amp;Projections!$AG$17&amp;"!S"&amp;ROW(B13))</f>
        <v>18.63455882</v>
      </c>
      <c r="AQ32" s="183">
        <f t="array" ref="AQ32">INDIRECT("Update"&amp;Projections!$AG$17&amp;"!T"&amp;ROW(B13))</f>
        <v>3.355</v>
      </c>
    </row>
    <row r="33">
      <c r="A33" s="40" t="str">
        <f>IF(UpdateHashtag!C31="",ROW(UpdateHashtag!C31),UpdateHashtag!C31)</f>
        <v>Jaren Jackson Jr.</v>
      </c>
      <c r="B33" s="41">
        <f>IF(TYPE($A33)=1,"",(UpdateHashtag!M31-B$1)/B$2)</f>
        <v>0.6870143245</v>
      </c>
      <c r="C33" s="41">
        <f>IF(TYPE($A33)=1,"",(UpdateHashtag!L31-C$1)/C$2)</f>
        <v>-0.04827385557</v>
      </c>
      <c r="D33" s="41">
        <f>IF(TYPE($A33)=1,"",(UpdateHashtag!N31-D$1)/D$2)</f>
        <v>0.08491318254</v>
      </c>
      <c r="E33" s="41">
        <f>IF(TYPE($A33)=1,"",(UpdateHashtag!O31-E$1)/E$2)</f>
        <v>-1.014242448</v>
      </c>
      <c r="F33" s="41">
        <f>IF(TYPE($A33)=1,"",(UpdateHashtag!P31-F$1)/F$2)</f>
        <v>0.741062197</v>
      </c>
      <c r="G33" s="41">
        <f>IF(TYPE($A33)=1,"",(UpdateHashtag!Q31-G$1)/G$2)</f>
        <v>2.053573195</v>
      </c>
      <c r="H33" s="41">
        <f>IF(TYPE($A33)=1,"",(UpdateHashtag!I31-H$1)/H$2*I33/$I$1)</f>
        <v>-0.5039071571</v>
      </c>
      <c r="I33" s="41">
        <f>UpdateHashtag!S31</f>
        <v>15.9</v>
      </c>
      <c r="J33" s="53">
        <f>IF(TYPE($A33)=1,"",(UpdateHashtag!K31-J$1)/J$2*K33/$K$1)</f>
        <v>0.1022863374</v>
      </c>
      <c r="K33" s="55">
        <f>UpdateHashtag!T31</f>
        <v>5.8</v>
      </c>
      <c r="L33" s="41">
        <f>IF(TYPE($A33)=1,"",-(UpdateHashtag!R31-L$1)/L$2)</f>
        <v>-0.34849756</v>
      </c>
      <c r="N33" s="112">
        <v>13.0</v>
      </c>
      <c r="O33" s="170">
        <f t="array" ref="O33">INDIRECT("Update"&amp;Projections!$AG$17&amp;"!B"&amp;ROW(B14))</f>
        <v>32.1</v>
      </c>
      <c r="P33" s="172" t="str">
        <f t="array" ref="P33">INDIRECT("Update"&amp;Projections!$AG$17&amp;"!C"&amp;ROW(B14))</f>
        <v>Paul George</v>
      </c>
      <c r="Q33" s="170">
        <f>UpdateHashtag!F71</f>
        <v>69</v>
      </c>
      <c r="R33" s="177" t="str">
        <f>IF(UpdateHashtag!D71="",ROW(UpdateHashtag!D71),UpdateHashtag!D71)</f>
        <v>C</v>
      </c>
      <c r="S33" s="124">
        <f t="shared" si="1"/>
        <v>4.37845201</v>
      </c>
      <c r="T33" s="124">
        <f>SUM(AE33:AM33)-IFERROR(IFS(Projections!$I$17,AN33,Projections!$J$17,AO33),"")</f>
        <v>4.618205405</v>
      </c>
      <c r="U33" s="124">
        <f t="shared" si="2"/>
        <v>0.2397533943</v>
      </c>
      <c r="V33" s="124">
        <f t="array" ref="V33">INDIRECT("Update"&amp;Projections!$AG$17&amp;"!M"&amp;ROW(B14))</f>
        <v>20.82370968</v>
      </c>
      <c r="W33" s="124">
        <f t="array" ref="W33">INDIRECT("Update"&amp;Projections!$AG$17&amp;"!L"&amp;ROW(B14))</f>
        <v>2.860322581</v>
      </c>
      <c r="X33" s="124">
        <f t="array" ref="X33">INDIRECT("Update"&amp;Projections!$AG$17&amp;"!N"&amp;ROW(B14))</f>
        <v>6.431290323</v>
      </c>
      <c r="Y33" s="124">
        <f t="array" ref="Y33">INDIRECT("Update"&amp;Projections!$AG$17&amp;"!O"&amp;ROW(B14))</f>
        <v>4.787741935</v>
      </c>
      <c r="Z33" s="124">
        <f t="array" ref="Z33">INDIRECT("Update"&amp;Projections!$AG$17&amp;"!P"&amp;ROW(B14))</f>
        <v>1.589032258</v>
      </c>
      <c r="AA33" s="124">
        <f t="array" ref="AA33">INDIRECT("Update"&amp;Projections!$AG$17&amp;"!Q"&amp;ROW(B14))</f>
        <v>0.5001612903</v>
      </c>
      <c r="AB33" s="180">
        <f t="array" ref="AB33">INDIRECT("Update"&amp;Projections!$AG$17&amp;"!I"&amp;ROW(B14))</f>
        <v>0.4722811616</v>
      </c>
      <c r="AC33" s="180">
        <f t="array" ref="AC33">INDIRECT("Update"&amp;Projections!$AG$17&amp;"!K"&amp;ROW(B14))</f>
        <v>0.8910028604</v>
      </c>
      <c r="AD33" s="124">
        <f t="array" ref="AD33">INDIRECT("Update"&amp;Projections!$AG$17&amp;"!R"&amp;ROW(B14))</f>
        <v>2.715483871</v>
      </c>
      <c r="AE33" s="124">
        <f t="shared" si="3"/>
        <v>0.6011603086</v>
      </c>
      <c r="AF33" s="124">
        <f t="shared" si="4"/>
        <v>1.102683227</v>
      </c>
      <c r="AG33" s="124">
        <f t="shared" si="5"/>
        <v>0.1363667787</v>
      </c>
      <c r="AH33" s="124">
        <f t="shared" si="6"/>
        <v>0.3880197634</v>
      </c>
      <c r="AI33" s="124">
        <f t="shared" si="7"/>
        <v>2.028102821</v>
      </c>
      <c r="AJ33" s="124">
        <f t="shared" si="8"/>
        <v>-0.4432460738</v>
      </c>
      <c r="AK33" s="124">
        <f t="shared" si="9"/>
        <v>-0.4503092596</v>
      </c>
      <c r="AL33" s="124">
        <f t="shared" si="10"/>
        <v>1.255427839</v>
      </c>
      <c r="AM33" s="124">
        <f t="shared" si="11"/>
        <v>0</v>
      </c>
      <c r="AN33" s="183">
        <f t="shared" si="12"/>
        <v>-0.4503092596</v>
      </c>
      <c r="AO33" s="183">
        <f t="shared" si="13"/>
        <v>-0.8935553334</v>
      </c>
      <c r="AP33" s="183">
        <f t="array" ref="AP33">INDIRECT("Update"&amp;Projections!$AG$17&amp;"!S"&amp;ROW(B14))</f>
        <v>15.50709677</v>
      </c>
      <c r="AQ33" s="183">
        <f t="array" ref="AQ33">INDIRECT("Update"&amp;Projections!$AG$17&amp;"!T"&amp;ROW(B14))</f>
        <v>3.721612903</v>
      </c>
    </row>
    <row r="34">
      <c r="A34" s="40" t="str">
        <f>IF(UpdateHashtag!C32="",ROW(UpdateHashtag!C32),UpdateHashtag!C32)</f>
        <v>Tyrese Maxey</v>
      </c>
      <c r="B34" s="41">
        <f>IF(TYPE($A34)=1,"",(UpdateHashtag!M32-B$1)/B$2)</f>
        <v>1.245806805</v>
      </c>
      <c r="C34" s="41">
        <f>IF(TYPE($A34)=1,"",(UpdateHashtag!L32-C$1)/C$2)</f>
        <v>1.241233245</v>
      </c>
      <c r="D34" s="41">
        <f>IF(TYPE($A34)=1,"",(UpdateHashtag!N32-D$1)/D$2)</f>
        <v>-1.012426407</v>
      </c>
      <c r="E34" s="41">
        <f>IF(TYPE($A34)=1,"",(UpdateHashtag!O32-E$1)/E$2)</f>
        <v>0.893138872</v>
      </c>
      <c r="F34" s="41">
        <f>IF(TYPE($A34)=1,"",(UpdateHashtag!P32-F$1)/F$2)</f>
        <v>0.0793995211</v>
      </c>
      <c r="G34" s="41">
        <f>IF(TYPE($A34)=1,"",(UpdateHashtag!Q32-G$1)/G$2)</f>
        <v>-0.8002633236</v>
      </c>
      <c r="H34" s="41">
        <f>IF(TYPE($A34)=1,"",(UpdateHashtag!I32-H$1)/H$2*I34/$I$1)</f>
        <v>-0.7707542434</v>
      </c>
      <c r="I34" s="41">
        <f>UpdateHashtag!S32</f>
        <v>18.8</v>
      </c>
      <c r="J34" s="53">
        <f>IF(TYPE($A34)=1,"",(UpdateHashtag!K32-J$1)/J$2*K34/$K$1)</f>
        <v>1.079550156</v>
      </c>
      <c r="K34" s="55">
        <f>UpdateHashtag!T32</f>
        <v>4.8</v>
      </c>
      <c r="L34" s="41">
        <f>IF(TYPE($A34)=1,"",-(UpdateHashtag!R32-L$1)/L$2)</f>
        <v>0.1474667095</v>
      </c>
      <c r="N34" s="5">
        <v>14.0</v>
      </c>
      <c r="O34" s="170">
        <f t="array" ref="O34">INDIRECT("Update"&amp;Projections!$AG$17&amp;"!B"&amp;ROW(B15))</f>
        <v>17</v>
      </c>
      <c r="P34" s="172" t="str">
        <f t="array" ref="P34">INDIRECT("Update"&amp;Projections!$AG$17&amp;"!C"&amp;ROW(B15))</f>
        <v>Donovan Mitchell</v>
      </c>
      <c r="Q34" s="170">
        <f>UpdateHashtag!F77</f>
        <v>70</v>
      </c>
      <c r="R34" s="177" t="str">
        <f>IF(UpdateHashtag!D77="",ROW(UpdateHashtag!D77),UpdateHashtag!D77)</f>
        <v>PG,SG</v>
      </c>
      <c r="S34" s="124">
        <f t="shared" si="1"/>
        <v>4.362182127</v>
      </c>
      <c r="T34" s="124">
        <f>SUM(AE34:AM34)-IFERROR(IFS(Projections!$I$17,AN34,Projections!$J$17,AO34),"")</f>
        <v>4.611588944</v>
      </c>
      <c r="U34" s="124">
        <f t="shared" si="2"/>
        <v>0.2494068165</v>
      </c>
      <c r="V34" s="124">
        <f t="array" ref="V34">INDIRECT("Update"&amp;Projections!$AG$17&amp;"!M"&amp;ROW(B15))</f>
        <v>25.3975</v>
      </c>
      <c r="W34" s="124">
        <f t="array" ref="W34">INDIRECT("Update"&amp;Projections!$AG$17&amp;"!L"&amp;ROW(B15))</f>
        <v>3.406617647</v>
      </c>
      <c r="X34" s="124">
        <f t="array" ref="X34">INDIRECT("Update"&amp;Projections!$AG$17&amp;"!N"&amp;ROW(B15))</f>
        <v>4.2075</v>
      </c>
      <c r="Y34" s="124">
        <f t="array" ref="Y34">INDIRECT("Update"&amp;Projections!$AG$17&amp;"!O"&amp;ROW(B15))</f>
        <v>5.469705882</v>
      </c>
      <c r="Z34" s="124">
        <f t="array" ref="Z34">INDIRECT("Update"&amp;Projections!$AG$17&amp;"!P"&amp;ROW(B15))</f>
        <v>1.472647059</v>
      </c>
      <c r="AA34" s="124">
        <f t="array" ref="AA34">INDIRECT("Update"&amp;Projections!$AG$17&amp;"!Q"&amp;ROW(B15))</f>
        <v>0.4908823529</v>
      </c>
      <c r="AB34" s="180">
        <f t="array" ref="AB34">INDIRECT("Update"&amp;Projections!$AG$17&amp;"!I"&amp;ROW(B15))</f>
        <v>0.4648033924</v>
      </c>
      <c r="AC34" s="180">
        <f t="array" ref="AC34">INDIRECT("Update"&amp;Projections!$AG$17&amp;"!K"&amp;ROW(B15))</f>
        <v>0.8589983098</v>
      </c>
      <c r="AD34" s="124">
        <f t="array" ref="AD34">INDIRECT("Update"&amp;Projections!$AG$17&amp;"!R"&amp;ROW(B15))</f>
        <v>2.754411765</v>
      </c>
      <c r="AE34" s="124">
        <f t="shared" si="3"/>
        <v>1.425611804</v>
      </c>
      <c r="AF34" s="124">
        <f t="shared" si="4"/>
        <v>1.644568894</v>
      </c>
      <c r="AG34" s="124">
        <f t="shared" si="5"/>
        <v>-0.7351522073</v>
      </c>
      <c r="AH34" s="124">
        <f t="shared" si="6"/>
        <v>0.6977257856</v>
      </c>
      <c r="AI34" s="124">
        <f t="shared" si="7"/>
        <v>1.64306411</v>
      </c>
      <c r="AJ34" s="124">
        <f t="shared" si="8"/>
        <v>-0.4597964303</v>
      </c>
      <c r="AK34" s="124">
        <f t="shared" si="9"/>
        <v>-0.7197733541</v>
      </c>
      <c r="AL34" s="124">
        <f t="shared" si="10"/>
        <v>1.115340342</v>
      </c>
      <c r="AM34" s="124">
        <f t="shared" si="11"/>
        <v>0</v>
      </c>
      <c r="AN34" s="183">
        <f t="shared" si="12"/>
        <v>-0.7351522073</v>
      </c>
      <c r="AO34" s="183">
        <f t="shared" si="13"/>
        <v>-1.454925561</v>
      </c>
      <c r="AP34" s="183">
        <f t="array" ref="AP34">INDIRECT("Update"&amp;Projections!$AG$17&amp;"!S"&amp;ROW(B15))</f>
        <v>19.07352941</v>
      </c>
      <c r="AQ34" s="183">
        <f t="array" ref="AQ34">INDIRECT("Update"&amp;Projections!$AG$17&amp;"!T"&amp;ROW(B15))</f>
        <v>4.959264706</v>
      </c>
    </row>
    <row r="35">
      <c r="A35" s="40" t="str">
        <f>IF(UpdateHashtag!C33="",ROW(UpdateHashtag!C33),UpdateHashtag!C33)</f>
        <v>Fred VanVleet</v>
      </c>
      <c r="B35" s="41">
        <f>IF(TYPE($A35)=1,"",(UpdateHashtag!M33-B$1)/B$2)</f>
        <v>-0.03400823051</v>
      </c>
      <c r="C35" s="41">
        <f>IF(TYPE($A35)=1,"",(UpdateHashtag!L33-C$1)/C$2)</f>
        <v>1.142040391</v>
      </c>
      <c r="D35" s="41">
        <f>IF(TYPE($A35)=1,"",(UpdateHashtag!N33-D$1)/D$2)</f>
        <v>-0.9340450079</v>
      </c>
      <c r="E35" s="41">
        <f>IF(TYPE($A35)=1,"",(UpdateHashtag!O33-E$1)/E$2)</f>
        <v>1.665174168</v>
      </c>
      <c r="F35" s="41">
        <f>IF(TYPE($A35)=1,"",(UpdateHashtag!P33-F$1)/F$2)</f>
        <v>1.402724873</v>
      </c>
      <c r="G35" s="41">
        <f>IF(TYPE($A35)=1,"",(UpdateHashtag!Q33-G$1)/G$2)</f>
        <v>-0.08680419409</v>
      </c>
      <c r="H35" s="41">
        <f>IF(TYPE($A35)=1,"",(UpdateHashtag!I33-H$1)/H$2*I35/$I$1)</f>
        <v>-1.496498013</v>
      </c>
      <c r="I35" s="41">
        <f>UpdateHashtag!S33</f>
        <v>14.1</v>
      </c>
      <c r="J35" s="53">
        <f>IF(TYPE($A35)=1,"",(UpdateHashtag!K33-J$1)/J$2*K35/$K$1)</f>
        <v>0.9438475649</v>
      </c>
      <c r="K35" s="55">
        <f>UpdateHashtag!T33</f>
        <v>3.4</v>
      </c>
      <c r="L35" s="41">
        <f>IF(TYPE($A35)=1,"",-(UpdateHashtag!R33-L$1)/L$2)</f>
        <v>-0.05091899834</v>
      </c>
      <c r="N35" s="112">
        <v>15.0</v>
      </c>
      <c r="O35" s="170">
        <f t="array" ref="O35">INDIRECT("Update"&amp;Projections!$AG$17&amp;"!B"&amp;ROW(B16))</f>
        <v>22.1</v>
      </c>
      <c r="P35" s="172" t="str">
        <f t="array" ref="P35">INDIRECT("Update"&amp;Projections!$AG$17&amp;"!C"&amp;ROW(B16))</f>
        <v>Karl-Anthony Towns</v>
      </c>
      <c r="Q35" s="170">
        <f>UpdateHashtag!F70</f>
        <v>50</v>
      </c>
      <c r="R35" s="177" t="str">
        <f>IF(UpdateHashtag!D70="",ROW(UpdateHashtag!D70),UpdateHashtag!D70)</f>
        <v>C</v>
      </c>
      <c r="S35" s="124">
        <f t="shared" si="1"/>
        <v>3.543467633</v>
      </c>
      <c r="T35" s="124">
        <f>SUM(AE35:AM35)-IFERROR(IFS(Projections!$I$17,AN35,Projections!$J$17,AO35),"")</f>
        <v>3.849290385</v>
      </c>
      <c r="U35" s="124">
        <f t="shared" si="2"/>
        <v>0.3058227522</v>
      </c>
      <c r="V35" s="124">
        <f t="array" ref="V35">INDIRECT("Update"&amp;Projections!$AG$17&amp;"!M"&amp;ROW(B16))</f>
        <v>22.99985294</v>
      </c>
      <c r="W35" s="124">
        <f t="array" ref="W35">INDIRECT("Update"&amp;Projections!$AG$17&amp;"!L"&amp;ROW(B16))</f>
        <v>2.154264706</v>
      </c>
      <c r="X35" s="124">
        <f t="array" ref="X35">INDIRECT("Update"&amp;Projections!$AG$17&amp;"!N"&amp;ROW(B16))</f>
        <v>10.5</v>
      </c>
      <c r="Y35" s="124">
        <f t="array" ref="Y35">INDIRECT("Update"&amp;Projections!$AG$17&amp;"!O"&amp;ROW(B16))</f>
        <v>3.488235294</v>
      </c>
      <c r="Z35" s="124">
        <f t="array" ref="Z35">INDIRECT("Update"&amp;Projections!$AG$17&amp;"!P"&amp;ROW(B16))</f>
        <v>0.6401470588</v>
      </c>
      <c r="AA35" s="124">
        <f t="array" ref="AA35">INDIRECT("Update"&amp;Projections!$AG$17&amp;"!Q"&amp;ROW(B16))</f>
        <v>1.05</v>
      </c>
      <c r="AB35" s="180">
        <f t="array" ref="AB35">INDIRECT("Update"&amp;Projections!$AG$17&amp;"!I"&amp;ROW(B16))</f>
        <v>0.5164562794</v>
      </c>
      <c r="AC35" s="180">
        <f t="array" ref="AC35">INDIRECT("Update"&amp;Projections!$AG$17&amp;"!K"&amp;ROW(B16))</f>
        <v>0.8590137336</v>
      </c>
      <c r="AD35" s="124">
        <f t="array" ref="AD35">INDIRECT("Update"&amp;Projections!$AG$17&amp;"!R"&amp;ROW(B16))</f>
        <v>2.981911765</v>
      </c>
      <c r="AE35" s="124">
        <f t="shared" si="3"/>
        <v>0.9934224019</v>
      </c>
      <c r="AF35" s="124">
        <f t="shared" si="4"/>
        <v>0.4023242706</v>
      </c>
      <c r="AG35" s="124">
        <f t="shared" si="5"/>
        <v>1.730922567</v>
      </c>
      <c r="AH35" s="124">
        <f t="shared" si="6"/>
        <v>-0.2021361156</v>
      </c>
      <c r="AI35" s="124">
        <f t="shared" si="7"/>
        <v>-1.111106779</v>
      </c>
      <c r="AJ35" s="124">
        <f t="shared" si="8"/>
        <v>0.5374725443</v>
      </c>
      <c r="AK35" s="124">
        <f t="shared" si="9"/>
        <v>0.356614932</v>
      </c>
      <c r="AL35" s="124">
        <f t="shared" si="10"/>
        <v>1.141776563</v>
      </c>
      <c r="AM35" s="124">
        <f t="shared" si="11"/>
        <v>0</v>
      </c>
      <c r="AN35" s="183">
        <f t="shared" si="12"/>
        <v>-1.111106779</v>
      </c>
      <c r="AO35" s="183">
        <f t="shared" si="13"/>
        <v>-1.313242894</v>
      </c>
      <c r="AP35" s="183">
        <f t="array" ref="AP35">INDIRECT("Update"&amp;Projections!$AG$17&amp;"!S"&amp;ROW(B16))</f>
        <v>15.96029412</v>
      </c>
      <c r="AQ35" s="183">
        <f t="array" ref="AQ35">INDIRECT("Update"&amp;Projections!$AG$17&amp;"!T"&amp;ROW(B16))</f>
        <v>5.075588235</v>
      </c>
    </row>
    <row r="36">
      <c r="A36" s="40" t="str">
        <f>IF(UpdateHashtag!C34="",ROW(UpdateHashtag!C34),UpdateHashtag!C34)</f>
        <v>Jalen Johnson</v>
      </c>
      <c r="B36" s="41">
        <f>IF(TYPE($A36)=1,"",(UpdateHashtag!M34-B$1)/B$2)</f>
        <v>0.1282218444</v>
      </c>
      <c r="C36" s="41">
        <f>IF(TYPE($A36)=1,"",(UpdateHashtag!L34-C$1)/C$2)</f>
        <v>-0.3458524173</v>
      </c>
      <c r="D36" s="41">
        <f>IF(TYPE($A36)=1,"",(UpdateHashtag!N34-D$1)/D$2)</f>
        <v>1.221443472</v>
      </c>
      <c r="E36" s="41">
        <f>IF(TYPE($A36)=1,"",(UpdateHashtag!O34-E$1)/E$2)</f>
        <v>-0.1967933108</v>
      </c>
      <c r="F36" s="41">
        <f>IF(TYPE($A36)=1,"",(UpdateHashtag!P34-F$1)/F$2)</f>
        <v>1.071893535</v>
      </c>
      <c r="G36" s="41">
        <f>IF(TYPE($A36)=1,"",(UpdateHashtag!Q34-G$1)/G$2)</f>
        <v>0.4482901531</v>
      </c>
      <c r="H36" s="41">
        <f>IF(TYPE($A36)=1,"",(UpdateHashtag!I34-H$1)/H$2*I36/$I$1)</f>
        <v>0.09703481064</v>
      </c>
      <c r="I36" s="41">
        <f>UpdateHashtag!S34</f>
        <v>14.5</v>
      </c>
      <c r="J36" s="53">
        <f>IF(TYPE($A36)=1,"",(UpdateHashtag!K34-J$1)/J$2*K36/$K$1)</f>
        <v>-0.4888145885</v>
      </c>
      <c r="K36" s="55">
        <f>UpdateHashtag!T34</f>
        <v>2.9</v>
      </c>
      <c r="L36" s="41">
        <f>IF(TYPE($A36)=1,"",-(UpdateHashtag!R34-L$1)/L$2)</f>
        <v>0.04827385557</v>
      </c>
      <c r="N36" s="112">
        <v>16.0</v>
      </c>
      <c r="O36" s="170">
        <f t="array" ref="O36">INDIRECT("Update"&amp;Projections!$AG$17&amp;"!B"&amp;ROW(B17))</f>
        <v>10.1</v>
      </c>
      <c r="P36" s="172" t="str">
        <f t="array" ref="P36">INDIRECT("Update"&amp;Projections!$AG$17&amp;"!C"&amp;ROW(B17))</f>
        <v>Anthony Edwards</v>
      </c>
      <c r="Q36" s="170">
        <f>UpdateHashtag!F74</f>
        <v>58</v>
      </c>
      <c r="R36" s="177" t="str">
        <f>IF(UpdateHashtag!D74="",ROW(UpdateHashtag!D74),UpdateHashtag!D74)</f>
        <v>SG,SF</v>
      </c>
      <c r="S36" s="124">
        <f t="shared" si="1"/>
        <v>3.814227079</v>
      </c>
      <c r="T36" s="124">
        <f>SUM(AE36:AM36)-IFERROR(IFS(Projections!$I$17,AN36,Projections!$J$17,AO36),"")</f>
        <v>4.054424078</v>
      </c>
      <c r="U36" s="124">
        <f t="shared" si="2"/>
        <v>0.2401969986</v>
      </c>
      <c r="V36" s="124">
        <f t="array" ref="V36">INDIRECT("Update"&amp;Projections!$AG$17&amp;"!M"&amp;ROW(B17))</f>
        <v>26.24675325</v>
      </c>
      <c r="W36" s="124">
        <f t="array" ref="W36">INDIRECT("Update"&amp;Projections!$AG$17&amp;"!L"&amp;ROW(B17))</f>
        <v>2.313246753</v>
      </c>
      <c r="X36" s="124">
        <f t="array" ref="X36">INDIRECT("Update"&amp;Projections!$AG$17&amp;"!N"&amp;ROW(B17))</f>
        <v>5.359350649</v>
      </c>
      <c r="Y36" s="124">
        <f t="array" ref="Y36">INDIRECT("Update"&amp;Projections!$AG$17&amp;"!O"&amp;ROW(B17))</f>
        <v>5.359350649</v>
      </c>
      <c r="Z36" s="124">
        <f t="array" ref="Z36">INDIRECT("Update"&amp;Projections!$AG$17&amp;"!P"&amp;ROW(B17))</f>
        <v>1.356103896</v>
      </c>
      <c r="AA36" s="124">
        <f t="array" ref="AA36">INDIRECT("Update"&amp;Projections!$AG$17&amp;"!Q"&amp;ROW(B17))</f>
        <v>0.5720779221</v>
      </c>
      <c r="AB36" s="180">
        <f t="array" ref="AB36">INDIRECT("Update"&amp;Projections!$AG$17&amp;"!I"&amp;ROW(B17))</f>
        <v>0.4670996365</v>
      </c>
      <c r="AC36" s="180">
        <f t="array" ref="AC36">INDIRECT("Update"&amp;Projections!$AG$17&amp;"!K"&amp;ROW(B17))</f>
        <v>0.8489939292</v>
      </c>
      <c r="AD36" s="124">
        <f t="array" ref="AD36">INDIRECT("Update"&amp;Projections!$AG$17&amp;"!R"&amp;ROW(B17))</f>
        <v>2.717272727</v>
      </c>
      <c r="AE36" s="124">
        <f t="shared" si="3"/>
        <v>1.578694491</v>
      </c>
      <c r="AF36" s="124">
        <f t="shared" si="4"/>
        <v>0.5600231002</v>
      </c>
      <c r="AG36" s="124">
        <f t="shared" si="5"/>
        <v>-0.2837338792</v>
      </c>
      <c r="AH36" s="124">
        <f t="shared" si="6"/>
        <v>0.6476092356</v>
      </c>
      <c r="AI36" s="124">
        <f t="shared" si="7"/>
        <v>1.257502805</v>
      </c>
      <c r="AJ36" s="124">
        <f t="shared" si="8"/>
        <v>-0.31497213</v>
      </c>
      <c r="AK36" s="124">
        <f t="shared" si="9"/>
        <v>-0.681571124</v>
      </c>
      <c r="AL36" s="124">
        <f t="shared" si="10"/>
        <v>1.290871579</v>
      </c>
      <c r="AM36" s="124">
        <f t="shared" si="11"/>
        <v>0</v>
      </c>
      <c r="AN36" s="183">
        <f t="shared" si="12"/>
        <v>-0.681571124</v>
      </c>
      <c r="AO36" s="183">
        <f t="shared" si="13"/>
        <v>-0.9965432539</v>
      </c>
      <c r="AP36" s="183">
        <f t="array" ref="AP36">INDIRECT("Update"&amp;Projections!$AG$17&amp;"!S"&amp;ROW(B17))</f>
        <v>19.43688312</v>
      </c>
      <c r="AQ36" s="183">
        <f t="array" ref="AQ36">INDIRECT("Update"&amp;Projections!$AG$17&amp;"!T"&amp;ROW(B17))</f>
        <v>6.802857143</v>
      </c>
    </row>
    <row r="37">
      <c r="A37" s="40" t="str">
        <f>IF(UpdateHashtag!C35="",ROW(UpdateHashtag!C35),UpdateHashtag!C35)</f>
        <v>De'Aaron Fox</v>
      </c>
      <c r="B37" s="41">
        <f>IF(TYPE($A37)=1,"",(UpdateHashtag!M35-B$1)/B$2)</f>
        <v>1.371985752</v>
      </c>
      <c r="C37" s="41">
        <f>IF(TYPE($A37)=1,"",(UpdateHashtag!L35-C$1)/C$2)</f>
        <v>0.7452689757</v>
      </c>
      <c r="D37" s="41">
        <f>IF(TYPE($A37)=1,"",(UpdateHashtag!N35-D$1)/D$2)</f>
        <v>-0.7380915098</v>
      </c>
      <c r="E37" s="41">
        <f>IF(TYPE($A37)=1,"",(UpdateHashtag!O35-E$1)/E$2)</f>
        <v>0.7114835082</v>
      </c>
      <c r="F37" s="41">
        <f>IF(TYPE($A37)=1,"",(UpdateHashtag!P35-F$1)/F$2)</f>
        <v>2.395218887</v>
      </c>
      <c r="G37" s="41">
        <f>IF(TYPE($A37)=1,"",(UpdateHashtag!Q35-G$1)/G$2)</f>
        <v>-0.6218985413</v>
      </c>
      <c r="H37" s="41">
        <f>IF(TYPE($A37)=1,"",(UpdateHashtag!I35-H$1)/H$2*I37/$I$1)</f>
        <v>-0.5696994495</v>
      </c>
      <c r="I37" s="41">
        <f>UpdateHashtag!S35</f>
        <v>19.4</v>
      </c>
      <c r="J37" s="53">
        <f>IF(TYPE($A37)=1,"",(UpdateHashtag!K35-J$1)/J$2*K37/$K$1)</f>
        <v>-0.7078400039</v>
      </c>
      <c r="K37" s="55">
        <f>UpdateHashtag!T35</f>
        <v>5.6</v>
      </c>
      <c r="L37" s="41">
        <f>IF(TYPE($A37)=1,"",-(UpdateHashtag!R35-L$1)/L$2)</f>
        <v>-0.7452689757</v>
      </c>
      <c r="N37" s="5">
        <v>17.0</v>
      </c>
      <c r="O37" s="170">
        <f t="array" ref="O37">INDIRECT("Update"&amp;Projections!$AG$17&amp;"!B"&amp;ROW(B18))</f>
        <v>9.5</v>
      </c>
      <c r="P37" s="172" t="str">
        <f t="array" ref="P37">INDIRECT("Update"&amp;Projections!$AG$17&amp;"!C"&amp;ROW(B18))</f>
        <v>Jayson Tatum</v>
      </c>
      <c r="Q37" s="170">
        <f>UpdateHashtag!F75</f>
        <v>60</v>
      </c>
      <c r="R37" s="177" t="str">
        <f>IF(UpdateHashtag!D75="",ROW(UpdateHashtag!D75),UpdateHashtag!D75)</f>
        <v>PG,SG</v>
      </c>
      <c r="S37" s="124">
        <f t="shared" si="1"/>
        <v>3.818833215</v>
      </c>
      <c r="T37" s="124">
        <f>SUM(AE37:AM37)-IFERROR(IFS(Projections!$I$17,AN37,Projections!$J$17,AO37),"")</f>
        <v>4.005394948</v>
      </c>
      <c r="U37" s="124">
        <f t="shared" si="2"/>
        <v>0.1865617332</v>
      </c>
      <c r="V37" s="124">
        <f t="array" ref="V37">INDIRECT("Update"&amp;Projections!$AG$17&amp;"!M"&amp;ROW(B18))</f>
        <v>25.77873239</v>
      </c>
      <c r="W37" s="124">
        <f t="array" ref="W37">INDIRECT("Update"&amp;Projections!$AG$17&amp;"!L"&amp;ROW(B18))</f>
        <v>2.897605634</v>
      </c>
      <c r="X37" s="124">
        <f t="array" ref="X37">INDIRECT("Update"&amp;Projections!$AG$17&amp;"!N"&amp;ROW(B18))</f>
        <v>7.717464789</v>
      </c>
      <c r="Y37" s="124">
        <f t="array" ref="Y37">INDIRECT("Update"&amp;Projections!$AG$17&amp;"!O"&amp;ROW(B18))</f>
        <v>5.245211268</v>
      </c>
      <c r="Z37" s="124">
        <f t="array" ref="Z37">INDIRECT("Update"&amp;Projections!$AG$17&amp;"!P"&amp;ROW(B18))</f>
        <v>0.9969014085</v>
      </c>
      <c r="AA37" s="124">
        <f t="array" ref="AA37">INDIRECT("Update"&amp;Projections!$AG$17&amp;"!Q"&amp;ROW(B18))</f>
        <v>0.5730985915</v>
      </c>
      <c r="AB37" s="180">
        <f t="array" ref="AB37">INDIRECT("Update"&amp;Projections!$AG$17&amp;"!I"&amp;ROW(B18))</f>
        <v>0.4581999526</v>
      </c>
      <c r="AC37" s="180">
        <f t="array" ref="AC37">INDIRECT("Update"&amp;Projections!$AG$17&amp;"!K"&amp;ROW(B18))</f>
        <v>0.8500109577</v>
      </c>
      <c r="AD37" s="124">
        <f t="array" ref="AD37">INDIRECT("Update"&amp;Projections!$AG$17&amp;"!R"&amp;ROW(B18))</f>
        <v>2.500985915</v>
      </c>
      <c r="AE37" s="124">
        <f t="shared" si="3"/>
        <v>1.494331092</v>
      </c>
      <c r="AF37" s="124">
        <f t="shared" si="4"/>
        <v>1.139665351</v>
      </c>
      <c r="AG37" s="124">
        <f t="shared" si="5"/>
        <v>0.6404275504</v>
      </c>
      <c r="AH37" s="124">
        <f t="shared" si="6"/>
        <v>0.5957741587</v>
      </c>
      <c r="AI37" s="124">
        <f t="shared" si="7"/>
        <v>0.06914840939</v>
      </c>
      <c r="AJ37" s="124">
        <f t="shared" si="8"/>
        <v>-0.3131516152</v>
      </c>
      <c r="AK37" s="124">
        <f t="shared" si="9"/>
        <v>-0.8632677014</v>
      </c>
      <c r="AL37" s="124">
        <f t="shared" si="10"/>
        <v>1.242467702</v>
      </c>
      <c r="AM37" s="124">
        <f t="shared" si="11"/>
        <v>0</v>
      </c>
      <c r="AN37" s="183">
        <f t="shared" si="12"/>
        <v>-0.8632677014</v>
      </c>
      <c r="AO37" s="183">
        <f t="shared" si="13"/>
        <v>-1.176419317</v>
      </c>
      <c r="AP37" s="183">
        <f t="array" ref="AP37">INDIRECT("Update"&amp;Projections!$AG$17&amp;"!S"&amp;ROW(B18))</f>
        <v>19.00732394</v>
      </c>
      <c r="AQ37" s="183">
        <f t="array" ref="AQ37">INDIRECT("Update"&amp;Projections!$AG$17&amp;"!T"&amp;ROW(B18))</f>
        <v>6.426760563</v>
      </c>
    </row>
    <row r="38">
      <c r="A38" s="40" t="str">
        <f>IF(UpdateHashtag!C36="",ROW(UpdateHashtag!C36),UpdateHashtag!C36)</f>
        <v>Derrick White</v>
      </c>
      <c r="B38" s="41">
        <f>IF(TYPE($A38)=1,"",(UpdateHashtag!M36-B$1)/B$2)</f>
        <v>-0.4125450719</v>
      </c>
      <c r="C38" s="41">
        <f>IF(TYPE($A38)=1,"",(UpdateHashtag!L36-C$1)/C$2)</f>
        <v>0.9436546835</v>
      </c>
      <c r="D38" s="41">
        <f>IF(TYPE($A38)=1,"",(UpdateHashtag!N36-D$1)/D$2)</f>
        <v>-0.6989008101</v>
      </c>
      <c r="E38" s="41">
        <f>IF(TYPE($A38)=1,"",(UpdateHashtag!O36-E$1)/E$2)</f>
        <v>0.4390004625</v>
      </c>
      <c r="F38" s="41">
        <f>IF(TYPE($A38)=1,"",(UpdateHashtag!P36-F$1)/F$2)</f>
        <v>-0.2514318168</v>
      </c>
      <c r="G38" s="41">
        <f>IF(TYPE($A38)=1,"",(UpdateHashtag!Q36-G$1)/G$2)</f>
        <v>0.8050197178</v>
      </c>
      <c r="H38" s="41">
        <f>IF(TYPE($A38)=1,"",(UpdateHashtag!I36-H$1)/H$2*I38/$I$1)</f>
        <v>-0.4764162225</v>
      </c>
      <c r="I38" s="41">
        <f>UpdateHashtag!S36</f>
        <v>11.3</v>
      </c>
      <c r="J38" s="53">
        <f>IF(TYPE($A38)=1,"",(UpdateHashtag!K36-J$1)/J$2*K38/$K$1)</f>
        <v>0.7842842511</v>
      </c>
      <c r="K38" s="55">
        <f>UpdateHashtag!T36</f>
        <v>2.4</v>
      </c>
      <c r="L38" s="41">
        <f>IF(TYPE($A38)=1,"",-(UpdateHashtag!R36-L$1)/L$2)</f>
        <v>0.2466595634</v>
      </c>
      <c r="N38" s="112">
        <v>18.0</v>
      </c>
      <c r="O38" s="170">
        <f t="array" ref="O38">INDIRECT("Update"&amp;Projections!$AG$17&amp;"!B"&amp;ROW(B19))</f>
        <v>49.1</v>
      </c>
      <c r="P38" s="172" t="str">
        <f t="array" ref="P38">INDIRECT("Update"&amp;Projections!$AG$17&amp;"!C"&amp;ROW(B19))</f>
        <v>Kawhi Leonard</v>
      </c>
      <c r="Q38" s="170">
        <f>UpdateHashtag!F73</f>
        <v>60</v>
      </c>
      <c r="R38" s="177" t="str">
        <f>IF(UpdateHashtag!D73="",ROW(UpdateHashtag!D73),UpdateHashtag!D73)</f>
        <v>SG,SF,PF</v>
      </c>
      <c r="S38" s="124">
        <f t="shared" si="1"/>
        <v>3.674342686</v>
      </c>
      <c r="T38" s="124">
        <f>SUM(AE38:AM38)-IFERROR(IFS(Projections!$I$17,AN38,Projections!$J$17,AO38),"")</f>
        <v>3.680177323</v>
      </c>
      <c r="U38" s="124">
        <f t="shared" si="2"/>
        <v>0.005834636581</v>
      </c>
      <c r="V38" s="124">
        <f t="array" ref="V38">INDIRECT("Update"&amp;Projections!$AG$17&amp;"!M"&amp;ROW(B19))</f>
        <v>22.2904878</v>
      </c>
      <c r="W38" s="124">
        <f t="array" ref="W38">INDIRECT("Update"&amp;Projections!$AG$17&amp;"!L"&amp;ROW(B19))</f>
        <v>1.713414634</v>
      </c>
      <c r="X38" s="124">
        <f t="array" ref="X38">INDIRECT("Update"&amp;Projections!$AG$17&amp;"!N"&amp;ROW(B19))</f>
        <v>6.265853659</v>
      </c>
      <c r="Y38" s="124">
        <f t="array" ref="Y38">INDIRECT("Update"&amp;Projections!$AG$17&amp;"!O"&amp;ROW(B19))</f>
        <v>3.797560976</v>
      </c>
      <c r="Z38" s="124">
        <f t="array" ref="Z38">INDIRECT("Update"&amp;Projections!$AG$17&amp;"!P"&amp;ROW(B19))</f>
        <v>1.390243902</v>
      </c>
      <c r="AA38" s="124">
        <f t="array" ref="AA38">INDIRECT("Update"&amp;Projections!$AG$17&amp;"!Q"&amp;ROW(B19))</f>
        <v>0.6329268293</v>
      </c>
      <c r="AB38" s="180">
        <f t="array" ref="AB38">INDIRECT("Update"&amp;Projections!$AG$17&amp;"!I"&amp;ROW(B19))</f>
        <v>0.5124108633</v>
      </c>
      <c r="AC38" s="180">
        <f t="array" ref="AC38">INDIRECT("Update"&amp;Projections!$AG$17&amp;"!K"&amp;ROW(B19))</f>
        <v>0.8799832583</v>
      </c>
      <c r="AD38" s="124">
        <f t="array" ref="AD38">INDIRECT("Update"&amp;Projections!$AG$17&amp;"!R"&amp;ROW(B19))</f>
        <v>1.772195122</v>
      </c>
      <c r="AE38" s="124">
        <f t="shared" si="3"/>
        <v>0.8655553355</v>
      </c>
      <c r="AF38" s="124">
        <f t="shared" si="4"/>
        <v>-0.03496749726</v>
      </c>
      <c r="AG38" s="124">
        <f t="shared" si="5"/>
        <v>0.0715309926</v>
      </c>
      <c r="AH38" s="124">
        <f t="shared" si="6"/>
        <v>-0.06165944241</v>
      </c>
      <c r="AI38" s="124">
        <f t="shared" si="7"/>
        <v>1.370448643</v>
      </c>
      <c r="AJ38" s="124">
        <f t="shared" si="8"/>
        <v>-0.2064391091</v>
      </c>
      <c r="AK38" s="124">
        <f t="shared" si="9"/>
        <v>0.2835481944</v>
      </c>
      <c r="AL38" s="124">
        <f t="shared" si="10"/>
        <v>1.392160206</v>
      </c>
      <c r="AM38" s="124">
        <f t="shared" si="11"/>
        <v>0</v>
      </c>
      <c r="AN38" s="183">
        <f t="shared" si="12"/>
        <v>-0.2064391091</v>
      </c>
      <c r="AO38" s="183">
        <f t="shared" si="13"/>
        <v>-0.2680985515</v>
      </c>
      <c r="AP38" s="183">
        <f t="array" ref="AP38">INDIRECT("Update"&amp;Projections!$AG$17&amp;"!S"&amp;ROW(B19))</f>
        <v>16.07560976</v>
      </c>
      <c r="AQ38" s="183">
        <f t="array" ref="AQ38">INDIRECT("Update"&amp;Projections!$AG$17&amp;"!T"&amp;ROW(B19))</f>
        <v>4.66195122</v>
      </c>
    </row>
    <row r="39">
      <c r="A39" s="40" t="str">
        <f>IF(UpdateHashtag!C37="",ROW(UpdateHashtag!C37),UpdateHashtag!C37)</f>
        <v>Ja Morant</v>
      </c>
      <c r="B39" s="41">
        <f>IF(TYPE($A39)=1,"",(UpdateHashtag!M37-B$1)/B$2)</f>
        <v>1.498164699</v>
      </c>
      <c r="C39" s="41">
        <f>IF(TYPE($A39)=1,"",(UpdateHashtag!L37-C$1)/C$2)</f>
        <v>-0.2466595634</v>
      </c>
      <c r="D39" s="41">
        <f>IF(TYPE($A39)=1,"",(UpdateHashtag!N37-D$1)/D$2)</f>
        <v>-0.071849616</v>
      </c>
      <c r="E39" s="41">
        <f>IF(TYPE($A39)=1,"",(UpdateHashtag!O37-E$1)/E$2)</f>
        <v>1.937657214</v>
      </c>
      <c r="F39" s="41">
        <f>IF(TYPE($A39)=1,"",(UpdateHashtag!P37-F$1)/F$2)</f>
        <v>-0.2514318168</v>
      </c>
      <c r="G39" s="41">
        <f>IF(TYPE($A39)=1,"",(UpdateHashtag!Q37-G$1)/G$2)</f>
        <v>-0.4435337589</v>
      </c>
      <c r="H39" s="41">
        <f>IF(TYPE($A39)=1,"",(UpdateHashtag!I37-H$1)/H$2*I39/$I$1)</f>
        <v>-0.621168571</v>
      </c>
      <c r="I39" s="41">
        <f>UpdateHashtag!S37</f>
        <v>19.6</v>
      </c>
      <c r="J39" s="53">
        <f>IF(TYPE($A39)=1,"",(UpdateHashtag!K37-J$1)/J$2*K39/$K$1)</f>
        <v>-0.1814567214</v>
      </c>
      <c r="K39" s="55">
        <f>UpdateHashtag!T37</f>
        <v>7.4</v>
      </c>
      <c r="L39" s="41">
        <f>IF(TYPE($A39)=1,"",-(UpdateHashtag!R37-L$1)/L$2)</f>
        <v>-1.241233245</v>
      </c>
      <c r="N39" s="112">
        <v>19.0</v>
      </c>
      <c r="O39" s="170">
        <f t="array" ref="O39">INDIRECT("Update"&amp;Projections!$AG$17&amp;"!B"&amp;ROW(B20))</f>
        <v>12.5</v>
      </c>
      <c r="P39" s="172" t="str">
        <f t="array" ref="P39">INDIRECT("Update"&amp;Projections!$AG$17&amp;"!C"&amp;ROW(B20))</f>
        <v>Trae Young</v>
      </c>
      <c r="Q39" s="170">
        <f>UpdateHashtag!F78</f>
        <v>78</v>
      </c>
      <c r="R39" s="177" t="str">
        <f>IF(UpdateHashtag!D78="",ROW(UpdateHashtag!D78),UpdateHashtag!D78)</f>
        <v>SG,SF</v>
      </c>
      <c r="S39" s="124">
        <f t="shared" si="1"/>
        <v>3.503772976</v>
      </c>
      <c r="T39" s="124">
        <f>SUM(AE39:AM39)-IFERROR(IFS(Projections!$I$17,AN39,Projections!$J$17,AO39),"")</f>
        <v>4.074462528</v>
      </c>
      <c r="U39" s="124">
        <f t="shared" si="2"/>
        <v>0.5706895528</v>
      </c>
      <c r="V39" s="124">
        <f t="array" ref="V39">INDIRECT("Update"&amp;Projections!$AG$17&amp;"!M"&amp;ROW(B20))</f>
        <v>26.75866667</v>
      </c>
      <c r="W39" s="124">
        <f t="array" ref="W39">INDIRECT("Update"&amp;Projections!$AG$17&amp;"!L"&amp;ROW(B20))</f>
        <v>2.7916</v>
      </c>
      <c r="X39" s="124">
        <f t="array" ref="X39">INDIRECT("Update"&amp;Projections!$AG$17&amp;"!N"&amp;ROW(B20))</f>
        <v>3.374933333</v>
      </c>
      <c r="Y39" s="124">
        <f t="array" ref="Y39">INDIRECT("Update"&amp;Projections!$AG$17&amp;"!O"&amp;ROW(B20))</f>
        <v>10.05</v>
      </c>
      <c r="Z39" s="124">
        <f t="array" ref="Z39">INDIRECT("Update"&amp;Projections!$AG$17&amp;"!P"&amp;ROW(B20))</f>
        <v>1.05</v>
      </c>
      <c r="AA39" s="124">
        <f t="array" ref="AA39">INDIRECT("Update"&amp;Projections!$AG$17&amp;"!Q"&amp;ROW(B20))</f>
        <v>0.2248</v>
      </c>
      <c r="AB39" s="180">
        <f t="array" ref="AB39">INDIRECT("Update"&amp;Projections!$AG$17&amp;"!I"&amp;ROW(B20))</f>
        <v>0.4390615812</v>
      </c>
      <c r="AC39" s="180">
        <f t="array" ref="AC39">INDIRECT("Update"&amp;Projections!$AG$17&amp;"!K"&amp;ROW(B20))</f>
        <v>0.8540079193</v>
      </c>
      <c r="AD39" s="124">
        <f t="array" ref="AD39">INDIRECT("Update"&amp;Projections!$AG$17&amp;"!R"&amp;ROW(B20))</f>
        <v>4.05</v>
      </c>
      <c r="AE39" s="124">
        <f t="shared" si="3"/>
        <v>1.670969772</v>
      </c>
      <c r="AF39" s="124">
        <f t="shared" si="4"/>
        <v>1.034515338</v>
      </c>
      <c r="AG39" s="124">
        <f t="shared" si="5"/>
        <v>-1.061440909</v>
      </c>
      <c r="AH39" s="124">
        <f t="shared" si="6"/>
        <v>2.777813271</v>
      </c>
      <c r="AI39" s="124">
        <f t="shared" si="7"/>
        <v>0.2448151901</v>
      </c>
      <c r="AJ39" s="124">
        <f t="shared" si="8"/>
        <v>-0.93439364</v>
      </c>
      <c r="AK39" s="124">
        <f t="shared" si="9"/>
        <v>-1.31969762</v>
      </c>
      <c r="AL39" s="124">
        <f t="shared" si="10"/>
        <v>1.661881127</v>
      </c>
      <c r="AM39" s="124">
        <f t="shared" si="11"/>
        <v>0</v>
      </c>
      <c r="AN39" s="183">
        <f t="shared" si="12"/>
        <v>-1.31969762</v>
      </c>
      <c r="AO39" s="183">
        <f t="shared" si="13"/>
        <v>-2.381138529</v>
      </c>
      <c r="AP39" s="183">
        <f t="array" ref="AP39">INDIRECT("Update"&amp;Projections!$AG$17&amp;"!S"&amp;ROW(B20))</f>
        <v>19.49946667</v>
      </c>
      <c r="AQ39" s="183">
        <f t="array" ref="AQ39">INDIRECT("Update"&amp;Projections!$AG$17&amp;"!T"&amp;ROW(B20))</f>
        <v>8.014133333</v>
      </c>
    </row>
    <row r="40">
      <c r="A40" s="40" t="str">
        <f>IF(UpdateHashtag!C38="",ROW(UpdateHashtag!C38),UpdateHashtag!C38)</f>
        <v>DeMar DeRozan</v>
      </c>
      <c r="B40" s="41">
        <f>IF(TYPE($A40)=1,"",(UpdateHashtag!M38-B$1)/B$2)</f>
        <v>0.8312188355</v>
      </c>
      <c r="C40" s="41">
        <f>IF(TYPE($A40)=1,"",(UpdateHashtag!L38-C$1)/C$2)</f>
        <v>-0.643430979</v>
      </c>
      <c r="D40" s="41">
        <f>IF(TYPE($A40)=1,"",(UpdateHashtag!N38-D$1)/D$2)</f>
        <v>-0.8948543083</v>
      </c>
      <c r="E40" s="41">
        <f>IF(TYPE($A40)=1,"",(UpdateHashtag!O38-E$1)/E$2)</f>
        <v>-0.01513794698</v>
      </c>
      <c r="F40" s="41">
        <f>IF(TYPE($A40)=1,"",(UpdateHashtag!P38-F$1)/F$2)</f>
        <v>0.410230859</v>
      </c>
      <c r="G40" s="41">
        <f>IF(TYPE($A40)=1,"",(UpdateHashtag!Q38-G$1)/G$2)</f>
        <v>-0.2651689765</v>
      </c>
      <c r="H40" s="41">
        <f>IF(TYPE($A40)=1,"",(UpdateHashtag!I38-H$1)/H$2*I40/$I$1)</f>
        <v>-0.2014580232</v>
      </c>
      <c r="I40" s="41">
        <f>UpdateHashtag!S38</f>
        <v>15.4</v>
      </c>
      <c r="J40" s="53">
        <f>IF(TYPE($A40)=1,"",(UpdateHashtag!K38-J$1)/J$2*K40/$K$1)</f>
        <v>1.672709737</v>
      </c>
      <c r="K40" s="55">
        <f>UpdateHashtag!T38</f>
        <v>7</v>
      </c>
      <c r="L40" s="41">
        <f>IF(TYPE($A40)=1,"",-(UpdateHashtag!R38-L$1)/L$2)</f>
        <v>0.04827385557</v>
      </c>
      <c r="N40" s="5">
        <v>20.0</v>
      </c>
      <c r="O40" s="170">
        <f t="array" ref="O40">INDIRECT("Update"&amp;Projections!$AG$17&amp;"!B"&amp;ROW(B21))</f>
        <v>19.1</v>
      </c>
      <c r="P40" s="172" t="str">
        <f t="array" ref="P40">INDIRECT("Update"&amp;Projections!$AG$17&amp;"!C"&amp;ROW(B21))</f>
        <v>Jalen Brunson</v>
      </c>
      <c r="Q40" s="170">
        <f>UpdateHashtag!F79</f>
        <v>55</v>
      </c>
      <c r="R40" s="177" t="str">
        <f>IF(UpdateHashtag!D79="",ROW(UpdateHashtag!D79),UpdateHashtag!D79)</f>
        <v>C</v>
      </c>
      <c r="S40" s="124">
        <f t="shared" si="1"/>
        <v>3.474301773</v>
      </c>
      <c r="T40" s="124">
        <f>SUM(AE40:AM40)-IFERROR(IFS(Projections!$I$17,AN40,Projections!$J$17,AO40),"")</f>
        <v>3.682393887</v>
      </c>
      <c r="U40" s="124">
        <f t="shared" si="2"/>
        <v>0.2080921135</v>
      </c>
      <c r="V40" s="124">
        <f t="array" ref="V40">INDIRECT("Update"&amp;Projections!$AG$17&amp;"!M"&amp;ROW(B21))</f>
        <v>29.39794521</v>
      </c>
      <c r="W40" s="124">
        <f t="array" ref="W40">INDIRECT("Update"&amp;Projections!$AG$17&amp;"!L"&amp;ROW(B21))</f>
        <v>2.575890411</v>
      </c>
      <c r="X40" s="124">
        <f t="array" ref="X40">INDIRECT("Update"&amp;Projections!$AG$17&amp;"!N"&amp;ROW(B21))</f>
        <v>3.527945205</v>
      </c>
      <c r="Y40" s="124">
        <f t="array" ref="Y40">INDIRECT("Update"&amp;Projections!$AG$17&amp;"!O"&amp;ROW(B21))</f>
        <v>7.703972603</v>
      </c>
      <c r="Z40" s="124">
        <f t="array" ref="Z40">INDIRECT("Update"&amp;Projections!$AG$17&amp;"!P"&amp;ROW(B21))</f>
        <v>0.9384931507</v>
      </c>
      <c r="AA40" s="124">
        <f t="array" ref="AA40">INDIRECT("Update"&amp;Projections!$AG$17&amp;"!Q"&amp;ROW(B21))</f>
        <v>0.1436986301</v>
      </c>
      <c r="AB40" s="180">
        <f t="array" ref="AB40">INDIRECT("Update"&amp;Projections!$AG$17&amp;"!I"&amp;ROW(B21))</f>
        <v>0.4834350148</v>
      </c>
      <c r="AC40" s="180">
        <f t="array" ref="AC40">INDIRECT("Update"&amp;Projections!$AG$17&amp;"!K"&amp;ROW(B21))</f>
        <v>0.8589916366</v>
      </c>
      <c r="AD40" s="124">
        <f t="array" ref="AD40">INDIRECT("Update"&amp;Projections!$AG$17&amp;"!R"&amp;ROW(B21))</f>
        <v>2.587808219</v>
      </c>
      <c r="AE40" s="124">
        <f t="shared" si="3"/>
        <v>2.146714611</v>
      </c>
      <c r="AF40" s="124">
        <f t="shared" si="4"/>
        <v>0.8205468402</v>
      </c>
      <c r="AG40" s="124">
        <f t="shared" si="5"/>
        <v>-1.001474486</v>
      </c>
      <c r="AH40" s="124">
        <f t="shared" si="6"/>
        <v>1.712392121</v>
      </c>
      <c r="AI40" s="124">
        <f t="shared" si="7"/>
        <v>-0.1240844114</v>
      </c>
      <c r="AJ40" s="124">
        <f t="shared" si="8"/>
        <v>-1.079049922</v>
      </c>
      <c r="AK40" s="124">
        <f t="shared" si="9"/>
        <v>-0.3470123301</v>
      </c>
      <c r="AL40" s="124">
        <f t="shared" si="10"/>
        <v>1.554361464</v>
      </c>
      <c r="AM40" s="124">
        <f t="shared" si="11"/>
        <v>0</v>
      </c>
      <c r="AN40" s="183">
        <f t="shared" si="12"/>
        <v>-1.079049922</v>
      </c>
      <c r="AO40" s="183">
        <f t="shared" si="13"/>
        <v>-2.080524408</v>
      </c>
      <c r="AP40" s="183">
        <f t="array" ref="AP40">INDIRECT("Update"&amp;Projections!$AG$17&amp;"!S"&amp;ROW(B21))</f>
        <v>21.60027397</v>
      </c>
      <c r="AQ40" s="183">
        <f t="array" ref="AQ40">INDIRECT("Update"&amp;Projections!$AG$17&amp;"!T"&amp;ROW(B21))</f>
        <v>6.912054795</v>
      </c>
    </row>
    <row r="41">
      <c r="A41" s="40" t="str">
        <f>IF(UpdateHashtag!C39="",ROW(UpdateHashtag!C39),UpdateHashtag!C39)</f>
        <v>Evan Mobley</v>
      </c>
      <c r="B41" s="41">
        <f>IF(TYPE($A41)=1,"",(UpdateHashtag!M39-B$1)/B$2)</f>
        <v>-0.250314997</v>
      </c>
      <c r="C41" s="41">
        <f>IF(TYPE($A41)=1,"",(UpdateHashtag!L39-C$1)/C$2)</f>
        <v>-1.337780956</v>
      </c>
      <c r="D41" s="41">
        <f>IF(TYPE($A41)=1,"",(UpdateHashtag!N39-D$1)/D$2)</f>
        <v>1.221443472</v>
      </c>
      <c r="E41" s="41">
        <f>IF(TYPE($A41)=1,"",(UpdateHashtag!O39-E$1)/E$2)</f>
        <v>-0.2422071517</v>
      </c>
      <c r="F41" s="41">
        <f>IF(TYPE($A41)=1,"",(UpdateHashtag!P39-F$1)/F$2)</f>
        <v>-0.2514318168</v>
      </c>
      <c r="G41" s="41">
        <f>IF(TYPE($A41)=1,"",(UpdateHashtag!Q39-G$1)/G$2)</f>
        <v>1.340114065</v>
      </c>
      <c r="H41" s="41">
        <f>IF(TYPE($A41)=1,"",(UpdateHashtag!I39-H$1)/H$2*I41/$I$1)</f>
        <v>1.004492325</v>
      </c>
      <c r="I41" s="41">
        <f>UpdateHashtag!S39</f>
        <v>11.4</v>
      </c>
      <c r="J41" s="53">
        <f>IF(TYPE($A41)=1,"",(UpdateHashtag!K39-J$1)/J$2*K41/$K$1)</f>
        <v>-0.8723918669</v>
      </c>
      <c r="K41" s="55">
        <f>UpdateHashtag!T39</f>
        <v>3.6</v>
      </c>
      <c r="L41" s="41">
        <f>IF(TYPE($A41)=1,"",-(UpdateHashtag!R39-L$1)/L$2)</f>
        <v>-0.05091899834</v>
      </c>
      <c r="N41" s="112">
        <v>21.0</v>
      </c>
      <c r="O41" s="170">
        <f t="array" ref="O41">INDIRECT("Update"&amp;Projections!$AG$17&amp;"!B"&amp;ROW(B22))</f>
        <v>20</v>
      </c>
      <c r="P41" s="172" t="str">
        <f t="array" ref="P41">INDIRECT("Update"&amp;Projections!$AG$17&amp;"!C"&amp;ROW(B22))</f>
        <v>Devin Booker</v>
      </c>
      <c r="Q41" s="170">
        <f>UpdateHashtag!F81</f>
        <v>78</v>
      </c>
      <c r="R41" s="177" t="str">
        <f>IF(UpdateHashtag!D81="",ROW(UpdateHashtag!D81),UpdateHashtag!D81)</f>
        <v>PF,C</v>
      </c>
      <c r="S41" s="124">
        <f t="shared" si="1"/>
        <v>3.402370784</v>
      </c>
      <c r="T41" s="124">
        <f>SUM(AE41:AM41)-IFERROR(IFS(Projections!$I$17,AN41,Projections!$J$17,AO41),"")</f>
        <v>3.586004386</v>
      </c>
      <c r="U41" s="124">
        <f t="shared" si="2"/>
        <v>0.1836336016</v>
      </c>
      <c r="V41" s="124">
        <f t="array" ref="V41">INDIRECT("Update"&amp;Projections!$AG$17&amp;"!M"&amp;ROW(B22))</f>
        <v>26.43630137</v>
      </c>
      <c r="W41" s="124">
        <f t="array" ref="W41">INDIRECT("Update"&amp;Projections!$AG$17&amp;"!L"&amp;ROW(B22))</f>
        <v>2.919589041</v>
      </c>
      <c r="X41" s="124">
        <f t="array" ref="X41">INDIRECT("Update"&amp;Projections!$AG$17&amp;"!N"&amp;ROW(B22))</f>
        <v>4.15630137</v>
      </c>
      <c r="Y41" s="124">
        <f t="array" ref="Y41">INDIRECT("Update"&amp;Projections!$AG$17&amp;"!O"&amp;ROW(B22))</f>
        <v>5.90630137</v>
      </c>
      <c r="Z41" s="124">
        <f t="array" ref="Z41">INDIRECT("Update"&amp;Projections!$AG$17&amp;"!P"&amp;ROW(B22))</f>
        <v>0.9415068493</v>
      </c>
      <c r="AA41" s="124">
        <f t="array" ref="AA41">INDIRECT("Update"&amp;Projections!$AG$17&amp;"!Q"&amp;ROW(B22))</f>
        <v>0.3663013699</v>
      </c>
      <c r="AB41" s="180">
        <f t="array" ref="AB41">INDIRECT("Update"&amp;Projections!$AG$17&amp;"!I"&amp;ROW(B22))</f>
        <v>0.4664797607</v>
      </c>
      <c r="AC41" s="180">
        <f t="array" ref="AC41">INDIRECT("Update"&amp;Projections!$AG$17&amp;"!K"&amp;ROW(B22))</f>
        <v>0.8880078459</v>
      </c>
      <c r="AD41" s="124">
        <f t="array" ref="AD41">INDIRECT("Update"&amp;Projections!$AG$17&amp;"!R"&amp;ROW(B22))</f>
        <v>2.489178082</v>
      </c>
      <c r="AE41" s="124">
        <f t="shared" si="3"/>
        <v>1.612861609</v>
      </c>
      <c r="AF41" s="124">
        <f t="shared" si="4"/>
        <v>1.16147132</v>
      </c>
      <c r="AG41" s="124">
        <f t="shared" si="5"/>
        <v>-0.7552173086</v>
      </c>
      <c r="AH41" s="124">
        <f t="shared" si="6"/>
        <v>0.8960005661</v>
      </c>
      <c r="AI41" s="124">
        <f t="shared" si="7"/>
        <v>-0.114114152</v>
      </c>
      <c r="AJ41" s="124">
        <f t="shared" si="8"/>
        <v>-0.6820050295</v>
      </c>
      <c r="AK41" s="124">
        <f t="shared" si="9"/>
        <v>-0.6784506295</v>
      </c>
      <c r="AL41" s="124">
        <f t="shared" si="10"/>
        <v>2.145458011</v>
      </c>
      <c r="AM41" s="124">
        <f t="shared" si="11"/>
        <v>0</v>
      </c>
      <c r="AN41" s="183">
        <f t="shared" si="12"/>
        <v>-0.7552173086</v>
      </c>
      <c r="AO41" s="183">
        <f t="shared" si="13"/>
        <v>-1.437222338</v>
      </c>
      <c r="AP41" s="183">
        <f t="array" ref="AP41">INDIRECT("Update"&amp;Projections!$AG$17&amp;"!S"&amp;ROW(B22))</f>
        <v>18.95808219</v>
      </c>
      <c r="AQ41" s="183">
        <f t="array" ref="AQ41">INDIRECT("Update"&amp;Projections!$AG$17&amp;"!T"&amp;ROW(B22))</f>
        <v>6.564794521</v>
      </c>
    </row>
    <row r="42">
      <c r="A42" s="40" t="str">
        <f>IF(UpdateHashtag!C40="",ROW(UpdateHashtag!C40),UpdateHashtag!C40)</f>
        <v>Kawhi Leonard</v>
      </c>
      <c r="B42" s="41">
        <f>IF(TYPE($A42)=1,"",(UpdateHashtag!M40-B$1)/B$2)</f>
        <v>0.4887331218</v>
      </c>
      <c r="C42" s="41">
        <f>IF(TYPE($A42)=1,"",(UpdateHashtag!L40-C$1)/C$2)</f>
        <v>-0.04827385557</v>
      </c>
      <c r="D42" s="41">
        <f>IF(TYPE($A42)=1,"",(UpdateHashtag!N40-D$1)/D$2)</f>
        <v>-0.2678031142</v>
      </c>
      <c r="E42" s="41">
        <f>IF(TYPE($A42)=1,"",(UpdateHashtag!O40-E$1)/E$2)</f>
        <v>-0.3330348336</v>
      </c>
      <c r="F42" s="41">
        <f>IF(TYPE($A42)=1,"",(UpdateHashtag!P40-F$1)/F$2)</f>
        <v>0.410230859</v>
      </c>
      <c r="G42" s="41">
        <f>IF(TYPE($A42)=1,"",(UpdateHashtag!Q40-G$1)/G$2)</f>
        <v>-0.4435337589</v>
      </c>
      <c r="H42" s="41">
        <f>IF(TYPE($A42)=1,"",(UpdateHashtag!I40-H$1)/H$2*I42/$I$1)</f>
        <v>0.1667671188</v>
      </c>
      <c r="I42" s="41">
        <f>UpdateHashtag!S40</f>
        <v>14.7</v>
      </c>
      <c r="J42" s="53">
        <f>IF(TYPE($A42)=1,"",(UpdateHashtag!K40-J$1)/J$2*K42/$K$1)</f>
        <v>0.9221157582</v>
      </c>
      <c r="K42" s="55">
        <f>UpdateHashtag!T40</f>
        <v>4.1</v>
      </c>
      <c r="L42" s="41">
        <f>IF(TYPE($A42)=1,"",-(UpdateHashtag!R40-L$1)/L$2)</f>
        <v>0.1474667095</v>
      </c>
      <c r="N42" s="112">
        <v>22.0</v>
      </c>
      <c r="O42" s="170">
        <f t="array" ref="O42">INDIRECT("Update"&amp;Projections!$AG$17&amp;"!B"&amp;ROW(B23))</f>
        <v>14.6</v>
      </c>
      <c r="P42" s="172" t="str">
        <f t="array" ref="P42">INDIRECT("Update"&amp;Projections!$AG$17&amp;"!C"&amp;ROW(B23))</f>
        <v>Domantas Sabonis</v>
      </c>
      <c r="Q42" s="170">
        <f>UpdateHashtag!F76</f>
        <v>67</v>
      </c>
      <c r="R42" s="177" t="str">
        <f>IF(UpdateHashtag!D76="",ROW(UpdateHashtag!D76),UpdateHashtag!D76)</f>
        <v>C</v>
      </c>
      <c r="S42" s="124">
        <f t="shared" si="1"/>
        <v>2.672669975</v>
      </c>
      <c r="T42" s="124">
        <f>SUM(AE42:AM42)-IFERROR(IFS(Projections!$I$17,AN42,Projections!$J$17,AO42),"")</f>
        <v>2.934058175</v>
      </c>
      <c r="U42" s="124">
        <f t="shared" si="2"/>
        <v>0.2613881993</v>
      </c>
      <c r="V42" s="124">
        <f t="array" ref="V42">INDIRECT("Update"&amp;Projections!$AG$17&amp;"!M"&amp;ROW(B23))</f>
        <v>18.4612987</v>
      </c>
      <c r="W42" s="124">
        <f t="array" ref="W42">INDIRECT("Update"&amp;Projections!$AG$17&amp;"!L"&amp;ROW(B23))</f>
        <v>0.3036363636</v>
      </c>
      <c r="X42" s="124">
        <f t="array" ref="X42">INDIRECT("Update"&amp;Projections!$AG$17&amp;"!N"&amp;ROW(B23))</f>
        <v>14.01376623</v>
      </c>
      <c r="Y42" s="124">
        <f t="array" ref="Y42">INDIRECT("Update"&amp;Projections!$AG$17&amp;"!O"&amp;ROW(B23))</f>
        <v>6.968961039</v>
      </c>
      <c r="Z42" s="124">
        <f t="array" ref="Z42">INDIRECT("Update"&amp;Projections!$AG$17&amp;"!P"&amp;ROW(B23))</f>
        <v>0.9853246753</v>
      </c>
      <c r="AA42" s="124">
        <f t="array" ref="AA42">INDIRECT("Update"&amp;Projections!$AG$17&amp;"!Q"&amp;ROW(B23))</f>
        <v>0.6814285714</v>
      </c>
      <c r="AB42" s="180">
        <f t="array" ref="AB42">INDIRECT("Update"&amp;Projections!$AG$17&amp;"!I"&amp;ROW(B23))</f>
        <v>0.5834030467</v>
      </c>
      <c r="AC42" s="180">
        <f t="array" ref="AC42">INDIRECT("Update"&amp;Projections!$AG$17&amp;"!K"&amp;ROW(B23))</f>
        <v>0.71</v>
      </c>
      <c r="AD42" s="124">
        <f t="array" ref="AD42">INDIRECT("Update"&amp;Projections!$AG$17&amp;"!R"&amp;ROW(B23))</f>
        <v>2.802727273</v>
      </c>
      <c r="AE42" s="124">
        <f t="shared" si="3"/>
        <v>0.1753224084</v>
      </c>
      <c r="AF42" s="124">
        <f t="shared" si="4"/>
        <v>-1.433366797</v>
      </c>
      <c r="AG42" s="124">
        <f t="shared" si="5"/>
        <v>3.107992136</v>
      </c>
      <c r="AH42" s="124">
        <f t="shared" si="6"/>
        <v>1.378595138</v>
      </c>
      <c r="AI42" s="124">
        <f t="shared" si="7"/>
        <v>0.03084894805</v>
      </c>
      <c r="AJ42" s="124">
        <f t="shared" si="8"/>
        <v>-0.1199290823</v>
      </c>
      <c r="AK42" s="124">
        <f t="shared" si="9"/>
        <v>1.260155814</v>
      </c>
      <c r="AL42" s="124">
        <f t="shared" si="10"/>
        <v>-1.46556039</v>
      </c>
      <c r="AM42" s="124">
        <f t="shared" si="11"/>
        <v>0</v>
      </c>
      <c r="AN42" s="183">
        <f t="shared" si="12"/>
        <v>-1.46556039</v>
      </c>
      <c r="AO42" s="183">
        <f t="shared" si="13"/>
        <v>-2.898927187</v>
      </c>
      <c r="AP42" s="183">
        <f t="array" ref="AP42">INDIRECT("Update"&amp;Projections!$AG$17&amp;"!S"&amp;ROW(B23))</f>
        <v>12.57467532</v>
      </c>
      <c r="AQ42" s="183">
        <f t="array" ref="AQ42">INDIRECT("Update"&amp;Projections!$AG$17&amp;"!T"&amp;ROW(B23))</f>
        <v>4.909090909</v>
      </c>
    </row>
    <row r="43">
      <c r="A43" s="40" t="str">
        <f>IF(UpdateHashtag!C41="",ROW(UpdateHashtag!C41),UpdateHashtag!C41)</f>
        <v>Desmond Bane</v>
      </c>
      <c r="B43" s="41">
        <f>IF(TYPE($A43)=1,"",(UpdateHashtag!M41-B$1)/B$2)</f>
        <v>0.7050398883</v>
      </c>
      <c r="C43" s="41">
        <f>IF(TYPE($A43)=1,"",(UpdateHashtag!L41-C$1)/C$2)</f>
        <v>1.142040391</v>
      </c>
      <c r="D43" s="41">
        <f>IF(TYPE($A43)=1,"",(UpdateHashtag!N41-D$1)/D$2)</f>
        <v>-0.6205194109</v>
      </c>
      <c r="E43" s="41">
        <f>IF(TYPE($A43)=1,"",(UpdateHashtag!O41-E$1)/E$2)</f>
        <v>0.2119312578</v>
      </c>
      <c r="F43" s="41">
        <f>IF(TYPE($A43)=1,"",(UpdateHashtag!P41-F$1)/F$2)</f>
        <v>0.0793995211</v>
      </c>
      <c r="G43" s="41">
        <f>IF(TYPE($A43)=1,"",(UpdateHashtag!Q41-G$1)/G$2)</f>
        <v>-0.6218985413</v>
      </c>
      <c r="H43" s="41">
        <f>IF(TYPE($A43)=1,"",(UpdateHashtag!I41-H$1)/H$2*I43/$I$1)</f>
        <v>-0.4816015965</v>
      </c>
      <c r="I43" s="41">
        <f>UpdateHashtag!S41</f>
        <v>16.4</v>
      </c>
      <c r="J43" s="53">
        <f>IF(TYPE($A43)=1,"",(UpdateHashtag!K41-J$1)/J$2*K43/$K$1)</f>
        <v>1.008494947</v>
      </c>
      <c r="K43" s="55">
        <f>UpdateHashtag!T41</f>
        <v>3.5</v>
      </c>
      <c r="L43" s="41">
        <f>IF(TYPE($A43)=1,"",-(UpdateHashtag!R41-L$1)/L$2)</f>
        <v>-0.5468832679</v>
      </c>
      <c r="N43" s="5">
        <v>23.0</v>
      </c>
      <c r="O43" s="170">
        <f t="array" ref="O43">INDIRECT("Update"&amp;Projections!$AG$17&amp;"!B"&amp;ROW(B24))</f>
        <v>19</v>
      </c>
      <c r="P43" s="172" t="str">
        <f t="array" ref="P43">INDIRECT("Update"&amp;Projections!$AG$17&amp;"!C"&amp;ROW(B24))</f>
        <v>Scottie Barnes</v>
      </c>
      <c r="Q43" s="170">
        <f>UpdateHashtag!F82</f>
        <v>68</v>
      </c>
      <c r="R43" s="177" t="str">
        <f>IF(UpdateHashtag!D82="",ROW(UpdateHashtag!D82),UpdateHashtag!D82)</f>
        <v>SF,PF</v>
      </c>
      <c r="S43" s="124">
        <f t="shared" si="1"/>
        <v>2.975823557</v>
      </c>
      <c r="T43" s="124">
        <f>SUM(AE43:AM43)-IFERROR(IFS(Projections!$I$17,AN43,Projections!$J$17,AO43),"")</f>
        <v>3.345756985</v>
      </c>
      <c r="U43" s="124">
        <f t="shared" si="2"/>
        <v>0.3699334274</v>
      </c>
      <c r="V43" s="124">
        <f t="array" ref="V43">INDIRECT("Update"&amp;Projections!$AG$17&amp;"!M"&amp;ROW(B24))</f>
        <v>20.39897059</v>
      </c>
      <c r="W43" s="124">
        <f t="array" ref="W43">INDIRECT("Update"&amp;Projections!$AG$17&amp;"!L"&amp;ROW(B24))</f>
        <v>1.265735294</v>
      </c>
      <c r="X43" s="124">
        <f t="array" ref="X43">INDIRECT("Update"&amp;Projections!$AG$17&amp;"!N"&amp;ROW(B24))</f>
        <v>7.585588235</v>
      </c>
      <c r="Y43" s="124">
        <f t="array" ref="Y43">INDIRECT("Update"&amp;Projections!$AG$17&amp;"!O"&amp;ROW(B24))</f>
        <v>6.554411765</v>
      </c>
      <c r="Z43" s="124">
        <f t="array" ref="Z43">INDIRECT("Update"&amp;Projections!$AG$17&amp;"!P"&amp;ROW(B24))</f>
        <v>1.180441176</v>
      </c>
      <c r="AA43" s="124">
        <f t="array" ref="AA43">INDIRECT("Update"&amp;Projections!$AG$17&amp;"!Q"&amp;ROW(B24))</f>
        <v>1.325588235</v>
      </c>
      <c r="AB43" s="180">
        <f t="array" ref="AB43">INDIRECT("Update"&amp;Projections!$AG$17&amp;"!I"&amp;ROW(B24))</f>
        <v>0.4873241251</v>
      </c>
      <c r="AC43" s="180">
        <f t="array" ref="AC43">INDIRECT("Update"&amp;Projections!$AG$17&amp;"!K"&amp;ROW(B24))</f>
        <v>0.7949914552</v>
      </c>
      <c r="AD43" s="124">
        <f t="array" ref="AD43">INDIRECT("Update"&amp;Projections!$AG$17&amp;"!R"&amp;ROW(B24))</f>
        <v>3.240441176</v>
      </c>
      <c r="AE43" s="124">
        <f t="shared" si="3"/>
        <v>0.5245986926</v>
      </c>
      <c r="AF43" s="124">
        <f t="shared" si="4"/>
        <v>-0.4790334109</v>
      </c>
      <c r="AG43" s="124">
        <f t="shared" si="5"/>
        <v>0.5887442062</v>
      </c>
      <c r="AH43" s="124">
        <f t="shared" si="6"/>
        <v>1.19033239</v>
      </c>
      <c r="AI43" s="124">
        <f t="shared" si="7"/>
        <v>0.6763554778</v>
      </c>
      <c r="AJ43" s="124">
        <f t="shared" si="8"/>
        <v>1.0290249</v>
      </c>
      <c r="AK43" s="124">
        <f t="shared" si="9"/>
        <v>-0.184445346</v>
      </c>
      <c r="AL43" s="124">
        <f t="shared" si="10"/>
        <v>0.000180074861</v>
      </c>
      <c r="AM43" s="124">
        <f t="shared" si="11"/>
        <v>0</v>
      </c>
      <c r="AN43" s="183">
        <f t="shared" si="12"/>
        <v>-0.4790334109</v>
      </c>
      <c r="AO43" s="183">
        <f t="shared" si="13"/>
        <v>-0.663478757</v>
      </c>
      <c r="AP43" s="183">
        <f t="array" ref="AP43">INDIRECT("Update"&amp;Projections!$AG$17&amp;"!S"&amp;ROW(B24))</f>
        <v>15.98102941</v>
      </c>
      <c r="AQ43" s="183">
        <f t="array" ref="AQ43">INDIRECT("Update"&amp;Projections!$AG$17&amp;"!T"&amp;ROW(B24))</f>
        <v>4.474705882</v>
      </c>
    </row>
    <row r="44">
      <c r="A44" s="40" t="str">
        <f>IF(UpdateHashtag!C42="",ROW(UpdateHashtag!C42),UpdateHashtag!C42)</f>
        <v>Dejounte Murray</v>
      </c>
      <c r="B44" s="41">
        <f>IF(TYPE($A44)=1,"",(UpdateHashtag!M42-B$1)/B$2)</f>
        <v>0.3625541747</v>
      </c>
      <c r="C44" s="41">
        <f>IF(TYPE($A44)=1,"",(UpdateHashtag!L42-C$1)/C$2)</f>
        <v>0.447690414</v>
      </c>
      <c r="D44" s="41">
        <f>IF(TYPE($A44)=1,"",(UpdateHashtag!N42-D$1)/D$2)</f>
        <v>-0.3461845134</v>
      </c>
      <c r="E44" s="41">
        <f>IF(TYPE($A44)=1,"",(UpdateHashtag!O42-E$1)/E$2)</f>
        <v>1.165621918</v>
      </c>
      <c r="F44" s="41">
        <f>IF(TYPE($A44)=1,"",(UpdateHashtag!P42-F$1)/F$2)</f>
        <v>1.402724873</v>
      </c>
      <c r="G44" s="41">
        <f>IF(TYPE($A44)=1,"",(UpdateHashtag!Q42-G$1)/G$2)</f>
        <v>-0.8002633236</v>
      </c>
      <c r="H44" s="41">
        <f>IF(TYPE($A44)=1,"",(UpdateHashtag!I42-H$1)/H$2*I44/$I$1)</f>
        <v>-0.6723600847</v>
      </c>
      <c r="I44" s="41">
        <f>UpdateHashtag!S42</f>
        <v>16.4</v>
      </c>
      <c r="J44" s="53">
        <f>IF(TYPE($A44)=1,"",(UpdateHashtag!K42-J$1)/J$2*K44/$K$1)</f>
        <v>0.1329834804</v>
      </c>
      <c r="K44" s="55">
        <f>UpdateHashtag!T42</f>
        <v>2.7</v>
      </c>
      <c r="L44" s="41">
        <f>IF(TYPE($A44)=1,"",-(UpdateHashtag!R42-L$1)/L$2)</f>
        <v>-0.34849756</v>
      </c>
      <c r="N44" s="112">
        <v>24.0</v>
      </c>
      <c r="O44" s="170">
        <f t="array" ref="O44">INDIRECT("Update"&amp;Projections!$AG$17&amp;"!B"&amp;ROW(B25))</f>
        <v>38.4</v>
      </c>
      <c r="P44" s="172" t="str">
        <f t="array" ref="P44">INDIRECT("Update"&amp;Projections!$AG$17&amp;"!C"&amp;ROW(B25))</f>
        <v>Fred VanVleet</v>
      </c>
      <c r="Q44" s="170">
        <f>UpdateHashtag!F86</f>
        <v>78</v>
      </c>
      <c r="R44" s="177" t="str">
        <f>IF(UpdateHashtag!D86="",ROW(UpdateHashtag!D86),UpdateHashtag!D86)</f>
        <v>SF,PF</v>
      </c>
      <c r="S44" s="124">
        <f t="shared" si="1"/>
        <v>3.730323312</v>
      </c>
      <c r="T44" s="124">
        <f>SUM(AE44:AM44)-IFERROR(IFS(Projections!$I$17,AN44,Projections!$J$17,AO44),"")</f>
        <v>3.691146665</v>
      </c>
      <c r="U44" s="124">
        <f t="shared" si="2"/>
        <v>-0.03917664782</v>
      </c>
      <c r="V44" s="124">
        <f t="array" ref="V44">INDIRECT("Update"&amp;Projections!$AG$17&amp;"!M"&amp;ROW(B25))</f>
        <v>17.75273973</v>
      </c>
      <c r="W44" s="124">
        <f t="array" ref="W44">INDIRECT("Update"&amp;Projections!$AG$17&amp;"!L"&amp;ROW(B25))</f>
        <v>3.176027397</v>
      </c>
      <c r="X44" s="124">
        <f t="array" ref="X44">INDIRECT("Update"&amp;Projections!$AG$17&amp;"!N"&amp;ROW(B25))</f>
        <v>3.711780822</v>
      </c>
      <c r="Y44" s="124">
        <f t="array" ref="Y44">INDIRECT("Update"&amp;Projections!$AG$17&amp;"!O"&amp;ROW(B25))</f>
        <v>7.347808219</v>
      </c>
      <c r="Z44" s="124">
        <f t="array" ref="Z44">INDIRECT("Update"&amp;Projections!$AG$17&amp;"!P"&amp;ROW(B25))</f>
        <v>1.742191781</v>
      </c>
      <c r="AA44" s="124">
        <f t="array" ref="AA44">INDIRECT("Update"&amp;Projections!$AG$17&amp;"!Q"&amp;ROW(B25))</f>
        <v>0.5302739726</v>
      </c>
      <c r="AB44" s="180">
        <f t="array" ref="AB44">INDIRECT("Update"&amp;Projections!$AG$17&amp;"!I"&amp;ROW(B25))</f>
        <v>0.4186914797</v>
      </c>
      <c r="AC44" s="180">
        <f t="array" ref="AC44">INDIRECT("Update"&amp;Projections!$AG$17&amp;"!K"&amp;ROW(B25))</f>
        <v>0.8609991087</v>
      </c>
      <c r="AD44" s="124">
        <f t="array" ref="AD44">INDIRECT("Update"&amp;Projections!$AG$17&amp;"!R"&amp;ROW(B25))</f>
        <v>1.590684932</v>
      </c>
      <c r="AE44" s="124">
        <f t="shared" si="3"/>
        <v>0.04760065871</v>
      </c>
      <c r="AF44" s="124">
        <f t="shared" si="4"/>
        <v>1.415839844</v>
      </c>
      <c r="AG44" s="124">
        <f t="shared" si="5"/>
        <v>-0.9294280214</v>
      </c>
      <c r="AH44" s="124">
        <f t="shared" si="6"/>
        <v>1.550644194</v>
      </c>
      <c r="AI44" s="124">
        <f t="shared" si="7"/>
        <v>2.53480252</v>
      </c>
      <c r="AJ44" s="124">
        <f t="shared" si="8"/>
        <v>-0.3895356535</v>
      </c>
      <c r="AK44" s="124">
        <f t="shared" si="9"/>
        <v>-1.287336561</v>
      </c>
      <c r="AL44" s="124">
        <f t="shared" si="10"/>
        <v>0.7485596843</v>
      </c>
      <c r="AM44" s="124">
        <f t="shared" si="11"/>
        <v>0</v>
      </c>
      <c r="AN44" s="183">
        <f t="shared" si="12"/>
        <v>-1.287336561</v>
      </c>
      <c r="AO44" s="183">
        <f t="shared" si="13"/>
        <v>-2.216764583</v>
      </c>
      <c r="AP44" s="183">
        <f t="array" ref="AP44">INDIRECT("Update"&amp;Projections!$AG$17&amp;"!S"&amp;ROW(B25))</f>
        <v>14.08890411</v>
      </c>
      <c r="AQ44" s="183">
        <f t="array" ref="AQ44">INDIRECT("Update"&amp;Projections!$AG$17&amp;"!T"&amp;ROW(B25))</f>
        <v>3.227534247</v>
      </c>
    </row>
    <row r="45">
      <c r="A45" s="40" t="str">
        <f>IF(UpdateHashtag!C43="",ROW(UpdateHashtag!C43),UpdateHashtag!C43)</f>
        <v>Alperen Sengün</v>
      </c>
      <c r="B45" s="41">
        <f>IF(TYPE($A45)=1,"",(UpdateHashtag!M43-B$1)/B$2)</f>
        <v>0.3445286108</v>
      </c>
      <c r="C45" s="41">
        <f>IF(TYPE($A45)=1,"",(UpdateHashtag!L43-C$1)/C$2)</f>
        <v>-1.337780956</v>
      </c>
      <c r="D45" s="41">
        <f>IF(TYPE($A45)=1,"",(UpdateHashtag!N43-D$1)/D$2)</f>
        <v>1.495778369</v>
      </c>
      <c r="E45" s="41">
        <f>IF(TYPE($A45)=1,"",(UpdateHashtag!O43-E$1)/E$2)</f>
        <v>0.6660696672</v>
      </c>
      <c r="F45" s="41">
        <f>IF(TYPE($A45)=1,"",(UpdateHashtag!P43-F$1)/F$2)</f>
        <v>0.741062197</v>
      </c>
      <c r="G45" s="41">
        <f>IF(TYPE($A45)=1,"",(UpdateHashtag!Q43-G$1)/G$2)</f>
        <v>0.09156058829</v>
      </c>
      <c r="H45" s="41">
        <f>IF(TYPE($A45)=1,"",(UpdateHashtag!I43-H$1)/H$2*I45/$I$1)</f>
        <v>0.7559053235</v>
      </c>
      <c r="I45" s="41">
        <f>UpdateHashtag!S43</f>
        <v>13.9</v>
      </c>
      <c r="J45" s="53">
        <f>IF(TYPE($A45)=1,"",(UpdateHashtag!K43-J$1)/J$2*K45/$K$1)</f>
        <v>-1.555204811</v>
      </c>
      <c r="K45" s="55">
        <f>UpdateHashtag!T43</f>
        <v>5.4</v>
      </c>
      <c r="L45" s="41">
        <f>IF(TYPE($A45)=1,"",-(UpdateHashtag!R43-L$1)/L$2)</f>
        <v>-1.042847537</v>
      </c>
      <c r="N45" s="112">
        <v>25.0</v>
      </c>
      <c r="O45" s="170">
        <f t="array" ref="O45">INDIRECT("Update"&amp;Projections!$AG$17&amp;"!B"&amp;ROW(B26))</f>
        <v>18.3</v>
      </c>
      <c r="P45" s="172" t="str">
        <f t="array" ref="P45">INDIRECT("Update"&amp;Projections!$AG$17&amp;"!C"&amp;ROW(B26))</f>
        <v>Kevin Durant</v>
      </c>
      <c r="Q45" s="170">
        <f>UpdateHashtag!F83</f>
        <v>68</v>
      </c>
      <c r="R45" s="177" t="str">
        <f>IF(UpdateHashtag!D83="",ROW(UpdateHashtag!D83),UpdateHashtag!D83)</f>
        <v>SG,SF</v>
      </c>
      <c r="S45" s="124">
        <f t="shared" si="1"/>
        <v>2.727684496</v>
      </c>
      <c r="T45" s="124">
        <f>SUM(AE45:AM45)-IFERROR(IFS(Projections!$I$17,AN45,Projections!$J$17,AO45),"")</f>
        <v>3.039925609</v>
      </c>
      <c r="U45" s="124">
        <f t="shared" si="2"/>
        <v>0.3122411133</v>
      </c>
      <c r="V45" s="124">
        <f t="array" ref="V45">INDIRECT("Update"&amp;Projections!$AG$17&amp;"!M"&amp;ROW(B26))</f>
        <v>24.575</v>
      </c>
      <c r="W45" s="124">
        <f t="array" ref="W45">INDIRECT("Update"&amp;Projections!$AG$17&amp;"!L"&amp;ROW(B26))</f>
        <v>2.611323529</v>
      </c>
      <c r="X45" s="124">
        <f t="array" ref="X45">INDIRECT("Update"&amp;Projections!$AG$17&amp;"!N"&amp;ROW(B26))</f>
        <v>6.020882353</v>
      </c>
      <c r="Y45" s="124">
        <f t="array" ref="Y45">INDIRECT("Update"&amp;Projections!$AG$17&amp;"!O"&amp;ROW(B26))</f>
        <v>3.754117647</v>
      </c>
      <c r="Z45" s="124">
        <f t="array" ref="Z45">INDIRECT("Update"&amp;Projections!$AG$17&amp;"!P"&amp;ROW(B26))</f>
        <v>0.765</v>
      </c>
      <c r="AA45" s="124">
        <f t="array" ref="AA45">INDIRECT("Update"&amp;Projections!$AG$17&amp;"!Q"&amp;ROW(B26))</f>
        <v>1.076323529</v>
      </c>
      <c r="AB45" s="180">
        <f t="array" ref="AB45">INDIRECT("Update"&amp;Projections!$AG$17&amp;"!I"&amp;ROW(B26))</f>
        <v>0.5002442519</v>
      </c>
      <c r="AC45" s="180">
        <f t="array" ref="AC45">INDIRECT("Update"&amp;Projections!$AG$17&amp;"!K"&amp;ROW(B26))</f>
        <v>0.8620139386</v>
      </c>
      <c r="AD45" s="124">
        <f t="array" ref="AD45">INDIRECT("Update"&amp;Projections!$AG$17&amp;"!R"&amp;ROW(B26))</f>
        <v>3.007794118</v>
      </c>
      <c r="AE45" s="124">
        <f t="shared" si="3"/>
        <v>1.277351541</v>
      </c>
      <c r="AF45" s="124">
        <f t="shared" si="4"/>
        <v>0.8556939611</v>
      </c>
      <c r="AG45" s="124">
        <f t="shared" si="5"/>
        <v>-0.02447497612</v>
      </c>
      <c r="AH45" s="124">
        <f t="shared" si="6"/>
        <v>-0.08138872675</v>
      </c>
      <c r="AI45" s="124">
        <f t="shared" si="7"/>
        <v>-0.698054123</v>
      </c>
      <c r="AJ45" s="124">
        <f t="shared" si="8"/>
        <v>0.5844244495</v>
      </c>
      <c r="AK45" s="124">
        <f t="shared" si="9"/>
        <v>0.06297756846</v>
      </c>
      <c r="AL45" s="124">
        <f t="shared" si="10"/>
        <v>1.063395914</v>
      </c>
      <c r="AM45" s="124">
        <f t="shared" si="11"/>
        <v>0</v>
      </c>
      <c r="AN45" s="183">
        <f t="shared" si="12"/>
        <v>-0.698054123</v>
      </c>
      <c r="AO45" s="183">
        <f t="shared" si="13"/>
        <v>-0.7794428498</v>
      </c>
      <c r="AP45" s="183">
        <f t="array" ref="AP45">INDIRECT("Update"&amp;Projections!$AG$17&amp;"!S"&amp;ROW(B26))</f>
        <v>18.06235294</v>
      </c>
      <c r="AQ45" s="183">
        <f t="array" ref="AQ45">INDIRECT("Update"&amp;Projections!$AG$17&amp;"!T"&amp;ROW(B26))</f>
        <v>4.515588235</v>
      </c>
    </row>
    <row r="46">
      <c r="A46" s="40" t="str">
        <f>IF(UpdateHashtag!C44="",ROW(UpdateHashtag!C44),UpdateHashtag!C44)</f>
        <v>Bam Adebayo</v>
      </c>
      <c r="B46" s="41">
        <f>IF(TYPE($A46)=1,"",(UpdateHashtag!M44-B$1)/B$2)</f>
        <v>0.4526819941</v>
      </c>
      <c r="C46" s="41">
        <f>IF(TYPE($A46)=1,"",(UpdateHashtag!L44-C$1)/C$2)</f>
        <v>-1.536166664</v>
      </c>
      <c r="D46" s="41">
        <f>IF(TYPE($A46)=1,"",(UpdateHashtag!N44-D$1)/D$2)</f>
        <v>1.691731868</v>
      </c>
      <c r="E46" s="41">
        <f>IF(TYPE($A46)=1,"",(UpdateHashtag!O44-E$1)/E$2)</f>
        <v>-0.01513794698</v>
      </c>
      <c r="F46" s="41">
        <f>IF(TYPE($A46)=1,"",(UpdateHashtag!P44-F$1)/F$2)</f>
        <v>0.741062197</v>
      </c>
      <c r="G46" s="41">
        <f>IF(TYPE($A46)=1,"",(UpdateHashtag!Q44-G$1)/G$2)</f>
        <v>0.2699253707</v>
      </c>
      <c r="H46" s="41">
        <f>IF(TYPE($A46)=1,"",(UpdateHashtag!I44-H$1)/H$2*I46/$I$1)</f>
        <v>0.5810565585</v>
      </c>
      <c r="I46" s="41">
        <f>UpdateHashtag!S44</f>
        <v>14.8</v>
      </c>
      <c r="J46" s="53">
        <f>IF(TYPE($A46)=1,"",(UpdateHashtag!K44-J$1)/J$2*K46/$K$1)</f>
        <v>-1.004349533</v>
      </c>
      <c r="K46" s="55">
        <f>UpdateHashtag!T44</f>
        <v>5.5</v>
      </c>
      <c r="L46" s="41">
        <f>IF(TYPE($A46)=1,"",-(UpdateHashtag!R44-L$1)/L$2)</f>
        <v>-0.6460761218</v>
      </c>
      <c r="N46" s="5">
        <v>26.0</v>
      </c>
      <c r="O46" s="170">
        <f t="array" ref="O46">INDIRECT("Update"&amp;Projections!$AG$17&amp;"!B"&amp;ROW(B27))</f>
        <v>17.6</v>
      </c>
      <c r="P46" s="172" t="str">
        <f t="array" ref="P46">INDIRECT("Update"&amp;Projections!$AG$17&amp;"!C"&amp;ROW(B27))</f>
        <v>Chet Holmgren</v>
      </c>
      <c r="Q46" s="170">
        <f>UpdateHashtag!F80</f>
        <v>72</v>
      </c>
      <c r="R46" s="177" t="str">
        <f>IF(UpdateHashtag!D80="",ROW(UpdateHashtag!D80),UpdateHashtag!D80)</f>
        <v>PG,SG</v>
      </c>
      <c r="S46" s="124">
        <f t="shared" si="1"/>
        <v>2.921347667</v>
      </c>
      <c r="T46" s="124">
        <f>SUM(AE46:AM46)-IFERROR(IFS(Projections!$I$17,AN46,Projections!$J$17,AO46),"")</f>
        <v>2.871742181</v>
      </c>
      <c r="U46" s="124">
        <f t="shared" si="2"/>
        <v>-0.04960548566</v>
      </c>
      <c r="V46" s="124">
        <f t="array" ref="V46">INDIRECT("Update"&amp;Projections!$AG$17&amp;"!M"&amp;ROW(B27))</f>
        <v>19.0290411</v>
      </c>
      <c r="W46" s="124">
        <f t="array" ref="W46">INDIRECT("Update"&amp;Projections!$AG$17&amp;"!L"&amp;ROW(B27))</f>
        <v>1.748630137</v>
      </c>
      <c r="X46" s="124">
        <f t="array" ref="X46">INDIRECT("Update"&amp;Projections!$AG$17&amp;"!N"&amp;ROW(B27))</f>
        <v>9.09</v>
      </c>
      <c r="Y46" s="124">
        <f t="array" ref="Y46">INDIRECT("Update"&amp;Projections!$AG$17&amp;"!O"&amp;ROW(B27))</f>
        <v>2.356712329</v>
      </c>
      <c r="Z46" s="124">
        <f t="array" ref="Z46">INDIRECT("Update"&amp;Projections!$AG$17&amp;"!P"&amp;ROW(B27))</f>
        <v>0.7565753425</v>
      </c>
      <c r="AA46" s="124">
        <f t="array" ref="AA46">INDIRECT("Update"&amp;Projections!$AG$17&amp;"!Q"&amp;ROW(B27))</f>
        <v>2.222054795</v>
      </c>
      <c r="AB46" s="180">
        <f t="array" ref="AB46">INDIRECT("Update"&amp;Projections!$AG$17&amp;"!I"&amp;ROW(B27))</f>
        <v>0.5130794838</v>
      </c>
      <c r="AC46" s="180">
        <f t="array" ref="AC46">INDIRECT("Update"&amp;Projections!$AG$17&amp;"!K"&amp;ROW(B27))</f>
        <v>0.7939860985</v>
      </c>
      <c r="AD46" s="124">
        <f t="array" ref="AD46">INDIRECT("Update"&amp;Projections!$AG$17&amp;"!R"&amp;ROW(B27))</f>
        <v>1.548630137</v>
      </c>
      <c r="AE46" s="124">
        <f t="shared" si="3"/>
        <v>0.2776611774</v>
      </c>
      <c r="AF46" s="124">
        <f t="shared" si="4"/>
        <v>-0.00003623481889</v>
      </c>
      <c r="AG46" s="124">
        <f t="shared" si="5"/>
        <v>1.178333702</v>
      </c>
      <c r="AH46" s="124">
        <f t="shared" si="6"/>
        <v>-0.7160041553</v>
      </c>
      <c r="AI46" s="124">
        <f t="shared" si="7"/>
        <v>-0.7259255302</v>
      </c>
      <c r="AJ46" s="124">
        <f t="shared" si="8"/>
        <v>2.628005529</v>
      </c>
      <c r="AK46" s="124">
        <f t="shared" si="9"/>
        <v>0.2455348591</v>
      </c>
      <c r="AL46" s="124">
        <f t="shared" si="10"/>
        <v>-0.01582716647</v>
      </c>
      <c r="AM46" s="124">
        <f t="shared" si="11"/>
        <v>0</v>
      </c>
      <c r="AN46" s="183">
        <f t="shared" si="12"/>
        <v>-0.7259255302</v>
      </c>
      <c r="AO46" s="183">
        <f t="shared" si="13"/>
        <v>-1.441929685</v>
      </c>
      <c r="AP46" s="183">
        <f t="array" ref="AP46">INDIRECT("Update"&amp;Projections!$AG$17&amp;"!S"&amp;ROW(B27))</f>
        <v>13.33260274</v>
      </c>
      <c r="AQ46" s="183">
        <f t="array" ref="AQ46">INDIRECT("Update"&amp;Projections!$AG$17&amp;"!T"&amp;ROW(B27))</f>
        <v>4.532876712</v>
      </c>
    </row>
    <row r="47">
      <c r="A47" s="40" t="str">
        <f>IF(UpdateHashtag!C45="",ROW(UpdateHashtag!C45),UpdateHashtag!C45)</f>
        <v>Kristaps Porzingis</v>
      </c>
      <c r="B47" s="41">
        <f>IF(TYPE($A47)=1,"",(UpdateHashtag!M45-B$1)/B$2)</f>
        <v>0.05611958886</v>
      </c>
      <c r="C47" s="41">
        <f>IF(TYPE($A47)=1,"",(UpdateHashtag!L45-C$1)/C$2)</f>
        <v>0.05091899834</v>
      </c>
      <c r="D47" s="41">
        <f>IF(TYPE($A47)=1,"",(UpdateHashtag!N45-D$1)/D$2)</f>
        <v>0.2416759811</v>
      </c>
      <c r="E47" s="41">
        <f>IF(TYPE($A47)=1,"",(UpdateHashtag!O45-E$1)/E$2)</f>
        <v>-0.878000925</v>
      </c>
      <c r="F47" s="41">
        <f>IF(TYPE($A47)=1,"",(UpdateHashtag!P45-F$1)/F$2)</f>
        <v>-0.9130944927</v>
      </c>
      <c r="G47" s="41">
        <f>IF(TYPE($A47)=1,"",(UpdateHashtag!Q45-G$1)/G$2)</f>
        <v>1.340114065</v>
      </c>
      <c r="H47" s="41">
        <f>IF(TYPE($A47)=1,"",(UpdateHashtag!I45-H$1)/H$2*I47/$I$1)</f>
        <v>-0.1941409619</v>
      </c>
      <c r="I47" s="41">
        <f>UpdateHashtag!S45</f>
        <v>12.6</v>
      </c>
      <c r="J47" s="53">
        <f>IF(TYPE($A47)=1,"",(UpdateHashtag!K45-J$1)/J$2*K47/$K$1)</f>
        <v>0.838181661</v>
      </c>
      <c r="K47" s="55">
        <f>UpdateHashtag!T45</f>
        <v>4.5</v>
      </c>
      <c r="L47" s="41">
        <f>IF(TYPE($A47)=1,"",-(UpdateHashtag!R45-L$1)/L$2)</f>
        <v>0.1474667095</v>
      </c>
      <c r="N47" s="112">
        <v>27.0</v>
      </c>
      <c r="O47" s="170">
        <f t="array" ref="O47">INDIRECT("Update"&amp;Projections!$AG$17&amp;"!B"&amp;ROW(B28))</f>
        <v>6.7</v>
      </c>
      <c r="P47" s="172" t="str">
        <f t="array" ref="P47">INDIRECT("Update"&amp;Projections!$AG$17&amp;"!C"&amp;ROW(B28))</f>
        <v>Giannis Antetokounmpo</v>
      </c>
      <c r="Q47" s="170">
        <f>UpdateHashtag!F88</f>
        <v>60</v>
      </c>
      <c r="R47" s="177" t="str">
        <f>IF(UpdateHashtag!D88="",ROW(UpdateHashtag!D88),UpdateHashtag!D88)</f>
        <v>SF,PF</v>
      </c>
      <c r="S47" s="124">
        <f t="shared" si="1"/>
        <v>2.080746365</v>
      </c>
      <c r="T47" s="124">
        <f>SUM(AE47:AM47)-IFERROR(IFS(Projections!$I$17,AN47,Projections!$J$17,AO47),"")</f>
        <v>2.4884606</v>
      </c>
      <c r="U47" s="124">
        <f t="shared" si="2"/>
        <v>0.4077142352</v>
      </c>
      <c r="V47" s="124">
        <f t="array" ref="V47">INDIRECT("Update"&amp;Projections!$AG$17&amp;"!M"&amp;ROW(B28))</f>
        <v>27.78514706</v>
      </c>
      <c r="W47" s="124">
        <f t="array" ref="W47">INDIRECT("Update"&amp;Projections!$AG$17&amp;"!L"&amp;ROW(B28))</f>
        <v>0.4780882353</v>
      </c>
      <c r="X47" s="124">
        <f t="array" ref="X47">INDIRECT("Update"&amp;Projections!$AG$17&amp;"!N"&amp;ROW(B28))</f>
        <v>11.83867647</v>
      </c>
      <c r="Y47" s="124">
        <f t="array" ref="Y47">INDIRECT("Update"&amp;Projections!$AG$17&amp;"!O"&amp;ROW(B28))</f>
        <v>6.785588235</v>
      </c>
      <c r="Z47" s="124">
        <f t="array" ref="Z47">INDIRECT("Update"&amp;Projections!$AG$17&amp;"!P"&amp;ROW(B28))</f>
        <v>1.080588235</v>
      </c>
      <c r="AA47" s="124">
        <f t="array" ref="AA47">INDIRECT("Update"&amp;Projections!$AG$17&amp;"!Q"&amp;ROW(B28))</f>
        <v>1.082794118</v>
      </c>
      <c r="AB47" s="180">
        <f t="array" ref="AB47">INDIRECT("Update"&amp;Projections!$AG$17&amp;"!I"&amp;ROW(B28))</f>
        <v>0.6018925424</v>
      </c>
      <c r="AC47" s="180">
        <f t="array" ref="AC47">INDIRECT("Update"&amp;Projections!$AG$17&amp;"!K"&amp;ROW(B28))</f>
        <v>0.6429979628</v>
      </c>
      <c r="AD47" s="124">
        <f t="array" ref="AD47">INDIRECT("Update"&amp;Projections!$AG$17&amp;"!R"&amp;ROW(B28))</f>
        <v>3.392794118</v>
      </c>
      <c r="AE47" s="124">
        <f t="shared" si="3"/>
        <v>1.85599865</v>
      </c>
      <c r="AF47" s="124">
        <f t="shared" si="4"/>
        <v>-1.260323007</v>
      </c>
      <c r="AG47" s="124">
        <f t="shared" si="5"/>
        <v>2.255559242</v>
      </c>
      <c r="AH47" s="124">
        <f t="shared" si="6"/>
        <v>1.295318504</v>
      </c>
      <c r="AI47" s="124">
        <f t="shared" si="7"/>
        <v>0.3460106572</v>
      </c>
      <c r="AJ47" s="124">
        <f t="shared" si="8"/>
        <v>0.5959657015</v>
      </c>
      <c r="AK47" s="124">
        <f t="shared" si="9"/>
        <v>2.179164888</v>
      </c>
      <c r="AL47" s="124">
        <f t="shared" si="10"/>
        <v>-4.779234036</v>
      </c>
      <c r="AM47" s="124">
        <f t="shared" si="11"/>
        <v>0</v>
      </c>
      <c r="AN47" s="183">
        <f t="shared" si="12"/>
        <v>-4.779234036</v>
      </c>
      <c r="AO47" s="183">
        <f t="shared" si="13"/>
        <v>-6.039557043</v>
      </c>
      <c r="AP47" s="183">
        <f t="array" ref="AP47">INDIRECT("Update"&amp;Projections!$AG$17&amp;"!S"&amp;ROW(B28))</f>
        <v>17.90308824</v>
      </c>
      <c r="AQ47" s="183">
        <f t="array" ref="AQ47">INDIRECT("Update"&amp;Projections!$AG$17&amp;"!T"&amp;ROW(B28))</f>
        <v>8.951176471</v>
      </c>
    </row>
    <row r="48">
      <c r="A48" s="40" t="str">
        <f>IF(UpdateHashtag!C46="",ROW(UpdateHashtag!C46),UpdateHashtag!C46)</f>
        <v>Cade Cunningham</v>
      </c>
      <c r="B48" s="41">
        <f>IF(TYPE($A48)=1,"",(UpdateHashtag!M46-B$1)/B$2)</f>
        <v>1.029500038</v>
      </c>
      <c r="C48" s="41">
        <f>IF(TYPE($A48)=1,"",(UpdateHashtag!L46-C$1)/C$2)</f>
        <v>0.1501118522</v>
      </c>
      <c r="D48" s="41">
        <f>IF(TYPE($A48)=1,"",(UpdateHashtag!N46-D$1)/D$2)</f>
        <v>-0.5421380116</v>
      </c>
      <c r="E48" s="41">
        <f>IF(TYPE($A48)=1,"",(UpdateHashtag!O46-E$1)/E$2)</f>
        <v>1.75600185</v>
      </c>
      <c r="F48" s="41">
        <f>IF(TYPE($A48)=1,"",(UpdateHashtag!P46-F$1)/F$2)</f>
        <v>-0.2514318168</v>
      </c>
      <c r="G48" s="41">
        <f>IF(TYPE($A48)=1,"",(UpdateHashtag!Q46-G$1)/G$2)</f>
        <v>-0.6218985413</v>
      </c>
      <c r="H48" s="41">
        <f>IF(TYPE($A48)=1,"",(UpdateHashtag!I46-H$1)/H$2*I48/$I$1)</f>
        <v>-1.071632334</v>
      </c>
      <c r="I48" s="41">
        <f>UpdateHashtag!S46</f>
        <v>19.5</v>
      </c>
      <c r="J48" s="53">
        <f>IF(TYPE($A48)=1,"",(UpdateHashtag!K46-J$1)/J$2*K48/$K$1)</f>
        <v>1.082332502</v>
      </c>
      <c r="K48" s="55">
        <f>UpdateHashtag!T46</f>
        <v>4.4</v>
      </c>
      <c r="L48" s="41">
        <f>IF(TYPE($A48)=1,"",-(UpdateHashtag!R46-L$1)/L$2)</f>
        <v>-1.737197515</v>
      </c>
      <c r="N48" s="112">
        <v>28.0</v>
      </c>
      <c r="O48" s="170">
        <f t="array" ref="O48">INDIRECT("Update"&amp;Projections!$AG$17&amp;"!B"&amp;ROW(B29))</f>
        <v>24.3</v>
      </c>
      <c r="P48" s="172" t="str">
        <f t="array" ref="P48">INDIRECT("Update"&amp;Projections!$AG$17&amp;"!C"&amp;ROW(B29))</f>
        <v>Damian Lillard</v>
      </c>
      <c r="Q48" s="170">
        <f>UpdateHashtag!F91</f>
        <v>68</v>
      </c>
      <c r="R48" s="177" t="str">
        <f>IF(UpdateHashtag!D91="",ROW(UpdateHashtag!D91),UpdateHashtag!D91)</f>
        <v>SG,SF</v>
      </c>
      <c r="S48" s="124">
        <f t="shared" si="1"/>
        <v>2.966216142</v>
      </c>
      <c r="T48" s="124">
        <f>SUM(AE48:AM48)-IFERROR(IFS(Projections!$I$17,AN48,Projections!$J$17,AO48),"")</f>
        <v>3.214970532</v>
      </c>
      <c r="U48" s="124">
        <f t="shared" si="2"/>
        <v>0.2487543896</v>
      </c>
      <c r="V48" s="124">
        <f t="array" ref="V48">INDIRECT("Update"&amp;Projections!$AG$17&amp;"!M"&amp;ROW(B29))</f>
        <v>23.52205479</v>
      </c>
      <c r="W48" s="124">
        <f t="array" ref="W48">INDIRECT("Update"&amp;Projections!$AG$17&amp;"!L"&amp;ROW(B29))</f>
        <v>3.035342466</v>
      </c>
      <c r="X48" s="124">
        <f t="array" ref="X48">INDIRECT("Update"&amp;Projections!$AG$17&amp;"!N"&amp;ROW(B29))</f>
        <v>4.331232877</v>
      </c>
      <c r="Y48" s="124">
        <f t="array" ref="Y48">INDIRECT("Update"&amp;Projections!$AG$17&amp;"!O"&amp;ROW(B29))</f>
        <v>6.916575342</v>
      </c>
      <c r="Z48" s="124">
        <f t="array" ref="Z48">INDIRECT("Update"&amp;Projections!$AG$17&amp;"!P"&amp;ROW(B29))</f>
        <v>0.8616438356</v>
      </c>
      <c r="AA48" s="124">
        <f t="array" ref="AA48">INDIRECT("Update"&amp;Projections!$AG$17&amp;"!Q"&amp;ROW(B29))</f>
        <v>0.2898630137</v>
      </c>
      <c r="AB48" s="180">
        <f t="array" ref="AB48">INDIRECT("Update"&amp;Projections!$AG$17&amp;"!I"&amp;ROW(B29))</f>
        <v>0.433900243</v>
      </c>
      <c r="AC48" s="180">
        <f t="array" ref="AC48">INDIRECT("Update"&amp;Projections!$AG$17&amp;"!K"&amp;ROW(B29))</f>
        <v>0.921002059</v>
      </c>
      <c r="AD48" s="124">
        <f t="array" ref="AD48">INDIRECT("Update"&amp;Projections!$AG$17&amp;"!R"&amp;ROW(B29))</f>
        <v>2.751780822</v>
      </c>
      <c r="AE48" s="124">
        <f t="shared" si="3"/>
        <v>1.08755223</v>
      </c>
      <c r="AF48" s="124">
        <f t="shared" si="4"/>
        <v>1.276290446</v>
      </c>
      <c r="AG48" s="124">
        <f t="shared" si="5"/>
        <v>-0.6866604271</v>
      </c>
      <c r="AH48" s="124">
        <f t="shared" si="6"/>
        <v>1.354804781</v>
      </c>
      <c r="AI48" s="124">
        <f t="shared" si="7"/>
        <v>-0.3783260287</v>
      </c>
      <c r="AJ48" s="124">
        <f t="shared" si="8"/>
        <v>-0.8183441372</v>
      </c>
      <c r="AK48" s="124">
        <f t="shared" si="9"/>
        <v>-1.271228567</v>
      </c>
      <c r="AL48" s="124">
        <f t="shared" si="10"/>
        <v>2.650882235</v>
      </c>
      <c r="AM48" s="124">
        <f t="shared" si="11"/>
        <v>0</v>
      </c>
      <c r="AN48" s="183">
        <f t="shared" si="12"/>
        <v>-1.271228567</v>
      </c>
      <c r="AO48" s="183">
        <f t="shared" si="13"/>
        <v>-2.089572704</v>
      </c>
      <c r="AP48" s="183">
        <f t="array" ref="AP48">INDIRECT("Update"&amp;Projections!$AG$17&amp;"!S"&amp;ROW(B29))</f>
        <v>17.25287671</v>
      </c>
      <c r="AQ48" s="183">
        <f t="array" ref="AQ48">INDIRECT("Update"&amp;Projections!$AG$17&amp;"!T"&amp;ROW(B29))</f>
        <v>5.987671233</v>
      </c>
    </row>
    <row r="49">
      <c r="A49" s="40" t="str">
        <f>IF(UpdateHashtag!C47="",ROW(UpdateHashtag!C47),UpdateHashtag!C47)</f>
        <v>Myles Turner</v>
      </c>
      <c r="B49" s="41">
        <f>IF(TYPE($A49)=1,"",(UpdateHashtag!M47-B$1)/B$2)</f>
        <v>-0.08808492213</v>
      </c>
      <c r="C49" s="41">
        <f>IF(TYPE($A49)=1,"",(UpdateHashtag!L47-C$1)/C$2)</f>
        <v>-0.2466595634</v>
      </c>
      <c r="D49" s="41">
        <f>IF(TYPE($A49)=1,"",(UpdateHashtag!N47-D$1)/D$2)</f>
        <v>0.35924808</v>
      </c>
      <c r="E49" s="41">
        <f>IF(TYPE($A49)=1,"",(UpdateHashtag!O47-E$1)/E$2)</f>
        <v>-1.195897812</v>
      </c>
      <c r="F49" s="41">
        <f>IF(TYPE($A49)=1,"",(UpdateHashtag!P47-F$1)/F$2)</f>
        <v>-1.574757169</v>
      </c>
      <c r="G49" s="41">
        <f>IF(TYPE($A49)=1,"",(UpdateHashtag!Q47-G$1)/G$2)</f>
        <v>2.231937977</v>
      </c>
      <c r="H49" s="41">
        <f>IF(TYPE($A49)=1,"",(UpdateHashtag!I47-H$1)/H$2*I49/$I$1)</f>
        <v>0.5050020798</v>
      </c>
      <c r="I49" s="41">
        <f>UpdateHashtag!S47</f>
        <v>11.5</v>
      </c>
      <c r="J49" s="53">
        <f>IF(TYPE($A49)=1,"",(UpdateHashtag!K47-J$1)/J$2*K49/$K$1)</f>
        <v>-0.2445724082</v>
      </c>
      <c r="K49" s="55">
        <f>UpdateHashtag!T47</f>
        <v>4.1</v>
      </c>
      <c r="L49" s="41">
        <f>IF(TYPE($A49)=1,"",-(UpdateHashtag!R47-L$1)/L$2)</f>
        <v>0.2466595634</v>
      </c>
      <c r="N49" s="5">
        <v>29.0</v>
      </c>
      <c r="O49" s="170">
        <f t="array" ref="O49">INDIRECT("Update"&amp;Projections!$AG$17&amp;"!B"&amp;ROW(B30))</f>
        <v>36</v>
      </c>
      <c r="P49" s="172" t="str">
        <f t="array" ref="P49">INDIRECT("Update"&amp;Projections!$AG$17&amp;"!C"&amp;ROW(B30))</f>
        <v>Jalen Williams</v>
      </c>
      <c r="Q49" s="170">
        <f>UpdateHashtag!F85</f>
        <v>72</v>
      </c>
      <c r="R49" s="177" t="str">
        <f>IF(UpdateHashtag!D85="",ROW(UpdateHashtag!D85),UpdateHashtag!D85)</f>
        <v>PG,SG</v>
      </c>
      <c r="S49" s="124">
        <f t="shared" si="1"/>
        <v>2.511457614</v>
      </c>
      <c r="T49" s="124">
        <f>SUM(AE49:AM49)-IFERROR(IFS(Projections!$I$17,AN49,Projections!$J$17,AO49),"")</f>
        <v>2.577180806</v>
      </c>
      <c r="U49" s="124">
        <f t="shared" si="2"/>
        <v>0.06572319205</v>
      </c>
      <c r="V49" s="124">
        <f t="array" ref="V49">INDIRECT("Update"&amp;Projections!$AG$17&amp;"!M"&amp;ROW(B30))</f>
        <v>21.86369863</v>
      </c>
      <c r="W49" s="124">
        <f t="array" ref="W49">INDIRECT("Update"&amp;Projections!$AG$17&amp;"!L"&amp;ROW(B30))</f>
        <v>1.781232877</v>
      </c>
      <c r="X49" s="124">
        <f t="array" ref="X49">INDIRECT("Update"&amp;Projections!$AG$17&amp;"!N"&amp;ROW(B30))</f>
        <v>4.305068493</v>
      </c>
      <c r="Y49" s="124">
        <f t="array" ref="Y49">INDIRECT("Update"&amp;Projections!$AG$17&amp;"!O"&amp;ROW(B30))</f>
        <v>5.555068493</v>
      </c>
      <c r="Z49" s="124">
        <f t="array" ref="Z49">INDIRECT("Update"&amp;Projections!$AG$17&amp;"!P"&amp;ROW(B30))</f>
        <v>1.319315068</v>
      </c>
      <c r="AA49" s="124">
        <f t="array" ref="AA49">INDIRECT("Update"&amp;Projections!$AG$17&amp;"!Q"&amp;ROW(B30))</f>
        <v>0.6876712329</v>
      </c>
      <c r="AB49" s="180">
        <f t="array" ref="AB49">INDIRECT("Update"&amp;Projections!$AG$17&amp;"!I"&amp;ROW(B30))</f>
        <v>0.5155965468</v>
      </c>
      <c r="AC49" s="180">
        <f t="array" ref="AC49">INDIRECT("Update"&amp;Projections!$AG$17&amp;"!K"&amp;ROW(B30))</f>
        <v>0.8190065086</v>
      </c>
      <c r="AD49" s="124">
        <f t="array" ref="AD49">INDIRECT("Update"&amp;Projections!$AG$17&amp;"!R"&amp;ROW(B30))</f>
        <v>2.01369863</v>
      </c>
      <c r="AE49" s="124">
        <f t="shared" si="3"/>
        <v>0.7886241811</v>
      </c>
      <c r="AF49" s="124">
        <f t="shared" si="4"/>
        <v>0.03230335344</v>
      </c>
      <c r="AG49" s="124">
        <f t="shared" si="5"/>
        <v>-0.6969144323</v>
      </c>
      <c r="AH49" s="124">
        <f t="shared" si="6"/>
        <v>0.736492226</v>
      </c>
      <c r="AI49" s="124">
        <f t="shared" si="7"/>
        <v>1.135793833</v>
      </c>
      <c r="AJ49" s="124">
        <f t="shared" si="8"/>
        <v>-0.1087943727</v>
      </c>
      <c r="AK49" s="124">
        <f t="shared" si="9"/>
        <v>0.3468116437</v>
      </c>
      <c r="AL49" s="124">
        <f t="shared" si="10"/>
        <v>0.3428643738</v>
      </c>
      <c r="AM49" s="124">
        <f t="shared" si="11"/>
        <v>0</v>
      </c>
      <c r="AN49" s="183">
        <f t="shared" si="12"/>
        <v>-0.6969144323</v>
      </c>
      <c r="AO49" s="183">
        <f t="shared" si="13"/>
        <v>-0.805708805</v>
      </c>
      <c r="AP49" s="183">
        <f t="array" ref="AP49">INDIRECT("Update"&amp;Projections!$AG$17&amp;"!S"&amp;ROW(B30))</f>
        <v>16.24876712</v>
      </c>
      <c r="AQ49" s="183">
        <f t="array" ref="AQ49">INDIRECT("Update"&amp;Projections!$AG$17&amp;"!T"&amp;ROW(B30))</f>
        <v>4.062054795</v>
      </c>
    </row>
    <row r="50">
      <c r="A50" s="40" t="str">
        <f>IF(UpdateHashtag!C48="",ROW(UpdateHashtag!C48),UpdateHashtag!C48)</f>
        <v>Immanuel Quickley</v>
      </c>
      <c r="B50" s="41">
        <f>IF(TYPE($A50)=1,"",(UpdateHashtag!M48-B$1)/B$2)</f>
        <v>0.2183496637</v>
      </c>
      <c r="C50" s="41">
        <f>IF(TYPE($A50)=1,"",(UpdateHashtag!L48-C$1)/C$2)</f>
        <v>0.8444618296</v>
      </c>
      <c r="D50" s="41">
        <f>IF(TYPE($A50)=1,"",(UpdateHashtag!N48-D$1)/D$2)</f>
        <v>-0.5813287112</v>
      </c>
      <c r="E50" s="41">
        <f>IF(TYPE($A50)=1,"",(UpdateHashtag!O48-E$1)/E$2)</f>
        <v>1.301863441</v>
      </c>
      <c r="F50" s="41">
        <f>IF(TYPE($A50)=1,"",(UpdateHashtag!P48-F$1)/F$2)</f>
        <v>0.410230859</v>
      </c>
      <c r="G50" s="41">
        <f>IF(TYPE($A50)=1,"",(UpdateHashtag!Q48-G$1)/G$2)</f>
        <v>-0.978628106</v>
      </c>
      <c r="H50" s="41">
        <f>IF(TYPE($A50)=1,"",(UpdateHashtag!I48-H$1)/H$2*I50/$I$1)</f>
        <v>-0.9788306556</v>
      </c>
      <c r="I50" s="41">
        <f>UpdateHashtag!S48</f>
        <v>14.7</v>
      </c>
      <c r="J50" s="53">
        <f>IF(TYPE($A50)=1,"",(UpdateHashtag!K48-J$1)/J$2*K50/$K$1)</f>
        <v>0.7211474859</v>
      </c>
      <c r="K50" s="55">
        <f>UpdateHashtag!T48</f>
        <v>3.8</v>
      </c>
      <c r="L50" s="41">
        <f>IF(TYPE($A50)=1,"",-(UpdateHashtag!R48-L$1)/L$2)</f>
        <v>0.1474667095</v>
      </c>
      <c r="N50" s="112">
        <v>30.0</v>
      </c>
      <c r="O50" s="170">
        <f t="array" ref="O50">INDIRECT("Update"&amp;Projections!$AG$17&amp;"!B"&amp;ROW(B31))</f>
        <v>26.1</v>
      </c>
      <c r="P50" s="172" t="str">
        <f t="array" ref="P50">INDIRECT("Update"&amp;Projections!$AG$17&amp;"!C"&amp;ROW(B31))</f>
        <v>De'Aaron Fox</v>
      </c>
      <c r="Q50" s="170">
        <f>UpdateHashtag!F84</f>
        <v>76</v>
      </c>
      <c r="R50" s="177" t="str">
        <f>IF(UpdateHashtag!D84="",ROW(UpdateHashtag!D84),UpdateHashtag!D84)</f>
        <v>SF,PF</v>
      </c>
      <c r="S50" s="124">
        <f t="shared" si="1"/>
        <v>2.790880435</v>
      </c>
      <c r="T50" s="124">
        <f>SUM(AE50:AM50)-IFERROR(IFS(Projections!$I$17,AN50,Projections!$J$17,AO50),"")</f>
        <v>2.958344243</v>
      </c>
      <c r="U50" s="124">
        <f t="shared" si="2"/>
        <v>0.1674638077</v>
      </c>
      <c r="V50" s="124">
        <f t="array" ref="V50">INDIRECT("Update"&amp;Projections!$AG$17&amp;"!M"&amp;ROW(B31))</f>
        <v>25.08767123</v>
      </c>
      <c r="W50" s="124">
        <f t="array" ref="W50">INDIRECT("Update"&amp;Projections!$AG$17&amp;"!L"&amp;ROW(B31))</f>
        <v>2.718219178</v>
      </c>
      <c r="X50" s="124">
        <f t="array" ref="X50">INDIRECT("Update"&amp;Projections!$AG$17&amp;"!N"&amp;ROW(B31))</f>
        <v>4.696438356</v>
      </c>
      <c r="Y50" s="124">
        <f t="array" ref="Y50">INDIRECT("Update"&amp;Projections!$AG$17&amp;"!O"&amp;ROW(B31))</f>
        <v>5.075205479</v>
      </c>
      <c r="Z50" s="124">
        <f t="array" ref="Z50">INDIRECT("Update"&amp;Projections!$AG$17&amp;"!P"&amp;ROW(B31))</f>
        <v>1.666438356</v>
      </c>
      <c r="AA50" s="124">
        <f t="array" ref="AA50">INDIRECT("Update"&amp;Projections!$AG$17&amp;"!Q"&amp;ROW(B31))</f>
        <v>0.4553424658</v>
      </c>
      <c r="AB50" s="180">
        <f t="array" ref="AB50">INDIRECT("Update"&amp;Projections!$AG$17&amp;"!I"&amp;ROW(B31))</f>
        <v>0.4634715994</v>
      </c>
      <c r="AC50" s="180">
        <f t="array" ref="AC50">INDIRECT("Update"&amp;Projections!$AG$17&amp;"!K"&amp;ROW(B31))</f>
        <v>0.7749920559</v>
      </c>
      <c r="AD50" s="124">
        <f t="array" ref="AD50">INDIRECT("Update"&amp;Projections!$AG$17&amp;"!R"&amp;ROW(B31))</f>
        <v>2.423972603</v>
      </c>
      <c r="AE50" s="124">
        <f t="shared" si="3"/>
        <v>1.369763421</v>
      </c>
      <c r="AF50" s="124">
        <f t="shared" si="4"/>
        <v>0.9617268061</v>
      </c>
      <c r="AG50" s="124">
        <f t="shared" si="5"/>
        <v>-0.5435338448</v>
      </c>
      <c r="AH50" s="124">
        <f t="shared" si="6"/>
        <v>0.5185680001</v>
      </c>
      <c r="AI50" s="124">
        <f t="shared" si="7"/>
        <v>2.284186451</v>
      </c>
      <c r="AJ50" s="124">
        <f t="shared" si="8"/>
        <v>-0.5231870726</v>
      </c>
      <c r="AK50" s="124">
        <f t="shared" si="9"/>
        <v>-0.8064687109</v>
      </c>
      <c r="AL50" s="124">
        <f t="shared" si="10"/>
        <v>-0.3027108073</v>
      </c>
      <c r="AM50" s="124">
        <f t="shared" si="11"/>
        <v>0</v>
      </c>
      <c r="AN50" s="183">
        <f t="shared" si="12"/>
        <v>-0.8064687109</v>
      </c>
      <c r="AO50" s="183">
        <f t="shared" si="13"/>
        <v>-1.350002556</v>
      </c>
      <c r="AP50" s="183">
        <f t="array" ref="AP50">INDIRECT("Update"&amp;Projections!$AG$17&amp;"!S"&amp;ROW(B31))</f>
        <v>20.52821918</v>
      </c>
      <c r="AQ50" s="183">
        <f t="array" ref="AQ50">INDIRECT("Update"&amp;Projections!$AG$17&amp;"!T"&amp;ROW(B31))</f>
        <v>4.310958904</v>
      </c>
    </row>
    <row r="51">
      <c r="A51" s="40" t="str">
        <f>IF(UpdateHashtag!C49="",ROW(UpdateHashtag!C49),UpdateHashtag!C49)</f>
        <v>Jamal Murray</v>
      </c>
      <c r="B51" s="41">
        <f>IF(TYPE($A51)=1,"",(UpdateHashtag!M49-B$1)/B$2)</f>
        <v>0.4526819941</v>
      </c>
      <c r="C51" s="41">
        <f>IF(TYPE($A51)=1,"",(UpdateHashtag!L49-C$1)/C$2)</f>
        <v>0.7452689757</v>
      </c>
      <c r="D51" s="41">
        <f>IF(TYPE($A51)=1,"",(UpdateHashtag!N49-D$1)/D$2)</f>
        <v>-0.8556636087</v>
      </c>
      <c r="E51" s="41">
        <f>IF(TYPE($A51)=1,"",(UpdateHashtag!O49-E$1)/E$2)</f>
        <v>0.9839665539</v>
      </c>
      <c r="F51" s="41">
        <f>IF(TYPE($A51)=1,"",(UpdateHashtag!P49-F$1)/F$2)</f>
        <v>0.0793995211</v>
      </c>
      <c r="G51" s="41">
        <f>IF(TYPE($A51)=1,"",(UpdateHashtag!Q49-G$1)/G$2)</f>
        <v>-0.4435337589</v>
      </c>
      <c r="H51" s="41">
        <f>IF(TYPE($A51)=1,"",(UpdateHashtag!I49-H$1)/H$2*I51/$I$1)</f>
        <v>-0.4823599778</v>
      </c>
      <c r="I51" s="41">
        <f>UpdateHashtag!S49</f>
        <v>15.8</v>
      </c>
      <c r="J51" s="53">
        <f>IF(TYPE($A51)=1,"",(UpdateHashtag!K49-J$1)/J$2*K51/$K$1)</f>
        <v>0.5011805697</v>
      </c>
      <c r="K51" s="55">
        <f>UpdateHashtag!T49</f>
        <v>3.1</v>
      </c>
      <c r="L51" s="41">
        <f>IF(TYPE($A51)=1,"",-(UpdateHashtag!R49-L$1)/L$2)</f>
        <v>-0.34849756</v>
      </c>
      <c r="N51" s="112">
        <v>31.0</v>
      </c>
      <c r="O51" s="170">
        <f t="array" ref="O51">INDIRECT("Update"&amp;Projections!$AG$17&amp;"!B"&amp;ROW(B32))</f>
        <v>30.1</v>
      </c>
      <c r="P51" s="172" t="str">
        <f t="array" ref="P51">INDIRECT("Update"&amp;Projections!$AG$17&amp;"!C"&amp;ROW(B32))</f>
        <v>Lauri Markkanen</v>
      </c>
      <c r="Q51" s="170">
        <f>UpdateHashtag!F92</f>
        <v>71</v>
      </c>
      <c r="R51" s="177" t="str">
        <f>IF(UpdateHashtag!D92="",ROW(UpdateHashtag!D92),UpdateHashtag!D92)</f>
        <v>SF,PF</v>
      </c>
      <c r="S51" s="124">
        <f t="shared" si="1"/>
        <v>2.590648298</v>
      </c>
      <c r="T51" s="124">
        <f>SUM(AE51:AM51)-IFERROR(IFS(Projections!$I$17,AN51,Projections!$J$17,AO51),"")</f>
        <v>2.536422871</v>
      </c>
      <c r="U51" s="124">
        <f t="shared" si="2"/>
        <v>-0.0542254268</v>
      </c>
      <c r="V51" s="124">
        <f t="array" ref="V51">INDIRECT("Update"&amp;Projections!$AG$17&amp;"!M"&amp;ROW(B32))</f>
        <v>22.97387097</v>
      </c>
      <c r="W51" s="124">
        <f t="array" ref="W51">INDIRECT("Update"&amp;Projections!$AG$17&amp;"!L"&amp;ROW(B32))</f>
        <v>3.162741935</v>
      </c>
      <c r="X51" s="124">
        <f t="array" ref="X51">INDIRECT("Update"&amp;Projections!$AG$17&amp;"!N"&amp;ROW(B32))</f>
        <v>7.290967742</v>
      </c>
      <c r="Y51" s="124">
        <f t="array" ref="Y51">INDIRECT("Update"&amp;Projections!$AG$17&amp;"!O"&amp;ROW(B32))</f>
        <v>2.139354839</v>
      </c>
      <c r="Z51" s="124">
        <f t="array" ref="Z51">INDIRECT("Update"&amp;Projections!$AG$17&amp;"!P"&amp;ROW(B32))</f>
        <v>0.9027419355</v>
      </c>
      <c r="AA51" s="124">
        <f t="array" ref="AA51">INDIRECT("Update"&amp;Projections!$AG$17&amp;"!Q"&amp;ROW(B32))</f>
        <v>0.4174193548</v>
      </c>
      <c r="AB51" s="180">
        <f t="array" ref="AB51">INDIRECT("Update"&amp;Projections!$AG$17&amp;"!I"&amp;ROW(B32))</f>
        <v>0.4787610083</v>
      </c>
      <c r="AC51" s="180">
        <f t="array" ref="AC51">INDIRECT("Update"&amp;Projections!$AG$17&amp;"!K"&amp;ROW(B32))</f>
        <v>0.8879979717</v>
      </c>
      <c r="AD51" s="124">
        <f t="array" ref="AD51">INDIRECT("Update"&amp;Projections!$AG$17&amp;"!R"&amp;ROW(B32))</f>
        <v>1.53</v>
      </c>
      <c r="AE51" s="124">
        <f t="shared" si="3"/>
        <v>0.9887390053</v>
      </c>
      <c r="AF51" s="124">
        <f t="shared" si="4"/>
        <v>1.402661615</v>
      </c>
      <c r="AG51" s="124">
        <f t="shared" si="5"/>
        <v>0.4732803738</v>
      </c>
      <c r="AH51" s="124">
        <f t="shared" si="6"/>
        <v>-0.8147145401</v>
      </c>
      <c r="AI51" s="124">
        <f t="shared" si="7"/>
        <v>-0.2423606349</v>
      </c>
      <c r="AJ51" s="124">
        <f t="shared" si="8"/>
        <v>-0.590828547</v>
      </c>
      <c r="AK51" s="124">
        <f t="shared" si="9"/>
        <v>-0.3433907836</v>
      </c>
      <c r="AL51" s="124">
        <f t="shared" si="10"/>
        <v>1.663036383</v>
      </c>
      <c r="AM51" s="124">
        <f t="shared" si="11"/>
        <v>0</v>
      </c>
      <c r="AN51" s="183">
        <f t="shared" si="12"/>
        <v>-0.8147145401</v>
      </c>
      <c r="AO51" s="183">
        <f t="shared" si="13"/>
        <v>-1.405543087</v>
      </c>
      <c r="AP51" s="183">
        <f t="array" ref="AP51">INDIRECT("Update"&amp;Projections!$AG$17&amp;"!S"&amp;ROW(B32))</f>
        <v>15.97032258</v>
      </c>
      <c r="AQ51" s="183">
        <f t="array" ref="AQ51">INDIRECT("Update"&amp;Projections!$AG$17&amp;"!T"&amp;ROW(B32))</f>
        <v>5.089193548</v>
      </c>
    </row>
    <row r="52">
      <c r="A52" s="40" t="str">
        <f>IF(UpdateHashtag!C50="",ROW(UpdateHashtag!C50),UpdateHashtag!C50)</f>
        <v>Franz Wagner</v>
      </c>
      <c r="B52" s="41">
        <f>IF(TYPE($A52)=1,"",(UpdateHashtag!M50-B$1)/B$2)</f>
        <v>0.3805797386</v>
      </c>
      <c r="C52" s="41">
        <f>IF(TYPE($A52)=1,"",(UpdateHashtag!L50-C$1)/C$2)</f>
        <v>-0.3458524173</v>
      </c>
      <c r="D52" s="41">
        <f>IF(TYPE($A52)=1,"",(UpdateHashtag!N50-D$1)/D$2)</f>
        <v>-0.2678031142</v>
      </c>
      <c r="E52" s="41">
        <f>IF(TYPE($A52)=1,"",(UpdateHashtag!O50-E$1)/E$2)</f>
        <v>-0.01513794698</v>
      </c>
      <c r="F52" s="41">
        <f>IF(TYPE($A52)=1,"",(UpdateHashtag!P50-F$1)/F$2)</f>
        <v>0.741062197</v>
      </c>
      <c r="G52" s="41">
        <f>IF(TYPE($A52)=1,"",(UpdateHashtag!Q50-G$1)/G$2)</f>
        <v>-0.6218985413</v>
      </c>
      <c r="H52" s="41">
        <f>IF(TYPE($A52)=1,"",(UpdateHashtag!I50-H$1)/H$2*I52/$I$1)</f>
        <v>-0.2485676154</v>
      </c>
      <c r="I52" s="41">
        <f>UpdateHashtag!S50</f>
        <v>15</v>
      </c>
      <c r="J52" s="53">
        <f>IF(TYPE($A52)=1,"",(UpdateHashtag!K50-J$1)/J$2*K52/$K$1)</f>
        <v>0.7556106322</v>
      </c>
      <c r="K52" s="55">
        <f>UpdateHashtag!T50</f>
        <v>4.3</v>
      </c>
      <c r="L52" s="41">
        <f>IF(TYPE($A52)=1,"",-(UpdateHashtag!R50-L$1)/L$2)</f>
        <v>-0.2493047061</v>
      </c>
      <c r="N52" s="5">
        <v>32.0</v>
      </c>
      <c r="O52" s="170">
        <f t="array" ref="O52">INDIRECT("Update"&amp;Projections!$AG$17&amp;"!B"&amp;ROW(B33))</f>
        <v>39</v>
      </c>
      <c r="P52" s="172" t="str">
        <f t="array" ref="P52">INDIRECT("Update"&amp;Projections!$AG$17&amp;"!C"&amp;ROW(B33))</f>
        <v>Evan Mobley</v>
      </c>
      <c r="Q52" s="170">
        <f>UpdateHashtag!F87</f>
        <v>67</v>
      </c>
      <c r="R52" s="177" t="str">
        <f>IF(UpdateHashtag!D87="",ROW(UpdateHashtag!D87),UpdateHashtag!D87)</f>
        <v>PF,C</v>
      </c>
      <c r="S52" s="124">
        <f t="shared" si="1"/>
        <v>2.110117431</v>
      </c>
      <c r="T52" s="124">
        <f>SUM(AE52:AM52)-IFERROR(IFS(Projections!$I$17,AN52,Projections!$J$17,AO52),"")</f>
        <v>2.112554224</v>
      </c>
      <c r="U52" s="124">
        <f t="shared" si="2"/>
        <v>0.002436792562</v>
      </c>
      <c r="V52" s="124">
        <f t="array" ref="V52">INDIRECT("Update"&amp;Projections!$AG$17&amp;"!M"&amp;ROW(B33))</f>
        <v>18.58328767</v>
      </c>
      <c r="W52" s="124">
        <f t="array" ref="W52">INDIRECT("Update"&amp;Projections!$AG$17&amp;"!L"&amp;ROW(B33))</f>
        <v>0.73</v>
      </c>
      <c r="X52" s="124">
        <f t="array" ref="X52">INDIRECT("Update"&amp;Projections!$AG$17&amp;"!N"&amp;ROW(B33))</f>
        <v>9.52</v>
      </c>
      <c r="Y52" s="124">
        <f t="array" ref="Y52">INDIRECT("Update"&amp;Projections!$AG$17&amp;"!O"&amp;ROW(B33))</f>
        <v>3.943972603</v>
      </c>
      <c r="Z52" s="124">
        <f t="array" ref="Z52">INDIRECT("Update"&amp;Projections!$AG$17&amp;"!P"&amp;ROW(B33))</f>
        <v>0.9609589041</v>
      </c>
      <c r="AA52" s="124">
        <f t="array" ref="AA52">INDIRECT("Update"&amp;Projections!$AG$17&amp;"!Q"&amp;ROW(B33))</f>
        <v>1.554109589</v>
      </c>
      <c r="AB52" s="180">
        <f t="array" ref="AB52">INDIRECT("Update"&amp;Projections!$AG$17&amp;"!I"&amp;ROW(B33))</f>
        <v>0.5641756499</v>
      </c>
      <c r="AC52" s="180">
        <f t="array" ref="AC52">INDIRECT("Update"&amp;Projections!$AG$17&amp;"!K"&amp;ROW(B33))</f>
        <v>0.7449994047</v>
      </c>
      <c r="AD52" s="124">
        <f t="array" ref="AD52">INDIRECT("Update"&amp;Projections!$AG$17&amp;"!R"&amp;ROW(B33))</f>
        <v>1.758493151</v>
      </c>
      <c r="AE52" s="124">
        <f t="shared" si="3"/>
        <v>0.1973116081</v>
      </c>
      <c r="AF52" s="124">
        <f t="shared" si="4"/>
        <v>-1.010444538</v>
      </c>
      <c r="AG52" s="124">
        <f t="shared" si="5"/>
        <v>1.346853711</v>
      </c>
      <c r="AH52" s="124">
        <f t="shared" si="6"/>
        <v>0.004831701004</v>
      </c>
      <c r="AI52" s="124">
        <f t="shared" si="7"/>
        <v>-0.04976065881</v>
      </c>
      <c r="AJ52" s="124">
        <f t="shared" si="8"/>
        <v>1.436626516</v>
      </c>
      <c r="AK52" s="124">
        <f t="shared" si="9"/>
        <v>0.9952115986</v>
      </c>
      <c r="AL52" s="124">
        <f t="shared" si="10"/>
        <v>-0.8080757134</v>
      </c>
      <c r="AM52" s="124">
        <f t="shared" si="11"/>
        <v>0</v>
      </c>
      <c r="AN52" s="183">
        <f t="shared" si="12"/>
        <v>-1.010444538</v>
      </c>
      <c r="AO52" s="183">
        <f t="shared" si="13"/>
        <v>-1.818520252</v>
      </c>
      <c r="AP52" s="183">
        <f t="array" ref="AP52">INDIRECT("Update"&amp;Projections!$AG$17&amp;"!S"&amp;ROW(B33))</f>
        <v>12.78383562</v>
      </c>
      <c r="AQ52" s="183">
        <f t="array" ref="AQ52">INDIRECT("Update"&amp;Projections!$AG$17&amp;"!T"&amp;ROW(B33))</f>
        <v>4.602191781</v>
      </c>
    </row>
    <row r="53">
      <c r="A53" s="40" t="str">
        <f>IF(UpdateHashtag!C51="",ROW(UpdateHashtag!C51),UpdateHashtag!C51)</f>
        <v>Tobias Harris</v>
      </c>
      <c r="B53" s="41">
        <f>IF(TYPE($A53)=1,"",(UpdateHashtag!M51-B$1)/B$2)</f>
        <v>0.02006846111</v>
      </c>
      <c r="C53" s="41">
        <f>IF(TYPE($A53)=1,"",(UpdateHashtag!L51-C$1)/C$2)</f>
        <v>-0.1474667095</v>
      </c>
      <c r="D53" s="41">
        <f>IF(TYPE($A53)=1,"",(UpdateHashtag!N51-D$1)/D$2)</f>
        <v>0.08491318254</v>
      </c>
      <c r="E53" s="41">
        <f>IF(TYPE($A53)=1,"",(UpdateHashtag!O51-E$1)/E$2)</f>
        <v>-0.4238625155</v>
      </c>
      <c r="F53" s="41">
        <f>IF(TYPE($A53)=1,"",(UpdateHashtag!P51-F$1)/F$2)</f>
        <v>0.0793995211</v>
      </c>
      <c r="G53" s="41">
        <f>IF(TYPE($A53)=1,"",(UpdateHashtag!Q51-G$1)/G$2)</f>
        <v>-0.2651689765</v>
      </c>
      <c r="H53" s="41">
        <f>IF(TYPE($A53)=1,"",(UpdateHashtag!I51-H$1)/H$2*I53/$I$1)</f>
        <v>-0.2500541358</v>
      </c>
      <c r="I53" s="41">
        <f>UpdateHashtag!S51</f>
        <v>14.1</v>
      </c>
      <c r="J53" s="53">
        <f>IF(TYPE($A53)=1,"",(UpdateHashtag!K51-J$1)/J$2*K53/$K$1)</f>
        <v>0.8457979813</v>
      </c>
      <c r="K53" s="55">
        <f>UpdateHashtag!T51</f>
        <v>2.9</v>
      </c>
      <c r="L53" s="41">
        <f>IF(TYPE($A53)=1,"",-(UpdateHashtag!R51-L$1)/L$2)</f>
        <v>0.4450452712</v>
      </c>
      <c r="N53" s="112">
        <v>33.0</v>
      </c>
      <c r="O53" s="170">
        <f t="array" ref="O53">INDIRECT("Update"&amp;Projections!$AG$17&amp;"!B"&amp;ROW(B34))</f>
        <v>35.6</v>
      </c>
      <c r="P53" s="172" t="str">
        <f t="array" ref="P53">INDIRECT("Update"&amp;Projections!$AG$17&amp;"!C"&amp;ROW(B34))</f>
        <v>Dejounte Murray</v>
      </c>
      <c r="Q53" s="170">
        <f>UpdateHashtag!F89</f>
        <v>76</v>
      </c>
      <c r="R53" s="177" t="str">
        <f>IF(UpdateHashtag!D89="",ROW(UpdateHashtag!D89),UpdateHashtag!D89)</f>
        <v>PG,SG</v>
      </c>
      <c r="S53" s="124">
        <f t="shared" si="1"/>
        <v>2.415453316</v>
      </c>
      <c r="T53" s="124">
        <f>SUM(AE53:AM53)-IFERROR(IFS(Projections!$I$17,AN53,Projections!$J$17,AO53),"")</f>
        <v>2.733676673</v>
      </c>
      <c r="U53" s="124">
        <f t="shared" si="2"/>
        <v>0.3182233575</v>
      </c>
      <c r="V53" s="124">
        <f t="array" ref="V53">INDIRECT("Update"&amp;Projections!$AG$17&amp;"!M"&amp;ROW(B34))</f>
        <v>18.69739726</v>
      </c>
      <c r="W53" s="124">
        <f t="array" ref="W53">INDIRECT("Update"&amp;Projections!$AG$17&amp;"!L"&amp;ROW(B34))</f>
        <v>2.435616438</v>
      </c>
      <c r="X53" s="124">
        <f t="array" ref="X53">INDIRECT("Update"&amp;Projections!$AG$17&amp;"!N"&amp;ROW(B34))</f>
        <v>6.496849315</v>
      </c>
      <c r="Y53" s="124">
        <f t="array" ref="Y53">INDIRECT("Update"&amp;Projections!$AG$17&amp;"!O"&amp;ROW(B34))</f>
        <v>7.868493151</v>
      </c>
      <c r="Z53" s="124">
        <f t="array" ref="Z53">INDIRECT("Update"&amp;Projections!$AG$17&amp;"!P"&amp;ROW(B34))</f>
        <v>1.499589041</v>
      </c>
      <c r="AA53" s="124">
        <f t="array" ref="AA53">INDIRECT("Update"&amp;Projections!$AG$17&amp;"!Q"&amp;ROW(B34))</f>
        <v>0.2909589041</v>
      </c>
      <c r="AB53" s="180">
        <f t="array" ref="AB53">INDIRECT("Update"&amp;Projections!$AG$17&amp;"!I"&amp;ROW(B34))</f>
        <v>0.450156026</v>
      </c>
      <c r="AC53" s="180">
        <f t="array" ref="AC53">INDIRECT("Update"&amp;Projections!$AG$17&amp;"!K"&amp;ROW(B34))</f>
        <v>0.7759828727</v>
      </c>
      <c r="AD53" s="124">
        <f t="array" ref="AD53">INDIRECT("Update"&amp;Projections!$AG$17&amp;"!R"&amp;ROW(B34))</f>
        <v>3.031917808</v>
      </c>
      <c r="AE53" s="124">
        <f t="shared" si="3"/>
        <v>0.2178805052</v>
      </c>
      <c r="AF53" s="124">
        <f t="shared" si="4"/>
        <v>0.6814050831</v>
      </c>
      <c r="AG53" s="124">
        <f t="shared" si="5"/>
        <v>0.1620598063</v>
      </c>
      <c r="AH53" s="124">
        <f t="shared" si="6"/>
        <v>1.787107221</v>
      </c>
      <c r="AI53" s="124">
        <f t="shared" si="7"/>
        <v>1.73219663</v>
      </c>
      <c r="AJ53" s="124">
        <f t="shared" si="8"/>
        <v>-0.8163894547</v>
      </c>
      <c r="AK53" s="124">
        <f t="shared" si="9"/>
        <v>-0.8896651578</v>
      </c>
      <c r="AL53" s="124">
        <f t="shared" si="10"/>
        <v>-0.1409179591</v>
      </c>
      <c r="AM53" s="124">
        <f t="shared" si="11"/>
        <v>0</v>
      </c>
      <c r="AN53" s="183">
        <f t="shared" si="12"/>
        <v>-0.8896651578</v>
      </c>
      <c r="AO53" s="183">
        <f t="shared" si="13"/>
        <v>-1.706054612</v>
      </c>
      <c r="AP53" s="183">
        <f t="array" ref="AP53">INDIRECT("Update"&amp;Projections!$AG$17&amp;"!S"&amp;ROW(B34))</f>
        <v>16.24246575</v>
      </c>
      <c r="AQ53" s="183">
        <f t="array" ref="AQ53">INDIRECT("Update"&amp;Projections!$AG$17&amp;"!T"&amp;ROW(B34))</f>
        <v>2.111506849</v>
      </c>
    </row>
    <row r="54">
      <c r="A54" s="40" t="str">
        <f>IF(UpdateHashtag!C52="",ROW(UpdateHashtag!C52),UpdateHashtag!C52)</f>
        <v>Nikola Vucevic</v>
      </c>
      <c r="B54" s="41">
        <f>IF(TYPE($A54)=1,"",(UpdateHashtag!M52-B$1)/B$2)</f>
        <v>-0.07005935826</v>
      </c>
      <c r="C54" s="41">
        <f>IF(TYPE($A54)=1,"",(UpdateHashtag!L52-C$1)/C$2)</f>
        <v>-0.3458524173</v>
      </c>
      <c r="D54" s="41">
        <f>IF(TYPE($A54)=1,"",(UpdateHashtag!N52-D$1)/D$2)</f>
        <v>1.691731868</v>
      </c>
      <c r="E54" s="41">
        <f>IF(TYPE($A54)=1,"",(UpdateHashtag!O52-E$1)/E$2)</f>
        <v>-0.2876209927</v>
      </c>
      <c r="F54" s="41">
        <f>IF(TYPE($A54)=1,"",(UpdateHashtag!P52-F$1)/F$2)</f>
        <v>-0.9130944927</v>
      </c>
      <c r="G54" s="41">
        <f>IF(TYPE($A54)=1,"",(UpdateHashtag!Q52-G$1)/G$2)</f>
        <v>-0.08680419409</v>
      </c>
      <c r="H54" s="41">
        <f>IF(TYPE($A54)=1,"",(UpdateHashtag!I52-H$1)/H$2*I54/$I$1)</f>
        <v>-0.2624681709</v>
      </c>
      <c r="I54" s="41">
        <f>UpdateHashtag!S52</f>
        <v>14.8</v>
      </c>
      <c r="J54" s="53">
        <f>IF(TYPE($A54)=1,"",(UpdateHashtag!K52-J$1)/J$2*K54/$K$1)</f>
        <v>0.1392437584</v>
      </c>
      <c r="K54" s="55">
        <f>UpdateHashtag!T52</f>
        <v>1.8</v>
      </c>
      <c r="L54" s="41">
        <f>IF(TYPE($A54)=1,"",-(UpdateHashtag!R52-L$1)/L$2)</f>
        <v>0.1474667095</v>
      </c>
      <c r="N54" s="112">
        <v>34.0</v>
      </c>
      <c r="O54" s="170">
        <f t="array" ref="O54">INDIRECT("Update"&amp;Projections!$AG$17&amp;"!B"&amp;ROW(B35))</f>
        <v>34</v>
      </c>
      <c r="P54" s="172" t="str">
        <f t="array" ref="P54">INDIRECT("Update"&amp;Projections!$AG$17&amp;"!C"&amp;ROW(B35))</f>
        <v>Cade Cunningham</v>
      </c>
      <c r="Q54" s="170">
        <f>UpdateHashtag!F93</f>
        <v>75</v>
      </c>
      <c r="R54" s="177" t="str">
        <f>IF(UpdateHashtag!D93="",ROW(UpdateHashtag!D93),UpdateHashtag!D93)</f>
        <v>PF,C</v>
      </c>
      <c r="S54" s="124">
        <f t="shared" si="1"/>
        <v>1.996235313</v>
      </c>
      <c r="T54" s="124">
        <f>SUM(AE54:AM54)-IFERROR(IFS(Projections!$I$17,AN54,Projections!$J$17,AO54),"")</f>
        <v>2.35026871</v>
      </c>
      <c r="U54" s="124">
        <f t="shared" si="2"/>
        <v>0.3540333964</v>
      </c>
      <c r="V54" s="124">
        <f t="array" ref="V54">INDIRECT("Update"&amp;Projections!$AG$17&amp;"!M"&amp;ROW(B35))</f>
        <v>23.43279412</v>
      </c>
      <c r="W54" s="124">
        <f t="array" ref="W54">INDIRECT("Update"&amp;Projections!$AG$17&amp;"!L"&amp;ROW(B35))</f>
        <v>1.937058824</v>
      </c>
      <c r="X54" s="124">
        <f t="array" ref="X54">INDIRECT("Update"&amp;Projections!$AG$17&amp;"!N"&amp;ROW(B35))</f>
        <v>5.053088235</v>
      </c>
      <c r="Y54" s="124">
        <f t="array" ref="Y54">INDIRECT("Update"&amp;Projections!$AG$17&amp;"!O"&amp;ROW(B35))</f>
        <v>8.0575</v>
      </c>
      <c r="Z54" s="124">
        <f t="array" ref="Z54">INDIRECT("Update"&amp;Projections!$AG$17&amp;"!P"&amp;ROW(B35))</f>
        <v>0.9517647059</v>
      </c>
      <c r="AA54" s="124">
        <f t="array" ref="AA54">INDIRECT("Update"&amp;Projections!$AG$17&amp;"!Q"&amp;ROW(B35))</f>
        <v>0.4289705882</v>
      </c>
      <c r="AB54" s="180">
        <f t="array" ref="AB54">INDIRECT("Update"&amp;Projections!$AG$17&amp;"!I"&amp;ROW(B35))</f>
        <v>0.4586624621</v>
      </c>
      <c r="AC54" s="180">
        <f t="array" ref="AC54">INDIRECT("Update"&amp;Projections!$AG$17&amp;"!K"&amp;ROW(B35))</f>
        <v>0.8599861907</v>
      </c>
      <c r="AD54" s="124">
        <f t="array" ref="AD54">INDIRECT("Update"&amp;Projections!$AG$17&amp;"!R"&amp;ROW(B35))</f>
        <v>3.176323529</v>
      </c>
      <c r="AE54" s="124">
        <f t="shared" si="3"/>
        <v>1.071462491</v>
      </c>
      <c r="AF54" s="124">
        <f t="shared" si="4"/>
        <v>0.1868715574</v>
      </c>
      <c r="AG54" s="124">
        <f t="shared" si="5"/>
        <v>-0.403760262</v>
      </c>
      <c r="AH54" s="124">
        <f t="shared" si="6"/>
        <v>1.87294249</v>
      </c>
      <c r="AI54" s="124">
        <f t="shared" si="7"/>
        <v>-0.08017794772</v>
      </c>
      <c r="AJ54" s="124">
        <f t="shared" si="8"/>
        <v>-0.5702252147</v>
      </c>
      <c r="AK54" s="124">
        <f t="shared" si="9"/>
        <v>-0.8455592278</v>
      </c>
      <c r="AL54" s="124">
        <f t="shared" si="10"/>
        <v>1.118714823</v>
      </c>
      <c r="AM54" s="124">
        <f t="shared" si="11"/>
        <v>0</v>
      </c>
      <c r="AN54" s="183">
        <f t="shared" si="12"/>
        <v>-0.8455592278</v>
      </c>
      <c r="AO54" s="183">
        <f t="shared" si="13"/>
        <v>-1.415784442</v>
      </c>
      <c r="AP54" s="183">
        <f t="array" ref="AP54">INDIRECT("Update"&amp;Projections!$AG$17&amp;"!S"&amp;ROW(B35))</f>
        <v>18.84058824</v>
      </c>
      <c r="AQ54" s="183">
        <f t="array" ref="AQ54">INDIRECT("Update"&amp;Projections!$AG$17&amp;"!T"&amp;ROW(B35))</f>
        <v>4.898676471</v>
      </c>
    </row>
    <row r="55">
      <c r="A55" s="40" t="str">
        <f>IF(UpdateHashtag!C53="",ROW(UpdateHashtag!C53),UpdateHashtag!C53)</f>
        <v>Jarrett Allen</v>
      </c>
      <c r="B55" s="41">
        <f>IF(TYPE($A55)=1,"",(UpdateHashtag!M53-B$1)/B$2)</f>
        <v>-0.4666217635</v>
      </c>
      <c r="C55" s="41">
        <f>IF(TYPE($A55)=1,"",(UpdateHashtag!L53-C$1)/C$2)</f>
        <v>-1.734552372</v>
      </c>
      <c r="D55" s="41">
        <f>IF(TYPE($A55)=1,"",(UpdateHashtag!N53-D$1)/D$2)</f>
        <v>1.495778369</v>
      </c>
      <c r="E55" s="41">
        <f>IF(TYPE($A55)=1,"",(UpdateHashtag!O53-E$1)/E$2)</f>
        <v>-0.7871732431</v>
      </c>
      <c r="F55" s="41">
        <f>IF(TYPE($A55)=1,"",(UpdateHashtag!P53-F$1)/F$2)</f>
        <v>-0.9130944927</v>
      </c>
      <c r="G55" s="41">
        <f>IF(TYPE($A55)=1,"",(UpdateHashtag!Q53-G$1)/G$2)</f>
        <v>0.6266549355</v>
      </c>
      <c r="H55" s="41">
        <f>IF(TYPE($A55)=1,"",(UpdateHashtag!I53-H$1)/H$2*I55/$I$1)</f>
        <v>1.576790277</v>
      </c>
      <c r="I55" s="41">
        <f>UpdateHashtag!S53</f>
        <v>9.7</v>
      </c>
      <c r="J55" s="53">
        <f>IF(TYPE($A55)=1,"",(UpdateHashtag!K53-J$1)/J$2*K55/$K$1)</f>
        <v>-0.7585686311</v>
      </c>
      <c r="K55" s="55">
        <f>UpdateHashtag!T53</f>
        <v>3.6</v>
      </c>
      <c r="L55" s="41">
        <f>IF(TYPE($A55)=1,"",-(UpdateHashtag!R53-L$1)/L$2)</f>
        <v>0.3458524173</v>
      </c>
      <c r="N55" s="5">
        <v>35.0</v>
      </c>
      <c r="O55" s="170">
        <f t="array" ref="O55">INDIRECT("Update"&amp;Projections!$AG$17&amp;"!B"&amp;ROW(B36))</f>
        <v>37.3</v>
      </c>
      <c r="P55" s="172" t="str">
        <f t="array" ref="P55">INDIRECT("Update"&amp;Projections!$AG$17&amp;"!C"&amp;ROW(B36))</f>
        <v>Jaren Jackson Jr.</v>
      </c>
      <c r="Q55" s="170">
        <f>UpdateHashtag!F94</f>
        <v>58</v>
      </c>
      <c r="R55" s="177" t="str">
        <f>IF(UpdateHashtag!D94="",ROW(UpdateHashtag!D94),UpdateHashtag!D94)</f>
        <v>PF,C</v>
      </c>
      <c r="S55" s="124">
        <f t="shared" si="1"/>
        <v>2.12942741</v>
      </c>
      <c r="T55" s="124">
        <f>SUM(AE55:AM55)-IFERROR(IFS(Projections!$I$17,AN55,Projections!$J$17,AO55),"")</f>
        <v>2.20725247</v>
      </c>
      <c r="U55" s="124">
        <f t="shared" si="2"/>
        <v>0.07782505996</v>
      </c>
      <c r="V55" s="124">
        <f t="array" ref="V55">INDIRECT("Update"&amp;Projections!$AG$17&amp;"!M"&amp;ROW(B36))</f>
        <v>18.67691176</v>
      </c>
      <c r="W55" s="124">
        <f t="array" ref="W55">INDIRECT("Update"&amp;Projections!$AG$17&amp;"!L"&amp;ROW(B36))</f>
        <v>1.729705882</v>
      </c>
      <c r="X55" s="124">
        <f t="array" ref="X55">INDIRECT("Update"&amp;Projections!$AG$17&amp;"!N"&amp;ROW(B36))</f>
        <v>6.1875</v>
      </c>
      <c r="Y55" s="124">
        <f t="array" ref="Y55">INDIRECT("Update"&amp;Projections!$AG$17&amp;"!O"&amp;ROW(B36))</f>
        <v>1.856323529</v>
      </c>
      <c r="Z55" s="124">
        <f t="array" ref="Z55">INDIRECT("Update"&amp;Projections!$AG$17&amp;"!P"&amp;ROW(B36))</f>
        <v>1.2375</v>
      </c>
      <c r="AA55" s="124">
        <f t="array" ref="AA55">INDIRECT("Update"&amp;Projections!$AG$17&amp;"!Q"&amp;ROW(B36))</f>
        <v>2.131176471</v>
      </c>
      <c r="AB55" s="180">
        <f t="array" ref="AB55">INDIRECT("Update"&amp;Projections!$AG$17&amp;"!I"&amp;ROW(B36))</f>
        <v>0.4709663351</v>
      </c>
      <c r="AC55" s="180">
        <f t="array" ref="AC55">INDIRECT("Update"&amp;Projections!$AG$17&amp;"!K"&amp;ROW(B36))</f>
        <v>0.7959958466</v>
      </c>
      <c r="AD55" s="124">
        <f t="array" ref="AD55">INDIRECT("Update"&amp;Projections!$AG$17&amp;"!R"&amp;ROW(B36))</f>
        <v>2.0625</v>
      </c>
      <c r="AE55" s="124">
        <f t="shared" si="3"/>
        <v>0.2141878783</v>
      </c>
      <c r="AF55" s="124">
        <f t="shared" si="4"/>
        <v>-0.01880774343</v>
      </c>
      <c r="AG55" s="124">
        <f t="shared" si="5"/>
        <v>0.04082364545</v>
      </c>
      <c r="AH55" s="124">
        <f t="shared" si="6"/>
        <v>-0.943249929</v>
      </c>
      <c r="AI55" s="124">
        <f t="shared" si="7"/>
        <v>0.8651239487</v>
      </c>
      <c r="AJ55" s="124">
        <f t="shared" si="8"/>
        <v>2.465910604</v>
      </c>
      <c r="AK55" s="124">
        <f t="shared" si="9"/>
        <v>-0.4329096411</v>
      </c>
      <c r="AL55" s="124">
        <f t="shared" si="10"/>
        <v>0.01617370758</v>
      </c>
      <c r="AM55" s="124">
        <f t="shared" si="11"/>
        <v>0</v>
      </c>
      <c r="AN55" s="183">
        <f t="shared" si="12"/>
        <v>-0.943249929</v>
      </c>
      <c r="AO55" s="183">
        <f t="shared" si="13"/>
        <v>-1.37615957</v>
      </c>
      <c r="AP55" s="183">
        <f t="array" ref="AP55">INDIRECT("Update"&amp;Projections!$AG$17&amp;"!S"&amp;ROW(B36))</f>
        <v>14.16205882</v>
      </c>
      <c r="AQ55" s="183">
        <f t="array" ref="AQ55">INDIRECT("Update"&amp;Projections!$AG$17&amp;"!T"&amp;ROW(B36))</f>
        <v>4.532058824</v>
      </c>
    </row>
    <row r="56">
      <c r="A56" s="40" t="str">
        <f>IF(UpdateHashtag!C54="",ROW(UpdateHashtag!C54),UpdateHashtag!C54)</f>
        <v>Rudy Gobert</v>
      </c>
      <c r="B56" s="41">
        <f>IF(TYPE($A56)=1,"",(UpdateHashtag!M54-B$1)/B$2)</f>
        <v>-0.5747751467</v>
      </c>
      <c r="C56" s="41">
        <f>IF(TYPE($A56)=1,"",(UpdateHashtag!L54-C$1)/C$2)</f>
        <v>-1.734552372</v>
      </c>
      <c r="D56" s="41">
        <f>IF(TYPE($A56)=1,"",(UpdateHashtag!N54-D$1)/D$2)</f>
        <v>2.671499358</v>
      </c>
      <c r="E56" s="41">
        <f>IF(TYPE($A56)=1,"",(UpdateHashtag!O54-E$1)/E$2)</f>
        <v>-1.150483971</v>
      </c>
      <c r="F56" s="41">
        <f>IF(TYPE($A56)=1,"",(UpdateHashtag!P54-F$1)/F$2)</f>
        <v>-0.5822631548</v>
      </c>
      <c r="G56" s="41">
        <f>IF(TYPE($A56)=1,"",(UpdateHashtag!Q54-G$1)/G$2)</f>
        <v>1.875208412</v>
      </c>
      <c r="H56" s="41">
        <f>IF(TYPE($A56)=1,"",(UpdateHashtag!I54-H$1)/H$2*I56/$I$1)</f>
        <v>1.571259832</v>
      </c>
      <c r="I56" s="41">
        <f>UpdateHashtag!S54</f>
        <v>8.3</v>
      </c>
      <c r="J56" s="53">
        <f>IF(TYPE($A56)=1,"",(UpdateHashtag!K54-J$1)/J$2*K56/$K$1)</f>
        <v>-2.79462743</v>
      </c>
      <c r="K56" s="55">
        <f>UpdateHashtag!T54</f>
        <v>5.2</v>
      </c>
      <c r="L56" s="41">
        <f>IF(TYPE($A56)=1,"",-(UpdateHashtag!R54-L$1)/L$2)</f>
        <v>0.04827385557</v>
      </c>
      <c r="N56" s="112">
        <v>36.0</v>
      </c>
      <c r="O56" s="170">
        <f t="array" ref="O56">INDIRECT("Update"&amp;Projections!$AG$17&amp;"!B"&amp;ROW(B37))</f>
        <v>27.8</v>
      </c>
      <c r="P56" s="172" t="str">
        <f t="array" ref="P56">INDIRECT("Update"&amp;Projections!$AG$17&amp;"!C"&amp;ROW(B37))</f>
        <v>Tyrese Maxey</v>
      </c>
      <c r="Q56" s="170">
        <f>UpdateHashtag!F90</f>
        <v>74</v>
      </c>
      <c r="R56" s="177" t="str">
        <f>IF(UpdateHashtag!D90="",ROW(UpdateHashtag!D90),UpdateHashtag!D90)</f>
        <v>SF,PF</v>
      </c>
      <c r="S56" s="124">
        <f t="shared" si="1"/>
        <v>2.246965457</v>
      </c>
      <c r="T56" s="124">
        <f>SUM(AE56:AM56)-IFERROR(IFS(Projections!$I$17,AN56,Projections!$J$17,AO56),"")</f>
        <v>2.255414967</v>
      </c>
      <c r="U56" s="124">
        <f t="shared" si="2"/>
        <v>0.008449509991</v>
      </c>
      <c r="V56" s="124">
        <f t="array" ref="V56">INDIRECT("Update"&amp;Projections!$AG$17&amp;"!M"&amp;ROW(B37))</f>
        <v>25.06109589</v>
      </c>
      <c r="W56" s="124">
        <f t="array" ref="W56">INDIRECT("Update"&amp;Projections!$AG$17&amp;"!L"&amp;ROW(B37))</f>
        <v>2.966712329</v>
      </c>
      <c r="X56" s="124">
        <f t="array" ref="X56">INDIRECT("Update"&amp;Projections!$AG$17&amp;"!N"&amp;ROW(B37))</f>
        <v>3.723972603</v>
      </c>
      <c r="Y56" s="124">
        <f t="array" ref="Y56">INDIRECT("Update"&amp;Projections!$AG$17&amp;"!O"&amp;ROW(B37))</f>
        <v>6.206712329</v>
      </c>
      <c r="Z56" s="124">
        <f t="array" ref="Z56">INDIRECT("Update"&amp;Projections!$AG$17&amp;"!P"&amp;ROW(B37))</f>
        <v>0.9324657534</v>
      </c>
      <c r="AA56" s="124">
        <f t="array" ref="AA56">INDIRECT("Update"&amp;Projections!$AG$17&amp;"!Q"&amp;ROW(B37))</f>
        <v>0.3875342466</v>
      </c>
      <c r="AB56" s="180">
        <f t="array" ref="AB56">INDIRECT("Update"&amp;Projections!$AG$17&amp;"!I"&amp;ROW(B37))</f>
        <v>0.4652092312</v>
      </c>
      <c r="AC56" s="180">
        <f t="array" ref="AC56">INDIRECT("Update"&amp;Projections!$AG$17&amp;"!K"&amp;ROW(B37))</f>
        <v>0.867005814</v>
      </c>
      <c r="AD56" s="124">
        <f t="array" ref="AD56">INDIRECT("Update"&amp;Projections!$AG$17&amp;"!R"&amp;ROW(B37))</f>
        <v>1.782739726</v>
      </c>
      <c r="AE56" s="124">
        <f t="shared" si="3"/>
        <v>1.364973066</v>
      </c>
      <c r="AF56" s="124">
        <f t="shared" si="4"/>
        <v>1.208214254</v>
      </c>
      <c r="AG56" s="124">
        <f t="shared" si="5"/>
        <v>-0.9246499771</v>
      </c>
      <c r="AH56" s="124">
        <f t="shared" si="6"/>
        <v>1.032428721</v>
      </c>
      <c r="AI56" s="124">
        <f t="shared" si="7"/>
        <v>-0.1440249305</v>
      </c>
      <c r="AJ56" s="124">
        <f t="shared" si="8"/>
        <v>-0.6441330552</v>
      </c>
      <c r="AK56" s="124">
        <f t="shared" si="9"/>
        <v>-0.7343700627</v>
      </c>
      <c r="AL56" s="124">
        <f t="shared" si="10"/>
        <v>1.09697695</v>
      </c>
      <c r="AM56" s="124">
        <f t="shared" si="11"/>
        <v>0</v>
      </c>
      <c r="AN56" s="183">
        <f t="shared" si="12"/>
        <v>-0.9246499771</v>
      </c>
      <c r="AO56" s="183">
        <f t="shared" si="13"/>
        <v>-1.65902004</v>
      </c>
      <c r="AP56" s="183">
        <f t="array" ref="AP56">INDIRECT("Update"&amp;Projections!$AG$17&amp;"!S"&amp;ROW(B37))</f>
        <v>19.70684932</v>
      </c>
      <c r="AQ56" s="183">
        <f t="array" ref="AQ56">INDIRECT("Update"&amp;Projections!$AG$17&amp;"!T"&amp;ROW(B37))</f>
        <v>4.335342466</v>
      </c>
    </row>
    <row r="57">
      <c r="A57" s="40" t="str">
        <f>IF(UpdateHashtag!C55="",ROW(UpdateHashtag!C55),UpdateHashtag!C55)</f>
        <v>Darius Garland</v>
      </c>
      <c r="B57" s="41">
        <f>IF(TYPE($A57)=1,"",(UpdateHashtag!M55-B$1)/B$2)</f>
        <v>0.326503047</v>
      </c>
      <c r="C57" s="41">
        <f>IF(TYPE($A57)=1,"",(UpdateHashtag!L55-C$1)/C$2)</f>
        <v>0.5468832679</v>
      </c>
      <c r="D57" s="41">
        <f>IF(TYPE($A57)=1,"",(UpdateHashtag!N55-D$1)/D$2)</f>
        <v>-1.365142704</v>
      </c>
      <c r="E57" s="41">
        <f>IF(TYPE($A57)=1,"",(UpdateHashtag!O55-E$1)/E$2)</f>
        <v>1.392691122</v>
      </c>
      <c r="F57" s="41">
        <f>IF(TYPE($A57)=1,"",(UpdateHashtag!P55-F$1)/F$2)</f>
        <v>0.741062197</v>
      </c>
      <c r="G57" s="41">
        <f>IF(TYPE($A57)=1,"",(UpdateHashtag!Q55-G$1)/G$2)</f>
        <v>-1.156992888</v>
      </c>
      <c r="H57" s="41">
        <f>IF(TYPE($A57)=1,"",(UpdateHashtag!I55-H$1)/H$2*I57/$I$1)</f>
        <v>-0.7420094206</v>
      </c>
      <c r="I57" s="41">
        <f>UpdateHashtag!S55</f>
        <v>15.1</v>
      </c>
      <c r="J57" s="53">
        <f>IF(TYPE($A57)=1,"",(UpdateHashtag!K55-J$1)/J$2*K57/$K$1)</f>
        <v>0.7344971246</v>
      </c>
      <c r="K57" s="55">
        <f>UpdateHashtag!T55</f>
        <v>3.8</v>
      </c>
      <c r="L57" s="41">
        <f>IF(TYPE($A57)=1,"",-(UpdateHashtag!R55-L$1)/L$2)</f>
        <v>-1.142040391</v>
      </c>
      <c r="N57" s="112">
        <v>37.0</v>
      </c>
      <c r="O57" s="170">
        <f t="array" ref="O57">INDIRECT("Update"&amp;Projections!$AG$17&amp;"!B"&amp;ROW(B38))</f>
        <v>103.3</v>
      </c>
      <c r="P57" s="172" t="str">
        <f t="array" ref="P57">INDIRECT("Update"&amp;Projections!$AG$17&amp;"!C"&amp;ROW(B38))</f>
        <v>Kristaps Porzingis</v>
      </c>
      <c r="Q57" s="170">
        <f>UpdateHashtag!F95</f>
        <v>68</v>
      </c>
      <c r="R57" s="177" t="str">
        <f>IF(UpdateHashtag!D95="",ROW(UpdateHashtag!D95),UpdateHashtag!D95)</f>
        <v>C</v>
      </c>
      <c r="S57" s="124">
        <f t="shared" si="1"/>
        <v>1.96483111</v>
      </c>
      <c r="T57" s="124">
        <f>SUM(AE57:AM57)-IFERROR(IFS(Projections!$I$17,AN57,Projections!$J$17,AO57),"")</f>
        <v>1.885600818</v>
      </c>
      <c r="U57" s="124">
        <f t="shared" si="2"/>
        <v>-0.07923029197</v>
      </c>
      <c r="V57" s="124">
        <f t="array" ref="V57">INDIRECT("Update"&amp;Projections!$AG$17&amp;"!M"&amp;ROW(B38))</f>
        <v>18.43694444</v>
      </c>
      <c r="W57" s="124">
        <f t="array" ref="W57">INDIRECT("Update"&amp;Projections!$AG$17&amp;"!L"&amp;ROW(B38))</f>
        <v>1.805277778</v>
      </c>
      <c r="X57" s="124">
        <f t="array" ref="X57">INDIRECT("Update"&amp;Projections!$AG$17&amp;"!N"&amp;ROW(B38))</f>
        <v>6.802777778</v>
      </c>
      <c r="Y57" s="124">
        <f t="array" ref="Y57">INDIRECT("Update"&amp;Projections!$AG$17&amp;"!O"&amp;ROW(B38))</f>
        <v>1.943611111</v>
      </c>
      <c r="Z57" s="124">
        <f t="array" ref="Z57">INDIRECT("Update"&amp;Projections!$AG$17&amp;"!P"&amp;ROW(B38))</f>
        <v>0.7430555556</v>
      </c>
      <c r="AA57" s="124">
        <f t="array" ref="AA57">INDIRECT("Update"&amp;Projections!$AG$17&amp;"!Q"&amp;ROW(B38))</f>
        <v>1.783333333</v>
      </c>
      <c r="AB57" s="180">
        <f t="array" ref="AB57">INDIRECT("Update"&amp;Projections!$AG$17&amp;"!I"&amp;ROW(B38))</f>
        <v>0.5063670087</v>
      </c>
      <c r="AC57" s="180">
        <f t="array" ref="AC57">INDIRECT("Update"&amp;Projections!$AG$17&amp;"!K"&amp;ROW(B38))</f>
        <v>0.8670216262</v>
      </c>
      <c r="AD57" s="124">
        <f t="array" ref="AD57">INDIRECT("Update"&amp;Projections!$AG$17&amp;"!R"&amp;ROW(B38))</f>
        <v>1.429166667</v>
      </c>
      <c r="AE57" s="124">
        <f t="shared" si="3"/>
        <v>0.1709324157</v>
      </c>
      <c r="AF57" s="124">
        <f t="shared" si="4"/>
        <v>0.05615417696</v>
      </c>
      <c r="AG57" s="124">
        <f t="shared" si="5"/>
        <v>0.2819553113</v>
      </c>
      <c r="AH57" s="124">
        <f t="shared" si="6"/>
        <v>-0.9036092854</v>
      </c>
      <c r="AI57" s="124">
        <f t="shared" si="7"/>
        <v>-0.770653222</v>
      </c>
      <c r="AJ57" s="124">
        <f t="shared" si="8"/>
        <v>1.845480948</v>
      </c>
      <c r="AK57" s="124">
        <f t="shared" si="9"/>
        <v>0.1358380101</v>
      </c>
      <c r="AL57" s="124">
        <f t="shared" si="10"/>
        <v>1.069502464</v>
      </c>
      <c r="AM57" s="124">
        <f t="shared" si="11"/>
        <v>0</v>
      </c>
      <c r="AN57" s="183">
        <f t="shared" si="12"/>
        <v>-0.9036092854</v>
      </c>
      <c r="AO57" s="183">
        <f t="shared" si="13"/>
        <v>-1.674262507</v>
      </c>
      <c r="AP57" s="183">
        <f t="array" ref="AP57">INDIRECT("Update"&amp;Projections!$AG$17&amp;"!S"&amp;ROW(B38))</f>
        <v>12.80472222</v>
      </c>
      <c r="AQ57" s="183">
        <f t="array" ref="AQ57">INDIRECT("Update"&amp;Projections!$AG$17&amp;"!T"&amp;ROW(B38))</f>
        <v>4.225833333</v>
      </c>
    </row>
    <row r="58">
      <c r="A58" s="40" t="str">
        <f>IF(UpdateHashtag!C56="",ROW(UpdateHashtag!C56),UpdateHashtag!C56)</f>
        <v>Jaylen Brown</v>
      </c>
      <c r="B58" s="41">
        <f>IF(TYPE($A58)=1,"",(UpdateHashtag!M56-B$1)/B$2)</f>
        <v>1.245806805</v>
      </c>
      <c r="C58" s="41">
        <f>IF(TYPE($A58)=1,"",(UpdateHashtag!L56-C$1)/C$2)</f>
        <v>0.447690414</v>
      </c>
      <c r="D58" s="41">
        <f>IF(TYPE($A58)=1,"",(UpdateHashtag!N56-D$1)/D$2)</f>
        <v>0.006531783272</v>
      </c>
      <c r="E58" s="41">
        <f>IF(TYPE($A58)=1,"",(UpdateHashtag!O56-E$1)/E$2)</f>
        <v>-0.1967933108</v>
      </c>
      <c r="F58" s="41">
        <f>IF(TYPE($A58)=1,"",(UpdateHashtag!P56-F$1)/F$2)</f>
        <v>0.410230859</v>
      </c>
      <c r="G58" s="41">
        <f>IF(TYPE($A58)=1,"",(UpdateHashtag!Q56-G$1)/G$2)</f>
        <v>-0.4435337589</v>
      </c>
      <c r="H58" s="41">
        <f>IF(TYPE($A58)=1,"",(UpdateHashtag!I56-H$1)/H$2*I58/$I$1)</f>
        <v>-0.0496514878</v>
      </c>
      <c r="I58" s="41">
        <f>UpdateHashtag!S56</f>
        <v>19</v>
      </c>
      <c r="J58" s="53">
        <f>IF(TYPE($A58)=1,"",(UpdateHashtag!K56-J$1)/J$2*K58/$K$1)</f>
        <v>-0.9369619617</v>
      </c>
      <c r="K58" s="55">
        <f>UpdateHashtag!T56</f>
        <v>4.6</v>
      </c>
      <c r="L58" s="41">
        <f>IF(TYPE($A58)=1,"",-(UpdateHashtag!R56-L$1)/L$2)</f>
        <v>-0.8444618296</v>
      </c>
      <c r="N58" s="5">
        <v>38.0</v>
      </c>
      <c r="O58" s="170">
        <f t="array" ref="O58">INDIRECT("Update"&amp;Projections!$AG$17&amp;"!B"&amp;ROW(B39))</f>
        <v>46</v>
      </c>
      <c r="P58" s="172" t="str">
        <f t="array" ref="P58">INDIRECT("Update"&amp;Projections!$AG$17&amp;"!C"&amp;ROW(B39))</f>
        <v>Jimmy Butler</v>
      </c>
      <c r="Q58" s="170">
        <f>UpdateHashtag!F99</f>
        <v>63</v>
      </c>
      <c r="R58" s="177" t="str">
        <f>IF(UpdateHashtag!D99="",ROW(UpdateHashtag!D99),UpdateHashtag!D99)</f>
        <v>PF,C</v>
      </c>
      <c r="S58" s="124">
        <f t="shared" si="1"/>
        <v>1.768704417</v>
      </c>
      <c r="T58" s="124">
        <f>SUM(AE58:AM58)-IFERROR(IFS(Projections!$I$17,AN58,Projections!$J$17,AO58),"")</f>
        <v>1.727243972</v>
      </c>
      <c r="U58" s="124">
        <f t="shared" si="2"/>
        <v>-0.04146044474</v>
      </c>
      <c r="V58" s="124">
        <f t="array" ref="V58">INDIRECT("Update"&amp;Projections!$AG$17&amp;"!M"&amp;ROW(B39))</f>
        <v>19.37639344</v>
      </c>
      <c r="W58" s="124">
        <f t="array" ref="W58">INDIRECT("Update"&amp;Projections!$AG$17&amp;"!L"&amp;ROW(B39))</f>
        <v>0.8672131148</v>
      </c>
      <c r="X58" s="124">
        <f t="array" ref="X58">INDIRECT("Update"&amp;Projections!$AG$17&amp;"!N"&amp;ROW(B39))</f>
        <v>5.153114754</v>
      </c>
      <c r="Y58" s="124">
        <f t="array" ref="Y58">INDIRECT("Update"&amp;Projections!$AG$17&amp;"!O"&amp;ROW(B39))</f>
        <v>5.274098361</v>
      </c>
      <c r="Z58" s="124">
        <f t="array" ref="Z58">INDIRECT("Update"&amp;Projections!$AG$17&amp;"!P"&amp;ROW(B39))</f>
        <v>1.440983607</v>
      </c>
      <c r="AA58" s="124">
        <f t="array" ref="AA58">INDIRECT("Update"&amp;Projections!$AG$17&amp;"!Q"&amp;ROW(B39))</f>
        <v>0.2750819672</v>
      </c>
      <c r="AB58" s="180">
        <f t="array" ref="AB58">INDIRECT("Update"&amp;Projections!$AG$17&amp;"!I"&amp;ROW(B39))</f>
        <v>0.4986563192</v>
      </c>
      <c r="AC58" s="180">
        <f t="array" ref="AC58">INDIRECT("Update"&amp;Projections!$AG$17&amp;"!K"&amp;ROW(B39))</f>
        <v>0.8470101196</v>
      </c>
      <c r="AD58" s="124">
        <f t="array" ref="AD58">INDIRECT("Update"&amp;Projections!$AG$17&amp;"!R"&amp;ROW(B39))</f>
        <v>1.58147541</v>
      </c>
      <c r="AE58" s="124">
        <f t="shared" si="3"/>
        <v>0.3402733953</v>
      </c>
      <c r="AF58" s="124">
        <f t="shared" si="4"/>
        <v>-0.8743389339</v>
      </c>
      <c r="AG58" s="124">
        <f t="shared" si="5"/>
        <v>-0.3645591694</v>
      </c>
      <c r="AH58" s="124">
        <f t="shared" si="6"/>
        <v>0.6088928972</v>
      </c>
      <c r="AI58" s="124">
        <f t="shared" si="7"/>
        <v>1.538311488</v>
      </c>
      <c r="AJ58" s="124">
        <f t="shared" si="8"/>
        <v>-0.8447083186</v>
      </c>
      <c r="AK58" s="124">
        <f t="shared" si="9"/>
        <v>0.02050453994</v>
      </c>
      <c r="AL58" s="124">
        <f t="shared" si="10"/>
        <v>1.302868073</v>
      </c>
      <c r="AM58" s="124">
        <f t="shared" si="11"/>
        <v>0</v>
      </c>
      <c r="AN58" s="183">
        <f t="shared" si="12"/>
        <v>-0.8743389339</v>
      </c>
      <c r="AO58" s="183">
        <f t="shared" si="13"/>
        <v>-1.719047253</v>
      </c>
      <c r="AP58" s="183">
        <f t="array" ref="AP58">INDIRECT("Update"&amp;Projections!$AG$17&amp;"!S"&amp;ROW(B39))</f>
        <v>12.50540984</v>
      </c>
      <c r="AQ58" s="183">
        <f t="array" ref="AQ58">INDIRECT("Update"&amp;Projections!$AG$17&amp;"!T"&amp;ROW(B39))</f>
        <v>7.127868852</v>
      </c>
    </row>
    <row r="59">
      <c r="A59" s="40" t="str">
        <f>IF(UpdateHashtag!C57="",ROW(UpdateHashtag!C57),UpdateHashtag!C57)</f>
        <v>Deandre Ayton</v>
      </c>
      <c r="B59" s="41">
        <f>IF(TYPE($A59)=1,"",(UpdateHashtag!M57-B$1)/B$2)</f>
        <v>-0.08808492213</v>
      </c>
      <c r="C59" s="41">
        <f>IF(TYPE($A59)=1,"",(UpdateHashtag!L57-C$1)/C$2)</f>
        <v>-1.635359518</v>
      </c>
      <c r="D59" s="41">
        <f>IF(TYPE($A59)=1,"",(UpdateHashtag!N57-D$1)/D$2)</f>
        <v>1.652541168</v>
      </c>
      <c r="E59" s="41">
        <f>IF(TYPE($A59)=1,"",(UpdateHashtag!O57-E$1)/E$2)</f>
        <v>-1.014242448</v>
      </c>
      <c r="F59" s="41">
        <f>IF(TYPE($A59)=1,"",(UpdateHashtag!P57-F$1)/F$2)</f>
        <v>-0.5822631548</v>
      </c>
      <c r="G59" s="41">
        <f>IF(TYPE($A59)=1,"",(UpdateHashtag!Q57-G$1)/G$2)</f>
        <v>0.09156058829</v>
      </c>
      <c r="H59" s="41">
        <f>IF(TYPE($A59)=1,"",(UpdateHashtag!I57-H$1)/H$2*I59/$I$1)</f>
        <v>1.140967616</v>
      </c>
      <c r="I59" s="41">
        <f>UpdateHashtag!S57</f>
        <v>13.3</v>
      </c>
      <c r="J59" s="53">
        <f>IF(TYPE($A59)=1,"",(UpdateHashtag!K57-J$1)/J$2*K59/$K$1)</f>
        <v>-0.1371991558</v>
      </c>
      <c r="K59" s="55">
        <f>UpdateHashtag!T57</f>
        <v>2.3</v>
      </c>
      <c r="L59" s="41">
        <f>IF(TYPE($A59)=1,"",-(UpdateHashtag!R57-L$1)/L$2)</f>
        <v>-0.05091899834</v>
      </c>
      <c r="N59" s="112">
        <v>39.0</v>
      </c>
      <c r="O59" s="170">
        <f t="array" ref="O59">INDIRECT("Update"&amp;Projections!$AG$17&amp;"!B"&amp;ROW(B40))</f>
        <v>46.6</v>
      </c>
      <c r="P59" s="172" t="str">
        <f t="array" ref="P59">INDIRECT("Update"&amp;Projections!$AG$17&amp;"!C"&amp;ROW(B40))</f>
        <v>Zion Williamson</v>
      </c>
      <c r="Q59" s="170">
        <f>UpdateHashtag!F98</f>
        <v>69</v>
      </c>
      <c r="R59" s="177" t="str">
        <f>IF(UpdateHashtag!D98="",ROW(UpdateHashtag!D98),UpdateHashtag!D98)</f>
        <v>SG</v>
      </c>
      <c r="S59" s="124">
        <f t="shared" si="1"/>
        <v>1.040968527</v>
      </c>
      <c r="T59" s="124">
        <f>SUM(AE59:AM59)-IFERROR(IFS(Projections!$I$17,AN59,Projections!$J$17,AO59),"")</f>
        <v>1.349369283</v>
      </c>
      <c r="U59" s="124">
        <f t="shared" si="2"/>
        <v>0.3084007563</v>
      </c>
      <c r="V59" s="124">
        <f t="array" ref="V59">INDIRECT("Update"&amp;Projections!$AG$17&amp;"!M"&amp;ROW(B40))</f>
        <v>24.63276923</v>
      </c>
      <c r="W59" s="124">
        <f t="array" ref="W59">INDIRECT("Update"&amp;Projections!$AG$17&amp;"!L"&amp;ROW(B40))</f>
        <v>0.09169230769</v>
      </c>
      <c r="X59" s="124">
        <f t="array" ref="X59">INDIRECT("Update"&amp;Projections!$AG$17&amp;"!N"&amp;ROW(B40))</f>
        <v>6.466</v>
      </c>
      <c r="Y59" s="124">
        <f t="array" ref="Y59">INDIRECT("Update"&amp;Projections!$AG$17&amp;"!O"&amp;ROW(B40))</f>
        <v>5.376923077</v>
      </c>
      <c r="Z59" s="124">
        <f t="array" ref="Z59">INDIRECT("Update"&amp;Projections!$AG$17&amp;"!P"&amp;ROW(B40))</f>
        <v>1.361230769</v>
      </c>
      <c r="AA59" s="124">
        <f t="array" ref="AA59">INDIRECT("Update"&amp;Projections!$AG$17&amp;"!Q"&amp;ROW(B40))</f>
        <v>0.816</v>
      </c>
      <c r="AB59" s="180">
        <f t="array" ref="AB59">INDIRECT("Update"&amp;Projections!$AG$17&amp;"!I"&amp;ROW(B40))</f>
        <v>0.5759092177</v>
      </c>
      <c r="AC59" s="180">
        <f t="array" ref="AC59">INDIRECT("Update"&amp;Projections!$AG$17&amp;"!K"&amp;ROW(B40))</f>
        <v>0.7200072636</v>
      </c>
      <c r="AD59" s="124">
        <f t="array" ref="AD59">INDIRECT("Update"&amp;Projections!$AG$17&amp;"!R"&amp;ROW(B40))</f>
        <v>2.992307692</v>
      </c>
      <c r="AE59" s="124">
        <f t="shared" si="3"/>
        <v>1.287764771</v>
      </c>
      <c r="AF59" s="124">
        <f t="shared" si="4"/>
        <v>-1.643600155</v>
      </c>
      <c r="AG59" s="124">
        <f t="shared" si="5"/>
        <v>0.1499697439</v>
      </c>
      <c r="AH59" s="124">
        <f t="shared" si="6"/>
        <v>0.6555895501</v>
      </c>
      <c r="AI59" s="124">
        <f t="shared" si="7"/>
        <v>1.274464107</v>
      </c>
      <c r="AJ59" s="124">
        <f t="shared" si="8"/>
        <v>0.1200989535</v>
      </c>
      <c r="AK59" s="124">
        <f t="shared" si="9"/>
        <v>1.513364546</v>
      </c>
      <c r="AL59" s="124">
        <f t="shared" si="10"/>
        <v>-2.008282234</v>
      </c>
      <c r="AM59" s="124">
        <f t="shared" si="11"/>
        <v>0</v>
      </c>
      <c r="AN59" s="183">
        <f t="shared" si="12"/>
        <v>-2.008282234</v>
      </c>
      <c r="AO59" s="183">
        <f t="shared" si="13"/>
        <v>-3.651882389</v>
      </c>
      <c r="AP59" s="183">
        <f t="array" ref="AP59">INDIRECT("Update"&amp;Projections!$AG$17&amp;"!S"&amp;ROW(B40))</f>
        <v>16.54</v>
      </c>
      <c r="AQ59" s="183">
        <f t="array" ref="AQ59">INDIRECT("Update"&amp;Projections!$AG$17&amp;"!T"&amp;ROW(B40))</f>
        <v>7.624923077</v>
      </c>
    </row>
    <row r="60">
      <c r="A60" s="40" t="str">
        <f>IF(UpdateHashtag!C58="",ROW(UpdateHashtag!C58),UpdateHashtag!C58)</f>
        <v>Bradley Beal</v>
      </c>
      <c r="B60" s="41">
        <f>IF(TYPE($A60)=1,"",(UpdateHashtag!M58-B$1)/B$2)</f>
        <v>0.2544007915</v>
      </c>
      <c r="C60" s="41">
        <f>IF(TYPE($A60)=1,"",(UpdateHashtag!L58-C$1)/C$2)</f>
        <v>0.1501118522</v>
      </c>
      <c r="D60" s="41">
        <f>IF(TYPE($A60)=1,"",(UpdateHashtag!N58-D$1)/D$2)</f>
        <v>-0.8948543083</v>
      </c>
      <c r="E60" s="41">
        <f>IF(TYPE($A60)=1,"",(UpdateHashtag!O58-E$1)/E$2)</f>
        <v>0.1211035759</v>
      </c>
      <c r="F60" s="41">
        <f>IF(TYPE($A60)=1,"",(UpdateHashtag!P58-F$1)/F$2)</f>
        <v>0.0793995211</v>
      </c>
      <c r="G60" s="41">
        <f>IF(TYPE($A60)=1,"",(UpdateHashtag!Q58-G$1)/G$2)</f>
        <v>-0.4435337589</v>
      </c>
      <c r="H60" s="41">
        <f>IF(TYPE($A60)=1,"",(UpdateHashtag!I58-H$1)/H$2*I60/$I$1)</f>
        <v>0.1941285548</v>
      </c>
      <c r="I60" s="41">
        <f>UpdateHashtag!S58</f>
        <v>14.2</v>
      </c>
      <c r="J60" s="53">
        <f>IF(TYPE($A60)=1,"",(UpdateHashtag!K58-J$1)/J$2*K60/$K$1)</f>
        <v>0.2833706741</v>
      </c>
      <c r="K60" s="55">
        <f>UpdateHashtag!T58</f>
        <v>3.1</v>
      </c>
      <c r="L60" s="41">
        <f>IF(TYPE($A60)=1,"",-(UpdateHashtag!R58-L$1)/L$2)</f>
        <v>-0.6460761218</v>
      </c>
      <c r="N60" s="112">
        <v>40.0</v>
      </c>
      <c r="O60" s="170">
        <f t="array" ref="O60">INDIRECT("Update"&amp;Projections!$AG$17&amp;"!B"&amp;ROW(B41))</f>
        <v>44.1</v>
      </c>
      <c r="P60" s="172" t="str">
        <f t="array" ref="P60">INDIRECT("Update"&amp;Projections!$AG$17&amp;"!C"&amp;ROW(B41))</f>
        <v>Desmond Bane</v>
      </c>
      <c r="Q60" s="170">
        <f>UpdateHashtag!F96</f>
        <v>68</v>
      </c>
      <c r="R60" s="177" t="str">
        <f>IF(UpdateHashtag!D96="",ROW(UpdateHashtag!D96),UpdateHashtag!D96)</f>
        <v>SG,SF</v>
      </c>
      <c r="S60" s="124">
        <f t="shared" si="1"/>
        <v>1.472552032</v>
      </c>
      <c r="T60" s="124">
        <f>SUM(AE60:AM60)-IFERROR(IFS(Projections!$I$17,AN60,Projections!$J$17,AO60),"")</f>
        <v>1.583455531</v>
      </c>
      <c r="U60" s="124">
        <f t="shared" si="2"/>
        <v>0.1109034988</v>
      </c>
      <c r="V60" s="124">
        <f t="array" ref="V60">INDIRECT("Update"&amp;Projections!$AG$17&amp;"!M"&amp;ROW(B41))</f>
        <v>21.32273973</v>
      </c>
      <c r="W60" s="124">
        <f t="array" ref="W60">INDIRECT("Update"&amp;Projections!$AG$17&amp;"!L"&amp;ROW(B41))</f>
        <v>2.957671233</v>
      </c>
      <c r="X60" s="124">
        <f t="array" ref="X60">INDIRECT("Update"&amp;Projections!$AG$17&amp;"!N"&amp;ROW(B41))</f>
        <v>4.887534247</v>
      </c>
      <c r="Y60" s="124">
        <f t="array" ref="Y60">INDIRECT("Update"&amp;Projections!$AG$17&amp;"!O"&amp;ROW(B41))</f>
        <v>4.816712329</v>
      </c>
      <c r="Z60" s="124">
        <f t="array" ref="Z60">INDIRECT("Update"&amp;Projections!$AG$17&amp;"!P"&amp;ROW(B41))</f>
        <v>0.9191780822</v>
      </c>
      <c r="AA60" s="124">
        <f t="array" ref="AA60">INDIRECT("Update"&amp;Projections!$AG$17&amp;"!Q"&amp;ROW(B41))</f>
        <v>0.4254794521</v>
      </c>
      <c r="AB60" s="180">
        <f t="array" ref="AB60">INDIRECT("Update"&amp;Projections!$AG$17&amp;"!I"&amp;ROW(B41))</f>
        <v>0.474470924</v>
      </c>
      <c r="AC60" s="180">
        <f t="array" ref="AC60">INDIRECT("Update"&amp;Projections!$AG$17&amp;"!K"&amp;ROW(B41))</f>
        <v>0.8749848772</v>
      </c>
      <c r="AD60" s="124">
        <f t="array" ref="AD60">INDIRECT("Update"&amp;Projections!$AG$17&amp;"!R"&amp;ROW(B41))</f>
        <v>2.195890411</v>
      </c>
      <c r="AE60" s="124">
        <f t="shared" si="3"/>
        <v>0.691113289</v>
      </c>
      <c r="AF60" s="124">
        <f t="shared" si="4"/>
        <v>1.199246133</v>
      </c>
      <c r="AG60" s="124">
        <f t="shared" si="5"/>
        <v>-0.4686420281</v>
      </c>
      <c r="AH60" s="124">
        <f t="shared" si="6"/>
        <v>0.4011763321</v>
      </c>
      <c r="AI60" s="124">
        <f t="shared" si="7"/>
        <v>-0.1879847109</v>
      </c>
      <c r="AJ60" s="124">
        <f t="shared" si="8"/>
        <v>-0.576452172</v>
      </c>
      <c r="AK60" s="124">
        <f t="shared" si="9"/>
        <v>-0.4297271199</v>
      </c>
      <c r="AL60" s="124">
        <f t="shared" si="10"/>
        <v>0.9547258072</v>
      </c>
      <c r="AM60" s="124">
        <f t="shared" si="11"/>
        <v>0</v>
      </c>
      <c r="AN60" s="183">
        <f t="shared" si="12"/>
        <v>-0.576452172</v>
      </c>
      <c r="AO60" s="183">
        <f t="shared" si="13"/>
        <v>-1.0450942</v>
      </c>
      <c r="AP60" s="183">
        <f t="array" ref="AP60">INDIRECT("Update"&amp;Projections!$AG$17&amp;"!S"&amp;ROW(B41))</f>
        <v>16.22109589</v>
      </c>
      <c r="AQ60" s="183">
        <f t="array" ref="AQ60">INDIRECT("Update"&amp;Projections!$AG$17&amp;"!T"&amp;ROW(B41))</f>
        <v>3.396849315</v>
      </c>
    </row>
    <row r="61">
      <c r="A61" s="40" t="str">
        <f>IF(UpdateHashtag!C59="",ROW(UpdateHashtag!C59),UpdateHashtag!C59)</f>
        <v>D'Angelo Russell</v>
      </c>
      <c r="B61" s="41">
        <f>IF(TYPE($A61)=1,"",(UpdateHashtag!M59-B$1)/B$2)</f>
        <v>0.002042897239</v>
      </c>
      <c r="C61" s="41">
        <f>IF(TYPE($A61)=1,"",(UpdateHashtag!L59-C$1)/C$2)</f>
        <v>1.142040391</v>
      </c>
      <c r="D61" s="41">
        <f>IF(TYPE($A61)=1,"",(UpdateHashtag!N59-D$1)/D$2)</f>
        <v>-1.169189206</v>
      </c>
      <c r="E61" s="41">
        <f>IF(TYPE($A61)=1,"",(UpdateHashtag!O59-E$1)/E$2)</f>
        <v>0.9385527129</v>
      </c>
      <c r="F61" s="41">
        <f>IF(TYPE($A61)=1,"",(UpdateHashtag!P59-F$1)/F$2)</f>
        <v>0.0793995211</v>
      </c>
      <c r="G61" s="41">
        <f>IF(TYPE($A61)=1,"",(UpdateHashtag!Q59-G$1)/G$2)</f>
        <v>-0.4435337589</v>
      </c>
      <c r="H61" s="41">
        <f>IF(TYPE($A61)=1,"",(UpdateHashtag!I59-H$1)/H$2*I61/$I$1)</f>
        <v>-0.631980545</v>
      </c>
      <c r="I61" s="41">
        <f>UpdateHashtag!S59</f>
        <v>13.5</v>
      </c>
      <c r="J61" s="53">
        <f>IF(TYPE($A61)=1,"",(UpdateHashtag!K59-J$1)/J$2*K61/$K$1)</f>
        <v>0.3346403131</v>
      </c>
      <c r="K61" s="55">
        <f>UpdateHashtag!T59</f>
        <v>2.8</v>
      </c>
      <c r="L61" s="41">
        <f>IF(TYPE($A61)=1,"",-(UpdateHashtag!R59-L$1)/L$2)</f>
        <v>-0.6460761218</v>
      </c>
      <c r="N61" s="5">
        <v>41.0</v>
      </c>
      <c r="O61" s="170">
        <f t="array" ref="O61">INDIRECT("Update"&amp;Projections!$AG$17&amp;"!B"&amp;ROW(B42))</f>
        <v>53.8</v>
      </c>
      <c r="P61" s="172" t="str">
        <f t="array" ref="P61">INDIRECT("Update"&amp;Projections!$AG$17&amp;"!C"&amp;ROW(B42))</f>
        <v>Immanuel Quickley</v>
      </c>
      <c r="Q61" s="170">
        <f>UpdateHashtag!F97</f>
        <v>65</v>
      </c>
      <c r="R61" s="177" t="str">
        <f>IF(UpdateHashtag!D97="",ROW(UpdateHashtag!D97),UpdateHashtag!D97)</f>
        <v>PG,SG</v>
      </c>
      <c r="S61" s="124">
        <f t="shared" si="1"/>
        <v>1.646127291</v>
      </c>
      <c r="T61" s="124">
        <f>SUM(AE61:AM61)-IFERROR(IFS(Projections!$I$17,AN61,Projections!$J$17,AO61),"")</f>
        <v>1.701561496</v>
      </c>
      <c r="U61" s="124">
        <f t="shared" si="2"/>
        <v>0.05543420547</v>
      </c>
      <c r="V61" s="124">
        <f t="array" ref="V61">INDIRECT("Update"&amp;Projections!$AG$17&amp;"!M"&amp;ROW(B42))</f>
        <v>20.93103896</v>
      </c>
      <c r="W61" s="124">
        <f t="array" ref="W61">INDIRECT("Update"&amp;Projections!$AG$17&amp;"!L"&amp;ROW(B42))</f>
        <v>2.955974026</v>
      </c>
      <c r="X61" s="124">
        <f t="array" ref="X61">INDIRECT("Update"&amp;Projections!$AG$17&amp;"!N"&amp;ROW(B42))</f>
        <v>4.787012987</v>
      </c>
      <c r="Y61" s="124">
        <f t="array" ref="Y61">INDIRECT("Update"&amp;Projections!$AG$17&amp;"!O"&amp;ROW(B42))</f>
        <v>7.07</v>
      </c>
      <c r="Z61" s="124">
        <f t="array" ref="Z61">INDIRECT("Update"&amp;Projections!$AG$17&amp;"!P"&amp;ROW(B42))</f>
        <v>1.045454545</v>
      </c>
      <c r="AA61" s="124">
        <f t="array" ref="AA61">INDIRECT("Update"&amp;Projections!$AG$17&amp;"!Q"&amp;ROW(B42))</f>
        <v>0.2188311688</v>
      </c>
      <c r="AB61" s="180">
        <f t="array" ref="AB61">INDIRECT("Update"&amp;Projections!$AG$17&amp;"!I"&amp;ROW(B42))</f>
        <v>0.434168524</v>
      </c>
      <c r="AC61" s="180">
        <f t="array" ref="AC61">INDIRECT("Update"&amp;Projections!$AG$17&amp;"!K"&amp;ROW(B42))</f>
        <v>0.8440125359</v>
      </c>
      <c r="AD61" s="124">
        <f t="array" ref="AD61">INDIRECT("Update"&amp;Projections!$AG$17&amp;"!R"&amp;ROW(B42))</f>
        <v>1.972207792</v>
      </c>
      <c r="AE61" s="124">
        <f t="shared" si="3"/>
        <v>0.6205070165</v>
      </c>
      <c r="AF61" s="124">
        <f t="shared" si="4"/>
        <v>1.197562625</v>
      </c>
      <c r="AG61" s="124">
        <f t="shared" si="5"/>
        <v>-0.5080370132</v>
      </c>
      <c r="AH61" s="124">
        <f t="shared" si="6"/>
        <v>1.424480811</v>
      </c>
      <c r="AI61" s="124">
        <f t="shared" si="7"/>
        <v>0.2297774005</v>
      </c>
      <c r="AJ61" s="124">
        <f t="shared" si="8"/>
        <v>-0.9450399328</v>
      </c>
      <c r="AK61" s="124">
        <f t="shared" si="9"/>
        <v>-1.167127209</v>
      </c>
      <c r="AL61" s="124">
        <f t="shared" si="10"/>
        <v>0.8494377975</v>
      </c>
      <c r="AM61" s="124">
        <f t="shared" si="11"/>
        <v>0</v>
      </c>
      <c r="AN61" s="183">
        <f t="shared" si="12"/>
        <v>-1.167127209</v>
      </c>
      <c r="AO61" s="183">
        <f t="shared" si="13"/>
        <v>-2.112167141</v>
      </c>
      <c r="AP61" s="183">
        <f t="array" ref="AP61">INDIRECT("Update"&amp;Projections!$AG$17&amp;"!S"&amp;ROW(B42))</f>
        <v>15.9074026</v>
      </c>
      <c r="AQ61" s="183">
        <f t="array" ref="AQ61">INDIRECT("Update"&amp;Projections!$AG$17&amp;"!T"&amp;ROW(B42))</f>
        <v>4.931298701</v>
      </c>
    </row>
    <row r="62">
      <c r="A62" s="40" t="str">
        <f>IF(UpdateHashtag!C60="",ROW(UpdateHashtag!C60),UpdateHashtag!C60)</f>
        <v>Jalen Duren</v>
      </c>
      <c r="B62" s="41">
        <f>IF(TYPE($A62)=1,"",(UpdateHashtag!M60-B$1)/B$2)</f>
        <v>-0.8451586048</v>
      </c>
      <c r="C62" s="41">
        <f>IF(TYPE($A62)=1,"",(UpdateHashtag!L60-C$1)/C$2)</f>
        <v>-1.734552372</v>
      </c>
      <c r="D62" s="41">
        <f>IF(TYPE($A62)=1,"",(UpdateHashtag!N60-D$1)/D$2)</f>
        <v>1.887685366</v>
      </c>
      <c r="E62" s="41">
        <f>IF(TYPE($A62)=1,"",(UpdateHashtag!O60-E$1)/E$2)</f>
        <v>-0.878000925</v>
      </c>
      <c r="F62" s="41">
        <f>IF(TYPE($A62)=1,"",(UpdateHashtag!P60-F$1)/F$2)</f>
        <v>-1.243925831</v>
      </c>
      <c r="G62" s="41">
        <f>IF(TYPE($A62)=1,"",(UpdateHashtag!Q60-G$1)/G$2)</f>
        <v>0.2699253707</v>
      </c>
      <c r="H62" s="41">
        <f>IF(TYPE($A62)=1,"",(UpdateHashtag!I60-H$1)/H$2*I62/$I$1)</f>
        <v>1.292741583</v>
      </c>
      <c r="I62" s="41">
        <f>UpdateHashtag!S60</f>
        <v>8.5</v>
      </c>
      <c r="J62" s="53">
        <f>IF(TYPE($A62)=1,"",(UpdateHashtag!K60-J$1)/J$2*K62/$K$1)</f>
        <v>-0.1326040696</v>
      </c>
      <c r="K62" s="55">
        <f>UpdateHashtag!T60</f>
        <v>2.7</v>
      </c>
      <c r="L62" s="41">
        <f>IF(TYPE($A62)=1,"",-(UpdateHashtag!R60-L$1)/L$2)</f>
        <v>-0.1501118522</v>
      </c>
      <c r="N62" s="112">
        <v>42.0</v>
      </c>
      <c r="O62" s="170">
        <f t="array" ref="O62">INDIRECT("Update"&amp;Projections!$AG$17&amp;"!B"&amp;ROW(B43))</f>
        <v>48.4</v>
      </c>
      <c r="P62" s="172" t="str">
        <f t="array" ref="P62">INDIRECT("Update"&amp;Projections!$AG$17&amp;"!C"&amp;ROW(B43))</f>
        <v>Derrick White</v>
      </c>
      <c r="Q62" s="170">
        <f>UpdateHashtag!F106</f>
        <v>70</v>
      </c>
      <c r="R62" s="177" t="str">
        <f>IF(UpdateHashtag!D106="",ROW(UpdateHashtag!D106),UpdateHashtag!D106)</f>
        <v>C</v>
      </c>
      <c r="S62" s="124">
        <f t="shared" si="1"/>
        <v>1.424257933</v>
      </c>
      <c r="T62" s="124">
        <f>SUM(AE62:AM62)-IFERROR(IFS(Projections!$I$17,AN62,Projections!$J$17,AO62),"")</f>
        <v>1.358554476</v>
      </c>
      <c r="U62" s="124">
        <f t="shared" si="2"/>
        <v>-0.06570345697</v>
      </c>
      <c r="V62" s="124">
        <f t="array" ref="V62">INDIRECT("Update"&amp;Projections!$AG$17&amp;"!M"&amp;ROW(B43))</f>
        <v>15.688</v>
      </c>
      <c r="W62" s="124">
        <f t="array" ref="W62">INDIRECT("Update"&amp;Projections!$AG$17&amp;"!L"&amp;ROW(B43))</f>
        <v>2.864857143</v>
      </c>
      <c r="X62" s="124">
        <f t="array" ref="X62">INDIRECT("Update"&amp;Projections!$AG$17&amp;"!N"&amp;ROW(B43))</f>
        <v>4.312</v>
      </c>
      <c r="Y62" s="124">
        <f t="array" ref="Y62">INDIRECT("Update"&amp;Projections!$AG$17&amp;"!O"&amp;ROW(B43))</f>
        <v>5.39</v>
      </c>
      <c r="Z62" s="124">
        <f t="array" ref="Z62">INDIRECT("Update"&amp;Projections!$AG$17&amp;"!P"&amp;ROW(B43))</f>
        <v>0.9417142857</v>
      </c>
      <c r="AA62" s="124">
        <f t="array" ref="AA62">INDIRECT("Update"&amp;Projections!$AG$17&amp;"!Q"&amp;ROW(B43))</f>
        <v>1.078</v>
      </c>
      <c r="AB62" s="180">
        <f t="array" ref="AB62">INDIRECT("Update"&amp;Projections!$AG$17&amp;"!I"&amp;ROW(B43))</f>
        <v>0.4605479809</v>
      </c>
      <c r="AC62" s="180">
        <f t="array" ref="AC62">INDIRECT("Update"&amp;Projections!$AG$17&amp;"!K"&amp;ROW(B43))</f>
        <v>0.8910332542</v>
      </c>
      <c r="AD62" s="124">
        <f t="array" ref="AD62">INDIRECT("Update"&amp;Projections!$AG$17&amp;"!R"&amp;ROW(B43))</f>
        <v>1.483714286</v>
      </c>
      <c r="AE62" s="124">
        <f t="shared" si="3"/>
        <v>-0.3245803202</v>
      </c>
      <c r="AF62" s="124">
        <f t="shared" si="4"/>
        <v>1.107181188</v>
      </c>
      <c r="AG62" s="124">
        <f t="shared" si="5"/>
        <v>-0.6941979262</v>
      </c>
      <c r="AH62" s="124">
        <f t="shared" si="6"/>
        <v>0.6615282831</v>
      </c>
      <c r="AI62" s="124">
        <f t="shared" si="7"/>
        <v>-0.1134278873</v>
      </c>
      <c r="AJ62" s="124">
        <f t="shared" si="8"/>
        <v>0.5874146833</v>
      </c>
      <c r="AK62" s="124">
        <f t="shared" si="9"/>
        <v>-0.5147930782</v>
      </c>
      <c r="AL62" s="124">
        <f t="shared" si="10"/>
        <v>0.6494295331</v>
      </c>
      <c r="AM62" s="124">
        <f t="shared" si="11"/>
        <v>0</v>
      </c>
      <c r="AN62" s="183">
        <f t="shared" si="12"/>
        <v>-0.6941979262</v>
      </c>
      <c r="AO62" s="183">
        <f t="shared" si="13"/>
        <v>-1.208991004</v>
      </c>
      <c r="AP62" s="183">
        <f t="array" ref="AP62">INDIRECT("Update"&amp;Projections!$AG$17&amp;"!S"&amp;ROW(B43))</f>
        <v>12.05985714</v>
      </c>
      <c r="AQ62" s="183">
        <f t="array" ref="AQ62">INDIRECT("Update"&amp;Projections!$AG$17&amp;"!T"&amp;ROW(B43))</f>
        <v>1.924571429</v>
      </c>
    </row>
    <row r="63">
      <c r="A63" s="40" t="str">
        <f>IF(UpdateHashtag!C61="",ROW(UpdateHashtag!C61),UpdateHashtag!C61)</f>
        <v>Jrue Holiday</v>
      </c>
      <c r="B63" s="41">
        <f>IF(TYPE($A63)=1,"",(UpdateHashtag!M61-B$1)/B$2)</f>
        <v>-0.7189796577</v>
      </c>
      <c r="C63" s="41">
        <f>IF(TYPE($A63)=1,"",(UpdateHashtag!L61-C$1)/C$2)</f>
        <v>0.447690414</v>
      </c>
      <c r="D63" s="41">
        <f>IF(TYPE($A63)=1,"",(UpdateHashtag!N61-D$1)/D$2)</f>
        <v>-0.3069938138</v>
      </c>
      <c r="E63" s="41">
        <f>IF(TYPE($A63)=1,"",(UpdateHashtag!O61-E$1)/E$2)</f>
        <v>0.5298281444</v>
      </c>
      <c r="F63" s="41">
        <f>IF(TYPE($A63)=1,"",(UpdateHashtag!P61-F$1)/F$2)</f>
        <v>0.0793995211</v>
      </c>
      <c r="G63" s="41">
        <f>IF(TYPE($A63)=1,"",(UpdateHashtag!Q61-G$1)/G$2)</f>
        <v>-0.2651689765</v>
      </c>
      <c r="H63" s="41">
        <f>IF(TYPE($A63)=1,"",(UpdateHashtag!I61-H$1)/H$2*I63/$I$1)</f>
        <v>-0.2496315204</v>
      </c>
      <c r="I63" s="41">
        <f>UpdateHashtag!S61</f>
        <v>10.6</v>
      </c>
      <c r="J63" s="53">
        <f>IF(TYPE($A63)=1,"",(UpdateHashtag!K61-J$1)/J$2*K63/$K$1)</f>
        <v>0.2558493399</v>
      </c>
      <c r="K63" s="55">
        <f>UpdateHashtag!T61</f>
        <v>1.4</v>
      </c>
      <c r="L63" s="41">
        <f>IF(TYPE($A63)=1,"",-(UpdateHashtag!R61-L$1)/L$2)</f>
        <v>-0.6460761218</v>
      </c>
      <c r="N63" s="112">
        <v>43.0</v>
      </c>
      <c r="O63" s="170">
        <f t="array" ref="O63">INDIRECT("Update"&amp;Projections!$AG$17&amp;"!B"&amp;ROW(B44))</f>
        <v>27.7</v>
      </c>
      <c r="P63" s="172" t="str">
        <f t="array" ref="P63">INDIRECT("Update"&amp;Projections!$AG$17&amp;"!C"&amp;ROW(B44))</f>
        <v>Alperen Sengün</v>
      </c>
      <c r="Q63" s="170">
        <f>UpdateHashtag!F107</f>
        <v>55</v>
      </c>
      <c r="R63" s="177" t="str">
        <f>IF(UpdateHashtag!D107="",ROW(UpdateHashtag!D107),UpdateHashtag!D107)</f>
        <v>SF,PF</v>
      </c>
      <c r="S63" s="124">
        <f t="shared" si="1"/>
        <v>0.7978128523</v>
      </c>
      <c r="T63" s="124">
        <f>SUM(AE63:AM63)-IFERROR(IFS(Projections!$I$17,AN63,Projections!$J$17,AO63),"")</f>
        <v>1.0198667</v>
      </c>
      <c r="U63" s="124">
        <f t="shared" si="2"/>
        <v>0.2220538474</v>
      </c>
      <c r="V63" s="124">
        <f t="array" ref="V63">INDIRECT("Update"&amp;Projections!$AG$17&amp;"!M"&amp;ROW(B44))</f>
        <v>22.21575342</v>
      </c>
      <c r="W63" s="124">
        <f t="array" ref="W63">INDIRECT("Update"&amp;Projections!$AG$17&amp;"!L"&amp;ROW(B44))</f>
        <v>0.4330136986</v>
      </c>
      <c r="X63" s="124">
        <f t="array" ref="X63">INDIRECT("Update"&amp;Projections!$AG$17&amp;"!N"&amp;ROW(B44))</f>
        <v>9.860136986</v>
      </c>
      <c r="Y63" s="124">
        <f t="array" ref="Y63">INDIRECT("Update"&amp;Projections!$AG$17&amp;"!O"&amp;ROW(B44))</f>
        <v>5.207808219</v>
      </c>
      <c r="Z63" s="124">
        <f t="array" ref="Z63">INDIRECT("Update"&amp;Projections!$AG$17&amp;"!P"&amp;ROW(B44))</f>
        <v>1.180410959</v>
      </c>
      <c r="AA63" s="124">
        <f t="array" ref="AA63">INDIRECT("Update"&amp;Projections!$AG$17&amp;"!Q"&amp;ROW(B44))</f>
        <v>0.8332876712</v>
      </c>
      <c r="AB63" s="180">
        <f t="array" ref="AB63">INDIRECT("Update"&amp;Projections!$AG$17&amp;"!I"&amp;ROW(B44))</f>
        <v>0.5407574959</v>
      </c>
      <c r="AC63" s="180">
        <f t="array" ref="AC63">INDIRECT("Update"&amp;Projections!$AG$17&amp;"!K"&amp;ROW(B44))</f>
        <v>0.6940083726</v>
      </c>
      <c r="AD63" s="124">
        <f t="array" ref="AD63">INDIRECT("Update"&amp;Projections!$AG$17&amp;"!R"&amp;ROW(B44))</f>
        <v>2.644109589</v>
      </c>
      <c r="AE63" s="124">
        <f t="shared" si="3"/>
        <v>0.8520840421</v>
      </c>
      <c r="AF63" s="124">
        <f t="shared" si="4"/>
        <v>-1.305033726</v>
      </c>
      <c r="AG63" s="124">
        <f t="shared" si="5"/>
        <v>1.480155775</v>
      </c>
      <c r="AH63" s="124">
        <f t="shared" si="6"/>
        <v>0.5787879975</v>
      </c>
      <c r="AI63" s="124">
        <f t="shared" si="7"/>
        <v>0.6762555105</v>
      </c>
      <c r="AJ63" s="124">
        <f t="shared" si="8"/>
        <v>0.1509340706</v>
      </c>
      <c r="AK63" s="124">
        <f t="shared" si="9"/>
        <v>0.8152944006</v>
      </c>
      <c r="AL63" s="124">
        <f t="shared" si="10"/>
        <v>-2.22861137</v>
      </c>
      <c r="AM63" s="124">
        <f t="shared" si="11"/>
        <v>0</v>
      </c>
      <c r="AN63" s="183">
        <f t="shared" si="12"/>
        <v>-2.22861137</v>
      </c>
      <c r="AO63" s="183">
        <f t="shared" si="13"/>
        <v>-3.533645097</v>
      </c>
      <c r="AP63" s="183">
        <f t="array" ref="AP63">INDIRECT("Update"&amp;Projections!$AG$17&amp;"!S"&amp;ROW(B44))</f>
        <v>16.10931507</v>
      </c>
      <c r="AQ63" s="183">
        <f t="array" ref="AQ63">INDIRECT("Update"&amp;Projections!$AG$17&amp;"!T"&amp;ROW(B44))</f>
        <v>6.282739726</v>
      </c>
    </row>
    <row r="64">
      <c r="A64" s="40" t="str">
        <f>IF(UpdateHashtag!C62="",ROW(UpdateHashtag!C62),UpdateHashtag!C62)</f>
        <v>Zion Williamson</v>
      </c>
      <c r="B64" s="41">
        <f>IF(TYPE($A64)=1,"",(UpdateHashtag!M62-B$1)/B$2)</f>
        <v>0.9573977826</v>
      </c>
      <c r="C64" s="41">
        <f>IF(TYPE($A64)=1,"",(UpdateHashtag!L62-C$1)/C$2)</f>
        <v>-1.635359518</v>
      </c>
      <c r="D64" s="41">
        <f>IF(TYPE($A64)=1,"",(UpdateHashtag!N62-D$1)/D$2)</f>
        <v>0.04572248291</v>
      </c>
      <c r="E64" s="41">
        <f>IF(TYPE($A64)=1,"",(UpdateHashtag!O62-E$1)/E$2)</f>
        <v>0.4844143034</v>
      </c>
      <c r="F64" s="41">
        <f>IF(TYPE($A64)=1,"",(UpdateHashtag!P62-F$1)/F$2)</f>
        <v>0.410230859</v>
      </c>
      <c r="G64" s="41">
        <f>IF(TYPE($A64)=1,"",(UpdateHashtag!Q62-G$1)/G$2)</f>
        <v>-0.08680419409</v>
      </c>
      <c r="H64" s="41">
        <f>IF(TYPE($A64)=1,"",(UpdateHashtag!I62-H$1)/H$2*I64/$I$1)</f>
        <v>1.356945772</v>
      </c>
      <c r="I64" s="41">
        <f>UpdateHashtag!S62</f>
        <v>15.4</v>
      </c>
      <c r="J64" s="53">
        <f>IF(TYPE($A64)=1,"",(UpdateHashtag!K62-J$1)/J$2*K64/$K$1)</f>
        <v>-2.01986358</v>
      </c>
      <c r="K64" s="55">
        <f>UpdateHashtag!T62</f>
        <v>7.1</v>
      </c>
      <c r="L64" s="41">
        <f>IF(TYPE($A64)=1,"",-(UpdateHashtag!R62-L$1)/L$2)</f>
        <v>-1.241233245</v>
      </c>
      <c r="N64" s="5">
        <v>44.0</v>
      </c>
      <c r="O64" s="170">
        <f t="array" ref="O64">INDIRECT("Update"&amp;Projections!$AG$17&amp;"!B"&amp;ROW(B45))</f>
        <v>32.2</v>
      </c>
      <c r="P64" s="172" t="str">
        <f t="array" ref="P64">INDIRECT("Update"&amp;Projections!$AG$17&amp;"!C"&amp;ROW(B45))</f>
        <v>Bam Adebayo</v>
      </c>
      <c r="Q64" s="170">
        <f>UpdateHashtag!F100</f>
        <v>72</v>
      </c>
      <c r="R64" s="177" t="str">
        <f>IF(UpdateHashtag!D100="",ROW(UpdateHashtag!D100),UpdateHashtag!D100)</f>
        <v>C</v>
      </c>
      <c r="S64" s="124">
        <f t="shared" si="1"/>
        <v>0.9848735326</v>
      </c>
      <c r="T64" s="124">
        <f>SUM(AE64:AM64)-IFERROR(IFS(Projections!$I$17,AN64,Projections!$J$17,AO64),"")</f>
        <v>1.094859837</v>
      </c>
      <c r="U64" s="124">
        <f t="shared" si="2"/>
        <v>0.1099863047</v>
      </c>
      <c r="V64" s="124">
        <f t="array" ref="V64">INDIRECT("Update"&amp;Projections!$AG$17&amp;"!M"&amp;ROW(B45))</f>
        <v>17.94493151</v>
      </c>
      <c r="W64" s="124">
        <f t="array" ref="W64">INDIRECT("Update"&amp;Projections!$AG$17&amp;"!L"&amp;ROW(B45))</f>
        <v>0.8771232877</v>
      </c>
      <c r="X64" s="124">
        <f t="array" ref="X64">INDIRECT("Update"&amp;Projections!$AG$17&amp;"!N"&amp;ROW(B45))</f>
        <v>9.344383562</v>
      </c>
      <c r="Y64" s="124">
        <f t="array" ref="Y64">INDIRECT("Update"&amp;Projections!$AG$17&amp;"!O"&amp;ROW(B45))</f>
        <v>3.893150685</v>
      </c>
      <c r="Z64" s="124">
        <f t="array" ref="Z64">INDIRECT("Update"&amp;Projections!$AG$17&amp;"!P"&amp;ROW(B45))</f>
        <v>1.243013699</v>
      </c>
      <c r="AA64" s="124">
        <f t="array" ref="AA64">INDIRECT("Update"&amp;Projections!$AG$17&amp;"!Q"&amp;ROW(B45))</f>
        <v>0.8901369863</v>
      </c>
      <c r="AB64" s="180">
        <f t="array" ref="AB64">INDIRECT("Update"&amp;Projections!$AG$17&amp;"!I"&amp;ROW(B45))</f>
        <v>0.5157986357</v>
      </c>
      <c r="AC64" s="180">
        <f t="array" ref="AC64">INDIRECT("Update"&amp;Projections!$AG$17&amp;"!K"&amp;ROW(B45))</f>
        <v>0.7400019588</v>
      </c>
      <c r="AD64" s="124">
        <f t="array" ref="AD64">INDIRECT("Update"&amp;Projections!$AG$17&amp;"!R"&amp;ROW(B45))</f>
        <v>2.192191781</v>
      </c>
      <c r="AE64" s="124">
        <f t="shared" si="3"/>
        <v>0.08224431077</v>
      </c>
      <c r="AF64" s="124">
        <f t="shared" si="4"/>
        <v>-0.8645087506</v>
      </c>
      <c r="AG64" s="124">
        <f t="shared" si="5"/>
        <v>1.2780284</v>
      </c>
      <c r="AH64" s="124">
        <f t="shared" si="6"/>
        <v>-0.018248484</v>
      </c>
      <c r="AI64" s="124">
        <f t="shared" si="7"/>
        <v>0.8833649929</v>
      </c>
      <c r="AJ64" s="124">
        <f t="shared" si="8"/>
        <v>0.2523332278</v>
      </c>
      <c r="AK64" s="124">
        <f t="shared" si="9"/>
        <v>0.2920723818</v>
      </c>
      <c r="AL64" s="124">
        <f t="shared" si="10"/>
        <v>-0.8104262413</v>
      </c>
      <c r="AM64" s="124">
        <f t="shared" si="11"/>
        <v>0</v>
      </c>
      <c r="AN64" s="183">
        <f t="shared" si="12"/>
        <v>-0.8645087506</v>
      </c>
      <c r="AO64" s="183">
        <f t="shared" si="13"/>
        <v>-1.674934992</v>
      </c>
      <c r="AP64" s="183">
        <f t="array" ref="AP64">INDIRECT("Update"&amp;Projections!$AG$17&amp;"!S"&amp;ROW(B45))</f>
        <v>13.53506849</v>
      </c>
      <c r="AQ64" s="183">
        <f t="array" ref="AQ64">INDIRECT("Update"&amp;Projections!$AG$17&amp;"!T"&amp;ROW(B45))</f>
        <v>4.196027397</v>
      </c>
    </row>
    <row r="65">
      <c r="A65" s="40" t="str">
        <f>IF(UpdateHashtag!C63="",ROW(UpdateHashtag!C63),UpdateHashtag!C63)</f>
        <v>Pascal Siakam</v>
      </c>
      <c r="B65" s="41">
        <f>IF(TYPE($A65)=1,"",(UpdateHashtag!M63-B$1)/B$2)</f>
        <v>0.6509631967</v>
      </c>
      <c r="C65" s="41">
        <f>IF(TYPE($A65)=1,"",(UpdateHashtag!L63-C$1)/C$2)</f>
        <v>-0.643430979</v>
      </c>
      <c r="D65" s="41">
        <f>IF(TYPE($A65)=1,"",(UpdateHashtag!N63-D$1)/D$2)</f>
        <v>0.5552015781</v>
      </c>
      <c r="E65" s="41">
        <f>IF(TYPE($A65)=1,"",(UpdateHashtag!O63-E$1)/E$2)</f>
        <v>-0.01513794698</v>
      </c>
      <c r="F65" s="41">
        <f>IF(TYPE($A65)=1,"",(UpdateHashtag!P63-F$1)/F$2)</f>
        <v>-0.5822631548</v>
      </c>
      <c r="G65" s="41">
        <f>IF(TYPE($A65)=1,"",(UpdateHashtag!Q63-G$1)/G$2)</f>
        <v>-0.6218985413</v>
      </c>
      <c r="H65" s="41">
        <f>IF(TYPE($A65)=1,"",(UpdateHashtag!I63-H$1)/H$2*I65/$I$1)</f>
        <v>0.7284880558</v>
      </c>
      <c r="I65" s="41">
        <f>UpdateHashtag!S63</f>
        <v>15</v>
      </c>
      <c r="J65" s="53">
        <f>IF(TYPE($A65)=1,"",(UpdateHashtag!K63-J$1)/J$2*K65/$K$1)</f>
        <v>-0.949222551</v>
      </c>
      <c r="K65" s="55">
        <f>UpdateHashtag!T63</f>
        <v>5.1</v>
      </c>
      <c r="L65" s="41">
        <f>IF(TYPE($A65)=1,"",-(UpdateHashtag!R63-L$1)/L$2)</f>
        <v>0.2466595634</v>
      </c>
      <c r="N65" s="112">
        <v>45.0</v>
      </c>
      <c r="O65" s="170">
        <f t="array" ref="O65">INDIRECT("Update"&amp;Projections!$AG$17&amp;"!B"&amp;ROW(B46))</f>
        <v>54.1</v>
      </c>
      <c r="P65" s="172" t="str">
        <f t="array" ref="P65">INDIRECT("Update"&amp;Projections!$AG$17&amp;"!C"&amp;ROW(B46))</f>
        <v>DeMar DeRozan</v>
      </c>
      <c r="Q65" s="170">
        <f>UpdateHashtag!F101</f>
        <v>62</v>
      </c>
      <c r="R65" s="177" t="str">
        <f>IF(UpdateHashtag!D101="",ROW(UpdateHashtag!D101),UpdateHashtag!D101)</f>
        <v>SF</v>
      </c>
      <c r="S65" s="124">
        <f t="shared" si="1"/>
        <v>1.105147831</v>
      </c>
      <c r="T65" s="124">
        <f>SUM(AE65:AM65)-IFERROR(IFS(Projections!$I$17,AN65,Projections!$J$17,AO65),"")</f>
        <v>1.096235503</v>
      </c>
      <c r="U65" s="124">
        <f t="shared" si="2"/>
        <v>-0.008912327563</v>
      </c>
      <c r="V65" s="124">
        <f t="array" ref="V65">INDIRECT("Update"&amp;Projections!$AG$17&amp;"!M"&amp;ROW(B46))</f>
        <v>22.87337662</v>
      </c>
      <c r="W65" s="124">
        <f t="array" ref="W65">INDIRECT("Update"&amp;Projections!$AG$17&amp;"!L"&amp;ROW(B46))</f>
        <v>0.9087012987</v>
      </c>
      <c r="X65" s="124">
        <f t="array" ref="X65">INDIRECT("Update"&amp;Projections!$AG$17&amp;"!N"&amp;ROW(B46))</f>
        <v>4.593376623</v>
      </c>
      <c r="Y65" s="124">
        <f t="array" ref="Y65">INDIRECT("Update"&amp;Projections!$AG$17&amp;"!O"&amp;ROW(B46))</f>
        <v>4.904805195</v>
      </c>
      <c r="Z65" s="124">
        <f t="array" ref="Z65">INDIRECT("Update"&amp;Projections!$AG$17&amp;"!P"&amp;ROW(B46))</f>
        <v>1.08</v>
      </c>
      <c r="AA65" s="124">
        <f t="array" ref="AA65">INDIRECT("Update"&amp;Projections!$AG$17&amp;"!Q"&amp;ROW(B46))</f>
        <v>0.4702597403</v>
      </c>
      <c r="AB65" s="180">
        <f t="array" ref="AB65">INDIRECT("Update"&amp;Projections!$AG$17&amp;"!I"&amp;ROW(B46))</f>
        <v>0.4843079597</v>
      </c>
      <c r="AC65" s="180">
        <f t="array" ref="AC65">INDIRECT("Update"&amp;Projections!$AG$17&amp;"!K"&amp;ROW(B46))</f>
        <v>0.8590049462</v>
      </c>
      <c r="AD65" s="124">
        <f t="array" ref="AD65">INDIRECT("Update"&amp;Projections!$AG$17&amp;"!R"&amp;ROW(B46))</f>
        <v>1.712727273</v>
      </c>
      <c r="AE65" s="124">
        <f t="shared" si="3"/>
        <v>0.9706243321</v>
      </c>
      <c r="AF65" s="124">
        <f t="shared" si="4"/>
        <v>-0.8331856203</v>
      </c>
      <c r="AG65" s="124">
        <f t="shared" si="5"/>
        <v>-0.583924459</v>
      </c>
      <c r="AH65" s="124">
        <f t="shared" si="6"/>
        <v>0.4411826861</v>
      </c>
      <c r="AI65" s="124">
        <f t="shared" si="7"/>
        <v>0.3440645914</v>
      </c>
      <c r="AJ65" s="124">
        <f t="shared" si="8"/>
        <v>-0.4965799084</v>
      </c>
      <c r="AK65" s="124">
        <f t="shared" si="9"/>
        <v>-0.2519122523</v>
      </c>
      <c r="AL65" s="124">
        <f t="shared" si="10"/>
        <v>1.505966134</v>
      </c>
      <c r="AM65" s="124">
        <f t="shared" si="11"/>
        <v>0</v>
      </c>
      <c r="AN65" s="183">
        <f t="shared" si="12"/>
        <v>-0.8331856203</v>
      </c>
      <c r="AO65" s="183">
        <f t="shared" si="13"/>
        <v>-1.417110079</v>
      </c>
      <c r="AP65" s="183">
        <f t="array" ref="AP65">INDIRECT("Update"&amp;Projections!$AG$17&amp;"!S"&amp;ROW(B46))</f>
        <v>16.73857143</v>
      </c>
      <c r="AQ65" s="183">
        <f t="array" ref="AQ65">INDIRECT("Update"&amp;Projections!$AG$17&amp;"!T"&amp;ROW(B46))</f>
        <v>6.695454545</v>
      </c>
    </row>
    <row r="66">
      <c r="A66" s="40" t="str">
        <f>IF(UpdateHashtag!C64="",ROW(UpdateHashtag!C64),UpdateHashtag!C64)</f>
        <v>Zach LaVine</v>
      </c>
      <c r="B66" s="41">
        <f>IF(TYPE($A66)=1,"",(UpdateHashtag!M64-B$1)/B$2)</f>
        <v>0.7410910161</v>
      </c>
      <c r="C66" s="41">
        <f>IF(TYPE($A66)=1,"",(UpdateHashtag!L64-C$1)/C$2)</f>
        <v>0.7452689757</v>
      </c>
      <c r="D66" s="41">
        <f>IF(TYPE($A66)=1,"",(UpdateHashtag!N64-D$1)/D$2)</f>
        <v>-0.6205194109</v>
      </c>
      <c r="E66" s="41">
        <f>IF(TYPE($A66)=1,"",(UpdateHashtag!O64-E$1)/E$2)</f>
        <v>0.03027589397</v>
      </c>
      <c r="F66" s="41">
        <f>IF(TYPE($A66)=1,"",(UpdateHashtag!P64-F$1)/F$2)</f>
        <v>-0.2514318168</v>
      </c>
      <c r="G66" s="41">
        <f>IF(TYPE($A66)=1,"",(UpdateHashtag!Q64-G$1)/G$2)</f>
        <v>-0.8002633236</v>
      </c>
      <c r="H66" s="41">
        <f>IF(TYPE($A66)=1,"",(UpdateHashtag!I64-H$1)/H$2*I66/$I$1)</f>
        <v>-0.725138926</v>
      </c>
      <c r="I66" s="41">
        <f>UpdateHashtag!S64</f>
        <v>16.3</v>
      </c>
      <c r="J66" s="53">
        <f>IF(TYPE($A66)=1,"",(UpdateHashtag!K64-J$1)/J$2*K66/$K$1)</f>
        <v>0.8786170142</v>
      </c>
      <c r="K66" s="55">
        <f>UpdateHashtag!T64</f>
        <v>5</v>
      </c>
      <c r="L66" s="41">
        <f>IF(TYPE($A66)=1,"",-(UpdateHashtag!R64-L$1)/L$2)</f>
        <v>-0.5468832679</v>
      </c>
      <c r="N66" s="112">
        <v>46.0</v>
      </c>
      <c r="O66" s="170">
        <f t="array" ref="O66">INDIRECT("Update"&amp;Projections!$AG$17&amp;"!B"&amp;ROW(B47))</f>
        <v>46.1</v>
      </c>
      <c r="P66" s="172" t="str">
        <f t="array" ref="P66">INDIRECT("Update"&amp;Projections!$AG$17&amp;"!C"&amp;ROW(B47))</f>
        <v>Franz Wagner</v>
      </c>
      <c r="Q66" s="170">
        <f>UpdateHashtag!F102</f>
        <v>72</v>
      </c>
      <c r="R66" s="177" t="str">
        <f>IF(UpdateHashtag!D102="",ROW(UpdateHashtag!D102),UpdateHashtag!D102)</f>
        <v>PG</v>
      </c>
      <c r="S66" s="124">
        <f t="shared" si="1"/>
        <v>0.9021191865</v>
      </c>
      <c r="T66" s="124">
        <f>SUM(AE66:AM66)-IFERROR(IFS(Projections!$I$17,AN66,Projections!$J$17,AO66),"")</f>
        <v>0.8984413509</v>
      </c>
      <c r="U66" s="124">
        <f t="shared" si="2"/>
        <v>-0.003677835605</v>
      </c>
      <c r="V66" s="124">
        <f t="array" ref="V66">INDIRECT("Update"&amp;Projections!$AG$17&amp;"!M"&amp;ROW(B47))</f>
        <v>21.69534247</v>
      </c>
      <c r="W66" s="124">
        <f t="array" ref="W66">INDIRECT("Update"&amp;Projections!$AG$17&amp;"!L"&amp;ROW(B47))</f>
        <v>1.582054795</v>
      </c>
      <c r="X66" s="124">
        <f t="array" ref="X66">INDIRECT("Update"&amp;Projections!$AG$17&amp;"!N"&amp;ROW(B47))</f>
        <v>5.201643836</v>
      </c>
      <c r="Y66" s="124">
        <f t="array" ref="Y66">INDIRECT("Update"&amp;Projections!$AG$17&amp;"!O"&amp;ROW(B47))</f>
        <v>3.467808219</v>
      </c>
      <c r="Z66" s="124">
        <f t="array" ref="Z66">INDIRECT("Update"&amp;Projections!$AG$17&amp;"!P"&amp;ROW(B47))</f>
        <v>1.076027397</v>
      </c>
      <c r="AA66" s="124">
        <f t="array" ref="AA66">INDIRECT("Update"&amp;Projections!$AG$17&amp;"!Q"&amp;ROW(B47))</f>
        <v>0.3978082192</v>
      </c>
      <c r="AB66" s="180">
        <f t="array" ref="AB66">INDIRECT("Update"&amp;Projections!$AG$17&amp;"!I"&amp;ROW(B47))</f>
        <v>0.5151407827</v>
      </c>
      <c r="AC66" s="180">
        <f t="array" ref="AC66">INDIRECT("Update"&amp;Projections!$AG$17&amp;"!K"&amp;ROW(B47))</f>
        <v>0.8430037907</v>
      </c>
      <c r="AD66" s="124">
        <f t="array" ref="AD66">INDIRECT("Update"&amp;Projections!$AG$17&amp;"!R"&amp;ROW(B47))</f>
        <v>1.733835616</v>
      </c>
      <c r="AE66" s="124">
        <f t="shared" si="3"/>
        <v>0.7582770339</v>
      </c>
      <c r="AF66" s="124">
        <f t="shared" si="4"/>
        <v>-0.1652670704</v>
      </c>
      <c r="AG66" s="124">
        <f t="shared" si="5"/>
        <v>-0.3455402826</v>
      </c>
      <c r="AH66" s="124">
        <f t="shared" si="6"/>
        <v>-0.211412835</v>
      </c>
      <c r="AI66" s="124">
        <f t="shared" si="7"/>
        <v>0.3309219758</v>
      </c>
      <c r="AJ66" s="124">
        <f t="shared" si="8"/>
        <v>-0.6258079063</v>
      </c>
      <c r="AK66" s="124">
        <f t="shared" si="9"/>
        <v>0.3220143282</v>
      </c>
      <c r="AL66" s="124">
        <f t="shared" si="10"/>
        <v>0.8352561073</v>
      </c>
      <c r="AM66" s="124">
        <f t="shared" si="11"/>
        <v>0</v>
      </c>
      <c r="AN66" s="183">
        <f t="shared" si="12"/>
        <v>-0.6258079063</v>
      </c>
      <c r="AO66" s="183">
        <f t="shared" si="13"/>
        <v>-0.9713481889</v>
      </c>
      <c r="AP66" s="183">
        <f t="array" ref="AP66">INDIRECT("Update"&amp;Projections!$AG$17&amp;"!S"&amp;ROW(B47))</f>
        <v>15.47123288</v>
      </c>
      <c r="AQ66" s="183">
        <f t="array" ref="AQ66">INDIRECT("Update"&amp;Projections!$AG$17&amp;"!T"&amp;ROW(B47))</f>
        <v>4.950821918</v>
      </c>
    </row>
    <row r="67">
      <c r="A67" s="40" t="str">
        <f>IF(UpdateHashtag!C65="",ROW(UpdateHashtag!C65),UpdateHashtag!C65)</f>
        <v>Jordan Poole</v>
      </c>
      <c r="B67" s="41">
        <f>IF(TYPE($A67)=1,"",(UpdateHashtag!M65-B$1)/B$2)</f>
        <v>0.470707558</v>
      </c>
      <c r="C67" s="41">
        <f>IF(TYPE($A67)=1,"",(UpdateHashtag!L65-C$1)/C$2)</f>
        <v>0.8444618296</v>
      </c>
      <c r="D67" s="41">
        <f>IF(TYPE($A67)=1,"",(UpdateHashtag!N65-D$1)/D$2)</f>
        <v>-1.247570605</v>
      </c>
      <c r="E67" s="41">
        <f>IF(TYPE($A67)=1,"",(UpdateHashtag!O65-E$1)/E$2)</f>
        <v>0.8023111901</v>
      </c>
      <c r="F67" s="41">
        <f>IF(TYPE($A67)=1,"",(UpdateHashtag!P65-F$1)/F$2)</f>
        <v>0.410230859</v>
      </c>
      <c r="G67" s="41">
        <f>IF(TYPE($A67)=1,"",(UpdateHashtag!Q65-G$1)/G$2)</f>
        <v>-0.8002633236</v>
      </c>
      <c r="H67" s="41">
        <f>IF(TYPE($A67)=1,"",(UpdateHashtag!I65-H$1)/H$2*I67/$I$1)</f>
        <v>-1.426641635</v>
      </c>
      <c r="I67" s="41">
        <f>UpdateHashtag!S65</f>
        <v>16.3</v>
      </c>
      <c r="J67" s="53">
        <f>IF(TYPE($A67)=1,"",(UpdateHashtag!K65-J$1)/J$2*K67/$K$1)</f>
        <v>1.121664753</v>
      </c>
      <c r="K67" s="55">
        <f>UpdateHashtag!T65</f>
        <v>4.2</v>
      </c>
      <c r="L67" s="41">
        <f>IF(TYPE($A67)=1,"",-(UpdateHashtag!R65-L$1)/L$2)</f>
        <v>-1.142040391</v>
      </c>
      <c r="N67" s="5">
        <v>47.0</v>
      </c>
      <c r="O67" s="170">
        <f t="array" ref="O67">INDIRECT("Update"&amp;Projections!$AG$17&amp;"!B"&amp;ROW(B48))</f>
        <v>41.4</v>
      </c>
      <c r="P67" s="172" t="str">
        <f t="array" ref="P67">INDIRECT("Update"&amp;Projections!$AG$17&amp;"!C"&amp;ROW(B48))</f>
        <v>Jalen Johnson</v>
      </c>
      <c r="Q67" s="170">
        <f>UpdateHashtag!F103</f>
        <v>74</v>
      </c>
      <c r="R67" s="177" t="str">
        <f>IF(UpdateHashtag!D103="",ROW(UpdateHashtag!D103),UpdateHashtag!D103)</f>
        <v>C</v>
      </c>
      <c r="S67" s="124">
        <f t="shared" si="1"/>
        <v>0.9736096533</v>
      </c>
      <c r="T67" s="124">
        <f>SUM(AE67:AM67)-IFERROR(IFS(Projections!$I$17,AN67,Projections!$J$17,AO67),"")</f>
        <v>1.010116513</v>
      </c>
      <c r="U67" s="124">
        <f t="shared" si="2"/>
        <v>0.03650686017</v>
      </c>
      <c r="V67" s="124">
        <f t="array" ref="V67">INDIRECT("Update"&amp;Projections!$AG$17&amp;"!M"&amp;ROW(B48))</f>
        <v>19.71161765</v>
      </c>
      <c r="W67" s="124">
        <f t="array" ref="W67">INDIRECT("Update"&amp;Projections!$AG$17&amp;"!L"&amp;ROW(B48))</f>
        <v>1.545588235</v>
      </c>
      <c r="X67" s="124">
        <f t="array" ref="X67">INDIRECT("Update"&amp;Projections!$AG$17&amp;"!N"&amp;ROW(B48))</f>
        <v>8.968823529</v>
      </c>
      <c r="Y67" s="124">
        <f t="array" ref="Y67">INDIRECT("Update"&amp;Projections!$AG$17&amp;"!O"&amp;ROW(B48))</f>
        <v>4.375</v>
      </c>
      <c r="Z67" s="124">
        <f t="array" ref="Z67">INDIRECT("Update"&amp;Projections!$AG$17&amp;"!P"&amp;ROW(B48))</f>
        <v>1.093823529</v>
      </c>
      <c r="AA67" s="124">
        <f t="array" ref="AA67">INDIRECT("Update"&amp;Projections!$AG$17&amp;"!Q"&amp;ROW(B48))</f>
        <v>0.8020588235</v>
      </c>
      <c r="AB67" s="180">
        <f t="array" ref="AB67">INDIRECT("Update"&amp;Projections!$AG$17&amp;"!I"&amp;ROW(B48))</f>
        <v>0.4891252998</v>
      </c>
      <c r="AC67" s="180">
        <f t="array" ref="AC67">INDIRECT("Update"&amp;Projections!$AG$17&amp;"!K"&amp;ROW(B48))</f>
        <v>0.7200090847</v>
      </c>
      <c r="AD67" s="124">
        <f t="array" ref="AD67">INDIRECT("Update"&amp;Projections!$AG$17&amp;"!R"&amp;ROW(B48))</f>
        <v>1.895882353</v>
      </c>
      <c r="AE67" s="124">
        <f t="shared" si="3"/>
        <v>0.4006994494</v>
      </c>
      <c r="AF67" s="124">
        <f t="shared" si="4"/>
        <v>-0.201439292</v>
      </c>
      <c r="AG67" s="124">
        <f t="shared" si="5"/>
        <v>1.130843796</v>
      </c>
      <c r="AH67" s="124">
        <f t="shared" si="6"/>
        <v>0.2005777975</v>
      </c>
      <c r="AI67" s="124">
        <f t="shared" si="7"/>
        <v>0.3897971574</v>
      </c>
      <c r="AJ67" s="124">
        <f t="shared" si="8"/>
        <v>0.09523280435</v>
      </c>
      <c r="AK67" s="124">
        <f t="shared" si="9"/>
        <v>-0.1529104259</v>
      </c>
      <c r="AL67" s="124">
        <f t="shared" si="10"/>
        <v>-0.8526847728</v>
      </c>
      <c r="AM67" s="124">
        <f t="shared" si="11"/>
        <v>0</v>
      </c>
      <c r="AN67" s="183">
        <f t="shared" si="12"/>
        <v>-0.8526847728</v>
      </c>
      <c r="AO67" s="183">
        <f t="shared" si="13"/>
        <v>-1.054124065</v>
      </c>
      <c r="AP67" s="183">
        <f t="array" ref="AP67">INDIRECT("Update"&amp;Projections!$AG$17&amp;"!S"&amp;ROW(B48))</f>
        <v>16.18705882</v>
      </c>
      <c r="AQ67" s="183">
        <f t="array" ref="AQ67">INDIRECT("Update"&amp;Projections!$AG$17&amp;"!T"&amp;ROW(B48))</f>
        <v>3.2375</v>
      </c>
    </row>
    <row r="68">
      <c r="A68" s="40" t="str">
        <f>IF(UpdateHashtag!C66="",ROW(UpdateHashtag!C66),UpdateHashtag!C66)</f>
        <v>Nicolas Claxton</v>
      </c>
      <c r="B68" s="41">
        <f>IF(TYPE($A68)=1,"",(UpdateHashtag!M66-B$1)/B$2)</f>
        <v>-0.8992352965</v>
      </c>
      <c r="C68" s="41">
        <f>IF(TYPE($A68)=1,"",(UpdateHashtag!L66-C$1)/C$2)</f>
        <v>-1.734552372</v>
      </c>
      <c r="D68" s="41">
        <f>IF(TYPE($A68)=1,"",(UpdateHashtag!N66-D$1)/D$2)</f>
        <v>1.45658767</v>
      </c>
      <c r="E68" s="41">
        <f>IF(TYPE($A68)=1,"",(UpdateHashtag!O66-E$1)/E$2)</f>
        <v>-0.878000925</v>
      </c>
      <c r="F68" s="41">
        <f>IF(TYPE($A68)=1,"",(UpdateHashtag!P66-F$1)/F$2)</f>
        <v>-0.5822631548</v>
      </c>
      <c r="G68" s="41">
        <f>IF(TYPE($A68)=1,"",(UpdateHashtag!Q66-G$1)/G$2)</f>
        <v>2.588667542</v>
      </c>
      <c r="H68" s="41">
        <f>IF(TYPE($A68)=1,"",(UpdateHashtag!I66-H$1)/H$2*I68/$I$1)</f>
        <v>1.252322496</v>
      </c>
      <c r="I68" s="41">
        <f>UpdateHashtag!S66</f>
        <v>8.7</v>
      </c>
      <c r="J68" s="53">
        <f>IF(TYPE($A68)=1,"",(UpdateHashtag!K66-J$1)/J$2*K68/$K$1)</f>
        <v>-2.529194455</v>
      </c>
      <c r="K68" s="55">
        <f>UpdateHashtag!T66</f>
        <v>3</v>
      </c>
      <c r="L68" s="41">
        <f>IF(TYPE($A68)=1,"",-(UpdateHashtag!R66-L$1)/L$2)</f>
        <v>0.4450452712</v>
      </c>
      <c r="N68" s="112">
        <v>48.0</v>
      </c>
      <c r="O68" s="170">
        <f t="array" ref="O68">INDIRECT("Update"&amp;Projections!$AG$17&amp;"!B"&amp;ROW(B49))</f>
        <v>35.2</v>
      </c>
      <c r="P68" s="172" t="str">
        <f t="array" ref="P68">INDIRECT("Update"&amp;Projections!$AG$17&amp;"!C"&amp;ROW(B49))</f>
        <v>Ja Morant</v>
      </c>
      <c r="Q68" s="170">
        <f>UpdateHashtag!F105</f>
        <v>73</v>
      </c>
      <c r="R68" s="177" t="str">
        <f>IF(UpdateHashtag!D105="",ROW(UpdateHashtag!D105),UpdateHashtag!D105)</f>
        <v>PG</v>
      </c>
      <c r="S68" s="124">
        <f t="shared" si="1"/>
        <v>0.6639316044</v>
      </c>
      <c r="T68" s="124">
        <f>SUM(AE68:AM68)-IFERROR(IFS(Projections!$I$17,AN68,Projections!$J$17,AO68),"")</f>
        <v>1.071755243</v>
      </c>
      <c r="U68" s="124">
        <f t="shared" si="2"/>
        <v>0.407823639</v>
      </c>
      <c r="V68" s="124">
        <f t="array" ref="V68">INDIRECT("Update"&amp;Projections!$AG$17&amp;"!M"&amp;ROW(B49))</f>
        <v>24.52617647</v>
      </c>
      <c r="W68" s="124">
        <f t="array" ref="W68">INDIRECT("Update"&amp;Projections!$AG$17&amp;"!L"&amp;ROW(B49))</f>
        <v>1.453382353</v>
      </c>
      <c r="X68" s="124">
        <f t="array" ref="X68">INDIRECT("Update"&amp;Projections!$AG$17&amp;"!N"&amp;ROW(B49))</f>
        <v>5.614558824</v>
      </c>
      <c r="Y68" s="124">
        <f t="array" ref="Y68">INDIRECT("Update"&amp;Projections!$AG$17&amp;"!O"&amp;ROW(B49))</f>
        <v>8.3125</v>
      </c>
      <c r="Z68" s="124">
        <f t="array" ref="Z68">INDIRECT("Update"&amp;Projections!$AG$17&amp;"!P"&amp;ROW(B49))</f>
        <v>1.020882353</v>
      </c>
      <c r="AA68" s="124">
        <f t="array" ref="AA68">INDIRECT("Update"&amp;Projections!$AG$17&amp;"!Q"&amp;ROW(B49))</f>
        <v>0.3602941176</v>
      </c>
      <c r="AB68" s="180">
        <f t="array" ref="AB68">INDIRECT("Update"&amp;Projections!$AG$17&amp;"!I"&amp;ROW(B49))</f>
        <v>0.4676800162</v>
      </c>
      <c r="AC68" s="180">
        <f t="array" ref="AC68">INDIRECT("Update"&amp;Projections!$AG$17&amp;"!K"&amp;ROW(B49))</f>
        <v>0.7739919185</v>
      </c>
      <c r="AD68" s="124">
        <f t="array" ref="AD68">INDIRECT("Update"&amp;Projections!$AG$17&amp;"!R"&amp;ROW(B49))</f>
        <v>3.393235294</v>
      </c>
      <c r="AE68" s="124">
        <f t="shared" si="3"/>
        <v>1.268550825</v>
      </c>
      <c r="AF68" s="124">
        <f t="shared" si="4"/>
        <v>-0.2929009379</v>
      </c>
      <c r="AG68" s="124">
        <f t="shared" si="5"/>
        <v>-0.1837160099</v>
      </c>
      <c r="AH68" s="124">
        <f t="shared" si="6"/>
        <v>1.988747785</v>
      </c>
      <c r="AI68" s="124">
        <f t="shared" si="7"/>
        <v>0.1484848889</v>
      </c>
      <c r="AJ68" s="124">
        <f t="shared" si="8"/>
        <v>-0.692719852</v>
      </c>
      <c r="AK68" s="124">
        <f t="shared" si="9"/>
        <v>-0.6494751248</v>
      </c>
      <c r="AL68" s="124">
        <f t="shared" si="10"/>
        <v>-0.5152163306</v>
      </c>
      <c r="AM68" s="124">
        <f t="shared" si="11"/>
        <v>0</v>
      </c>
      <c r="AN68" s="183">
        <f t="shared" si="12"/>
        <v>-0.692719852</v>
      </c>
      <c r="AO68" s="183">
        <f t="shared" si="13"/>
        <v>-1.342194977</v>
      </c>
      <c r="AP68" s="183">
        <f t="array" ref="AP68">INDIRECT("Update"&amp;Projections!$AG$17&amp;"!S"&amp;ROW(B49))</f>
        <v>18.88514706</v>
      </c>
      <c r="AQ68" s="183">
        <f t="array" ref="AQ68">INDIRECT("Update"&amp;Projections!$AG$17&amp;"!T"&amp;ROW(B49))</f>
        <v>6.987647059</v>
      </c>
    </row>
    <row r="69">
      <c r="A69" s="40" t="str">
        <f>IF(UpdateHashtag!C67="",ROW(UpdateHashtag!C67),UpdateHashtag!C67)</f>
        <v>Miles Bridges</v>
      </c>
      <c r="B69" s="41">
        <f>IF(TYPE($A69)=1,"",(UpdateHashtag!M67-B$1)/B$2)</f>
        <v>0.4166308663</v>
      </c>
      <c r="C69" s="41">
        <f>IF(TYPE($A69)=1,"",(UpdateHashtag!L67-C$1)/C$2)</f>
        <v>0.447690414</v>
      </c>
      <c r="D69" s="41">
        <f>IF(TYPE($A69)=1,"",(UpdateHashtag!N67-D$1)/D$2)</f>
        <v>0.3200573803</v>
      </c>
      <c r="E69" s="41">
        <f>IF(TYPE($A69)=1,"",(UpdateHashtag!O67-E$1)/E$2)</f>
        <v>-0.3330348336</v>
      </c>
      <c r="F69" s="41">
        <f>IF(TYPE($A69)=1,"",(UpdateHashtag!P67-F$1)/F$2)</f>
        <v>-0.2514318168</v>
      </c>
      <c r="G69" s="41">
        <f>IF(TYPE($A69)=1,"",(UpdateHashtag!Q67-G$1)/G$2)</f>
        <v>-0.4435337589</v>
      </c>
      <c r="H69" s="41">
        <f>IF(TYPE($A69)=1,"",(UpdateHashtag!I67-H$1)/H$2*I69/$I$1)</f>
        <v>-0.6805595979</v>
      </c>
      <c r="I69" s="41">
        <f>UpdateHashtag!S67</f>
        <v>16.6</v>
      </c>
      <c r="J69" s="53">
        <f>IF(TYPE($A69)=1,"",(UpdateHashtag!K67-J$1)/J$2*K69/$K$1)</f>
        <v>0.2956523418</v>
      </c>
      <c r="K69" s="55">
        <f>UpdateHashtag!T67</f>
        <v>2.9</v>
      </c>
      <c r="L69" s="41">
        <f>IF(TYPE($A69)=1,"",-(UpdateHashtag!R67-L$1)/L$2)</f>
        <v>-0.1501118522</v>
      </c>
      <c r="N69" s="112">
        <v>49.0</v>
      </c>
      <c r="O69" s="170">
        <f t="array" ref="O69">INDIRECT("Update"&amp;Projections!$AG$17&amp;"!B"&amp;ROW(B50))</f>
        <v>62.6</v>
      </c>
      <c r="P69" s="172" t="str">
        <f t="array" ref="P69">INDIRECT("Update"&amp;Projections!$AG$17&amp;"!C"&amp;ROW(B50))</f>
        <v>Darius Garland</v>
      </c>
      <c r="Q69" s="170">
        <f>UpdateHashtag!F114</f>
        <v>68</v>
      </c>
      <c r="R69" s="177" t="str">
        <f>IF(UpdateHashtag!D114="",ROW(UpdateHashtag!D114),UpdateHashtag!D114)</f>
        <v>PF</v>
      </c>
      <c r="S69" s="124">
        <f t="shared" si="1"/>
        <v>0.8088117133</v>
      </c>
      <c r="T69" s="124">
        <f>SUM(AE69:AM69)-IFERROR(IFS(Projections!$I$17,AN69,Projections!$J$17,AO69),"")</f>
        <v>1.109273675</v>
      </c>
      <c r="U69" s="124">
        <f t="shared" si="2"/>
        <v>0.3004619619</v>
      </c>
      <c r="V69" s="124">
        <f t="array" ref="V69">INDIRECT("Update"&amp;Projections!$AG$17&amp;"!M"&amp;ROW(B50))</f>
        <v>19.48102941</v>
      </c>
      <c r="W69" s="124">
        <f t="array" ref="W69">INDIRECT("Update"&amp;Projections!$AG$17&amp;"!L"&amp;ROW(B50))</f>
        <v>2.7025</v>
      </c>
      <c r="X69" s="124">
        <f t="array" ref="X69">INDIRECT("Update"&amp;Projections!$AG$17&amp;"!N"&amp;ROW(B50))</f>
        <v>2.805</v>
      </c>
      <c r="Y69" s="124">
        <f t="array" ref="Y69">INDIRECT("Update"&amp;Projections!$AG$17&amp;"!O"&amp;ROW(B50))</f>
        <v>7.503382353</v>
      </c>
      <c r="Z69" s="124">
        <f t="array" ref="Z69">INDIRECT("Update"&amp;Projections!$AG$17&amp;"!P"&amp;ROW(B50))</f>
        <v>1.251176471</v>
      </c>
      <c r="AA69" s="124">
        <f t="array" ref="AA69">INDIRECT("Update"&amp;Projections!$AG$17&amp;"!Q"&amp;ROW(B50))</f>
        <v>0.1410294118</v>
      </c>
      <c r="AB69" s="180">
        <f t="array" ref="AB69">INDIRECT("Update"&amp;Projections!$AG$17&amp;"!I"&amp;ROW(B50))</f>
        <v>0.4490716254</v>
      </c>
      <c r="AC69" s="180">
        <f t="array" ref="AC69">INDIRECT("Update"&amp;Projections!$AG$17&amp;"!K"&amp;ROW(B50))</f>
        <v>0.8449892557</v>
      </c>
      <c r="AD69" s="124">
        <f t="array" ref="AD69">INDIRECT("Update"&amp;Projections!$AG$17&amp;"!R"&amp;ROW(B50))</f>
        <v>2.960294118</v>
      </c>
      <c r="AE69" s="124">
        <f t="shared" si="3"/>
        <v>0.3591346189</v>
      </c>
      <c r="AF69" s="124">
        <f t="shared" si="4"/>
        <v>0.9461345048</v>
      </c>
      <c r="AG69" s="124">
        <f t="shared" si="5"/>
        <v>-1.28480177</v>
      </c>
      <c r="AH69" s="124">
        <f t="shared" si="6"/>
        <v>1.621296384</v>
      </c>
      <c r="AI69" s="124">
        <f t="shared" si="7"/>
        <v>0.9103700007</v>
      </c>
      <c r="AJ69" s="124">
        <f t="shared" si="8"/>
        <v>-1.083810867</v>
      </c>
      <c r="AK69" s="124">
        <f t="shared" si="9"/>
        <v>-0.8880697137</v>
      </c>
      <c r="AL69" s="124">
        <f t="shared" si="10"/>
        <v>0.529020518</v>
      </c>
      <c r="AM69" s="124">
        <f t="shared" si="11"/>
        <v>0</v>
      </c>
      <c r="AN69" s="183">
        <f t="shared" si="12"/>
        <v>-1.28480177</v>
      </c>
      <c r="AO69" s="183">
        <f t="shared" si="13"/>
        <v>-2.368612637</v>
      </c>
      <c r="AP69" s="183">
        <f t="array" ref="AP69">INDIRECT("Update"&amp;Projections!$AG$17&amp;"!S"&amp;ROW(B50))</f>
        <v>15.84838235</v>
      </c>
      <c r="AQ69" s="183">
        <f t="array" ref="AQ69">INDIRECT("Update"&amp;Projections!$AG$17&amp;"!T"&amp;ROW(B50))</f>
        <v>3.011176471</v>
      </c>
    </row>
    <row r="70">
      <c r="A70" s="40" t="str">
        <f>IF(UpdateHashtag!C68="",ROW(UpdateHashtag!C68),UpdateHashtag!C68)</f>
        <v>Tyler Herro</v>
      </c>
      <c r="B70" s="41">
        <f>IF(TYPE($A70)=1,"",(UpdateHashtag!M68-B$1)/B$2)</f>
        <v>0.4887331218</v>
      </c>
      <c r="C70" s="41">
        <f>IF(TYPE($A70)=1,"",(UpdateHashtag!L68-C$1)/C$2)</f>
        <v>1.340426099</v>
      </c>
      <c r="D70" s="41">
        <f>IF(TYPE($A70)=1,"",(UpdateHashtag!N68-D$1)/D$2)</f>
        <v>-0.3069938138</v>
      </c>
      <c r="E70" s="41">
        <f>IF(TYPE($A70)=1,"",(UpdateHashtag!O68-E$1)/E$2)</f>
        <v>0.1665174168</v>
      </c>
      <c r="F70" s="41">
        <f>IF(TYPE($A70)=1,"",(UpdateHashtag!P68-F$1)/F$2)</f>
        <v>-0.9130944927</v>
      </c>
      <c r="G70" s="41">
        <f>IF(TYPE($A70)=1,"",(UpdateHashtag!Q68-G$1)/G$2)</f>
        <v>-0.978628106</v>
      </c>
      <c r="H70" s="41">
        <f>IF(TYPE($A70)=1,"",(UpdateHashtag!I68-H$1)/H$2*I70/$I$1)</f>
        <v>-1.118663606</v>
      </c>
      <c r="I70" s="41">
        <f>UpdateHashtag!S68</f>
        <v>16.8</v>
      </c>
      <c r="J70" s="53">
        <f>IF(TYPE($A70)=1,"",(UpdateHashtag!K68-J$1)/J$2*K70/$K$1)</f>
        <v>1.024598827</v>
      </c>
      <c r="K70" s="55">
        <f>UpdateHashtag!T68</f>
        <v>2.7</v>
      </c>
      <c r="L70" s="41">
        <f>IF(TYPE($A70)=1,"",-(UpdateHashtag!R68-L$1)/L$2)</f>
        <v>-0.5468832679</v>
      </c>
      <c r="N70" s="5">
        <v>50.0</v>
      </c>
      <c r="O70" s="170">
        <f t="array" ref="O70">INDIRECT("Update"&amp;Projections!$AG$17&amp;"!B"&amp;ROW(B51))</f>
        <v>60.8</v>
      </c>
      <c r="P70" s="172" t="str">
        <f t="array" ref="P70">INDIRECT("Update"&amp;Projections!$AG$17&amp;"!C"&amp;ROW(B51))</f>
        <v>Deandre Ayton</v>
      </c>
      <c r="Q70" s="170">
        <f>UpdateHashtag!F104</f>
        <v>74</v>
      </c>
      <c r="R70" s="177" t="str">
        <f>IF(UpdateHashtag!D104="",ROW(UpdateHashtag!D104),UpdateHashtag!D104)</f>
        <v>SG,SF</v>
      </c>
      <c r="S70" s="124">
        <f t="shared" si="1"/>
        <v>0.1702241764</v>
      </c>
      <c r="T70" s="124">
        <f>SUM(AE70:AM70)-IFERROR(IFS(Projections!$I$17,AN70,Projections!$J$17,AO70),"")</f>
        <v>0.1754344676</v>
      </c>
      <c r="U70" s="124">
        <f t="shared" si="2"/>
        <v>0.005210291217</v>
      </c>
      <c r="V70" s="124">
        <f t="array" ref="V70">INDIRECT("Update"&amp;Projections!$AG$17&amp;"!M"&amp;ROW(B51))</f>
        <v>17.24596774</v>
      </c>
      <c r="W70" s="124">
        <f t="array" ref="W70">INDIRECT("Update"&amp;Projections!$AG$17&amp;"!L"&amp;ROW(B51))</f>
        <v>0.05548387097</v>
      </c>
      <c r="X70" s="124">
        <f t="array" ref="X70">INDIRECT("Update"&amp;Projections!$AG$17&amp;"!N"&amp;ROW(B51))</f>
        <v>11.43451613</v>
      </c>
      <c r="Y70" s="124">
        <f t="array" ref="Y70">INDIRECT("Update"&amp;Projections!$AG$17&amp;"!O"&amp;ROW(B51))</f>
        <v>1.701612903</v>
      </c>
      <c r="Z70" s="124">
        <f t="array" ref="Z70">INDIRECT("Update"&amp;Projections!$AG$17&amp;"!P"&amp;ROW(B51))</f>
        <v>0.8167741935</v>
      </c>
      <c r="AA70" s="124">
        <f t="array" ref="AA70">INDIRECT("Update"&amp;Projections!$AG$17&amp;"!Q"&amp;ROW(B51))</f>
        <v>0.7487096774</v>
      </c>
      <c r="AB70" s="180">
        <f t="array" ref="AB70">INDIRECT("Update"&amp;Projections!$AG$17&amp;"!I"&amp;ROW(B51))</f>
        <v>0.5743593318</v>
      </c>
      <c r="AC70" s="180">
        <f t="array" ref="AC70">INDIRECT("Update"&amp;Projections!$AG$17&amp;"!K"&amp;ROW(B51))</f>
        <v>0.8129488804</v>
      </c>
      <c r="AD70" s="124">
        <f t="array" ref="AD70">INDIRECT("Update"&amp;Projections!$AG$17&amp;"!R"&amp;ROW(B51))</f>
        <v>1.769677419</v>
      </c>
      <c r="AE70" s="124">
        <f t="shared" si="3"/>
        <v>-0.04374785005</v>
      </c>
      <c r="AF70" s="124">
        <f t="shared" si="4"/>
        <v>-1.679516337</v>
      </c>
      <c r="AG70" s="124">
        <f t="shared" si="5"/>
        <v>2.097165977</v>
      </c>
      <c r="AH70" s="124">
        <f t="shared" si="6"/>
        <v>-1.013509967</v>
      </c>
      <c r="AI70" s="124">
        <f t="shared" si="7"/>
        <v>-0.526768866</v>
      </c>
      <c r="AJ70" s="124">
        <f t="shared" si="8"/>
        <v>0.00007671600091</v>
      </c>
      <c r="AK70" s="124">
        <f t="shared" si="9"/>
        <v>1.24533558</v>
      </c>
      <c r="AL70" s="124">
        <f t="shared" si="10"/>
        <v>0.09639921449</v>
      </c>
      <c r="AM70" s="124">
        <f t="shared" si="11"/>
        <v>0</v>
      </c>
      <c r="AN70" s="183">
        <f t="shared" si="12"/>
        <v>-1.679516337</v>
      </c>
      <c r="AO70" s="183">
        <f t="shared" si="13"/>
        <v>-2.693026303</v>
      </c>
      <c r="AP70" s="183">
        <f t="array" ref="AP70">INDIRECT("Update"&amp;Projections!$AG$17&amp;"!S"&amp;ROW(B51))</f>
        <v>13.88419355</v>
      </c>
      <c r="AQ70" s="183">
        <f t="array" ref="AQ70">INDIRECT("Update"&amp;Projections!$AG$17&amp;"!T"&amp;ROW(B51))</f>
        <v>1.527096774</v>
      </c>
    </row>
    <row r="71">
      <c r="A71" s="40" t="str">
        <f>IF(UpdateHashtag!C69="",ROW(UpdateHashtag!C69),UpdateHashtag!C69)</f>
        <v>Trey Murphy III</v>
      </c>
      <c r="B71" s="41">
        <f>IF(TYPE($A71)=1,"",(UpdateHashtag!M69-B$1)/B$2)</f>
        <v>-0.4305706357</v>
      </c>
      <c r="C71" s="41">
        <f>IF(TYPE($A71)=1,"",(UpdateHashtag!L69-C$1)/C$2)</f>
        <v>1.142040391</v>
      </c>
      <c r="D71" s="41">
        <f>IF(TYPE($A71)=1,"",(UpdateHashtag!N69-D$1)/D$2)</f>
        <v>-0.6989008101</v>
      </c>
      <c r="E71" s="41">
        <f>IF(TYPE($A71)=1,"",(UpdateHashtag!O69-E$1)/E$2)</f>
        <v>-0.9688286069</v>
      </c>
      <c r="F71" s="41">
        <f>IF(TYPE($A71)=1,"",(UpdateHashtag!P69-F$1)/F$2)</f>
        <v>0.410230859</v>
      </c>
      <c r="G71" s="41">
        <f>IF(TYPE($A71)=1,"",(UpdateHashtag!Q69-G$1)/G$2)</f>
        <v>-0.2651689765</v>
      </c>
      <c r="H71" s="41">
        <f>IF(TYPE($A71)=1,"",(UpdateHashtag!I69-H$1)/H$2*I71/$I$1)</f>
        <v>-0.540536664</v>
      </c>
      <c r="I71" s="41">
        <f>UpdateHashtag!S69</f>
        <v>11</v>
      </c>
      <c r="J71" s="53">
        <f>IF(TYPE($A71)=1,"",(UpdateHashtag!K69-J$1)/J$2*K71/$K$1)</f>
        <v>0.6304261513</v>
      </c>
      <c r="K71" s="55">
        <f>UpdateHashtag!T69</f>
        <v>2.6</v>
      </c>
      <c r="L71" s="41">
        <f>IF(TYPE($A71)=1,"",-(UpdateHashtag!R69-L$1)/L$2)</f>
        <v>1.040202395</v>
      </c>
      <c r="N71" s="112">
        <v>51.0</v>
      </c>
      <c r="O71" s="170">
        <f t="array" ref="O71">INDIRECT("Update"&amp;Projections!$AG$17&amp;"!B"&amp;ROW(B52))</f>
        <v>82.6</v>
      </c>
      <c r="P71" s="172" t="str">
        <f t="array" ref="P71">INDIRECT("Update"&amp;Projections!$AG$17&amp;"!C"&amp;ROW(B52))</f>
        <v>OG Anunoby</v>
      </c>
      <c r="Q71" s="170">
        <f>UpdateHashtag!F109</f>
        <v>69</v>
      </c>
      <c r="R71" s="177" t="str">
        <f>IF(UpdateHashtag!D109="",ROW(UpdateHashtag!D109),UpdateHashtag!D109)</f>
        <v>SG,SF</v>
      </c>
      <c r="S71" s="124">
        <f t="shared" si="1"/>
        <v>0.8113530237</v>
      </c>
      <c r="T71" s="124">
        <f>SUM(AE71:AM71)-IFERROR(IFS(Projections!$I$17,AN71,Projections!$J$17,AO71),"")</f>
        <v>0.7687244085</v>
      </c>
      <c r="U71" s="124">
        <f t="shared" si="2"/>
        <v>-0.04262861518</v>
      </c>
      <c r="V71" s="124">
        <f t="array" ref="V71">INDIRECT("Update"&amp;Projections!$AG$17&amp;"!M"&amp;ROW(B52))</f>
        <v>15.46573529</v>
      </c>
      <c r="W71" s="124">
        <f t="array" ref="W71">INDIRECT("Update"&amp;Projections!$AG$17&amp;"!L"&amp;ROW(B52))</f>
        <v>1.850735294</v>
      </c>
      <c r="X71" s="124">
        <f t="array" ref="X71">INDIRECT("Update"&amp;Projections!$AG$17&amp;"!N"&amp;ROW(B52))</f>
        <v>5.183970588</v>
      </c>
      <c r="Y71" s="124">
        <f t="array" ref="Y71">INDIRECT("Update"&amp;Projections!$AG$17&amp;"!O"&amp;ROW(B52))</f>
        <v>1.872058824</v>
      </c>
      <c r="Z71" s="124">
        <f t="array" ref="Z71">INDIRECT("Update"&amp;Projections!$AG$17&amp;"!P"&amp;ROW(B52))</f>
        <v>1.656029412</v>
      </c>
      <c r="AA71" s="124">
        <f t="array" ref="AA71">INDIRECT("Update"&amp;Projections!$AG$17&amp;"!Q"&amp;ROW(B52))</f>
        <v>0.8639705882</v>
      </c>
      <c r="AB71" s="180">
        <f t="array" ref="AB71">INDIRECT("Update"&amp;Projections!$AG$17&amp;"!I"&amp;ROW(B52))</f>
        <v>0.4973988682</v>
      </c>
      <c r="AC71" s="180">
        <f t="array" ref="AC71">INDIRECT("Update"&amp;Projections!$AG$17&amp;"!K"&amp;ROW(B52))</f>
        <v>0.7740148758</v>
      </c>
      <c r="AD71" s="124">
        <f t="array" ref="AD71">INDIRECT("Update"&amp;Projections!$AG$17&amp;"!R"&amp;ROW(B52))</f>
        <v>1.576764706</v>
      </c>
      <c r="AE71" s="124">
        <f t="shared" si="3"/>
        <v>-0.3646447874</v>
      </c>
      <c r="AF71" s="124">
        <f t="shared" si="4"/>
        <v>0.1012447844</v>
      </c>
      <c r="AG71" s="124">
        <f t="shared" si="5"/>
        <v>-0.3524665521</v>
      </c>
      <c r="AH71" s="124">
        <f t="shared" si="6"/>
        <v>-0.9361039272</v>
      </c>
      <c r="AI71" s="124">
        <f t="shared" si="7"/>
        <v>2.249750402</v>
      </c>
      <c r="AJ71" s="124">
        <f t="shared" si="8"/>
        <v>0.2056615887</v>
      </c>
      <c r="AK71" s="124">
        <f t="shared" si="9"/>
        <v>0.002166934017</v>
      </c>
      <c r="AL71" s="124">
        <f t="shared" si="10"/>
        <v>-0.1368840339</v>
      </c>
      <c r="AM71" s="124">
        <f t="shared" si="11"/>
        <v>0</v>
      </c>
      <c r="AN71" s="183">
        <f t="shared" si="12"/>
        <v>-0.9361039272</v>
      </c>
      <c r="AO71" s="183">
        <f t="shared" si="13"/>
        <v>-1.300748715</v>
      </c>
      <c r="AP71" s="183">
        <f t="array" ref="AP71">INDIRECT("Update"&amp;Projections!$AG$17&amp;"!S"&amp;ROW(B52))</f>
        <v>12.24014706</v>
      </c>
      <c r="AQ71" s="183">
        <f t="array" ref="AQ71">INDIRECT("Update"&amp;Projections!$AG$17&amp;"!T"&amp;ROW(B52))</f>
        <v>1.858529412</v>
      </c>
    </row>
    <row r="72">
      <c r="A72" s="40" t="str">
        <f>IF(UpdateHashtag!C70="",ROW(UpdateHashtag!C70),UpdateHashtag!C70)</f>
        <v>Isaiah Hartenstein</v>
      </c>
      <c r="B72" s="41">
        <f>IF(TYPE($A72)=1,"",(UpdateHashtag!M70-B$1)/B$2)</f>
        <v>-1.584206724</v>
      </c>
      <c r="C72" s="41">
        <f>IF(TYPE($A72)=1,"",(UpdateHashtag!L70-C$1)/C$2)</f>
        <v>-1.635359518</v>
      </c>
      <c r="D72" s="41">
        <f>IF(TYPE($A72)=1,"",(UpdateHashtag!N70-D$1)/D$2)</f>
        <v>1.143062073</v>
      </c>
      <c r="E72" s="41">
        <f>IF(TYPE($A72)=1,"",(UpdateHashtag!O70-E$1)/E$2)</f>
        <v>-0.6963455612</v>
      </c>
      <c r="F72" s="41">
        <f>IF(TYPE($A72)=1,"",(UpdateHashtag!P70-F$1)/F$2)</f>
        <v>0.410230859</v>
      </c>
      <c r="G72" s="41">
        <f>IF(TYPE($A72)=1,"",(UpdateHashtag!Q70-G$1)/G$2)</f>
        <v>0.8050197178</v>
      </c>
      <c r="H72" s="41">
        <f>IF(TYPE($A72)=1,"",(UpdateHashtag!I70-H$1)/H$2*I72/$I$1)</f>
        <v>0.8492761754</v>
      </c>
      <c r="I72" s="41">
        <f>UpdateHashtag!S70</f>
        <v>5.9</v>
      </c>
      <c r="J72" s="53">
        <f>IF(TYPE($A72)=1,"",(UpdateHashtag!K70-J$1)/J$2*K72/$K$1)</f>
        <v>-0.6339743448</v>
      </c>
      <c r="K72" s="55">
        <f>UpdateHashtag!T70</f>
        <v>1.9</v>
      </c>
      <c r="L72" s="41">
        <f>IF(TYPE($A72)=1,"",-(UpdateHashtag!R70-L$1)/L$2)</f>
        <v>0.4450452712</v>
      </c>
      <c r="N72" s="112">
        <v>52.0</v>
      </c>
      <c r="O72" s="170">
        <f t="array" ref="O72">INDIRECT("Update"&amp;Projections!$AG$17&amp;"!B"&amp;ROW(B53))</f>
        <v>72.6</v>
      </c>
      <c r="P72" s="172" t="str">
        <f t="array" ref="P72">INDIRECT("Update"&amp;Projections!$AG$17&amp;"!C"&amp;ROW(B53))</f>
        <v>Bradley Beal</v>
      </c>
      <c r="Q72" s="170">
        <f>UpdateHashtag!F110</f>
        <v>70</v>
      </c>
      <c r="R72" s="177" t="str">
        <f>IF(UpdateHashtag!D110="",ROW(UpdateHashtag!D110),UpdateHashtag!D110)</f>
        <v>C</v>
      </c>
      <c r="S72" s="124">
        <f t="shared" si="1"/>
        <v>0.4610206915</v>
      </c>
      <c r="T72" s="124">
        <f>SUM(AE72:AM72)-IFERROR(IFS(Projections!$I$17,AN72,Projections!$J$17,AO72),"")</f>
        <v>0.5388457515</v>
      </c>
      <c r="U72" s="124">
        <f t="shared" si="2"/>
        <v>0.07782505996</v>
      </c>
      <c r="V72" s="124">
        <f t="array" ref="V72">INDIRECT("Update"&amp;Projections!$AG$17&amp;"!M"&amp;ROW(B53))</f>
        <v>18.40529412</v>
      </c>
      <c r="W72" s="124">
        <f t="array" ref="W72">INDIRECT("Update"&amp;Projections!$AG$17&amp;"!L"&amp;ROW(B53))</f>
        <v>2.250735294</v>
      </c>
      <c r="X72" s="124">
        <f t="array" ref="X72">INDIRECT("Update"&amp;Projections!$AG$17&amp;"!N"&amp;ROW(B53))</f>
        <v>4.606176471</v>
      </c>
      <c r="Y72" s="124">
        <f t="array" ref="Y72">INDIRECT("Update"&amp;Projections!$AG$17&amp;"!O"&amp;ROW(B53))</f>
        <v>4.675</v>
      </c>
      <c r="Z72" s="124">
        <f t="array" ref="Z72">INDIRECT("Update"&amp;Projections!$AG$17&amp;"!P"&amp;ROW(B53))</f>
        <v>1.024705882</v>
      </c>
      <c r="AA72" s="124">
        <f t="array" ref="AA72">INDIRECT("Update"&amp;Projections!$AG$17&amp;"!Q"&amp;ROW(B53))</f>
        <v>0.5523529412</v>
      </c>
      <c r="AB72" s="180">
        <f t="array" ref="AB72">INDIRECT("Update"&amp;Projections!$AG$17&amp;"!I"&amp;ROW(B53))</f>
        <v>0.4904101296</v>
      </c>
      <c r="AC72" s="180">
        <f t="array" ref="AC72">INDIRECT("Update"&amp;Projections!$AG$17&amp;"!K"&amp;ROW(B53))</f>
        <v>0.8500033632</v>
      </c>
      <c r="AD72" s="124">
        <f t="array" ref="AD72">INDIRECT("Update"&amp;Projections!$AG$17&amp;"!R"&amp;ROW(B53))</f>
        <v>2.0625</v>
      </c>
      <c r="AE72" s="124">
        <f t="shared" si="3"/>
        <v>0.1652272671</v>
      </c>
      <c r="AF72" s="124">
        <f t="shared" si="4"/>
        <v>0.4980162</v>
      </c>
      <c r="AG72" s="124">
        <f t="shared" si="5"/>
        <v>-0.578908109</v>
      </c>
      <c r="AH72" s="124">
        <f t="shared" si="6"/>
        <v>0.3368193204</v>
      </c>
      <c r="AI72" s="124">
        <f t="shared" si="7"/>
        <v>0.1611343211</v>
      </c>
      <c r="AJ72" s="124">
        <f t="shared" si="8"/>
        <v>-0.3501545492</v>
      </c>
      <c r="AK72" s="124">
        <f t="shared" si="9"/>
        <v>-0.1159062004</v>
      </c>
      <c r="AL72" s="124">
        <f t="shared" si="10"/>
        <v>0.4226175016</v>
      </c>
      <c r="AM72" s="124">
        <f t="shared" si="11"/>
        <v>0</v>
      </c>
      <c r="AN72" s="183">
        <f t="shared" si="12"/>
        <v>-0.578908109</v>
      </c>
      <c r="AO72" s="183">
        <f t="shared" si="13"/>
        <v>-0.9290626583</v>
      </c>
      <c r="AP72" s="183">
        <f t="array" ref="AP72">INDIRECT("Update"&amp;Projections!$AG$17&amp;"!S"&amp;ROW(B53))</f>
        <v>14.57573529</v>
      </c>
      <c r="AQ72" s="183">
        <f t="array" ref="AQ72">INDIRECT("Update"&amp;Projections!$AG$17&amp;"!T"&amp;ROW(B53))</f>
        <v>2.186323529</v>
      </c>
    </row>
    <row r="73">
      <c r="A73" s="40" t="str">
        <f>IF(UpdateHashtag!C71="",ROW(UpdateHashtag!C71),UpdateHashtag!C71)</f>
        <v>Walker Kessler</v>
      </c>
      <c r="B73" s="41">
        <f>IF(TYPE($A73)=1,"",(UpdateHashtag!M71-B$1)/B$2)</f>
        <v>-1.440002213</v>
      </c>
      <c r="C73" s="41">
        <f>IF(TYPE($A73)=1,"",(UpdateHashtag!L71-C$1)/C$2)</f>
        <v>-1.734552372</v>
      </c>
      <c r="D73" s="41">
        <f>IF(TYPE($A73)=1,"",(UpdateHashtag!N71-D$1)/D$2)</f>
        <v>1.025489974</v>
      </c>
      <c r="E73" s="41">
        <f>IF(TYPE($A73)=1,"",(UpdateHashtag!O71-E$1)/E$2)</f>
        <v>-1.332139334</v>
      </c>
      <c r="F73" s="41">
        <f>IF(TYPE($A73)=1,"",(UpdateHashtag!P71-F$1)/F$2)</f>
        <v>-1.905588506</v>
      </c>
      <c r="G73" s="41">
        <f>IF(TYPE($A73)=1,"",(UpdateHashtag!Q71-G$1)/G$2)</f>
        <v>3.123761889</v>
      </c>
      <c r="H73" s="41">
        <f>IF(TYPE($A73)=1,"",(UpdateHashtag!I71-H$1)/H$2*I73/$I$1)</f>
        <v>1.20729884</v>
      </c>
      <c r="I73" s="41">
        <f>UpdateHashtag!S71</f>
        <v>6.3</v>
      </c>
      <c r="J73" s="53">
        <f>IF(TYPE($A73)=1,"",(UpdateHashtag!K71-J$1)/J$2*K73/$K$1)</f>
        <v>-1.454977129</v>
      </c>
      <c r="K73" s="55">
        <f>UpdateHashtag!T71</f>
        <v>1.9</v>
      </c>
      <c r="L73" s="41">
        <f>IF(TYPE($A73)=1,"",-(UpdateHashtag!R71-L$1)/L$2)</f>
        <v>0.7426238329</v>
      </c>
      <c r="N73" s="5">
        <v>53.0</v>
      </c>
      <c r="O73" s="170">
        <f t="array" ref="O73">INDIRECT("Update"&amp;Projections!$AG$17&amp;"!B"&amp;ROW(B54))</f>
        <v>40.9</v>
      </c>
      <c r="P73" s="172" t="str">
        <f t="array" ref="P73">INDIRECT("Update"&amp;Projections!$AG$17&amp;"!C"&amp;ROW(B54))</f>
        <v>Jaylen Brown</v>
      </c>
      <c r="Q73" s="170">
        <f>UpdateHashtag!F112</f>
        <v>76</v>
      </c>
      <c r="R73" s="177" t="str">
        <f>IF(UpdateHashtag!D112="",ROW(UpdateHashtag!D112),UpdateHashtag!D112)</f>
        <v>PG,SG</v>
      </c>
      <c r="S73" s="124">
        <f t="shared" si="1"/>
        <v>0.2955601474</v>
      </c>
      <c r="T73" s="124">
        <f>SUM(AE73:AM73)-IFERROR(IFS(Projections!$I$17,AN73,Projections!$J$17,AO73),"")</f>
        <v>0.4287115246</v>
      </c>
      <c r="U73" s="124">
        <f t="shared" si="2"/>
        <v>0.1331513772</v>
      </c>
      <c r="V73" s="124">
        <f t="array" ref="V73">INDIRECT("Update"&amp;Projections!$AG$17&amp;"!M"&amp;ROW(B54))</f>
        <v>24.40318182</v>
      </c>
      <c r="W73" s="124">
        <f t="array" ref="W73">INDIRECT("Update"&amp;Projections!$AG$17&amp;"!L"&amp;ROW(B54))</f>
        <v>2.173939394</v>
      </c>
      <c r="X73" s="124">
        <f t="array" ref="X73">INDIRECT("Update"&amp;Projections!$AG$17&amp;"!N"&amp;ROW(B54))</f>
        <v>5.969848485</v>
      </c>
      <c r="Y73" s="124">
        <f t="array" ref="Y73">INDIRECT("Update"&amp;Projections!$AG$17&amp;"!O"&amp;ROW(B54))</f>
        <v>3.331969697</v>
      </c>
      <c r="Z73" s="124">
        <f t="array" ref="Z73">INDIRECT("Update"&amp;Projections!$AG$17&amp;"!P"&amp;ROW(B54))</f>
        <v>1.254393939</v>
      </c>
      <c r="AA73" s="124">
        <f t="array" ref="AA73">INDIRECT("Update"&amp;Projections!$AG$17&amp;"!Q"&amp;ROW(B54))</f>
        <v>0.4154545455</v>
      </c>
      <c r="AB73" s="180">
        <f t="array" ref="AB73">INDIRECT("Update"&amp;Projections!$AG$17&amp;"!I"&amp;ROW(B54))</f>
        <v>0.505456739</v>
      </c>
      <c r="AC73" s="180">
        <f t="array" ref="AC73">INDIRECT("Update"&amp;Projections!$AG$17&amp;"!K"&amp;ROW(B54))</f>
        <v>0.6979940833</v>
      </c>
      <c r="AD73" s="124">
        <f t="array" ref="AD73">INDIRECT("Update"&amp;Projections!$AG$17&amp;"!R"&amp;ROW(B54))</f>
        <v>2.285606061</v>
      </c>
      <c r="AE73" s="124">
        <f t="shared" si="3"/>
        <v>1.246380346</v>
      </c>
      <c r="AF73" s="124">
        <f t="shared" si="4"/>
        <v>0.4218401551</v>
      </c>
      <c r="AG73" s="124">
        <f t="shared" si="5"/>
        <v>-0.04447550604</v>
      </c>
      <c r="AH73" s="124">
        <f t="shared" si="6"/>
        <v>-0.2731023253</v>
      </c>
      <c r="AI73" s="124">
        <f t="shared" si="7"/>
        <v>0.9210143931</v>
      </c>
      <c r="AJ73" s="124">
        <f t="shared" si="8"/>
        <v>-0.5943330748</v>
      </c>
      <c r="AK73" s="124">
        <f t="shared" si="9"/>
        <v>0.1822982899</v>
      </c>
      <c r="AL73" s="124">
        <f t="shared" si="10"/>
        <v>-1.430910753</v>
      </c>
      <c r="AM73" s="124">
        <f t="shared" si="11"/>
        <v>0</v>
      </c>
      <c r="AN73" s="183">
        <f t="shared" si="12"/>
        <v>-1.430910753</v>
      </c>
      <c r="AO73" s="183">
        <f t="shared" si="13"/>
        <v>-2.025243828</v>
      </c>
      <c r="AP73" s="183">
        <f t="array" ref="AP73">INDIRECT("Update"&amp;Projections!$AG$17&amp;"!S"&amp;ROW(B54))</f>
        <v>19.08954545</v>
      </c>
      <c r="AQ73" s="183">
        <f t="array" ref="AQ73">INDIRECT("Update"&amp;Projections!$AG$17&amp;"!T"&amp;ROW(B54))</f>
        <v>4.19969697</v>
      </c>
    </row>
    <row r="74">
      <c r="A74" s="40" t="str">
        <f>IF(UpdateHashtag!C72="",ROW(UpdateHashtag!C72),UpdateHashtag!C72)</f>
        <v>Mikal Bridges</v>
      </c>
      <c r="B74" s="41">
        <f>IF(TYPE($A74)=1,"",(UpdateHashtag!M72-B$1)/B$2)</f>
        <v>-0.2683405609</v>
      </c>
      <c r="C74" s="41">
        <f>IF(TYPE($A74)=1,"",(UpdateHashtag!L72-C$1)/C$2)</f>
        <v>0.6460761218</v>
      </c>
      <c r="D74" s="41">
        <f>IF(TYPE($A74)=1,"",(UpdateHashtag!N72-D$1)/D$2)</f>
        <v>-0.7772822094</v>
      </c>
      <c r="E74" s="41">
        <f>IF(TYPE($A74)=1,"",(UpdateHashtag!O72-E$1)/E$2)</f>
        <v>-0.3330348336</v>
      </c>
      <c r="F74" s="41">
        <f>IF(TYPE($A74)=1,"",(UpdateHashtag!P72-F$1)/F$2)</f>
        <v>0.410230859</v>
      </c>
      <c r="G74" s="41">
        <f>IF(TYPE($A74)=1,"",(UpdateHashtag!Q72-G$1)/G$2)</f>
        <v>-0.08680419409</v>
      </c>
      <c r="H74" s="41">
        <f>IF(TYPE($A74)=1,"",(UpdateHashtag!I72-H$1)/H$2*I74/$I$1)</f>
        <v>-0.6036342989</v>
      </c>
      <c r="I74" s="41">
        <f>UpdateHashtag!S72</f>
        <v>12</v>
      </c>
      <c r="J74" s="53">
        <f>IF(TYPE($A74)=1,"",(UpdateHashtag!K72-J$1)/J$2*K74/$K$1)</f>
        <v>0.35996247</v>
      </c>
      <c r="K74" s="55">
        <f>UpdateHashtag!T72</f>
        <v>3.2</v>
      </c>
      <c r="L74" s="41">
        <f>IF(TYPE($A74)=1,"",-(UpdateHashtag!R72-L$1)/L$2)</f>
        <v>0.1474667095</v>
      </c>
      <c r="N74" s="112">
        <v>54.0</v>
      </c>
      <c r="O74" s="170">
        <f t="array" ref="O74">INDIRECT("Update"&amp;Projections!$AG$17&amp;"!B"&amp;ROW(B55))</f>
        <v>52.7</v>
      </c>
      <c r="P74" s="172" t="str">
        <f t="array" ref="P74">INDIRECT("Update"&amp;Projections!$AG$17&amp;"!C"&amp;ROW(B55))</f>
        <v>Jamal Murray</v>
      </c>
      <c r="Q74" s="170">
        <f>UpdateHashtag!F111</f>
        <v>70</v>
      </c>
      <c r="R74" s="177" t="str">
        <f>IF(UpdateHashtag!D111="",ROW(UpdateHashtag!D111),UpdateHashtag!D111)</f>
        <v>PF,C</v>
      </c>
      <c r="S74" s="124">
        <f t="shared" si="1"/>
        <v>0.4583660559</v>
      </c>
      <c r="T74" s="124">
        <f>SUM(AE74:AM74)-IFERROR(IFS(Projections!$I$17,AN74,Projections!$J$17,AO74),"")</f>
        <v>0.5259436189</v>
      </c>
      <c r="U74" s="124">
        <f t="shared" si="2"/>
        <v>0.06757756302</v>
      </c>
      <c r="V74" s="124">
        <f t="array" ref="V74">INDIRECT("Update"&amp;Projections!$AG$17&amp;"!M"&amp;ROW(B55))</f>
        <v>20.65838235</v>
      </c>
      <c r="W74" s="124">
        <f t="array" ref="W74">INDIRECT("Update"&amp;Projections!$AG$17&amp;"!L"&amp;ROW(B55))</f>
        <v>2.414264706</v>
      </c>
      <c r="X74" s="124">
        <f t="array" ref="X74">INDIRECT("Update"&amp;Projections!$AG$17&amp;"!N"&amp;ROW(B55))</f>
        <v>3.705588235</v>
      </c>
      <c r="Y74" s="124">
        <f t="array" ref="Y74">INDIRECT("Update"&amp;Projections!$AG$17&amp;"!O"&amp;ROW(B55))</f>
        <v>5.726911765</v>
      </c>
      <c r="Z74" s="124">
        <f t="array" ref="Z74">INDIRECT("Update"&amp;Projections!$AG$17&amp;"!P"&amp;ROW(B55))</f>
        <v>1.016911765</v>
      </c>
      <c r="AA74" s="124">
        <f t="array" ref="AA74">INDIRECT("Update"&amp;Projections!$AG$17&amp;"!Q"&amp;ROW(B55))</f>
        <v>0.4716176471</v>
      </c>
      <c r="AB74" s="180">
        <f t="array" ref="AB74">INDIRECT("Update"&amp;Projections!$AG$17&amp;"!I"&amp;ROW(B55))</f>
        <v>0.4609148311</v>
      </c>
      <c r="AC74" s="180">
        <f t="array" ref="AC74">INDIRECT("Update"&amp;Projections!$AG$17&amp;"!K"&amp;ROW(B55))</f>
        <v>0.8399790386</v>
      </c>
      <c r="AD74" s="124">
        <f t="array" ref="AD74">INDIRECT("Update"&amp;Projections!$AG$17&amp;"!R"&amp;ROW(B55))</f>
        <v>2.021176471</v>
      </c>
      <c r="AE74" s="124">
        <f t="shared" si="3"/>
        <v>0.5713591251</v>
      </c>
      <c r="AF74" s="124">
        <f t="shared" si="4"/>
        <v>0.6602256907</v>
      </c>
      <c r="AG74" s="124">
        <f t="shared" si="5"/>
        <v>-0.9318549395</v>
      </c>
      <c r="AH74" s="124">
        <f t="shared" si="6"/>
        <v>0.8145328562</v>
      </c>
      <c r="AI74" s="124">
        <f t="shared" si="7"/>
        <v>0.1353489395</v>
      </c>
      <c r="AJ74" s="124">
        <f t="shared" si="8"/>
        <v>-0.4941578809</v>
      </c>
      <c r="AK74" s="124">
        <f t="shared" si="9"/>
        <v>-0.7175029208</v>
      </c>
      <c r="AL74" s="124">
        <f t="shared" si="10"/>
        <v>0.4879927485</v>
      </c>
      <c r="AM74" s="124">
        <f t="shared" si="11"/>
        <v>0</v>
      </c>
      <c r="AN74" s="183">
        <f t="shared" si="12"/>
        <v>-0.9318549395</v>
      </c>
      <c r="AO74" s="183">
        <f t="shared" si="13"/>
        <v>-1.64935786</v>
      </c>
      <c r="AP74" s="183">
        <f t="array" ref="AP74">INDIRECT("Update"&amp;Projections!$AG$17&amp;"!S"&amp;ROW(B55))</f>
        <v>16.97838235</v>
      </c>
      <c r="AQ74" s="183">
        <f t="array" ref="AQ74">INDIRECT("Update"&amp;Projections!$AG$17&amp;"!T"&amp;ROW(B55))</f>
        <v>3.086911765</v>
      </c>
    </row>
    <row r="75">
      <c r="A75" s="40" t="str">
        <f>IF(UpdateHashtag!C73="",ROW(UpdateHashtag!C73),UpdateHashtag!C73)</f>
        <v>Brandon Ingram</v>
      </c>
      <c r="B75" s="41">
        <f>IF(TYPE($A75)=1,"",(UpdateHashtag!M73-B$1)/B$2)</f>
        <v>0.470707558</v>
      </c>
      <c r="C75" s="41">
        <f>IF(TYPE($A75)=1,"",(UpdateHashtag!L73-C$1)/C$2)</f>
        <v>-0.4450452712</v>
      </c>
      <c r="D75" s="41">
        <f>IF(TYPE($A75)=1,"",(UpdateHashtag!N73-D$1)/D$2)</f>
        <v>-0.502947312</v>
      </c>
      <c r="E75" s="41">
        <f>IF(TYPE($A75)=1,"",(UpdateHashtag!O73-E$1)/E$2)</f>
        <v>0.3027589397</v>
      </c>
      <c r="F75" s="41">
        <f>IF(TYPE($A75)=1,"",(UpdateHashtag!P73-F$1)/F$2)</f>
        <v>-0.5822631548</v>
      </c>
      <c r="G75" s="41">
        <f>IF(TYPE($A75)=1,"",(UpdateHashtag!Q73-G$1)/G$2)</f>
        <v>-0.2651689765</v>
      </c>
      <c r="H75" s="41">
        <f>IF(TYPE($A75)=1,"",(UpdateHashtag!I73-H$1)/H$2*I75/$I$1)</f>
        <v>-0.09337162732</v>
      </c>
      <c r="I75" s="41">
        <f>UpdateHashtag!S73</f>
        <v>15.3</v>
      </c>
      <c r="J75" s="53">
        <f>IF(TYPE($A75)=1,"",(UpdateHashtag!K73-J$1)/J$2*K75/$K$1)</f>
        <v>0.2810239482</v>
      </c>
      <c r="K75" s="55">
        <f>UpdateHashtag!T73</f>
        <v>4.7</v>
      </c>
      <c r="L75" s="41">
        <f>IF(TYPE($A75)=1,"",-(UpdateHashtag!R73-L$1)/L$2)</f>
        <v>-0.5468832679</v>
      </c>
      <c r="N75" s="112">
        <v>55.0</v>
      </c>
      <c r="O75" s="170">
        <f t="array" ref="O75">INDIRECT("Update"&amp;Projections!$AG$17&amp;"!B"&amp;ROW(B56))</f>
        <v>63</v>
      </c>
      <c r="P75" s="172" t="str">
        <f t="array" ref="P75">INDIRECT("Update"&amp;Projections!$AG$17&amp;"!C"&amp;ROW(B56))</f>
        <v>Brandon Miller</v>
      </c>
      <c r="Q75" s="170">
        <f>UpdateHashtag!F113</f>
        <v>77</v>
      </c>
      <c r="R75" s="177" t="str">
        <f>IF(UpdateHashtag!D113="",ROW(UpdateHashtag!D113),UpdateHashtag!D113)</f>
        <v>PF,C</v>
      </c>
      <c r="S75" s="124">
        <f t="shared" si="1"/>
        <v>0.5262078277</v>
      </c>
      <c r="T75" s="124">
        <f>SUM(AE75:AM75)-IFERROR(IFS(Projections!$I$17,AN75,Projections!$J$17,AO75),"")</f>
        <v>0.5448823545</v>
      </c>
      <c r="U75" s="124">
        <f t="shared" si="2"/>
        <v>0.01867452685</v>
      </c>
      <c r="V75" s="124">
        <f t="array" ref="V75">INDIRECT("Update"&amp;Projections!$AG$17&amp;"!M"&amp;ROW(B56))</f>
        <v>20.16657534</v>
      </c>
      <c r="W75" s="124">
        <f t="array" ref="W75">INDIRECT("Update"&amp;Projections!$AG$17&amp;"!L"&amp;ROW(B56))</f>
        <v>2.994383562</v>
      </c>
      <c r="X75" s="124">
        <f t="array" ref="X75">INDIRECT("Update"&amp;Projections!$AG$17&amp;"!N"&amp;ROW(B56))</f>
        <v>4.888219178</v>
      </c>
      <c r="Y75" s="124">
        <f t="array" ref="Y75">INDIRECT("Update"&amp;Projections!$AG$17&amp;"!O"&amp;ROW(B56))</f>
        <v>2.772465753</v>
      </c>
      <c r="Z75" s="124">
        <f t="array" ref="Z75">INDIRECT("Update"&amp;Projections!$AG$17&amp;"!P"&amp;ROW(B56))</f>
        <v>1.10109589</v>
      </c>
      <c r="AA75" s="124">
        <f t="array" ref="AA75">INDIRECT("Update"&amp;Projections!$AG$17&amp;"!Q"&amp;ROW(B56))</f>
        <v>0.6538356164</v>
      </c>
      <c r="AB75" s="180">
        <f t="array" ref="AB75">INDIRECT("Update"&amp;Projections!$AG$17&amp;"!I"&amp;ROW(B56))</f>
        <v>0.4534641689</v>
      </c>
      <c r="AC75" s="180">
        <f t="array" ref="AC75">INDIRECT("Update"&amp;Projections!$AG$17&amp;"!K"&amp;ROW(B56))</f>
        <v>0.8320067966</v>
      </c>
      <c r="AD75" s="124">
        <f t="array" ref="AD75">INDIRECT("Update"&amp;Projections!$AG$17&amp;"!R"&amp;ROW(B56))</f>
        <v>1.823972603</v>
      </c>
      <c r="AE75" s="124">
        <f t="shared" si="3"/>
        <v>0.4827081384</v>
      </c>
      <c r="AF75" s="124">
        <f t="shared" si="4"/>
        <v>1.23566214</v>
      </c>
      <c r="AG75" s="124">
        <f t="shared" si="5"/>
        <v>-0.4683735989</v>
      </c>
      <c r="AH75" s="124">
        <f t="shared" si="6"/>
        <v>-0.5271945565</v>
      </c>
      <c r="AI75" s="124">
        <f t="shared" si="7"/>
        <v>0.4138564066</v>
      </c>
      <c r="AJ75" s="124">
        <f t="shared" si="8"/>
        <v>-0.1691451964</v>
      </c>
      <c r="AK75" s="124">
        <f t="shared" si="9"/>
        <v>-0.8211313048</v>
      </c>
      <c r="AL75" s="124">
        <f t="shared" si="10"/>
        <v>0.3985003261</v>
      </c>
      <c r="AM75" s="124">
        <f t="shared" si="11"/>
        <v>0</v>
      </c>
      <c r="AN75" s="183">
        <f t="shared" si="12"/>
        <v>-0.8211313048</v>
      </c>
      <c r="AO75" s="183">
        <f t="shared" si="13"/>
        <v>-1.348325861</v>
      </c>
      <c r="AP75" s="183">
        <f t="array" ref="AP75">INDIRECT("Update"&amp;Projections!$AG$17&amp;"!S"&amp;ROW(B56))</f>
        <v>16.1239726</v>
      </c>
      <c r="AQ75" s="183">
        <f t="array" ref="AQ75">INDIRECT("Update"&amp;Projections!$AG$17&amp;"!T"&amp;ROW(B56))</f>
        <v>3.063561644</v>
      </c>
    </row>
    <row r="76">
      <c r="A76" s="40" t="str">
        <f>IF(UpdateHashtag!C74="",ROW(UpdateHashtag!C74),UpdateHashtag!C74)</f>
        <v>Devin Vassell</v>
      </c>
      <c r="B76" s="41">
        <f>IF(TYPE($A76)=1,"",(UpdateHashtag!M74-B$1)/B$2)</f>
        <v>0.3445286108</v>
      </c>
      <c r="C76" s="41">
        <f>IF(TYPE($A76)=1,"",(UpdateHashtag!L74-C$1)/C$2)</f>
        <v>0.8444618296</v>
      </c>
      <c r="D76" s="41">
        <f>IF(TYPE($A76)=1,"",(UpdateHashtag!N74-D$1)/D$2)</f>
        <v>-0.8556636087</v>
      </c>
      <c r="E76" s="41">
        <f>IF(TYPE($A76)=1,"",(UpdateHashtag!O74-E$1)/E$2)</f>
        <v>0.03027589397</v>
      </c>
      <c r="F76" s="41">
        <f>IF(TYPE($A76)=1,"",(UpdateHashtag!P74-F$1)/F$2)</f>
        <v>0.410230859</v>
      </c>
      <c r="G76" s="41">
        <f>IF(TYPE($A76)=1,"",(UpdateHashtag!Q74-G$1)/G$2)</f>
        <v>-0.6218985413</v>
      </c>
      <c r="H76" s="41">
        <f>IF(TYPE($A76)=1,"",(UpdateHashtag!I74-H$1)/H$2*I76/$I$1)</f>
        <v>-0.6845174488</v>
      </c>
      <c r="I76" s="41">
        <f>UpdateHashtag!S74</f>
        <v>15.8</v>
      </c>
      <c r="J76" s="53">
        <f>IF(TYPE($A76)=1,"",(UpdateHashtag!K74-J$1)/J$2*K76/$K$1)</f>
        <v>0.06133105092</v>
      </c>
      <c r="K76" s="55">
        <f>UpdateHashtag!T74</f>
        <v>2.9</v>
      </c>
      <c r="L76" s="41">
        <f>IF(TYPE($A76)=1,"",-(UpdateHashtag!R74-L$1)/L$2)</f>
        <v>0.1474667095</v>
      </c>
      <c r="N76" s="5">
        <v>56.0</v>
      </c>
      <c r="O76" s="170">
        <f t="array" ref="O76">INDIRECT("Update"&amp;Projections!$AG$17&amp;"!B"&amp;ROW(B57))</f>
        <v>86.4</v>
      </c>
      <c r="P76" s="172" t="str">
        <f t="array" ref="P76">INDIRECT("Update"&amp;Projections!$AG$17&amp;"!C"&amp;ROW(B57))</f>
        <v>Jordan Poole</v>
      </c>
      <c r="Q76" s="170">
        <f>UpdateHashtag!F116</f>
        <v>67</v>
      </c>
      <c r="R76" s="177" t="str">
        <f>IF(UpdateHashtag!D116="",ROW(UpdateHashtag!D116),UpdateHashtag!D116)</f>
        <v>PF,C</v>
      </c>
      <c r="S76" s="124">
        <f t="shared" si="1"/>
        <v>0.3109042917</v>
      </c>
      <c r="T76" s="124">
        <f>SUM(AE76:AM76)-IFERROR(IFS(Projections!$I$17,AN76,Projections!$J$17,AO76),"")</f>
        <v>0.616575015</v>
      </c>
      <c r="U76" s="124">
        <f t="shared" si="2"/>
        <v>0.3056707232</v>
      </c>
      <c r="V76" s="124">
        <f t="array" ref="V76">INDIRECT("Update"&amp;Projections!$AG$17&amp;"!M"&amp;ROW(B57))</f>
        <v>19.74415584</v>
      </c>
      <c r="W76" s="124">
        <f t="array" ref="W76">INDIRECT("Update"&amp;Projections!$AG$17&amp;"!L"&amp;ROW(B57))</f>
        <v>2.770519481</v>
      </c>
      <c r="X76" s="124">
        <f t="array" ref="X76">INDIRECT("Update"&amp;Projections!$AG$17&amp;"!N"&amp;ROW(B57))</f>
        <v>2.911948052</v>
      </c>
      <c r="Y76" s="124">
        <f t="array" ref="Y76">INDIRECT("Update"&amp;Projections!$AG$17&amp;"!O"&amp;ROW(B57))</f>
        <v>6.586623377</v>
      </c>
      <c r="Z76" s="124">
        <f t="array" ref="Z76">INDIRECT("Update"&amp;Projections!$AG$17&amp;"!P"&amp;ROW(B57))</f>
        <v>1.04</v>
      </c>
      <c r="AA76" s="124">
        <f t="array" ref="AA76">INDIRECT("Update"&amp;Projections!$AG$17&amp;"!Q"&amp;ROW(B57))</f>
        <v>0.347012987</v>
      </c>
      <c r="AB76" s="180">
        <f t="array" ref="AB76">INDIRECT("Update"&amp;Projections!$AG$17&amp;"!I"&amp;ROW(B57))</f>
        <v>0.4303583476</v>
      </c>
      <c r="AC76" s="180">
        <f t="array" ref="AC76">INDIRECT("Update"&amp;Projections!$AG$17&amp;"!K"&amp;ROW(B57))</f>
        <v>0.8830112306</v>
      </c>
      <c r="AD76" s="124">
        <f t="array" ref="AD76">INDIRECT("Update"&amp;Projections!$AG$17&amp;"!R"&amp;ROW(B57))</f>
        <v>2.981298701</v>
      </c>
      <c r="AE76" s="124">
        <f t="shared" si="3"/>
        <v>0.4065646416</v>
      </c>
      <c r="AF76" s="124">
        <f t="shared" si="4"/>
        <v>1.013604969</v>
      </c>
      <c r="AG76" s="124">
        <f t="shared" si="5"/>
        <v>-1.24288808</v>
      </c>
      <c r="AH76" s="124">
        <f t="shared" si="6"/>
        <v>1.20496092</v>
      </c>
      <c r="AI76" s="124">
        <f t="shared" si="7"/>
        <v>0.2117320563</v>
      </c>
      <c r="AJ76" s="124">
        <f t="shared" si="8"/>
        <v>-0.7164087117</v>
      </c>
      <c r="AK76" s="124">
        <f t="shared" si="9"/>
        <v>-1.273071781</v>
      </c>
      <c r="AL76" s="124">
        <f t="shared" si="10"/>
        <v>1.012081</v>
      </c>
      <c r="AM76" s="124">
        <f t="shared" si="11"/>
        <v>0</v>
      </c>
      <c r="AN76" s="183">
        <f t="shared" si="12"/>
        <v>-1.273071781</v>
      </c>
      <c r="AO76" s="183">
        <f t="shared" si="13"/>
        <v>-2.51595986</v>
      </c>
      <c r="AP76" s="183">
        <f t="array" ref="AP76">INDIRECT("Update"&amp;Projections!$AG$17&amp;"!S"&amp;ROW(B57))</f>
        <v>16.36298701</v>
      </c>
      <c r="AQ76" s="183">
        <f t="array" ref="AQ76">INDIRECT("Update"&amp;Projections!$AG$17&amp;"!T"&amp;ROW(B57))</f>
        <v>3.272597403</v>
      </c>
    </row>
    <row r="77">
      <c r="A77" s="40" t="str">
        <f>IF(UpdateHashtag!C75="",ROW(UpdateHashtag!C75),UpdateHashtag!C75)</f>
        <v>Anfernee Simons</v>
      </c>
      <c r="B77" s="41">
        <f>IF(TYPE($A77)=1,"",(UpdateHashtag!M75-B$1)/B$2)</f>
        <v>0.7050398883</v>
      </c>
      <c r="C77" s="41">
        <f>IF(TYPE($A77)=1,"",(UpdateHashtag!L75-C$1)/C$2)</f>
        <v>1.638004661</v>
      </c>
      <c r="D77" s="41">
        <f>IF(TYPE($A77)=1,"",(UpdateHashtag!N75-D$1)/D$2)</f>
        <v>-1.208379905</v>
      </c>
      <c r="E77" s="41">
        <f>IF(TYPE($A77)=1,"",(UpdateHashtag!O75-E$1)/E$2)</f>
        <v>0.4390004625</v>
      </c>
      <c r="F77" s="41">
        <f>IF(TYPE($A77)=1,"",(UpdateHashtag!P75-F$1)/F$2)</f>
        <v>-1.243925831</v>
      </c>
      <c r="G77" s="41">
        <f>IF(TYPE($A77)=1,"",(UpdateHashtag!Q75-G$1)/G$2)</f>
        <v>-0.978628106</v>
      </c>
      <c r="H77" s="41">
        <f>IF(TYPE($A77)=1,"",(UpdateHashtag!I75-H$1)/H$2*I77/$I$1)</f>
        <v>-1.145298454</v>
      </c>
      <c r="I77" s="41">
        <f>UpdateHashtag!S75</f>
        <v>17.2</v>
      </c>
      <c r="J77" s="53">
        <f>IF(TYPE($A77)=1,"",(UpdateHashtag!K75-J$1)/J$2*K77/$K$1)</f>
        <v>1.27547367</v>
      </c>
      <c r="K77" s="55">
        <f>UpdateHashtag!T75</f>
        <v>3.3</v>
      </c>
      <c r="L77" s="41">
        <f>IF(TYPE($A77)=1,"",-(UpdateHashtag!R75-L$1)/L$2)</f>
        <v>-0.5468832679</v>
      </c>
      <c r="N77" s="112">
        <v>57.0</v>
      </c>
      <c r="O77" s="170">
        <f t="array" ref="O77">INDIRECT("Update"&amp;Projections!$AG$17&amp;"!B"&amp;ROW(B58))</f>
        <v>66.6</v>
      </c>
      <c r="P77" s="172" t="str">
        <f t="array" ref="P77">INDIRECT("Update"&amp;Projections!$AG$17&amp;"!C"&amp;ROW(B58))</f>
        <v>Tobias Harris</v>
      </c>
      <c r="Q77" s="170">
        <f>UpdateHashtag!F117</f>
        <v>58</v>
      </c>
      <c r="R77" s="177" t="str">
        <f>IF(UpdateHashtag!D117="",ROW(UpdateHashtag!D117),UpdateHashtag!D117)</f>
        <v>PG</v>
      </c>
      <c r="S77" s="124">
        <f t="shared" si="1"/>
        <v>0.2001695813</v>
      </c>
      <c r="T77" s="124">
        <f>SUM(AE77:AM77)-IFERROR(IFS(Projections!$I$17,AN77,Projections!$J$17,AO77),"")</f>
        <v>0.1317106594</v>
      </c>
      <c r="U77" s="124">
        <f t="shared" si="2"/>
        <v>-0.06845892186</v>
      </c>
      <c r="V77" s="124">
        <f t="array" ref="V77">INDIRECT("Update"&amp;Projections!$AG$17&amp;"!M"&amp;ROW(B58))</f>
        <v>18.26835616</v>
      </c>
      <c r="W77" s="124">
        <f t="array" ref="W77">INDIRECT("Update"&amp;Projections!$AG$17&amp;"!L"&amp;ROW(B58))</f>
        <v>1.421369863</v>
      </c>
      <c r="X77" s="124">
        <f t="array" ref="X77">INDIRECT("Update"&amp;Projections!$AG$17&amp;"!N"&amp;ROW(B58))</f>
        <v>6.942328767</v>
      </c>
      <c r="Y77" s="124">
        <f t="array" ref="Y77">INDIRECT("Update"&amp;Projections!$AG$17&amp;"!O"&amp;ROW(B58))</f>
        <v>3.50630137</v>
      </c>
      <c r="Z77" s="124">
        <f t="array" ref="Z77">INDIRECT("Update"&amp;Projections!$AG$17&amp;"!P"&amp;ROW(B58))</f>
        <v>0.9116438356</v>
      </c>
      <c r="AA77" s="124">
        <f t="array" ref="AA77">INDIRECT("Update"&amp;Projections!$AG$17&amp;"!Q"&amp;ROW(B58))</f>
        <v>0.5609589041</v>
      </c>
      <c r="AB77" s="180">
        <f t="array" ref="AB77">INDIRECT("Update"&amp;Projections!$AG$17&amp;"!I"&amp;ROW(B58))</f>
        <v>0.4745752973</v>
      </c>
      <c r="AC77" s="180">
        <f t="array" ref="AC77">INDIRECT("Update"&amp;Projections!$AG$17&amp;"!K"&amp;ROW(B58))</f>
        <v>0.8790144372</v>
      </c>
      <c r="AD77" s="124">
        <f t="array" ref="AD77">INDIRECT("Update"&amp;Projections!$AG$17&amp;"!R"&amp;ROW(B58))</f>
        <v>1.47260274</v>
      </c>
      <c r="AE77" s="124">
        <f t="shared" si="3"/>
        <v>0.1405434276</v>
      </c>
      <c r="AF77" s="124">
        <f t="shared" si="4"/>
        <v>-0.3246550403</v>
      </c>
      <c r="AG77" s="124">
        <f t="shared" si="5"/>
        <v>0.3366463203</v>
      </c>
      <c r="AH77" s="124">
        <f t="shared" si="6"/>
        <v>-0.1939316166</v>
      </c>
      <c r="AI77" s="124">
        <f t="shared" si="7"/>
        <v>-0.2129103597</v>
      </c>
      <c r="AJ77" s="124">
        <f t="shared" si="8"/>
        <v>-0.3348045422</v>
      </c>
      <c r="AK77" s="124">
        <f t="shared" si="9"/>
        <v>-0.3772276857</v>
      </c>
      <c r="AL77" s="124">
        <f t="shared" si="10"/>
        <v>1.098050156</v>
      </c>
      <c r="AM77" s="124">
        <f t="shared" si="11"/>
        <v>0</v>
      </c>
      <c r="AN77" s="183">
        <f t="shared" si="12"/>
        <v>-0.3772276857</v>
      </c>
      <c r="AO77" s="183">
        <f t="shared" si="13"/>
        <v>-0.7120322279</v>
      </c>
      <c r="AP77" s="183">
        <f t="array" ref="AP77">INDIRECT("Update"&amp;Projections!$AG$17&amp;"!S"&amp;ROW(B58))</f>
        <v>14.30493151</v>
      </c>
      <c r="AQ77" s="183">
        <f t="array" ref="AQ77">INDIRECT("Update"&amp;Projections!$AG$17&amp;"!T"&amp;ROW(B58))</f>
        <v>3.719452055</v>
      </c>
    </row>
    <row r="78">
      <c r="A78" s="40" t="str">
        <f>IF(UpdateHashtag!C76="",ROW(UpdateHashtag!C76),UpdateHashtag!C76)</f>
        <v>Dereck Lively II</v>
      </c>
      <c r="B78" s="41">
        <f>IF(TYPE($A78)=1,"",(UpdateHashtag!M76-B$1)/B$2)</f>
        <v>-1.331848829</v>
      </c>
      <c r="C78" s="41">
        <f>IF(TYPE($A78)=1,"",(UpdateHashtag!L76-C$1)/C$2)</f>
        <v>-1.734552372</v>
      </c>
      <c r="D78" s="41">
        <f>IF(TYPE($A78)=1,"",(UpdateHashtag!N76-D$1)/D$2)</f>
        <v>0.7119643767</v>
      </c>
      <c r="E78" s="41">
        <f>IF(TYPE($A78)=1,"",(UpdateHashtag!O76-E$1)/E$2)</f>
        <v>-1.10507013</v>
      </c>
      <c r="F78" s="41">
        <f>IF(TYPE($A78)=1,"",(UpdateHashtag!P76-F$1)/F$2)</f>
        <v>-0.5822631548</v>
      </c>
      <c r="G78" s="41">
        <f>IF(TYPE($A78)=1,"",(UpdateHashtag!Q76-G$1)/G$2)</f>
        <v>1.518478847</v>
      </c>
      <c r="H78" s="41">
        <f>IF(TYPE($A78)=1,"",(UpdateHashtag!I76-H$1)/H$2*I78/$I$1)</f>
        <v>1.764220573</v>
      </c>
      <c r="I78" s="41">
        <f>UpdateHashtag!S76</f>
        <v>6.3</v>
      </c>
      <c r="J78" s="53">
        <f>IF(TYPE($A78)=1,"",(UpdateHashtag!K76-J$1)/J$2*K78/$K$1)</f>
        <v>-1.46132172</v>
      </c>
      <c r="K78" s="55">
        <f>UpdateHashtag!T76</f>
        <v>1.6</v>
      </c>
      <c r="L78" s="41">
        <f>IF(TYPE($A78)=1,"",-(UpdateHashtag!R76-L$1)/L$2)</f>
        <v>0.7426238329</v>
      </c>
      <c r="N78" s="112">
        <v>58.0</v>
      </c>
      <c r="O78" s="170">
        <f t="array" ref="O78">INDIRECT("Update"&amp;Projections!$AG$17&amp;"!B"&amp;ROW(B59))</f>
        <v>63</v>
      </c>
      <c r="P78" s="172" t="str">
        <f t="array" ref="P78">INDIRECT("Update"&amp;Projections!$AG$17&amp;"!C"&amp;ROW(B59))</f>
        <v>Zach LaVine</v>
      </c>
      <c r="Q78" s="170">
        <f>UpdateHashtag!F122</f>
        <v>68</v>
      </c>
      <c r="R78" s="177" t="str">
        <f>IF(UpdateHashtag!D122="",ROW(UpdateHashtag!D122),UpdateHashtag!D122)</f>
        <v>SG,SF</v>
      </c>
      <c r="S78" s="124">
        <f t="shared" si="1"/>
        <v>0.07210004774</v>
      </c>
      <c r="T78" s="124">
        <f>SUM(AE78:AM78)-IFERROR(IFS(Projections!$I$17,AN78,Projections!$J$17,AO78),"")</f>
        <v>0.1699460183</v>
      </c>
      <c r="U78" s="124">
        <f t="shared" si="2"/>
        <v>0.09784597052</v>
      </c>
      <c r="V78" s="124">
        <f t="array" ref="V78">INDIRECT("Update"&amp;Projections!$AG$17&amp;"!M"&amp;ROW(B59))</f>
        <v>21.37235294</v>
      </c>
      <c r="W78" s="124">
        <f t="array" ref="W78">INDIRECT("Update"&amp;Projections!$AG$17&amp;"!L"&amp;ROW(B59))</f>
        <v>2.576323529</v>
      </c>
      <c r="X78" s="124">
        <f t="array" ref="X78">INDIRECT("Update"&amp;Projections!$AG$17&amp;"!N"&amp;ROW(B59))</f>
        <v>4.787647059</v>
      </c>
      <c r="Y78" s="124">
        <f t="array" ref="Y78">INDIRECT("Update"&amp;Projections!$AG$17&amp;"!O"&amp;ROW(B59))</f>
        <v>3.858823529</v>
      </c>
      <c r="Z78" s="124">
        <f t="array" ref="Z78">INDIRECT("Update"&amp;Projections!$AG$17&amp;"!P"&amp;ROW(B59))</f>
        <v>0.8577941176</v>
      </c>
      <c r="AA78" s="124">
        <f t="array" ref="AA78">INDIRECT("Update"&amp;Projections!$AG$17&amp;"!Q"&amp;ROW(B59))</f>
        <v>0.2857352941</v>
      </c>
      <c r="AB78" s="180">
        <f t="array" ref="AB78">INDIRECT("Update"&amp;Projections!$AG$17&amp;"!I"&amp;ROW(B59))</f>
        <v>0.4751739668</v>
      </c>
      <c r="AC78" s="180">
        <f t="array" ref="AC78">INDIRECT("Update"&amp;Projections!$AG$17&amp;"!K"&amp;ROW(B59))</f>
        <v>0.8489934033</v>
      </c>
      <c r="AD78" s="124">
        <f t="array" ref="AD78">INDIRECT("Update"&amp;Projections!$AG$17&amp;"!R"&amp;ROW(B59))</f>
        <v>2.143235294</v>
      </c>
      <c r="AE78" s="124">
        <f t="shared" si="3"/>
        <v>0.7000563499</v>
      </c>
      <c r="AF78" s="124">
        <f t="shared" si="4"/>
        <v>0.8209764623</v>
      </c>
      <c r="AG78" s="124">
        <f t="shared" si="5"/>
        <v>-0.507788516</v>
      </c>
      <c r="AH78" s="124">
        <f t="shared" si="6"/>
        <v>-0.03383776403</v>
      </c>
      <c r="AI78" s="124">
        <f t="shared" si="7"/>
        <v>-0.3910621023</v>
      </c>
      <c r="AJ78" s="124">
        <f t="shared" si="8"/>
        <v>-0.8257065353</v>
      </c>
      <c r="AK78" s="124">
        <f t="shared" si="9"/>
        <v>-0.4091019196</v>
      </c>
      <c r="AL78" s="124">
        <f t="shared" si="10"/>
        <v>0.8164100433</v>
      </c>
      <c r="AM78" s="124">
        <f t="shared" si="11"/>
        <v>0</v>
      </c>
      <c r="AN78" s="183">
        <f t="shared" si="12"/>
        <v>-0.8257065353</v>
      </c>
      <c r="AO78" s="183">
        <f t="shared" si="13"/>
        <v>-1.333495051</v>
      </c>
      <c r="AP78" s="183">
        <f t="array" ref="AP78">INDIRECT("Update"&amp;Projections!$AG$17&amp;"!S"&amp;ROW(B59))</f>
        <v>15.93441176</v>
      </c>
      <c r="AQ78" s="183">
        <f t="array" ref="AQ78">INDIRECT("Update"&amp;Projections!$AG$17&amp;"!T"&amp;ROW(B59))</f>
        <v>4.3025</v>
      </c>
    </row>
    <row r="79">
      <c r="A79" s="40" t="str">
        <f>IF(UpdateHashtag!C77="",ROW(UpdateHashtag!C77),UpdateHashtag!C77)</f>
        <v>Collin Sexton</v>
      </c>
      <c r="B79" s="41">
        <f>IF(TYPE($A79)=1,"",(UpdateHashtag!M77-B$1)/B$2)</f>
        <v>0.4526819941</v>
      </c>
      <c r="C79" s="41">
        <f>IF(TYPE($A79)=1,"",(UpdateHashtag!L77-C$1)/C$2)</f>
        <v>-0.04827385557</v>
      </c>
      <c r="D79" s="41">
        <f>IF(TYPE($A79)=1,"",(UpdateHashtag!N77-D$1)/D$2)</f>
        <v>-1.247570605</v>
      </c>
      <c r="E79" s="41">
        <f>IF(TYPE($A79)=1,"",(UpdateHashtag!O77-E$1)/E$2)</f>
        <v>0.4390004625</v>
      </c>
      <c r="F79" s="41">
        <f>IF(TYPE($A79)=1,"",(UpdateHashtag!P77-F$1)/F$2)</f>
        <v>-0.5822631548</v>
      </c>
      <c r="G79" s="41">
        <f>IF(TYPE($A79)=1,"",(UpdateHashtag!Q77-G$1)/G$2)</f>
        <v>-0.978628106</v>
      </c>
      <c r="H79" s="41">
        <f>IF(TYPE($A79)=1,"",(UpdateHashtag!I77-H$1)/H$2*I79/$I$1)</f>
        <v>-0.1692431019</v>
      </c>
      <c r="I79" s="41">
        <f>UpdateHashtag!S77</f>
        <v>14.2</v>
      </c>
      <c r="J79" s="53">
        <f>IF(TYPE($A79)=1,"",(UpdateHashtag!K77-J$1)/J$2*K79/$K$1)</f>
        <v>0.9109652968</v>
      </c>
      <c r="K79" s="55">
        <f>UpdateHashtag!T77</f>
        <v>5.4</v>
      </c>
      <c r="L79" s="41">
        <f>IF(TYPE($A79)=1,"",-(UpdateHashtag!R77-L$1)/L$2)</f>
        <v>-0.6460761218</v>
      </c>
      <c r="N79" s="5">
        <v>59.0</v>
      </c>
      <c r="O79" s="170">
        <f t="array" ref="O79">INDIRECT("Update"&amp;Projections!$AG$17&amp;"!B"&amp;ROW(B60))</f>
        <v>94.9</v>
      </c>
      <c r="P79" s="172" t="str">
        <f t="array" ref="P79">INDIRECT("Update"&amp;Projections!$AG$17&amp;"!C"&amp;ROW(B60))</f>
        <v>Collin Sexton</v>
      </c>
      <c r="Q79" s="170">
        <f>UpdateHashtag!F119</f>
        <v>60</v>
      </c>
      <c r="R79" s="177" t="str">
        <f>IF(UpdateHashtag!D119="",ROW(UpdateHashtag!D119),UpdateHashtag!D119)</f>
        <v>SF,PF</v>
      </c>
      <c r="S79" s="124">
        <f t="shared" si="1"/>
        <v>-0.1481850542</v>
      </c>
      <c r="T79" s="124">
        <f>SUM(AE79:AM79)-IFERROR(IFS(Projections!$I$17,AN79,Projections!$J$17,AO79),"")</f>
        <v>0.04643583384</v>
      </c>
      <c r="U79" s="124">
        <f t="shared" si="2"/>
        <v>0.194620888</v>
      </c>
      <c r="V79" s="124">
        <f t="array" ref="V79">INDIRECT("Update"&amp;Projections!$AG$17&amp;"!M"&amp;ROW(B60))</f>
        <v>21.09242424</v>
      </c>
      <c r="W79" s="124">
        <f t="array" ref="W79">INDIRECT("Update"&amp;Projections!$AG$17&amp;"!L"&amp;ROW(B60))</f>
        <v>1.707121212</v>
      </c>
      <c r="X79" s="124">
        <f t="array" ref="X79">INDIRECT("Update"&amp;Projections!$AG$17&amp;"!N"&amp;ROW(B60))</f>
        <v>2.870151515</v>
      </c>
      <c r="Y79" s="124">
        <f t="array" ref="Y79">INDIRECT("Update"&amp;Projections!$AG$17&amp;"!O"&amp;ROW(B60))</f>
        <v>6.066363636</v>
      </c>
      <c r="Z79" s="124">
        <f t="array" ref="Z79">INDIRECT("Update"&amp;Projections!$AG$17&amp;"!P"&amp;ROW(B60))</f>
        <v>0.9198484848</v>
      </c>
      <c r="AA79" s="124">
        <f t="array" ref="AA79">INDIRECT("Update"&amp;Projections!$AG$17&amp;"!Q"&amp;ROW(B60))</f>
        <v>0.2596969697</v>
      </c>
      <c r="AB79" s="180">
        <f t="array" ref="AB79">INDIRECT("Update"&amp;Projections!$AG$17&amp;"!I"&amp;ROW(B60))</f>
        <v>0.4962002503</v>
      </c>
      <c r="AC79" s="180">
        <f t="array" ref="AC79">INDIRECT("Update"&amp;Projections!$AG$17&amp;"!K"&amp;ROW(B60))</f>
        <v>0.83899415</v>
      </c>
      <c r="AD79" s="124">
        <f t="array" ref="AD79">INDIRECT("Update"&amp;Projections!$AG$17&amp;"!R"&amp;ROW(B60))</f>
        <v>2.533484848</v>
      </c>
      <c r="AE79" s="124">
        <f t="shared" si="3"/>
        <v>0.6495976233</v>
      </c>
      <c r="AF79" s="124">
        <f t="shared" si="4"/>
        <v>-0.04121012215</v>
      </c>
      <c r="AG79" s="124">
        <f t="shared" si="5"/>
        <v>-1.259268435</v>
      </c>
      <c r="AH79" s="124">
        <f t="shared" si="6"/>
        <v>0.968690989</v>
      </c>
      <c r="AI79" s="124">
        <f t="shared" si="7"/>
        <v>-0.185766809</v>
      </c>
      <c r="AJ79" s="124">
        <f t="shared" si="8"/>
        <v>-0.8721497359</v>
      </c>
      <c r="AK79" s="124">
        <f t="shared" si="9"/>
        <v>-0.01841863342</v>
      </c>
      <c r="AL79" s="124">
        <f t="shared" si="10"/>
        <v>0.8049609572</v>
      </c>
      <c r="AM79" s="124">
        <f t="shared" si="11"/>
        <v>0</v>
      </c>
      <c r="AN79" s="183">
        <f t="shared" si="12"/>
        <v>-1.259268435</v>
      </c>
      <c r="AO79" s="183">
        <f t="shared" si="13"/>
        <v>-2.131418171</v>
      </c>
      <c r="AP79" s="183">
        <f t="array" ref="AP79">INDIRECT("Update"&amp;Projections!$AG$17&amp;"!S"&amp;ROW(B60))</f>
        <v>15.13257576</v>
      </c>
      <c r="AQ79" s="183">
        <f t="array" ref="AQ79">INDIRECT("Update"&amp;Projections!$AG$17&amp;"!T"&amp;ROW(B60))</f>
        <v>5.205909091</v>
      </c>
    </row>
    <row r="80">
      <c r="A80" s="40" t="str">
        <f>IF(UpdateHashtag!C78="",ROW(UpdateHashtag!C78),UpdateHashtag!C78)</f>
        <v>Josh Giddey</v>
      </c>
      <c r="B80" s="41">
        <f>IF(TYPE($A80)=1,"",(UpdateHashtag!M78-B$1)/B$2)</f>
        <v>-0.250314997</v>
      </c>
      <c r="C80" s="41">
        <f>IF(TYPE($A80)=1,"",(UpdateHashtag!L78-C$1)/C$2)</f>
        <v>-0.643430979</v>
      </c>
      <c r="D80" s="41">
        <f>IF(TYPE($A80)=1,"",(UpdateHashtag!N78-D$1)/D$2)</f>
        <v>0.5160108785</v>
      </c>
      <c r="E80" s="41">
        <f>IF(TYPE($A80)=1,"",(UpdateHashtag!O78-E$1)/E$2)</f>
        <v>0.9839665539</v>
      </c>
      <c r="F80" s="41">
        <f>IF(TYPE($A80)=1,"",(UpdateHashtag!P78-F$1)/F$2)</f>
        <v>-0.5822631548</v>
      </c>
      <c r="G80" s="41">
        <f>IF(TYPE($A80)=1,"",(UpdateHashtag!Q78-G$1)/G$2)</f>
        <v>-0.4435337589</v>
      </c>
      <c r="H80" s="41">
        <f>IF(TYPE($A80)=1,"",(UpdateHashtag!I78-H$1)/H$2*I80/$I$1)</f>
        <v>-0.2992558678</v>
      </c>
      <c r="I80" s="41">
        <f>UpdateHashtag!S78</f>
        <v>14.1</v>
      </c>
      <c r="J80" s="53">
        <f>IF(TYPE($A80)=1,"",(UpdateHashtag!K78-J$1)/J$2*K80/$K$1)</f>
        <v>0.0001334963876</v>
      </c>
      <c r="K80" s="55">
        <f>UpdateHashtag!T78</f>
        <v>1.9</v>
      </c>
      <c r="L80" s="41">
        <f>IF(TYPE($A80)=1,"",-(UpdateHashtag!R78-L$1)/L$2)</f>
        <v>-0.9436546835</v>
      </c>
      <c r="N80" s="112">
        <v>60.0</v>
      </c>
      <c r="O80" s="170">
        <f t="array" ref="O80">INDIRECT("Update"&amp;Projections!$AG$17&amp;"!B"&amp;ROW(B61))</f>
        <v>53.2</v>
      </c>
      <c r="P80" s="172" t="str">
        <f t="array" ref="P80">INDIRECT("Update"&amp;Projections!$AG$17&amp;"!C"&amp;ROW(B61))</f>
        <v>Jarrett Allen</v>
      </c>
      <c r="Q80" s="170">
        <f>UpdateHashtag!F108</f>
        <v>69</v>
      </c>
      <c r="R80" s="177" t="str">
        <f>IF(UpdateHashtag!D108="",ROW(UpdateHashtag!D108),UpdateHashtag!D108)</f>
        <v>PF</v>
      </c>
      <c r="S80" s="124">
        <f t="shared" si="1"/>
        <v>-0.5025118217</v>
      </c>
      <c r="T80" s="124">
        <f>SUM(AE80:AM80)-IFERROR(IFS(Projections!$I$17,AN80,Projections!$J$17,AO80),"")</f>
        <v>-0.5988942115</v>
      </c>
      <c r="U80" s="124">
        <f t="shared" si="2"/>
        <v>-0.09638238971</v>
      </c>
      <c r="V80" s="124">
        <f t="array" ref="V80">INDIRECT("Update"&amp;Projections!$AG$17&amp;"!M"&amp;ROW(B61))</f>
        <v>16.19958904</v>
      </c>
      <c r="W80" s="124">
        <f t="array" ref="W80">INDIRECT("Update"&amp;Projections!$AG$17&amp;"!L"&amp;ROW(B61))</f>
        <v>0.01479452055</v>
      </c>
      <c r="X80" s="124">
        <f t="array" ref="X80">INDIRECT("Update"&amp;Projections!$AG$17&amp;"!N"&amp;ROW(B61))</f>
        <v>10.3360274</v>
      </c>
      <c r="Y80" s="124">
        <f t="array" ref="Y80">INDIRECT("Update"&amp;Projections!$AG$17&amp;"!O"&amp;ROW(B61))</f>
        <v>2.447945205</v>
      </c>
      <c r="Z80" s="124">
        <f t="array" ref="Z80">INDIRECT("Update"&amp;Projections!$AG$17&amp;"!P"&amp;ROW(B61))</f>
        <v>0.61</v>
      </c>
      <c r="AA80" s="124">
        <f t="array" ref="AA80">INDIRECT("Update"&amp;Projections!$AG$17&amp;"!Q"&amp;ROW(B61))</f>
        <v>1.022328767</v>
      </c>
      <c r="AB80" s="180">
        <f t="array" ref="AB80">INDIRECT("Update"&amp;Projections!$AG$17&amp;"!I"&amp;ROW(B61))</f>
        <v>0.6408925389</v>
      </c>
      <c r="AC80" s="180">
        <f t="array" ref="AC80">INDIRECT("Update"&amp;Projections!$AG$17&amp;"!K"&amp;ROW(B61))</f>
        <v>0.738994326</v>
      </c>
      <c r="AD80" s="124">
        <f t="array" ref="AD80">INDIRECT("Update"&amp;Projections!$AG$17&amp;"!R"&amp;ROW(B61))</f>
        <v>1.36</v>
      </c>
      <c r="AE80" s="124">
        <f t="shared" si="3"/>
        <v>-0.232363511</v>
      </c>
      <c r="AF80" s="124">
        <f t="shared" si="4"/>
        <v>-1.719877265</v>
      </c>
      <c r="AG80" s="124">
        <f t="shared" si="5"/>
        <v>1.666660558</v>
      </c>
      <c r="AH80" s="124">
        <f t="shared" si="6"/>
        <v>-0.6745718021</v>
      </c>
      <c r="AI80" s="124">
        <f t="shared" si="7"/>
        <v>-1.210842697</v>
      </c>
      <c r="AJ80" s="124">
        <f t="shared" si="8"/>
        <v>0.4881168097</v>
      </c>
      <c r="AK80" s="124">
        <f t="shared" si="9"/>
        <v>1.772502575</v>
      </c>
      <c r="AL80" s="124">
        <f t="shared" si="10"/>
        <v>-0.6885188798</v>
      </c>
      <c r="AM80" s="124">
        <f t="shared" si="11"/>
        <v>0</v>
      </c>
      <c r="AN80" s="183">
        <f t="shared" si="12"/>
        <v>-1.719877265</v>
      </c>
      <c r="AO80" s="183">
        <f t="shared" si="13"/>
        <v>-2.930719962</v>
      </c>
      <c r="AP80" s="183">
        <f t="array" ref="AP80">INDIRECT("Update"&amp;Projections!$AG$17&amp;"!S"&amp;ROW(B61))</f>
        <v>10.60849315</v>
      </c>
      <c r="AQ80" s="183">
        <f t="array" ref="AQ80">INDIRECT("Update"&amp;Projections!$AG$17&amp;"!T"&amp;ROW(B61))</f>
        <v>3.500684932</v>
      </c>
    </row>
    <row r="81">
      <c r="A81" s="40" t="str">
        <f>IF(UpdateHashtag!C79="",ROW(UpdateHashtag!C79),UpdateHashtag!C79)</f>
        <v>Mark Williams</v>
      </c>
      <c r="B81" s="41">
        <f>IF(TYPE($A81)=1,"",(UpdateHashtag!M79-B$1)/B$2)</f>
        <v>-0.8812097326</v>
      </c>
      <c r="C81" s="41">
        <f>IF(TYPE($A81)=1,"",(UpdateHashtag!L79-C$1)/C$2)</f>
        <v>-1.734552372</v>
      </c>
      <c r="D81" s="41">
        <f>IF(TYPE($A81)=1,"",(UpdateHashtag!N79-D$1)/D$2)</f>
        <v>1.41739697</v>
      </c>
      <c r="E81" s="41">
        <f>IF(TYPE($A81)=1,"",(UpdateHashtag!O79-E$1)/E$2)</f>
        <v>-1.422967016</v>
      </c>
      <c r="F81" s="41">
        <f>IF(TYPE($A81)=1,"",(UpdateHashtag!P79-F$1)/F$2)</f>
        <v>-0.2514318168</v>
      </c>
      <c r="G81" s="41">
        <f>IF(TYPE($A81)=1,"",(UpdateHashtag!Q79-G$1)/G$2)</f>
        <v>0.8050197178</v>
      </c>
      <c r="H81" s="41">
        <f>IF(TYPE($A81)=1,"",(UpdateHashtag!I79-H$1)/H$2*I81/$I$1)</f>
        <v>1.337666758</v>
      </c>
      <c r="I81" s="41">
        <f>UpdateHashtag!S79</f>
        <v>8</v>
      </c>
      <c r="J81" s="53">
        <f>IF(TYPE($A81)=1,"",(UpdateHashtag!K79-J$1)/J$2*K81/$K$1)</f>
        <v>-1.022779061</v>
      </c>
      <c r="K81" s="55">
        <f>UpdateHashtag!T79</f>
        <v>3.2</v>
      </c>
      <c r="L81" s="41">
        <f>IF(TYPE($A81)=1,"",-(UpdateHashtag!R79-L$1)/L$2)</f>
        <v>0.643430979</v>
      </c>
      <c r="N81" s="112">
        <v>61.0</v>
      </c>
      <c r="O81" s="170">
        <f t="array" ref="O81">INDIRECT("Update"&amp;Projections!$AG$17&amp;"!B"&amp;ROW(B62))</f>
        <v>54.7</v>
      </c>
      <c r="P81" s="172" t="str">
        <f t="array" ref="P81">INDIRECT("Update"&amp;Projections!$AG$17&amp;"!C"&amp;ROW(B62))</f>
        <v>Mikal Bridges</v>
      </c>
      <c r="Q81" s="170">
        <f>UpdateHashtag!F121</f>
        <v>68</v>
      </c>
      <c r="R81" s="177" t="str">
        <f>IF(UpdateHashtag!D121="",ROW(UpdateHashtag!D121),UpdateHashtag!D121)</f>
        <v>PG,SG</v>
      </c>
      <c r="S81" s="124">
        <f t="shared" si="1"/>
        <v>0.3770052017</v>
      </c>
      <c r="T81" s="124">
        <f>SUM(AE81:AM81)-IFERROR(IFS(Projections!$I$17,AN81,Projections!$J$17,AO81),"")</f>
        <v>0.3004613828</v>
      </c>
      <c r="U81" s="124">
        <f t="shared" si="2"/>
        <v>-0.07654381893</v>
      </c>
      <c r="V81" s="124">
        <f t="array" ref="V81">INDIRECT("Update"&amp;Projections!$AG$17&amp;"!M"&amp;ROW(B62))</f>
        <v>19.004625</v>
      </c>
      <c r="W81" s="124">
        <f t="array" ref="W81">INDIRECT("Update"&amp;Projections!$AG$17&amp;"!L"&amp;ROW(B62))</f>
        <v>3.184875</v>
      </c>
      <c r="X81" s="124">
        <f t="array" ref="X81">INDIRECT("Update"&amp;Projections!$AG$17&amp;"!N"&amp;ROW(B62))</f>
        <v>4.464</v>
      </c>
      <c r="Y81" s="124">
        <f t="array" ref="Y81">INDIRECT("Update"&amp;Projections!$AG$17&amp;"!O"&amp;ROW(B62))</f>
        <v>3.168</v>
      </c>
      <c r="Z81" s="124">
        <f t="array" ref="Z81">INDIRECT("Update"&amp;Projections!$AG$17&amp;"!P"&amp;ROW(B62))</f>
        <v>1.152</v>
      </c>
      <c r="AA81" s="124">
        <f t="array" ref="AA81">INDIRECT("Update"&amp;Projections!$AG$17&amp;"!Q"&amp;ROW(B62))</f>
        <v>0.504</v>
      </c>
      <c r="AB81" s="180">
        <f t="array" ref="AB81">INDIRECT("Update"&amp;Projections!$AG$17&amp;"!I"&amp;ROW(B62))</f>
        <v>0.4476619441</v>
      </c>
      <c r="AC81" s="180">
        <f t="array" ref="AC81">INDIRECT("Update"&amp;Projections!$AG$17&amp;"!K"&amp;ROW(B62))</f>
        <v>0.8300014452</v>
      </c>
      <c r="AD81" s="124">
        <f t="array" ref="AD81">INDIRECT("Update"&amp;Projections!$AG$17&amp;"!R"&amp;ROW(B62))</f>
        <v>1.44</v>
      </c>
      <c r="AE81" s="124">
        <f t="shared" si="3"/>
        <v>0.2732600377</v>
      </c>
      <c r="AF81" s="124">
        <f t="shared" si="4"/>
        <v>1.424616034</v>
      </c>
      <c r="AG81" s="124">
        <f t="shared" si="5"/>
        <v>-0.6346280627</v>
      </c>
      <c r="AH81" s="124">
        <f t="shared" si="6"/>
        <v>-0.3475672627</v>
      </c>
      <c r="AI81" s="124">
        <f t="shared" si="7"/>
        <v>0.5822631548</v>
      </c>
      <c r="AJ81" s="124">
        <f t="shared" si="8"/>
        <v>-0.4363991676</v>
      </c>
      <c r="AK81" s="124">
        <f t="shared" si="9"/>
        <v>-0.8803374061</v>
      </c>
      <c r="AL81" s="124">
        <f t="shared" si="10"/>
        <v>0.3192540556</v>
      </c>
      <c r="AM81" s="124">
        <f t="shared" si="11"/>
        <v>0</v>
      </c>
      <c r="AN81" s="183">
        <f t="shared" si="12"/>
        <v>-0.8803374061</v>
      </c>
      <c r="AO81" s="183">
        <f t="shared" si="13"/>
        <v>-1.514965469</v>
      </c>
      <c r="AP81" s="183">
        <f t="array" ref="AP81">INDIRECT("Update"&amp;Projections!$AG$17&amp;"!S"&amp;ROW(B62))</f>
        <v>15.26375</v>
      </c>
      <c r="AQ81" s="183">
        <f t="array" ref="AQ81">INDIRECT("Update"&amp;Projections!$AG$17&amp;"!T"&amp;ROW(B62))</f>
        <v>2.594875</v>
      </c>
    </row>
    <row r="82">
      <c r="A82" s="40" t="str">
        <f>IF(UpdateHashtag!C80="",ROW(UpdateHashtag!C80),UpdateHashtag!C80)</f>
        <v>Jalen Suggs</v>
      </c>
      <c r="B82" s="41">
        <f>IF(TYPE($A82)=1,"",(UpdateHashtag!M80-B$1)/B$2)</f>
        <v>-0.6288518384</v>
      </c>
      <c r="C82" s="41">
        <f>IF(TYPE($A82)=1,"",(UpdateHashtag!L80-C$1)/C$2)</f>
        <v>0.447690414</v>
      </c>
      <c r="D82" s="41">
        <f>IF(TYPE($A82)=1,"",(UpdateHashtag!N80-D$1)/D$2)</f>
        <v>-1.012426407</v>
      </c>
      <c r="E82" s="41">
        <f>IF(TYPE($A82)=1,"",(UpdateHashtag!O80-E$1)/E$2)</f>
        <v>-0.1513794698</v>
      </c>
      <c r="F82" s="41">
        <f>IF(TYPE($A82)=1,"",(UpdateHashtag!P80-F$1)/F$2)</f>
        <v>2.064387549</v>
      </c>
      <c r="G82" s="41">
        <f>IF(TYPE($A82)=1,"",(UpdateHashtag!Q80-G$1)/G$2)</f>
        <v>-0.08680419409</v>
      </c>
      <c r="H82" s="41">
        <f>IF(TYPE($A82)=1,"",(UpdateHashtag!I80-H$1)/H$2*I82/$I$1)</f>
        <v>-0.4013364731</v>
      </c>
      <c r="I82" s="41">
        <f>UpdateHashtag!S80</f>
        <v>10.7</v>
      </c>
      <c r="J82" s="53">
        <f>IF(TYPE($A82)=1,"",(UpdateHashtag!K80-J$1)/J$2*K82/$K$1)</f>
        <v>-0.3117913524</v>
      </c>
      <c r="K82" s="55">
        <f>UpdateHashtag!T80</f>
        <v>2.4</v>
      </c>
      <c r="L82" s="41">
        <f>IF(TYPE($A82)=1,"",-(UpdateHashtag!R80-L$1)/L$2)</f>
        <v>-0.2493047061</v>
      </c>
      <c r="N82" s="5">
        <v>62.0</v>
      </c>
      <c r="O82" s="170">
        <f t="array" ref="O82">INDIRECT("Update"&amp;Projections!$AG$17&amp;"!B"&amp;ROW(B63))</f>
        <v>45</v>
      </c>
      <c r="P82" s="172" t="str">
        <f t="array" ref="P82">INDIRECT("Update"&amp;Projections!$AG$17&amp;"!C"&amp;ROW(B63))</f>
        <v>Myles Turner</v>
      </c>
      <c r="Q82" s="170">
        <f>UpdateHashtag!F115</f>
        <v>73</v>
      </c>
      <c r="R82" s="177" t="str">
        <f>IF(UpdateHashtag!D115="",ROW(UpdateHashtag!D115),UpdateHashtag!D115)</f>
        <v>SG,SF</v>
      </c>
      <c r="S82" s="124">
        <f t="shared" si="1"/>
        <v>-0.186697485</v>
      </c>
      <c r="T82" s="124">
        <f>SUM(AE82:AM82)-IFERROR(IFS(Projections!$I$17,AN82,Projections!$J$17,AO82),"")</f>
        <v>-0.2497551521</v>
      </c>
      <c r="U82" s="124">
        <f t="shared" si="2"/>
        <v>-0.06305766713</v>
      </c>
      <c r="V82" s="124">
        <f t="array" ref="V82">INDIRECT("Update"&amp;Projections!$AG$17&amp;"!M"&amp;ROW(B63))</f>
        <v>17.50863014</v>
      </c>
      <c r="W82" s="124">
        <f t="array" ref="W82">INDIRECT("Update"&amp;Projections!$AG$17&amp;"!L"&amp;ROW(B63))</f>
        <v>1.77260274</v>
      </c>
      <c r="X82" s="124">
        <f t="array" ref="X82">INDIRECT("Update"&amp;Projections!$AG$17&amp;"!N"&amp;ROW(B63))</f>
        <v>7.330136986</v>
      </c>
      <c r="Y82" s="124">
        <f t="array" ref="Y82">INDIRECT("Update"&amp;Projections!$AG$17&amp;"!O"&amp;ROW(B63))</f>
        <v>1.414109589</v>
      </c>
      <c r="Z82" s="124">
        <f t="array" ref="Z82">INDIRECT("Update"&amp;Projections!$AG$17&amp;"!P"&amp;ROW(B63))</f>
        <v>0.4806849315</v>
      </c>
      <c r="AA82" s="124">
        <f t="array" ref="AA82">INDIRECT("Update"&amp;Projections!$AG$17&amp;"!Q"&amp;ROW(B63))</f>
        <v>2.042876712</v>
      </c>
      <c r="AB82" s="180">
        <f t="array" ref="AB82">INDIRECT("Update"&amp;Projections!$AG$17&amp;"!I"&amp;ROW(B63))</f>
        <v>0.5184559093</v>
      </c>
      <c r="AC82" s="180">
        <f t="array" ref="AC82">INDIRECT("Update"&amp;Projections!$AG$17&amp;"!K"&amp;ROW(B63))</f>
        <v>0.7519897126</v>
      </c>
      <c r="AD82" s="124">
        <f t="array" ref="AD82">INDIRECT("Update"&amp;Projections!$AG$17&amp;"!R"&amp;ROW(B63))</f>
        <v>1.494383562</v>
      </c>
      <c r="AE82" s="124">
        <f t="shared" si="3"/>
        <v>0.003598528637</v>
      </c>
      <c r="AF82" s="124">
        <f t="shared" si="4"/>
        <v>0.02374287425</v>
      </c>
      <c r="AG82" s="124">
        <f t="shared" si="5"/>
        <v>0.4886310745</v>
      </c>
      <c r="AH82" s="124">
        <f t="shared" si="6"/>
        <v>-1.144076264</v>
      </c>
      <c r="AI82" s="124">
        <f t="shared" si="7"/>
        <v>-1.638657468</v>
      </c>
      <c r="AJ82" s="124">
        <f t="shared" si="8"/>
        <v>2.308414931</v>
      </c>
      <c r="AK82" s="124">
        <f t="shared" si="9"/>
        <v>0.303867416</v>
      </c>
      <c r="AL82" s="124">
        <f t="shared" si="10"/>
        <v>-0.5952762441</v>
      </c>
      <c r="AM82" s="124">
        <f t="shared" si="11"/>
        <v>0</v>
      </c>
      <c r="AN82" s="183">
        <f t="shared" si="12"/>
        <v>-1.638657468</v>
      </c>
      <c r="AO82" s="183">
        <f t="shared" si="13"/>
        <v>-2.782733732</v>
      </c>
      <c r="AP82" s="183">
        <f t="array" ref="AP82">INDIRECT("Update"&amp;Projections!$AG$17&amp;"!S"&amp;ROW(B63))</f>
        <v>12.31739726</v>
      </c>
      <c r="AQ82" s="183">
        <f t="array" ref="AQ82">INDIRECT("Update"&amp;Projections!$AG$17&amp;"!T"&amp;ROW(B63))</f>
        <v>3.941506849</v>
      </c>
    </row>
    <row r="83">
      <c r="A83" s="40" t="str">
        <f>IF(UpdateHashtag!C81="",ROW(UpdateHashtag!C81),UpdateHashtag!C81)</f>
        <v>Jabari Smith Jr.</v>
      </c>
      <c r="B83" s="41">
        <f>IF(TYPE($A83)=1,"",(UpdateHashtag!M81-B$1)/B$2)</f>
        <v>-0.6288518384</v>
      </c>
      <c r="C83" s="41">
        <f>IF(TYPE($A83)=1,"",(UpdateHashtag!L81-C$1)/C$2)</f>
        <v>0.1501118522</v>
      </c>
      <c r="D83" s="41">
        <f>IF(TYPE($A83)=1,"",(UpdateHashtag!N81-D$1)/D$2)</f>
        <v>0.9079178748</v>
      </c>
      <c r="E83" s="41">
        <f>IF(TYPE($A83)=1,"",(UpdateHashtag!O81-E$1)/E$2)</f>
        <v>-1.10507013</v>
      </c>
      <c r="F83" s="41">
        <f>IF(TYPE($A83)=1,"",(UpdateHashtag!P81-F$1)/F$2)</f>
        <v>-0.5822631548</v>
      </c>
      <c r="G83" s="41">
        <f>IF(TYPE($A83)=1,"",(UpdateHashtag!Q81-G$1)/G$2)</f>
        <v>0.2699253707</v>
      </c>
      <c r="H83" s="41">
        <f>IF(TYPE($A83)=1,"",(UpdateHashtag!I81-H$1)/H$2*I83/$I$1)</f>
        <v>-0.4302115699</v>
      </c>
      <c r="I83" s="41">
        <f>UpdateHashtag!S81</f>
        <v>10.8</v>
      </c>
      <c r="J83" s="53">
        <f>IF(TYPE($A83)=1,"",(UpdateHashtag!K81-J$1)/J$2*K83/$K$1)</f>
        <v>0.2650676168</v>
      </c>
      <c r="K83" s="55">
        <f>UpdateHashtag!T81</f>
        <v>2.6</v>
      </c>
      <c r="L83" s="41">
        <f>IF(TYPE($A83)=1,"",-(UpdateHashtag!R81-L$1)/L$2)</f>
        <v>0.4450452712</v>
      </c>
      <c r="N83" s="112">
        <v>63.0</v>
      </c>
      <c r="O83" s="170">
        <f t="array" ref="O83">INDIRECT("Update"&amp;Projections!$AG$17&amp;"!B"&amp;ROW(B64))</f>
        <v>74</v>
      </c>
      <c r="P83" s="172" t="str">
        <f t="array" ref="P83">INDIRECT("Update"&amp;Projections!$AG$17&amp;"!C"&amp;ROW(B64))</f>
        <v>D'Angelo Russell</v>
      </c>
      <c r="Q83" s="170">
        <f>UpdateHashtag!F133</f>
        <v>74</v>
      </c>
      <c r="R83" s="177" t="str">
        <f>IF(UpdateHashtag!D133="",ROW(UpdateHashtag!D133),UpdateHashtag!D133)</f>
        <v>PF,C</v>
      </c>
      <c r="S83" s="124">
        <f t="shared" si="1"/>
        <v>-0.02285435666</v>
      </c>
      <c r="T83" s="124">
        <f>SUM(AE83:AM83)-IFERROR(IFS(Projections!$I$17,AN83,Projections!$J$17,AO83),"")</f>
        <v>0.06685176519</v>
      </c>
      <c r="U83" s="124">
        <f t="shared" si="2"/>
        <v>0.08970612185</v>
      </c>
      <c r="V83" s="124">
        <f t="array" ref="V83">INDIRECT("Update"&amp;Projections!$AG$17&amp;"!M"&amp;ROW(B64))</f>
        <v>17.59767123</v>
      </c>
      <c r="W83" s="124">
        <f t="array" ref="W83">INDIRECT("Update"&amp;Projections!$AG$17&amp;"!L"&amp;ROW(B64))</f>
        <v>3.184794521</v>
      </c>
      <c r="X83" s="124">
        <f t="array" ref="X83">INDIRECT("Update"&amp;Projections!$AG$17&amp;"!N"&amp;ROW(B64))</f>
        <v>3.395753425</v>
      </c>
      <c r="Y83" s="124">
        <f t="array" ref="Y83">INDIRECT("Update"&amp;Projections!$AG$17&amp;"!O"&amp;ROW(B64))</f>
        <v>6.177808219</v>
      </c>
      <c r="Z83" s="124">
        <f t="array" ref="Z83">INDIRECT("Update"&amp;Projections!$AG$17&amp;"!P"&amp;ROW(B64))</f>
        <v>0.9278082192</v>
      </c>
      <c r="AA83" s="124">
        <f t="array" ref="AA83">INDIRECT("Update"&amp;Projections!$AG$17&amp;"!Q"&amp;ROW(B64))</f>
        <v>0.437260274</v>
      </c>
      <c r="AB83" s="180">
        <f t="array" ref="AB83">INDIRECT("Update"&amp;Projections!$AG$17&amp;"!I"&amp;ROW(B64))</f>
        <v>0.43945023</v>
      </c>
      <c r="AC83" s="180">
        <f t="array" ref="AC83">INDIRECT("Update"&amp;Projections!$AG$17&amp;"!K"&amp;ROW(B64))</f>
        <v>0.8360202117</v>
      </c>
      <c r="AD83" s="124">
        <f t="array" ref="AD83">INDIRECT("Update"&amp;Projections!$AG$17&amp;"!R"&amp;ROW(B64))</f>
        <v>2.110410959</v>
      </c>
      <c r="AE83" s="124">
        <f t="shared" si="3"/>
        <v>0.01964868719</v>
      </c>
      <c r="AF83" s="124">
        <f t="shared" si="4"/>
        <v>1.424536204</v>
      </c>
      <c r="AG83" s="124">
        <f t="shared" si="5"/>
        <v>-1.053281369</v>
      </c>
      <c r="AH83" s="124">
        <f t="shared" si="6"/>
        <v>1.019302255</v>
      </c>
      <c r="AI83" s="124">
        <f t="shared" si="7"/>
        <v>-0.1594335132</v>
      </c>
      <c r="AJ83" s="124">
        <f t="shared" si="8"/>
        <v>-0.5554393346</v>
      </c>
      <c r="AK83" s="124">
        <f t="shared" si="9"/>
        <v>-0.9568093595</v>
      </c>
      <c r="AL83" s="124">
        <f t="shared" si="10"/>
        <v>0.3283281955</v>
      </c>
      <c r="AM83" s="124">
        <f t="shared" si="11"/>
        <v>0</v>
      </c>
      <c r="AN83" s="183">
        <f t="shared" si="12"/>
        <v>-1.053281369</v>
      </c>
      <c r="AO83" s="183">
        <f t="shared" si="13"/>
        <v>-2.010090729</v>
      </c>
      <c r="AP83" s="183">
        <f t="array" ref="AP83">INDIRECT("Update"&amp;Projections!$AG$17&amp;"!S"&amp;ROW(B64))</f>
        <v>14.23260274</v>
      </c>
      <c r="AQ83" s="183">
        <f t="array" ref="AQ83">INDIRECT("Update"&amp;Projections!$AG$17&amp;"!T"&amp;ROW(B64))</f>
        <v>2.277260274</v>
      </c>
    </row>
    <row r="84">
      <c r="A84" s="40" t="str">
        <f>IF(UpdateHashtag!C82="",ROW(UpdateHashtag!C82),UpdateHashtag!C82)</f>
        <v>Taylor Hendricks</v>
      </c>
      <c r="B84" s="41">
        <f>IF(TYPE($A84)=1,"",(UpdateHashtag!M82-B$1)/B$2)</f>
        <v>-1.097516499</v>
      </c>
      <c r="C84" s="41">
        <f>IF(TYPE($A84)=1,"",(UpdateHashtag!L82-C$1)/C$2)</f>
        <v>0.2493047061</v>
      </c>
      <c r="D84" s="41">
        <f>IF(TYPE($A84)=1,"",(UpdateHashtag!N82-D$1)/D$2)</f>
        <v>0.35924808</v>
      </c>
      <c r="E84" s="41">
        <f>IF(TYPE($A84)=1,"",(UpdateHashtag!O82-E$1)/E$2)</f>
        <v>-1.241311653</v>
      </c>
      <c r="F84" s="41">
        <f>IF(TYPE($A84)=1,"",(UpdateHashtag!P82-F$1)/F$2)</f>
        <v>0.410230859</v>
      </c>
      <c r="G84" s="41">
        <f>IF(TYPE($A84)=1,"",(UpdateHashtag!Q82-G$1)/G$2)</f>
        <v>0.6266549355</v>
      </c>
      <c r="H84" s="41">
        <f>IF(TYPE($A84)=1,"",(UpdateHashtag!I82-H$1)/H$2*I84/$I$1)</f>
        <v>-0.2747620127</v>
      </c>
      <c r="I84" s="41">
        <f>UpdateHashtag!S82</f>
        <v>9</v>
      </c>
      <c r="J84" s="53">
        <f>IF(TYPE($A84)=1,"",(UpdateHashtag!K82-J$1)/J$2*K84/$K$1)</f>
        <v>0.01167039473</v>
      </c>
      <c r="K84" s="55">
        <f>UpdateHashtag!T82</f>
        <v>1.1</v>
      </c>
      <c r="L84" s="41">
        <f>IF(TYPE($A84)=1,"",-(UpdateHashtag!R82-L$1)/L$2)</f>
        <v>0.7426238329</v>
      </c>
      <c r="N84" s="112">
        <v>64.0</v>
      </c>
      <c r="O84" s="170">
        <f t="array" ref="O84">INDIRECT("Update"&amp;Projections!$AG$17&amp;"!B"&amp;ROW(B65))</f>
        <v>70.1</v>
      </c>
      <c r="P84" s="172" t="str">
        <f t="array" ref="P84">INDIRECT("Update"&amp;Projections!$AG$17&amp;"!C"&amp;ROW(B65))</f>
        <v>Cam Thomas</v>
      </c>
      <c r="Q84" s="170">
        <f>UpdateHashtag!F125</f>
        <v>72</v>
      </c>
      <c r="R84" s="177" t="str">
        <f>IF(UpdateHashtag!D125="",ROW(UpdateHashtag!D125),UpdateHashtag!D125)</f>
        <v>PF</v>
      </c>
      <c r="S84" s="124">
        <f t="shared" si="1"/>
        <v>0.07447527863</v>
      </c>
      <c r="T84" s="124">
        <f>SUM(AE84:AM84)-IFERROR(IFS(Projections!$I$17,AN84,Projections!$J$17,AO84),"")</f>
        <v>0.1547716673</v>
      </c>
      <c r="U84" s="124">
        <f t="shared" si="2"/>
        <v>0.08029638866</v>
      </c>
      <c r="V84" s="124">
        <f t="array" ref="V84">INDIRECT("Update"&amp;Projections!$AG$17&amp;"!M"&amp;ROW(B65))</f>
        <v>26.6839726</v>
      </c>
      <c r="W84" s="124">
        <f t="array" ref="W84">INDIRECT("Update"&amp;Projections!$AG$17&amp;"!L"&amp;ROW(B65))</f>
        <v>2.650136986</v>
      </c>
      <c r="X84" s="124">
        <f t="array" ref="X84">INDIRECT("Update"&amp;Projections!$AG$17&amp;"!N"&amp;ROW(B65))</f>
        <v>3.648630137</v>
      </c>
      <c r="Y84" s="124">
        <f t="array" ref="Y84">INDIRECT("Update"&amp;Projections!$AG$17&amp;"!O"&amp;ROW(B65))</f>
        <v>3.648630137</v>
      </c>
      <c r="Z84" s="124">
        <f t="array" ref="Z84">INDIRECT("Update"&amp;Projections!$AG$17&amp;"!P"&amp;ROW(B65))</f>
        <v>0.7884931507</v>
      </c>
      <c r="AA84" s="124">
        <f t="array" ref="AA84">INDIRECT("Update"&amp;Projections!$AG$17&amp;"!Q"&amp;ROW(B65))</f>
        <v>0.2143835616</v>
      </c>
      <c r="AB84" s="180">
        <f t="array" ref="AB84">INDIRECT("Update"&amp;Projections!$AG$17&amp;"!I"&amp;ROW(B65))</f>
        <v>0.4314966784</v>
      </c>
      <c r="AC84" s="180">
        <f t="array" ref="AC84">INDIRECT("Update"&amp;Projections!$AG$17&amp;"!K"&amp;ROW(B65))</f>
        <v>0.8739976391</v>
      </c>
      <c r="AD84" s="124">
        <f t="array" ref="AD84">INDIRECT("Update"&amp;Projections!$AG$17&amp;"!R"&amp;ROW(B65))</f>
        <v>2.072465753</v>
      </c>
      <c r="AE84" s="124">
        <f t="shared" si="3"/>
        <v>1.657505744</v>
      </c>
      <c r="AF84" s="124">
        <f t="shared" si="4"/>
        <v>0.8941941368</v>
      </c>
      <c r="AG84" s="124">
        <f t="shared" si="5"/>
        <v>-0.9541772166</v>
      </c>
      <c r="AH84" s="124">
        <f t="shared" si="6"/>
        <v>-0.1292946568</v>
      </c>
      <c r="AI84" s="124">
        <f t="shared" si="7"/>
        <v>-0.6203314182</v>
      </c>
      <c r="AJ84" s="124">
        <f t="shared" si="8"/>
        <v>-0.9529728977</v>
      </c>
      <c r="AK84" s="124">
        <f t="shared" si="9"/>
        <v>-1.608549313</v>
      </c>
      <c r="AL84" s="124">
        <f t="shared" si="10"/>
        <v>1.868397288</v>
      </c>
      <c r="AM84" s="124">
        <f t="shared" si="11"/>
        <v>0</v>
      </c>
      <c r="AN84" s="183">
        <f t="shared" si="12"/>
        <v>-1.608549313</v>
      </c>
      <c r="AO84" s="183">
        <f t="shared" si="13"/>
        <v>-2.56272653</v>
      </c>
      <c r="AP84" s="183">
        <f t="array" ref="AP84">INDIRECT("Update"&amp;Projections!$AG$17&amp;"!S"&amp;ROW(B65))</f>
        <v>21.03287671</v>
      </c>
      <c r="AQ84" s="183">
        <f t="array" ref="AQ84">INDIRECT("Update"&amp;Projections!$AG$17&amp;"!T"&amp;ROW(B65))</f>
        <v>6.730684932</v>
      </c>
    </row>
    <row r="85">
      <c r="A85" s="40" t="str">
        <f>IF(UpdateHashtag!C83="",ROW(UpdateHashtag!C83),UpdateHashtag!C83)</f>
        <v>Bogdan Bogdanovic</v>
      </c>
      <c r="B85" s="41">
        <f>IF(TYPE($A85)=1,"",(UpdateHashtag!M83-B$1)/B$2)</f>
        <v>-0.07005935826</v>
      </c>
      <c r="C85" s="41">
        <f>IF(TYPE($A85)=1,"",(UpdateHashtag!L83-C$1)/C$2)</f>
        <v>1.340426099</v>
      </c>
      <c r="D85" s="41">
        <f>IF(TYPE($A85)=1,"",(UpdateHashtag!N83-D$1)/D$2)</f>
        <v>-1.012426407</v>
      </c>
      <c r="E85" s="41">
        <f>IF(TYPE($A85)=1,"",(UpdateHashtag!O83-E$1)/E$2)</f>
        <v>-0.3330348336</v>
      </c>
      <c r="F85" s="41">
        <f>IF(TYPE($A85)=1,"",(UpdateHashtag!P83-F$1)/F$2)</f>
        <v>0.410230859</v>
      </c>
      <c r="G85" s="41">
        <f>IF(TYPE($A85)=1,"",(UpdateHashtag!Q83-G$1)/G$2)</f>
        <v>-0.6218985413</v>
      </c>
      <c r="H85" s="41">
        <f>IF(TYPE($A85)=1,"",(UpdateHashtag!I83-H$1)/H$2*I85/$I$1)</f>
        <v>-1.007855413</v>
      </c>
      <c r="I85" s="41">
        <f>UpdateHashtag!S83</f>
        <v>13.7</v>
      </c>
      <c r="J85" s="53">
        <f>IF(TYPE($A85)=1,"",(UpdateHashtag!K83-J$1)/J$2*K85/$K$1)</f>
        <v>0.7596857851</v>
      </c>
      <c r="K85" s="55">
        <f>UpdateHashtag!T83</f>
        <v>2.3</v>
      </c>
      <c r="L85" s="41">
        <f>IF(TYPE($A85)=1,"",-(UpdateHashtag!R83-L$1)/L$2)</f>
        <v>0.3458524173</v>
      </c>
      <c r="N85" s="5">
        <v>65.0</v>
      </c>
      <c r="O85" s="170">
        <f t="array" ref="O85">INDIRECT("Update"&amp;Projections!$AG$17&amp;"!B"&amp;ROW(B66))</f>
        <v>96.7</v>
      </c>
      <c r="P85" s="172" t="str">
        <f t="array" ref="P85">INDIRECT("Update"&amp;Projections!$AG$17&amp;"!C"&amp;ROW(B66))</f>
        <v>Trey Murphy III</v>
      </c>
      <c r="Q85" s="170">
        <f>UpdateHashtag!F126</f>
        <v>65</v>
      </c>
      <c r="R85" s="177" t="str">
        <f>IF(UpdateHashtag!D126="",ROW(UpdateHashtag!D126),UpdateHashtag!D126)</f>
        <v>PG,SG</v>
      </c>
      <c r="S85" s="124">
        <f t="shared" si="1"/>
        <v>0.2152965678</v>
      </c>
      <c r="T85" s="124">
        <f>SUM(AE85:AM85)-IFERROR(IFS(Projections!$I$17,AN85,Projections!$J$17,AO85),"")</f>
        <v>-0.07490722086</v>
      </c>
      <c r="U85" s="124">
        <f t="shared" si="2"/>
        <v>-0.2902037887</v>
      </c>
      <c r="V85" s="124">
        <f t="array" ref="V85">INDIRECT("Update"&amp;Projections!$AG$17&amp;"!M"&amp;ROW(B66))</f>
        <v>16.47492754</v>
      </c>
      <c r="W85" s="124">
        <f t="array" ref="W85">INDIRECT("Update"&amp;Projections!$AG$17&amp;"!L"&amp;ROW(B66))</f>
        <v>3.33884058</v>
      </c>
      <c r="X85" s="124">
        <f t="array" ref="X85">INDIRECT("Update"&amp;Projections!$AG$17&amp;"!N"&amp;ROW(B66))</f>
        <v>5.754347826</v>
      </c>
      <c r="Y85" s="124">
        <f t="array" ref="Y85">INDIRECT("Update"&amp;Projections!$AG$17&amp;"!O"&amp;ROW(B66))</f>
        <v>2.045942029</v>
      </c>
      <c r="Z85" s="124">
        <f t="array" ref="Z85">INDIRECT("Update"&amp;Projections!$AG$17&amp;"!P"&amp;ROW(B66))</f>
        <v>1.013913043</v>
      </c>
      <c r="AA85" s="124">
        <f t="array" ref="AA85">INDIRECT("Update"&amp;Projections!$AG$17&amp;"!Q"&amp;ROW(B66))</f>
        <v>0.4475362319</v>
      </c>
      <c r="AB85" s="180">
        <f t="array" ref="AB85">INDIRECT("Update"&amp;Projections!$AG$17&amp;"!I"&amp;ROW(B66))</f>
        <v>0.4493969521</v>
      </c>
      <c r="AC85" s="180">
        <f t="array" ref="AC85">INDIRECT("Update"&amp;Projections!$AG$17&amp;"!K"&amp;ROW(B66))</f>
        <v>0.8500216315</v>
      </c>
      <c r="AD85" s="124">
        <f t="array" ref="AD85">INDIRECT("Update"&amp;Projections!$AG$17&amp;"!R"&amp;ROW(B66))</f>
        <v>0.5784057971</v>
      </c>
      <c r="AE85" s="124">
        <f t="shared" si="3"/>
        <v>-0.1827321938</v>
      </c>
      <c r="AF85" s="124">
        <f t="shared" si="4"/>
        <v>1.577338887</v>
      </c>
      <c r="AG85" s="124">
        <f t="shared" si="5"/>
        <v>-0.128931722</v>
      </c>
      <c r="AH85" s="124">
        <f t="shared" si="6"/>
        <v>-0.857136885</v>
      </c>
      <c r="AI85" s="124">
        <f t="shared" si="7"/>
        <v>0.1254282274</v>
      </c>
      <c r="AJ85" s="124">
        <f t="shared" si="8"/>
        <v>-0.5371106447</v>
      </c>
      <c r="AK85" s="124">
        <f t="shared" si="9"/>
        <v>-0.6547434776</v>
      </c>
      <c r="AL85" s="124">
        <f t="shared" si="10"/>
        <v>0.5829805881</v>
      </c>
      <c r="AM85" s="124">
        <f t="shared" si="11"/>
        <v>0</v>
      </c>
      <c r="AN85" s="183">
        <f t="shared" si="12"/>
        <v>-0.857136885</v>
      </c>
      <c r="AO85" s="183">
        <f t="shared" si="13"/>
        <v>-1.511880363</v>
      </c>
      <c r="AP85" s="183">
        <f t="array" ref="AP85">INDIRECT("Update"&amp;Projections!$AG$17&amp;"!S"&amp;ROW(B66))</f>
        <v>11.76391304</v>
      </c>
      <c r="AQ85" s="183">
        <f t="array" ref="AQ85">INDIRECT("Update"&amp;Projections!$AG$17&amp;"!T"&amp;ROW(B66))</f>
        <v>3.014927536</v>
      </c>
    </row>
    <row r="86">
      <c r="A86" s="40" t="str">
        <f>IF(UpdateHashtag!C84="",ROW(UpdateHashtag!C84),UpdateHashtag!C84)</f>
        <v>Paolo Banchero</v>
      </c>
      <c r="B86" s="41">
        <f>IF(TYPE($A86)=1,"",(UpdateHashtag!M84-B$1)/B$2)</f>
        <v>1.011474474</v>
      </c>
      <c r="C86" s="41">
        <f>IF(TYPE($A86)=1,"",(UpdateHashtag!L84-C$1)/C$2)</f>
        <v>-0.1474667095</v>
      </c>
      <c r="D86" s="41">
        <f>IF(TYPE($A86)=1,"",(UpdateHashtag!N84-D$1)/D$2)</f>
        <v>0.5160108785</v>
      </c>
      <c r="E86" s="41">
        <f>IF(TYPE($A86)=1,"",(UpdateHashtag!O84-E$1)/E$2)</f>
        <v>0.8023111901</v>
      </c>
      <c r="F86" s="41">
        <f>IF(TYPE($A86)=1,"",(UpdateHashtag!P84-F$1)/F$2)</f>
        <v>0.0793995211</v>
      </c>
      <c r="G86" s="41">
        <f>IF(TYPE($A86)=1,"",(UpdateHashtag!Q84-G$1)/G$2)</f>
        <v>-0.08680419409</v>
      </c>
      <c r="H86" s="41">
        <f>IF(TYPE($A86)=1,"",(UpdateHashtag!I84-H$1)/H$2*I86/$I$1)</f>
        <v>-0.7133576508</v>
      </c>
      <c r="I86" s="41">
        <f>UpdateHashtag!S84</f>
        <v>17.4</v>
      </c>
      <c r="J86" s="53">
        <f>IF(TYPE($A86)=1,"",(UpdateHashtag!K84-J$1)/J$2*K86/$K$1)</f>
        <v>-1.663266624</v>
      </c>
      <c r="K86" s="55">
        <f>UpdateHashtag!T84</f>
        <v>7.4</v>
      </c>
      <c r="L86" s="41">
        <f>IF(TYPE($A86)=1,"",-(UpdateHashtag!R84-L$1)/L$2)</f>
        <v>-1.241233245</v>
      </c>
      <c r="N86" s="112">
        <v>66.0</v>
      </c>
      <c r="O86" s="170">
        <f t="array" ref="O86">INDIRECT("Update"&amp;Projections!$AG$17&amp;"!B"&amp;ROW(B67))</f>
        <v>53.8</v>
      </c>
      <c r="P86" s="172" t="str">
        <f t="array" ref="P86">INDIRECT("Update"&amp;Projections!$AG$17&amp;"!C"&amp;ROW(B67))</f>
        <v>Jalen Duren</v>
      </c>
      <c r="Q86" s="170">
        <f>UpdateHashtag!F120</f>
        <v>68</v>
      </c>
      <c r="R86" s="177" t="str">
        <f>IF(UpdateHashtag!D120="",ROW(UpdateHashtag!D120),UpdateHashtag!D120)</f>
        <v>PG</v>
      </c>
      <c r="S86" s="124">
        <f t="shared" si="1"/>
        <v>-1.012956475</v>
      </c>
      <c r="T86" s="124">
        <f>SUM(AE86:AM86)-IFERROR(IFS(Projections!$I$17,AN86,Projections!$J$17,AO86),"")</f>
        <v>-0.8977882234</v>
      </c>
      <c r="U86" s="124">
        <f t="shared" si="2"/>
        <v>0.1151682519</v>
      </c>
      <c r="V86" s="124">
        <f t="array" ref="V86">INDIRECT("Update"&amp;Projections!$AG$17&amp;"!M"&amp;ROW(B67))</f>
        <v>12.98647059</v>
      </c>
      <c r="W86" s="124">
        <f t="array" ref="W86">INDIRECT("Update"&amp;Projections!$AG$17&amp;"!L"&amp;ROW(B67))</f>
        <v>0</v>
      </c>
      <c r="X86" s="124">
        <f t="array" ref="X86">INDIRECT("Update"&amp;Projections!$AG$17&amp;"!N"&amp;ROW(B67))</f>
        <v>11.42411765</v>
      </c>
      <c r="Y86" s="124">
        <f t="array" ref="Y86">INDIRECT("Update"&amp;Projections!$AG$17&amp;"!O"&amp;ROW(B67))</f>
        <v>2.262941176</v>
      </c>
      <c r="Z86" s="124">
        <f t="array" ref="Z86">INDIRECT("Update"&amp;Projections!$AG$17&amp;"!P"&amp;ROW(B67))</f>
        <v>0.6036764706</v>
      </c>
      <c r="AA86" s="124">
        <f t="array" ref="AA86">INDIRECT("Update"&amp;Projections!$AG$17&amp;"!Q"&amp;ROW(B67))</f>
        <v>0.8373529412</v>
      </c>
      <c r="AB86" s="180">
        <f t="array" ref="AB86">INDIRECT("Update"&amp;Projections!$AG$17&amp;"!I"&amp;ROW(B67))</f>
        <v>0.6229925716</v>
      </c>
      <c r="AC86" s="180">
        <f t="array" ref="AC86">INDIRECT("Update"&amp;Projections!$AG$17&amp;"!K"&amp;ROW(B67))</f>
        <v>0.8100140596</v>
      </c>
      <c r="AD86" s="124">
        <f t="array" ref="AD86">INDIRECT("Update"&amp;Projections!$AG$17&amp;"!R"&amp;ROW(B67))</f>
        <v>2.213088235</v>
      </c>
      <c r="AE86" s="124">
        <f t="shared" si="3"/>
        <v>-0.8115462295</v>
      </c>
      <c r="AF86" s="124">
        <f t="shared" si="4"/>
        <v>-1.734552372</v>
      </c>
      <c r="AG86" s="124">
        <f t="shared" si="5"/>
        <v>2.09309074</v>
      </c>
      <c r="AH86" s="124">
        <f t="shared" si="6"/>
        <v>-0.7585892375</v>
      </c>
      <c r="AI86" s="124">
        <f t="shared" si="7"/>
        <v>-1.231762914</v>
      </c>
      <c r="AJ86" s="124">
        <f t="shared" si="8"/>
        <v>0.1581850806</v>
      </c>
      <c r="AK86" s="124">
        <f t="shared" si="9"/>
        <v>1.216132139</v>
      </c>
      <c r="AL86" s="124">
        <f t="shared" si="10"/>
        <v>0.17125457</v>
      </c>
      <c r="AM86" s="124">
        <f t="shared" si="11"/>
        <v>0</v>
      </c>
      <c r="AN86" s="183">
        <f t="shared" si="12"/>
        <v>-1.734552372</v>
      </c>
      <c r="AO86" s="183">
        <f t="shared" si="13"/>
        <v>-2.966315286</v>
      </c>
      <c r="AP86" s="183">
        <f t="array" ref="AP86">INDIRECT("Update"&amp;Projections!$AG$17&amp;"!S"&amp;ROW(B67))</f>
        <v>8.314705882</v>
      </c>
      <c r="AQ86" s="183">
        <f t="array" ref="AQ86">INDIRECT("Update"&amp;Projections!$AG$17&amp;"!T"&amp;ROW(B67))</f>
        <v>3.2425</v>
      </c>
    </row>
    <row r="87">
      <c r="A87" s="40" t="str">
        <f>IF(UpdateHashtag!C85="",ROW(UpdateHashtag!C85),UpdateHashtag!C85)</f>
        <v>Austin Reaves</v>
      </c>
      <c r="B87" s="41">
        <f>IF(TYPE($A87)=1,"",(UpdateHashtag!M85-B$1)/B$2)</f>
        <v>-0.3224172525</v>
      </c>
      <c r="C87" s="41">
        <f>IF(TYPE($A87)=1,"",(UpdateHashtag!L85-C$1)/C$2)</f>
        <v>0.2493047061</v>
      </c>
      <c r="D87" s="41">
        <f>IF(TYPE($A87)=1,"",(UpdateHashtag!N85-D$1)/D$2)</f>
        <v>-0.816472909</v>
      </c>
      <c r="E87" s="41">
        <f>IF(TYPE($A87)=1,"",(UpdateHashtag!O85-E$1)/E$2)</f>
        <v>0.5298281444</v>
      </c>
      <c r="F87" s="41">
        <f>IF(TYPE($A87)=1,"",(UpdateHashtag!P85-F$1)/F$2)</f>
        <v>-0.5822631548</v>
      </c>
      <c r="G87" s="41">
        <f>IF(TYPE($A87)=1,"",(UpdateHashtag!Q85-G$1)/G$2)</f>
        <v>-0.8002633236</v>
      </c>
      <c r="H87" s="41">
        <f>IF(TYPE($A87)=1,"",(UpdateHashtag!I85-H$1)/H$2*I87/$I$1)</f>
        <v>-0.1915308274</v>
      </c>
      <c r="I87" s="41">
        <f>UpdateHashtag!S85</f>
        <v>10.8</v>
      </c>
      <c r="J87" s="53">
        <f>IF(TYPE($A87)=1,"",(UpdateHashtag!K85-J$1)/J$2*K87/$K$1)</f>
        <v>0.8771345017</v>
      </c>
      <c r="K87" s="55">
        <f>UpdateHashtag!T85</f>
        <v>3.9</v>
      </c>
      <c r="L87" s="41">
        <f>IF(TYPE($A87)=1,"",-(UpdateHashtag!R85-L$1)/L$2)</f>
        <v>-0.2493047061</v>
      </c>
      <c r="N87" s="112">
        <v>67.0</v>
      </c>
      <c r="O87" s="170">
        <f t="array" ref="O87">INDIRECT("Update"&amp;Projections!$AG$17&amp;"!B"&amp;ROW(B68))</f>
        <v>101.8</v>
      </c>
      <c r="P87" s="172" t="str">
        <f t="array" ref="P87">INDIRECT("Update"&amp;Projections!$AG$17&amp;"!C"&amp;ROW(B68))</f>
        <v>Jalen Suggs</v>
      </c>
      <c r="Q87" s="170">
        <f>UpdateHashtag!F143</f>
        <v>66</v>
      </c>
      <c r="R87" s="177" t="str">
        <f>IF(UpdateHashtag!D143="",ROW(UpdateHashtag!D143),UpdateHashtag!D143)</f>
        <v>SF,PF</v>
      </c>
      <c r="S87" s="124">
        <f t="shared" si="1"/>
        <v>-0.2420519162</v>
      </c>
      <c r="T87" s="124">
        <f>SUM(AE87:AM87)-IFERROR(IFS(Projections!$I$17,AN87,Projections!$J$17,AO87),"")</f>
        <v>-0.2106505705</v>
      </c>
      <c r="U87" s="124">
        <f t="shared" si="2"/>
        <v>0.0314013457</v>
      </c>
      <c r="V87" s="124">
        <f t="array" ref="V87">INDIRECT("Update"&amp;Projections!$AG$17&amp;"!M"&amp;ROW(B68))</f>
        <v>13.48</v>
      </c>
      <c r="W87" s="124">
        <f t="array" ref="W87">INDIRECT("Update"&amp;Projections!$AG$17&amp;"!L"&amp;ROW(B68))</f>
        <v>2.01</v>
      </c>
      <c r="X87" s="124">
        <f t="array" ref="X87">INDIRECT("Update"&amp;Projections!$AG$17&amp;"!N"&amp;ROW(B68))</f>
        <v>3.398970588</v>
      </c>
      <c r="Y87" s="124">
        <f t="array" ref="Y87">INDIRECT("Update"&amp;Projections!$AG$17&amp;"!O"&amp;ROW(B68))</f>
        <v>4.453970588</v>
      </c>
      <c r="Z87" s="124">
        <f t="array" ref="Z87">INDIRECT("Update"&amp;Projections!$AG$17&amp;"!P"&amp;ROW(B68))</f>
        <v>1.540441176</v>
      </c>
      <c r="AA87" s="124">
        <f t="array" ref="AA87">INDIRECT("Update"&amp;Projections!$AG$17&amp;"!Q"&amp;ROW(B68))</f>
        <v>0.64</v>
      </c>
      <c r="AB87" s="180">
        <f t="array" ref="AB87">INDIRECT("Update"&amp;Projections!$AG$17&amp;"!I"&amp;ROW(B68))</f>
        <v>0.4743023035</v>
      </c>
      <c r="AC87" s="180">
        <f t="array" ref="AC87">INDIRECT("Update"&amp;Projections!$AG$17&amp;"!K"&amp;ROW(B68))</f>
        <v>0.7570028011</v>
      </c>
      <c r="AD87" s="124">
        <f t="array" ref="AD87">INDIRECT("Update"&amp;Projections!$AG$17&amp;"!R"&amp;ROW(B68))</f>
        <v>1.875294118</v>
      </c>
      <c r="AE87" s="124">
        <f t="shared" si="3"/>
        <v>-0.7225847705</v>
      </c>
      <c r="AF87" s="124">
        <f t="shared" si="4"/>
        <v>0.2592239915</v>
      </c>
      <c r="AG87" s="124">
        <f t="shared" si="5"/>
        <v>-1.052020541</v>
      </c>
      <c r="AH87" s="124">
        <f t="shared" si="6"/>
        <v>0.2364413748</v>
      </c>
      <c r="AI87" s="124">
        <f t="shared" si="7"/>
        <v>1.867348294</v>
      </c>
      <c r="AJ87" s="124">
        <f t="shared" si="8"/>
        <v>-0.1938230635</v>
      </c>
      <c r="AK87" s="124">
        <f t="shared" si="9"/>
        <v>-0.269026816</v>
      </c>
      <c r="AL87" s="124">
        <f t="shared" si="10"/>
        <v>-0.3362090405</v>
      </c>
      <c r="AM87" s="124">
        <f t="shared" si="11"/>
        <v>0</v>
      </c>
      <c r="AN87" s="183">
        <f t="shared" si="12"/>
        <v>-1.052020541</v>
      </c>
      <c r="AO87" s="183">
        <f t="shared" si="13"/>
        <v>-1.774605311</v>
      </c>
      <c r="AP87" s="183">
        <f t="array" ref="AP87">INDIRECT("Update"&amp;Projections!$AG$17&amp;"!S"&amp;ROW(B68))</f>
        <v>10.08044118</v>
      </c>
      <c r="AQ87" s="183">
        <f t="array" ref="AQ87">INDIRECT("Update"&amp;Projections!$AG$17&amp;"!T"&amp;ROW(B68))</f>
        <v>2.52</v>
      </c>
    </row>
    <row r="88">
      <c r="A88" s="40" t="str">
        <f>IF(UpdateHashtag!C86="",ROW(UpdateHashtag!C86),UpdateHashtag!C86)</f>
        <v>Keegan Murray</v>
      </c>
      <c r="B88" s="41">
        <f>IF(TYPE($A88)=1,"",(UpdateHashtag!M86-B$1)/B$2)</f>
        <v>-0.5206984551</v>
      </c>
      <c r="C88" s="41">
        <f>IF(TYPE($A88)=1,"",(UpdateHashtag!L86-C$1)/C$2)</f>
        <v>0.9436546835</v>
      </c>
      <c r="D88" s="41">
        <f>IF(TYPE($A88)=1,"",(UpdateHashtag!N86-D$1)/D$2)</f>
        <v>-0.2678031142</v>
      </c>
      <c r="E88" s="41">
        <f>IF(TYPE($A88)=1,"",(UpdateHashtag!O86-E$1)/E$2)</f>
        <v>-1.059656289</v>
      </c>
      <c r="F88" s="41">
        <f>IF(TYPE($A88)=1,"",(UpdateHashtag!P86-F$1)/F$2)</f>
        <v>0.0793995211</v>
      </c>
      <c r="G88" s="41">
        <f>IF(TYPE($A88)=1,"",(UpdateHashtag!Q86-G$1)/G$2)</f>
        <v>0.09156058829</v>
      </c>
      <c r="H88" s="41">
        <f>IF(TYPE($A88)=1,"",(UpdateHashtag!I86-H$1)/H$2*I88/$I$1)</f>
        <v>-0.6036342989</v>
      </c>
      <c r="I88" s="41">
        <f>UpdateHashtag!S86</f>
        <v>12</v>
      </c>
      <c r="J88" s="53">
        <f>IF(TYPE($A88)=1,"",(UpdateHashtag!K86-J$1)/J$2*K88/$K$1)</f>
        <v>0.1873375886</v>
      </c>
      <c r="K88" s="55">
        <f>UpdateHashtag!T86</f>
        <v>1.3</v>
      </c>
      <c r="L88" s="41">
        <f>IF(TYPE($A88)=1,"",-(UpdateHashtag!R86-L$1)/L$2)</f>
        <v>0.9410095407</v>
      </c>
      <c r="N88" s="5">
        <v>68.0</v>
      </c>
      <c r="O88" s="170">
        <f t="array" ref="O88">INDIRECT("Update"&amp;Projections!$AG$17&amp;"!B"&amp;ROW(B69))</f>
        <v>102</v>
      </c>
      <c r="P88" s="172" t="str">
        <f t="array" ref="P88">INDIRECT("Update"&amp;Projections!$AG$17&amp;"!C"&amp;ROW(B69))</f>
        <v>Alex Caruso</v>
      </c>
      <c r="Q88" s="170">
        <f>UpdateHashtag!F135</f>
        <v>76</v>
      </c>
      <c r="R88" s="177" t="str">
        <f>IF(UpdateHashtag!D135="",ROW(UpdateHashtag!D135),UpdateHashtag!D135)</f>
        <v>SG,SF</v>
      </c>
      <c r="S88" s="124">
        <f t="shared" si="1"/>
        <v>-0.1474799882</v>
      </c>
      <c r="T88" s="124">
        <f>SUM(AE88:AM88)-IFERROR(IFS(Projections!$I$17,AN88,Projections!$J$17,AO88),"")</f>
        <v>-0.2275611994</v>
      </c>
      <c r="U88" s="124">
        <f t="shared" si="2"/>
        <v>-0.08008121117</v>
      </c>
      <c r="V88" s="124">
        <f t="array" ref="V88">INDIRECT("Update"&amp;Projections!$AG$17&amp;"!M"&amp;ROW(B69))</f>
        <v>8.978088235</v>
      </c>
      <c r="W88" s="124">
        <f t="array" ref="W88">INDIRECT("Update"&amp;Projections!$AG$17&amp;"!L"&amp;ROW(B69))</f>
        <v>1.822647059</v>
      </c>
      <c r="X88" s="124">
        <f t="array" ref="X88">INDIRECT("Update"&amp;Projections!$AG$17&amp;"!N"&amp;ROW(B69))</f>
        <v>3.770735294</v>
      </c>
      <c r="Y88" s="124">
        <f t="array" ref="Y88">INDIRECT("Update"&amp;Projections!$AG$17&amp;"!O"&amp;ROW(B69))</f>
        <v>3.829558824</v>
      </c>
      <c r="Z88" s="124">
        <f t="array" ref="Z88">INDIRECT("Update"&amp;Projections!$AG$17&amp;"!P"&amp;ROW(B69))</f>
        <v>1.8</v>
      </c>
      <c r="AA88" s="124">
        <f t="array" ref="AA88">INDIRECT("Update"&amp;Projections!$AG$17&amp;"!Q"&amp;ROW(B69))</f>
        <v>0.7658823529</v>
      </c>
      <c r="AB88" s="180">
        <f t="array" ref="AB88">INDIRECT("Update"&amp;Projections!$AG$17&amp;"!I"&amp;ROW(B69))</f>
        <v>0.4395757015</v>
      </c>
      <c r="AC88" s="180">
        <f t="array" ref="AC88">INDIRECT("Update"&amp;Projections!$AG$17&amp;"!K"&amp;ROW(B69))</f>
        <v>0.7709817281</v>
      </c>
      <c r="AD88" s="124">
        <f t="array" ref="AD88">INDIRECT("Update"&amp;Projections!$AG$17&amp;"!R"&amp;ROW(B69))</f>
        <v>1.425735294</v>
      </c>
      <c r="AE88" s="124">
        <f t="shared" si="3"/>
        <v>-1.534079751</v>
      </c>
      <c r="AF88" s="124">
        <f t="shared" si="4"/>
        <v>0.07338326248</v>
      </c>
      <c r="AG88" s="124">
        <f t="shared" si="5"/>
        <v>-0.9063233513</v>
      </c>
      <c r="AH88" s="124">
        <f t="shared" si="6"/>
        <v>-0.04712799061</v>
      </c>
      <c r="AI88" s="124">
        <f t="shared" si="7"/>
        <v>2.726050225</v>
      </c>
      <c r="AJ88" s="124">
        <f t="shared" si="8"/>
        <v>0.03070672129</v>
      </c>
      <c r="AK88" s="124">
        <f t="shared" si="9"/>
        <v>-0.4901030456</v>
      </c>
      <c r="AL88" s="124">
        <f t="shared" si="10"/>
        <v>-0.08006726889</v>
      </c>
      <c r="AM88" s="124">
        <f t="shared" si="11"/>
        <v>0</v>
      </c>
      <c r="AN88" s="183">
        <f t="shared" si="12"/>
        <v>-1.534079751</v>
      </c>
      <c r="AO88" s="183">
        <f t="shared" si="13"/>
        <v>-2.440403103</v>
      </c>
      <c r="AP88" s="183">
        <f t="array" ref="AP88">INDIRECT("Update"&amp;Projections!$AG$17&amp;"!S"&amp;ROW(B69))</f>
        <v>7.306176471</v>
      </c>
      <c r="AQ88" s="183">
        <f t="array" ref="AQ88">INDIRECT("Update"&amp;Projections!$AG$17&amp;"!T"&amp;ROW(B69))</f>
        <v>0.9497058824</v>
      </c>
    </row>
    <row r="89">
      <c r="A89" s="40" t="str">
        <f>IF(UpdateHashtag!C87="",ROW(UpdateHashtag!C87),UpdateHashtag!C87)</f>
        <v>Onyeka Okongwu</v>
      </c>
      <c r="B89" s="41">
        <f>IF(TYPE($A89)=1,"",(UpdateHashtag!M87-B$1)/B$2)</f>
        <v>-1.24172101</v>
      </c>
      <c r="C89" s="41">
        <f>IF(TYPE($A89)=1,"",(UpdateHashtag!L87-C$1)/C$2)</f>
        <v>-1.238588102</v>
      </c>
      <c r="D89" s="41">
        <f>IF(TYPE($A89)=1,"",(UpdateHashtag!N87-D$1)/D$2)</f>
        <v>0.5943922778</v>
      </c>
      <c r="E89" s="41">
        <f>IF(TYPE($A89)=1,"",(UpdateHashtag!O87-E$1)/E$2)</f>
        <v>-1.195897812</v>
      </c>
      <c r="F89" s="41">
        <f>IF(TYPE($A89)=1,"",(UpdateHashtag!P87-F$1)/F$2)</f>
        <v>-0.9130944927</v>
      </c>
      <c r="G89" s="41">
        <f>IF(TYPE($A89)=1,"",(UpdateHashtag!Q87-G$1)/G$2)</f>
        <v>0.9833845002</v>
      </c>
      <c r="H89" s="41">
        <f>IF(TYPE($A89)=1,"",(UpdateHashtag!I87-H$1)/H$2*I89/$I$1)</f>
        <v>0.9193302916</v>
      </c>
      <c r="I89" s="41">
        <f>UpdateHashtag!S87</f>
        <v>6.6</v>
      </c>
      <c r="J89" s="53">
        <f>IF(TYPE($A89)=1,"",(UpdateHashtag!K87-J$1)/J$2*K89/$K$1)</f>
        <v>-0.09115695436</v>
      </c>
      <c r="K89" s="55">
        <f>UpdateHashtag!T87</f>
        <v>2.6</v>
      </c>
      <c r="L89" s="41">
        <f>IF(TYPE($A89)=1,"",-(UpdateHashtag!R87-L$1)/L$2)</f>
        <v>0.643430979</v>
      </c>
      <c r="N89" s="112">
        <v>69.0</v>
      </c>
      <c r="O89" s="170">
        <f t="array" ref="O89">INDIRECT("Update"&amp;Projections!$AG$17&amp;"!B"&amp;ROW(B70))</f>
        <v>58.2</v>
      </c>
      <c r="P89" s="172" t="str">
        <f t="array" ref="P89">INDIRECT("Update"&amp;Projections!$AG$17&amp;"!C"&amp;ROW(B70))</f>
        <v>Miles Bridges</v>
      </c>
      <c r="Q89" s="170">
        <f>UpdateHashtag!F123</f>
        <v>74</v>
      </c>
      <c r="R89" s="177" t="str">
        <f>IF(UpdateHashtag!D123="",ROW(UpdateHashtag!D123),UpdateHashtag!D123)</f>
        <v>SG</v>
      </c>
      <c r="S89" s="124">
        <f t="shared" si="1"/>
        <v>-0.4430138796</v>
      </c>
      <c r="T89" s="124">
        <f>SUM(AE89:AM89)-IFERROR(IFS(Projections!$I$17,AN89,Projections!$J$17,AO89),"")</f>
        <v>-0.429647419</v>
      </c>
      <c r="U89" s="124">
        <f t="shared" si="2"/>
        <v>0.01336646058</v>
      </c>
      <c r="V89" s="124">
        <f t="array" ref="V89">INDIRECT("Update"&amp;Projections!$AG$17&amp;"!M"&amp;ROW(B70))</f>
        <v>18.80608108</v>
      </c>
      <c r="W89" s="124">
        <f t="array" ref="W89">INDIRECT("Update"&amp;Projections!$AG$17&amp;"!L"&amp;ROW(B70))</f>
        <v>2.032432432</v>
      </c>
      <c r="X89" s="124">
        <f t="array" ref="X89">INDIRECT("Update"&amp;Projections!$AG$17&amp;"!N"&amp;ROW(B70))</f>
        <v>7.285135135</v>
      </c>
      <c r="Y89" s="124">
        <f t="array" ref="Y89">INDIRECT("Update"&amp;Projections!$AG$17&amp;"!O"&amp;ROW(B70))</f>
        <v>3.079324324</v>
      </c>
      <c r="Z89" s="124">
        <f t="array" ref="Z89">INDIRECT("Update"&amp;Projections!$AG$17&amp;"!P"&amp;ROW(B70))</f>
        <v>0.8133783784</v>
      </c>
      <c r="AA89" s="124">
        <f t="array" ref="AA89">INDIRECT("Update"&amp;Projections!$AG$17&amp;"!Q"&amp;ROW(B70))</f>
        <v>0.6759459459</v>
      </c>
      <c r="AB89" s="180">
        <f t="array" ref="AB89">INDIRECT("Update"&amp;Projections!$AG$17&amp;"!I"&amp;ROW(B70))</f>
        <v>0.4741350367</v>
      </c>
      <c r="AC89" s="180">
        <f t="array" ref="AC89">INDIRECT("Update"&amp;Projections!$AG$17&amp;"!K"&amp;ROW(B70))</f>
        <v>0.8019858807</v>
      </c>
      <c r="AD89" s="124">
        <f t="array" ref="AD89">INDIRECT("Update"&amp;Projections!$AG$17&amp;"!R"&amp;ROW(B70))</f>
        <v>1.802567568</v>
      </c>
      <c r="AE89" s="124">
        <f t="shared" si="3"/>
        <v>0.2374713766</v>
      </c>
      <c r="AF89" s="124">
        <f t="shared" si="4"/>
        <v>0.281475361</v>
      </c>
      <c r="AG89" s="124">
        <f t="shared" si="5"/>
        <v>0.4709945343</v>
      </c>
      <c r="AH89" s="124">
        <f t="shared" si="6"/>
        <v>-0.3878382932</v>
      </c>
      <c r="AI89" s="124">
        <f t="shared" si="7"/>
        <v>-0.5380032865</v>
      </c>
      <c r="AJ89" s="124">
        <f t="shared" si="8"/>
        <v>-0.1297081553</v>
      </c>
      <c r="AK89" s="124">
        <f t="shared" si="9"/>
        <v>-0.4219871454</v>
      </c>
      <c r="AL89" s="124">
        <f t="shared" si="10"/>
        <v>0.05794818951</v>
      </c>
      <c r="AM89" s="124">
        <f t="shared" si="11"/>
        <v>0</v>
      </c>
      <c r="AN89" s="183">
        <f t="shared" si="12"/>
        <v>-0.5380032865</v>
      </c>
      <c r="AO89" s="183">
        <f t="shared" si="13"/>
        <v>-0.9599904319</v>
      </c>
      <c r="AP89" s="183">
        <f t="array" ref="AP89">INDIRECT("Update"&amp;Projections!$AG$17&amp;"!S"&amp;ROW(B70))</f>
        <v>15.69743243</v>
      </c>
      <c r="AQ89" s="183">
        <f t="array" ref="AQ89">INDIRECT("Update"&amp;Projections!$AG$17&amp;"!T"&amp;ROW(B70))</f>
        <v>2.354459459</v>
      </c>
    </row>
    <row r="90">
      <c r="A90" s="40" t="str">
        <f>IF(UpdateHashtag!C88="",ROW(UpdateHashtag!C88),UpdateHashtag!C88)</f>
        <v>OG Anunoby</v>
      </c>
      <c r="B90" s="41">
        <f>IF(TYPE($A90)=1,"",(UpdateHashtag!M88-B$1)/B$2)</f>
        <v>-0.4846473274</v>
      </c>
      <c r="C90" s="41">
        <f>IF(TYPE($A90)=1,"",(UpdateHashtag!L88-C$1)/C$2)</f>
        <v>0.2493047061</v>
      </c>
      <c r="D90" s="41">
        <f>IF(TYPE($A90)=1,"",(UpdateHashtag!N88-D$1)/D$2)</f>
        <v>-0.7772822094</v>
      </c>
      <c r="E90" s="41">
        <f>IF(TYPE($A90)=1,"",(UpdateHashtag!O88-E$1)/E$2)</f>
        <v>-0.878000925</v>
      </c>
      <c r="F90" s="41">
        <f>IF(TYPE($A90)=1,"",(UpdateHashtag!P88-F$1)/F$2)</f>
        <v>1.733556211</v>
      </c>
      <c r="G90" s="41">
        <f>IF(TYPE($A90)=1,"",(UpdateHashtag!Q88-G$1)/G$2)</f>
        <v>-0.08680419409</v>
      </c>
      <c r="H90" s="41">
        <f>IF(TYPE($A90)=1,"",(UpdateHashtag!I88-H$1)/H$2*I90/$I$1)</f>
        <v>-0.2407279068</v>
      </c>
      <c r="I90" s="41">
        <f>UpdateHashtag!S88</f>
        <v>12</v>
      </c>
      <c r="J90" s="53">
        <f>IF(TYPE($A90)=1,"",(UpdateHashtag!K88-J$1)/J$2*K90/$K$1)</f>
        <v>-0.1491857262</v>
      </c>
      <c r="K90" s="55">
        <f>UpdateHashtag!T88</f>
        <v>1.7</v>
      </c>
      <c r="L90" s="41">
        <f>IF(TYPE($A90)=1,"",-(UpdateHashtag!R88-L$1)/L$2)</f>
        <v>-0.05091899834</v>
      </c>
      <c r="N90" s="112">
        <v>70.0</v>
      </c>
      <c r="O90" s="170">
        <f t="array" ref="O90">INDIRECT("Update"&amp;Projections!$AG$17&amp;"!B"&amp;ROW(B71))</f>
        <v>93.2</v>
      </c>
      <c r="P90" s="172" t="str">
        <f t="array" ref="P90">INDIRECT("Update"&amp;Projections!$AG$17&amp;"!C"&amp;ROW(B71))</f>
        <v>Walker Kessler</v>
      </c>
      <c r="Q90" s="170">
        <f>UpdateHashtag!F127</f>
        <v>64</v>
      </c>
      <c r="R90" s="177" t="str">
        <f>IF(UpdateHashtag!D127="",ROW(UpdateHashtag!D127),UpdateHashtag!D127)</f>
        <v>PF,C</v>
      </c>
      <c r="S90" s="124">
        <f t="shared" si="1"/>
        <v>-0.949285985</v>
      </c>
      <c r="T90" s="124">
        <f>SUM(AE90:AM90)-IFERROR(IFS(Projections!$I$17,AN90,Projections!$J$17,AO90),"")</f>
        <v>-1.087077994</v>
      </c>
      <c r="U90" s="124">
        <f t="shared" si="2"/>
        <v>-0.1377920091</v>
      </c>
      <c r="V90" s="124">
        <f t="array" ref="V90">INDIRECT("Update"&amp;Projections!$AG$17&amp;"!M"&amp;ROW(B71))</f>
        <v>9.348356164</v>
      </c>
      <c r="W90" s="124">
        <f t="array" ref="W90">INDIRECT("Update"&amp;Projections!$AG$17&amp;"!L"&amp;ROW(B71))</f>
        <v>0.05712328767</v>
      </c>
      <c r="X90" s="124">
        <f t="array" ref="X90">INDIRECT("Update"&amp;Projections!$AG$17&amp;"!N"&amp;ROW(B71))</f>
        <v>8.805890411</v>
      </c>
      <c r="Y90" s="124">
        <f t="array" ref="Y90">INDIRECT("Update"&amp;Projections!$AG$17&amp;"!O"&amp;ROW(B71))</f>
        <v>1.306712329</v>
      </c>
      <c r="Z90" s="124">
        <f t="array" ref="Z90">INDIRECT("Update"&amp;Projections!$AG$17&amp;"!P"&amp;ROW(B71))</f>
        <v>0.5171232877</v>
      </c>
      <c r="AA90" s="124">
        <f t="array" ref="AA90">INDIRECT("Update"&amp;Projections!$AG$17&amp;"!Q"&amp;ROW(B71))</f>
        <v>2.556575342</v>
      </c>
      <c r="AB90" s="180">
        <f t="array" ref="AB90">INDIRECT("Update"&amp;Projections!$AG$17&amp;"!I"&amp;ROW(B71))</f>
        <v>0.6835808675</v>
      </c>
      <c r="AC90" s="180">
        <f t="array" ref="AC90">INDIRECT("Update"&amp;Projections!$AG$17&amp;"!K"&amp;ROW(B71))</f>
        <v>0.650042123</v>
      </c>
      <c r="AD90" s="124">
        <f t="array" ref="AD90">INDIRECT("Update"&amp;Projections!$AG$17&amp;"!R"&amp;ROW(B71))</f>
        <v>1.193013699</v>
      </c>
      <c r="AE90" s="124">
        <f t="shared" si="3"/>
        <v>-1.467336869</v>
      </c>
      <c r="AF90" s="124">
        <f t="shared" si="4"/>
        <v>-1.677890153</v>
      </c>
      <c r="AG90" s="124">
        <f t="shared" si="5"/>
        <v>1.066989167</v>
      </c>
      <c r="AH90" s="124">
        <f t="shared" si="6"/>
        <v>-1.192849485</v>
      </c>
      <c r="AI90" s="124">
        <f t="shared" si="7"/>
        <v>-1.518107967</v>
      </c>
      <c r="AJ90" s="124">
        <f t="shared" si="8"/>
        <v>3.224672375</v>
      </c>
      <c r="AK90" s="124">
        <f t="shared" si="9"/>
        <v>1.305378851</v>
      </c>
      <c r="AL90" s="124">
        <f t="shared" si="10"/>
        <v>-0.8279339123</v>
      </c>
      <c r="AM90" s="124">
        <f t="shared" si="11"/>
        <v>0</v>
      </c>
      <c r="AN90" s="183">
        <f t="shared" si="12"/>
        <v>-1.677890153</v>
      </c>
      <c r="AO90" s="183">
        <f t="shared" si="13"/>
        <v>-3.195998119</v>
      </c>
      <c r="AP90" s="183">
        <f t="array" ref="AP90">INDIRECT("Update"&amp;Projections!$AG$17&amp;"!S"&amp;ROW(B71))</f>
        <v>6.022876712</v>
      </c>
      <c r="AQ90" s="183">
        <f t="array" ref="AQ90">INDIRECT("Update"&amp;Projections!$AG$17&amp;"!T"&amp;ROW(B71))</f>
        <v>1.626027397</v>
      </c>
    </row>
    <row r="91">
      <c r="A91" s="40" t="str">
        <f>IF(UpdateHashtag!C89="",ROW(UpdateHashtag!C89),UpdateHashtag!C89)</f>
        <v>Coby White</v>
      </c>
      <c r="B91" s="41">
        <f>IF(TYPE($A91)=1,"",(UpdateHashtag!M89-B$1)/B$2)</f>
        <v>0.09217071661</v>
      </c>
      <c r="C91" s="41">
        <f>IF(TYPE($A91)=1,"",(UpdateHashtag!L89-C$1)/C$2)</f>
        <v>0.9436546835</v>
      </c>
      <c r="D91" s="41">
        <f>IF(TYPE($A91)=1,"",(UpdateHashtag!N89-D$1)/D$2)</f>
        <v>-0.5813287112</v>
      </c>
      <c r="E91" s="41">
        <f>IF(TYPE($A91)=1,"",(UpdateHashtag!O89-E$1)/E$2)</f>
        <v>0.4390004625</v>
      </c>
      <c r="F91" s="41">
        <f>IF(TYPE($A91)=1,"",(UpdateHashtag!P89-F$1)/F$2)</f>
        <v>-0.2514318168</v>
      </c>
      <c r="G91" s="41">
        <f>IF(TYPE($A91)=1,"",(UpdateHashtag!Q89-G$1)/G$2)</f>
        <v>-0.978628106</v>
      </c>
      <c r="H91" s="41">
        <f>IF(TYPE($A91)=1,"",(UpdateHashtag!I89-H$1)/H$2*I91/$I$1)</f>
        <v>-0.8702789951</v>
      </c>
      <c r="I91" s="41">
        <f>UpdateHashtag!S89</f>
        <v>14.6</v>
      </c>
      <c r="J91" s="53">
        <f>IF(TYPE($A91)=1,"",(UpdateHashtag!K89-J$1)/J$2*K91/$K$1)</f>
        <v>0.4554826484</v>
      </c>
      <c r="K91" s="55">
        <f>UpdateHashtag!T89</f>
        <v>2.7</v>
      </c>
      <c r="L91" s="41">
        <f>IF(TYPE($A91)=1,"",-(UpdateHashtag!R89-L$1)/L$2)</f>
        <v>-0.2493047061</v>
      </c>
      <c r="N91" s="5">
        <v>71.0</v>
      </c>
      <c r="O91" s="170">
        <f t="array" ref="O91">INDIRECT("Update"&amp;Projections!$AG$17&amp;"!B"&amp;ROW(B72))</f>
        <v>101.4</v>
      </c>
      <c r="P91" s="172" t="str">
        <f t="array" ref="P91">INDIRECT("Update"&amp;Projections!$AG$17&amp;"!C"&amp;ROW(B72))</f>
        <v>Draymond Green</v>
      </c>
      <c r="Q91" s="170">
        <f>UpdateHashtag!F129</f>
        <v>78</v>
      </c>
      <c r="R91" s="177" t="str">
        <f>IF(UpdateHashtag!D129="",ROW(UpdateHashtag!D129),UpdateHashtag!D129)</f>
        <v>SG,SF</v>
      </c>
      <c r="S91" s="124">
        <f t="shared" si="1"/>
        <v>-0.8036610579</v>
      </c>
      <c r="T91" s="124">
        <f>SUM(AE91:AM91)-IFERROR(IFS(Projections!$I$17,AN91,Projections!$J$17,AO91),"")</f>
        <v>-0.6156530267</v>
      </c>
      <c r="U91" s="124">
        <f t="shared" si="2"/>
        <v>0.1880080312</v>
      </c>
      <c r="V91" s="124">
        <f t="array" ref="V91">INDIRECT("Update"&amp;Projections!$AG$17&amp;"!M"&amp;ROW(B72))</f>
        <v>8.276212121</v>
      </c>
      <c r="W91" s="124">
        <f t="array" ref="W91">INDIRECT("Update"&amp;Projections!$AG$17&amp;"!L"&amp;ROW(B72))</f>
        <v>0.7610606061</v>
      </c>
      <c r="X91" s="124">
        <f t="array" ref="X91">INDIRECT("Update"&amp;Projections!$AG$17&amp;"!N"&amp;ROW(B72))</f>
        <v>7.35</v>
      </c>
      <c r="Y91" s="124">
        <f t="array" ref="Y91">INDIRECT("Update"&amp;Projections!$AG$17&amp;"!O"&amp;ROW(B72))</f>
        <v>6.416666667</v>
      </c>
      <c r="Z91" s="124">
        <f t="array" ref="Z91">INDIRECT("Update"&amp;Projections!$AG$17&amp;"!P"&amp;ROW(B72))</f>
        <v>1.109545455</v>
      </c>
      <c r="AA91" s="124">
        <f t="array" ref="AA91">INDIRECT("Update"&amp;Projections!$AG$17&amp;"!Q"&amp;ROW(B72))</f>
        <v>0.8743939394</v>
      </c>
      <c r="AB91" s="180">
        <f t="array" ref="AB91">INDIRECT("Update"&amp;Projections!$AG$17&amp;"!I"&amp;ROW(B72))</f>
        <v>0.5117810761</v>
      </c>
      <c r="AC91" s="180">
        <f t="array" ref="AC91">INDIRECT("Update"&amp;Projections!$AG$17&amp;"!K"&amp;ROW(B72))</f>
        <v>0.7039422829</v>
      </c>
      <c r="AD91" s="124">
        <f t="array" ref="AD91">INDIRECT("Update"&amp;Projections!$AG$17&amp;"!R"&amp;ROW(B72))</f>
        <v>2.506818182</v>
      </c>
      <c r="AE91" s="124">
        <f t="shared" si="3"/>
        <v>-1.660596879</v>
      </c>
      <c r="AF91" s="124">
        <f t="shared" si="4"/>
        <v>-0.9796346368</v>
      </c>
      <c r="AG91" s="124">
        <f t="shared" si="5"/>
        <v>0.4964155287</v>
      </c>
      <c r="AH91" s="124">
        <f t="shared" si="6"/>
        <v>1.12777705</v>
      </c>
      <c r="AI91" s="124">
        <f t="shared" si="7"/>
        <v>0.4418102155</v>
      </c>
      <c r="AJ91" s="124">
        <f t="shared" si="8"/>
        <v>0.2242531764</v>
      </c>
      <c r="AK91" s="124">
        <f t="shared" si="9"/>
        <v>0.1104516557</v>
      </c>
      <c r="AL91" s="124">
        <f t="shared" si="10"/>
        <v>-0.3761291381</v>
      </c>
      <c r="AM91" s="124">
        <f t="shared" si="11"/>
        <v>0</v>
      </c>
      <c r="AN91" s="183">
        <f t="shared" si="12"/>
        <v>-1.660596879</v>
      </c>
      <c r="AO91" s="183">
        <f t="shared" si="13"/>
        <v>-2.640231515</v>
      </c>
      <c r="AP91" s="183">
        <f t="array" ref="AP91">INDIRECT("Update"&amp;Projections!$AG$17&amp;"!S"&amp;ROW(B72))</f>
        <v>6.533333333</v>
      </c>
      <c r="AQ91" s="183">
        <f t="array" ref="AQ91">INDIRECT("Update"&amp;Projections!$AG$17&amp;"!T"&amp;ROW(B72))</f>
        <v>1.176060606</v>
      </c>
    </row>
    <row r="92">
      <c r="A92" s="40" t="str">
        <f>IF(UpdateHashtag!C90="",ROW(UpdateHashtag!C90),UpdateHashtag!C90)</f>
        <v>Michael Porter Jr.</v>
      </c>
      <c r="B92" s="41">
        <f>IF(TYPE($A92)=1,"",(UpdateHashtag!M90-B$1)/B$2)</f>
        <v>0.002042897239</v>
      </c>
      <c r="C92" s="41">
        <f>IF(TYPE($A92)=1,"",(UpdateHashtag!L90-C$1)/C$2)</f>
        <v>1.142040391</v>
      </c>
      <c r="D92" s="41">
        <f>IF(TYPE($A92)=1,"",(UpdateHashtag!N90-D$1)/D$2)</f>
        <v>0.1632945818</v>
      </c>
      <c r="E92" s="41">
        <f>IF(TYPE($A92)=1,"",(UpdateHashtag!O90-E$1)/E$2)</f>
        <v>-1.150483971</v>
      </c>
      <c r="F92" s="41">
        <f>IF(TYPE($A92)=1,"",(UpdateHashtag!P90-F$1)/F$2)</f>
        <v>-1.243925831</v>
      </c>
      <c r="G92" s="41">
        <f>IF(TYPE($A92)=1,"",(UpdateHashtag!Q90-G$1)/G$2)</f>
        <v>-0.2651689765</v>
      </c>
      <c r="H92" s="41">
        <f>IF(TYPE($A92)=1,"",(UpdateHashtag!I90-H$1)/H$2*I92/$I$1)</f>
        <v>-0.1937299781</v>
      </c>
      <c r="I92" s="41">
        <f>UpdateHashtag!S90</f>
        <v>13.6</v>
      </c>
      <c r="J92" s="53">
        <f>IF(TYPE($A92)=1,"",(UpdateHashtag!K90-J$1)/J$2*K92/$K$1)</f>
        <v>0.1374802009</v>
      </c>
      <c r="K92" s="55">
        <f>UpdateHashtag!T90</f>
        <v>1.7</v>
      </c>
      <c r="L92" s="41">
        <f>IF(TYPE($A92)=1,"",-(UpdateHashtag!R90-L$1)/L$2)</f>
        <v>0.5442381251</v>
      </c>
      <c r="N92" s="112">
        <v>72.0</v>
      </c>
      <c r="O92" s="170">
        <f t="array" ref="O92">INDIRECT("Update"&amp;Projections!$AG$17&amp;"!B"&amp;ROW(B73))</f>
        <v>48.3</v>
      </c>
      <c r="P92" s="172" t="str">
        <f t="array" ref="P92">INDIRECT("Update"&amp;Projections!$AG$17&amp;"!C"&amp;ROW(B73))</f>
        <v>Pascal Siakam</v>
      </c>
      <c r="Q92" s="170">
        <f>UpdateHashtag!F131</f>
        <v>73</v>
      </c>
      <c r="R92" s="177" t="str">
        <f>IF(UpdateHashtag!D131="",ROW(UpdateHashtag!D131),UpdateHashtag!D131)</f>
        <v>PG,SG</v>
      </c>
      <c r="S92" s="124">
        <f t="shared" si="1"/>
        <v>-0.6754504293</v>
      </c>
      <c r="T92" s="124">
        <f>SUM(AE92:AM92)-IFERROR(IFS(Projections!$I$17,AN92,Projections!$J$17,AO92),"")</f>
        <v>-0.7578710851</v>
      </c>
      <c r="U92" s="124">
        <f t="shared" si="2"/>
        <v>-0.08242065579</v>
      </c>
      <c r="V92" s="124">
        <f t="array" ref="V92">INDIRECT("Update"&amp;Projections!$AG$17&amp;"!M"&amp;ROW(B73))</f>
        <v>22.94424658</v>
      </c>
      <c r="W92" s="124">
        <f t="array" ref="W92">INDIRECT("Update"&amp;Projections!$AG$17&amp;"!L"&amp;ROW(B73))</f>
        <v>0.8468493151</v>
      </c>
      <c r="X92" s="124">
        <f t="array" ref="X92">INDIRECT("Update"&amp;Projections!$AG$17&amp;"!N"&amp;ROW(B73))</f>
        <v>8.07260274</v>
      </c>
      <c r="Y92" s="124">
        <f t="array" ref="Y92">INDIRECT("Update"&amp;Projections!$AG$17&amp;"!O"&amp;ROW(B73))</f>
        <v>3.399041096</v>
      </c>
      <c r="Z92" s="124">
        <f t="array" ref="Z92">INDIRECT("Update"&amp;Projections!$AG$17&amp;"!P"&amp;ROW(B73))</f>
        <v>0.8612328767</v>
      </c>
      <c r="AA92" s="124">
        <f t="array" ref="AA92">INDIRECT("Update"&amp;Projections!$AG$17&amp;"!Q"&amp;ROW(B73))</f>
        <v>0.4209589041</v>
      </c>
      <c r="AB92" s="180">
        <f t="array" ref="AB92">INDIRECT("Update"&amp;Projections!$AG$17&amp;"!I"&amp;ROW(B73))</f>
        <v>0.5370361488</v>
      </c>
      <c r="AC92" s="180">
        <f t="array" ref="AC92">INDIRECT("Update"&amp;Projections!$AG$17&amp;"!K"&amp;ROW(B73))</f>
        <v>0.7270103315</v>
      </c>
      <c r="AD92" s="124">
        <f t="array" ref="AD92">INDIRECT("Update"&amp;Projections!$AG$17&amp;"!R"&amp;ROW(B73))</f>
        <v>1.41630137</v>
      </c>
      <c r="AE92" s="124">
        <f t="shared" si="3"/>
        <v>0.983399042</v>
      </c>
      <c r="AF92" s="124">
        <f t="shared" si="4"/>
        <v>-0.894538368</v>
      </c>
      <c r="AG92" s="124">
        <f t="shared" si="5"/>
        <v>0.7796085981</v>
      </c>
      <c r="AH92" s="124">
        <f t="shared" si="6"/>
        <v>-0.2426426269</v>
      </c>
      <c r="AI92" s="124">
        <f t="shared" si="7"/>
        <v>-0.3796856095</v>
      </c>
      <c r="AJ92" s="124">
        <f t="shared" si="8"/>
        <v>-0.5845152376</v>
      </c>
      <c r="AK92" s="124">
        <f t="shared" si="9"/>
        <v>0.7930890068</v>
      </c>
      <c r="AL92" s="124">
        <f t="shared" si="10"/>
        <v>-1.21258589</v>
      </c>
      <c r="AM92" s="124">
        <f t="shared" si="11"/>
        <v>0</v>
      </c>
      <c r="AN92" s="183">
        <f t="shared" si="12"/>
        <v>-1.21258589</v>
      </c>
      <c r="AO92" s="183">
        <f t="shared" si="13"/>
        <v>-2.107124258</v>
      </c>
      <c r="AP92" s="183">
        <f t="array" ref="AP92">INDIRECT("Update"&amp;Projections!$AG$17&amp;"!S"&amp;ROW(B73))</f>
        <v>17.13616438</v>
      </c>
      <c r="AQ92" s="183">
        <f t="array" ref="AQ92">INDIRECT("Update"&amp;Projections!$AG$17&amp;"!T"&amp;ROW(B73))</f>
        <v>5.078219178</v>
      </c>
    </row>
    <row r="93">
      <c r="A93" s="40" t="str">
        <f>IF(UpdateHashtag!C91="",ROW(UpdateHashtag!C91),UpdateHashtag!C91)</f>
        <v>Alex Caruso</v>
      </c>
      <c r="B93" s="41">
        <f>IF(TYPE($A93)=1,"",(UpdateHashtag!M91-B$1)/B$2)</f>
        <v>-1.584206724</v>
      </c>
      <c r="C93" s="41">
        <f>IF(TYPE($A93)=1,"",(UpdateHashtag!L91-C$1)/C$2)</f>
        <v>-0.2466595634</v>
      </c>
      <c r="D93" s="41">
        <f>IF(TYPE($A93)=1,"",(UpdateHashtag!N91-D$1)/D$2)</f>
        <v>-0.8948543083</v>
      </c>
      <c r="E93" s="41">
        <f>IF(TYPE($A93)=1,"",(UpdateHashtag!O91-E$1)/E$2)</f>
        <v>-0.1967933108</v>
      </c>
      <c r="F93" s="41">
        <f>IF(TYPE($A93)=1,"",(UpdateHashtag!P91-F$1)/F$2)</f>
        <v>2.064387549</v>
      </c>
      <c r="G93" s="41">
        <f>IF(TYPE($A93)=1,"",(UpdateHashtag!Q91-G$1)/G$2)</f>
        <v>0.2699253707</v>
      </c>
      <c r="H93" s="41">
        <f>IF(TYPE($A93)=1,"",(UpdateHashtag!I91-H$1)/H$2*I93/$I$1)</f>
        <v>-0.2629070705</v>
      </c>
      <c r="I93" s="41">
        <f>UpdateHashtag!S91</f>
        <v>6.6</v>
      </c>
      <c r="J93" s="53">
        <f>IF(TYPE($A93)=1,"",(UpdateHashtag!K91-J$1)/J$2*K93/$K$1)</f>
        <v>-0.04908451389</v>
      </c>
      <c r="K93" s="55">
        <f>UpdateHashtag!T91</f>
        <v>1.4</v>
      </c>
      <c r="L93" s="41">
        <f>IF(TYPE($A93)=1,"",-(UpdateHashtag!R91-L$1)/L$2)</f>
        <v>0.3458524173</v>
      </c>
      <c r="N93" s="112">
        <v>73.0</v>
      </c>
      <c r="O93" s="170">
        <f t="array" ref="O93">INDIRECT("Update"&amp;Projections!$AG$17&amp;"!B"&amp;ROW(B74))</f>
        <v>78.5</v>
      </c>
      <c r="P93" s="172" t="str">
        <f t="array" ref="P93">INDIRECT("Update"&amp;Projections!$AG$17&amp;"!C"&amp;ROW(B74))</f>
        <v>Jrue Holiday</v>
      </c>
      <c r="Q93" s="170">
        <f>UpdateHashtag!F136</f>
        <v>69</v>
      </c>
      <c r="R93" s="177" t="str">
        <f>IF(UpdateHashtag!D136="",ROW(UpdateHashtag!D136),UpdateHashtag!D136)</f>
        <v>PF</v>
      </c>
      <c r="S93" s="124">
        <f t="shared" si="1"/>
        <v>-0.515160028</v>
      </c>
      <c r="T93" s="124">
        <f>SUM(AE93:AM93)-IFERROR(IFS(Projections!$I$17,AN93,Projections!$J$17,AO93),"")</f>
        <v>-0.5143894167</v>
      </c>
      <c r="U93" s="124">
        <f t="shared" si="2"/>
        <v>0.0007706112619</v>
      </c>
      <c r="V93" s="124">
        <f t="array" ref="V93">INDIRECT("Update"&amp;Projections!$AG$17&amp;"!M"&amp;ROW(B74))</f>
        <v>12.81564516</v>
      </c>
      <c r="W93" s="124">
        <f t="array" ref="W93">INDIRECT("Update"&amp;Projections!$AG$17&amp;"!L"&amp;ROW(B74))</f>
        <v>2.158548387</v>
      </c>
      <c r="X93" s="124">
        <f t="array" ref="X93">INDIRECT("Update"&amp;Projections!$AG$17&amp;"!N"&amp;ROW(B74))</f>
        <v>5.187903226</v>
      </c>
      <c r="Y93" s="124">
        <f t="array" ref="Y93">INDIRECT("Update"&amp;Projections!$AG$17&amp;"!O"&amp;ROW(B74))</f>
        <v>4.985806452</v>
      </c>
      <c r="Z93" s="124">
        <f t="array" ref="Z93">INDIRECT("Update"&amp;Projections!$AG$17&amp;"!P"&amp;ROW(B74))</f>
        <v>0.9503225806</v>
      </c>
      <c r="AA93" s="124">
        <f t="array" ref="AA93">INDIRECT("Update"&amp;Projections!$AG$17&amp;"!Q"&amp;ROW(B74))</f>
        <v>0.7411290323</v>
      </c>
      <c r="AB93" s="180">
        <f t="array" ref="AB93">INDIRECT("Update"&amp;Projections!$AG$17&amp;"!I"&amp;ROW(B74))</f>
        <v>0.4725389396</v>
      </c>
      <c r="AC93" s="180">
        <f t="array" ref="AC93">INDIRECT("Update"&amp;Projections!$AG$17&amp;"!K"&amp;ROW(B74))</f>
        <v>0.8609246115</v>
      </c>
      <c r="AD93" s="124">
        <f t="array" ref="AD93">INDIRECT("Update"&amp;Projections!$AG$17&amp;"!R"&amp;ROW(B74))</f>
        <v>1.751774194</v>
      </c>
      <c r="AE93" s="124">
        <f t="shared" si="3"/>
        <v>-0.8423384765</v>
      </c>
      <c r="AF93" s="124">
        <f t="shared" si="4"/>
        <v>0.406573376</v>
      </c>
      <c r="AG93" s="124">
        <f t="shared" si="5"/>
        <v>-0.3509253238</v>
      </c>
      <c r="AH93" s="124">
        <f t="shared" si="6"/>
        <v>0.4779684681</v>
      </c>
      <c r="AI93" s="124">
        <f t="shared" si="7"/>
        <v>-0.08494895015</v>
      </c>
      <c r="AJ93" s="124">
        <f t="shared" si="8"/>
        <v>-0.01344448514</v>
      </c>
      <c r="AK93" s="124">
        <f t="shared" si="9"/>
        <v>-0.3020616074</v>
      </c>
      <c r="AL93" s="124">
        <f t="shared" si="10"/>
        <v>0.1947875821</v>
      </c>
      <c r="AM93" s="124">
        <f t="shared" si="11"/>
        <v>0</v>
      </c>
      <c r="AN93" s="183">
        <f t="shared" si="12"/>
        <v>-0.8423384765</v>
      </c>
      <c r="AO93" s="183">
        <f t="shared" si="13"/>
        <v>-1.1932638</v>
      </c>
      <c r="AP93" s="183">
        <f t="array" ref="AP93">INDIRECT("Update"&amp;Projections!$AG$17&amp;"!S"&amp;ROW(B74))</f>
        <v>10.51048387</v>
      </c>
      <c r="AQ93" s="183">
        <f t="array" ref="AQ93">INDIRECT("Update"&amp;Projections!$AG$17&amp;"!T"&amp;ROW(B74))</f>
        <v>0.8408064516</v>
      </c>
    </row>
    <row r="94">
      <c r="A94" s="40" t="str">
        <f>IF(UpdateHashtag!C92="",ROW(UpdateHashtag!C92),UpdateHashtag!C92)</f>
        <v>Herbert Jones</v>
      </c>
      <c r="B94" s="41">
        <f>IF(TYPE($A94)=1,"",(UpdateHashtag!M92-B$1)/B$2)</f>
        <v>-1.259746574</v>
      </c>
      <c r="C94" s="41">
        <f>IF(TYPE($A94)=1,"",(UpdateHashtag!L92-C$1)/C$2)</f>
        <v>-0.5442381251</v>
      </c>
      <c r="D94" s="41">
        <f>IF(TYPE($A94)=1,"",(UpdateHashtag!N92-D$1)/D$2)</f>
        <v>-0.7380915098</v>
      </c>
      <c r="E94" s="41">
        <f>IF(TYPE($A94)=1,"",(UpdateHashtag!O92-E$1)/E$2)</f>
        <v>-0.6055178793</v>
      </c>
      <c r="F94" s="41">
        <f>IF(TYPE($A94)=1,"",(UpdateHashtag!P92-F$1)/F$2)</f>
        <v>1.402724873</v>
      </c>
      <c r="G94" s="41">
        <f>IF(TYPE($A94)=1,"",(UpdateHashtag!Q92-G$1)/G$2)</f>
        <v>0.2699253707</v>
      </c>
      <c r="H94" s="41">
        <f>IF(TYPE($A94)=1,"",(UpdateHashtag!I92-H$1)/H$2*I94/$I$1)</f>
        <v>-0.1186416989</v>
      </c>
      <c r="I94" s="41">
        <f>UpdateHashtag!S92</f>
        <v>7.7</v>
      </c>
      <c r="J94" s="53">
        <f>IF(TYPE($A94)=1,"",(UpdateHashtag!K92-J$1)/J$2*K94/$K$1)</f>
        <v>0.4406926539</v>
      </c>
      <c r="K94" s="55">
        <f>UpdateHashtag!T92</f>
        <v>2.2</v>
      </c>
      <c r="L94" s="41">
        <f>IF(TYPE($A94)=1,"",-(UpdateHashtag!R92-L$1)/L$2)</f>
        <v>0.4450452712</v>
      </c>
      <c r="N94" s="5">
        <v>74.0</v>
      </c>
      <c r="O94" s="170">
        <f t="array" ref="O94">INDIRECT("Update"&amp;Projections!$AG$17&amp;"!B"&amp;ROW(B75))</f>
        <v>46.4</v>
      </c>
      <c r="P94" s="172" t="str">
        <f t="array" ref="P94">INDIRECT("Update"&amp;Projections!$AG$17&amp;"!C"&amp;ROW(B75))</f>
        <v>Rudy Gobert</v>
      </c>
      <c r="Q94" s="170">
        <f>UpdateHashtag!F140</f>
        <v>74</v>
      </c>
      <c r="R94" s="177" t="str">
        <f>IF(UpdateHashtag!D140="",ROW(UpdateHashtag!D140),UpdateHashtag!D140)</f>
        <v>SG,SF</v>
      </c>
      <c r="S94" s="124">
        <f t="shared" si="1"/>
        <v>-0.9598473578</v>
      </c>
      <c r="T94" s="124">
        <f>SUM(AE94:AM94)-IFERROR(IFS(Projections!$I$17,AN94,Projections!$J$17,AO94),"")</f>
        <v>-1.022837085</v>
      </c>
      <c r="U94" s="124">
        <f t="shared" si="2"/>
        <v>-0.06298972697</v>
      </c>
      <c r="V94" s="124">
        <f t="array" ref="V94">INDIRECT("Update"&amp;Projections!$AG$17&amp;"!M"&amp;ROW(B75))</f>
        <v>11.92520548</v>
      </c>
      <c r="W94" s="124">
        <f t="array" ref="W94">INDIRECT("Update"&amp;Projections!$AG$17&amp;"!L"&amp;ROW(B75))</f>
        <v>0</v>
      </c>
      <c r="X94" s="124">
        <f t="array" ref="X94">INDIRECT("Update"&amp;Projections!$AG$17&amp;"!N"&amp;ROW(B75))</f>
        <v>12.46438356</v>
      </c>
      <c r="Y94" s="124">
        <f t="array" ref="Y94">INDIRECT("Update"&amp;Projections!$AG$17&amp;"!O"&amp;ROW(B75))</f>
        <v>1.30369863</v>
      </c>
      <c r="Z94" s="124">
        <f t="array" ref="Z94">INDIRECT("Update"&amp;Projections!$AG$17&amp;"!P"&amp;ROW(B75))</f>
        <v>0.6642465753</v>
      </c>
      <c r="AA94" s="124">
        <f t="array" ref="AA94">INDIRECT("Update"&amp;Projections!$AG$17&amp;"!Q"&amp;ROW(B75))</f>
        <v>2.041232877</v>
      </c>
      <c r="AB94" s="180">
        <f t="array" ref="AB94">INDIRECT("Update"&amp;Projections!$AG$17&amp;"!I"&amp;ROW(B75))</f>
        <v>0.675</v>
      </c>
      <c r="AC94" s="180">
        <f t="array" ref="AC94">INDIRECT("Update"&amp;Projections!$AG$17&amp;"!K"&amp;ROW(B75))</f>
        <v>0.6430088154</v>
      </c>
      <c r="AD94" s="124">
        <f t="array" ref="AD94">INDIRECT("Update"&amp;Projections!$AG$17&amp;"!R"&amp;ROW(B75))</f>
        <v>1.494657534</v>
      </c>
      <c r="AE94" s="124">
        <f t="shared" si="3"/>
        <v>-1.00284525</v>
      </c>
      <c r="AF94" s="124">
        <f t="shared" si="4"/>
        <v>-1.734552372</v>
      </c>
      <c r="AG94" s="124">
        <f t="shared" si="5"/>
        <v>2.500778228</v>
      </c>
      <c r="AH94" s="124">
        <f t="shared" si="6"/>
        <v>-1.194218122</v>
      </c>
      <c r="AI94" s="124">
        <f t="shared" si="7"/>
        <v>-1.031378026</v>
      </c>
      <c r="AJ94" s="124">
        <f t="shared" si="8"/>
        <v>2.305482908</v>
      </c>
      <c r="AK94" s="124">
        <f t="shared" si="9"/>
        <v>1.407072595</v>
      </c>
      <c r="AL94" s="124">
        <f t="shared" si="10"/>
        <v>-2.273177046</v>
      </c>
      <c r="AM94" s="124">
        <f t="shared" si="11"/>
        <v>0</v>
      </c>
      <c r="AN94" s="183">
        <f t="shared" si="12"/>
        <v>-2.273177046</v>
      </c>
      <c r="AO94" s="183">
        <f t="shared" si="13"/>
        <v>-4.007729418</v>
      </c>
      <c r="AP94" s="183">
        <f t="array" ref="AP94">INDIRECT("Update"&amp;Projections!$AG$17&amp;"!S"&amp;ROW(B75))</f>
        <v>6.805479452</v>
      </c>
      <c r="AQ94" s="183">
        <f t="array" ref="AQ94">INDIRECT("Update"&amp;Projections!$AG$17&amp;"!T"&amp;ROW(B75))</f>
        <v>4.257808219</v>
      </c>
    </row>
    <row r="95">
      <c r="A95" s="40" t="str">
        <f>IF(UpdateHashtag!C93="",ROW(UpdateHashtag!C93),UpdateHashtag!C93)</f>
        <v>Daniel Gafford</v>
      </c>
      <c r="B95" s="41">
        <f>IF(TYPE($A95)=1,"",(UpdateHashtag!M93-B$1)/B$2)</f>
        <v>-1.295797702</v>
      </c>
      <c r="C95" s="41">
        <f>IF(TYPE($A95)=1,"",(UpdateHashtag!L93-C$1)/C$2)</f>
        <v>-1.734552372</v>
      </c>
      <c r="D95" s="41">
        <f>IF(TYPE($A95)=1,"",(UpdateHashtag!N93-D$1)/D$2)</f>
        <v>0.2808666807</v>
      </c>
      <c r="E95" s="41">
        <f>IF(TYPE($A95)=1,"",(UpdateHashtag!O93-E$1)/E$2)</f>
        <v>-1.150483971</v>
      </c>
      <c r="F95" s="41">
        <f>IF(TYPE($A95)=1,"",(UpdateHashtag!P93-F$1)/F$2)</f>
        <v>-0.9130944927</v>
      </c>
      <c r="G95" s="41">
        <f>IF(TYPE($A95)=1,"",(UpdateHashtag!Q93-G$1)/G$2)</f>
        <v>1.69684363</v>
      </c>
      <c r="H95" s="41">
        <f>IF(TYPE($A95)=1,"",(UpdateHashtag!I93-H$1)/H$2*I95/$I$1)</f>
        <v>1.590442692</v>
      </c>
      <c r="I95" s="41">
        <f>UpdateHashtag!S93</f>
        <v>5.9</v>
      </c>
      <c r="J95" s="53">
        <f>IF(TYPE($A95)=1,"",(UpdateHashtag!K93-J$1)/J$2*K95/$K$1)</f>
        <v>-1.053743196</v>
      </c>
      <c r="K95" s="55">
        <f>UpdateHashtag!T93</f>
        <v>2.5</v>
      </c>
      <c r="L95" s="41">
        <f>IF(TYPE($A95)=1,"",-(UpdateHashtag!R93-L$1)/L$2)</f>
        <v>0.643430979</v>
      </c>
      <c r="N95" s="112">
        <v>75.0</v>
      </c>
      <c r="O95" s="170">
        <f t="array" ref="O95">INDIRECT("Update"&amp;Projections!$AG$17&amp;"!B"&amp;ROW(B76))</f>
        <v>79.7</v>
      </c>
      <c r="P95" s="172" t="str">
        <f t="array" ref="P95">INDIRECT("Update"&amp;Projections!$AG$17&amp;"!C"&amp;ROW(B76))</f>
        <v>Anfernee Simons</v>
      </c>
      <c r="Q95" s="170">
        <f>UpdateHashtag!F118</f>
        <v>68</v>
      </c>
      <c r="R95" s="177" t="str">
        <f>IF(UpdateHashtag!D118="",ROW(UpdateHashtag!D118),UpdateHashtag!D118)</f>
        <v>C</v>
      </c>
      <c r="S95" s="124">
        <f t="shared" si="1"/>
        <v>-0.5677516917</v>
      </c>
      <c r="T95" s="124">
        <f>SUM(AE95:AM95)-IFERROR(IFS(Projections!$I$17,AN95,Projections!$J$17,AO95),"")</f>
        <v>-0.2853613691</v>
      </c>
      <c r="U95" s="124">
        <f t="shared" si="2"/>
        <v>0.2823903226</v>
      </c>
      <c r="V95" s="124">
        <f t="array" ref="V95">INDIRECT("Update"&amp;Projections!$AG$17&amp;"!M"&amp;ROW(B76))</f>
        <v>21.93741935</v>
      </c>
      <c r="W95" s="124">
        <f t="array" ref="W95">INDIRECT("Update"&amp;Projections!$AG$17&amp;"!L"&amp;ROW(B76))</f>
        <v>3.438225806</v>
      </c>
      <c r="X95" s="124">
        <f t="array" ref="X95">INDIRECT("Update"&amp;Projections!$AG$17&amp;"!N"&amp;ROW(B76))</f>
        <v>3.465</v>
      </c>
      <c r="Y95" s="124">
        <f t="array" ref="Y95">INDIRECT("Update"&amp;Projections!$AG$17&amp;"!O"&amp;ROW(B76))</f>
        <v>5.847258065</v>
      </c>
      <c r="Z95" s="124">
        <f t="array" ref="Z95">INDIRECT("Update"&amp;Projections!$AG$17&amp;"!P"&amp;ROW(B76))</f>
        <v>0.5064516129</v>
      </c>
      <c r="AA95" s="124">
        <f t="array" ref="AA95">INDIRECT("Update"&amp;Projections!$AG$17&amp;"!Q"&amp;ROW(B76))</f>
        <v>0.1441935484</v>
      </c>
      <c r="AB95" s="180">
        <f t="array" ref="AB95">INDIRECT("Update"&amp;Projections!$AG$17&amp;"!I"&amp;ROW(B76))</f>
        <v>0.4348100802</v>
      </c>
      <c r="AC95" s="180">
        <f t="array" ref="AC95">INDIRECT("Update"&amp;Projections!$AG$17&amp;"!K"&amp;ROW(B76))</f>
        <v>0.9000045618</v>
      </c>
      <c r="AD95" s="124">
        <f t="array" ref="AD95">INDIRECT("Update"&amp;Projections!$AG$17&amp;"!R"&amp;ROW(B76))</f>
        <v>2.887419355</v>
      </c>
      <c r="AE95" s="124">
        <f t="shared" si="3"/>
        <v>0.8019127565</v>
      </c>
      <c r="AF95" s="124">
        <f t="shared" si="4"/>
        <v>1.675921929</v>
      </c>
      <c r="AG95" s="124">
        <f t="shared" si="5"/>
        <v>-1.026143152</v>
      </c>
      <c r="AH95" s="124">
        <f t="shared" si="6"/>
        <v>0.8691867335</v>
      </c>
      <c r="AI95" s="124">
        <f t="shared" si="7"/>
        <v>-1.553413211</v>
      </c>
      <c r="AJ95" s="124">
        <f t="shared" si="8"/>
        <v>-1.078167162</v>
      </c>
      <c r="AK95" s="124">
        <f t="shared" si="9"/>
        <v>-1.279163421</v>
      </c>
      <c r="AL95" s="124">
        <f t="shared" si="10"/>
        <v>1.304504159</v>
      </c>
      <c r="AM95" s="124">
        <f t="shared" si="11"/>
        <v>0</v>
      </c>
      <c r="AN95" s="183">
        <f t="shared" si="12"/>
        <v>-1.553413211</v>
      </c>
      <c r="AO95" s="183">
        <f t="shared" si="13"/>
        <v>-2.832576633</v>
      </c>
      <c r="AP95" s="183">
        <f t="array" ref="AP95">INDIRECT("Update"&amp;Projections!$AG$17&amp;"!S"&amp;ROW(B76))</f>
        <v>17.61354839</v>
      </c>
      <c r="AQ95" s="183">
        <f t="array" ref="AQ95">INDIRECT("Update"&amp;Projections!$AG$17&amp;"!T"&amp;ROW(B76))</f>
        <v>3.535645161</v>
      </c>
    </row>
    <row r="96">
      <c r="A96" s="40" t="str">
        <f>IF(UpdateHashtag!C94="",ROW(UpdateHashtag!C94),UpdateHashtag!C94)</f>
        <v>Draymond Green</v>
      </c>
      <c r="B96" s="41">
        <f>IF(TYPE($A96)=1,"",(UpdateHashtag!M94-B$1)/B$2)</f>
        <v>-1.674334543</v>
      </c>
      <c r="C96" s="41">
        <f>IF(TYPE($A96)=1,"",(UpdateHashtag!L94-C$1)/C$2)</f>
        <v>-1.040202395</v>
      </c>
      <c r="D96" s="41">
        <f>IF(TYPE($A96)=1,"",(UpdateHashtag!N94-D$1)/D$2)</f>
        <v>0.3200573803</v>
      </c>
      <c r="E96" s="41">
        <f>IF(TYPE($A96)=1,"",(UpdateHashtag!O94-E$1)/E$2)</f>
        <v>1.029380395</v>
      </c>
      <c r="F96" s="41">
        <f>IF(TYPE($A96)=1,"",(UpdateHashtag!P94-F$1)/F$2)</f>
        <v>0.410230859</v>
      </c>
      <c r="G96" s="41">
        <f>IF(TYPE($A96)=1,"",(UpdateHashtag!Q94-G$1)/G$2)</f>
        <v>0.09156058829</v>
      </c>
      <c r="H96" s="41">
        <f>IF(TYPE($A96)=1,"",(UpdateHashtag!I94-H$1)/H$2*I96/$I$1)</f>
        <v>0.1227670451</v>
      </c>
      <c r="I96" s="41">
        <f>UpdateHashtag!S94</f>
        <v>6.3</v>
      </c>
      <c r="J96" s="53">
        <f>IF(TYPE($A96)=1,"",(UpdateHashtag!K94-J$1)/J$2*K96/$K$1)</f>
        <v>-0.4032012473</v>
      </c>
      <c r="K96" s="55">
        <f>UpdateHashtag!T94</f>
        <v>1.4</v>
      </c>
      <c r="L96" s="41">
        <f>IF(TYPE($A96)=1,"",-(UpdateHashtag!R94-L$1)/L$2)</f>
        <v>-0.7452689757</v>
      </c>
      <c r="N96" s="112">
        <v>76.0</v>
      </c>
      <c r="O96" s="170">
        <f t="array" ref="O96">INDIRECT("Update"&amp;Projections!$AG$17&amp;"!B"&amp;ROW(B77))</f>
        <v>76.4</v>
      </c>
      <c r="P96" s="172" t="str">
        <f t="array" ref="P96">INDIRECT("Update"&amp;Projections!$AG$17&amp;"!C"&amp;ROW(B77))</f>
        <v>Isaiah Hartenstein</v>
      </c>
      <c r="Q96" s="170">
        <f>UpdateHashtag!F146</f>
        <v>72</v>
      </c>
      <c r="R96" s="177" t="str">
        <f>IF(UpdateHashtag!D146="",ROW(UpdateHashtag!D146),UpdateHashtag!D146)</f>
        <v>SF,PF</v>
      </c>
      <c r="S96" s="124">
        <f t="shared" si="1"/>
        <v>-0.8745065712</v>
      </c>
      <c r="T96" s="124">
        <f>SUM(AE96:AM96)-IFERROR(IFS(Projections!$I$17,AN96,Projections!$J$17,AO96),"")</f>
        <v>-0.9580849854</v>
      </c>
      <c r="U96" s="124">
        <f t="shared" si="2"/>
        <v>-0.0835784142</v>
      </c>
      <c r="V96" s="124">
        <f t="array" ref="V96">INDIRECT("Update"&amp;Projections!$AG$17&amp;"!M"&amp;ROW(B77))</f>
        <v>11.22408163</v>
      </c>
      <c r="W96" s="124">
        <f t="array" ref="W96">INDIRECT("Update"&amp;Projections!$AG$17&amp;"!L"&amp;ROW(B77))</f>
        <v>0.1579591837</v>
      </c>
      <c r="X96" s="124">
        <f t="array" ref="X96">INDIRECT("Update"&amp;Projections!$AG$17&amp;"!N"&amp;ROW(B77))</f>
        <v>8.749183673</v>
      </c>
      <c r="Y96" s="124">
        <f t="array" ref="Y96">INDIRECT("Update"&amp;Projections!$AG$17&amp;"!O"&amp;ROW(B77))</f>
        <v>3.40877551</v>
      </c>
      <c r="Z96" s="124">
        <f t="array" ref="Z96">INDIRECT("Update"&amp;Projections!$AG$17&amp;"!P"&amp;ROW(B77))</f>
        <v>0.9657142857</v>
      </c>
      <c r="AA96" s="124">
        <f t="array" ref="AA96">INDIRECT("Update"&amp;Projections!$AG$17&amp;"!Q"&amp;ROW(B77))</f>
        <v>1.184489796</v>
      </c>
      <c r="AB96" s="180">
        <f t="array" ref="AB96">INDIRECT("Update"&amp;Projections!$AG$17&amp;"!I"&amp;ROW(B77))</f>
        <v>0.5965386128</v>
      </c>
      <c r="AC96" s="180">
        <f t="array" ref="AC96">INDIRECT("Update"&amp;Projections!$AG$17&amp;"!K"&amp;ROW(B77))</f>
        <v>0.7150114716</v>
      </c>
      <c r="AD96" s="124">
        <f t="array" ref="AD96">INDIRECT("Update"&amp;Projections!$AG$17&amp;"!R"&amp;ROW(B77))</f>
        <v>1.411632653</v>
      </c>
      <c r="AE96" s="124">
        <f t="shared" si="3"/>
        <v>-1.129226777</v>
      </c>
      <c r="AF96" s="124">
        <f t="shared" si="4"/>
        <v>-1.57786815</v>
      </c>
      <c r="AG96" s="124">
        <f t="shared" si="5"/>
        <v>1.044765399</v>
      </c>
      <c r="AH96" s="124">
        <f t="shared" si="6"/>
        <v>-0.2382218556</v>
      </c>
      <c r="AI96" s="124">
        <f t="shared" si="7"/>
        <v>-0.03402836623</v>
      </c>
      <c r="AJ96" s="124">
        <f t="shared" si="8"/>
        <v>0.7773549762</v>
      </c>
      <c r="AK96" s="124">
        <f t="shared" si="9"/>
        <v>0.8988386059</v>
      </c>
      <c r="AL96" s="124">
        <f t="shared" si="10"/>
        <v>-0.6996988182</v>
      </c>
      <c r="AM96" s="124">
        <f t="shared" si="11"/>
        <v>0</v>
      </c>
      <c r="AN96" s="183">
        <f t="shared" si="12"/>
        <v>-1.57786815</v>
      </c>
      <c r="AO96" s="183">
        <f t="shared" si="13"/>
        <v>-2.707094927</v>
      </c>
      <c r="AP96" s="183">
        <f t="array" ref="AP96">INDIRECT("Update"&amp;Projections!$AG$17&amp;"!S"&amp;ROW(B77))</f>
        <v>7.782653061</v>
      </c>
      <c r="AQ96" s="183">
        <f t="array" ref="AQ96">INDIRECT("Update"&amp;Projections!$AG$17&amp;"!T"&amp;ROW(B77))</f>
        <v>2.490612245</v>
      </c>
    </row>
    <row r="97">
      <c r="A97" s="40" t="str">
        <f>IF(UpdateHashtag!C95="",ROW(UpdateHashtag!C95),UpdateHashtag!C95)</f>
        <v>Jakob Poeltl</v>
      </c>
      <c r="B97" s="41">
        <f>IF(TYPE($A97)=1,"",(UpdateHashtag!M95-B$1)/B$2)</f>
        <v>-0.9533119881</v>
      </c>
      <c r="C97" s="41">
        <f>IF(TYPE($A97)=1,"",(UpdateHashtag!L95-C$1)/C$2)</f>
        <v>-1.734552372</v>
      </c>
      <c r="D97" s="41">
        <f>IF(TYPE($A97)=1,"",(UpdateHashtag!N95-D$1)/D$2)</f>
        <v>1.182252772</v>
      </c>
      <c r="E97" s="41">
        <f>IF(TYPE($A97)=1,"",(UpdateHashtag!O95-E$1)/E$2)</f>
        <v>-0.5601040384</v>
      </c>
      <c r="F97" s="41">
        <f>IF(TYPE($A97)=1,"",(UpdateHashtag!P95-F$1)/F$2)</f>
        <v>-0.2514318168</v>
      </c>
      <c r="G97" s="41">
        <f>IF(TYPE($A97)=1,"",(UpdateHashtag!Q95-G$1)/G$2)</f>
        <v>1.161749283</v>
      </c>
      <c r="H97" s="41">
        <f>IF(TYPE($A97)=1,"",(UpdateHashtag!I95-H$1)/H$2*I97/$I$1)</f>
        <v>1.394779539</v>
      </c>
      <c r="I97" s="41">
        <f>UpdateHashtag!S95</f>
        <v>8.4</v>
      </c>
      <c r="J97" s="53">
        <f>IF(TYPE($A97)=1,"",(UpdateHashtag!K95-J$1)/J$2*K97/$K$1)</f>
        <v>-2.009289261</v>
      </c>
      <c r="K97" s="55">
        <f>UpdateHashtag!T95</f>
        <v>2.6</v>
      </c>
      <c r="L97" s="41">
        <f>IF(TYPE($A97)=1,"",-(UpdateHashtag!R95-L$1)/L$2)</f>
        <v>0.04827385557</v>
      </c>
      <c r="N97" s="5">
        <v>77.0</v>
      </c>
      <c r="O97" s="170">
        <f t="array" ref="O97">INDIRECT("Update"&amp;Projections!$AG$17&amp;"!B"&amp;ROW(B78))</f>
        <v>63.6</v>
      </c>
      <c r="P97" s="172" t="str">
        <f t="array" ref="P97">INDIRECT("Update"&amp;Projections!$AG$17&amp;"!C"&amp;ROW(B78))</f>
        <v>Julius Randle</v>
      </c>
      <c r="Q97" s="170">
        <f>UpdateHashtag!F142</f>
        <v>69</v>
      </c>
      <c r="R97" s="177" t="str">
        <f>IF(UpdateHashtag!D142="",ROW(UpdateHashtag!D142),UpdateHashtag!D142)</f>
        <v>SF,PF</v>
      </c>
      <c r="S97" s="124">
        <f t="shared" si="1"/>
        <v>-1.0219106</v>
      </c>
      <c r="T97" s="124">
        <f>SUM(AE97:AM97)-IFERROR(IFS(Projections!$I$17,AN97,Projections!$J$17,AO97),"")</f>
        <v>-0.6981456115</v>
      </c>
      <c r="U97" s="124">
        <f t="shared" si="2"/>
        <v>0.3237649889</v>
      </c>
      <c r="V97" s="124">
        <f t="array" ref="V97">INDIRECT("Update"&amp;Projections!$AG$17&amp;"!M"&amp;ROW(B78))</f>
        <v>22.09382353</v>
      </c>
      <c r="W97" s="124">
        <f t="array" ref="W97">INDIRECT("Update"&amp;Projections!$AG$17&amp;"!L"&amp;ROW(B78))</f>
        <v>1.700882353</v>
      </c>
      <c r="X97" s="124">
        <f t="array" ref="X97">INDIRECT("Update"&amp;Projections!$AG$17&amp;"!N"&amp;ROW(B78))</f>
        <v>8.954705882</v>
      </c>
      <c r="Y97" s="124">
        <f t="array" ref="Y97">INDIRECT("Update"&amp;Projections!$AG$17&amp;"!O"&amp;ROW(B78))</f>
        <v>4.581470588</v>
      </c>
      <c r="Z97" s="124">
        <f t="array" ref="Z97">INDIRECT("Update"&amp;Projections!$AG$17&amp;"!P"&amp;ROW(B78))</f>
        <v>0.4848529412</v>
      </c>
      <c r="AA97" s="124">
        <f t="array" ref="AA97">INDIRECT("Update"&amp;Projections!$AG$17&amp;"!Q"&amp;ROW(B78))</f>
        <v>0.2780882353</v>
      </c>
      <c r="AB97" s="180">
        <f t="array" ref="AB97">INDIRECT("Update"&amp;Projections!$AG$17&amp;"!I"&amp;ROW(B78))</f>
        <v>0.482485659</v>
      </c>
      <c r="AC97" s="180">
        <f t="array" ref="AC97">INDIRECT("Update"&amp;Projections!$AG$17&amp;"!K"&amp;ROW(B78))</f>
        <v>0.786995894</v>
      </c>
      <c r="AD97" s="124">
        <f t="array" ref="AD97">INDIRECT("Update"&amp;Projections!$AG$17&amp;"!R"&amp;ROW(B78))</f>
        <v>3.054264706</v>
      </c>
      <c r="AE97" s="124">
        <f t="shared" si="3"/>
        <v>0.8301054919</v>
      </c>
      <c r="AF97" s="124">
        <f t="shared" si="4"/>
        <v>-0.04739862444</v>
      </c>
      <c r="AG97" s="124">
        <f t="shared" si="5"/>
        <v>1.125310991</v>
      </c>
      <c r="AH97" s="124">
        <f t="shared" si="6"/>
        <v>0.294344022</v>
      </c>
      <c r="AI97" s="124">
        <f t="shared" si="7"/>
        <v>-1.624868386</v>
      </c>
      <c r="AJ97" s="124">
        <f t="shared" si="8"/>
        <v>-0.8393461951</v>
      </c>
      <c r="AK97" s="124">
        <f t="shared" si="9"/>
        <v>-0.2896231364</v>
      </c>
      <c r="AL97" s="124">
        <f t="shared" si="10"/>
        <v>-0.1466697745</v>
      </c>
      <c r="AM97" s="124">
        <f t="shared" si="11"/>
        <v>0</v>
      </c>
      <c r="AN97" s="183">
        <f t="shared" si="12"/>
        <v>-1.624868386</v>
      </c>
      <c r="AO97" s="183">
        <f t="shared" si="13"/>
        <v>-2.464214581</v>
      </c>
      <c r="AP97" s="183">
        <f t="array" ref="AP97">INDIRECT("Update"&amp;Projections!$AG$17&amp;"!S"&amp;ROW(B78))</f>
        <v>16.86852941</v>
      </c>
      <c r="AQ97" s="183">
        <f t="array" ref="AQ97">INDIRECT("Update"&amp;Projections!$AG$17&amp;"!T"&amp;ROW(B78))</f>
        <v>5.229117647</v>
      </c>
    </row>
    <row r="98">
      <c r="A98" s="40" t="str">
        <f>IF(UpdateHashtag!C96="",ROW(UpdateHashtag!C96),UpdateHashtag!C96)</f>
        <v>Amen Thompson</v>
      </c>
      <c r="B98" s="41">
        <f>IF(TYPE($A98)=1,"",(UpdateHashtag!M96-B$1)/B$2)</f>
        <v>-0.9893631158</v>
      </c>
      <c r="C98" s="41">
        <f>IF(TYPE($A98)=1,"",(UpdateHashtag!L96-C$1)/C$2)</f>
        <v>-1.43697381</v>
      </c>
      <c r="D98" s="41">
        <f>IF(TYPE($A98)=1,"",(UpdateHashtag!N96-D$1)/D$2)</f>
        <v>0.4376294792</v>
      </c>
      <c r="E98" s="41">
        <f>IF(TYPE($A98)=1,"",(UpdateHashtag!O96-E$1)/E$2)</f>
        <v>-0.3330348336</v>
      </c>
      <c r="F98" s="41">
        <f>IF(TYPE($A98)=1,"",(UpdateHashtag!P96-F$1)/F$2)</f>
        <v>1.733556211</v>
      </c>
      <c r="G98" s="41">
        <f>IF(TYPE($A98)=1,"",(UpdateHashtag!Q96-G$1)/G$2)</f>
        <v>0.09156058829</v>
      </c>
      <c r="H98" s="41">
        <f>IF(TYPE($A98)=1,"",(UpdateHashtag!I96-H$1)/H$2*I98/$I$1)</f>
        <v>0.3324082973</v>
      </c>
      <c r="I98" s="41">
        <f>UpdateHashtag!S96</f>
        <v>9</v>
      </c>
      <c r="J98" s="53">
        <f>IF(TYPE($A98)=1,"",(UpdateHashtag!K96-J$1)/J$2*K98/$K$1)</f>
        <v>-0.8165692985</v>
      </c>
      <c r="K98" s="55">
        <f>UpdateHashtag!T96</f>
        <v>3.1</v>
      </c>
      <c r="L98" s="41">
        <f>IF(TYPE($A98)=1,"",-(UpdateHashtag!R96-L$1)/L$2)</f>
        <v>-0.05091899834</v>
      </c>
      <c r="N98" s="112">
        <v>78.0</v>
      </c>
      <c r="O98" s="170">
        <f t="array" ref="O98">INDIRECT("Update"&amp;Projections!$AG$17&amp;"!B"&amp;ROW(B79))</f>
        <v>111.1</v>
      </c>
      <c r="P98" s="172" t="str">
        <f t="array" ref="P98">INDIRECT("Update"&amp;Projections!$AG$17&amp;"!C"&amp;ROW(B79))</f>
        <v>Khris Middleton</v>
      </c>
      <c r="Q98" s="170">
        <f>UpdateHashtag!F139</f>
        <v>73</v>
      </c>
      <c r="R98" s="177" t="str">
        <f>IF(UpdateHashtag!D139="",ROW(UpdateHashtag!D139),UpdateHashtag!D139)</f>
        <v>PF</v>
      </c>
      <c r="S98" s="124">
        <f t="shared" si="1"/>
        <v>-0.8670174126</v>
      </c>
      <c r="T98" s="124">
        <f>SUM(AE98:AM98)-IFERROR(IFS(Projections!$I$17,AN98,Projections!$J$17,AO98),"")</f>
        <v>-0.6933985643</v>
      </c>
      <c r="U98" s="124">
        <f t="shared" si="2"/>
        <v>0.1736188483</v>
      </c>
      <c r="V98" s="124">
        <f t="array" ref="V98">INDIRECT("Update"&amp;Projections!$AG$17&amp;"!M"&amp;ROW(B79))</f>
        <v>15.0487931</v>
      </c>
      <c r="W98" s="124">
        <f t="array" ref="W98">INDIRECT("Update"&amp;Projections!$AG$17&amp;"!L"&amp;ROW(B79))</f>
        <v>1.715344828</v>
      </c>
      <c r="X98" s="124">
        <f t="array" ref="X98">INDIRECT("Update"&amp;Projections!$AG$17&amp;"!N"&amp;ROW(B79))</f>
        <v>5.073793103</v>
      </c>
      <c r="Y98" s="124">
        <f t="array" ref="Y98">INDIRECT("Update"&amp;Projections!$AG$17&amp;"!O"&amp;ROW(B79))</f>
        <v>5.816206897</v>
      </c>
      <c r="Z98" s="124">
        <f t="array" ref="Z98">INDIRECT("Update"&amp;Projections!$AG$17&amp;"!P"&amp;ROW(B79))</f>
        <v>0.9456896552</v>
      </c>
      <c r="AA98" s="124">
        <f t="array" ref="AA98">INDIRECT("Update"&amp;Projections!$AG$17&amp;"!Q"&amp;ROW(B79))</f>
        <v>0.3055172414</v>
      </c>
      <c r="AB98" s="180">
        <f t="array" ref="AB98">INDIRECT("Update"&amp;Projections!$AG$17&amp;"!I"&amp;ROW(B79))</f>
        <v>0.4775616836</v>
      </c>
      <c r="AC98" s="180">
        <f t="array" ref="AC98">INDIRECT("Update"&amp;Projections!$AG$17&amp;"!K"&amp;ROW(B79))</f>
        <v>0.8540308239</v>
      </c>
      <c r="AD98" s="124">
        <f t="array" ref="AD98">INDIRECT("Update"&amp;Projections!$AG$17&amp;"!R"&amp;ROW(B79))</f>
        <v>2.448793103</v>
      </c>
      <c r="AE98" s="124">
        <f t="shared" si="3"/>
        <v>-0.4398009682</v>
      </c>
      <c r="AF98" s="124">
        <f t="shared" si="4"/>
        <v>-0.03305288275</v>
      </c>
      <c r="AG98" s="124">
        <f t="shared" si="5"/>
        <v>-0.3956458794</v>
      </c>
      <c r="AH98" s="124">
        <f t="shared" si="6"/>
        <v>0.8550852055</v>
      </c>
      <c r="AI98" s="124">
        <f t="shared" si="7"/>
        <v>-0.1002761192</v>
      </c>
      <c r="AJ98" s="124">
        <f t="shared" si="8"/>
        <v>-0.790422508</v>
      </c>
      <c r="AK98" s="124">
        <f t="shared" si="9"/>
        <v>-0.2719983675</v>
      </c>
      <c r="AL98" s="124">
        <f t="shared" si="10"/>
        <v>0.4827129553</v>
      </c>
      <c r="AM98" s="124">
        <f t="shared" si="11"/>
        <v>0</v>
      </c>
      <c r="AN98" s="183">
        <f t="shared" si="12"/>
        <v>-0.790422508</v>
      </c>
      <c r="AO98" s="183">
        <f t="shared" si="13"/>
        <v>-1.230223476</v>
      </c>
      <c r="AP98" s="183">
        <f t="array" ref="AP98">INDIRECT("Update"&amp;Projections!$AG$17&amp;"!S"&amp;ROW(B79))</f>
        <v>11.87931034</v>
      </c>
      <c r="AQ98" s="183">
        <f t="array" ref="AQ98">INDIRECT("Update"&amp;Projections!$AG$17&amp;"!T"&amp;ROW(B79))</f>
        <v>2.326896552</v>
      </c>
    </row>
    <row r="99">
      <c r="A99" s="40" t="str">
        <f>IF(UpdateHashtag!C97="",ROW(UpdateHashtag!C97),UpdateHashtag!C97)</f>
        <v>CJ McCollum</v>
      </c>
      <c r="B99" s="41">
        <f>IF(TYPE($A99)=1,"",(UpdateHashtag!M97-B$1)/B$2)</f>
        <v>0.1462474082</v>
      </c>
      <c r="C99" s="41">
        <f>IF(TYPE($A99)=1,"",(UpdateHashtag!L97-C$1)/C$2)</f>
        <v>1.042847537</v>
      </c>
      <c r="D99" s="41">
        <f>IF(TYPE($A99)=1,"",(UpdateHashtag!N97-D$1)/D$2)</f>
        <v>-0.8556636087</v>
      </c>
      <c r="E99" s="41">
        <f>IF(TYPE($A99)=1,"",(UpdateHashtag!O97-E$1)/E$2)</f>
        <v>0.07568973491</v>
      </c>
      <c r="F99" s="41">
        <f>IF(TYPE($A99)=1,"",(UpdateHashtag!P97-F$1)/F$2)</f>
        <v>-0.5822631548</v>
      </c>
      <c r="G99" s="41">
        <f>IF(TYPE($A99)=1,"",(UpdateHashtag!Q97-G$1)/G$2)</f>
        <v>-0.4435337589</v>
      </c>
      <c r="H99" s="41">
        <f>IF(TYPE($A99)=1,"",(UpdateHashtag!I97-H$1)/H$2*I99/$I$1)</f>
        <v>-0.8068851417</v>
      </c>
      <c r="I99" s="41">
        <f>UpdateHashtag!S97</f>
        <v>15</v>
      </c>
      <c r="J99" s="53">
        <f>IF(TYPE($A99)=1,"",(UpdateHashtag!K97-J$1)/J$2*K99/$K$1)</f>
        <v>0.1536824466</v>
      </c>
      <c r="K99" s="55">
        <f>UpdateHashtag!T97</f>
        <v>2.3</v>
      </c>
      <c r="L99" s="41">
        <f>IF(TYPE($A99)=1,"",-(UpdateHashtag!R97-L$1)/L$2)</f>
        <v>-0.1501118522</v>
      </c>
      <c r="N99" s="112">
        <v>79.0</v>
      </c>
      <c r="O99" s="170">
        <f t="array" ref="O99">INDIRECT("Update"&amp;Projections!$AG$17&amp;"!B"&amp;ROW(B80))</f>
        <v>63.9</v>
      </c>
      <c r="P99" s="172" t="str">
        <f t="array" ref="P99">INDIRECT("Update"&amp;Projections!$AG$17&amp;"!C"&amp;ROW(B80))</f>
        <v>Nicolas Claxton</v>
      </c>
      <c r="Q99" s="170">
        <f>UpdateHashtag!F124</f>
        <v>70</v>
      </c>
      <c r="R99" s="177" t="str">
        <f>IF(UpdateHashtag!D124="",ROW(UpdateHashtag!D124),UpdateHashtag!D124)</f>
        <v>PG</v>
      </c>
      <c r="S99" s="124">
        <f t="shared" si="1"/>
        <v>-1.233042108</v>
      </c>
      <c r="T99" s="124">
        <f>SUM(AE99:AM99)-IFERROR(IFS(Projections!$I$17,AN99,Projections!$J$17,AO99),"")</f>
        <v>-1.262299471</v>
      </c>
      <c r="U99" s="124">
        <f t="shared" si="2"/>
        <v>-0.02925736243</v>
      </c>
      <c r="V99" s="124">
        <f t="array" ref="V99">INDIRECT("Update"&amp;Projections!$AG$17&amp;"!M"&amp;ROW(B80))</f>
        <v>13.46027397</v>
      </c>
      <c r="W99" s="124">
        <f t="array" ref="W99">INDIRECT("Update"&amp;Projections!$AG$17&amp;"!L"&amp;ROW(B80))</f>
        <v>0</v>
      </c>
      <c r="X99" s="124">
        <f t="array" ref="X99">INDIRECT("Update"&amp;Projections!$AG$17&amp;"!N"&amp;ROW(B80))</f>
        <v>9.98</v>
      </c>
      <c r="Y99" s="124">
        <f t="array" ref="Y99">INDIRECT("Update"&amp;Projections!$AG$17&amp;"!O"&amp;ROW(B80))</f>
        <v>2.478767123</v>
      </c>
      <c r="Z99" s="124">
        <f t="array" ref="Z99">INDIRECT("Update"&amp;Projections!$AG$17&amp;"!P"&amp;ROW(B80))</f>
        <v>0.7197260274</v>
      </c>
      <c r="AA99" s="124">
        <f t="array" ref="AA99">INDIRECT("Update"&amp;Projections!$AG$17&amp;"!Q"&amp;ROW(B80))</f>
        <v>2.022054795</v>
      </c>
      <c r="AB99" s="180">
        <f t="array" ref="AB99">INDIRECT("Update"&amp;Projections!$AG$17&amp;"!I"&amp;ROW(B80))</f>
        <v>0.6600061767</v>
      </c>
      <c r="AC99" s="180">
        <f t="array" ref="AC99">INDIRECT("Update"&amp;Projections!$AG$17&amp;"!K"&amp;ROW(B80))</f>
        <v>0.5479969117</v>
      </c>
      <c r="AD99" s="124">
        <f t="array" ref="AD99">INDIRECT("Update"&amp;Projections!$AG$17&amp;"!R"&amp;ROW(B80))</f>
        <v>1.630684932</v>
      </c>
      <c r="AE99" s="124">
        <f t="shared" si="3"/>
        <v>-0.7261404986</v>
      </c>
      <c r="AF99" s="124">
        <f t="shared" si="4"/>
        <v>-1.734552372</v>
      </c>
      <c r="AG99" s="124">
        <f t="shared" si="5"/>
        <v>1.527130929</v>
      </c>
      <c r="AH99" s="124">
        <f t="shared" si="6"/>
        <v>-0.6605743852</v>
      </c>
      <c r="AI99" s="124">
        <f t="shared" si="7"/>
        <v>-0.8478346123</v>
      </c>
      <c r="AJ99" s="124">
        <f t="shared" si="8"/>
        <v>2.271275964</v>
      </c>
      <c r="AK99" s="124">
        <f t="shared" si="9"/>
        <v>1.679462757</v>
      </c>
      <c r="AL99" s="124">
        <f t="shared" si="10"/>
        <v>-2.771067253</v>
      </c>
      <c r="AM99" s="124">
        <f t="shared" si="11"/>
        <v>0</v>
      </c>
      <c r="AN99" s="183">
        <f t="shared" si="12"/>
        <v>-2.771067253</v>
      </c>
      <c r="AO99" s="183">
        <f t="shared" si="13"/>
        <v>-4.505619625</v>
      </c>
      <c r="AP99" s="183">
        <f t="array" ref="AP99">INDIRECT("Update"&amp;Projections!$AG$17&amp;"!S"&amp;ROW(B80))</f>
        <v>8.871232877</v>
      </c>
      <c r="AQ99" s="183">
        <f t="array" ref="AQ99">INDIRECT("Update"&amp;Projections!$AG$17&amp;"!T"&amp;ROW(B80))</f>
        <v>3.19369863</v>
      </c>
    </row>
    <row r="100">
      <c r="A100" s="40" t="str">
        <f>IF(UpdateHashtag!C98="",ROW(UpdateHashtag!C98),UpdateHashtag!C98)</f>
        <v>Cam Thomas</v>
      </c>
      <c r="B100" s="41">
        <f>IF(TYPE($A100)=1,"",(UpdateHashtag!M98-B$1)/B$2)</f>
        <v>1.462113571</v>
      </c>
      <c r="C100" s="41">
        <f>IF(TYPE($A100)=1,"",(UpdateHashtag!L98-C$1)/C$2)</f>
        <v>0.8444618296</v>
      </c>
      <c r="D100" s="41">
        <f>IF(TYPE($A100)=1,"",(UpdateHashtag!N98-D$1)/D$2)</f>
        <v>-1.090807806</v>
      </c>
      <c r="E100" s="41">
        <f>IF(TYPE($A100)=1,"",(UpdateHashtag!O98-E$1)/E$2)</f>
        <v>-0.4692763565</v>
      </c>
      <c r="F100" s="41">
        <f>IF(TYPE($A100)=1,"",(UpdateHashtag!P98-F$1)/F$2)</f>
        <v>-0.9130944927</v>
      </c>
      <c r="G100" s="41">
        <f>IF(TYPE($A100)=1,"",(UpdateHashtag!Q98-G$1)/G$2)</f>
        <v>-0.8002633236</v>
      </c>
      <c r="H100" s="41">
        <f>IF(TYPE($A100)=1,"",(UpdateHashtag!I98-H$1)/H$2*I100/$I$1)</f>
        <v>-1.378353372</v>
      </c>
      <c r="I100" s="41">
        <f>UpdateHashtag!S98</f>
        <v>20.7</v>
      </c>
      <c r="J100" s="53">
        <f>IF(TYPE($A100)=1,"",(UpdateHashtag!K98-J$1)/J$2*K100/$K$1)</f>
        <v>1.275628245</v>
      </c>
      <c r="K100" s="55">
        <f>UpdateHashtag!T98</f>
        <v>5.5</v>
      </c>
      <c r="L100" s="41">
        <f>IF(TYPE($A100)=1,"",-(UpdateHashtag!R98-L$1)/L$2)</f>
        <v>-0.2493047061</v>
      </c>
      <c r="N100" s="5">
        <v>80.0</v>
      </c>
      <c r="O100" s="170">
        <f t="array" ref="O100">INDIRECT("Update"&amp;Projections!$AG$17&amp;"!B"&amp;ROW(B81))</f>
        <v>99.3</v>
      </c>
      <c r="P100" s="172" t="str">
        <f t="array" ref="P100">INDIRECT("Update"&amp;Projections!$AG$17&amp;"!C"&amp;ROW(B81))</f>
        <v>Mark Williams</v>
      </c>
      <c r="Q100" s="170">
        <f>UpdateHashtag!F152</f>
        <v>65</v>
      </c>
      <c r="R100" s="177" t="str">
        <f>IF(UpdateHashtag!D152="",ROW(UpdateHashtag!D152),UpdateHashtag!D152)</f>
        <v>PG</v>
      </c>
      <c r="S100" s="124">
        <f t="shared" si="1"/>
        <v>-1.126032205</v>
      </c>
      <c r="T100" s="124">
        <f>SUM(AE100:AM100)-IFERROR(IFS(Projections!$I$17,AN100,Projections!$J$17,AO100),"")</f>
        <v>-1.315428222</v>
      </c>
      <c r="U100" s="124">
        <f t="shared" si="2"/>
        <v>-0.1893960166</v>
      </c>
      <c r="V100" s="124">
        <f t="array" ref="V100">INDIRECT("Update"&amp;Projections!$AG$17&amp;"!M"&amp;ROW(B81))</f>
        <v>13.07557377</v>
      </c>
      <c r="W100" s="124">
        <f t="array" ref="W100">INDIRECT("Update"&amp;Projections!$AG$17&amp;"!L"&amp;ROW(B81))</f>
        <v>0</v>
      </c>
      <c r="X100" s="124">
        <f t="array" ref="X100">INDIRECT("Update"&amp;Projections!$AG$17&amp;"!N"&amp;ROW(B81))</f>
        <v>9.907377049</v>
      </c>
      <c r="Y100" s="124">
        <f t="array" ref="Y100">INDIRECT("Update"&amp;Projections!$AG$17&amp;"!O"&amp;ROW(B81))</f>
        <v>1.158688525</v>
      </c>
      <c r="Z100" s="124">
        <f t="array" ref="Z100">INDIRECT("Update"&amp;Projections!$AG$17&amp;"!P"&amp;ROW(B81))</f>
        <v>0.8316393443</v>
      </c>
      <c r="AA100" s="124">
        <f t="array" ref="AA100">INDIRECT("Update"&amp;Projections!$AG$17&amp;"!Q"&amp;ROW(B81))</f>
        <v>1.332622951</v>
      </c>
      <c r="AB100" s="180">
        <f t="array" ref="AB100">INDIRECT("Update"&amp;Projections!$AG$17&amp;"!I"&amp;ROW(B81))</f>
        <v>0.643003876</v>
      </c>
      <c r="AC100" s="180">
        <f t="array" ref="AC100">INDIRECT("Update"&amp;Projections!$AG$17&amp;"!K"&amp;ROW(B81))</f>
        <v>0.7020217892</v>
      </c>
      <c r="AD100" s="124">
        <f t="array" ref="AD100">INDIRECT("Update"&amp;Projections!$AG$17&amp;"!R"&amp;ROW(B81))</f>
        <v>0.9849180328</v>
      </c>
      <c r="AE100" s="124">
        <f t="shared" si="3"/>
        <v>-0.7954848789</v>
      </c>
      <c r="AF100" s="124">
        <f t="shared" si="4"/>
        <v>-1.734552372</v>
      </c>
      <c r="AG100" s="124">
        <f t="shared" si="5"/>
        <v>1.498669486</v>
      </c>
      <c r="AH100" s="124">
        <f t="shared" si="6"/>
        <v>-1.26007278</v>
      </c>
      <c r="AI100" s="124">
        <f t="shared" si="7"/>
        <v>-0.4775902887</v>
      </c>
      <c r="AJ100" s="124">
        <f t="shared" si="8"/>
        <v>1.041572356</v>
      </c>
      <c r="AK100" s="124">
        <f t="shared" si="9"/>
        <v>1.434134671</v>
      </c>
      <c r="AL100" s="124">
        <f t="shared" si="10"/>
        <v>-1.022104415</v>
      </c>
      <c r="AM100" s="124">
        <f t="shared" si="11"/>
        <v>0</v>
      </c>
      <c r="AN100" s="183">
        <f t="shared" si="12"/>
        <v>-1.734552372</v>
      </c>
      <c r="AO100" s="183">
        <f t="shared" si="13"/>
        <v>-2.994625152</v>
      </c>
      <c r="AP100" s="183">
        <f t="array" ref="AP100">INDIRECT("Update"&amp;Projections!$AG$17&amp;"!S"&amp;ROW(B81))</f>
        <v>8.459016393</v>
      </c>
      <c r="AQ100" s="183">
        <f t="array" ref="AQ100">INDIRECT("Update"&amp;Projections!$AG$17&amp;"!T"&amp;ROW(B81))</f>
        <v>3.129836066</v>
      </c>
    </row>
    <row r="101">
      <c r="A101" s="40" t="str">
        <f>IF(UpdateHashtag!C99="",ROW(UpdateHashtag!C99),UpdateHashtag!C99)</f>
        <v>Al Horford</v>
      </c>
      <c r="B101" s="41">
        <f>IF(TYPE($A101)=1,"",(UpdateHashtag!M99-B$1)/B$2)</f>
        <v>-1.385925521</v>
      </c>
      <c r="C101" s="41">
        <f>IF(TYPE($A101)=1,"",(UpdateHashtag!L99-C$1)/C$2)</f>
        <v>0.34849756</v>
      </c>
      <c r="D101" s="41">
        <f>IF(TYPE($A101)=1,"",(UpdateHashtag!N99-D$1)/D$2)</f>
        <v>0.2416759811</v>
      </c>
      <c r="E101" s="41">
        <f>IF(TYPE($A101)=1,"",(UpdateHashtag!O99-E$1)/E$2)</f>
        <v>-0.4238625155</v>
      </c>
      <c r="F101" s="41">
        <f>IF(TYPE($A101)=1,"",(UpdateHashtag!P99-F$1)/F$2)</f>
        <v>-1.243925831</v>
      </c>
      <c r="G101" s="41">
        <f>IF(TYPE($A101)=1,"",(UpdateHashtag!Q99-G$1)/G$2)</f>
        <v>0.4482901531</v>
      </c>
      <c r="H101" s="41">
        <f>IF(TYPE($A101)=1,"",(UpdateHashtag!I99-H$1)/H$2*I101/$I$1)</f>
        <v>-0.03655273827</v>
      </c>
      <c r="I101" s="41">
        <f>UpdateHashtag!S99</f>
        <v>7.4</v>
      </c>
      <c r="J101" s="53">
        <f>IF(TYPE($A101)=1,"",(UpdateHashtag!K99-J$1)/J$2*K101/$K$1)</f>
        <v>-0.005592796028</v>
      </c>
      <c r="K101" s="55">
        <f>UpdateHashtag!T99</f>
        <v>0.4</v>
      </c>
      <c r="L101" s="41">
        <f>IF(TYPE($A101)=1,"",-(UpdateHashtag!R99-L$1)/L$2)</f>
        <v>1.040202395</v>
      </c>
      <c r="N101" s="112">
        <v>81.0</v>
      </c>
      <c r="O101" s="170">
        <f t="array" ref="O101">INDIRECT("Update"&amp;Projections!$AG$17&amp;"!B"&amp;ROW(B82))</f>
        <v>87.2</v>
      </c>
      <c r="P101" s="172" t="str">
        <f t="array" ref="P101">INDIRECT("Update"&amp;Projections!$AG$17&amp;"!C"&amp;ROW(B82))</f>
        <v>Austin Reaves</v>
      </c>
      <c r="Q101" s="170">
        <f>UpdateHashtag!F130</f>
        <v>70</v>
      </c>
      <c r="R101" s="177" t="str">
        <f>IF(UpdateHashtag!D130="",ROW(UpdateHashtag!D130),UpdateHashtag!D130)</f>
        <v>SG,SF</v>
      </c>
      <c r="S101" s="124">
        <f t="shared" si="1"/>
        <v>-0.9422812906</v>
      </c>
      <c r="T101" s="124">
        <f>SUM(AE101:AM101)-IFERROR(IFS(Projections!$I$17,AN101,Projections!$J$17,AO101),"")</f>
        <v>-0.8524516409</v>
      </c>
      <c r="U101" s="124">
        <f t="shared" si="2"/>
        <v>0.08982964969</v>
      </c>
      <c r="V101" s="124">
        <f t="array" ref="V101">INDIRECT("Update"&amp;Projections!$AG$17&amp;"!M"&amp;ROW(B82))</f>
        <v>16.56701299</v>
      </c>
      <c r="W101" s="124">
        <f t="array" ref="W101">INDIRECT("Update"&amp;Projections!$AG$17&amp;"!L"&amp;ROW(B82))</f>
        <v>2.255714286</v>
      </c>
      <c r="X101" s="124">
        <f t="array" ref="X101">INDIRECT("Update"&amp;Projections!$AG$17&amp;"!N"&amp;ROW(B82))</f>
        <v>4.558181818</v>
      </c>
      <c r="Y101" s="124">
        <f t="array" ref="Y101">INDIRECT("Update"&amp;Projections!$AG$17&amp;"!O"&amp;ROW(B82))</f>
        <v>5.39961039</v>
      </c>
      <c r="Z101" s="124">
        <f t="array" ref="Z101">INDIRECT("Update"&amp;Projections!$AG$17&amp;"!P"&amp;ROW(B82))</f>
        <v>0.6971428571</v>
      </c>
      <c r="AA101" s="124">
        <f t="array" ref="AA101">INDIRECT("Update"&amp;Projections!$AG$17&amp;"!Q"&amp;ROW(B82))</f>
        <v>0.4224675325</v>
      </c>
      <c r="AB101" s="180">
        <f t="array" ref="AB101">INDIRECT("Update"&amp;Projections!$AG$17&amp;"!I"&amp;ROW(B82))</f>
        <v>0.4831642746</v>
      </c>
      <c r="AC101" s="180">
        <f t="array" ref="AC101">INDIRECT("Update"&amp;Projections!$AG$17&amp;"!K"&amp;ROW(B82))</f>
        <v>0.84001281</v>
      </c>
      <c r="AD101" s="124">
        <f t="array" ref="AD101">INDIRECT("Update"&amp;Projections!$AG$17&amp;"!R"&amp;ROW(B82))</f>
        <v>2.110909091</v>
      </c>
      <c r="AE101" s="124">
        <f t="shared" si="3"/>
        <v>-0.1661332722</v>
      </c>
      <c r="AF101" s="124">
        <f t="shared" si="4"/>
        <v>0.5029550043</v>
      </c>
      <c r="AG101" s="124">
        <f t="shared" si="5"/>
        <v>-0.5977175493</v>
      </c>
      <c r="AH101" s="124">
        <f t="shared" si="6"/>
        <v>0.6658927304</v>
      </c>
      <c r="AI101" s="124">
        <f t="shared" si="7"/>
        <v>-0.9225468168</v>
      </c>
      <c r="AJ101" s="124">
        <f t="shared" si="8"/>
        <v>-0.5818243758</v>
      </c>
      <c r="AK101" s="124">
        <f t="shared" si="9"/>
        <v>-0.2021686815</v>
      </c>
      <c r="AL101" s="124">
        <f t="shared" si="10"/>
        <v>0.44909132</v>
      </c>
      <c r="AM101" s="124">
        <f t="shared" si="11"/>
        <v>0</v>
      </c>
      <c r="AN101" s="183">
        <f t="shared" si="12"/>
        <v>-0.9225468168</v>
      </c>
      <c r="AO101" s="183">
        <f t="shared" si="13"/>
        <v>-1.520264366</v>
      </c>
      <c r="AP101" s="183">
        <f t="array" ref="AP101">INDIRECT("Update"&amp;Projections!$AG$17&amp;"!S"&amp;ROW(B82))</f>
        <v>12.34233766</v>
      </c>
      <c r="AQ101" s="183">
        <f t="array" ref="AQ101">INDIRECT("Update"&amp;Projections!$AG$17&amp;"!T"&amp;ROW(B82))</f>
        <v>2.838701299</v>
      </c>
    </row>
    <row r="102">
      <c r="A102" s="40" t="str">
        <f>IF(UpdateHashtag!C100="",ROW(UpdateHashtag!C100),UpdateHashtag!C100)</f>
        <v>Ivica Zubac</v>
      </c>
      <c r="B102" s="41">
        <f>IF(TYPE($A102)=1,"",(UpdateHashtag!M100-B$1)/B$2)</f>
        <v>-0.9352864242</v>
      </c>
      <c r="C102" s="41">
        <f>IF(TYPE($A102)=1,"",(UpdateHashtag!L100-C$1)/C$2)</f>
        <v>-1.734552372</v>
      </c>
      <c r="D102" s="41">
        <f>IF(TYPE($A102)=1,"",(UpdateHashtag!N100-D$1)/D$2)</f>
        <v>1.574159769</v>
      </c>
      <c r="E102" s="41">
        <f>IF(TYPE($A102)=1,"",(UpdateHashtag!O100-E$1)/E$2)</f>
        <v>-1.195897812</v>
      </c>
      <c r="F102" s="41">
        <f>IF(TYPE($A102)=1,"",(UpdateHashtag!P100-F$1)/F$2)</f>
        <v>-1.905588506</v>
      </c>
      <c r="G102" s="41">
        <f>IF(TYPE($A102)=1,"",(UpdateHashtag!Q100-G$1)/G$2)</f>
        <v>1.161749283</v>
      </c>
      <c r="H102" s="41">
        <f>IF(TYPE($A102)=1,"",(UpdateHashtag!I100-H$1)/H$2*I102/$I$1)</f>
        <v>1.330134899</v>
      </c>
      <c r="I102" s="41">
        <f>UpdateHashtag!S100</f>
        <v>7.9</v>
      </c>
      <c r="J102" s="53">
        <f>IF(TYPE($A102)=1,"",(UpdateHashtag!K100-J$1)/J$2*K102/$K$1)</f>
        <v>-0.9363647411</v>
      </c>
      <c r="K102" s="55">
        <f>UpdateHashtag!T100</f>
        <v>3.1</v>
      </c>
      <c r="L102" s="41">
        <f>IF(TYPE($A102)=1,"",-(UpdateHashtag!R100-L$1)/L$2)</f>
        <v>0.2466595634</v>
      </c>
      <c r="N102" s="112">
        <v>82.0</v>
      </c>
      <c r="O102" s="170">
        <f t="array" ref="O102">INDIRECT("Update"&amp;Projections!$AG$17&amp;"!B"&amp;ROW(B83))</f>
        <v>90.4</v>
      </c>
      <c r="P102" s="172" t="str">
        <f t="array" ref="P102">INDIRECT("Update"&amp;Projections!$AG$17&amp;"!C"&amp;ROW(B83))</f>
        <v>Bogdan Bogdanovic</v>
      </c>
      <c r="Q102" s="170">
        <f>UpdateHashtag!F141</f>
        <v>76</v>
      </c>
      <c r="R102" s="177" t="str">
        <f>IF(UpdateHashtag!D141="",ROW(UpdateHashtag!D141),UpdateHashtag!D141)</f>
        <v>SG,SF</v>
      </c>
      <c r="S102" s="124">
        <f t="shared" si="1"/>
        <v>-0.6068367744</v>
      </c>
      <c r="T102" s="124">
        <f>SUM(AE102:AM102)-IFERROR(IFS(Projections!$I$17,AN102,Projections!$J$17,AO102),"")</f>
        <v>-0.5610540636</v>
      </c>
      <c r="U102" s="124">
        <f t="shared" si="2"/>
        <v>0.04578271078</v>
      </c>
      <c r="V102" s="124">
        <f t="array" ref="V102">INDIRECT("Update"&amp;Projections!$AG$17&amp;"!M"&amp;ROW(B83))</f>
        <v>16.61136986</v>
      </c>
      <c r="W102" s="124">
        <f t="array" ref="W102">INDIRECT("Update"&amp;Projections!$AG$17&amp;"!L"&amp;ROW(B83))</f>
        <v>2.866438356</v>
      </c>
      <c r="X102" s="124">
        <f t="array" ref="X102">INDIRECT("Update"&amp;Projections!$AG$17&amp;"!N"&amp;ROW(B83))</f>
        <v>3.8</v>
      </c>
      <c r="Y102" s="124">
        <f t="array" ref="Y102">INDIRECT("Update"&amp;Projections!$AG$17&amp;"!O"&amp;ROW(B83))</f>
        <v>3.8</v>
      </c>
      <c r="Z102" s="124">
        <f t="array" ref="Z102">INDIRECT("Update"&amp;Projections!$AG$17&amp;"!P"&amp;ROW(B83))</f>
        <v>1.129178082</v>
      </c>
      <c r="AA102" s="124">
        <f t="array" ref="AA102">INDIRECT("Update"&amp;Projections!$AG$17&amp;"!Q"&amp;ROW(B83))</f>
        <v>0.4009589041</v>
      </c>
      <c r="AB102" s="180">
        <f t="array" ref="AB102">INDIRECT("Update"&amp;Projections!$AG$17&amp;"!I"&amp;ROW(B83))</f>
        <v>0.4296976103</v>
      </c>
      <c r="AC102" s="180">
        <f t="array" ref="AC102">INDIRECT("Update"&amp;Projections!$AG$17&amp;"!K"&amp;ROW(B83))</f>
        <v>0.8840013249</v>
      </c>
      <c r="AD102" s="124">
        <f t="array" ref="AD102">INDIRECT("Update"&amp;Projections!$AG$17&amp;"!R"&amp;ROW(B83))</f>
        <v>1.933287671</v>
      </c>
      <c r="AE102" s="124">
        <f t="shared" si="3"/>
        <v>-0.1581376963</v>
      </c>
      <c r="AF102" s="124">
        <f t="shared" si="4"/>
        <v>1.108749639</v>
      </c>
      <c r="AG102" s="124">
        <f t="shared" si="5"/>
        <v>-0.8948543083</v>
      </c>
      <c r="AH102" s="124">
        <f t="shared" si="6"/>
        <v>-0.06055178793</v>
      </c>
      <c r="AI102" s="124">
        <f t="shared" si="7"/>
        <v>0.5067610981</v>
      </c>
      <c r="AJ102" s="124">
        <f t="shared" si="8"/>
        <v>-0.620188194</v>
      </c>
      <c r="AK102" s="124">
        <f t="shared" si="9"/>
        <v>-1.089514003</v>
      </c>
      <c r="AL102" s="124">
        <f t="shared" si="10"/>
        <v>0.6466811889</v>
      </c>
      <c r="AM102" s="124">
        <f t="shared" si="11"/>
        <v>0</v>
      </c>
      <c r="AN102" s="183">
        <f t="shared" si="12"/>
        <v>-1.089514003</v>
      </c>
      <c r="AO102" s="183">
        <f t="shared" si="13"/>
        <v>-1.984368311</v>
      </c>
      <c r="AP102" s="183">
        <f t="array" ref="AP102">INDIRECT("Update"&amp;Projections!$AG$17&amp;"!S"&amp;ROW(B83))</f>
        <v>13.86671233</v>
      </c>
      <c r="AQ102" s="183">
        <f t="array" ref="AQ102">INDIRECT("Update"&amp;Projections!$AG$17&amp;"!T"&amp;ROW(B83))</f>
        <v>2.067808219</v>
      </c>
    </row>
    <row r="103">
      <c r="A103" s="40" t="str">
        <f>IF(UpdateHashtag!C101="",ROW(UpdateHashtag!C101),UpdateHashtag!C101)</f>
        <v>Khris Middleton</v>
      </c>
      <c r="B103" s="41">
        <f>IF(TYPE($A103)=1,"",(UpdateHashtag!M101-B$1)/B$2)</f>
        <v>-0.1962383054</v>
      </c>
      <c r="C103" s="41">
        <f>IF(TYPE($A103)=1,"",(UpdateHashtag!L101-C$1)/C$2)</f>
        <v>-0.04827385557</v>
      </c>
      <c r="D103" s="41">
        <f>IF(TYPE($A103)=1,"",(UpdateHashtag!N101-D$1)/D$2)</f>
        <v>-0.6597101105</v>
      </c>
      <c r="E103" s="41">
        <f>IF(TYPE($A103)=1,"",(UpdateHashtag!O101-E$1)/E$2)</f>
        <v>0.3481727806</v>
      </c>
      <c r="F103" s="41">
        <f>IF(TYPE($A103)=1,"",(UpdateHashtag!P101-F$1)/F$2)</f>
        <v>-0.5822631548</v>
      </c>
      <c r="G103" s="41">
        <f>IF(TYPE($A103)=1,"",(UpdateHashtag!Q101-G$1)/G$2)</f>
        <v>-0.978628106</v>
      </c>
      <c r="H103" s="41">
        <f>IF(TYPE($A103)=1,"",(UpdateHashtag!I101-H$1)/H$2*I103/$I$1)</f>
        <v>-0.2287729328</v>
      </c>
      <c r="I103" s="41">
        <f>UpdateHashtag!S101</f>
        <v>12.9</v>
      </c>
      <c r="J103" s="53">
        <f>IF(TYPE($A103)=1,"",(UpdateHashtag!K101-J$1)/J$2*K103/$K$1)</f>
        <v>0.6578280414</v>
      </c>
      <c r="K103" s="55">
        <f>UpdateHashtag!T101</f>
        <v>2.6</v>
      </c>
      <c r="L103" s="41">
        <f>IF(TYPE($A103)=1,"",-(UpdateHashtag!R101-L$1)/L$2)</f>
        <v>-0.6460761218</v>
      </c>
      <c r="N103" s="5">
        <v>83.0</v>
      </c>
      <c r="O103" s="170">
        <f t="array" ref="O103">INDIRECT("Update"&amp;Projections!$AG$17&amp;"!B"&amp;ROW(B84))</f>
        <v>69.9</v>
      </c>
      <c r="P103" s="172" t="str">
        <f t="array" ref="P103">INDIRECT("Update"&amp;Projections!$AG$17&amp;"!C"&amp;ROW(B84))</f>
        <v>Brandon Ingram</v>
      </c>
      <c r="Q103" s="170">
        <f>UpdateHashtag!F158</f>
        <v>67</v>
      </c>
      <c r="R103" s="177" t="str">
        <f>IF(UpdateHashtag!D158="",ROW(UpdateHashtag!D158),UpdateHashtag!D158)</f>
        <v>C</v>
      </c>
      <c r="S103" s="124">
        <f t="shared" si="1"/>
        <v>-1.126117833</v>
      </c>
      <c r="T103" s="124">
        <f>SUM(AE103:AM103)-IFERROR(IFS(Projections!$I$17,AN103,Projections!$J$17,AO103),"")</f>
        <v>-0.9858960917</v>
      </c>
      <c r="U103" s="124">
        <f t="shared" si="2"/>
        <v>0.1402217412</v>
      </c>
      <c r="V103" s="124">
        <f t="array" ref="V103">INDIRECT("Update"&amp;Projections!$AG$17&amp;"!M"&amp;ROW(B84))</f>
        <v>17.98279412</v>
      </c>
      <c r="W103" s="124">
        <f t="array" ref="W103">INDIRECT("Update"&amp;Projections!$AG$17&amp;"!L"&amp;ROW(B84))</f>
        <v>1.190441176</v>
      </c>
      <c r="X103" s="124">
        <f t="array" ref="X103">INDIRECT("Update"&amp;Projections!$AG$17&amp;"!N"&amp;ROW(B84))</f>
        <v>5.785294118</v>
      </c>
      <c r="Y103" s="124">
        <f t="array" ref="Y103">INDIRECT("Update"&amp;Projections!$AG$17&amp;"!O"&amp;ROW(B84))</f>
        <v>4.900441176</v>
      </c>
      <c r="Z103" s="124">
        <f t="array" ref="Z103">INDIRECT("Update"&amp;Projections!$AG$17&amp;"!P"&amp;ROW(B84))</f>
        <v>0.7513235294</v>
      </c>
      <c r="AA103" s="124">
        <f t="array" ref="AA103">INDIRECT("Update"&amp;Projections!$AG$17&amp;"!Q"&amp;ROW(B84))</f>
        <v>0.5445588235</v>
      </c>
      <c r="AB103" s="180">
        <f t="array" ref="AB103">INDIRECT("Update"&amp;Projections!$AG$17&amp;"!I"&amp;ROW(B84))</f>
        <v>0.4993455769</v>
      </c>
      <c r="AC103" s="180">
        <f t="array" ref="AC103">INDIRECT("Update"&amp;Projections!$AG$17&amp;"!K"&amp;ROW(B84))</f>
        <v>0.815012194</v>
      </c>
      <c r="AD103" s="124">
        <f t="array" ref="AD103">INDIRECT("Update"&amp;Projections!$AG$17&amp;"!R"&amp;ROW(B84))</f>
        <v>2.314117647</v>
      </c>
      <c r="AE103" s="124">
        <f t="shared" si="3"/>
        <v>0.08906925972</v>
      </c>
      <c r="AF103" s="124">
        <f t="shared" si="4"/>
        <v>-0.5537197954</v>
      </c>
      <c r="AG103" s="124">
        <f t="shared" si="5"/>
        <v>-0.1168036537</v>
      </c>
      <c r="AH103" s="124">
        <f t="shared" si="6"/>
        <v>0.4392008175</v>
      </c>
      <c r="AI103" s="124">
        <f t="shared" si="7"/>
        <v>-0.7433001737</v>
      </c>
      <c r="AJ103" s="124">
        <f t="shared" si="8"/>
        <v>-0.3640565103</v>
      </c>
      <c r="AK103" s="124">
        <f t="shared" si="9"/>
        <v>0.03456264139</v>
      </c>
      <c r="AL103" s="124">
        <f t="shared" si="10"/>
        <v>0.2291513228</v>
      </c>
      <c r="AM103" s="124">
        <f t="shared" si="11"/>
        <v>0</v>
      </c>
      <c r="AN103" s="183">
        <f t="shared" si="12"/>
        <v>-0.7433001737</v>
      </c>
      <c r="AO103" s="183">
        <f t="shared" si="13"/>
        <v>-1.297019969</v>
      </c>
      <c r="AP103" s="183">
        <f t="array" ref="AP103">INDIRECT("Update"&amp;Projections!$AG$17&amp;"!S"&amp;ROW(B84))</f>
        <v>14.15705882</v>
      </c>
      <c r="AQ103" s="183">
        <f t="array" ref="AQ103">INDIRECT("Update"&amp;Projections!$AG$17&amp;"!T"&amp;ROW(B84))</f>
        <v>3.256176471</v>
      </c>
    </row>
    <row r="104">
      <c r="A104" s="40" t="str">
        <f>IF(UpdateHashtag!C102="",ROW(UpdateHashtag!C102),UpdateHashtag!C102)</f>
        <v>Mike Conley</v>
      </c>
      <c r="B104" s="41">
        <f>IF(TYPE($A104)=1,"",(UpdateHashtag!M102-B$1)/B$2)</f>
        <v>-1.061465371</v>
      </c>
      <c r="C104" s="41">
        <f>IF(TYPE($A104)=1,"",(UpdateHashtag!L102-C$1)/C$2)</f>
        <v>0.447690414</v>
      </c>
      <c r="D104" s="41">
        <f>IF(TYPE($A104)=1,"",(UpdateHashtag!N102-D$1)/D$2)</f>
        <v>-1.286761305</v>
      </c>
      <c r="E104" s="41">
        <f>IF(TYPE($A104)=1,"",(UpdateHashtag!O102-E$1)/E$2)</f>
        <v>0.9385527129</v>
      </c>
      <c r="F104" s="41">
        <f>IF(TYPE($A104)=1,"",(UpdateHashtag!P102-F$1)/F$2)</f>
        <v>0.410230859</v>
      </c>
      <c r="G104" s="41">
        <f>IF(TYPE($A104)=1,"",(UpdateHashtag!Q102-G$1)/G$2)</f>
        <v>-0.978628106</v>
      </c>
      <c r="H104" s="41">
        <f>IF(TYPE($A104)=1,"",(UpdateHashtag!I102-H$1)/H$2*I104/$I$1)</f>
        <v>-0.5590689287</v>
      </c>
      <c r="I104" s="41">
        <f>UpdateHashtag!S102</f>
        <v>8.7</v>
      </c>
      <c r="J104" s="53">
        <f>IF(TYPE($A104)=1,"",(UpdateHashtag!K102-J$1)/J$2*K104/$K$1)</f>
        <v>0.6008672406</v>
      </c>
      <c r="K104" s="55">
        <f>UpdateHashtag!T102</f>
        <v>1.9</v>
      </c>
      <c r="L104" s="41">
        <f>IF(TYPE($A104)=1,"",-(UpdateHashtag!R102-L$1)/L$2)</f>
        <v>0.3458524173</v>
      </c>
      <c r="N104" s="112">
        <v>84.0</v>
      </c>
      <c r="O104" s="170">
        <f t="array" ref="O104">INDIRECT("Update"&amp;Projections!$AG$17&amp;"!B"&amp;ROW(B85))</f>
        <v>67.4</v>
      </c>
      <c r="P104" s="172" t="str">
        <f t="array" ref="P104">INDIRECT("Update"&amp;Projections!$AG$17&amp;"!C"&amp;ROW(B85))</f>
        <v>Josh Giddey</v>
      </c>
      <c r="Q104" s="170">
        <f>UpdateHashtag!F145</f>
        <v>58</v>
      </c>
      <c r="R104" s="177" t="str">
        <f>IF(UpdateHashtag!D145="",ROW(UpdateHashtag!D145),UpdateHashtag!D145)</f>
        <v>C</v>
      </c>
      <c r="S104" s="124">
        <f t="shared" si="1"/>
        <v>-1.193500607</v>
      </c>
      <c r="T104" s="124">
        <f>SUM(AE104:AM104)-IFERROR(IFS(Projections!$I$17,AN104,Projections!$J$17,AO104),"")</f>
        <v>-0.9679248924</v>
      </c>
      <c r="U104" s="124">
        <f t="shared" si="2"/>
        <v>0.2255757143</v>
      </c>
      <c r="V104" s="124">
        <f t="array" ref="V104">INDIRECT("Update"&amp;Projections!$AG$17&amp;"!M"&amp;ROW(B85))</f>
        <v>15.11077922</v>
      </c>
      <c r="W104" s="124">
        <f t="array" ref="W104">INDIRECT("Update"&amp;Projections!$AG$17&amp;"!L"&amp;ROW(B85))</f>
        <v>1.057532468</v>
      </c>
      <c r="X104" s="124">
        <f t="array" ref="X104">INDIRECT("Update"&amp;Projections!$AG$17&amp;"!N"&amp;ROW(B85))</f>
        <v>7.721558442</v>
      </c>
      <c r="Y104" s="124">
        <f t="array" ref="Y104">INDIRECT("Update"&amp;Projections!$AG$17&amp;"!O"&amp;ROW(B85))</f>
        <v>6.265844156</v>
      </c>
      <c r="Z104" s="124">
        <f t="array" ref="Z104">INDIRECT("Update"&amp;Projections!$AG$17&amp;"!P"&amp;ROW(B85))</f>
        <v>0.7207792208</v>
      </c>
      <c r="AA104" s="124">
        <f t="array" ref="AA104">INDIRECT("Update"&amp;Projections!$AG$17&amp;"!Q"&amp;ROW(B85))</f>
        <v>0.5696103896</v>
      </c>
      <c r="AB104" s="180">
        <f t="array" ref="AB104">INDIRECT("Update"&amp;Projections!$AG$17&amp;"!I"&amp;ROW(B85))</f>
        <v>0.4830343544</v>
      </c>
      <c r="AC104" s="180">
        <f t="array" ref="AC104">INDIRECT("Update"&amp;Projections!$AG$17&amp;"!K"&amp;ROW(B85))</f>
        <v>0.7759944815</v>
      </c>
      <c r="AD104" s="124">
        <f t="array" ref="AD104">INDIRECT("Update"&amp;Projections!$AG$17&amp;"!R"&amp;ROW(B85))</f>
        <v>2.658311688</v>
      </c>
      <c r="AE104" s="124">
        <f t="shared" si="3"/>
        <v>-0.4286276206</v>
      </c>
      <c r="AF104" s="124">
        <f t="shared" si="4"/>
        <v>-0.685555736</v>
      </c>
      <c r="AG104" s="124">
        <f t="shared" si="5"/>
        <v>0.6420318817</v>
      </c>
      <c r="AH104" s="124">
        <f t="shared" si="6"/>
        <v>1.059282755</v>
      </c>
      <c r="AI104" s="124">
        <f t="shared" si="7"/>
        <v>-0.8443503185</v>
      </c>
      <c r="AJ104" s="124">
        <f t="shared" si="8"/>
        <v>-0.3193733389</v>
      </c>
      <c r="AK104" s="124">
        <f t="shared" si="9"/>
        <v>-0.2029775529</v>
      </c>
      <c r="AL104" s="124">
        <f t="shared" si="10"/>
        <v>-0.1883549623</v>
      </c>
      <c r="AM104" s="124">
        <f t="shared" si="11"/>
        <v>0</v>
      </c>
      <c r="AN104" s="183">
        <f t="shared" si="12"/>
        <v>-0.8443503185</v>
      </c>
      <c r="AO104" s="183">
        <f t="shared" si="13"/>
        <v>-1.529906054</v>
      </c>
      <c r="AP104" s="183">
        <f t="array" ref="AP104">INDIRECT("Update"&amp;Projections!$AG$17&amp;"!S"&amp;ROW(B85))</f>
        <v>12.27844156</v>
      </c>
      <c r="AQ104" s="183">
        <f t="array" ref="AQ104">INDIRECT("Update"&amp;Projections!$AG$17&amp;"!T"&amp;ROW(B85))</f>
        <v>2.824025974</v>
      </c>
    </row>
    <row r="105">
      <c r="A105" s="40" t="str">
        <f>IF(UpdateHashtag!C103="",ROW(UpdateHashtag!C103),UpdateHashtag!C103)</f>
        <v>Jonas Valanciunas</v>
      </c>
      <c r="B105" s="41">
        <f>IF(TYPE($A105)=1,"",(UpdateHashtag!M103-B$1)/B$2)</f>
        <v>-0.5928007106</v>
      </c>
      <c r="C105" s="41">
        <f>IF(TYPE($A105)=1,"",(UpdateHashtag!L103-C$1)/C$2)</f>
        <v>-1.238588102</v>
      </c>
      <c r="D105" s="41">
        <f>IF(TYPE($A105)=1,"",(UpdateHashtag!N103-D$1)/D$2)</f>
        <v>1.652541168</v>
      </c>
      <c r="E105" s="41">
        <f>IF(TYPE($A105)=1,"",(UpdateHashtag!O103-E$1)/E$2)</f>
        <v>-0.832587084</v>
      </c>
      <c r="F105" s="41">
        <f>IF(TYPE($A105)=1,"",(UpdateHashtag!P103-F$1)/F$2)</f>
        <v>-1.905588506</v>
      </c>
      <c r="G105" s="41">
        <f>IF(TYPE($A105)=1,"",(UpdateHashtag!Q103-G$1)/G$2)</f>
        <v>0.09156058829</v>
      </c>
      <c r="H105" s="41">
        <f>IF(TYPE($A105)=1,"",(UpdateHashtag!I103-H$1)/H$2*I105/$I$1)</f>
        <v>0.6139569696</v>
      </c>
      <c r="I105" s="41">
        <f>UpdateHashtag!S103</f>
        <v>10.4</v>
      </c>
      <c r="J105" s="53">
        <f>IF(TYPE($A105)=1,"",(UpdateHashtag!K103-J$1)/J$2*K105/$K$1)</f>
        <v>0.01039163986</v>
      </c>
      <c r="K105" s="55">
        <f>UpdateHashtag!T103</f>
        <v>2.9</v>
      </c>
      <c r="L105" s="41">
        <f>IF(TYPE($A105)=1,"",-(UpdateHashtag!R103-L$1)/L$2)</f>
        <v>-0.05091899834</v>
      </c>
      <c r="N105" s="112">
        <v>85.0</v>
      </c>
      <c r="O105" s="170">
        <f t="array" ref="O105">INDIRECT("Update"&amp;Projections!$AG$17&amp;"!B"&amp;ROW(B86))</f>
        <v>34.6</v>
      </c>
      <c r="P105" s="172" t="str">
        <f t="array" ref="P105">INDIRECT("Update"&amp;Projections!$AG$17&amp;"!C"&amp;ROW(B86))</f>
        <v>Paolo Banchero</v>
      </c>
      <c r="Q105" s="170">
        <f>UpdateHashtag!F147</f>
        <v>72</v>
      </c>
      <c r="R105" s="177" t="str">
        <f>IF(UpdateHashtag!D147="",ROW(UpdateHashtag!D147),UpdateHashtag!D147)</f>
        <v>SF,PF</v>
      </c>
      <c r="S105" s="124">
        <f t="shared" si="1"/>
        <v>-1.017531529</v>
      </c>
      <c r="T105" s="124">
        <f>SUM(AE105:AM105)-IFERROR(IFS(Projections!$I$17,AN105,Projections!$J$17,AO105),"")</f>
        <v>-0.6782704988</v>
      </c>
      <c r="U105" s="124">
        <f t="shared" si="2"/>
        <v>0.3392610307</v>
      </c>
      <c r="V105" s="124">
        <f t="array" ref="V105">INDIRECT("Update"&amp;Projections!$AG$17&amp;"!M"&amp;ROW(B86))</f>
        <v>23.43792208</v>
      </c>
      <c r="W105" s="124">
        <f t="array" ref="W105">INDIRECT("Update"&amp;Projections!$AG$17&amp;"!L"&amp;ROW(B86))</f>
        <v>1.547402597</v>
      </c>
      <c r="X105" s="124">
        <f t="array" ref="X105">INDIRECT("Update"&amp;Projections!$AG$17&amp;"!N"&amp;ROW(B86))</f>
        <v>7.355844156</v>
      </c>
      <c r="Y105" s="124">
        <f t="array" ref="Y105">INDIRECT("Update"&amp;Projections!$AG$17&amp;"!O"&amp;ROW(B86))</f>
        <v>5.624935065</v>
      </c>
      <c r="Z105" s="124">
        <f t="array" ref="Z105">INDIRECT("Update"&amp;Projections!$AG$17&amp;"!P"&amp;ROW(B86))</f>
        <v>0.7054545455</v>
      </c>
      <c r="AA105" s="124">
        <f t="array" ref="AA105">INDIRECT("Update"&amp;Projections!$AG$17&amp;"!Q"&amp;ROW(B86))</f>
        <v>0.6376623377</v>
      </c>
      <c r="AB105" s="180">
        <f t="array" ref="AB105">INDIRECT("Update"&amp;Projections!$AG$17&amp;"!I"&amp;ROW(B86))</f>
        <v>0.455972672</v>
      </c>
      <c r="AC105" s="180">
        <f t="array" ref="AC105">INDIRECT("Update"&amp;Projections!$AG$17&amp;"!K"&amp;ROW(B86))</f>
        <v>0.7599947347</v>
      </c>
      <c r="AD105" s="124">
        <f t="array" ref="AD105">INDIRECT("Update"&amp;Projections!$AG$17&amp;"!R"&amp;ROW(B86))</f>
        <v>3.116753247</v>
      </c>
      <c r="AE105" s="124">
        <f t="shared" si="3"/>
        <v>1.072386835</v>
      </c>
      <c r="AF105" s="124">
        <f t="shared" si="4"/>
        <v>-0.1996395746</v>
      </c>
      <c r="AG105" s="124">
        <f t="shared" si="5"/>
        <v>0.4987058943</v>
      </c>
      <c r="AH105" s="124">
        <f t="shared" si="6"/>
        <v>0.7682213199</v>
      </c>
      <c r="AI105" s="124">
        <f t="shared" si="7"/>
        <v>-0.8950491468</v>
      </c>
      <c r="AJ105" s="124">
        <f t="shared" si="8"/>
        <v>-0.1979926298</v>
      </c>
      <c r="AK105" s="124">
        <f t="shared" si="9"/>
        <v>-0.8760895298</v>
      </c>
      <c r="AL105" s="124">
        <f t="shared" si="10"/>
        <v>-0.8488136665</v>
      </c>
      <c r="AM105" s="124">
        <f t="shared" si="11"/>
        <v>0</v>
      </c>
      <c r="AN105" s="183">
        <f t="shared" si="12"/>
        <v>-0.8950491468</v>
      </c>
      <c r="AO105" s="183">
        <f t="shared" si="13"/>
        <v>-1.771138677</v>
      </c>
      <c r="AP105" s="183">
        <f t="array" ref="AP105">INDIRECT("Update"&amp;Projections!$AG$17&amp;"!S"&amp;ROW(B86))</f>
        <v>18.2487013</v>
      </c>
      <c r="AQ105" s="183">
        <f t="array" ref="AQ105">INDIRECT("Update"&amp;Projections!$AG$17&amp;"!T"&amp;ROW(B86))</f>
        <v>6.906233766</v>
      </c>
    </row>
    <row r="106">
      <c r="A106" s="40" t="str">
        <f>IF(UpdateHashtag!C104="",ROW(UpdateHashtag!C104),UpdateHashtag!C104)</f>
        <v>Brandon Miller</v>
      </c>
      <c r="B106" s="41">
        <f>IF(TYPE($A106)=1,"",(UpdateHashtag!M104-B$1)/B$2)</f>
        <v>0.1101962805</v>
      </c>
      <c r="C106" s="41">
        <f>IF(TYPE($A106)=1,"",(UpdateHashtag!L104-C$1)/C$2)</f>
        <v>0.8444618296</v>
      </c>
      <c r="D106" s="41">
        <f>IF(TYPE($A106)=1,"",(UpdateHashtag!N104-D$1)/D$2)</f>
        <v>-0.6597101105</v>
      </c>
      <c r="E106" s="41">
        <f>IF(TYPE($A106)=1,"",(UpdateHashtag!O104-E$1)/E$2)</f>
        <v>-0.6509317203</v>
      </c>
      <c r="F106" s="41">
        <f>IF(TYPE($A106)=1,"",(UpdateHashtag!P104-F$1)/F$2)</f>
        <v>0.0793995211</v>
      </c>
      <c r="G106" s="41">
        <f>IF(TYPE($A106)=1,"",(UpdateHashtag!Q104-G$1)/G$2)</f>
        <v>-0.2651689765</v>
      </c>
      <c r="H106" s="41">
        <f>IF(TYPE($A106)=1,"",(UpdateHashtag!I104-H$1)/H$2*I106/$I$1)</f>
        <v>-0.9176468091</v>
      </c>
      <c r="I106" s="41">
        <f>UpdateHashtag!S104</f>
        <v>15.1</v>
      </c>
      <c r="J106" s="53">
        <f>IF(TYPE($A106)=1,"",(UpdateHashtag!K104-J$1)/J$2*K106/$K$1)</f>
        <v>0.3690472505</v>
      </c>
      <c r="K106" s="55">
        <f>UpdateHashtag!T104</f>
        <v>2.5</v>
      </c>
      <c r="L106" s="41">
        <f>IF(TYPE($A106)=1,"",-(UpdateHashtag!R104-L$1)/L$2)</f>
        <v>-0.1501118522</v>
      </c>
      <c r="N106" s="5">
        <v>86.0</v>
      </c>
      <c r="O106" s="170">
        <f t="array" ref="O106">INDIRECT("Update"&amp;Projections!$AG$17&amp;"!B"&amp;ROW(B87))</f>
        <v>55.2</v>
      </c>
      <c r="P106" s="172" t="str">
        <f t="array" ref="P106">INDIRECT("Update"&amp;Projections!$AG$17&amp;"!C"&amp;ROW(B87))</f>
        <v>Nikola Vucevic</v>
      </c>
      <c r="Q106" s="170">
        <f>UpdateHashtag!F134</f>
        <v>73</v>
      </c>
      <c r="R106" s="177" t="str">
        <f>IF(UpdateHashtag!D134="",ROW(UpdateHashtag!D134),UpdateHashtag!D134)</f>
        <v>PG,SG</v>
      </c>
      <c r="S106" s="124">
        <f t="shared" si="1"/>
        <v>-0.990372714</v>
      </c>
      <c r="T106" s="124">
        <f>SUM(AE106:AM106)-IFERROR(IFS(Projections!$I$17,AN106,Projections!$J$17,AO106),"")</f>
        <v>-1.078704177</v>
      </c>
      <c r="U106" s="124">
        <f t="shared" si="2"/>
        <v>-0.08833146297</v>
      </c>
      <c r="V106" s="124">
        <f t="array" ref="V106">INDIRECT("Update"&amp;Projections!$AG$17&amp;"!M"&amp;ROW(B87))</f>
        <v>16.21643836</v>
      </c>
      <c r="W106" s="124">
        <f t="array" ref="W106">INDIRECT("Update"&amp;Projections!$AG$17&amp;"!L"&amp;ROW(B87))</f>
        <v>1.126712329</v>
      </c>
      <c r="X106" s="124">
        <f t="array" ref="X106">INDIRECT("Update"&amp;Projections!$AG$17&amp;"!N"&amp;ROW(B87))</f>
        <v>9.620273973</v>
      </c>
      <c r="Y106" s="124">
        <f t="array" ref="Y106">INDIRECT("Update"&amp;Projections!$AG$17&amp;"!O"&amp;ROW(B87))</f>
        <v>2.911369863</v>
      </c>
      <c r="Z106" s="124">
        <f t="array" ref="Z106">INDIRECT("Update"&amp;Projections!$AG$17&amp;"!P"&amp;ROW(B87))</f>
        <v>0.6328767123</v>
      </c>
      <c r="AA106" s="124">
        <f t="array" ref="AA106">INDIRECT("Update"&amp;Projections!$AG$17&amp;"!Q"&amp;ROW(B87))</f>
        <v>0.705890411</v>
      </c>
      <c r="AB106" s="180">
        <f t="array" ref="AB106">INDIRECT("Update"&amp;Projections!$AG$17&amp;"!I"&amp;ROW(B87))</f>
        <v>0.4953355311</v>
      </c>
      <c r="AC106" s="180">
        <f t="array" ref="AC106">INDIRECT("Update"&amp;Projections!$AG$17&amp;"!K"&amp;ROW(B87))</f>
        <v>0.807973089</v>
      </c>
      <c r="AD106" s="124">
        <f t="array" ref="AD106">INDIRECT("Update"&amp;Projections!$AG$17&amp;"!R"&amp;ROW(B87))</f>
        <v>1.392465753</v>
      </c>
      <c r="AE106" s="124">
        <f t="shared" si="3"/>
        <v>-0.229326326</v>
      </c>
      <c r="AF106" s="124">
        <f t="shared" si="4"/>
        <v>-0.6169342575</v>
      </c>
      <c r="AG106" s="124">
        <f t="shared" si="5"/>
        <v>1.386151782</v>
      </c>
      <c r="AH106" s="124">
        <f t="shared" si="6"/>
        <v>-0.464112865</v>
      </c>
      <c r="AI106" s="124">
        <f t="shared" si="7"/>
        <v>-1.135159363</v>
      </c>
      <c r="AJ106" s="124">
        <f t="shared" si="8"/>
        <v>-0.07629777533</v>
      </c>
      <c r="AK106" s="124">
        <f t="shared" si="9"/>
        <v>-0.03038968124</v>
      </c>
      <c r="AL106" s="124">
        <f t="shared" si="10"/>
        <v>0.08736430925</v>
      </c>
      <c r="AM106" s="124">
        <f t="shared" si="11"/>
        <v>0</v>
      </c>
      <c r="AN106" s="183">
        <f t="shared" si="12"/>
        <v>-1.135159363</v>
      </c>
      <c r="AO106" s="183">
        <f t="shared" si="13"/>
        <v>-1.752093621</v>
      </c>
      <c r="AP106" s="183">
        <f t="array" ref="AP106">INDIRECT("Update"&amp;Projections!$AG$17&amp;"!S"&amp;ROW(B87))</f>
        <v>13.67082192</v>
      </c>
      <c r="AQ106" s="183">
        <f t="array" ref="AQ106">INDIRECT("Update"&amp;Projections!$AG$17&amp;"!T"&amp;ROW(B87))</f>
        <v>1.913972603</v>
      </c>
    </row>
    <row r="107">
      <c r="A107" s="40" t="str">
        <f>IF(UpdateHashtag!C105="",ROW(UpdateHashtag!C105),UpdateHashtag!C105)</f>
        <v>Tyus Jones</v>
      </c>
      <c r="B107" s="41">
        <f>IF(TYPE($A107)=1,"",(UpdateHashtag!M105-B$1)/B$2)</f>
        <v>-0.9533119881</v>
      </c>
      <c r="C107" s="41">
        <f>IF(TYPE($A107)=1,"",(UpdateHashtag!L105-C$1)/C$2)</f>
        <v>-0.04827385557</v>
      </c>
      <c r="D107" s="41">
        <f>IF(TYPE($A107)=1,"",(UpdateHashtag!N105-D$1)/D$2)</f>
        <v>-1.247570605</v>
      </c>
      <c r="E107" s="41">
        <f>IF(TYPE($A107)=1,"",(UpdateHashtag!O105-E$1)/E$2)</f>
        <v>1.301863441</v>
      </c>
      <c r="F107" s="41">
        <f>IF(TYPE($A107)=1,"",(UpdateHashtag!P105-F$1)/F$2)</f>
        <v>0.741062197</v>
      </c>
      <c r="G107" s="41">
        <f>IF(TYPE($A107)=1,"",(UpdateHashtag!Q105-G$1)/G$2)</f>
        <v>-0.978628106</v>
      </c>
      <c r="H107" s="41">
        <f>IF(TYPE($A107)=1,"",(UpdateHashtag!I105-H$1)/H$2*I107/$I$1)</f>
        <v>-0.24960438</v>
      </c>
      <c r="I107" s="41">
        <f>UpdateHashtag!S105</f>
        <v>10.1</v>
      </c>
      <c r="J107" s="53">
        <f>IF(TYPE($A107)=1,"",(UpdateHashtag!K105-J$1)/J$2*K107/$K$1)</f>
        <v>0.02712787119</v>
      </c>
      <c r="K107" s="55">
        <f>UpdateHashtag!T105</f>
        <v>1.1</v>
      </c>
      <c r="L107" s="41">
        <f>IF(TYPE($A107)=1,"",-(UpdateHashtag!R105-L$1)/L$2)</f>
        <v>0.643430979</v>
      </c>
      <c r="N107" s="112">
        <v>87.0</v>
      </c>
      <c r="O107" s="170">
        <f t="array" ref="O107">INDIRECT("Update"&amp;Projections!$AG$17&amp;"!B"&amp;ROW(B88))</f>
        <v>82</v>
      </c>
      <c r="P107" s="172" t="str">
        <f t="array" ref="P107">INDIRECT("Update"&amp;Projections!$AG$17&amp;"!C"&amp;ROW(B88))</f>
        <v>Devin Vassell</v>
      </c>
      <c r="Q107" s="170">
        <f>UpdateHashtag!F132</f>
        <v>76</v>
      </c>
      <c r="R107" s="177" t="str">
        <f>IF(UpdateHashtag!D132="",ROW(UpdateHashtag!D132),UpdateHashtag!D132)</f>
        <v>SG,SF</v>
      </c>
      <c r="S107" s="124">
        <f t="shared" si="1"/>
        <v>-0.8099713463</v>
      </c>
      <c r="T107" s="124">
        <f>SUM(AE107:AM107)-IFERROR(IFS(Projections!$I$17,AN107,Projections!$J$17,AO107),"")</f>
        <v>-0.8855683243</v>
      </c>
      <c r="U107" s="124">
        <f t="shared" si="2"/>
        <v>-0.07559697801</v>
      </c>
      <c r="V107" s="124">
        <f t="array" ref="V107">INDIRECT("Update"&amp;Projections!$AG$17&amp;"!M"&amp;ROW(B88))</f>
        <v>18.84818182</v>
      </c>
      <c r="W107" s="124">
        <f t="array" ref="W107">INDIRECT("Update"&amp;Projections!$AG$17&amp;"!L"&amp;ROW(B88))</f>
        <v>2.230181818</v>
      </c>
      <c r="X107" s="124">
        <f t="array" ref="X107">INDIRECT("Update"&amp;Projections!$AG$17&amp;"!N"&amp;ROW(B88))</f>
        <v>3.85</v>
      </c>
      <c r="Y107" s="124">
        <f t="array" ref="Y107">INDIRECT("Update"&amp;Projections!$AG$17&amp;"!O"&amp;ROW(B88))</f>
        <v>3.437454545</v>
      </c>
      <c r="Z107" s="124">
        <f t="array" ref="Z107">INDIRECT("Update"&amp;Projections!$AG$17&amp;"!P"&amp;ROW(B88))</f>
        <v>1.031272727</v>
      </c>
      <c r="AA107" s="124">
        <f t="array" ref="AA107">INDIRECT("Update"&amp;Projections!$AG$17&amp;"!Q"&amp;ROW(B88))</f>
        <v>0.4152727273</v>
      </c>
      <c r="AB107" s="180">
        <f t="array" ref="AB107">INDIRECT("Update"&amp;Projections!$AG$17&amp;"!I"&amp;ROW(B88))</f>
        <v>0.4845355868</v>
      </c>
      <c r="AC107" s="180">
        <f t="array" ref="AC107">INDIRECT("Update"&amp;Projections!$AG$17&amp;"!K"&amp;ROW(B88))</f>
        <v>0.8099924869</v>
      </c>
      <c r="AD107" s="124">
        <f t="array" ref="AD107">INDIRECT("Update"&amp;Projections!$AG$17&amp;"!R"&amp;ROW(B88))</f>
        <v>1.443818182</v>
      </c>
      <c r="AE107" s="124">
        <f t="shared" si="3"/>
        <v>0.2450602723</v>
      </c>
      <c r="AF107" s="124">
        <f t="shared" si="4"/>
        <v>0.4776286206</v>
      </c>
      <c r="AG107" s="124">
        <f t="shared" si="5"/>
        <v>-0.8752589585</v>
      </c>
      <c r="AH107" s="124">
        <f t="shared" si="6"/>
        <v>-0.2251976042</v>
      </c>
      <c r="AI107" s="124">
        <f t="shared" si="7"/>
        <v>0.1828595022</v>
      </c>
      <c r="AJ107" s="124">
        <f t="shared" si="8"/>
        <v>-0.5946573744</v>
      </c>
      <c r="AK107" s="124">
        <f t="shared" si="9"/>
        <v>-0.2236331219</v>
      </c>
      <c r="AL107" s="124">
        <f t="shared" si="10"/>
        <v>0.1276303396</v>
      </c>
      <c r="AM107" s="124">
        <f t="shared" si="11"/>
        <v>0</v>
      </c>
      <c r="AN107" s="183">
        <f t="shared" si="12"/>
        <v>-0.8752589585</v>
      </c>
      <c r="AO107" s="183">
        <f t="shared" si="13"/>
        <v>-1.469916333</v>
      </c>
      <c r="AP107" s="183">
        <f t="array" ref="AP107">INDIRECT("Update"&amp;Projections!$AG$17&amp;"!S"&amp;ROW(B88))</f>
        <v>15.12563636</v>
      </c>
      <c r="AQ107" s="183">
        <f t="array" ref="AQ107">INDIRECT("Update"&amp;Projections!$AG$17&amp;"!T"&amp;ROW(B88))</f>
        <v>2.42</v>
      </c>
    </row>
    <row r="108">
      <c r="A108" s="40" t="str">
        <f>IF(UpdateHashtag!C106="",ROW(UpdateHashtag!C106),UpdateHashtag!C106)</f>
        <v>Brook Lopez</v>
      </c>
      <c r="B108" s="41">
        <f>IF(TYPE($A108)=1,"",(UpdateHashtag!M106-B$1)/B$2)</f>
        <v>-1.043439807</v>
      </c>
      <c r="C108" s="41">
        <f>IF(TYPE($A108)=1,"",(UpdateHashtag!L106-C$1)/C$2)</f>
        <v>-0.04827385557</v>
      </c>
      <c r="D108" s="41">
        <f>IF(TYPE($A108)=1,"",(UpdateHashtag!N106-D$1)/D$2)</f>
        <v>-0.4637566123</v>
      </c>
      <c r="E108" s="41">
        <f>IF(TYPE($A108)=1,"",(UpdateHashtag!O106-E$1)/E$2)</f>
        <v>-1.195897812</v>
      </c>
      <c r="F108" s="41">
        <f>IF(TYPE($A108)=1,"",(UpdateHashtag!P106-F$1)/F$2)</f>
        <v>-1.574757169</v>
      </c>
      <c r="G108" s="41">
        <f>IF(TYPE($A108)=1,"",(UpdateHashtag!Q106-G$1)/G$2)</f>
        <v>2.231937977</v>
      </c>
      <c r="H108" s="41">
        <f>IF(TYPE($A108)=1,"",(UpdateHashtag!I106-H$1)/H$2*I108/$I$1)</f>
        <v>-0.2747620127</v>
      </c>
      <c r="I108" s="41">
        <f>UpdateHashtag!S106</f>
        <v>9</v>
      </c>
      <c r="J108" s="53">
        <f>IF(TYPE($A108)=1,"",(UpdateHashtag!K106-J$1)/J$2*K108/$K$1)</f>
        <v>0.05071457504</v>
      </c>
      <c r="K108" s="55">
        <f>UpdateHashtag!T106</f>
        <v>1.8</v>
      </c>
      <c r="L108" s="41">
        <f>IF(TYPE($A108)=1,"",-(UpdateHashtag!R106-L$1)/L$2)</f>
        <v>0.7426238329</v>
      </c>
      <c r="N108" s="112">
        <v>88.0</v>
      </c>
      <c r="O108" s="170">
        <f t="array" ref="O108">INDIRECT("Update"&amp;Projections!$AG$17&amp;"!B"&amp;ROW(B89))</f>
        <v>86.9</v>
      </c>
      <c r="P108" s="172" t="str">
        <f t="array" ref="P108">INDIRECT("Update"&amp;Projections!$AG$17&amp;"!C"&amp;ROW(B89))</f>
        <v>CJ McCollum</v>
      </c>
      <c r="Q108" s="170">
        <f>UpdateHashtag!F151</f>
        <v>68</v>
      </c>
      <c r="R108" s="177" t="str">
        <f>IF(UpdateHashtag!D151="",ROW(UpdateHashtag!D151),UpdateHashtag!D151)</f>
        <v>SG,SF</v>
      </c>
      <c r="S108" s="124">
        <f t="shared" si="1"/>
        <v>-0.6663066113</v>
      </c>
      <c r="T108" s="124">
        <f>SUM(AE108:AM108)-IFERROR(IFS(Projections!$I$17,AN108,Projections!$J$17,AO108),"")</f>
        <v>-0.691612945</v>
      </c>
      <c r="U108" s="124">
        <f t="shared" si="2"/>
        <v>-0.02530633375</v>
      </c>
      <c r="V108" s="124">
        <f t="array" ref="V108">INDIRECT("Update"&amp;Projections!$AG$17&amp;"!M"&amp;ROW(B89))</f>
        <v>18.45455882</v>
      </c>
      <c r="W108" s="124">
        <f t="array" ref="W108">INDIRECT("Update"&amp;Projections!$AG$17&amp;"!L"&amp;ROW(B89))</f>
        <v>3.242205882</v>
      </c>
      <c r="X108" s="124">
        <f t="array" ref="X108">INDIRECT("Update"&amp;Projections!$AG$17&amp;"!N"&amp;ROW(B89))</f>
        <v>4.356029412</v>
      </c>
      <c r="Y108" s="124">
        <f t="array" ref="Y108">INDIRECT("Update"&amp;Projections!$AG$17&amp;"!O"&amp;ROW(B89))</f>
        <v>4.424117647</v>
      </c>
      <c r="Z108" s="124">
        <f t="array" ref="Z108">INDIRECT("Update"&amp;Projections!$AG$17&amp;"!P"&amp;ROW(B89))</f>
        <v>0.8055882353</v>
      </c>
      <c r="AA108" s="124">
        <f t="array" ref="AA108">INDIRECT("Update"&amp;Projections!$AG$17&amp;"!Q"&amp;ROW(B89))</f>
        <v>0.4808823529</v>
      </c>
      <c r="AB108" s="180">
        <f t="array" ref="AB108">INDIRECT("Update"&amp;Projections!$AG$17&amp;"!I"&amp;ROW(B89))</f>
        <v>0.4369886049</v>
      </c>
      <c r="AC108" s="180">
        <f t="array" ref="AC108">INDIRECT("Update"&amp;Projections!$AG$17&amp;"!K"&amp;ROW(B89))</f>
        <v>0.83299992</v>
      </c>
      <c r="AD108" s="124">
        <f t="array" ref="AD108">INDIRECT("Update"&amp;Projections!$AG$17&amp;"!R"&amp;ROW(B89))</f>
        <v>1.646617647</v>
      </c>
      <c r="AE108" s="124">
        <f t="shared" si="3"/>
        <v>0.1741075071</v>
      </c>
      <c r="AF108" s="124">
        <f t="shared" si="4"/>
        <v>1.481484172</v>
      </c>
      <c r="AG108" s="124">
        <f t="shared" si="5"/>
        <v>-0.6769424916</v>
      </c>
      <c r="AH108" s="124">
        <f t="shared" si="6"/>
        <v>0.2228840076</v>
      </c>
      <c r="AI108" s="124">
        <f t="shared" si="7"/>
        <v>-0.5637755211</v>
      </c>
      <c r="AJ108" s="124">
        <f t="shared" si="8"/>
        <v>-0.4776329085</v>
      </c>
      <c r="AK108" s="124">
        <f t="shared" si="9"/>
        <v>-1.097205195</v>
      </c>
      <c r="AL108" s="124">
        <f t="shared" si="10"/>
        <v>0.2454674851</v>
      </c>
      <c r="AM108" s="124">
        <f t="shared" si="11"/>
        <v>0</v>
      </c>
      <c r="AN108" s="183">
        <f t="shared" si="12"/>
        <v>-1.097205195</v>
      </c>
      <c r="AO108" s="183">
        <f t="shared" si="13"/>
        <v>-1.774147687</v>
      </c>
      <c r="AP108" s="183">
        <f t="array" ref="AP108">INDIRECT("Update"&amp;Projections!$AG$17&amp;"!S"&amp;ROW(B89))</f>
        <v>15.65426471</v>
      </c>
      <c r="AQ108" s="183">
        <f t="array" ref="AQ108">INDIRECT("Update"&amp;Projections!$AG$17&amp;"!T"&amp;ROW(B89))</f>
        <v>1.837794118</v>
      </c>
    </row>
    <row r="109">
      <c r="A109" s="40" t="str">
        <f>IF(UpdateHashtag!C107="",ROW(UpdateHashtag!C107),UpdateHashtag!C107)</f>
        <v>Jerami Grant</v>
      </c>
      <c r="B109" s="41">
        <f>IF(TYPE($A109)=1,"",(UpdateHashtag!M107-B$1)/B$2)</f>
        <v>0.3986053025</v>
      </c>
      <c r="C109" s="41">
        <f>IF(TYPE($A109)=1,"",(UpdateHashtag!L107-C$1)/C$2)</f>
        <v>0.34849756</v>
      </c>
      <c r="D109" s="41">
        <f>IF(TYPE($A109)=1,"",(UpdateHashtag!N107-D$1)/D$2)</f>
        <v>-0.8556636087</v>
      </c>
      <c r="E109" s="41">
        <f>IF(TYPE($A109)=1,"",(UpdateHashtag!O107-E$1)/E$2)</f>
        <v>-0.6509317203</v>
      </c>
      <c r="F109" s="41">
        <f>IF(TYPE($A109)=1,"",(UpdateHashtag!P107-F$1)/F$2)</f>
        <v>-0.5822631548</v>
      </c>
      <c r="G109" s="41">
        <f>IF(TYPE($A109)=1,"",(UpdateHashtag!Q107-G$1)/G$2)</f>
        <v>-0.08680419409</v>
      </c>
      <c r="H109" s="41">
        <f>IF(TYPE($A109)=1,"",(UpdateHashtag!I107-H$1)/H$2*I109/$I$1)</f>
        <v>-0.5696319861</v>
      </c>
      <c r="I109" s="41">
        <f>UpdateHashtag!S107</f>
        <v>14.3</v>
      </c>
      <c r="J109" s="53">
        <f>IF(TYPE($A109)=1,"",(UpdateHashtag!K107-J$1)/J$2*K109/$K$1)</f>
        <v>0.3541378118</v>
      </c>
      <c r="K109" s="55">
        <f>UpdateHashtag!T107</f>
        <v>5.3</v>
      </c>
      <c r="L109" s="41">
        <f>IF(TYPE($A109)=1,"",-(UpdateHashtag!R107-L$1)/L$2)</f>
        <v>-0.1501118522</v>
      </c>
      <c r="N109" s="5">
        <v>89.0</v>
      </c>
      <c r="O109" s="170">
        <f t="array" ref="O109">INDIRECT("Update"&amp;Projections!$AG$17&amp;"!B"&amp;ROW(B90))</f>
        <v>81</v>
      </c>
      <c r="P109" s="172" t="str">
        <f t="array" ref="P109">INDIRECT("Update"&amp;Projections!$AG$17&amp;"!C"&amp;ROW(B90))</f>
        <v>Keegan Murray</v>
      </c>
      <c r="Q109" s="170">
        <f>UpdateHashtag!F144</f>
        <v>76</v>
      </c>
      <c r="R109" s="177" t="str">
        <f>IF(UpdateHashtag!D144="",ROW(UpdateHashtag!D144),UpdateHashtag!D144)</f>
        <v>SF,PF</v>
      </c>
      <c r="S109" s="124">
        <f t="shared" si="1"/>
        <v>-0.5901041227</v>
      </c>
      <c r="T109" s="124">
        <f>SUM(AE109:AM109)-IFERROR(IFS(Projections!$I$17,AN109,Projections!$J$17,AO109),"")</f>
        <v>-0.8047772113</v>
      </c>
      <c r="U109" s="124">
        <f t="shared" si="2"/>
        <v>-0.2146730885</v>
      </c>
      <c r="V109" s="124">
        <f t="array" ref="V109">INDIRECT("Update"&amp;Projections!$AG$17&amp;"!M"&amp;ROW(B90))</f>
        <v>14.94246753</v>
      </c>
      <c r="W109" s="124">
        <f t="array" ref="W109">INDIRECT("Update"&amp;Projections!$AG$17&amp;"!L"&amp;ROW(B90))</f>
        <v>2.654935065</v>
      </c>
      <c r="X109" s="124">
        <f t="array" ref="X109">INDIRECT("Update"&amp;Projections!$AG$17&amp;"!N"&amp;ROW(B90))</f>
        <v>6.628181818</v>
      </c>
      <c r="Y109" s="124">
        <f t="array" ref="Y109">INDIRECT("Update"&amp;Projections!$AG$17&amp;"!O"&amp;ROW(B90))</f>
        <v>1.546623377</v>
      </c>
      <c r="Z109" s="124">
        <f t="array" ref="Z109">INDIRECT("Update"&amp;Projections!$AG$17&amp;"!P"&amp;ROW(B90))</f>
        <v>0.9588311688</v>
      </c>
      <c r="AA109" s="124">
        <f t="array" ref="AA109">INDIRECT("Update"&amp;Projections!$AG$17&amp;"!Q"&amp;ROW(B90))</f>
        <v>0.8828571429</v>
      </c>
      <c r="AB109" s="180">
        <f t="array" ref="AB109">INDIRECT("Update"&amp;Projections!$AG$17&amp;"!I"&amp;ROW(B90))</f>
        <v>0.4471965635</v>
      </c>
      <c r="AC109" s="180">
        <f t="array" ref="AC109">INDIRECT("Update"&amp;Projections!$AG$17&amp;"!K"&amp;ROW(B90))</f>
        <v>0.8400546822</v>
      </c>
      <c r="AD109" s="124">
        <f t="array" ref="AD109">INDIRECT("Update"&amp;Projections!$AG$17&amp;"!R"&amp;ROW(B90))</f>
        <v>0.882987013</v>
      </c>
      <c r="AE109" s="124">
        <f t="shared" si="3"/>
        <v>-0.4589667517</v>
      </c>
      <c r="AF109" s="124">
        <f t="shared" si="4"/>
        <v>0.8989534883</v>
      </c>
      <c r="AG109" s="124">
        <f t="shared" si="5"/>
        <v>0.2135299331</v>
      </c>
      <c r="AH109" s="124">
        <f t="shared" si="6"/>
        <v>-1.083896663</v>
      </c>
      <c r="AI109" s="124">
        <f t="shared" si="7"/>
        <v>-0.05679987397</v>
      </c>
      <c r="AJ109" s="124">
        <f t="shared" si="8"/>
        <v>0.2393485509</v>
      </c>
      <c r="AK109" s="124">
        <f t="shared" si="9"/>
        <v>-0.7374651118</v>
      </c>
      <c r="AL109" s="124">
        <f t="shared" si="10"/>
        <v>0.1805192174</v>
      </c>
      <c r="AM109" s="124">
        <f t="shared" si="11"/>
        <v>0</v>
      </c>
      <c r="AN109" s="183">
        <f t="shared" si="12"/>
        <v>-1.083896663</v>
      </c>
      <c r="AO109" s="183">
        <f t="shared" si="13"/>
        <v>-1.821361775</v>
      </c>
      <c r="AP109" s="183">
        <f t="array" ref="AP109">INDIRECT("Update"&amp;Projections!$AG$17&amp;"!S"&amp;ROW(B90))</f>
        <v>12.66766234</v>
      </c>
      <c r="AQ109" s="183">
        <f t="array" ref="AQ109">INDIRECT("Update"&amp;Projections!$AG$17&amp;"!T"&amp;ROW(B90))</f>
        <v>1.14</v>
      </c>
    </row>
    <row r="110">
      <c r="A110" s="40" t="str">
        <f>IF(UpdateHashtag!C108="",ROW(UpdateHashtag!C108),UpdateHashtag!C108)</f>
        <v>Kyle Kuzma</v>
      </c>
      <c r="B110" s="41">
        <f>IF(TYPE($A110)=1,"",(UpdateHashtag!M108-B$1)/B$2)</f>
        <v>0.7410910161</v>
      </c>
      <c r="C110" s="41">
        <f>IF(TYPE($A110)=1,"",(UpdateHashtag!L108-C$1)/C$2)</f>
        <v>0.5468832679</v>
      </c>
      <c r="D110" s="41">
        <f>IF(TYPE($A110)=1,"",(UpdateHashtag!N108-D$1)/D$2)</f>
        <v>0.3200573803</v>
      </c>
      <c r="E110" s="41">
        <f>IF(TYPE($A110)=1,"",(UpdateHashtag!O108-E$1)/E$2)</f>
        <v>0.03027589397</v>
      </c>
      <c r="F110" s="41">
        <f>IF(TYPE($A110)=1,"",(UpdateHashtag!P108-F$1)/F$2)</f>
        <v>-1.574757169</v>
      </c>
      <c r="G110" s="41">
        <f>IF(TYPE($A110)=1,"",(UpdateHashtag!Q108-G$1)/G$2)</f>
        <v>-0.2651689765</v>
      </c>
      <c r="H110" s="41">
        <f>IF(TYPE($A110)=1,"",(UpdateHashtag!I108-H$1)/H$2*I110/$I$1)</f>
        <v>-0.8683752874</v>
      </c>
      <c r="I110" s="41">
        <f>UpdateHashtag!S108</f>
        <v>18.1</v>
      </c>
      <c r="J110" s="53">
        <f>IF(TYPE($A110)=1,"",(UpdateHashtag!K108-J$1)/J$2*K110/$K$1)</f>
        <v>-0.2779816358</v>
      </c>
      <c r="K110" s="55">
        <f>UpdateHashtag!T108</f>
        <v>3.6</v>
      </c>
      <c r="L110" s="41">
        <f>IF(TYPE($A110)=1,"",-(UpdateHashtag!R108-L$1)/L$2)</f>
        <v>-1.042847537</v>
      </c>
      <c r="N110" s="112">
        <v>90.0</v>
      </c>
      <c r="O110" s="170">
        <f t="array" ref="O110">INDIRECT("Update"&amp;Projections!$AG$17&amp;"!B"&amp;ROW(B91))</f>
        <v>92.7</v>
      </c>
      <c r="P110" s="172" t="str">
        <f t="array" ref="P110">INDIRECT("Update"&amp;Projections!$AG$17&amp;"!C"&amp;ROW(B91))</f>
        <v>Jakob Poeltl</v>
      </c>
      <c r="Q110" s="170">
        <f>UpdateHashtag!F128</f>
        <v>77</v>
      </c>
      <c r="R110" s="177" t="str">
        <f>IF(UpdateHashtag!D128="",ROW(UpdateHashtag!D128),UpdateHashtag!D128)</f>
        <v>SG,SF</v>
      </c>
      <c r="S110" s="124">
        <f t="shared" si="1"/>
        <v>-1.360031145</v>
      </c>
      <c r="T110" s="124">
        <f>SUM(AE110:AM110)-IFERROR(IFS(Projections!$I$17,AN110,Projections!$J$17,AO110),"")</f>
        <v>-1.413747019</v>
      </c>
      <c r="U110" s="124">
        <f t="shared" si="2"/>
        <v>-0.05371587435</v>
      </c>
      <c r="V110" s="124">
        <f t="array" ref="V110">INDIRECT("Update"&amp;Projections!$AG$17&amp;"!M"&amp;ROW(B91))</f>
        <v>12.01561644</v>
      </c>
      <c r="W110" s="124">
        <f t="array" ref="W110">INDIRECT("Update"&amp;Projections!$AG$17&amp;"!L"&amp;ROW(B91))</f>
        <v>0</v>
      </c>
      <c r="X110" s="124">
        <f t="array" ref="X110">INDIRECT("Update"&amp;Projections!$AG$17&amp;"!N"&amp;ROW(B91))</f>
        <v>8.805890411</v>
      </c>
      <c r="Y110" s="124">
        <f t="array" ref="Y110">INDIRECT("Update"&amp;Projections!$AG$17&amp;"!O"&amp;ROW(B91))</f>
        <v>2.684657534</v>
      </c>
      <c r="Z110" s="124">
        <f t="array" ref="Z110">INDIRECT("Update"&amp;Projections!$AG$17&amp;"!P"&amp;ROW(B91))</f>
        <v>0.7971232877</v>
      </c>
      <c r="AA110" s="124">
        <f t="array" ref="AA110">INDIRECT("Update"&amp;Projections!$AG$17&amp;"!Q"&amp;ROW(B91))</f>
        <v>1.704383562</v>
      </c>
      <c r="AB110" s="180">
        <f t="array" ref="AB110">INDIRECT("Update"&amp;Projections!$AG$17&amp;"!I"&amp;ROW(B91))</f>
        <v>0.61</v>
      </c>
      <c r="AC110" s="180">
        <f t="array" ref="AC110">INDIRECT("Update"&amp;Projections!$AG$17&amp;"!K"&amp;ROW(B91))</f>
        <v>0.590014112</v>
      </c>
      <c r="AD110" s="124">
        <f t="array" ref="AD110">INDIRECT("Update"&amp;Projections!$AG$17&amp;"!R"&amp;ROW(B91))</f>
        <v>1.532054795</v>
      </c>
      <c r="AE110" s="124">
        <f t="shared" si="3"/>
        <v>-0.9865481645</v>
      </c>
      <c r="AF110" s="124">
        <f t="shared" si="4"/>
        <v>-1.734552372</v>
      </c>
      <c r="AG110" s="124">
        <f t="shared" si="5"/>
        <v>1.066989167</v>
      </c>
      <c r="AH110" s="124">
        <f t="shared" si="6"/>
        <v>-0.5670716415</v>
      </c>
      <c r="AI110" s="124">
        <f t="shared" si="7"/>
        <v>-0.5917802205</v>
      </c>
      <c r="AJ110" s="124">
        <f t="shared" si="8"/>
        <v>1.704662361</v>
      </c>
      <c r="AK110" s="124">
        <f t="shared" si="9"/>
        <v>1.162387241</v>
      </c>
      <c r="AL110" s="124">
        <f t="shared" si="10"/>
        <v>-1.467833389</v>
      </c>
      <c r="AM110" s="124">
        <f t="shared" si="11"/>
        <v>0</v>
      </c>
      <c r="AN110" s="183">
        <f t="shared" si="12"/>
        <v>-1.734552372</v>
      </c>
      <c r="AO110" s="183">
        <f t="shared" si="13"/>
        <v>-3.202385761</v>
      </c>
      <c r="AP110" s="183">
        <f t="array" ref="AP110">INDIRECT("Update"&amp;Projections!$AG$17&amp;"!S"&amp;ROW(B91))</f>
        <v>8.863013699</v>
      </c>
      <c r="AQ110" s="183">
        <f t="array" ref="AQ110">INDIRECT("Update"&amp;Projections!$AG$17&amp;"!T"&amp;ROW(B91))</f>
        <v>2.038493151</v>
      </c>
    </row>
    <row r="111">
      <c r="A111" s="40" t="str">
        <f>IF(UpdateHashtag!C109="",ROW(UpdateHashtag!C109),UpdateHashtag!C109)</f>
        <v>Norman Powell</v>
      </c>
      <c r="B111" s="41">
        <f>IF(TYPE($A111)=1,"",(UpdateHashtag!M109-B$1)/B$2)</f>
        <v>0.2363752276</v>
      </c>
      <c r="C111" s="41">
        <f>IF(TYPE($A111)=1,"",(UpdateHashtag!L109-C$1)/C$2)</f>
        <v>0.8444618296</v>
      </c>
      <c r="D111" s="41">
        <f>IF(TYPE($A111)=1,"",(UpdateHashtag!N109-D$1)/D$2)</f>
        <v>-1.051617107</v>
      </c>
      <c r="E111" s="41">
        <f>IF(TYPE($A111)=1,"",(UpdateHashtag!O109-E$1)/E$2)</f>
        <v>-1.014242448</v>
      </c>
      <c r="F111" s="41">
        <f>IF(TYPE($A111)=1,"",(UpdateHashtag!P109-F$1)/F$2)</f>
        <v>-0.5822631548</v>
      </c>
      <c r="G111" s="41">
        <f>IF(TYPE($A111)=1,"",(UpdateHashtag!Q109-G$1)/G$2)</f>
        <v>-0.6218985413</v>
      </c>
      <c r="H111" s="41">
        <f>IF(TYPE($A111)=1,"",(UpdateHashtag!I109-H$1)/H$2*I111/$I$1)</f>
        <v>-0.2376401007</v>
      </c>
      <c r="I111" s="41">
        <f>UpdateHashtag!S109</f>
        <v>13.4</v>
      </c>
      <c r="J111" s="53">
        <f>IF(TYPE($A111)=1,"",(UpdateHashtag!K109-J$1)/J$2*K111/$K$1)</f>
        <v>0.374780569</v>
      </c>
      <c r="K111" s="55">
        <f>UpdateHashtag!T109</f>
        <v>4.1</v>
      </c>
      <c r="L111" s="41">
        <f>IF(TYPE($A111)=1,"",-(UpdateHashtag!R109-L$1)/L$2)</f>
        <v>0.2466595634</v>
      </c>
      <c r="N111" s="112">
        <v>91.0</v>
      </c>
      <c r="O111" s="170">
        <f t="array" ref="O111">INDIRECT("Update"&amp;Projections!$AG$17&amp;"!B"&amp;ROW(B92))</f>
        <v>91.6</v>
      </c>
      <c r="P111" s="172" t="str">
        <f t="array" ref="P111">INDIRECT("Update"&amp;Projections!$AG$17&amp;"!C"&amp;ROW(B92))</f>
        <v>Ivica Zubac</v>
      </c>
      <c r="Q111" s="170">
        <f>UpdateHashtag!F156</f>
        <v>67</v>
      </c>
      <c r="R111" s="177" t="str">
        <f>IF(UpdateHashtag!D156="",ROW(UpdateHashtag!D156),UpdateHashtag!D156)</f>
        <v>SF,PF,C</v>
      </c>
      <c r="S111" s="124">
        <f t="shared" si="1"/>
        <v>-1.477025516</v>
      </c>
      <c r="T111" s="124">
        <f>SUM(AE111:AM111)-IFERROR(IFS(Projections!$I$17,AN111,Projections!$J$17,AO111),"")</f>
        <v>-1.590732685</v>
      </c>
      <c r="U111" s="124">
        <f t="shared" si="2"/>
        <v>-0.1137071691</v>
      </c>
      <c r="V111" s="124">
        <f t="array" ref="V111">INDIRECT("Update"&amp;Projections!$AG$17&amp;"!M"&amp;ROW(B92))</f>
        <v>14.28589041</v>
      </c>
      <c r="W111" s="124">
        <f t="array" ref="W111">INDIRECT("Update"&amp;Projections!$AG$17&amp;"!L"&amp;ROW(B92))</f>
        <v>0</v>
      </c>
      <c r="X111" s="124">
        <f t="array" ref="X111">INDIRECT("Update"&amp;Projections!$AG$17&amp;"!N"&amp;ROW(B92))</f>
        <v>10.12465753</v>
      </c>
      <c r="Y111" s="124">
        <f t="array" ref="Y111">INDIRECT("Update"&amp;Projections!$AG$17&amp;"!O"&amp;ROW(B92))</f>
        <v>1.606712329</v>
      </c>
      <c r="Z111" s="124">
        <f t="array" ref="Z111">INDIRECT("Update"&amp;Projections!$AG$17&amp;"!P"&amp;ROW(B92))</f>
        <v>0.4216438356</v>
      </c>
      <c r="AA111" s="124">
        <f t="array" ref="AA111">INDIRECT("Update"&amp;Projections!$AG$17&amp;"!Q"&amp;ROW(B92))</f>
        <v>1.229452055</v>
      </c>
      <c r="AB111" s="180">
        <f t="array" ref="AB111">INDIRECT("Update"&amp;Projections!$AG$17&amp;"!I"&amp;ROW(B92))</f>
        <v>0.6339964633</v>
      </c>
      <c r="AC111" s="180">
        <f t="array" ref="AC111">INDIRECT("Update"&amp;Projections!$AG$17&amp;"!K"&amp;ROW(B92))</f>
        <v>0.768009768</v>
      </c>
      <c r="AD111" s="124">
        <f t="array" ref="AD111">INDIRECT("Update"&amp;Projections!$AG$17&amp;"!R"&amp;ROW(B92))</f>
        <v>1.290136986</v>
      </c>
      <c r="AE111" s="124">
        <f t="shared" si="3"/>
        <v>-0.5773184799</v>
      </c>
      <c r="AF111" s="124">
        <f t="shared" si="4"/>
        <v>-1.734552372</v>
      </c>
      <c r="AG111" s="124">
        <f t="shared" si="5"/>
        <v>1.583823227</v>
      </c>
      <c r="AH111" s="124">
        <f t="shared" si="6"/>
        <v>-1.056607962</v>
      </c>
      <c r="AI111" s="124">
        <f t="shared" si="7"/>
        <v>-1.833983916</v>
      </c>
      <c r="AJ111" s="124">
        <f t="shared" si="8"/>
        <v>0.8575518116</v>
      </c>
      <c r="AK111" s="124">
        <f t="shared" si="9"/>
        <v>1.478623854</v>
      </c>
      <c r="AL111" s="124">
        <f t="shared" si="10"/>
        <v>-0.3082688478</v>
      </c>
      <c r="AM111" s="124">
        <f t="shared" si="11"/>
        <v>0</v>
      </c>
      <c r="AN111" s="183">
        <f t="shared" si="12"/>
        <v>-1.833983916</v>
      </c>
      <c r="AO111" s="183">
        <f t="shared" si="13"/>
        <v>-3.568536288</v>
      </c>
      <c r="AP111" s="183">
        <f t="array" ref="AP111">INDIRECT("Update"&amp;Projections!$AG$17&amp;"!S"&amp;ROW(B92))</f>
        <v>9.295890411</v>
      </c>
      <c r="AQ111" s="183">
        <f t="array" ref="AQ111">INDIRECT("Update"&amp;Projections!$AG$17&amp;"!T"&amp;ROW(B92))</f>
        <v>3.253561644</v>
      </c>
    </row>
    <row r="112">
      <c r="A112" s="40" t="str">
        <f>IF(UpdateHashtag!C110="",ROW(UpdateHashtag!C110),UpdateHashtag!C110)</f>
        <v>Clint Capela</v>
      </c>
      <c r="B112" s="41">
        <f>IF(TYPE($A112)=1,"",(UpdateHashtag!M110-B$1)/B$2)</f>
        <v>-1.079490935</v>
      </c>
      <c r="C112" s="41">
        <f>IF(TYPE($A112)=1,"",(UpdateHashtag!L110-C$1)/C$2)</f>
        <v>-1.734552372</v>
      </c>
      <c r="D112" s="41">
        <f>IF(TYPE($A112)=1,"",(UpdateHashtag!N110-D$1)/D$2)</f>
        <v>1.809303966</v>
      </c>
      <c r="E112" s="41">
        <f>IF(TYPE($A112)=1,"",(UpdateHashtag!O110-E$1)/E$2)</f>
        <v>-1.286725494</v>
      </c>
      <c r="F112" s="41">
        <f>IF(TYPE($A112)=1,"",(UpdateHashtag!P110-F$1)/F$2)</f>
        <v>-1.243925831</v>
      </c>
      <c r="G112" s="41">
        <f>IF(TYPE($A112)=1,"",(UpdateHashtag!Q110-G$1)/G$2)</f>
        <v>0.9833845002</v>
      </c>
      <c r="H112" s="41">
        <f>IF(TYPE($A112)=1,"",(UpdateHashtag!I110-H$1)/H$2*I112/$I$1)</f>
        <v>0.9746456005</v>
      </c>
      <c r="I112" s="41">
        <f>UpdateHashtag!S110</f>
        <v>8.4</v>
      </c>
      <c r="J112" s="53">
        <f>IF(TYPE($A112)=1,"",(UpdateHashtag!K110-J$1)/J$2*K112/$K$1)</f>
        <v>-1.382572904</v>
      </c>
      <c r="K112" s="55">
        <f>UpdateHashtag!T110</f>
        <v>2.4</v>
      </c>
      <c r="L112" s="41">
        <f>IF(TYPE($A112)=1,"",-(UpdateHashtag!R110-L$1)/L$2)</f>
        <v>0.8418166868</v>
      </c>
      <c r="N112" s="5">
        <v>92.0</v>
      </c>
      <c r="O112" s="170">
        <f t="array" ref="O112">INDIRECT("Update"&amp;Projections!$AG$17&amp;"!B"&amp;ROW(B93))</f>
        <v>104.5</v>
      </c>
      <c r="P112" s="172" t="str">
        <f t="array" ref="P112">INDIRECT("Update"&amp;Projections!$AG$17&amp;"!C"&amp;ROW(B93))</f>
        <v>Daniel Gafford</v>
      </c>
      <c r="Q112" s="170">
        <f>UpdateHashtag!F137</f>
        <v>76</v>
      </c>
      <c r="R112" s="177" t="str">
        <f>IF(UpdateHashtag!D137="",ROW(UpdateHashtag!D137),UpdateHashtag!D137)</f>
        <v>PG,SG</v>
      </c>
      <c r="S112" s="124">
        <f t="shared" si="1"/>
        <v>-1.480972694</v>
      </c>
      <c r="T112" s="124">
        <f>SUM(AE112:AM112)-IFERROR(IFS(Projections!$I$17,AN112,Projections!$J$17,AO112),"")</f>
        <v>-1.674237967</v>
      </c>
      <c r="U112" s="124">
        <f t="shared" si="2"/>
        <v>-0.193265273</v>
      </c>
      <c r="V112" s="124">
        <f t="array" ref="V112">INDIRECT("Update"&amp;Projections!$AG$17&amp;"!M"&amp;ROW(B93))</f>
        <v>10.43520548</v>
      </c>
      <c r="W112" s="124">
        <f t="array" ref="W112">INDIRECT("Update"&amp;Projections!$AG$17&amp;"!L"&amp;ROW(B93))</f>
        <v>0</v>
      </c>
      <c r="X112" s="124">
        <f t="array" ref="X112">INDIRECT("Update"&amp;Projections!$AG$17&amp;"!N"&amp;ROW(B93))</f>
        <v>6.630273973</v>
      </c>
      <c r="Y112" s="124">
        <f t="array" ref="Y112">INDIRECT("Update"&amp;Projections!$AG$17&amp;"!O"&amp;ROW(B93))</f>
        <v>1.597123288</v>
      </c>
      <c r="Z112" s="124">
        <f t="array" ref="Z112">INDIRECT("Update"&amp;Projections!$AG$17&amp;"!P"&amp;ROW(B93))</f>
        <v>0.7239726027</v>
      </c>
      <c r="AA112" s="124">
        <f t="array" ref="AA112">INDIRECT("Update"&amp;Projections!$AG$17&amp;"!Q"&amp;ROW(B93))</f>
        <v>1.79369863</v>
      </c>
      <c r="AB112" s="180">
        <f t="array" ref="AB112">INDIRECT("Update"&amp;Projections!$AG$17&amp;"!I"&amp;ROW(B93))</f>
        <v>0.7399957109</v>
      </c>
      <c r="AC112" s="180">
        <f t="array" ref="AC112">INDIRECT("Update"&amp;Projections!$AG$17&amp;"!K"&amp;ROW(B93))</f>
        <v>0.6680029834</v>
      </c>
      <c r="AD112" s="124">
        <f t="array" ref="AD112">INDIRECT("Update"&amp;Projections!$AG$17&amp;"!R"&amp;ROW(B93))</f>
        <v>0.9693150685</v>
      </c>
      <c r="AE112" s="124">
        <f t="shared" si="3"/>
        <v>-1.271426152</v>
      </c>
      <c r="AF112" s="124">
        <f t="shared" si="4"/>
        <v>-1.734552372</v>
      </c>
      <c r="AG112" s="124">
        <f t="shared" si="5"/>
        <v>0.2143498633</v>
      </c>
      <c r="AH112" s="124">
        <f t="shared" si="6"/>
        <v>-1.060962714</v>
      </c>
      <c r="AI112" s="124">
        <f t="shared" si="7"/>
        <v>-0.8337856104</v>
      </c>
      <c r="AJ112" s="124">
        <f t="shared" si="8"/>
        <v>1.863968987</v>
      </c>
      <c r="AK112" s="124">
        <f t="shared" si="9"/>
        <v>1.803599506</v>
      </c>
      <c r="AL112" s="124">
        <f t="shared" si="10"/>
        <v>-0.6554294759</v>
      </c>
      <c r="AM112" s="124">
        <f t="shared" si="11"/>
        <v>0</v>
      </c>
      <c r="AN112" s="183">
        <f t="shared" si="12"/>
        <v>-1.734552372</v>
      </c>
      <c r="AO112" s="183">
        <f t="shared" si="13"/>
        <v>-3.005978523</v>
      </c>
      <c r="AP112" s="183">
        <f t="array" ref="AP112">INDIRECT("Update"&amp;Projections!$AG$17&amp;"!S"&amp;ROW(B93))</f>
        <v>6.387671233</v>
      </c>
      <c r="AQ112" s="183">
        <f t="array" ref="AQ112">INDIRECT("Update"&amp;Projections!$AG$17&amp;"!T"&amp;ROW(B93))</f>
        <v>1.469315068</v>
      </c>
    </row>
    <row r="113">
      <c r="A113" s="40" t="str">
        <f>IF(UpdateHashtag!C111="",ROW(UpdateHashtag!C111),UpdateHashtag!C111)</f>
        <v>Trayce Jackson-Davis</v>
      </c>
      <c r="B113" s="41">
        <f>IF(TYPE($A113)=1,"",(UpdateHashtag!M111-B$1)/B$2)</f>
        <v>-0.971337552</v>
      </c>
      <c r="C113" s="41">
        <f>IF(TYPE($A113)=1,"",(UpdateHashtag!L111-C$1)/C$2)</f>
        <v>-1.734552372</v>
      </c>
      <c r="D113" s="41">
        <f>IF(TYPE($A113)=1,"",(UpdateHashtag!N111-D$1)/D$2)</f>
        <v>0.5943922778</v>
      </c>
      <c r="E113" s="41">
        <f>IF(TYPE($A113)=1,"",(UpdateHashtag!O111-E$1)/E$2)</f>
        <v>-0.9688286069</v>
      </c>
      <c r="F113" s="41">
        <f>IF(TYPE($A113)=1,"",(UpdateHashtag!P111-F$1)/F$2)</f>
        <v>-1.243925831</v>
      </c>
      <c r="G113" s="41">
        <f>IF(TYPE($A113)=1,"",(UpdateHashtag!Q111-G$1)/G$2)</f>
        <v>1.518478847</v>
      </c>
      <c r="H113" s="41">
        <f>IF(TYPE($A113)=1,"",(UpdateHashtag!I111-H$1)/H$2*I113/$I$1)</f>
        <v>1.771000253</v>
      </c>
      <c r="I113" s="41">
        <f>UpdateHashtag!S111</f>
        <v>7.4</v>
      </c>
      <c r="J113" s="53">
        <f>IF(TYPE($A113)=1,"",(UpdateHashtag!K111-J$1)/J$2*K113/$K$1)</f>
        <v>-2.444880947</v>
      </c>
      <c r="K113" s="55">
        <f>UpdateHashtag!T111</f>
        <v>3</v>
      </c>
      <c r="L113" s="41">
        <f>IF(TYPE($A113)=1,"",-(UpdateHashtag!R111-L$1)/L$2)</f>
        <v>0.643430979</v>
      </c>
      <c r="N113" s="112">
        <v>93.0</v>
      </c>
      <c r="O113" s="170">
        <f t="array" ref="O113">INDIRECT("Update"&amp;Projections!$AG$17&amp;"!B"&amp;ROW(B94))</f>
        <v>96.2</v>
      </c>
      <c r="P113" s="172" t="str">
        <f t="array" ref="P113">INDIRECT("Update"&amp;Projections!$AG$17&amp;"!C"&amp;ROW(B94))</f>
        <v>Herbert Jones</v>
      </c>
      <c r="Q113" s="170">
        <f>UpdateHashtag!F154</f>
        <v>65</v>
      </c>
      <c r="R113" s="177" t="str">
        <f>IF(UpdateHashtag!D154="",ROW(UpdateHashtag!D154),UpdateHashtag!D154)</f>
        <v>SG,SF</v>
      </c>
      <c r="S113" s="124">
        <f t="shared" si="1"/>
        <v>-0.9058334632</v>
      </c>
      <c r="T113" s="124">
        <f>SUM(AE113:AM113)-IFERROR(IFS(Projections!$I$17,AN113,Projections!$J$17,AO113),"")</f>
        <v>-1.027110683</v>
      </c>
      <c r="U113" s="124">
        <f t="shared" si="2"/>
        <v>-0.1212772195</v>
      </c>
      <c r="V113" s="124">
        <f t="array" ref="V113">INDIRECT("Update"&amp;Projections!$AG$17&amp;"!M"&amp;ROW(B94))</f>
        <v>9.722077922</v>
      </c>
      <c r="W113" s="124">
        <f t="array" ref="W113">INDIRECT("Update"&amp;Projections!$AG$17&amp;"!L"&amp;ROW(B94))</f>
        <v>1.309480519</v>
      </c>
      <c r="X113" s="124">
        <f t="array" ref="X113">INDIRECT("Update"&amp;Projections!$AG$17&amp;"!N"&amp;ROW(B94))</f>
        <v>4.818051948</v>
      </c>
      <c r="Y113" s="124">
        <f t="array" ref="Y113">INDIRECT("Update"&amp;Projections!$AG$17&amp;"!O"&amp;ROW(B94))</f>
        <v>2.375974026</v>
      </c>
      <c r="Z113" s="124">
        <f t="array" ref="Z113">INDIRECT("Update"&amp;Projections!$AG$17&amp;"!P"&amp;ROW(B94))</f>
        <v>1.571688312</v>
      </c>
      <c r="AA113" s="124">
        <f t="array" ref="AA113">INDIRECT("Update"&amp;Projections!$AG$17&amp;"!Q"&amp;ROW(B94))</f>
        <v>0.7298701299</v>
      </c>
      <c r="AB113" s="180">
        <f t="array" ref="AB113">INDIRECT("Update"&amp;Projections!$AG$17&amp;"!I"&amp;ROW(B94))</f>
        <v>0.4685706033</v>
      </c>
      <c r="AC113" s="180">
        <f t="array" ref="AC113">INDIRECT("Update"&amp;Projections!$AG$17&amp;"!K"&amp;ROW(B94))</f>
        <v>0.8399712719</v>
      </c>
      <c r="AD113" s="124">
        <f t="array" ref="AD113">INDIRECT("Update"&amp;Projections!$AG$17&amp;"!R"&amp;ROW(B94))</f>
        <v>1.25961039</v>
      </c>
      <c r="AE113" s="124">
        <f t="shared" si="3"/>
        <v>-1.399971415</v>
      </c>
      <c r="AF113" s="124">
        <f t="shared" si="4"/>
        <v>-0.4356412738</v>
      </c>
      <c r="AG113" s="124">
        <f t="shared" si="5"/>
        <v>-0.4958726272</v>
      </c>
      <c r="AH113" s="124">
        <f t="shared" si="6"/>
        <v>-0.7072566788</v>
      </c>
      <c r="AI113" s="124">
        <f t="shared" si="7"/>
        <v>1.970723612</v>
      </c>
      <c r="AJ113" s="124">
        <f t="shared" si="8"/>
        <v>-0.0335264019</v>
      </c>
      <c r="AK113" s="124">
        <f t="shared" si="9"/>
        <v>-0.2399559685</v>
      </c>
      <c r="AL113" s="124">
        <f t="shared" si="10"/>
        <v>0.3143900701</v>
      </c>
      <c r="AM113" s="124">
        <f t="shared" si="11"/>
        <v>0</v>
      </c>
      <c r="AN113" s="183">
        <f t="shared" si="12"/>
        <v>-1.399971415</v>
      </c>
      <c r="AO113" s="183">
        <f t="shared" si="13"/>
        <v>-2.107228094</v>
      </c>
      <c r="AP113" s="183">
        <f t="array" ref="AP113">INDIRECT("Update"&amp;Projections!$AG$17&amp;"!S"&amp;ROW(B94))</f>
        <v>7.194025974</v>
      </c>
      <c r="AQ113" s="183">
        <f t="array" ref="AQ113">INDIRECT("Update"&amp;Projections!$AG$17&amp;"!T"&amp;ROW(B94))</f>
        <v>1.989090909</v>
      </c>
    </row>
    <row r="114">
      <c r="A114" s="40" t="str">
        <f>IF(UpdateHashtag!C112="",ROW(UpdateHashtag!C112),UpdateHashtag!C112)</f>
        <v>Jalen Green</v>
      </c>
      <c r="B114" s="41">
        <f>IF(TYPE($A114)=1,"",(UpdateHashtag!M112-B$1)/B$2)</f>
        <v>0.5428098135</v>
      </c>
      <c r="C114" s="41">
        <f>IF(TYPE($A114)=1,"",(UpdateHashtag!L112-C$1)/C$2)</f>
        <v>0.6460761218</v>
      </c>
      <c r="D114" s="41">
        <f>IF(TYPE($A114)=1,"",(UpdateHashtag!N112-D$1)/D$2)</f>
        <v>-0.4637566123</v>
      </c>
      <c r="E114" s="41">
        <f>IF(TYPE($A114)=1,"",(UpdateHashtag!O112-E$1)/E$2)</f>
        <v>-0.1059656289</v>
      </c>
      <c r="F114" s="41">
        <f>IF(TYPE($A114)=1,"",(UpdateHashtag!P112-F$1)/F$2)</f>
        <v>-0.2514318168</v>
      </c>
      <c r="G114" s="41">
        <f>IF(TYPE($A114)=1,"",(UpdateHashtag!Q112-G$1)/G$2)</f>
        <v>-0.8002633236</v>
      </c>
      <c r="H114" s="41">
        <f>IF(TYPE($A114)=1,"",(UpdateHashtag!I112-H$1)/H$2*I114/$I$1)</f>
        <v>-1.301863096</v>
      </c>
      <c r="I114" s="41">
        <f>UpdateHashtag!S112</f>
        <v>16.4</v>
      </c>
      <c r="J114" s="53">
        <f>IF(TYPE($A114)=1,"",(UpdateHashtag!K112-J$1)/J$2*K114/$K$1)</f>
        <v>0.2111350762</v>
      </c>
      <c r="K114" s="55">
        <f>UpdateHashtag!T112</f>
        <v>5</v>
      </c>
      <c r="L114" s="41">
        <f>IF(TYPE($A114)=1,"",-(UpdateHashtag!R112-L$1)/L$2)</f>
        <v>-0.6460761218</v>
      </c>
      <c r="N114" s="112">
        <v>94.0</v>
      </c>
      <c r="O114" s="170">
        <f t="array" ref="O114">INDIRECT("Update"&amp;Projections!$AG$17&amp;"!B"&amp;ROW(B95))</f>
        <v>82.5</v>
      </c>
      <c r="P114" s="172" t="str">
        <f t="array" ref="P114">INDIRECT("Update"&amp;Projections!$AG$17&amp;"!C"&amp;ROW(B95))</f>
        <v>Kyle Kuzma</v>
      </c>
      <c r="Q114" s="170">
        <f>UpdateHashtag!F155</f>
        <v>67</v>
      </c>
      <c r="R114" s="177" t="str">
        <f>IF(UpdateHashtag!D155="",ROW(UpdateHashtag!D155),UpdateHashtag!D155)</f>
        <v>C</v>
      </c>
      <c r="S114" s="124">
        <f t="shared" si="1"/>
        <v>-1.413543892</v>
      </c>
      <c r="T114" s="124">
        <f>SUM(AE114:AM114)-IFERROR(IFS(Projections!$I$17,AN114,Projections!$J$17,AO114),"")</f>
        <v>-1.102488237</v>
      </c>
      <c r="U114" s="124">
        <f t="shared" si="2"/>
        <v>0.3110556548</v>
      </c>
      <c r="V114" s="124">
        <f t="array" ref="V114">INDIRECT("Update"&amp;Projections!$AG$17&amp;"!M"&amp;ROW(B95))</f>
        <v>21.66260274</v>
      </c>
      <c r="W114" s="124">
        <f t="array" ref="W114">INDIRECT("Update"&amp;Projections!$AG$17&amp;"!L"&amp;ROW(B95))</f>
        <v>1.784109589</v>
      </c>
      <c r="X114" s="124">
        <f t="array" ref="X114">INDIRECT("Update"&amp;Projections!$AG$17&amp;"!N"&amp;ROW(B95))</f>
        <v>6.006027397</v>
      </c>
      <c r="Y114" s="124">
        <f t="array" ref="Y114">INDIRECT("Update"&amp;Projections!$AG$17&amp;"!O"&amp;ROW(B95))</f>
        <v>4.29</v>
      </c>
      <c r="Z114" s="124">
        <f t="array" ref="Z114">INDIRECT("Update"&amp;Projections!$AG$17&amp;"!P"&amp;ROW(B95))</f>
        <v>0.6387671233</v>
      </c>
      <c r="AA114" s="124">
        <f t="array" ref="AA114">INDIRECT("Update"&amp;Projections!$AG$17&amp;"!Q"&amp;ROW(B95))</f>
        <v>0.718630137</v>
      </c>
      <c r="AB114" s="180">
        <f t="array" ref="AB114">INDIRECT("Update"&amp;Projections!$AG$17&amp;"!I"&amp;ROW(B95))</f>
        <v>0.4744839783</v>
      </c>
      <c r="AC114" s="180">
        <f t="array" ref="AC114">INDIRECT("Update"&amp;Projections!$AG$17&amp;"!K"&amp;ROW(B95))</f>
        <v>0.7680089033</v>
      </c>
      <c r="AD114" s="124">
        <f t="array" ref="AD114">INDIRECT("Update"&amp;Projections!$AG$17&amp;"!R"&amp;ROW(B95))</f>
        <v>3.003013699</v>
      </c>
      <c r="AE114" s="124">
        <f t="shared" si="3"/>
        <v>0.752375513</v>
      </c>
      <c r="AF114" s="124">
        <f t="shared" si="4"/>
        <v>0.03515684617</v>
      </c>
      <c r="AG114" s="124">
        <f t="shared" si="5"/>
        <v>-0.03029673731</v>
      </c>
      <c r="AH114" s="124">
        <f t="shared" si="6"/>
        <v>0.1619760327</v>
      </c>
      <c r="AI114" s="124">
        <f t="shared" si="7"/>
        <v>-1.115672038</v>
      </c>
      <c r="AJ114" s="124">
        <f t="shared" si="8"/>
        <v>-0.05357459078</v>
      </c>
      <c r="AK114" s="124">
        <f t="shared" si="9"/>
        <v>-0.4675818496</v>
      </c>
      <c r="AL114" s="124">
        <f t="shared" si="10"/>
        <v>-0.3848714134</v>
      </c>
      <c r="AM114" s="124">
        <f t="shared" si="11"/>
        <v>0</v>
      </c>
      <c r="AN114" s="183">
        <f t="shared" si="12"/>
        <v>-1.115672038</v>
      </c>
      <c r="AO114" s="183">
        <f t="shared" si="13"/>
        <v>-1.583253888</v>
      </c>
      <c r="AP114" s="183">
        <f t="array" ref="AP114">INDIRECT("Update"&amp;Projections!$AG$17&amp;"!S"&amp;ROW(B95))</f>
        <v>17.66013699</v>
      </c>
      <c r="AQ114" s="183">
        <f t="array" ref="AQ114">INDIRECT("Update"&amp;Projections!$AG$17&amp;"!T"&amp;ROW(B95))</f>
        <v>4.061917808</v>
      </c>
    </row>
    <row r="115">
      <c r="A115" s="40" t="str">
        <f>IF(UpdateHashtag!C113="",ROW(UpdateHashtag!C113),UpdateHashtag!C113)</f>
        <v>Naz Reid</v>
      </c>
      <c r="B115" s="41">
        <f>IF(TYPE($A115)=1,"",(UpdateHashtag!M113-B$1)/B$2)</f>
        <v>-0.5026728912</v>
      </c>
      <c r="C115" s="41">
        <f>IF(TYPE($A115)=1,"",(UpdateHashtag!L113-C$1)/C$2)</f>
        <v>0.2493047061</v>
      </c>
      <c r="D115" s="41">
        <f>IF(TYPE($A115)=1,"",(UpdateHashtag!N113-D$1)/D$2)</f>
        <v>0.04572248291</v>
      </c>
      <c r="E115" s="41">
        <f>IF(TYPE($A115)=1,"",(UpdateHashtag!O113-E$1)/E$2)</f>
        <v>-1.10507013</v>
      </c>
      <c r="F115" s="41">
        <f>IF(TYPE($A115)=1,"",(UpdateHashtag!P113-F$1)/F$2)</f>
        <v>-0.2514318168</v>
      </c>
      <c r="G115" s="41">
        <f>IF(TYPE($A115)=1,"",(UpdateHashtag!Q113-G$1)/G$2)</f>
        <v>0.4482901531</v>
      </c>
      <c r="H115" s="41">
        <f>IF(TYPE($A115)=1,"",(UpdateHashtag!I113-H$1)/H$2*I115/$I$1)</f>
        <v>-0.3435816268</v>
      </c>
      <c r="I115" s="41">
        <f>UpdateHashtag!S113</f>
        <v>11.7</v>
      </c>
      <c r="J115" s="53">
        <f>IF(TYPE($A115)=1,"",(UpdateHashtag!K113-J$1)/J$2*K115/$K$1)</f>
        <v>-0.463569719</v>
      </c>
      <c r="K115" s="55">
        <f>UpdateHashtag!T113</f>
        <v>2.2</v>
      </c>
      <c r="L115" s="41">
        <f>IF(TYPE($A115)=1,"",-(UpdateHashtag!R113-L$1)/L$2)</f>
        <v>0.04827385557</v>
      </c>
      <c r="N115" s="5">
        <v>95.0</v>
      </c>
      <c r="O115" s="170">
        <f t="array" ref="O115">INDIRECT("Update"&amp;Projections!$AG$17&amp;"!B"&amp;ROW(B96))</f>
        <v>116.8</v>
      </c>
      <c r="P115" s="172" t="str">
        <f t="array" ref="P115">INDIRECT("Update"&amp;Projections!$AG$17&amp;"!C"&amp;ROW(B96))</f>
        <v>Amen Thompson</v>
      </c>
      <c r="Q115" s="170">
        <f>UpdateHashtag!F148</f>
        <v>60</v>
      </c>
      <c r="R115" s="177" t="str">
        <f>IF(UpdateHashtag!D148="",ROW(UpdateHashtag!D148),UpdateHashtag!D148)</f>
        <v>PF,C</v>
      </c>
      <c r="S115" s="124">
        <f t="shared" si="1"/>
        <v>-1.365304456</v>
      </c>
      <c r="T115" s="124">
        <f>SUM(AE115:AM115)-IFERROR(IFS(Projections!$I$17,AN115,Projections!$J$17,AO115),"")</f>
        <v>-1.432658348</v>
      </c>
      <c r="U115" s="124">
        <f t="shared" si="2"/>
        <v>-0.06735389264</v>
      </c>
      <c r="V115" s="124">
        <f t="array" ref="V115">INDIRECT("Update"&amp;Projections!$AG$17&amp;"!M"&amp;ROW(B96))</f>
        <v>11.99764706</v>
      </c>
      <c r="W115" s="124">
        <f t="array" ref="W115">INDIRECT("Update"&amp;Projections!$AG$17&amp;"!L"&amp;ROW(B96))</f>
        <v>0.1511764706</v>
      </c>
      <c r="X115" s="124">
        <f t="array" ref="X115">INDIRECT("Update"&amp;Projections!$AG$17&amp;"!N"&amp;ROW(B96))</f>
        <v>6.947941176</v>
      </c>
      <c r="Y115" s="124">
        <f t="array" ref="Y115">INDIRECT("Update"&amp;Projections!$AG$17&amp;"!O"&amp;ROW(B96))</f>
        <v>3.227794118</v>
      </c>
      <c r="Z115" s="124">
        <f t="array" ref="Z115">INDIRECT("Update"&amp;Projections!$AG$17&amp;"!P"&amp;ROW(B96))</f>
        <v>1.416176471</v>
      </c>
      <c r="AA115" s="124">
        <f t="array" ref="AA115">INDIRECT("Update"&amp;Projections!$AG$17&amp;"!Q"&amp;ROW(B96))</f>
        <v>0.7680882353</v>
      </c>
      <c r="AB115" s="180">
        <f t="array" ref="AB115">INDIRECT("Update"&amp;Projections!$AG$17&amp;"!I"&amp;ROW(B96))</f>
        <v>0.5641206775</v>
      </c>
      <c r="AC115" s="180">
        <f t="array" ref="AC115">INDIRECT("Update"&amp;Projections!$AG$17&amp;"!K"&amp;ROW(B96))</f>
        <v>0.7019978578</v>
      </c>
      <c r="AD115" s="124">
        <f t="array" ref="AD115">INDIRECT("Update"&amp;Projections!$AG$17&amp;"!R"&amp;ROW(B96))</f>
        <v>1.477058824</v>
      </c>
      <c r="AE115" s="124">
        <f t="shared" si="3"/>
        <v>-0.9897872465</v>
      </c>
      <c r="AF115" s="124">
        <f t="shared" si="4"/>
        <v>-1.584596116</v>
      </c>
      <c r="AG115" s="124">
        <f t="shared" si="5"/>
        <v>0.3388458626</v>
      </c>
      <c r="AH115" s="124">
        <f t="shared" si="6"/>
        <v>-0.3204124571</v>
      </c>
      <c r="AI115" s="124">
        <f t="shared" si="7"/>
        <v>1.456241708</v>
      </c>
      <c r="AJ115" s="124">
        <f t="shared" si="8"/>
        <v>0.03464123863</v>
      </c>
      <c r="AK115" s="124">
        <f t="shared" si="9"/>
        <v>0.6639087666</v>
      </c>
      <c r="AL115" s="124">
        <f t="shared" si="10"/>
        <v>-1.031500105</v>
      </c>
      <c r="AM115" s="124">
        <f t="shared" si="11"/>
        <v>0</v>
      </c>
      <c r="AN115" s="183">
        <f t="shared" si="12"/>
        <v>-1.584596116</v>
      </c>
      <c r="AO115" s="183">
        <f t="shared" si="13"/>
        <v>-2.616096221</v>
      </c>
      <c r="AP115" s="183">
        <f t="array" ref="AP115">INDIRECT("Update"&amp;Projections!$AG$17&amp;"!S"&amp;ROW(B96))</f>
        <v>8.535147059</v>
      </c>
      <c r="AQ115" s="183">
        <f t="array" ref="AQ115">INDIRECT("Update"&amp;Projections!$AG$17&amp;"!T"&amp;ROW(B96))</f>
        <v>3.157794118</v>
      </c>
    </row>
    <row r="116">
      <c r="A116" s="40" t="str">
        <f>IF(UpdateHashtag!C114="",ROW(UpdateHashtag!C114),UpdateHashtag!C114)</f>
        <v>Julius Randle</v>
      </c>
      <c r="B116" s="41">
        <f>IF(TYPE($A116)=1,"",(UpdateHashtag!M114-B$1)/B$2)</f>
        <v>0.5067586857</v>
      </c>
      <c r="C116" s="41">
        <f>IF(TYPE($A116)=1,"",(UpdateHashtag!L114-C$1)/C$2)</f>
        <v>-0.3458524173</v>
      </c>
      <c r="D116" s="41">
        <f>IF(TYPE($A116)=1,"",(UpdateHashtag!N114-D$1)/D$2)</f>
        <v>0.9471085745</v>
      </c>
      <c r="E116" s="41">
        <f>IF(TYPE($A116)=1,"",(UpdateHashtag!O114-E$1)/E$2)</f>
        <v>-0.01513794698</v>
      </c>
      <c r="F116" s="41">
        <f>IF(TYPE($A116)=1,"",(UpdateHashtag!P114-F$1)/F$2)</f>
        <v>-1.574757169</v>
      </c>
      <c r="G116" s="41">
        <f>IF(TYPE($A116)=1,"",(UpdateHashtag!Q114-G$1)/G$2)</f>
        <v>-0.978628106</v>
      </c>
      <c r="H116" s="41">
        <f>IF(TYPE($A116)=1,"",(UpdateHashtag!I114-H$1)/H$2*I116/$I$1)</f>
        <v>-0.3603171946</v>
      </c>
      <c r="I116" s="41">
        <f>UpdateHashtag!S114</f>
        <v>15.3</v>
      </c>
      <c r="J116" s="53">
        <f>IF(TYPE($A116)=1,"",(UpdateHashtag!K114-J$1)/J$2*K116/$K$1)</f>
        <v>-0.2841786786</v>
      </c>
      <c r="K116" s="55">
        <f>UpdateHashtag!T114</f>
        <v>5.4</v>
      </c>
      <c r="L116" s="41">
        <f>IF(TYPE($A116)=1,"",-(UpdateHashtag!R114-L$1)/L$2)</f>
        <v>-0.8444618296</v>
      </c>
      <c r="N116" s="112">
        <v>96.0</v>
      </c>
      <c r="O116" s="170">
        <f t="array" ref="O116">INDIRECT("Update"&amp;Projections!$AG$17&amp;"!B"&amp;ROW(B97))</f>
        <v>116.3</v>
      </c>
      <c r="P116" s="172" t="str">
        <f t="array" ref="P116">INDIRECT("Update"&amp;Projections!$AG$17&amp;"!C"&amp;ROW(B97))</f>
        <v>Josh Hart</v>
      </c>
      <c r="Q116" s="170">
        <f>UpdateHashtag!F160</f>
        <v>72</v>
      </c>
      <c r="R116" s="177" t="str">
        <f>IF(UpdateHashtag!D160="",ROW(UpdateHashtag!D160),UpdateHashtag!D160)</f>
        <v>PF,C</v>
      </c>
      <c r="S116" s="124">
        <f t="shared" si="1"/>
        <v>-1.305144532</v>
      </c>
      <c r="T116" s="124">
        <f>SUM(AE116:AM116)-IFERROR(IFS(Projections!$I$17,AN116,Projections!$J$17,AO116),"")</f>
        <v>-1.311336159</v>
      </c>
      <c r="U116" s="124">
        <f t="shared" si="2"/>
        <v>-0.006191627033</v>
      </c>
      <c r="V116" s="124">
        <f t="array" ref="V116">INDIRECT("Update"&amp;Projections!$AG$17&amp;"!M"&amp;ROW(B97))</f>
        <v>8.972739726</v>
      </c>
      <c r="W116" s="124">
        <f t="array" ref="W116">INDIRECT("Update"&amp;Projections!$AG$17&amp;"!L"&amp;ROW(B97))</f>
        <v>0.7701369863</v>
      </c>
      <c r="X116" s="124">
        <f t="array" ref="X116">INDIRECT("Update"&amp;Projections!$AG$17&amp;"!N"&amp;ROW(B97))</f>
        <v>9.693972603</v>
      </c>
      <c r="Y116" s="124">
        <f t="array" ref="Y116">INDIRECT("Update"&amp;Projections!$AG$17&amp;"!O"&amp;ROW(B97))</f>
        <v>4.883972603</v>
      </c>
      <c r="Z116" s="124">
        <f t="array" ref="Z116">INDIRECT("Update"&amp;Projections!$AG$17&amp;"!P"&amp;ROW(B97))</f>
        <v>1.086849315</v>
      </c>
      <c r="AA116" s="124">
        <f t="array" ref="AA116">INDIRECT("Update"&amp;Projections!$AG$17&amp;"!Q"&amp;ROW(B97))</f>
        <v>0.3756164384</v>
      </c>
      <c r="AB116" s="180">
        <f t="array" ref="AB116">INDIRECT("Update"&amp;Projections!$AG$17&amp;"!I"&amp;ROW(B97))</f>
        <v>0.4730107449</v>
      </c>
      <c r="AC116" s="180">
        <f t="array" ref="AC116">INDIRECT("Update"&amp;Projections!$AG$17&amp;"!K"&amp;ROW(B97))</f>
        <v>0.7660477977</v>
      </c>
      <c r="AD116" s="124">
        <f t="array" ref="AD116">INDIRECT("Update"&amp;Projections!$AG$17&amp;"!R"&amp;ROW(B97))</f>
        <v>1.72369863</v>
      </c>
      <c r="AE116" s="124">
        <f t="shared" si="3"/>
        <v>-1.53504385</v>
      </c>
      <c r="AF116" s="124">
        <f t="shared" si="4"/>
        <v>-0.9706315163</v>
      </c>
      <c r="AG116" s="124">
        <f t="shared" si="5"/>
        <v>1.415034791</v>
      </c>
      <c r="AH116" s="124">
        <f t="shared" si="6"/>
        <v>0.4317218059</v>
      </c>
      <c r="AI116" s="124">
        <f t="shared" si="7"/>
        <v>0.3667242719</v>
      </c>
      <c r="AJ116" s="124">
        <f t="shared" si="8"/>
        <v>-0.6653902278</v>
      </c>
      <c r="AK116" s="124">
        <f t="shared" si="9"/>
        <v>-0.2127633284</v>
      </c>
      <c r="AL116" s="124">
        <f t="shared" si="10"/>
        <v>-0.1409881051</v>
      </c>
      <c r="AM116" s="124">
        <f t="shared" si="11"/>
        <v>0</v>
      </c>
      <c r="AN116" s="183">
        <f t="shared" si="12"/>
        <v>-1.53504385</v>
      </c>
      <c r="AO116" s="183">
        <f t="shared" si="13"/>
        <v>-2.505675366</v>
      </c>
      <c r="AP116" s="183">
        <f t="array" ref="AP116">INDIRECT("Update"&amp;Projections!$AG$17&amp;"!S"&amp;ROW(B97))</f>
        <v>7.54739726</v>
      </c>
      <c r="AQ116" s="183">
        <f t="array" ref="AQ116">INDIRECT("Update"&amp;Projections!$AG$17&amp;"!T"&amp;ROW(B97))</f>
        <v>1.387123288</v>
      </c>
    </row>
    <row r="117">
      <c r="A117" s="40" t="str">
        <f>IF(UpdateHashtag!C115="",ROW(UpdateHashtag!C115),UpdateHashtag!C115)</f>
        <v>Donte DiVincenzo</v>
      </c>
      <c r="B117" s="41">
        <f>IF(TYPE($A117)=1,"",(UpdateHashtag!M115-B$1)/B$2)</f>
        <v>-0.8631841687</v>
      </c>
      <c r="C117" s="41">
        <f>IF(TYPE($A117)=1,"",(UpdateHashtag!L115-C$1)/C$2)</f>
        <v>0.9436546835</v>
      </c>
      <c r="D117" s="41">
        <f>IF(TYPE($A117)=1,"",(UpdateHashtag!N115-D$1)/D$2)</f>
        <v>-0.8556636087</v>
      </c>
      <c r="E117" s="41">
        <f>IF(TYPE($A117)=1,"",(UpdateHashtag!O115-E$1)/E$2)</f>
        <v>-0.4238625155</v>
      </c>
      <c r="F117" s="41">
        <f>IF(TYPE($A117)=1,"",(UpdateHashtag!P115-F$1)/F$2)</f>
        <v>1.071893535</v>
      </c>
      <c r="G117" s="41">
        <f>IF(TYPE($A117)=1,"",(UpdateHashtag!Q115-G$1)/G$2)</f>
        <v>-0.8002633236</v>
      </c>
      <c r="H117" s="41">
        <f>IF(TYPE($A117)=1,"",(UpdateHashtag!I115-H$1)/H$2*I117/$I$1)</f>
        <v>-0.6255381811</v>
      </c>
      <c r="I117" s="41">
        <f>UpdateHashtag!S115</f>
        <v>10.1</v>
      </c>
      <c r="J117" s="53">
        <f>IF(TYPE($A117)=1,"",(UpdateHashtag!K115-J$1)/J$2*K117/$K$1)</f>
        <v>-0.03785676508</v>
      </c>
      <c r="K117" s="55">
        <f>UpdateHashtag!T115</f>
        <v>1.2</v>
      </c>
      <c r="L117" s="41">
        <f>IF(TYPE($A117)=1,"",-(UpdateHashtag!R115-L$1)/L$2)</f>
        <v>0.3458524173</v>
      </c>
      <c r="N117" s="112">
        <v>97.0</v>
      </c>
      <c r="O117" s="170">
        <f t="array" ref="O117">INDIRECT("Update"&amp;Projections!$AG$17&amp;"!B"&amp;ROW(B98))</f>
        <v>103.8</v>
      </c>
      <c r="P117" s="172" t="str">
        <f t="array" ref="P117">INDIRECT("Update"&amp;Projections!$AG$17&amp;"!C"&amp;ROW(B98))</f>
        <v>Chris Paul</v>
      </c>
      <c r="Q117" s="170">
        <f>UpdateHashtag!F153</f>
        <v>72</v>
      </c>
      <c r="R117" s="177" t="str">
        <f>IF(UpdateHashtag!D153="",ROW(UpdateHashtag!D153),UpdateHashtag!D153)</f>
        <v>SG,SF</v>
      </c>
      <c r="S117" s="124">
        <f t="shared" si="1"/>
        <v>-1.328400716</v>
      </c>
      <c r="T117" s="124">
        <f>SUM(AE117:AM117)-IFERROR(IFS(Projections!$I$17,AN117,Projections!$J$17,AO117),"")</f>
        <v>-1.342542474</v>
      </c>
      <c r="U117" s="124">
        <f t="shared" si="2"/>
        <v>-0.01414175721</v>
      </c>
      <c r="V117" s="124">
        <f t="array" ref="V117">INDIRECT("Update"&amp;Projections!$AG$17&amp;"!M"&amp;ROW(B98))</f>
        <v>9.503770492</v>
      </c>
      <c r="W117" s="124">
        <f t="array" ref="W117">INDIRECT("Update"&amp;Projections!$AG$17&amp;"!L"&amp;ROW(B98))</f>
        <v>1.234918033</v>
      </c>
      <c r="X117" s="124">
        <f t="array" ref="X117">INDIRECT("Update"&amp;Projections!$AG$17&amp;"!N"&amp;ROW(B98))</f>
        <v>3.675081967</v>
      </c>
      <c r="Y117" s="124">
        <f t="array" ref="Y117">INDIRECT("Update"&amp;Projections!$AG$17&amp;"!O"&amp;ROW(B98))</f>
        <v>8.05</v>
      </c>
      <c r="Z117" s="124">
        <f t="array" ref="Z117">INDIRECT("Update"&amp;Projections!$AG$17&amp;"!P"&amp;ROW(B98))</f>
        <v>1.298196721</v>
      </c>
      <c r="AA117" s="124">
        <f t="array" ref="AA117">INDIRECT("Update"&amp;Projections!$AG$17&amp;"!Q"&amp;ROW(B98))</f>
        <v>0.1737704918</v>
      </c>
      <c r="AB117" s="180">
        <f t="array" ref="AB117">INDIRECT("Update"&amp;Projections!$AG$17&amp;"!I"&amp;ROW(B98))</f>
        <v>0.4577398819</v>
      </c>
      <c r="AC117" s="180">
        <f t="array" ref="AC117">INDIRECT("Update"&amp;Projections!$AG$17&amp;"!K"&amp;ROW(B98))</f>
        <v>0.8138942001</v>
      </c>
      <c r="AD117" s="124">
        <f t="array" ref="AD117">INDIRECT("Update"&amp;Projections!$AG$17&amp;"!R"&amp;ROW(B98))</f>
        <v>1.691639344</v>
      </c>
      <c r="AE117" s="124">
        <f t="shared" si="3"/>
        <v>-1.43932256</v>
      </c>
      <c r="AF117" s="124">
        <f t="shared" si="4"/>
        <v>-0.5096019316</v>
      </c>
      <c r="AG117" s="124">
        <f t="shared" si="5"/>
        <v>-0.9438105594</v>
      </c>
      <c r="AH117" s="124">
        <f t="shared" si="6"/>
        <v>1.869536452</v>
      </c>
      <c r="AI117" s="124">
        <f t="shared" si="7"/>
        <v>1.065927723</v>
      </c>
      <c r="AJ117" s="124">
        <f t="shared" si="8"/>
        <v>-1.025412311</v>
      </c>
      <c r="AK117" s="124">
        <f t="shared" si="9"/>
        <v>-0.3940412495</v>
      </c>
      <c r="AL117" s="124">
        <f t="shared" si="10"/>
        <v>0.03418196308</v>
      </c>
      <c r="AM117" s="124">
        <f t="shared" si="11"/>
        <v>0</v>
      </c>
      <c r="AN117" s="183">
        <f t="shared" si="12"/>
        <v>-1.43932256</v>
      </c>
      <c r="AO117" s="183">
        <f t="shared" si="13"/>
        <v>-2.464734872</v>
      </c>
      <c r="AP117" s="183">
        <f t="array" ref="AP117">INDIRECT("Update"&amp;Projections!$AG$17&amp;"!S"&amp;ROW(B98))</f>
        <v>8.574918033</v>
      </c>
      <c r="AQ117" s="183">
        <f t="array" ref="AQ117">INDIRECT("Update"&amp;Projections!$AG$17&amp;"!T"&amp;ROW(B98))</f>
        <v>0.5144262295</v>
      </c>
    </row>
    <row r="118">
      <c r="A118" s="40" t="str">
        <f>IF(UpdateHashtag!C116="",ROW(UpdateHashtag!C116),UpdateHashtag!C116)</f>
        <v>John Collins</v>
      </c>
      <c r="B118" s="41">
        <f>IF(TYPE($A118)=1,"",(UpdateHashtag!M116-B$1)/B$2)</f>
        <v>-0.68292853</v>
      </c>
      <c r="C118" s="41">
        <f>IF(TYPE($A118)=1,"",(UpdateHashtag!L116-C$1)/C$2)</f>
        <v>-0.643430979</v>
      </c>
      <c r="D118" s="41">
        <f>IF(TYPE($A118)=1,"",(UpdateHashtag!N116-D$1)/D$2)</f>
        <v>0.4768201789</v>
      </c>
      <c r="E118" s="41">
        <f>IF(TYPE($A118)=1,"",(UpdateHashtag!O116-E$1)/E$2)</f>
        <v>-1.286725494</v>
      </c>
      <c r="F118" s="41">
        <f>IF(TYPE($A118)=1,"",(UpdateHashtag!P116-F$1)/F$2)</f>
        <v>-1.243925831</v>
      </c>
      <c r="G118" s="41">
        <f>IF(TYPE($A118)=1,"",(UpdateHashtag!Q116-G$1)/G$2)</f>
        <v>0.2699253707</v>
      </c>
      <c r="H118" s="41">
        <f>IF(TYPE($A118)=1,"",(UpdateHashtag!I116-H$1)/H$2*I118/$I$1)</f>
        <v>0.2699511766</v>
      </c>
      <c r="I118" s="41">
        <f>UpdateHashtag!S116</f>
        <v>10.2</v>
      </c>
      <c r="J118" s="53">
        <f>IF(TYPE($A118)=1,"",(UpdateHashtag!K116-J$1)/J$2*K118/$K$1)</f>
        <v>0.00931664263</v>
      </c>
      <c r="K118" s="55">
        <f>UpdateHashtag!T116</f>
        <v>2.6</v>
      </c>
      <c r="L118" s="41">
        <f>IF(TYPE($A118)=1,"",-(UpdateHashtag!R116-L$1)/L$2)</f>
        <v>0.5442381251</v>
      </c>
      <c r="N118" s="5">
        <v>98.0</v>
      </c>
      <c r="O118" s="170">
        <f t="array" ref="O118">INDIRECT("Update"&amp;Projections!$AG$17&amp;"!B"&amp;ROW(B99))</f>
        <v>78</v>
      </c>
      <c r="P118" s="172" t="str">
        <f t="array" ref="P118">INDIRECT("Update"&amp;Projections!$AG$17&amp;"!C"&amp;ROW(B99))</f>
        <v>Tyler Herro</v>
      </c>
      <c r="Q118" s="170">
        <f>UpdateHashtag!F138</f>
        <v>72</v>
      </c>
      <c r="R118" s="177" t="str">
        <f>IF(UpdateHashtag!D138="",ROW(UpdateHashtag!D138),UpdateHashtag!D138)</f>
        <v>SF,PF</v>
      </c>
      <c r="S118" s="124">
        <f t="shared" si="1"/>
        <v>-1.391042698</v>
      </c>
      <c r="T118" s="124">
        <f>SUM(AE118:AM118)-IFERROR(IFS(Projections!$I$17,AN118,Projections!$J$17,AO118),"")</f>
        <v>-1.313509381</v>
      </c>
      <c r="U118" s="124">
        <f t="shared" si="2"/>
        <v>0.07753331617</v>
      </c>
      <c r="V118" s="124">
        <f t="array" ref="V118">INDIRECT("Update"&amp;Projections!$AG$17&amp;"!M"&amp;ROW(B99))</f>
        <v>19.46397059</v>
      </c>
      <c r="W118" s="124">
        <f t="array" ref="W118">INDIRECT("Update"&amp;Projections!$AG$17&amp;"!L"&amp;ROW(B99))</f>
        <v>2.970882353</v>
      </c>
      <c r="X118" s="124">
        <f t="array" ref="X118">INDIRECT("Update"&amp;Projections!$AG$17&amp;"!N"&amp;ROW(B99))</f>
        <v>5.221764706</v>
      </c>
      <c r="Y118" s="124">
        <f t="array" ref="Y118">INDIRECT("Update"&amp;Projections!$AG$17&amp;"!O"&amp;ROW(B99))</f>
        <v>4.328676471</v>
      </c>
      <c r="Z118" s="124">
        <f t="array" ref="Z118">INDIRECT("Update"&amp;Projections!$AG$17&amp;"!P"&amp;ROW(B99))</f>
        <v>0.6220588235</v>
      </c>
      <c r="AA118" s="124">
        <f t="array" ref="AA118">INDIRECT("Update"&amp;Projections!$AG$17&amp;"!Q"&amp;ROW(B99))</f>
        <v>0.06838235294</v>
      </c>
      <c r="AB118" s="180">
        <f t="array" ref="AB118">INDIRECT("Update"&amp;Projections!$AG$17&amp;"!I"&amp;ROW(B99))</f>
        <v>0.4448603749</v>
      </c>
      <c r="AC118" s="180">
        <f t="array" ref="AC118">INDIRECT("Update"&amp;Projections!$AG$17&amp;"!K"&amp;ROW(B99))</f>
        <v>0.8699861687</v>
      </c>
      <c r="AD118" s="124">
        <f t="array" ref="AD118">INDIRECT("Update"&amp;Projections!$AG$17&amp;"!R"&amp;ROW(B99))</f>
        <v>2.061323529</v>
      </c>
      <c r="AE118" s="124">
        <f t="shared" si="3"/>
        <v>0.3560596704</v>
      </c>
      <c r="AF118" s="124">
        <f t="shared" si="4"/>
        <v>1.21235062</v>
      </c>
      <c r="AG118" s="124">
        <f t="shared" si="5"/>
        <v>-0.3376547729</v>
      </c>
      <c r="AH118" s="124">
        <f t="shared" si="6"/>
        <v>0.1795405037</v>
      </c>
      <c r="AI118" s="124">
        <f t="shared" si="7"/>
        <v>-1.17094833</v>
      </c>
      <c r="AJ118" s="124">
        <f t="shared" si="8"/>
        <v>-1.213387636</v>
      </c>
      <c r="AK118" s="124">
        <f t="shared" si="9"/>
        <v>-0.9838465703</v>
      </c>
      <c r="AL118" s="124">
        <f t="shared" si="10"/>
        <v>0.6443771329</v>
      </c>
      <c r="AM118" s="124">
        <f t="shared" si="11"/>
        <v>0</v>
      </c>
      <c r="AN118" s="183">
        <f t="shared" si="12"/>
        <v>-1.213387636</v>
      </c>
      <c r="AO118" s="183">
        <f t="shared" si="13"/>
        <v>-2.384335965</v>
      </c>
      <c r="AP118" s="183">
        <f t="array" ref="AP118">INDIRECT("Update"&amp;Projections!$AG$17&amp;"!S"&amp;ROW(B99))</f>
        <v>16.14617647</v>
      </c>
      <c r="AQ118" s="183">
        <f t="array" ref="AQ118">INDIRECT("Update"&amp;Projections!$AG$17&amp;"!T"&amp;ROW(B99))</f>
        <v>2.445441176</v>
      </c>
    </row>
    <row r="119">
      <c r="A119" s="40" t="str">
        <f>IF(UpdateHashtag!C117="",ROW(UpdateHashtag!C117),UpdateHashtag!C117)</f>
        <v>Chris Paul</v>
      </c>
      <c r="B119" s="41">
        <f>IF(TYPE($A119)=1,"",(UpdateHashtag!M117-B$1)/B$2)</f>
        <v>-1.313823266</v>
      </c>
      <c r="C119" s="41">
        <f>IF(TYPE($A119)=1,"",(UpdateHashtag!L117-C$1)/C$2)</f>
        <v>-0.4450452712</v>
      </c>
      <c r="D119" s="41">
        <f>IF(TYPE($A119)=1,"",(UpdateHashtag!N117-D$1)/D$2)</f>
        <v>-0.9732357076</v>
      </c>
      <c r="E119" s="41">
        <f>IF(TYPE($A119)=1,"",(UpdateHashtag!O117-E$1)/E$2)</f>
        <v>1.347277281</v>
      </c>
      <c r="F119" s="41">
        <f>IF(TYPE($A119)=1,"",(UpdateHashtag!P117-F$1)/F$2)</f>
        <v>0.741062197</v>
      </c>
      <c r="G119" s="41">
        <f>IF(TYPE($A119)=1,"",(UpdateHashtag!Q117-G$1)/G$2)</f>
        <v>-0.978628106</v>
      </c>
      <c r="H119" s="41">
        <f>IF(TYPE($A119)=1,"",(UpdateHashtag!I117-H$1)/H$2*I119/$I$1)</f>
        <v>-0.5626460381</v>
      </c>
      <c r="I119" s="41">
        <f>UpdateHashtag!S117</f>
        <v>8.6</v>
      </c>
      <c r="J119" s="53">
        <f>IF(TYPE($A119)=1,"",(UpdateHashtag!K117-J$1)/J$2*K119/$K$1)</f>
        <v>0.2024648371</v>
      </c>
      <c r="K119" s="55">
        <f>UpdateHashtag!T117</f>
        <v>1.6</v>
      </c>
      <c r="L119" s="41">
        <f>IF(TYPE($A119)=1,"",-(UpdateHashtag!R117-L$1)/L$2)</f>
        <v>0.3458524173</v>
      </c>
      <c r="N119" s="112">
        <v>99.0</v>
      </c>
      <c r="O119" s="170">
        <f t="array" ref="O119">INDIRECT("Update"&amp;Projections!$AG$17&amp;"!B"&amp;ROW(B100))</f>
        <v>73.3</v>
      </c>
      <c r="P119" s="172" t="str">
        <f t="array" ref="P119">INDIRECT("Update"&amp;Projections!$AG$17&amp;"!C"&amp;ROW(B100))</f>
        <v>Michael Porter Jr.</v>
      </c>
      <c r="Q119" s="170">
        <f>UpdateHashtag!F161</f>
        <v>74</v>
      </c>
      <c r="R119" s="177" t="str">
        <f>IF(UpdateHashtag!D161="",ROW(UpdateHashtag!D161),UpdateHashtag!D161)</f>
        <v>PG</v>
      </c>
      <c r="S119" s="124">
        <f t="shared" si="1"/>
        <v>-1.433929959</v>
      </c>
      <c r="T119" s="124">
        <f>SUM(AE119:AM119)-IFERROR(IFS(Projections!$I$17,AN119,Projections!$J$17,AO119),"")</f>
        <v>-1.608353786</v>
      </c>
      <c r="U119" s="124">
        <f t="shared" si="2"/>
        <v>-0.1744238261</v>
      </c>
      <c r="V119" s="124">
        <f t="array" ref="V119">INDIRECT("Update"&amp;Projections!$AG$17&amp;"!M"&amp;ROW(B100))</f>
        <v>16.79617647</v>
      </c>
      <c r="W119" s="124">
        <f t="array" ref="W119">INDIRECT("Update"&amp;Projections!$AG$17&amp;"!L"&amp;ROW(B100))</f>
        <v>2.626470588</v>
      </c>
      <c r="X119" s="124">
        <f t="array" ref="X119">INDIRECT("Update"&amp;Projections!$AG$17&amp;"!N"&amp;ROW(B100))</f>
        <v>6.206617647</v>
      </c>
      <c r="Y119" s="124">
        <f t="array" ref="Y119">INDIRECT("Update"&amp;Projections!$AG$17&amp;"!O"&amp;ROW(B100))</f>
        <v>1.372058824</v>
      </c>
      <c r="Z119" s="124">
        <f t="array" ref="Z119">INDIRECT("Update"&amp;Projections!$AG$17&amp;"!P"&amp;ROW(B100))</f>
        <v>0.5895588235</v>
      </c>
      <c r="AA119" s="124">
        <f t="array" ref="AA119">INDIRECT("Update"&amp;Projections!$AG$17&amp;"!Q"&amp;ROW(B100))</f>
        <v>0.5869117647</v>
      </c>
      <c r="AB119" s="180">
        <f t="array" ref="AB119">INDIRECT("Update"&amp;Projections!$AG$17&amp;"!I"&amp;ROW(B100))</f>
        <v>0.4910021389</v>
      </c>
      <c r="AC119" s="180">
        <f t="array" ref="AC119">INDIRECT("Update"&amp;Projections!$AG$17&amp;"!K"&amp;ROW(B100))</f>
        <v>0.8779647273</v>
      </c>
      <c r="AD119" s="124">
        <f t="array" ref="AD119">INDIRECT("Update"&amp;Projections!$AG$17&amp;"!R"&amp;ROW(B100))</f>
        <v>1.045294118</v>
      </c>
      <c r="AE119" s="124">
        <f t="shared" si="3"/>
        <v>-0.1248252627</v>
      </c>
      <c r="AF119" s="124">
        <f t="shared" si="4"/>
        <v>0.8707187613</v>
      </c>
      <c r="AG119" s="124">
        <f t="shared" si="5"/>
        <v>0.04831598506</v>
      </c>
      <c r="AH119" s="124">
        <f t="shared" si="6"/>
        <v>-1.163173132</v>
      </c>
      <c r="AI119" s="124">
        <f t="shared" si="7"/>
        <v>-1.278468515</v>
      </c>
      <c r="AJ119" s="124">
        <f t="shared" si="8"/>
        <v>-0.2885137789</v>
      </c>
      <c r="AK119" s="124">
        <f t="shared" si="9"/>
        <v>-0.09538439021</v>
      </c>
      <c r="AL119" s="124">
        <f t="shared" si="10"/>
        <v>0.4229765464</v>
      </c>
      <c r="AM119" s="124">
        <f t="shared" si="11"/>
        <v>0</v>
      </c>
      <c r="AN119" s="183">
        <f t="shared" si="12"/>
        <v>-1.278468515</v>
      </c>
      <c r="AO119" s="183">
        <f t="shared" si="13"/>
        <v>-2.441641646</v>
      </c>
      <c r="AP119" s="183">
        <f t="array" ref="AP119">INDIRECT("Update"&amp;Projections!$AG$17&amp;"!S"&amp;ROW(B100))</f>
        <v>13.13220588</v>
      </c>
      <c r="AQ119" s="183">
        <f t="array" ref="AQ119">INDIRECT("Update"&amp;Projections!$AG$17&amp;"!T"&amp;ROW(B100))</f>
        <v>1.450882353</v>
      </c>
    </row>
    <row r="120">
      <c r="A120" s="40" t="str">
        <f>IF(UpdateHashtag!C118="",ROW(UpdateHashtag!C118),UpdateHashtag!C118)</f>
        <v>Jusuf Nurkic</v>
      </c>
      <c r="B120" s="41">
        <f>IF(TYPE($A120)=1,"",(UpdateHashtag!M118-B$1)/B$2)</f>
        <v>-0.9533119881</v>
      </c>
      <c r="C120" s="41">
        <f>IF(TYPE($A120)=1,"",(UpdateHashtag!L118-C$1)/C$2)</f>
        <v>-1.238588102</v>
      </c>
      <c r="D120" s="41">
        <f>IF(TYPE($A120)=1,"",(UpdateHashtag!N118-D$1)/D$2)</f>
        <v>1.730922567</v>
      </c>
      <c r="E120" s="41">
        <f>IF(TYPE($A120)=1,"",(UpdateHashtag!O118-E$1)/E$2)</f>
        <v>-0.1513794698</v>
      </c>
      <c r="F120" s="41">
        <f>IF(TYPE($A120)=1,"",(UpdateHashtag!P118-F$1)/F$2)</f>
        <v>0.0793995211</v>
      </c>
      <c r="G120" s="41">
        <f>IF(TYPE($A120)=1,"",(UpdateHashtag!Q118-G$1)/G$2)</f>
        <v>0.4482901531</v>
      </c>
      <c r="H120" s="41">
        <f>IF(TYPE($A120)=1,"",(UpdateHashtag!I118-H$1)/H$2*I120/$I$1)</f>
        <v>0.1773301762</v>
      </c>
      <c r="I120" s="41">
        <f>UpdateHashtag!S118</f>
        <v>9.1</v>
      </c>
      <c r="J120" s="53">
        <f>IF(TYPE($A120)=1,"",(UpdateHashtag!K118-J$1)/J$2*K120/$K$1)</f>
        <v>-1.871506936</v>
      </c>
      <c r="K120" s="55">
        <f>UpdateHashtag!T118</f>
        <v>3.6</v>
      </c>
      <c r="L120" s="41">
        <f>IF(TYPE($A120)=1,"",-(UpdateHashtag!R118-L$1)/L$2)</f>
        <v>-0.6460761218</v>
      </c>
      <c r="N120" s="112">
        <v>100.0</v>
      </c>
      <c r="O120" s="170">
        <f t="array" ref="O120">INDIRECT("Update"&amp;Projections!$AG$17&amp;"!B"&amp;ROW(B101))</f>
        <v>118.7</v>
      </c>
      <c r="P120" s="172" t="str">
        <f t="array" ref="P120">INDIRECT("Update"&amp;Projections!$AG$17&amp;"!C"&amp;ROW(B101))</f>
        <v>Keyonte George</v>
      </c>
      <c r="Q120" s="170">
        <f>UpdateHashtag!F169</f>
        <v>50</v>
      </c>
      <c r="R120" s="177" t="str">
        <f>IF(UpdateHashtag!D169="",ROW(UpdateHashtag!D169),UpdateHashtag!D169)</f>
        <v>PF</v>
      </c>
      <c r="S120" s="124">
        <f t="shared" si="1"/>
        <v>-1.733044784</v>
      </c>
      <c r="T120" s="124">
        <f>SUM(AE120:AM120)-IFERROR(IFS(Projections!$I$17,AN120,Projections!$J$17,AO120),"")</f>
        <v>-1.305709288</v>
      </c>
      <c r="U120" s="124">
        <f t="shared" si="2"/>
        <v>0.4273354968</v>
      </c>
      <c r="V120" s="124">
        <f t="array" ref="V120">INDIRECT("Update"&amp;Projections!$AG$17&amp;"!M"&amp;ROW(B101))</f>
        <v>18.19739726</v>
      </c>
      <c r="W120" s="124">
        <f t="array" ref="W120">INDIRECT("Update"&amp;Projections!$AG$17&amp;"!L"&amp;ROW(B101))</f>
        <v>2.684246575</v>
      </c>
      <c r="X120" s="124">
        <f t="array" ref="X120">INDIRECT("Update"&amp;Projections!$AG$17&amp;"!N"&amp;ROW(B101))</f>
        <v>2.916438356</v>
      </c>
      <c r="Y120" s="124">
        <f t="array" ref="Y120">INDIRECT("Update"&amp;Projections!$AG$17&amp;"!O"&amp;ROW(B101))</f>
        <v>6.18</v>
      </c>
      <c r="Z120" s="124">
        <f t="array" ref="Z120">INDIRECT("Update"&amp;Projections!$AG$17&amp;"!P"&amp;ROW(B101))</f>
        <v>0.7638356164</v>
      </c>
      <c r="AA120" s="124">
        <f t="array" ref="AA120">INDIRECT("Update"&amp;Projections!$AG$17&amp;"!Q"&amp;ROW(B101))</f>
        <v>0.1367123288</v>
      </c>
      <c r="AB120" s="180">
        <f t="array" ref="AB120">INDIRECT("Update"&amp;Projections!$AG$17&amp;"!I"&amp;ROW(B101))</f>
        <v>0.4156589368</v>
      </c>
      <c r="AC120" s="180">
        <f t="array" ref="AC120">INDIRECT("Update"&amp;Projections!$AG$17&amp;"!K"&amp;ROW(B101))</f>
        <v>0.8670144299</v>
      </c>
      <c r="AD120" s="124">
        <f t="array" ref="AD120">INDIRECT("Update"&amp;Projections!$AG$17&amp;"!R"&amp;ROW(B101))</f>
        <v>3.471917808</v>
      </c>
      <c r="AE120" s="124">
        <f t="shared" si="3"/>
        <v>0.1277526858</v>
      </c>
      <c r="AF120" s="124">
        <f t="shared" si="4"/>
        <v>0.9280284116</v>
      </c>
      <c r="AG120" s="124">
        <f t="shared" si="5"/>
        <v>-1.241128298</v>
      </c>
      <c r="AH120" s="124">
        <f t="shared" si="6"/>
        <v>1.020297627</v>
      </c>
      <c r="AI120" s="124">
        <f t="shared" si="7"/>
        <v>-0.7019062689</v>
      </c>
      <c r="AJ120" s="124">
        <f t="shared" si="8"/>
        <v>-1.091511023</v>
      </c>
      <c r="AK120" s="124">
        <f t="shared" si="9"/>
        <v>-1.370650773</v>
      </c>
      <c r="AL120" s="124">
        <f t="shared" si="10"/>
        <v>1.023408351</v>
      </c>
      <c r="AM120" s="124">
        <f t="shared" si="11"/>
        <v>0</v>
      </c>
      <c r="AN120" s="183">
        <f t="shared" si="12"/>
        <v>-1.370650773</v>
      </c>
      <c r="AO120" s="183">
        <f t="shared" si="13"/>
        <v>-2.611779071</v>
      </c>
      <c r="AP120" s="183">
        <f t="array" ref="AP120">INDIRECT("Update"&amp;Projections!$AG$17&amp;"!S"&amp;ROW(B101))</f>
        <v>14.44315068</v>
      </c>
      <c r="AQ120" s="183">
        <f t="array" ref="AQ120">INDIRECT("Update"&amp;Projections!$AG$17&amp;"!T"&amp;ROW(B101))</f>
        <v>4.044109589</v>
      </c>
    </row>
    <row r="121">
      <c r="A121" s="40" t="str">
        <f>IF(UpdateHashtag!C119="",ROW(UpdateHashtag!C119),UpdateHashtag!C119)</f>
        <v>Cameron Johnson</v>
      </c>
      <c r="B121" s="41">
        <f>IF(TYPE($A121)=1,"",(UpdateHashtag!M119-B$1)/B$2)</f>
        <v>-0.5026728912</v>
      </c>
      <c r="C121" s="41">
        <f>IF(TYPE($A121)=1,"",(UpdateHashtag!L119-C$1)/C$2)</f>
        <v>0.7452689757</v>
      </c>
      <c r="D121" s="41">
        <f>IF(TYPE($A121)=1,"",(UpdateHashtag!N119-D$1)/D$2)</f>
        <v>-0.6205194109</v>
      </c>
      <c r="E121" s="41">
        <f>IF(TYPE($A121)=1,"",(UpdateHashtag!O119-E$1)/E$2)</f>
        <v>-0.7871732431</v>
      </c>
      <c r="F121" s="41">
        <f>IF(TYPE($A121)=1,"",(UpdateHashtag!P119-F$1)/F$2)</f>
        <v>0.0793995211</v>
      </c>
      <c r="G121" s="41">
        <f>IF(TYPE($A121)=1,"",(UpdateHashtag!Q119-G$1)/G$2)</f>
        <v>-0.8002633236</v>
      </c>
      <c r="H121" s="41">
        <f>IF(TYPE($A121)=1,"",(UpdateHashtag!I119-H$1)/H$2*I121/$I$1)</f>
        <v>-0.5289911229</v>
      </c>
      <c r="I121" s="41">
        <f>UpdateHashtag!S119</f>
        <v>11.3</v>
      </c>
      <c r="J121" s="53">
        <f>IF(TYPE($A121)=1,"",(UpdateHashtag!K119-J$1)/J$2*K121/$K$1)</f>
        <v>0.1940896953</v>
      </c>
      <c r="K121" s="55">
        <f>UpdateHashtag!T119</f>
        <v>2.4</v>
      </c>
      <c r="L121" s="41">
        <f>IF(TYPE($A121)=1,"",-(UpdateHashtag!R119-L$1)/L$2)</f>
        <v>0.7426238329</v>
      </c>
      <c r="N121" s="5">
        <v>101.0</v>
      </c>
      <c r="O121" s="170">
        <f t="array" ref="O121">INDIRECT("Update"&amp;Projections!$AG$17&amp;"!B"&amp;ROW(B102))</f>
        <v>91</v>
      </c>
      <c r="P121" s="172" t="str">
        <f t="array" ref="P121">INDIRECT("Update"&amp;Projections!$AG$17&amp;"!C"&amp;ROW(B102))</f>
        <v>Jonathan Kuminga</v>
      </c>
      <c r="Q121" s="170">
        <f>UpdateHashtag!F182</f>
        <v>67</v>
      </c>
      <c r="R121" s="177" t="str">
        <f>IF(UpdateHashtag!D182="",ROW(UpdateHashtag!D182),UpdateHashtag!D182)</f>
        <v>SG,SF,PF</v>
      </c>
      <c r="S121" s="124">
        <f t="shared" si="1"/>
        <v>-1.870131971</v>
      </c>
      <c r="T121" s="124">
        <f>SUM(AE121:AM121)-IFERROR(IFS(Projections!$I$17,AN121,Projections!$J$17,AO121),"")</f>
        <v>-1.856951345</v>
      </c>
      <c r="U121" s="124">
        <f t="shared" si="2"/>
        <v>0.01318062624</v>
      </c>
      <c r="V121" s="124">
        <f t="array" ref="V121">INDIRECT("Update"&amp;Projections!$AG$17&amp;"!M"&amp;ROW(B102))</f>
        <v>18.77363636</v>
      </c>
      <c r="W121" s="124">
        <f t="array" ref="W121">INDIRECT("Update"&amp;Projections!$AG$17&amp;"!L"&amp;ROW(B102))</f>
        <v>0.7936363636</v>
      </c>
      <c r="X121" s="124">
        <f t="array" ref="X121">INDIRECT("Update"&amp;Projections!$AG$17&amp;"!N"&amp;ROW(B102))</f>
        <v>5.437532468</v>
      </c>
      <c r="Y121" s="124">
        <f t="array" ref="Y121">INDIRECT("Update"&amp;Projections!$AG$17&amp;"!O"&amp;ROW(B102))</f>
        <v>3.25</v>
      </c>
      <c r="Z121" s="124">
        <f t="array" ref="Z121">INDIRECT("Update"&amp;Projections!$AG$17&amp;"!P"&amp;ROW(B102))</f>
        <v>0.8842857143</v>
      </c>
      <c r="AA121" s="124">
        <f t="array" ref="AA121">INDIRECT("Update"&amp;Projections!$AG$17&amp;"!Q"&amp;ROW(B102))</f>
        <v>0.5585714286</v>
      </c>
      <c r="AB121" s="180">
        <f t="array" ref="AB121">INDIRECT("Update"&amp;Projections!$AG$17&amp;"!I"&amp;ROW(B102))</f>
        <v>0.5313195112</v>
      </c>
      <c r="AC121" s="180">
        <f t="array" ref="AC121">INDIRECT("Update"&amp;Projections!$AG$17&amp;"!K"&amp;ROW(B102))</f>
        <v>0.7580010849</v>
      </c>
      <c r="AD121" s="124">
        <f t="array" ref="AD121">INDIRECT("Update"&amp;Projections!$AG$17&amp;"!R"&amp;ROW(B102))</f>
        <v>1.801818182</v>
      </c>
      <c r="AE121" s="124">
        <f t="shared" si="3"/>
        <v>0.2316230328</v>
      </c>
      <c r="AF121" s="124">
        <f t="shared" si="4"/>
        <v>-0.9473218133</v>
      </c>
      <c r="AG121" s="124">
        <f t="shared" si="5"/>
        <v>-0.2530938774</v>
      </c>
      <c r="AH121" s="124">
        <f t="shared" si="6"/>
        <v>-0.3103279131</v>
      </c>
      <c r="AI121" s="124">
        <f t="shared" si="7"/>
        <v>-0.3034195985</v>
      </c>
      <c r="AJ121" s="124">
        <f t="shared" si="8"/>
        <v>-0.3390629577</v>
      </c>
      <c r="AK121" s="124">
        <f t="shared" si="9"/>
        <v>0.5622885751</v>
      </c>
      <c r="AL121" s="124">
        <f t="shared" si="10"/>
        <v>-0.4976367926</v>
      </c>
      <c r="AM121" s="124">
        <f t="shared" si="11"/>
        <v>0</v>
      </c>
      <c r="AN121" s="183">
        <f t="shared" si="12"/>
        <v>-0.9473218133</v>
      </c>
      <c r="AO121" s="183">
        <f t="shared" si="13"/>
        <v>-1.444958606</v>
      </c>
      <c r="AP121" s="183">
        <f t="array" ref="AP121">INDIRECT("Update"&amp;Projections!$AG$17&amp;"!S"&amp;ROW(B102))</f>
        <v>14.18766234</v>
      </c>
      <c r="AQ121" s="183">
        <f t="array" ref="AQ121">INDIRECT("Update"&amp;Projections!$AG$17&amp;"!T"&amp;ROW(B102))</f>
        <v>3.830649351</v>
      </c>
    </row>
    <row r="122">
      <c r="A122" s="40" t="str">
        <f>IF(UpdateHashtag!C120="",ROW(UpdateHashtag!C120),UpdateHashtag!C120)</f>
        <v>Terry Rozier</v>
      </c>
      <c r="B122" s="41">
        <f>IF(TYPE($A122)=1,"",(UpdateHashtag!M120-B$1)/B$2)</f>
        <v>0.03809402499</v>
      </c>
      <c r="C122" s="41">
        <f>IF(TYPE($A122)=1,"",(UpdateHashtag!L120-C$1)/C$2)</f>
        <v>0.447690414</v>
      </c>
      <c r="D122" s="41">
        <f>IF(TYPE($A122)=1,"",(UpdateHashtag!N120-D$1)/D$2)</f>
        <v>-1.012426407</v>
      </c>
      <c r="E122" s="41">
        <f>IF(TYPE($A122)=1,"",(UpdateHashtag!O120-E$1)/E$2)</f>
        <v>0.2573450987</v>
      </c>
      <c r="F122" s="41">
        <f>IF(TYPE($A122)=1,"",(UpdateHashtag!P120-F$1)/F$2)</f>
        <v>0.0793995211</v>
      </c>
      <c r="G122" s="41">
        <f>IF(TYPE($A122)=1,"",(UpdateHashtag!Q120-G$1)/G$2)</f>
        <v>-0.8002633236</v>
      </c>
      <c r="H122" s="41">
        <f>IF(TYPE($A122)=1,"",(UpdateHashtag!I120-H$1)/H$2*I122/$I$1)</f>
        <v>-1.086043905</v>
      </c>
      <c r="I122" s="41">
        <f>UpdateHashtag!S120</f>
        <v>15</v>
      </c>
      <c r="J122" s="53">
        <f>IF(TYPE($A122)=1,"",(UpdateHashtag!K120-J$1)/J$2*K122/$K$1)</f>
        <v>0.4790342216</v>
      </c>
      <c r="K122" s="55">
        <f>UpdateHashtag!T120</f>
        <v>2.9</v>
      </c>
      <c r="L122" s="41">
        <f>IF(TYPE($A122)=1,"",-(UpdateHashtag!R120-L$1)/L$2)</f>
        <v>0.04827385557</v>
      </c>
      <c r="N122" s="112">
        <v>102.0</v>
      </c>
      <c r="O122" s="170">
        <f t="array" ref="O122">INDIRECT("Update"&amp;Projections!$AG$17&amp;"!B"&amp;ROW(B103))</f>
        <v>105.4</v>
      </c>
      <c r="P122" s="172" t="str">
        <f t="array" ref="P122">INDIRECT("Update"&amp;Projections!$AG$17&amp;"!C"&amp;ROW(B103))</f>
        <v>Terry Rozier</v>
      </c>
      <c r="Q122" s="170">
        <f>UpdateHashtag!F149</f>
        <v>55</v>
      </c>
      <c r="R122" s="177" t="str">
        <f>IF(UpdateHashtag!D149="",ROW(UpdateHashtag!D149),UpdateHashtag!D149)</f>
        <v>PF,C</v>
      </c>
      <c r="S122" s="124">
        <f t="shared" si="1"/>
        <v>-1.351013238</v>
      </c>
      <c r="T122" s="124">
        <f>SUM(AE122:AM122)-IFERROR(IFS(Projections!$I$17,AN122,Projections!$J$17,AO122),"")</f>
        <v>-1.420846952</v>
      </c>
      <c r="U122" s="124">
        <f t="shared" si="2"/>
        <v>-0.06983371399</v>
      </c>
      <c r="V122" s="124">
        <f t="array" ref="V122">INDIRECT("Update"&amp;Projections!$AG$17&amp;"!M"&amp;ROW(B103))</f>
        <v>16.37514706</v>
      </c>
      <c r="W122" s="124">
        <f t="array" ref="W122">INDIRECT("Update"&amp;Projections!$AG$17&amp;"!L"&amp;ROW(B103))</f>
        <v>2.146176471</v>
      </c>
      <c r="X122" s="124">
        <f t="array" ref="X122">INDIRECT("Update"&amp;Projections!$AG$17&amp;"!N"&amp;ROW(B103))</f>
        <v>3.734558824</v>
      </c>
      <c r="Y122" s="124">
        <f t="array" ref="Y122">INDIRECT("Update"&amp;Projections!$AG$17&amp;"!O"&amp;ROW(B103))</f>
        <v>4.534705882</v>
      </c>
      <c r="Z122" s="124">
        <f t="array" ref="Z122">INDIRECT("Update"&amp;Projections!$AG$17&amp;"!P"&amp;ROW(B103))</f>
        <v>1.070882353</v>
      </c>
      <c r="AA122" s="124">
        <f t="array" ref="AA122">INDIRECT("Update"&amp;Projections!$AG$17&amp;"!Q"&amp;ROW(B103))</f>
        <v>0.3326470588</v>
      </c>
      <c r="AB122" s="180">
        <f t="array" ref="AB122">INDIRECT("Update"&amp;Projections!$AG$17&amp;"!I"&amp;ROW(B103))</f>
        <v>0.4413512506</v>
      </c>
      <c r="AC122" s="180">
        <f t="array" ref="AC122">INDIRECT("Update"&amp;Projections!$AG$17&amp;"!K"&amp;ROW(B103))</f>
        <v>0.8500332766</v>
      </c>
      <c r="AD122" s="124">
        <f t="array" ref="AD122">INDIRECT("Update"&amp;Projections!$AG$17&amp;"!R"&amp;ROW(B103))</f>
        <v>1.467058824</v>
      </c>
      <c r="AE122" s="124">
        <f t="shared" si="3"/>
        <v>-0.200718188</v>
      </c>
      <c r="AF122" s="124">
        <f t="shared" si="4"/>
        <v>0.3943013195</v>
      </c>
      <c r="AG122" s="124">
        <f t="shared" si="5"/>
        <v>-0.920501163</v>
      </c>
      <c r="AH122" s="124">
        <f t="shared" si="6"/>
        <v>0.2731063728</v>
      </c>
      <c r="AI122" s="124">
        <f t="shared" si="7"/>
        <v>0.3139005579</v>
      </c>
      <c r="AJ122" s="124">
        <f t="shared" si="8"/>
        <v>-0.7420324683</v>
      </c>
      <c r="AK122" s="124">
        <f t="shared" si="9"/>
        <v>-0.9235245883</v>
      </c>
      <c r="AL122" s="124">
        <f t="shared" si="10"/>
        <v>0.3846212054</v>
      </c>
      <c r="AM122" s="124">
        <f t="shared" si="11"/>
        <v>0</v>
      </c>
      <c r="AN122" s="183">
        <f t="shared" si="12"/>
        <v>-0.9235245883</v>
      </c>
      <c r="AO122" s="183">
        <f t="shared" si="13"/>
        <v>-1.844025751</v>
      </c>
      <c r="AP122" s="183">
        <f t="array" ref="AP122">INDIRECT("Update"&amp;Projections!$AG$17&amp;"!S"&amp;ROW(B103))</f>
        <v>14.20470588</v>
      </c>
      <c r="AQ122" s="183">
        <f t="array" ref="AQ122">INDIRECT("Update"&amp;Projections!$AG$17&amp;"!T"&amp;ROW(B103))</f>
        <v>1.988676471</v>
      </c>
    </row>
    <row r="123">
      <c r="A123" s="40" t="str">
        <f>IF(UpdateHashtag!C121="",ROW(UpdateHashtag!C121),UpdateHashtag!C121)</f>
        <v>De'Anthony Melton</v>
      </c>
      <c r="B123" s="41">
        <f>IF(TYPE($A123)=1,"",(UpdateHashtag!M121-B$1)/B$2)</f>
        <v>-1.331848829</v>
      </c>
      <c r="C123" s="41">
        <f>IF(TYPE($A123)=1,"",(UpdateHashtag!L121-C$1)/C$2)</f>
        <v>0.2493047061</v>
      </c>
      <c r="D123" s="41">
        <f>IF(TYPE($A123)=1,"",(UpdateHashtag!N121-D$1)/D$2)</f>
        <v>-0.8948543083</v>
      </c>
      <c r="E123" s="41">
        <f>IF(TYPE($A123)=1,"",(UpdateHashtag!O121-E$1)/E$2)</f>
        <v>-0.6055178793</v>
      </c>
      <c r="F123" s="41">
        <f>IF(TYPE($A123)=1,"",(UpdateHashtag!P121-F$1)/F$2)</f>
        <v>2.064387549</v>
      </c>
      <c r="G123" s="41">
        <f>IF(TYPE($A123)=1,"",(UpdateHashtag!Q121-G$1)/G$2)</f>
        <v>-0.4435337589</v>
      </c>
      <c r="H123" s="41">
        <f>IF(TYPE($A123)=1,"",(UpdateHashtag!I121-H$1)/H$2*I123/$I$1)</f>
        <v>-0.7457579025</v>
      </c>
      <c r="I123" s="41">
        <f>UpdateHashtag!S121</f>
        <v>8.3</v>
      </c>
      <c r="J123" s="53">
        <f>IF(TYPE($A123)=1,"",(UpdateHashtag!K121-J$1)/J$2*K123/$K$1)</f>
        <v>0.1181372769</v>
      </c>
      <c r="K123" s="55">
        <f>UpdateHashtag!T121</f>
        <v>1.4</v>
      </c>
      <c r="L123" s="41">
        <f>IF(TYPE($A123)=1,"",-(UpdateHashtag!R121-L$1)/L$2)</f>
        <v>0.5442381251</v>
      </c>
      <c r="N123" s="112">
        <v>103.0</v>
      </c>
      <c r="O123" s="170">
        <f t="array" ref="O123">INDIRECT("Update"&amp;Projections!$AG$17&amp;"!B"&amp;ROW(B104))</f>
        <v>84.2</v>
      </c>
      <c r="P123" s="172" t="str">
        <f t="array" ref="P123">INDIRECT("Update"&amp;Projections!$AG$17&amp;"!C"&amp;ROW(B104))</f>
        <v>Jusuf Nurkic</v>
      </c>
      <c r="Q123" s="170">
        <f>UpdateHashtag!F157</f>
        <v>48</v>
      </c>
      <c r="R123" s="177" t="str">
        <f>IF(UpdateHashtag!D157="",ROW(UpdateHashtag!D157),UpdateHashtag!D157)</f>
        <v>C</v>
      </c>
      <c r="S123" s="124">
        <f t="shared" si="1"/>
        <v>-1.934541592</v>
      </c>
      <c r="T123" s="124">
        <f>SUM(AE123:AM123)-IFERROR(IFS(Projections!$I$17,AN123,Projections!$J$17,AO123),"")</f>
        <v>-1.769931278</v>
      </c>
      <c r="U123" s="124">
        <f t="shared" si="2"/>
        <v>0.1646103145</v>
      </c>
      <c r="V123" s="124">
        <f t="array" ref="V123">INDIRECT("Update"&amp;Projections!$AG$17&amp;"!M"&amp;ROW(B104))</f>
        <v>11.10712329</v>
      </c>
      <c r="W123" s="124">
        <f t="array" ref="W123">INDIRECT("Update"&amp;Projections!$AG$17&amp;"!L"&amp;ROW(B104))</f>
        <v>0.355890411</v>
      </c>
      <c r="X123" s="124">
        <f t="array" ref="X123">INDIRECT("Update"&amp;Projections!$AG$17&amp;"!N"&amp;ROW(B104))</f>
        <v>11.36246575</v>
      </c>
      <c r="Y123" s="124">
        <f t="array" ref="Y123">INDIRECT("Update"&amp;Projections!$AG$17&amp;"!O"&amp;ROW(B104))</f>
        <v>3.431232877</v>
      </c>
      <c r="Z123" s="124">
        <f t="array" ref="Z123">INDIRECT("Update"&amp;Projections!$AG$17&amp;"!P"&amp;ROW(B104))</f>
        <v>1.130410959</v>
      </c>
      <c r="AA123" s="124">
        <f t="array" ref="AA123">INDIRECT("Update"&amp;Projections!$AG$17&amp;"!Q"&amp;ROW(B104))</f>
        <v>1.009315068</v>
      </c>
      <c r="AB123" s="180">
        <f t="array" ref="AB123">INDIRECT("Update"&amp;Projections!$AG$17&amp;"!I"&amp;ROW(B104))</f>
        <v>0.5060056601</v>
      </c>
      <c r="AC123" s="180">
        <f t="array" ref="AC123">INDIRECT("Update"&amp;Projections!$AG$17&amp;"!K"&amp;ROW(B104))</f>
        <v>0.6300048239</v>
      </c>
      <c r="AD123" s="124">
        <f t="array" ref="AD123">INDIRECT("Update"&amp;Projections!$AG$17&amp;"!R"&amp;ROW(B104))</f>
        <v>2.412465753</v>
      </c>
      <c r="AE123" s="124">
        <f t="shared" si="3"/>
        <v>-1.150309178</v>
      </c>
      <c r="AF123" s="124">
        <f t="shared" si="4"/>
        <v>-1.381534516</v>
      </c>
      <c r="AG123" s="124">
        <f t="shared" si="5"/>
        <v>2.068928929</v>
      </c>
      <c r="AH123" s="124">
        <f t="shared" si="6"/>
        <v>-0.2280231026</v>
      </c>
      <c r="AI123" s="124">
        <f t="shared" si="7"/>
        <v>0.5108398416</v>
      </c>
      <c r="AJ123" s="124">
        <f t="shared" si="8"/>
        <v>0.4649049538</v>
      </c>
      <c r="AK123" s="124">
        <f t="shared" si="9"/>
        <v>0.08482101749</v>
      </c>
      <c r="AL123" s="124">
        <f t="shared" si="10"/>
        <v>-2.139559223</v>
      </c>
      <c r="AM123" s="124">
        <f t="shared" si="11"/>
        <v>0</v>
      </c>
      <c r="AN123" s="183">
        <f t="shared" si="12"/>
        <v>-2.139559223</v>
      </c>
      <c r="AO123" s="183">
        <f t="shared" si="13"/>
        <v>-3.521093739</v>
      </c>
      <c r="AP123" s="183">
        <f t="array" ref="AP123">INDIRECT("Update"&amp;Projections!$AG$17&amp;"!S"&amp;ROW(B104))</f>
        <v>8.325479452</v>
      </c>
      <c r="AQ123" s="183">
        <f t="array" ref="AQ123">INDIRECT("Update"&amp;Projections!$AG$17&amp;"!T"&amp;ROW(B104))</f>
        <v>3.691643836</v>
      </c>
    </row>
    <row r="124">
      <c r="A124" s="40" t="str">
        <f>IF(UpdateHashtag!C122="",ROW(UpdateHashtag!C122),UpdateHashtag!C122)</f>
        <v>Keon Ellis</v>
      </c>
      <c r="B124" s="41">
        <f>IF(TYPE($A124)=1,"",(UpdateHashtag!M122-B$1)/B$2)</f>
        <v>-1.638283415</v>
      </c>
      <c r="C124" s="41">
        <f>IF(TYPE($A124)=1,"",(UpdateHashtag!L122-C$1)/C$2)</f>
        <v>0.1501118522</v>
      </c>
      <c r="D124" s="41">
        <f>IF(TYPE($A124)=1,"",(UpdateHashtag!N122-D$1)/D$2)</f>
        <v>-1.090807806</v>
      </c>
      <c r="E124" s="41">
        <f>IF(TYPE($A124)=1,"",(UpdateHashtag!O122-E$1)/E$2)</f>
        <v>-0.7417594022</v>
      </c>
      <c r="F124" s="41">
        <f>IF(TYPE($A124)=1,"",(UpdateHashtag!P122-F$1)/F$2)</f>
        <v>1.402724873</v>
      </c>
      <c r="G124" s="41">
        <f>IF(TYPE($A124)=1,"",(UpdateHashtag!Q122-G$1)/G$2)</f>
        <v>0.09156058829</v>
      </c>
      <c r="H124" s="41">
        <f>IF(TYPE($A124)=1,"",(UpdateHashtag!I122-H$1)/H$2*I124/$I$1)</f>
        <v>-0.2613965114</v>
      </c>
      <c r="I124" s="41">
        <f>UpdateHashtag!S122</f>
        <v>6.2</v>
      </c>
      <c r="J124" s="53">
        <f>IF(TYPE($A124)=1,"",(UpdateHashtag!K122-J$1)/J$2*K124/$K$1)</f>
        <v>-0.2107135087</v>
      </c>
      <c r="K124" s="55">
        <f>UpdateHashtag!T122</f>
        <v>1</v>
      </c>
      <c r="L124" s="41">
        <f>IF(TYPE($A124)=1,"",-(UpdateHashtag!R122-L$1)/L$2)</f>
        <v>0.7426238329</v>
      </c>
      <c r="N124" s="5">
        <v>104.0</v>
      </c>
      <c r="O124" s="170">
        <f t="array" ref="O124">INDIRECT("Update"&amp;Projections!$AG$17&amp;"!B"&amp;ROW(B105))</f>
        <v>136.7</v>
      </c>
      <c r="P124" s="172" t="str">
        <f t="array" ref="P124">INDIRECT("Update"&amp;Projections!$AG$17&amp;"!C"&amp;ROW(B105))</f>
        <v>Al Horford</v>
      </c>
      <c r="Q124" s="170">
        <f>UpdateHashtag!F159</f>
        <v>67</v>
      </c>
      <c r="R124" s="177" t="str">
        <f>IF(UpdateHashtag!D159="",ROW(UpdateHashtag!D159),UpdateHashtag!D159)</f>
        <v>SF,PF</v>
      </c>
      <c r="S124" s="124">
        <f t="shared" si="1"/>
        <v>-1.793733897</v>
      </c>
      <c r="T124" s="124">
        <f>SUM(AE124:AM124)-IFERROR(IFS(Projections!$I$17,AN124,Projections!$J$17,AO124),"")</f>
        <v>-2.021817344</v>
      </c>
      <c r="U124" s="124">
        <f t="shared" si="2"/>
        <v>-0.2280834471</v>
      </c>
      <c r="V124" s="124">
        <f t="array" ref="V124">INDIRECT("Update"&amp;Projections!$AG$17&amp;"!M"&amp;ROW(B105))</f>
        <v>10.16818182</v>
      </c>
      <c r="W124" s="124">
        <f t="array" ref="W124">INDIRECT("Update"&amp;Projections!$AG$17&amp;"!L"&amp;ROW(B105))</f>
        <v>1.853636364</v>
      </c>
      <c r="X124" s="124">
        <f t="array" ref="X124">INDIRECT("Update"&amp;Projections!$AG$17&amp;"!N"&amp;ROW(B105))</f>
        <v>6.453636364</v>
      </c>
      <c r="Y124" s="124">
        <f t="array" ref="Y124">INDIRECT("Update"&amp;Projections!$AG$17&amp;"!O"&amp;ROW(B105))</f>
        <v>2.605090909</v>
      </c>
      <c r="Z124" s="124">
        <f t="array" ref="Z124">INDIRECT("Update"&amp;Projections!$AG$17&amp;"!P"&amp;ROW(B105))</f>
        <v>0.6607272727</v>
      </c>
      <c r="AA124" s="124">
        <f t="array" ref="AA124">INDIRECT("Update"&amp;Projections!$AG$17&amp;"!Q"&amp;ROW(B105))</f>
        <v>1.124909091</v>
      </c>
      <c r="AB124" s="180">
        <f t="array" ref="AB124">INDIRECT("Update"&amp;Projections!$AG$17&amp;"!I"&amp;ROW(B105))</f>
        <v>0.4954747447</v>
      </c>
      <c r="AC124" s="180">
        <f t="array" ref="AC124">INDIRECT("Update"&amp;Projections!$AG$17&amp;"!K"&amp;ROW(B105))</f>
        <v>0.81106229</v>
      </c>
      <c r="AD124" s="124">
        <f t="array" ref="AD124">INDIRECT("Update"&amp;Projections!$AG$17&amp;"!R"&amp;ROW(B105))</f>
        <v>0.8289090909</v>
      </c>
      <c r="AE124" s="124">
        <f t="shared" si="3"/>
        <v>-1.319558672</v>
      </c>
      <c r="AF124" s="124">
        <f t="shared" si="4"/>
        <v>0.1041224385</v>
      </c>
      <c r="AG124" s="124">
        <f t="shared" si="5"/>
        <v>0.1451243485</v>
      </c>
      <c r="AH124" s="124">
        <f t="shared" si="6"/>
        <v>-0.603205902</v>
      </c>
      <c r="AI124" s="124">
        <f t="shared" si="7"/>
        <v>-1.043020982</v>
      </c>
      <c r="AJ124" s="124">
        <f t="shared" si="8"/>
        <v>0.6710839814</v>
      </c>
      <c r="AK124" s="124">
        <f t="shared" si="9"/>
        <v>-0.01610639857</v>
      </c>
      <c r="AL124" s="124">
        <f t="shared" si="10"/>
        <v>0.03974384192</v>
      </c>
      <c r="AM124" s="124">
        <f t="shared" si="11"/>
        <v>0</v>
      </c>
      <c r="AN124" s="183">
        <f t="shared" si="12"/>
        <v>-1.319558672</v>
      </c>
      <c r="AO124" s="183">
        <f t="shared" si="13"/>
        <v>-2.362579654</v>
      </c>
      <c r="AP124" s="183">
        <f t="array" ref="AP124">INDIRECT("Update"&amp;Projections!$AG$17&amp;"!S"&amp;ROW(B105))</f>
        <v>7.814727273</v>
      </c>
      <c r="AQ124" s="183">
        <f t="array" ref="AQ124">INDIRECT("Update"&amp;Projections!$AG$17&amp;"!T"&amp;ROW(B105))</f>
        <v>0.7034545455</v>
      </c>
    </row>
    <row r="125">
      <c r="A125" s="40" t="str">
        <f>IF(UpdateHashtag!C123="",ROW(UpdateHashtag!C123),UpdateHashtag!C123)</f>
        <v>Brandin Podziemski</v>
      </c>
      <c r="B125" s="41">
        <f>IF(TYPE($A125)=1,"",(UpdateHashtag!M123-B$1)/B$2)</f>
        <v>-1.133567627</v>
      </c>
      <c r="C125" s="41">
        <f>IF(TYPE($A125)=1,"",(UpdateHashtag!L123-C$1)/C$2)</f>
        <v>-0.2466595634</v>
      </c>
      <c r="D125" s="41">
        <f>IF(TYPE($A125)=1,"",(UpdateHashtag!N123-D$1)/D$2)</f>
        <v>0.3200573803</v>
      </c>
      <c r="E125" s="41">
        <f>IF(TYPE($A125)=1,"",(UpdateHashtag!O123-E$1)/E$2)</f>
        <v>0.2119312578</v>
      </c>
      <c r="F125" s="41">
        <f>IF(TYPE($A125)=1,"",(UpdateHashtag!P123-F$1)/F$2)</f>
        <v>0.741062197</v>
      </c>
      <c r="G125" s="41">
        <f>IF(TYPE($A125)=1,"",(UpdateHashtag!Q123-G$1)/G$2)</f>
        <v>-0.978628106</v>
      </c>
      <c r="H125" s="41">
        <f>IF(TYPE($A125)=1,"",(UpdateHashtag!I123-H$1)/H$2*I125/$I$1)</f>
        <v>-0.4315243916</v>
      </c>
      <c r="I125" s="41">
        <f>UpdateHashtag!S123</f>
        <v>9.7</v>
      </c>
      <c r="J125" s="53">
        <f>IF(TYPE($A125)=1,"",(UpdateHashtag!K123-J$1)/J$2*K125/$K$1)</f>
        <v>-0.5981832606</v>
      </c>
      <c r="K125" s="55">
        <f>UpdateHashtag!T123</f>
        <v>1.3</v>
      </c>
      <c r="L125" s="41">
        <f>IF(TYPE($A125)=1,"",-(UpdateHashtag!R123-L$1)/L$2)</f>
        <v>0.3458524173</v>
      </c>
      <c r="N125" s="112">
        <v>105.0</v>
      </c>
      <c r="O125" s="170">
        <f t="array" ref="O125">INDIRECT("Update"&amp;Projections!$AG$17&amp;"!B"&amp;ROW(B106))</f>
        <v>76.9</v>
      </c>
      <c r="P125" s="172" t="str">
        <f t="array" ref="P125">INDIRECT("Update"&amp;Projections!$AG$17&amp;"!C"&amp;ROW(B106))</f>
        <v>Brook Lopez</v>
      </c>
      <c r="Q125" s="170">
        <f>UpdateHashtag!F150</f>
        <v>69</v>
      </c>
      <c r="R125" s="177" t="str">
        <f>IF(UpdateHashtag!D150="",ROW(UpdateHashtag!D150),UpdateHashtag!D150)</f>
        <v>C</v>
      </c>
      <c r="S125" s="124">
        <f t="shared" si="1"/>
        <v>-1.900213507</v>
      </c>
      <c r="T125" s="124">
        <f>SUM(AE125:AM125)-IFERROR(IFS(Projections!$I$17,AN125,Projections!$J$17,AO125),"")</f>
        <v>-2.081045703</v>
      </c>
      <c r="U125" s="124">
        <f t="shared" si="2"/>
        <v>-0.1808321961</v>
      </c>
      <c r="V125" s="124">
        <f t="array" ref="V125">INDIRECT("Update"&amp;Projections!$AG$17&amp;"!M"&amp;ROW(B106))</f>
        <v>11.46547945</v>
      </c>
      <c r="W125" s="124">
        <f t="array" ref="W125">INDIRECT("Update"&amp;Projections!$AG$17&amp;"!L"&amp;ROW(B106))</f>
        <v>1.876575342</v>
      </c>
      <c r="X125" s="124">
        <f t="array" ref="X125">INDIRECT("Update"&amp;Projections!$AG$17&amp;"!N"&amp;ROW(B106))</f>
        <v>4.605616438</v>
      </c>
      <c r="Y125" s="124">
        <f t="array" ref="Y125">INDIRECT("Update"&amp;Projections!$AG$17&amp;"!O"&amp;ROW(B106))</f>
        <v>1.315890411</v>
      </c>
      <c r="Z125" s="124">
        <f t="array" ref="Z125">INDIRECT("Update"&amp;Projections!$AG$17&amp;"!P"&amp;ROW(B106))</f>
        <v>0.4763013699</v>
      </c>
      <c r="AA125" s="124">
        <f t="array" ref="AA125">INDIRECT("Update"&amp;Projections!$AG$17&amp;"!Q"&amp;ROW(B106))</f>
        <v>2.039863014</v>
      </c>
      <c r="AB125" s="180">
        <f t="array" ref="AB125">INDIRECT("Update"&amp;Projections!$AG$17&amp;"!I"&amp;ROW(B106))</f>
        <v>0.4835494622</v>
      </c>
      <c r="AC125" s="180">
        <f t="array" ref="AC125">INDIRECT("Update"&amp;Projections!$AG$17&amp;"!K"&amp;ROW(B106))</f>
        <v>0.8210240569</v>
      </c>
      <c r="AD125" s="124">
        <f t="array" ref="AD125">INDIRECT("Update"&amp;Projections!$AG$17&amp;"!R"&amp;ROW(B106))</f>
        <v>1.019452055</v>
      </c>
      <c r="AE125" s="124">
        <f t="shared" si="3"/>
        <v>-1.085713459</v>
      </c>
      <c r="AF125" s="124">
        <f t="shared" si="4"/>
        <v>0.1268762655</v>
      </c>
      <c r="AG125" s="124">
        <f t="shared" si="5"/>
        <v>-0.5791275899</v>
      </c>
      <c r="AH125" s="124">
        <f t="shared" si="6"/>
        <v>-1.188681366</v>
      </c>
      <c r="AI125" s="124">
        <f t="shared" si="7"/>
        <v>-1.653159664</v>
      </c>
      <c r="AJ125" s="124">
        <f t="shared" si="8"/>
        <v>2.303039555</v>
      </c>
      <c r="AK125" s="124">
        <f t="shared" si="9"/>
        <v>-0.138174619</v>
      </c>
      <c r="AL125" s="124">
        <f t="shared" si="10"/>
        <v>0.1338951732</v>
      </c>
      <c r="AM125" s="124">
        <f t="shared" si="11"/>
        <v>0</v>
      </c>
      <c r="AN125" s="183">
        <f t="shared" si="12"/>
        <v>-1.653159664</v>
      </c>
      <c r="AO125" s="183">
        <f t="shared" si="13"/>
        <v>-2.841841029</v>
      </c>
      <c r="AP125" s="183">
        <f t="array" ref="AP125">INDIRECT("Update"&amp;Projections!$AG$17&amp;"!S"&amp;ROW(B106))</f>
        <v>8.672739726</v>
      </c>
      <c r="AQ125" s="183">
        <f t="array" ref="AQ125">INDIRECT("Update"&amp;Projections!$AG$17&amp;"!T"&amp;ROW(B106))</f>
        <v>1.463424658</v>
      </c>
    </row>
    <row r="126">
      <c r="A126" s="40" t="str">
        <f>IF(UpdateHashtag!C124="",ROW(UpdateHashtag!C124),UpdateHashtag!C124)</f>
        <v>Dennis Schröder</v>
      </c>
      <c r="B126" s="41">
        <f>IF(TYPE($A126)=1,"",(UpdateHashtag!M124-B$1)/B$2)</f>
        <v>-0.4305706357</v>
      </c>
      <c r="C126" s="41">
        <f>IF(TYPE($A126)=1,"",(UpdateHashtag!L124-C$1)/C$2)</f>
        <v>-0.04827385557</v>
      </c>
      <c r="D126" s="41">
        <f>IF(TYPE($A126)=1,"",(UpdateHashtag!N124-D$1)/D$2)</f>
        <v>-1.208379905</v>
      </c>
      <c r="E126" s="41">
        <f>IF(TYPE($A126)=1,"",(UpdateHashtag!O124-E$1)/E$2)</f>
        <v>0.893138872</v>
      </c>
      <c r="F126" s="41">
        <f>IF(TYPE($A126)=1,"",(UpdateHashtag!P124-F$1)/F$2)</f>
        <v>-0.5822631548</v>
      </c>
      <c r="G126" s="41">
        <f>IF(TYPE($A126)=1,"",(UpdateHashtag!Q124-G$1)/G$2)</f>
        <v>-0.978628106</v>
      </c>
      <c r="H126" s="41">
        <f>IF(TYPE($A126)=1,"",(UpdateHashtag!I124-H$1)/H$2*I126/$I$1)</f>
        <v>-0.8688351239</v>
      </c>
      <c r="I126" s="41">
        <f>UpdateHashtag!S124</f>
        <v>12</v>
      </c>
      <c r="J126" s="53">
        <f>IF(TYPE($A126)=1,"",(UpdateHashtag!K124-J$1)/J$2*K126/$K$1)</f>
        <v>0.6396233498</v>
      </c>
      <c r="K126" s="55">
        <f>UpdateHashtag!T124</f>
        <v>3.5</v>
      </c>
      <c r="L126" s="41">
        <f>IF(TYPE($A126)=1,"",-(UpdateHashtag!R124-L$1)/L$2)</f>
        <v>-0.2493047061</v>
      </c>
      <c r="N126" s="112">
        <v>106.0</v>
      </c>
      <c r="O126" s="170">
        <f t="array" ref="O126">INDIRECT("Update"&amp;Projections!$AG$17&amp;"!B"&amp;ROW(B107))</f>
        <v>144.4</v>
      </c>
      <c r="P126" s="172" t="str">
        <f t="array" ref="P126">INDIRECT("Update"&amp;Projections!$AG$17&amp;"!C"&amp;ROW(B107))</f>
        <v>Dyson Daniels</v>
      </c>
      <c r="Q126" s="170">
        <f>UpdateHashtag!F165</f>
        <v>68</v>
      </c>
      <c r="R126" s="177" t="str">
        <f>IF(UpdateHashtag!D165="",ROW(UpdateHashtag!D165),UpdateHashtag!D165)</f>
        <v>PG,SG</v>
      </c>
      <c r="S126" s="124">
        <f t="shared" si="1"/>
        <v>-1.82885342</v>
      </c>
      <c r="T126" s="124">
        <f>SUM(AE126:AM126)-IFERROR(IFS(Projections!$I$17,AN126,Projections!$J$17,AO126),"")</f>
        <v>-1.900831219</v>
      </c>
      <c r="U126" s="124">
        <f t="shared" si="2"/>
        <v>-0.07197779877</v>
      </c>
      <c r="V126" s="124">
        <f t="array" ref="V126">INDIRECT("Update"&amp;Projections!$AG$17&amp;"!M"&amp;ROW(B107))</f>
        <v>9.287301587</v>
      </c>
      <c r="W126" s="124">
        <f t="array" ref="W126">INDIRECT("Update"&amp;Projections!$AG$17&amp;"!L"&amp;ROW(B107))</f>
        <v>1.195555556</v>
      </c>
      <c r="X126" s="124">
        <f t="array" ref="X126">INDIRECT("Update"&amp;Projections!$AG$17&amp;"!N"&amp;ROW(B107))</f>
        <v>5.016666667</v>
      </c>
      <c r="Y126" s="124">
        <f t="array" ref="Y126">INDIRECT("Update"&amp;Projections!$AG$17&amp;"!O"&amp;ROW(B107))</f>
        <v>3.5</v>
      </c>
      <c r="Z126" s="124">
        <f t="array" ref="Z126">INDIRECT("Update"&amp;Projections!$AG$17&amp;"!P"&amp;ROW(B107))</f>
        <v>1.575079365</v>
      </c>
      <c r="AA126" s="124">
        <f t="array" ref="AA126">INDIRECT("Update"&amp;Projections!$AG$17&amp;"!Q"&amp;ROW(B107))</f>
        <v>0.4568253968</v>
      </c>
      <c r="AB126" s="180">
        <f t="array" ref="AB126">INDIRECT("Update"&amp;Projections!$AG$17&amp;"!I"&amp;ROW(B107))</f>
        <v>0.4659558171</v>
      </c>
      <c r="AC126" s="180">
        <f t="array" ref="AC126">INDIRECT("Update"&amp;Projections!$AG$17&amp;"!K"&amp;ROW(B107))</f>
        <v>0.6829830118</v>
      </c>
      <c r="AD126" s="124">
        <f t="array" ref="AD126">INDIRECT("Update"&amp;Projections!$AG$17&amp;"!R"&amp;ROW(B107))</f>
        <v>1.458412698</v>
      </c>
      <c r="AE126" s="124">
        <f t="shared" si="3"/>
        <v>-1.478342301</v>
      </c>
      <c r="AF126" s="124">
        <f t="shared" si="4"/>
        <v>-0.5486466959</v>
      </c>
      <c r="AG126" s="124">
        <f t="shared" si="5"/>
        <v>-0.4180341293</v>
      </c>
      <c r="AH126" s="124">
        <f t="shared" si="6"/>
        <v>-0.1967933108</v>
      </c>
      <c r="AI126" s="124">
        <f t="shared" si="7"/>
        <v>1.981942278</v>
      </c>
      <c r="AJ126" s="124">
        <f t="shared" si="8"/>
        <v>-0.5205420459</v>
      </c>
      <c r="AK126" s="124">
        <f t="shared" si="9"/>
        <v>-0.2866180679</v>
      </c>
      <c r="AL126" s="124">
        <f t="shared" si="10"/>
        <v>-0.4337969467</v>
      </c>
      <c r="AM126" s="124">
        <f t="shared" si="11"/>
        <v>0</v>
      </c>
      <c r="AN126" s="183">
        <f t="shared" si="12"/>
        <v>-1.478342301</v>
      </c>
      <c r="AO126" s="183">
        <f t="shared" si="13"/>
        <v>-2.026988997</v>
      </c>
      <c r="AP126" s="183">
        <f t="array" ref="AP126">INDIRECT("Update"&amp;Projections!$AG$17&amp;"!S"&amp;ROW(B107))</f>
        <v>7.874920635</v>
      </c>
      <c r="AQ126" s="183">
        <f t="array" ref="AQ126">INDIRECT("Update"&amp;Projections!$AG$17&amp;"!T"&amp;ROW(B107))</f>
        <v>1.102539683</v>
      </c>
    </row>
    <row r="127">
      <c r="A127" s="40" t="str">
        <f>IF(UpdateHashtag!C125="",ROW(UpdateHashtag!C125),UpdateHashtag!C125)</f>
        <v>Jonathan Kuminga</v>
      </c>
      <c r="B127" s="41">
        <f>IF(TYPE($A127)=1,"",(UpdateHashtag!M125-B$1)/B$2)</f>
        <v>-0.2322894331</v>
      </c>
      <c r="C127" s="41">
        <f>IF(TYPE($A127)=1,"",(UpdateHashtag!L125-C$1)/C$2)</f>
        <v>-0.8418166868</v>
      </c>
      <c r="D127" s="41">
        <f>IF(TYPE($A127)=1,"",(UpdateHashtag!N125-D$1)/D$2)</f>
        <v>-0.3853752131</v>
      </c>
      <c r="E127" s="41">
        <f>IF(TYPE($A127)=1,"",(UpdateHashtag!O125-E$1)/E$2)</f>
        <v>-0.6509317203</v>
      </c>
      <c r="F127" s="41">
        <f>IF(TYPE($A127)=1,"",(UpdateHashtag!P125-F$1)/F$2)</f>
        <v>-0.5822631548</v>
      </c>
      <c r="G127" s="41">
        <f>IF(TYPE($A127)=1,"",(UpdateHashtag!Q125-G$1)/G$2)</f>
        <v>-0.2651689765</v>
      </c>
      <c r="H127" s="41">
        <f>IF(TYPE($A127)=1,"",(UpdateHashtag!I125-H$1)/H$2*I127/$I$1)</f>
        <v>0.404912807</v>
      </c>
      <c r="I127" s="41">
        <f>UpdateHashtag!S125</f>
        <v>11.7</v>
      </c>
      <c r="J127" s="53">
        <f>IF(TYPE($A127)=1,"",(UpdateHashtag!K125-J$1)/J$2*K127/$K$1)</f>
        <v>-0.4803200026</v>
      </c>
      <c r="K127" s="55">
        <f>UpdateHashtag!T125</f>
        <v>3.8</v>
      </c>
      <c r="L127" s="41">
        <f>IF(TYPE($A127)=1,"",-(UpdateHashtag!R125-L$1)/L$2)</f>
        <v>-0.1501118522</v>
      </c>
      <c r="N127" s="5">
        <v>107.0</v>
      </c>
      <c r="O127" s="170">
        <f t="array" ref="O127">INDIRECT("Update"&amp;Projections!$AG$17&amp;"!B"&amp;ROW(B108))</f>
        <v>86.5</v>
      </c>
      <c r="P127" s="172" t="str">
        <f t="array" ref="P127">INDIRECT("Update"&amp;Projections!$AG$17&amp;"!C"&amp;ROW(B108))</f>
        <v>Coby White</v>
      </c>
      <c r="Q127" s="170">
        <f>UpdateHashtag!F168</f>
        <v>68</v>
      </c>
      <c r="R127" s="177" t="str">
        <f>IF(UpdateHashtag!D168="",ROW(UpdateHashtag!D168),UpdateHashtag!D168)</f>
        <v>PF</v>
      </c>
      <c r="S127" s="124">
        <f t="shared" si="1"/>
        <v>-1.855408241</v>
      </c>
      <c r="T127" s="124">
        <f>SUM(AE127:AM127)-IFERROR(IFS(Projections!$I$17,AN127,Projections!$J$17,AO127),"")</f>
        <v>-1.888062619</v>
      </c>
      <c r="U127" s="124">
        <f t="shared" si="2"/>
        <v>-0.03265437818</v>
      </c>
      <c r="V127" s="124">
        <f t="array" ref="V127">INDIRECT("Update"&amp;Projections!$AG$17&amp;"!M"&amp;ROW(B108))</f>
        <v>18.96849315</v>
      </c>
      <c r="W127" s="124">
        <f t="array" ref="W127">INDIRECT("Update"&amp;Projections!$AG$17&amp;"!L"&amp;ROW(B108))</f>
        <v>2.273424658</v>
      </c>
      <c r="X127" s="124">
        <f t="array" ref="X127">INDIRECT("Update"&amp;Projections!$AG$17&amp;"!N"&amp;ROW(B108))</f>
        <v>3.822054795</v>
      </c>
      <c r="Y127" s="124">
        <f t="array" ref="Y127">INDIRECT("Update"&amp;Projections!$AG$17&amp;"!O"&amp;ROW(B108))</f>
        <v>4.41</v>
      </c>
      <c r="Z127" s="124">
        <f t="array" ref="Z127">INDIRECT("Update"&amp;Projections!$AG$17&amp;"!P"&amp;ROW(B108))</f>
        <v>0.6620547945</v>
      </c>
      <c r="AA127" s="124">
        <f t="array" ref="AA127">INDIRECT("Update"&amp;Projections!$AG$17&amp;"!Q"&amp;ROW(B108))</f>
        <v>0.2204109589</v>
      </c>
      <c r="AB127" s="180">
        <f t="array" ref="AB127">INDIRECT("Update"&amp;Projections!$AG$17&amp;"!I"&amp;ROW(B108))</f>
        <v>0.4497405255</v>
      </c>
      <c r="AC127" s="180">
        <f t="array" ref="AC127">INDIRECT("Update"&amp;Projections!$AG$17&amp;"!K"&amp;ROW(B108))</f>
        <v>0.8560152025</v>
      </c>
      <c r="AD127" s="124">
        <f t="array" ref="AD127">INDIRECT("Update"&amp;Projections!$AG$17&amp;"!R"&amp;ROW(B108))</f>
        <v>1.616986301</v>
      </c>
      <c r="AE127" s="124">
        <f t="shared" si="3"/>
        <v>0.266747068</v>
      </c>
      <c r="AF127" s="124">
        <f t="shared" si="4"/>
        <v>0.5205224277</v>
      </c>
      <c r="AG127" s="124">
        <f t="shared" si="5"/>
        <v>-0.8862108798</v>
      </c>
      <c r="AH127" s="124">
        <f t="shared" si="6"/>
        <v>0.2164726419</v>
      </c>
      <c r="AI127" s="124">
        <f t="shared" si="7"/>
        <v>-1.038629124</v>
      </c>
      <c r="AJ127" s="124">
        <f t="shared" si="8"/>
        <v>-0.9422221436</v>
      </c>
      <c r="AK127" s="124">
        <f t="shared" si="9"/>
        <v>-0.8284963901</v>
      </c>
      <c r="AL127" s="124">
        <f t="shared" si="10"/>
        <v>0.8037537807</v>
      </c>
      <c r="AM127" s="124">
        <f t="shared" si="11"/>
        <v>0</v>
      </c>
      <c r="AN127" s="183">
        <f t="shared" si="12"/>
        <v>-1.038629124</v>
      </c>
      <c r="AO127" s="183">
        <f t="shared" si="13"/>
        <v>-1.980851267</v>
      </c>
      <c r="AP127" s="183">
        <f t="array" ref="AP127">INDIRECT("Update"&amp;Projections!$AG$17&amp;"!S"&amp;ROW(B108))</f>
        <v>14.99342466</v>
      </c>
      <c r="AQ127" s="183">
        <f t="array" ref="AQ127">INDIRECT("Update"&amp;Projections!$AG$17&amp;"!T"&amp;ROW(B108))</f>
        <v>3.748493151</v>
      </c>
    </row>
    <row r="128">
      <c r="A128" s="40" t="str">
        <f>IF(UpdateHashtag!C126="",ROW(UpdateHashtag!C126),UpdateHashtag!C126)</f>
        <v>Marcus Smart</v>
      </c>
      <c r="B128" s="41">
        <f>IF(TYPE($A128)=1,"",(UpdateHashtag!M126-B$1)/B$2)</f>
        <v>-0.971337552</v>
      </c>
      <c r="C128" s="41">
        <f>IF(TYPE($A128)=1,"",(UpdateHashtag!L126-C$1)/C$2)</f>
        <v>0.1501118522</v>
      </c>
      <c r="D128" s="41">
        <f>IF(TYPE($A128)=1,"",(UpdateHashtag!N126-D$1)/D$2)</f>
        <v>-1.208379905</v>
      </c>
      <c r="E128" s="41">
        <f>IF(TYPE($A128)=1,"",(UpdateHashtag!O126-E$1)/E$2)</f>
        <v>0.3481727806</v>
      </c>
      <c r="F128" s="41">
        <f>IF(TYPE($A128)=1,"",(UpdateHashtag!P126-F$1)/F$2)</f>
        <v>2.064387549</v>
      </c>
      <c r="G128" s="41">
        <f>IF(TYPE($A128)=1,"",(UpdateHashtag!Q126-G$1)/G$2)</f>
        <v>-0.8002633236</v>
      </c>
      <c r="H128" s="41">
        <f>IF(TYPE($A128)=1,"",(UpdateHashtag!I126-H$1)/H$2*I128/$I$1)</f>
        <v>-0.9254586019</v>
      </c>
      <c r="I128" s="41">
        <f>UpdateHashtag!S126</f>
        <v>10.3</v>
      </c>
      <c r="J128" s="53">
        <f>IF(TYPE($A128)=1,"",(UpdateHashtag!K126-J$1)/J$2*K128/$K$1)</f>
        <v>-0.324459457</v>
      </c>
      <c r="K128" s="55">
        <f>UpdateHashtag!T126</f>
        <v>2.1</v>
      </c>
      <c r="L128" s="41">
        <f>IF(TYPE($A128)=1,"",-(UpdateHashtag!R126-L$1)/L$2)</f>
        <v>-0.7452689757</v>
      </c>
      <c r="N128" s="112">
        <v>108.0</v>
      </c>
      <c r="O128" s="170">
        <f t="array" ref="O128">INDIRECT("Update"&amp;Projections!$AG$17&amp;"!B"&amp;ROW(B109))</f>
        <v>80.8</v>
      </c>
      <c r="P128" s="172" t="str">
        <f t="array" ref="P128">INDIRECT("Update"&amp;Projections!$AG$17&amp;"!C"&amp;ROW(B109))</f>
        <v>Jabari Smith Jr.</v>
      </c>
      <c r="Q128" s="170">
        <f>UpdateHashtag!F164</f>
        <v>58</v>
      </c>
      <c r="R128" s="177" t="str">
        <f>IF(UpdateHashtag!D164="",ROW(UpdateHashtag!D164),UpdateHashtag!D164)</f>
        <v>PG</v>
      </c>
      <c r="S128" s="124">
        <f t="shared" si="1"/>
        <v>-1.800356122</v>
      </c>
      <c r="T128" s="124">
        <f>SUM(AE128:AM128)-IFERROR(IFS(Projections!$I$17,AN128,Projections!$J$17,AO128),"")</f>
        <v>-2.007549159</v>
      </c>
      <c r="U128" s="124">
        <f t="shared" si="2"/>
        <v>-0.2071930368</v>
      </c>
      <c r="V128" s="124">
        <f t="array" ref="V128">INDIRECT("Update"&amp;Projections!$AG$17&amp;"!M"&amp;ROW(B109))</f>
        <v>14.23739726</v>
      </c>
      <c r="W128" s="124">
        <f t="array" ref="W128">INDIRECT("Update"&amp;Projections!$AG$17&amp;"!L"&amp;ROW(B109))</f>
        <v>1.953424658</v>
      </c>
      <c r="X128" s="124">
        <f t="array" ref="X128">INDIRECT("Update"&amp;Projections!$AG$17&amp;"!N"&amp;ROW(B109))</f>
        <v>7.175205479</v>
      </c>
      <c r="Y128" s="124">
        <f t="array" ref="Y128">INDIRECT("Update"&amp;Projections!$AG$17&amp;"!O"&amp;ROW(B109))</f>
        <v>1.826438356</v>
      </c>
      <c r="Z128" s="124">
        <f t="array" ref="Z128">INDIRECT("Update"&amp;Projections!$AG$17&amp;"!P"&amp;ROW(B109))</f>
        <v>0.7168493151</v>
      </c>
      <c r="AA128" s="124">
        <f t="array" ref="AA128">INDIRECT("Update"&amp;Projections!$AG$17&amp;"!Q"&amp;ROW(B109))</f>
        <v>0.8484931507</v>
      </c>
      <c r="AB128" s="180">
        <f t="array" ref="AB128">INDIRECT("Update"&amp;Projections!$AG$17&amp;"!I"&amp;ROW(B109))</f>
        <v>0.4621599585</v>
      </c>
      <c r="AC128" s="180">
        <f t="array" ref="AC128">INDIRECT("Update"&amp;Projections!$AG$17&amp;"!K"&amp;ROW(B109))</f>
        <v>0.7990209264</v>
      </c>
      <c r="AD128" s="124">
        <f t="array" ref="AD128">INDIRECT("Update"&amp;Projections!$AG$17&amp;"!R"&amp;ROW(B109))</f>
        <v>0.9131506849</v>
      </c>
      <c r="AE128" s="124">
        <f t="shared" si="3"/>
        <v>-0.5860596436</v>
      </c>
      <c r="AF128" s="124">
        <f t="shared" si="4"/>
        <v>0.2031052952</v>
      </c>
      <c r="AG128" s="124">
        <f t="shared" si="5"/>
        <v>0.427912333</v>
      </c>
      <c r="AH128" s="124">
        <f t="shared" si="6"/>
        <v>-0.9568219339</v>
      </c>
      <c r="AI128" s="124">
        <f t="shared" si="7"/>
        <v>-0.8573516781</v>
      </c>
      <c r="AJ128" s="124">
        <f t="shared" si="8"/>
        <v>0.178055291</v>
      </c>
      <c r="AK128" s="124">
        <f t="shared" si="9"/>
        <v>-0.4525381332</v>
      </c>
      <c r="AL128" s="124">
        <f t="shared" si="10"/>
        <v>0.03614931107</v>
      </c>
      <c r="AM128" s="124">
        <f t="shared" si="11"/>
        <v>0</v>
      </c>
      <c r="AN128" s="183">
        <f t="shared" si="12"/>
        <v>-0.9568219339</v>
      </c>
      <c r="AO128" s="183">
        <f t="shared" si="13"/>
        <v>-1.814173612</v>
      </c>
      <c r="AP128" s="183">
        <f t="array" ref="AP128">INDIRECT("Update"&amp;Projections!$AG$17&amp;"!S"&amp;ROW(B109))</f>
        <v>11.08849315</v>
      </c>
      <c r="AQ128" s="183">
        <f t="array" ref="AQ128">INDIRECT("Update"&amp;Projections!$AG$17&amp;"!T"&amp;ROW(B109))</f>
        <v>2.546438356</v>
      </c>
    </row>
    <row r="129">
      <c r="A129" s="40" t="str">
        <f>IF(UpdateHashtag!C127="",ROW(UpdateHashtag!C127),UpdateHashtag!C127)</f>
        <v>Jalen Smith</v>
      </c>
      <c r="B129" s="41">
        <f>IF(TYPE($A129)=1,"",(UpdateHashtag!M127-B$1)/B$2)</f>
        <v>-0.827133041</v>
      </c>
      <c r="C129" s="41">
        <f>IF(TYPE($A129)=1,"",(UpdateHashtag!L127-C$1)/C$2)</f>
        <v>-0.4450452712</v>
      </c>
      <c r="D129" s="41">
        <f>IF(TYPE($A129)=1,"",(UpdateHashtag!N127-D$1)/D$2)</f>
        <v>0.5943922778</v>
      </c>
      <c r="E129" s="41">
        <f>IF(TYPE($A129)=1,"",(UpdateHashtag!O127-E$1)/E$2)</f>
        <v>-1.195897812</v>
      </c>
      <c r="F129" s="41">
        <f>IF(TYPE($A129)=1,"",(UpdateHashtag!P127-F$1)/F$2)</f>
        <v>-1.905588506</v>
      </c>
      <c r="G129" s="41">
        <f>IF(TYPE($A129)=1,"",(UpdateHashtag!Q127-G$1)/G$2)</f>
        <v>0.4482901531</v>
      </c>
      <c r="H129" s="41">
        <f>IF(TYPE($A129)=1,"",(UpdateHashtag!I127-H$1)/H$2*I129/$I$1)</f>
        <v>0.4254038357</v>
      </c>
      <c r="I129" s="41">
        <f>UpdateHashtag!S127</f>
        <v>9.2</v>
      </c>
      <c r="J129" s="53">
        <f>IF(TYPE($A129)=1,"",(UpdateHashtag!K127-J$1)/J$2*K129/$K$1)</f>
        <v>-0.7080648399</v>
      </c>
      <c r="K129" s="55">
        <f>UpdateHashtag!T127</f>
        <v>2.4</v>
      </c>
      <c r="L129" s="41">
        <f>IF(TYPE($A129)=1,"",-(UpdateHashtag!R127-L$1)/L$2)</f>
        <v>0.5442381251</v>
      </c>
      <c r="N129" s="112">
        <v>109.0</v>
      </c>
      <c r="O129" s="170">
        <f t="array" ref="O129">INDIRECT("Update"&amp;Projections!$AG$17&amp;"!B"&amp;ROW(B110))</f>
        <v>96.4</v>
      </c>
      <c r="P129" s="172" t="str">
        <f t="array" ref="P129">INDIRECT("Update"&amp;Projections!$AG$17&amp;"!C"&amp;ROW(B110))</f>
        <v>Naz Reid</v>
      </c>
      <c r="Q129" s="170">
        <f>UpdateHashtag!F167</f>
        <v>74</v>
      </c>
      <c r="R129" s="177" t="str">
        <f>IF(UpdateHashtag!D167="",ROW(UpdateHashtag!D167),UpdateHashtag!D167)</f>
        <v>SF,PF</v>
      </c>
      <c r="S129" s="124">
        <f t="shared" si="1"/>
        <v>-1.955862802</v>
      </c>
      <c r="T129" s="124">
        <f>SUM(AE129:AM129)-IFERROR(IFS(Projections!$I$17,AN129,Projections!$J$17,AO129),"")</f>
        <v>-1.993856671</v>
      </c>
      <c r="U129" s="124">
        <f t="shared" si="2"/>
        <v>-0.037993869</v>
      </c>
      <c r="V129" s="124">
        <f t="array" ref="V129">INDIRECT("Update"&amp;Projections!$AG$17&amp;"!M"&amp;ROW(B110))</f>
        <v>13.83649351</v>
      </c>
      <c r="W129" s="124">
        <f t="array" ref="W129">INDIRECT("Update"&amp;Projections!$AG$17&amp;"!L"&amp;ROW(B110))</f>
        <v>2.004155844</v>
      </c>
      <c r="X129" s="124">
        <f t="array" ref="X129">INDIRECT("Update"&amp;Projections!$AG$17&amp;"!N"&amp;ROW(B110))</f>
        <v>5.888181818</v>
      </c>
      <c r="Y129" s="124">
        <f t="array" ref="Y129">INDIRECT("Update"&amp;Projections!$AG$17&amp;"!O"&amp;ROW(B110))</f>
        <v>1.682857143</v>
      </c>
      <c r="Z129" s="124">
        <f t="array" ref="Z129">INDIRECT("Update"&amp;Projections!$AG$17&amp;"!P"&amp;ROW(B110))</f>
        <v>0.9201298701</v>
      </c>
      <c r="AA129" s="124">
        <f t="array" ref="AA129">INDIRECT("Update"&amp;Projections!$AG$17&amp;"!Q"&amp;ROW(B110))</f>
        <v>1.195844156</v>
      </c>
      <c r="AB129" s="180">
        <f t="array" ref="AB129">INDIRECT("Update"&amp;Projections!$AG$17&amp;"!I"&amp;ROW(B110))</f>
        <v>0.4676141659</v>
      </c>
      <c r="AC129" s="180">
        <f t="array" ref="AC129">INDIRECT("Update"&amp;Projections!$AG$17&amp;"!K"&amp;ROW(B110))</f>
        <v>0.6939887208</v>
      </c>
      <c r="AD129" s="124">
        <f t="array" ref="AD129">INDIRECT("Update"&amp;Projections!$AG$17&amp;"!R"&amp;ROW(B110))</f>
        <v>1.595454545</v>
      </c>
      <c r="AE129" s="124">
        <f t="shared" si="3"/>
        <v>-0.6583248052</v>
      </c>
      <c r="AF129" s="124">
        <f t="shared" si="4"/>
        <v>0.2534270064</v>
      </c>
      <c r="AG129" s="124">
        <f t="shared" si="5"/>
        <v>-0.0764812442</v>
      </c>
      <c r="AH129" s="124">
        <f t="shared" si="6"/>
        <v>-1.022027678</v>
      </c>
      <c r="AI129" s="124">
        <f t="shared" si="7"/>
        <v>-0.1848358983</v>
      </c>
      <c r="AJ129" s="124">
        <f t="shared" si="8"/>
        <v>0.7976071557</v>
      </c>
      <c r="AK129" s="124">
        <f t="shared" si="9"/>
        <v>-0.3842441922</v>
      </c>
      <c r="AL129" s="124">
        <f t="shared" si="10"/>
        <v>-0.7189770154</v>
      </c>
      <c r="AM129" s="124">
        <f t="shared" si="11"/>
        <v>0</v>
      </c>
      <c r="AN129" s="183">
        <f t="shared" si="12"/>
        <v>-1.022027678</v>
      </c>
      <c r="AO129" s="183">
        <f t="shared" si="13"/>
        <v>-1.741004693</v>
      </c>
      <c r="AP129" s="183">
        <f t="array" ref="AP129">INDIRECT("Update"&amp;Projections!$AG$17&amp;"!S"&amp;ROW(B110))</f>
        <v>11.14805195</v>
      </c>
      <c r="AQ129" s="183">
        <f t="array" ref="AQ129">INDIRECT("Update"&amp;Projections!$AG$17&amp;"!T"&amp;ROW(B110))</f>
        <v>2.026493506</v>
      </c>
    </row>
    <row r="130">
      <c r="A130" s="40" t="str">
        <f>IF(UpdateHashtag!C128="",ROW(UpdateHashtag!C128),UpdateHashtag!C128)</f>
        <v>Corey Kispert</v>
      </c>
      <c r="B130" s="41">
        <f>IF(TYPE($A130)=1,"",(UpdateHashtag!M128-B$1)/B$2)</f>
        <v>-0.4305706357</v>
      </c>
      <c r="C130" s="41">
        <f>IF(TYPE($A130)=1,"",(UpdateHashtag!L128-C$1)/C$2)</f>
        <v>0.9436546835</v>
      </c>
      <c r="D130" s="41">
        <f>IF(TYPE($A130)=1,"",(UpdateHashtag!N128-D$1)/D$2)</f>
        <v>-1.051617107</v>
      </c>
      <c r="E130" s="41">
        <f>IF(TYPE($A130)=1,"",(UpdateHashtag!O128-E$1)/E$2)</f>
        <v>-0.6963455612</v>
      </c>
      <c r="F130" s="41">
        <f>IF(TYPE($A130)=1,"",(UpdateHashtag!P128-F$1)/F$2)</f>
        <v>-0.9130944927</v>
      </c>
      <c r="G130" s="41">
        <f>IF(TYPE($A130)=1,"",(UpdateHashtag!Q128-G$1)/G$2)</f>
        <v>-0.978628106</v>
      </c>
      <c r="H130" s="41">
        <f>IF(TYPE($A130)=1,"",(UpdateHashtag!I128-H$1)/H$2*I130/$I$1)</f>
        <v>-0.1710289426</v>
      </c>
      <c r="I130" s="41">
        <f>UpdateHashtag!S128</f>
        <v>11.1</v>
      </c>
      <c r="J130" s="53">
        <f>IF(TYPE($A130)=1,"",(UpdateHashtag!K128-J$1)/J$2*K130/$K$1)</f>
        <v>0.1828197898</v>
      </c>
      <c r="K130" s="55">
        <f>UpdateHashtag!T128</f>
        <v>2</v>
      </c>
      <c r="L130" s="41">
        <f>IF(TYPE($A130)=1,"",-(UpdateHashtag!R128-L$1)/L$2)</f>
        <v>0.5442381251</v>
      </c>
      <c r="N130" s="5">
        <v>110.0</v>
      </c>
      <c r="O130" s="170">
        <f t="array" ref="O130">INDIRECT("Update"&amp;Projections!$AG$17&amp;"!B"&amp;ROW(B111))</f>
        <v>133.4</v>
      </c>
      <c r="P130" s="172" t="str">
        <f t="array" ref="P130">INDIRECT("Update"&amp;Projections!$AG$17&amp;"!C"&amp;ROW(B111))</f>
        <v>Alexandre Sarr</v>
      </c>
      <c r="Q130" s="170">
        <f>UpdateHashtag!F170</f>
        <v>72</v>
      </c>
      <c r="R130" s="177" t="str">
        <f>IF(UpdateHashtag!D170="",ROW(UpdateHashtag!D170),UpdateHashtag!D170)</f>
        <v>SG,SF</v>
      </c>
      <c r="S130" s="124">
        <f t="shared" si="1"/>
        <v>-2.063417142</v>
      </c>
      <c r="T130" s="124">
        <f>SUM(AE130:AM130)-IFERROR(IFS(Projections!$I$17,AN130,Projections!$J$17,AO130),"")</f>
        <v>-1.997388219</v>
      </c>
      <c r="U130" s="124">
        <f t="shared" si="2"/>
        <v>0.06602892352</v>
      </c>
      <c r="V130" s="124">
        <f t="array" ref="V130">INDIRECT("Update"&amp;Projections!$AG$17&amp;"!M"&amp;ROW(B111))</f>
        <v>11.58890411</v>
      </c>
      <c r="W130" s="124">
        <f t="array" ref="W130">INDIRECT("Update"&amp;Projections!$AG$17&amp;"!L"&amp;ROW(B111))</f>
        <v>1.09</v>
      </c>
      <c r="X130" s="124">
        <f t="array" ref="X130">INDIRECT("Update"&amp;Projections!$AG$17&amp;"!N"&amp;ROW(B111))</f>
        <v>6.716712329</v>
      </c>
      <c r="Y130" s="124">
        <f t="array" ref="Y130">INDIRECT("Update"&amp;Projections!$AG$17&amp;"!O"&amp;ROW(B111))</f>
        <v>2.350821918</v>
      </c>
      <c r="Z130" s="124">
        <f t="array" ref="Z130">INDIRECT("Update"&amp;Projections!$AG$17&amp;"!P"&amp;ROW(B111))</f>
        <v>0.7387671233</v>
      </c>
      <c r="AA130" s="124">
        <f t="array" ref="AA130">INDIRECT("Update"&amp;Projections!$AG$17&amp;"!Q"&amp;ROW(B111))</f>
        <v>2.014931507</v>
      </c>
      <c r="AB130" s="180">
        <f t="array" ref="AB130">INDIRECT("Update"&amp;Projections!$AG$17&amp;"!I"&amp;ROW(B111))</f>
        <v>0.4337825279</v>
      </c>
      <c r="AC130" s="180">
        <f t="array" ref="AC130">INDIRECT("Update"&amp;Projections!$AG$17&amp;"!K"&amp;ROW(B111))</f>
        <v>0.7160212604</v>
      </c>
      <c r="AD130" s="124">
        <f t="array" ref="AD130">INDIRECT("Update"&amp;Projections!$AG$17&amp;"!R"&amp;ROW(B111))</f>
        <v>2.014931507</v>
      </c>
      <c r="AE130" s="124">
        <f t="shared" si="3"/>
        <v>-1.063465468</v>
      </c>
      <c r="AF130" s="124">
        <f t="shared" si="4"/>
        <v>-0.6533502644</v>
      </c>
      <c r="AG130" s="124">
        <f t="shared" si="5"/>
        <v>0.2482256597</v>
      </c>
      <c r="AH130" s="124">
        <f t="shared" si="6"/>
        <v>-0.7186792171</v>
      </c>
      <c r="AI130" s="124">
        <f t="shared" si="7"/>
        <v>-0.7848407</v>
      </c>
      <c r="AJ130" s="124">
        <f t="shared" si="8"/>
        <v>2.258570527</v>
      </c>
      <c r="AK130" s="124">
        <f t="shared" si="9"/>
        <v>-0.7834121853</v>
      </c>
      <c r="AL130" s="124">
        <f t="shared" si="10"/>
        <v>-0.5004365706</v>
      </c>
      <c r="AM130" s="124">
        <f t="shared" si="11"/>
        <v>0</v>
      </c>
      <c r="AN130" s="183">
        <f t="shared" si="12"/>
        <v>-1.063465468</v>
      </c>
      <c r="AO130" s="183">
        <f t="shared" si="13"/>
        <v>-1.848306168</v>
      </c>
      <c r="AP130" s="183">
        <f t="array" ref="AP130">INDIRECT("Update"&amp;Projections!$AG$17&amp;"!S"&amp;ROW(B111))</f>
        <v>10.61260274</v>
      </c>
      <c r="AQ130" s="183">
        <f t="array" ref="AQ130">INDIRECT("Update"&amp;Projections!$AG$17&amp;"!T"&amp;ROW(B111))</f>
        <v>1.804109589</v>
      </c>
    </row>
    <row r="131">
      <c r="A131" s="40" t="str">
        <f>IF(UpdateHashtag!C129="",ROW(UpdateHashtag!C129),UpdateHashtag!C129)</f>
        <v>Buddy Hield</v>
      </c>
      <c r="B131" s="41">
        <f>IF(TYPE($A131)=1,"",(UpdateHashtag!M129-B$1)/B$2)</f>
        <v>-0.7730563494</v>
      </c>
      <c r="C131" s="41">
        <f>IF(TYPE($A131)=1,"",(UpdateHashtag!L129-C$1)/C$2)</f>
        <v>0.9436546835</v>
      </c>
      <c r="D131" s="41">
        <f>IF(TYPE($A131)=1,"",(UpdateHashtag!N129-D$1)/D$2)</f>
        <v>-0.8948543083</v>
      </c>
      <c r="E131" s="41">
        <f>IF(TYPE($A131)=1,"",(UpdateHashtag!O129-E$1)/E$2)</f>
        <v>-0.5601040384</v>
      </c>
      <c r="F131" s="41">
        <f>IF(TYPE($A131)=1,"",(UpdateHashtag!P129-F$1)/F$2)</f>
        <v>-0.2514318168</v>
      </c>
      <c r="G131" s="41">
        <f>IF(TYPE($A131)=1,"",(UpdateHashtag!Q129-G$1)/G$2)</f>
        <v>-0.6218985413</v>
      </c>
      <c r="H131" s="41">
        <f>IF(TYPE($A131)=1,"",(UpdateHashtag!I129-H$1)/H$2*I131/$I$1)</f>
        <v>-0.6502530369</v>
      </c>
      <c r="I131" s="41">
        <f>UpdateHashtag!S129</f>
        <v>10.7</v>
      </c>
      <c r="J131" s="53">
        <f>IF(TYPE($A131)=1,"",(UpdateHashtag!K129-J$1)/J$2*K131/$K$1)</f>
        <v>0.154652052</v>
      </c>
      <c r="K131" s="55">
        <f>UpdateHashtag!T129</f>
        <v>1.1</v>
      </c>
      <c r="L131" s="41">
        <f>IF(TYPE($A131)=1,"",-(UpdateHashtag!R129-L$1)/L$2)</f>
        <v>0.3458524173</v>
      </c>
      <c r="N131" s="112">
        <v>111.0</v>
      </c>
      <c r="O131" s="170">
        <f t="array" ref="O131">INDIRECT("Update"&amp;Projections!$AG$17&amp;"!B"&amp;ROW(B112))</f>
        <v>92.2</v>
      </c>
      <c r="P131" s="172" t="str">
        <f t="array" ref="P131">INDIRECT("Update"&amp;Projections!$AG$17&amp;"!C"&amp;ROW(B112))</f>
        <v>Jalen Green</v>
      </c>
      <c r="Q131" s="170">
        <f>UpdateHashtag!F178</f>
        <v>68</v>
      </c>
      <c r="R131" s="177" t="str">
        <f>IF(UpdateHashtag!D178="",ROW(UpdateHashtag!D178),UpdateHashtag!D178)</f>
        <v>SG,SF</v>
      </c>
      <c r="S131" s="124">
        <f t="shared" si="1"/>
        <v>-1.886118424</v>
      </c>
      <c r="T131" s="124">
        <f>SUM(AE131:AM131)-IFERROR(IFS(Projections!$I$17,AN131,Projections!$J$17,AO131),"")</f>
        <v>-1.75204728</v>
      </c>
      <c r="U131" s="124">
        <f t="shared" si="2"/>
        <v>0.1340711447</v>
      </c>
      <c r="V131" s="124">
        <f t="array" ref="V131">INDIRECT("Update"&amp;Projections!$AG$17&amp;"!M"&amp;ROW(B112))</f>
        <v>19.86671233</v>
      </c>
      <c r="W131" s="124">
        <f t="array" ref="W131">INDIRECT("Update"&amp;Projections!$AG$17&amp;"!L"&amp;ROW(B112))</f>
        <v>2.66109589</v>
      </c>
      <c r="X131" s="124">
        <f t="array" ref="X131">INDIRECT("Update"&amp;Projections!$AG$17&amp;"!N"&amp;ROW(B112))</f>
        <v>4.443972603</v>
      </c>
      <c r="Y131" s="124">
        <f t="array" ref="Y131">INDIRECT("Update"&amp;Projections!$AG$17&amp;"!O"&amp;ROW(B112))</f>
        <v>3.644246575</v>
      </c>
      <c r="Z131" s="124">
        <f t="array" ref="Z131">INDIRECT("Update"&amp;Projections!$AG$17&amp;"!P"&amp;ROW(B112))</f>
        <v>0.8628767123</v>
      </c>
      <c r="AA131" s="124">
        <f t="array" ref="AA131">INDIRECT("Update"&amp;Projections!$AG$17&amp;"!Q"&amp;ROW(B112))</f>
        <v>0.34</v>
      </c>
      <c r="AB131" s="180">
        <f t="array" ref="AB131">INDIRECT("Update"&amp;Projections!$AG$17&amp;"!I"&amp;ROW(B112))</f>
        <v>0.4297209182</v>
      </c>
      <c r="AC131" s="180">
        <f t="array" ref="AC131">INDIRECT("Update"&amp;Projections!$AG$17&amp;"!K"&amp;ROW(B112))</f>
        <v>0.801002631</v>
      </c>
      <c r="AD131" s="124">
        <f t="array" ref="AD131">INDIRECT("Update"&amp;Projections!$AG$17&amp;"!R"&amp;ROW(B112))</f>
        <v>2.289315068</v>
      </c>
      <c r="AE131" s="124">
        <f t="shared" si="3"/>
        <v>0.42865614</v>
      </c>
      <c r="AF131" s="124">
        <f t="shared" si="4"/>
        <v>0.9050645865</v>
      </c>
      <c r="AG131" s="124">
        <f t="shared" si="5"/>
        <v>-0.6424769397</v>
      </c>
      <c r="AH131" s="124">
        <f t="shared" si="6"/>
        <v>-0.1312854006</v>
      </c>
      <c r="AI131" s="124">
        <f t="shared" si="7"/>
        <v>-0.3742472862</v>
      </c>
      <c r="AJ131" s="124">
        <f t="shared" si="8"/>
        <v>-0.7289174107</v>
      </c>
      <c r="AK131" s="124">
        <f t="shared" si="9"/>
        <v>-1.290359676</v>
      </c>
      <c r="AL131" s="124">
        <f t="shared" si="10"/>
        <v>0.08151870743</v>
      </c>
      <c r="AM131" s="124">
        <f t="shared" si="11"/>
        <v>0</v>
      </c>
      <c r="AN131" s="183">
        <f t="shared" si="12"/>
        <v>-1.290359676</v>
      </c>
      <c r="AO131" s="183">
        <f t="shared" si="13"/>
        <v>-2.019277087</v>
      </c>
      <c r="AP131" s="183">
        <f t="array" ref="AP131">INDIRECT("Update"&amp;Projections!$AG$17&amp;"!S"&amp;ROW(B112))</f>
        <v>16.42863014</v>
      </c>
      <c r="AQ131" s="183">
        <f t="array" ref="AQ131">INDIRECT("Update"&amp;Projections!$AG$17&amp;"!T"&amp;ROW(B112))</f>
        <v>3.852876712</v>
      </c>
    </row>
    <row r="132">
      <c r="A132" s="40" t="str">
        <f>IF(UpdateHashtag!C130="",ROW(UpdateHashtag!C130),UpdateHashtag!C130)</f>
        <v>Klay Thompson</v>
      </c>
      <c r="B132" s="41">
        <f>IF(TYPE($A132)=1,"",(UpdateHashtag!M130-B$1)/B$2)</f>
        <v>-0.05203379438</v>
      </c>
      <c r="C132" s="41">
        <f>IF(TYPE($A132)=1,"",(UpdateHashtag!L130-C$1)/C$2)</f>
        <v>1.638004661</v>
      </c>
      <c r="D132" s="41">
        <f>IF(TYPE($A132)=1,"",(UpdateHashtag!N130-D$1)/D$2)</f>
        <v>-1.129998506</v>
      </c>
      <c r="E132" s="41">
        <f>IF(TYPE($A132)=1,"",(UpdateHashtag!O130-E$1)/E$2)</f>
        <v>-0.878000925</v>
      </c>
      <c r="F132" s="41">
        <f>IF(TYPE($A132)=1,"",(UpdateHashtag!P130-F$1)/F$2)</f>
        <v>-1.243925831</v>
      </c>
      <c r="G132" s="41">
        <f>IF(TYPE($A132)=1,"",(UpdateHashtag!Q130-G$1)/G$2)</f>
        <v>-0.6218985413</v>
      </c>
      <c r="H132" s="41">
        <f>IF(TYPE($A132)=1,"",(UpdateHashtag!I130-H$1)/H$2*I132/$I$1)</f>
        <v>-1.051995066</v>
      </c>
      <c r="I132" s="41">
        <f>UpdateHashtag!S130</f>
        <v>14.3</v>
      </c>
      <c r="J132" s="53">
        <f>IF(TYPE($A132)=1,"",(UpdateHashtag!K130-J$1)/J$2*K132/$K$1)</f>
        <v>0.5959278743</v>
      </c>
      <c r="K132" s="55">
        <f>UpdateHashtag!T130</f>
        <v>1.6</v>
      </c>
      <c r="L132" s="41">
        <f>IF(TYPE($A132)=1,"",-(UpdateHashtag!R130-L$1)/L$2)</f>
        <v>0.3458524173</v>
      </c>
      <c r="N132" s="112">
        <v>112.0</v>
      </c>
      <c r="O132" s="170">
        <f t="array" ref="O132">INDIRECT("Update"&amp;Projections!$AG$17&amp;"!B"&amp;ROW(B113))</f>
        <v>106.5</v>
      </c>
      <c r="P132" s="172" t="str">
        <f t="array" ref="P132">INDIRECT("Update"&amp;Projections!$AG$17&amp;"!C"&amp;ROW(B113))</f>
        <v>Klay Thompson</v>
      </c>
      <c r="Q132" s="170">
        <f>UpdateHashtag!F171</f>
        <v>70</v>
      </c>
      <c r="R132" s="177" t="str">
        <f>IF(UpdateHashtag!D171="",ROW(UpdateHashtag!D171),UpdateHashtag!D171)</f>
        <v>PG</v>
      </c>
      <c r="S132" s="124">
        <f t="shared" si="1"/>
        <v>-1.842900355</v>
      </c>
      <c r="T132" s="124">
        <f>SUM(AE132:AM132)-IFERROR(IFS(Projections!$I$17,AN132,Projections!$J$17,AO132),"")</f>
        <v>-1.947809254</v>
      </c>
      <c r="U132" s="124">
        <f t="shared" si="2"/>
        <v>-0.1049088988</v>
      </c>
      <c r="V132" s="124">
        <f t="array" ref="V132">INDIRECT("Update"&amp;Projections!$AG$17&amp;"!M"&amp;ROW(B113))</f>
        <v>17.09369863</v>
      </c>
      <c r="W132" s="124">
        <f t="array" ref="W132">INDIRECT("Update"&amp;Projections!$AG$17&amp;"!L"&amp;ROW(B113))</f>
        <v>3.497945205</v>
      </c>
      <c r="X132" s="124">
        <f t="array" ref="X132">INDIRECT("Update"&amp;Projections!$AG$17&amp;"!N"&amp;ROW(B113))</f>
        <v>2.90369863</v>
      </c>
      <c r="Y132" s="124">
        <f t="array" ref="Y132">INDIRECT("Update"&amp;Projections!$AG$17&amp;"!O"&amp;ROW(B113))</f>
        <v>2.02</v>
      </c>
      <c r="Z132" s="124">
        <f t="array" ref="Z132">INDIRECT("Update"&amp;Projections!$AG$17&amp;"!P"&amp;ROW(B113))</f>
        <v>0.7615068493</v>
      </c>
      <c r="AA132" s="124">
        <f t="array" ref="AA132">INDIRECT("Update"&amp;Projections!$AG$17&amp;"!Q"&amp;ROW(B113))</f>
        <v>0.4402739726</v>
      </c>
      <c r="AB132" s="180">
        <f t="array" ref="AB132">INDIRECT("Update"&amp;Projections!$AG$17&amp;"!I"&amp;ROW(B113))</f>
        <v>0.4461633849</v>
      </c>
      <c r="AC132" s="180">
        <f t="array" ref="AC132">INDIRECT("Update"&amp;Projections!$AG$17&amp;"!K"&amp;ROW(B113))</f>
        <v>0.9030193781</v>
      </c>
      <c r="AD132" s="124">
        <f t="array" ref="AD132">INDIRECT("Update"&amp;Projections!$AG$17&amp;"!R"&amp;ROW(B113))</f>
        <v>1.325616438</v>
      </c>
      <c r="AE132" s="124">
        <f t="shared" si="3"/>
        <v>-0.07119521573</v>
      </c>
      <c r="AF132" s="124">
        <f t="shared" si="4"/>
        <v>1.735159305</v>
      </c>
      <c r="AG132" s="124">
        <f t="shared" si="5"/>
        <v>-1.246121086</v>
      </c>
      <c r="AH132" s="124">
        <f t="shared" si="6"/>
        <v>-0.8689181568</v>
      </c>
      <c r="AI132" s="124">
        <f t="shared" si="7"/>
        <v>-0.7096105602</v>
      </c>
      <c r="AJ132" s="124">
        <f t="shared" si="8"/>
        <v>-0.5500639577</v>
      </c>
      <c r="AK132" s="124">
        <f t="shared" si="9"/>
        <v>-0.8139222574</v>
      </c>
      <c r="AL132" s="124">
        <f t="shared" si="10"/>
        <v>0.5768626749</v>
      </c>
      <c r="AM132" s="124">
        <f t="shared" si="11"/>
        <v>0</v>
      </c>
      <c r="AN132" s="183">
        <f t="shared" si="12"/>
        <v>-1.246121086</v>
      </c>
      <c r="AO132" s="183">
        <f t="shared" si="13"/>
        <v>-2.115039243</v>
      </c>
      <c r="AP132" s="183">
        <f t="array" ref="AP132">INDIRECT("Update"&amp;Projections!$AG$17&amp;"!S"&amp;ROW(B113))</f>
        <v>13.69821918</v>
      </c>
      <c r="AQ132" s="183">
        <f t="array" ref="AQ132">INDIRECT("Update"&amp;Projections!$AG$17&amp;"!T"&amp;ROW(B113))</f>
        <v>1.519863014</v>
      </c>
    </row>
    <row r="133">
      <c r="A133" s="40" t="str">
        <f>IF(UpdateHashtag!C131="",ROW(UpdateHashtag!C131),UpdateHashtag!C131)</f>
        <v>Grayson Allen</v>
      </c>
      <c r="B133" s="41">
        <f>IF(TYPE($A133)=1,"",(UpdateHashtag!M131-B$1)/B$2)</f>
        <v>-1.097516499</v>
      </c>
      <c r="C133" s="41">
        <f>IF(TYPE($A133)=1,"",(UpdateHashtag!L131-C$1)/C$2)</f>
        <v>0.447690414</v>
      </c>
      <c r="D133" s="41">
        <f>IF(TYPE($A133)=1,"",(UpdateHashtag!N131-D$1)/D$2)</f>
        <v>-1.090807806</v>
      </c>
      <c r="E133" s="41">
        <f>IF(TYPE($A133)=1,"",(UpdateHashtag!O131-E$1)/E$2)</f>
        <v>-0.6963455612</v>
      </c>
      <c r="F133" s="41">
        <f>IF(TYPE($A133)=1,"",(UpdateHashtag!P131-F$1)/F$2)</f>
        <v>-0.5822631548</v>
      </c>
      <c r="G133" s="41">
        <f>IF(TYPE($A133)=1,"",(UpdateHashtag!Q131-G$1)/G$2)</f>
        <v>-0.6218985413</v>
      </c>
      <c r="H133" s="41">
        <f>IF(TYPE($A133)=1,"",(UpdateHashtag!I131-H$1)/H$2*I133/$I$1)</f>
        <v>-0.1139588107</v>
      </c>
      <c r="I133" s="41">
        <f>UpdateHashtag!S131</f>
        <v>8</v>
      </c>
      <c r="J133" s="53">
        <f>IF(TYPE($A133)=1,"",(UpdateHashtag!K131-J$1)/J$2*K133/$K$1)</f>
        <v>0.5853957119</v>
      </c>
      <c r="K133" s="55">
        <f>UpdateHashtag!T131</f>
        <v>1.7</v>
      </c>
      <c r="L133" s="41">
        <f>IF(TYPE($A133)=1,"",-(UpdateHashtag!R131-L$1)/L$2)</f>
        <v>0.7426238329</v>
      </c>
      <c r="N133" s="5">
        <v>113.0</v>
      </c>
      <c r="O133" s="170">
        <f t="array" ref="O133">INDIRECT("Update"&amp;Projections!$AG$17&amp;"!B"&amp;ROW(B114))</f>
        <v>124</v>
      </c>
      <c r="P133" s="172" t="str">
        <f t="array" ref="P133">INDIRECT("Update"&amp;Projections!$AG$17&amp;"!C"&amp;ROW(B114))</f>
        <v>Cameron Johnson</v>
      </c>
      <c r="Q133" s="170">
        <f>UpdateHashtag!F173</f>
        <v>73</v>
      </c>
      <c r="R133" s="177" t="str">
        <f>IF(UpdateHashtag!D173="",ROW(UpdateHashtag!D173),UpdateHashtag!D173)</f>
        <v>SF,PF</v>
      </c>
      <c r="S133" s="124">
        <f t="shared" si="1"/>
        <v>-1.830750233</v>
      </c>
      <c r="T133" s="124">
        <f>SUM(AE133:AM133)-IFERROR(IFS(Projections!$I$17,AN133,Projections!$J$17,AO133),"")</f>
        <v>-1.986810946</v>
      </c>
      <c r="U133" s="124">
        <f t="shared" si="2"/>
        <v>-0.1560607134</v>
      </c>
      <c r="V133" s="124">
        <f t="array" ref="V133">INDIRECT("Update"&amp;Projections!$AG$17&amp;"!M"&amp;ROW(B114))</f>
        <v>14.85704918</v>
      </c>
      <c r="W133" s="124">
        <f t="array" ref="W133">INDIRECT("Update"&amp;Projections!$AG$17&amp;"!L"&amp;ROW(B114))</f>
        <v>2.645081967</v>
      </c>
      <c r="X133" s="124">
        <f t="array" ref="X133">INDIRECT("Update"&amp;Projections!$AG$17&amp;"!N"&amp;ROW(B114))</f>
        <v>4.300983607</v>
      </c>
      <c r="Y133" s="124">
        <f t="array" ref="Y133">INDIRECT("Update"&amp;Projections!$AG$17&amp;"!O"&amp;ROW(B114))</f>
        <v>2.425901639</v>
      </c>
      <c r="Z133" s="124">
        <f t="array" ref="Z133">INDIRECT("Update"&amp;Projections!$AG$17&amp;"!P"&amp;ROW(B114))</f>
        <v>1.013442623</v>
      </c>
      <c r="AA133" s="124">
        <f t="array" ref="AA133">INDIRECT("Update"&amp;Projections!$AG$17&amp;"!Q"&amp;ROW(B114))</f>
        <v>0.292295082</v>
      </c>
      <c r="AB133" s="180">
        <f t="array" ref="AB133">INDIRECT("Update"&amp;Projections!$AG$17&amp;"!I"&amp;ROW(B114))</f>
        <v>0.4483718099</v>
      </c>
      <c r="AC133" s="180">
        <f t="array" ref="AC133">INDIRECT("Update"&amp;Projections!$AG$17&amp;"!K"&amp;ROW(B114))</f>
        <v>0.8309729267</v>
      </c>
      <c r="AD133" s="124">
        <f t="array" ref="AD133">INDIRECT("Update"&amp;Projections!$AG$17&amp;"!R"&amp;ROW(B114))</f>
        <v>1.119344262</v>
      </c>
      <c r="AE133" s="124">
        <f t="shared" si="3"/>
        <v>-0.474363891</v>
      </c>
      <c r="AF133" s="124">
        <f t="shared" si="4"/>
        <v>0.8891799192</v>
      </c>
      <c r="AG133" s="124">
        <f t="shared" si="5"/>
        <v>-0.6985153277</v>
      </c>
      <c r="AH133" s="124">
        <f t="shared" si="6"/>
        <v>-0.6845826321</v>
      </c>
      <c r="AI133" s="124">
        <f t="shared" si="7"/>
        <v>0.1238719306</v>
      </c>
      <c r="AJ133" s="124">
        <f t="shared" si="8"/>
        <v>-0.8140061839</v>
      </c>
      <c r="AK133" s="124">
        <f t="shared" si="9"/>
        <v>-0.6430780098</v>
      </c>
      <c r="AL133" s="124">
        <f t="shared" si="10"/>
        <v>0.3146832484</v>
      </c>
      <c r="AM133" s="124">
        <f t="shared" si="11"/>
        <v>0</v>
      </c>
      <c r="AN133" s="183">
        <f t="shared" si="12"/>
        <v>-0.8140061839</v>
      </c>
      <c r="AO133" s="183">
        <f t="shared" si="13"/>
        <v>-1.512521512</v>
      </c>
      <c r="AP133" s="183">
        <f t="array" ref="AP133">INDIRECT("Update"&amp;Projections!$AG$17&amp;"!S"&amp;ROW(B114))</f>
        <v>11.31196721</v>
      </c>
      <c r="AQ133" s="183">
        <f t="array" ref="AQ133">INDIRECT("Update"&amp;Projections!$AG$17&amp;"!T"&amp;ROW(B114))</f>
        <v>2.488688525</v>
      </c>
    </row>
    <row r="134">
      <c r="A134" s="40" t="str">
        <f>IF(UpdateHashtag!C132="",ROW(UpdateHashtag!C132),UpdateHashtag!C132)</f>
        <v>Terance Mann</v>
      </c>
      <c r="B134" s="41">
        <f>IF(TYPE($A134)=1,"",(UpdateHashtag!M132-B$1)/B$2)</f>
        <v>-0.827133041</v>
      </c>
      <c r="C134" s="41">
        <f>IF(TYPE($A134)=1,"",(UpdateHashtag!L132-C$1)/C$2)</f>
        <v>-0.4450452712</v>
      </c>
      <c r="D134" s="41">
        <f>IF(TYPE($A134)=1,"",(UpdateHashtag!N132-D$1)/D$2)</f>
        <v>-0.502947312</v>
      </c>
      <c r="E134" s="41">
        <f>IF(TYPE($A134)=1,"",(UpdateHashtag!O132-E$1)/E$2)</f>
        <v>-0.5601040384</v>
      </c>
      <c r="F134" s="41">
        <f>IF(TYPE($A134)=1,"",(UpdateHashtag!P132-F$1)/F$2)</f>
        <v>-0.5822631548</v>
      </c>
      <c r="G134" s="41">
        <f>IF(TYPE($A134)=1,"",(UpdateHashtag!Q132-G$1)/G$2)</f>
        <v>-0.6218985413</v>
      </c>
      <c r="H134" s="41">
        <f>IF(TYPE($A134)=1,"",(UpdateHashtag!I132-H$1)/H$2*I134/$I$1)</f>
        <v>0.1795719762</v>
      </c>
      <c r="I134" s="41">
        <f>UpdateHashtag!S132</f>
        <v>9.8</v>
      </c>
      <c r="J134" s="53">
        <f>IF(TYPE($A134)=1,"",(UpdateHashtag!K132-J$1)/J$2*K134/$K$1)</f>
        <v>0.07355650957</v>
      </c>
      <c r="K134" s="55">
        <f>UpdateHashtag!T132</f>
        <v>1.9</v>
      </c>
      <c r="L134" s="41">
        <f>IF(TYPE($A134)=1,"",-(UpdateHashtag!R132-L$1)/L$2)</f>
        <v>0.643430979</v>
      </c>
      <c r="N134" s="112">
        <v>114.0</v>
      </c>
      <c r="O134" s="170">
        <f t="array" ref="O134">INDIRECT("Update"&amp;Projections!$AG$17&amp;"!B"&amp;ROW(B115))</f>
        <v>108.3</v>
      </c>
      <c r="P134" s="172" t="str">
        <f t="array" ref="P134">INDIRECT("Update"&amp;Projections!$AG$17&amp;"!C"&amp;ROW(B115))</f>
        <v>Dereck Lively II</v>
      </c>
      <c r="Q134" s="170">
        <f>UpdateHashtag!F179</f>
        <v>44</v>
      </c>
      <c r="R134" s="177" t="str">
        <f>IF(UpdateHashtag!D179="",ROW(UpdateHashtag!D179),UpdateHashtag!D179)</f>
        <v>PG</v>
      </c>
      <c r="S134" s="124">
        <f t="shared" si="1"/>
        <v>-2.64849097</v>
      </c>
      <c r="T134" s="124">
        <f>SUM(AE134:AM134)-IFERROR(IFS(Projections!$I$17,AN134,Projections!$J$17,AO134),"")</f>
        <v>-2.886441984</v>
      </c>
      <c r="U134" s="124">
        <f t="shared" si="2"/>
        <v>-0.2379510143</v>
      </c>
      <c r="V134" s="124">
        <f t="array" ref="V134">INDIRECT("Update"&amp;Projections!$AG$17&amp;"!M"&amp;ROW(B115))</f>
        <v>10.26867647</v>
      </c>
      <c r="W134" s="124">
        <f t="array" ref="W134">INDIRECT("Update"&amp;Projections!$AG$17&amp;"!L"&amp;ROW(B115))</f>
        <v>0.01264705882</v>
      </c>
      <c r="X134" s="124">
        <f t="array" ref="X134">INDIRECT("Update"&amp;Projections!$AG$17&amp;"!N"&amp;ROW(B115))</f>
        <v>7.259411765</v>
      </c>
      <c r="Y134" s="124">
        <f t="array" ref="Y134">INDIRECT("Update"&amp;Projections!$AG$17&amp;"!O"&amp;ROW(B115))</f>
        <v>1.215</v>
      </c>
      <c r="Z134" s="124">
        <f t="array" ref="Z134">INDIRECT("Update"&amp;Projections!$AG$17&amp;"!P"&amp;ROW(B115))</f>
        <v>0.6970588235</v>
      </c>
      <c r="AA134" s="124">
        <f t="array" ref="AA134">INDIRECT("Update"&amp;Projections!$AG$17&amp;"!Q"&amp;ROW(B115))</f>
        <v>1.507205882</v>
      </c>
      <c r="AB134" s="180">
        <f t="array" ref="AB134">INDIRECT("Update"&amp;Projections!$AG$17&amp;"!I"&amp;ROW(B115))</f>
        <v>0.7474900417</v>
      </c>
      <c r="AC134" s="180">
        <f t="array" ref="AC134">INDIRECT("Update"&amp;Projections!$AG$17&amp;"!K"&amp;ROW(B115))</f>
        <v>0.5399922345</v>
      </c>
      <c r="AD134" s="124">
        <f t="array" ref="AD134">INDIRECT("Update"&amp;Projections!$AG$17&amp;"!R"&amp;ROW(B115))</f>
        <v>0.7891176471</v>
      </c>
      <c r="AE134" s="124">
        <f t="shared" si="3"/>
        <v>-1.301443945</v>
      </c>
      <c r="AF134" s="124">
        <f t="shared" si="4"/>
        <v>-1.722007393</v>
      </c>
      <c r="AG134" s="124">
        <f t="shared" si="5"/>
        <v>0.4609133656</v>
      </c>
      <c r="AH134" s="124">
        <f t="shared" si="6"/>
        <v>-1.234499576</v>
      </c>
      <c r="AI134" s="124">
        <f t="shared" si="7"/>
        <v>-0.9228248262</v>
      </c>
      <c r="AJ134" s="124">
        <f t="shared" si="8"/>
        <v>1.352966821</v>
      </c>
      <c r="AK134" s="124">
        <f t="shared" si="9"/>
        <v>1.837572453</v>
      </c>
      <c r="AL134" s="124">
        <f t="shared" si="10"/>
        <v>-1.357118883</v>
      </c>
      <c r="AM134" s="124">
        <f t="shared" si="11"/>
        <v>0</v>
      </c>
      <c r="AN134" s="183">
        <f t="shared" si="12"/>
        <v>-1.722007393</v>
      </c>
      <c r="AO134" s="183">
        <f t="shared" si="13"/>
        <v>-3.079126276</v>
      </c>
      <c r="AP134" s="183">
        <f t="array" ref="AP134">INDIRECT("Update"&amp;Projections!$AG$17&amp;"!S"&amp;ROW(B115))</f>
        <v>6.313088235</v>
      </c>
      <c r="AQ134" s="183">
        <f t="array" ref="AQ134">INDIRECT("Update"&amp;Projections!$AG$17&amp;"!T"&amp;ROW(B115))</f>
        <v>1.515</v>
      </c>
    </row>
    <row r="135">
      <c r="A135" s="40" t="str">
        <f>IF(UpdateHashtag!C133="",ROW(UpdateHashtag!C133),UpdateHashtag!C133)</f>
        <v>Bobby Portis</v>
      </c>
      <c r="B135" s="41">
        <f>IF(TYPE($A135)=1,"",(UpdateHashtag!M133-B$1)/B$2)</f>
        <v>-0.6108262745</v>
      </c>
      <c r="C135" s="41">
        <f>IF(TYPE($A135)=1,"",(UpdateHashtag!L133-C$1)/C$2)</f>
        <v>-0.4450452712</v>
      </c>
      <c r="D135" s="41">
        <f>IF(TYPE($A135)=1,"",(UpdateHashtag!N133-D$1)/D$2)</f>
        <v>0.8687271752</v>
      </c>
      <c r="E135" s="41">
        <f>IF(TYPE($A135)=1,"",(UpdateHashtag!O133-E$1)/E$2)</f>
        <v>-1.150483971</v>
      </c>
      <c r="F135" s="41">
        <f>IF(TYPE($A135)=1,"",(UpdateHashtag!P133-F$1)/F$2)</f>
        <v>-0.9130944927</v>
      </c>
      <c r="G135" s="41">
        <f>IF(TYPE($A135)=1,"",(UpdateHashtag!Q133-G$1)/G$2)</f>
        <v>-0.8002633236</v>
      </c>
      <c r="H135" s="41">
        <f>IF(TYPE($A135)=1,"",(UpdateHashtag!I133-H$1)/H$2*I135/$I$1)</f>
        <v>0.06358228552</v>
      </c>
      <c r="I135" s="41">
        <f>UpdateHashtag!S133</f>
        <v>11.5</v>
      </c>
      <c r="J135" s="53">
        <f>IF(TYPE($A135)=1,"",(UpdateHashtag!K133-J$1)/J$2*K135/$K$1)</f>
        <v>-0.1073802785</v>
      </c>
      <c r="K135" s="55">
        <f>UpdateHashtag!T133</f>
        <v>1.7</v>
      </c>
      <c r="L135" s="41">
        <f>IF(TYPE($A135)=1,"",-(UpdateHashtag!R133-L$1)/L$2)</f>
        <v>0.643430979</v>
      </c>
      <c r="N135" s="112">
        <v>115.0</v>
      </c>
      <c r="O135" s="170">
        <f t="array" ref="O135">INDIRECT("Update"&amp;Projections!$AG$17&amp;"!B"&amp;ROW(B116))</f>
        <v>132.8</v>
      </c>
      <c r="P135" s="172" t="str">
        <f t="array" ref="P135">INDIRECT("Update"&amp;Projections!$AG$17&amp;"!C"&amp;ROW(B116))</f>
        <v>Mike Conley</v>
      </c>
      <c r="Q135" s="170">
        <f>UpdateHashtag!F185</f>
        <v>64</v>
      </c>
      <c r="R135" s="177" t="str">
        <f>IF(UpdateHashtag!D185="",ROW(UpdateHashtag!D185),UpdateHashtag!D185)</f>
        <v>SG,SF</v>
      </c>
      <c r="S135" s="124">
        <f t="shared" si="1"/>
        <v>-2.082997615</v>
      </c>
      <c r="T135" s="124">
        <f>SUM(AE135:AM135)-IFERROR(IFS(Projections!$I$17,AN135,Projections!$J$17,AO135),"")</f>
        <v>-2.133889512</v>
      </c>
      <c r="U135" s="124">
        <f t="shared" si="2"/>
        <v>-0.05089189645</v>
      </c>
      <c r="V135" s="124">
        <f t="array" ref="V135">INDIRECT("Update"&amp;Projections!$AG$17&amp;"!M"&amp;ROW(B116))</f>
        <v>9.918032787</v>
      </c>
      <c r="W135" s="124">
        <f t="array" ref="W135">INDIRECT("Update"&amp;Projections!$AG$17&amp;"!L"&amp;ROW(B116))</f>
        <v>1.947213115</v>
      </c>
      <c r="X135" s="124">
        <f t="array" ref="X135">INDIRECT("Update"&amp;Projections!$AG$17&amp;"!N"&amp;ROW(B116))</f>
        <v>2.686885246</v>
      </c>
      <c r="Y135" s="124">
        <f t="array" ref="Y135">INDIRECT("Update"&amp;Projections!$AG$17&amp;"!O"&amp;ROW(B116))</f>
        <v>5.259344262</v>
      </c>
      <c r="Z135" s="124">
        <f t="array" ref="Z135">INDIRECT("Update"&amp;Projections!$AG$17&amp;"!P"&amp;ROW(B116))</f>
        <v>1.194754098</v>
      </c>
      <c r="AA135" s="124">
        <f t="array" ref="AA135">INDIRECT("Update"&amp;Projections!$AG$17&amp;"!Q"&amp;ROW(B116))</f>
        <v>0.2293442623</v>
      </c>
      <c r="AB135" s="180">
        <f t="array" ref="AB135">INDIRECT("Update"&amp;Projections!$AG$17&amp;"!I"&amp;ROW(B116))</f>
        <v>0.4445775914</v>
      </c>
      <c r="AC135" s="180">
        <f t="array" ref="AC135">INDIRECT("Update"&amp;Projections!$AG$17&amp;"!K"&amp;ROW(B116))</f>
        <v>0.889979859</v>
      </c>
      <c r="AD135" s="124">
        <f t="array" ref="AD135">INDIRECT("Update"&amp;Projections!$AG$17&amp;"!R"&amp;ROW(B116))</f>
        <v>1.543442623</v>
      </c>
      <c r="AE135" s="124">
        <f t="shared" si="3"/>
        <v>-1.364649446</v>
      </c>
      <c r="AF135" s="124">
        <f t="shared" si="4"/>
        <v>0.1969438884</v>
      </c>
      <c r="AG135" s="124">
        <f t="shared" si="5"/>
        <v>-1.331091768</v>
      </c>
      <c r="AH135" s="124">
        <f t="shared" si="6"/>
        <v>0.6021924941</v>
      </c>
      <c r="AI135" s="124">
        <f t="shared" si="7"/>
        <v>0.7237071092</v>
      </c>
      <c r="AJ135" s="124">
        <f t="shared" si="8"/>
        <v>-0.9262882764</v>
      </c>
      <c r="AK135" s="124">
        <f t="shared" si="9"/>
        <v>-0.4693320906</v>
      </c>
      <c r="AL135" s="124">
        <f t="shared" si="10"/>
        <v>0.4346285775</v>
      </c>
      <c r="AM135" s="124">
        <f t="shared" si="11"/>
        <v>0</v>
      </c>
      <c r="AN135" s="183">
        <f t="shared" si="12"/>
        <v>-1.364649446</v>
      </c>
      <c r="AO135" s="183">
        <f t="shared" si="13"/>
        <v>-2.695741214</v>
      </c>
      <c r="AP135" s="183">
        <f t="array" ref="AP135">INDIRECT("Update"&amp;Projections!$AG$17&amp;"!S"&amp;ROW(B116))</f>
        <v>7.660983607</v>
      </c>
      <c r="AQ135" s="183">
        <f t="array" ref="AQ135">INDIRECT("Update"&amp;Projections!$AG$17&amp;"!T"&amp;ROW(B116))</f>
        <v>1.302295082</v>
      </c>
    </row>
    <row r="136">
      <c r="A136" s="40" t="str">
        <f>IF(UpdateHashtag!C134="",ROW(UpdateHashtag!C134),UpdateHashtag!C134)</f>
        <v>Keyonte George</v>
      </c>
      <c r="B136" s="41">
        <f>IF(TYPE($A136)=1,"",(UpdateHashtag!M134-B$1)/B$2)</f>
        <v>-0.2142638693</v>
      </c>
      <c r="C136" s="41">
        <f>IF(TYPE($A136)=1,"",(UpdateHashtag!L134-C$1)/C$2)</f>
        <v>0.6460761218</v>
      </c>
      <c r="D136" s="41">
        <f>IF(TYPE($A136)=1,"",(UpdateHashtag!N134-D$1)/D$2)</f>
        <v>-1.090807806</v>
      </c>
      <c r="E136" s="41">
        <f>IF(TYPE($A136)=1,"",(UpdateHashtag!O134-E$1)/E$2)</f>
        <v>0.5752419853</v>
      </c>
      <c r="F136" s="41">
        <f>IF(TYPE($A136)=1,"",(UpdateHashtag!P134-F$1)/F$2)</f>
        <v>-1.243925831</v>
      </c>
      <c r="G136" s="41">
        <f>IF(TYPE($A136)=1,"",(UpdateHashtag!Q134-G$1)/G$2)</f>
        <v>-0.978628106</v>
      </c>
      <c r="H136" s="41">
        <f>IF(TYPE($A136)=1,"",(UpdateHashtag!I134-H$1)/H$2*I136/$I$1)</f>
        <v>-1.129059944</v>
      </c>
      <c r="I136" s="41">
        <f>UpdateHashtag!S134</f>
        <v>12.9</v>
      </c>
      <c r="J136" s="53">
        <f>IF(TYPE($A136)=1,"",(UpdateHashtag!K134-J$1)/J$2*K136/$K$1)</f>
        <v>0.6888062294</v>
      </c>
      <c r="K136" s="55">
        <f>UpdateHashtag!T134</f>
        <v>3.5</v>
      </c>
      <c r="L136" s="41">
        <f>IF(TYPE($A136)=1,"",-(UpdateHashtag!R134-L$1)/L$2)</f>
        <v>-0.8444618296</v>
      </c>
      <c r="N136" s="5">
        <v>116.0</v>
      </c>
      <c r="O136" s="170">
        <f t="array" ref="O136">INDIRECT("Update"&amp;Projections!$AG$17&amp;"!B"&amp;ROW(B117))</f>
        <v>88.2</v>
      </c>
      <c r="P136" s="172" t="str">
        <f t="array" ref="P136">INDIRECT("Update"&amp;Projections!$AG$17&amp;"!C"&amp;ROW(B117))</f>
        <v>Jonas Valanciunas</v>
      </c>
      <c r="Q136" s="170">
        <f>UpdateHashtag!F166</f>
        <v>72</v>
      </c>
      <c r="R136" s="177" t="str">
        <f>IF(UpdateHashtag!D166="",ROW(UpdateHashtag!D166),UpdateHashtag!D166)</f>
        <v>PG,SG</v>
      </c>
      <c r="S136" s="124">
        <f t="shared" si="1"/>
        <v>-2.620595128</v>
      </c>
      <c r="T136" s="124">
        <f>SUM(AE136:AM136)-IFERROR(IFS(Projections!$I$17,AN136,Projections!$J$17,AO136),"")</f>
        <v>-2.64142348</v>
      </c>
      <c r="U136" s="124">
        <f t="shared" si="2"/>
        <v>-0.02082835221</v>
      </c>
      <c r="V136" s="124">
        <f t="array" ref="V136">INDIRECT("Update"&amp;Projections!$AG$17&amp;"!M"&amp;ROW(B117))</f>
        <v>14.37376623</v>
      </c>
      <c r="W136" s="124">
        <f t="array" ref="W136">INDIRECT("Update"&amp;Projections!$AG$17&amp;"!L"&amp;ROW(B117))</f>
        <v>0.5123376623</v>
      </c>
      <c r="X136" s="124">
        <f t="array" ref="X136">INDIRECT("Update"&amp;Projections!$AG$17&amp;"!N"&amp;ROW(B117))</f>
        <v>10.25272727</v>
      </c>
      <c r="Y136" s="124">
        <f t="array" ref="Y136">INDIRECT("Update"&amp;Projections!$AG$17&amp;"!O"&amp;ROW(B117))</f>
        <v>2.028051948</v>
      </c>
      <c r="Z136" s="124">
        <f t="array" ref="Z136">INDIRECT("Update"&amp;Projections!$AG$17&amp;"!P"&amp;ROW(B117))</f>
        <v>0.3476623377</v>
      </c>
      <c r="AA136" s="124">
        <f t="array" ref="AA136">INDIRECT("Update"&amp;Projections!$AG$17&amp;"!Q"&amp;ROW(B117))</f>
        <v>0.7323376623</v>
      </c>
      <c r="AB136" s="180">
        <f t="array" ref="AB136">INDIRECT("Update"&amp;Projections!$AG$17&amp;"!I"&amp;ROW(B117))</f>
        <v>0.5421716456</v>
      </c>
      <c r="AC136" s="180">
        <f t="array" ref="AC136">INDIRECT("Update"&amp;Projections!$AG$17&amp;"!K"&amp;ROW(B117))</f>
        <v>0.7890027724</v>
      </c>
      <c r="AD136" s="124">
        <f t="array" ref="AD136">INDIRECT("Update"&amp;Projections!$AG$17&amp;"!R"&amp;ROW(B117))</f>
        <v>1.664675325</v>
      </c>
      <c r="AE136" s="124">
        <f t="shared" si="3"/>
        <v>-0.5614783678</v>
      </c>
      <c r="AF136" s="124">
        <f t="shared" si="4"/>
        <v>-1.226350023</v>
      </c>
      <c r="AG136" s="124">
        <f t="shared" si="5"/>
        <v>1.634014654</v>
      </c>
      <c r="AH136" s="124">
        <f t="shared" si="6"/>
        <v>-0.8652614579</v>
      </c>
      <c r="AI136" s="124">
        <f t="shared" si="7"/>
        <v>-2.078737895</v>
      </c>
      <c r="AJ136" s="124">
        <f t="shared" si="8"/>
        <v>-0.0291251931</v>
      </c>
      <c r="AK136" s="124">
        <f t="shared" si="9"/>
        <v>0.5504352362</v>
      </c>
      <c r="AL136" s="124">
        <f t="shared" si="10"/>
        <v>-0.06492043402</v>
      </c>
      <c r="AM136" s="124">
        <f t="shared" si="11"/>
        <v>0</v>
      </c>
      <c r="AN136" s="183">
        <f t="shared" si="12"/>
        <v>-2.078737895</v>
      </c>
      <c r="AO136" s="183">
        <f t="shared" si="13"/>
        <v>-3.305087918</v>
      </c>
      <c r="AP136" s="183">
        <f t="array" ref="AP136">INDIRECT("Update"&amp;Projections!$AG$17&amp;"!S"&amp;ROW(B117))</f>
        <v>10.53363636</v>
      </c>
      <c r="AQ136" s="183">
        <f t="array" ref="AQ136">INDIRECT("Update"&amp;Projections!$AG$17&amp;"!T"&amp;ROW(B117))</f>
        <v>3.091688312</v>
      </c>
    </row>
    <row r="137">
      <c r="A137" s="40" t="str">
        <f>IF(UpdateHashtag!C135="",ROW(UpdateHashtag!C135),UpdateHashtag!C135)</f>
        <v>Kentavious Caldwell-Pope</v>
      </c>
      <c r="B137" s="41">
        <f>IF(TYPE($A137)=1,"",(UpdateHashtag!M135-B$1)/B$2)</f>
        <v>-1.331848829</v>
      </c>
      <c r="C137" s="41">
        <f>IF(TYPE($A137)=1,"",(UpdateHashtag!L135-C$1)/C$2)</f>
        <v>-0.04827385557</v>
      </c>
      <c r="D137" s="41">
        <f>IF(TYPE($A137)=1,"",(UpdateHashtag!N135-D$1)/D$2)</f>
        <v>-1.404333404</v>
      </c>
      <c r="E137" s="41">
        <f>IF(TYPE($A137)=1,"",(UpdateHashtag!O135-E$1)/E$2)</f>
        <v>-0.7417594022</v>
      </c>
      <c r="F137" s="41">
        <f>IF(TYPE($A137)=1,"",(UpdateHashtag!P135-F$1)/F$2)</f>
        <v>1.071893535</v>
      </c>
      <c r="G137" s="41">
        <f>IF(TYPE($A137)=1,"",(UpdateHashtag!Q135-G$1)/G$2)</f>
        <v>-0.4435337589</v>
      </c>
      <c r="H137" s="41">
        <f>IF(TYPE($A137)=1,"",(UpdateHashtag!I135-H$1)/H$2*I137/$I$1)</f>
        <v>-0.3288536757</v>
      </c>
      <c r="I137" s="41">
        <f>UpdateHashtag!S135</f>
        <v>7.8</v>
      </c>
      <c r="J137" s="53">
        <f>IF(TYPE($A137)=1,"",(UpdateHashtag!K135-J$1)/J$2*K137/$K$1)</f>
        <v>0.3478986122</v>
      </c>
      <c r="K137" s="55">
        <f>UpdateHashtag!T135</f>
        <v>1.5</v>
      </c>
      <c r="L137" s="41">
        <f>IF(TYPE($A137)=1,"",-(UpdateHashtag!R135-L$1)/L$2)</f>
        <v>0.7426238329</v>
      </c>
      <c r="N137" s="112">
        <v>117.0</v>
      </c>
      <c r="O137" s="170">
        <f t="array" ref="O137">INDIRECT("Update"&amp;Projections!$AG$17&amp;"!B"&amp;ROW(B118))</f>
        <v>143.7</v>
      </c>
      <c r="P137" s="172" t="str">
        <f t="array" ref="P137">INDIRECT("Update"&amp;Projections!$AG$17&amp;"!C"&amp;ROW(B118))</f>
        <v>Jonathan Isaac</v>
      </c>
      <c r="Q137" s="170">
        <f>UpdateHashtag!F162</f>
        <v>68</v>
      </c>
      <c r="R137" s="177" t="str">
        <f>IF(UpdateHashtag!D162="",ROW(UpdateHashtag!D162),UpdateHashtag!D162)</f>
        <v>C</v>
      </c>
      <c r="S137" s="124">
        <f t="shared" si="1"/>
        <v>-2.137029813</v>
      </c>
      <c r="T137" s="124">
        <f>SUM(AE137:AM137)-IFERROR(IFS(Projections!$I$17,AN137,Projections!$J$17,AO137),"")</f>
        <v>-2.416299027</v>
      </c>
      <c r="U137" s="124">
        <f t="shared" si="2"/>
        <v>-0.2792692141</v>
      </c>
      <c r="V137" s="124">
        <f t="array" ref="V137">INDIRECT("Update"&amp;Projections!$AG$17&amp;"!M"&amp;ROW(B118))</f>
        <v>8.962321429</v>
      </c>
      <c r="W137" s="124">
        <f t="array" ref="W137">INDIRECT("Update"&amp;Projections!$AG$17&amp;"!L"&amp;ROW(B118))</f>
        <v>1.009464286</v>
      </c>
      <c r="X137" s="124">
        <f t="array" ref="X137">INDIRECT("Update"&amp;Projections!$AG$17&amp;"!N"&amp;ROW(B118))</f>
        <v>6.401964286</v>
      </c>
      <c r="Y137" s="124">
        <f t="array" ref="Y137">INDIRECT("Update"&amp;Projections!$AG$17&amp;"!O"&amp;ROW(B118))</f>
        <v>0.965</v>
      </c>
      <c r="Z137" s="124">
        <f t="array" ref="Z137">INDIRECT("Update"&amp;Projections!$AG$17&amp;"!P"&amp;ROW(B118))</f>
        <v>1.0225</v>
      </c>
      <c r="AA137" s="124">
        <f t="array" ref="AA137">INDIRECT("Update"&amp;Projections!$AG$17&amp;"!Q"&amp;ROW(B118))</f>
        <v>1.484107143</v>
      </c>
      <c r="AB137" s="180">
        <f t="array" ref="AB137">INDIRECT("Update"&amp;Projections!$AG$17&amp;"!I"&amp;ROW(B118))</f>
        <v>0.5068315759</v>
      </c>
      <c r="AC137" s="180">
        <f t="array" ref="AC137">INDIRECT("Update"&amp;Projections!$AG$17&amp;"!K"&amp;ROW(B118))</f>
        <v>0.7100183824</v>
      </c>
      <c r="AD137" s="124">
        <f t="array" ref="AD137">INDIRECT("Update"&amp;Projections!$AG$17&amp;"!R"&amp;ROW(B118))</f>
        <v>0.6225</v>
      </c>
      <c r="AE137" s="124">
        <f t="shared" si="3"/>
        <v>-1.536921807</v>
      </c>
      <c r="AF137" s="124">
        <f t="shared" si="4"/>
        <v>-0.7332359375</v>
      </c>
      <c r="AG137" s="124">
        <f t="shared" si="5"/>
        <v>0.1248736996</v>
      </c>
      <c r="AH137" s="124">
        <f t="shared" si="6"/>
        <v>-1.348034179</v>
      </c>
      <c r="AI137" s="124">
        <f t="shared" si="7"/>
        <v>0.1538365721</v>
      </c>
      <c r="AJ137" s="124">
        <f t="shared" si="8"/>
        <v>1.311766805</v>
      </c>
      <c r="AK137" s="124">
        <f t="shared" si="9"/>
        <v>0.07533202673</v>
      </c>
      <c r="AL137" s="124">
        <f t="shared" si="10"/>
        <v>-0.4639162071</v>
      </c>
      <c r="AM137" s="124">
        <f t="shared" si="11"/>
        <v>0</v>
      </c>
      <c r="AN137" s="183">
        <f t="shared" si="12"/>
        <v>-1.536921807</v>
      </c>
      <c r="AO137" s="183">
        <f t="shared" si="13"/>
        <v>-2.884955986</v>
      </c>
      <c r="AP137" s="183">
        <f t="array" ref="AP137">INDIRECT("Update"&amp;Projections!$AG$17&amp;"!S"&amp;ROW(B118))</f>
        <v>6.756964286</v>
      </c>
      <c r="AQ137" s="183">
        <f t="array" ref="AQ137">INDIRECT("Update"&amp;Projections!$AG$17&amp;"!T"&amp;ROW(B118))</f>
        <v>1.554285714</v>
      </c>
    </row>
    <row r="138">
      <c r="A138" s="40" t="str">
        <f>IF(UpdateHashtag!C136="",ROW(UpdateHashtag!C136),UpdateHashtag!C136)</f>
        <v>Alexandre Sarr</v>
      </c>
      <c r="B138" s="41">
        <f>IF(TYPE($A138)=1,"",(UpdateHashtag!M136-B$1)/B$2)</f>
        <v>-0.9533119881</v>
      </c>
      <c r="C138" s="41">
        <f>IF(TYPE($A138)=1,"",(UpdateHashtag!L136-C$1)/C$2)</f>
        <v>-0.8418166868</v>
      </c>
      <c r="D138" s="41">
        <f>IF(TYPE($A138)=1,"",(UpdateHashtag!N136-D$1)/D$2)</f>
        <v>0.1241038822</v>
      </c>
      <c r="E138" s="41">
        <f>IF(TYPE($A138)=1,"",(UpdateHashtag!O136-E$1)/E$2)</f>
        <v>-1.195897812</v>
      </c>
      <c r="F138" s="41">
        <f>IF(TYPE($A138)=1,"",(UpdateHashtag!P136-F$1)/F$2)</f>
        <v>-0.5822631548</v>
      </c>
      <c r="G138" s="41">
        <f>IF(TYPE($A138)=1,"",(UpdateHashtag!Q136-G$1)/G$2)</f>
        <v>2.053573195</v>
      </c>
      <c r="H138" s="41">
        <f>IF(TYPE($A138)=1,"",(UpdateHashtag!I136-H$1)/H$2*I138/$I$1)</f>
        <v>-0.5728182732</v>
      </c>
      <c r="I138" s="41">
        <f>UpdateHashtag!S136</f>
        <v>10</v>
      </c>
      <c r="J138" s="53">
        <f>IF(TYPE($A138)=1,"",(UpdateHashtag!K136-J$1)/J$2*K138/$K$1)</f>
        <v>-1.003091856</v>
      </c>
      <c r="K138" s="55">
        <f>UpdateHashtag!T136</f>
        <v>3.4</v>
      </c>
      <c r="L138" s="41">
        <f>IF(TYPE($A138)=1,"",-(UpdateHashtag!R136-L$1)/L$2)</f>
        <v>0.4450452712</v>
      </c>
      <c r="N138" s="112">
        <v>118.0</v>
      </c>
      <c r="O138" s="170">
        <f t="array" ref="O138">INDIRECT("Update"&amp;Projections!$AG$17&amp;"!B"&amp;ROW(B119))</f>
        <v>117.6</v>
      </c>
      <c r="P138" s="172" t="str">
        <f t="array" ref="P138">INDIRECT("Update"&amp;Projections!$AG$17&amp;"!C"&amp;ROW(B119))</f>
        <v>Onyeka Okongwu</v>
      </c>
      <c r="Q138" s="170">
        <f>UpdateHashtag!F177</f>
        <v>73</v>
      </c>
      <c r="R138" s="177" t="str">
        <f>IF(UpdateHashtag!D177="",ROW(UpdateHashtag!D177),UpdateHashtag!D177)</f>
        <v>SF</v>
      </c>
      <c r="S138" s="124">
        <f t="shared" si="1"/>
        <v>-2.588650097</v>
      </c>
      <c r="T138" s="124">
        <f>SUM(AE138:AM138)-IFERROR(IFS(Projections!$I$17,AN138,Projections!$J$17,AO138),"")</f>
        <v>-2.793919187</v>
      </c>
      <c r="U138" s="124">
        <f t="shared" si="2"/>
        <v>-0.2052690907</v>
      </c>
      <c r="V138" s="124">
        <f t="array" ref="V138">INDIRECT("Update"&amp;Projections!$AG$17&amp;"!M"&amp;ROW(B119))</f>
        <v>11.36606061</v>
      </c>
      <c r="W138" s="124">
        <f t="array" ref="W138">INDIRECT("Update"&amp;Projections!$AG$17&amp;"!L"&amp;ROW(B119))</f>
        <v>0.4396969697</v>
      </c>
      <c r="X138" s="124">
        <f t="array" ref="X138">INDIRECT("Update"&amp;Projections!$AG$17&amp;"!N"&amp;ROW(B119))</f>
        <v>6.608333333</v>
      </c>
      <c r="Y138" s="124">
        <f t="array" ref="Y138">INDIRECT("Update"&amp;Projections!$AG$17&amp;"!O"&amp;ROW(B119))</f>
        <v>1.354242424</v>
      </c>
      <c r="Z138" s="124">
        <f t="array" ref="Z138">INDIRECT("Update"&amp;Projections!$AG$17&amp;"!P"&amp;ROW(B119))</f>
        <v>0.65</v>
      </c>
      <c r="AA138" s="124">
        <f t="array" ref="AA138">INDIRECT("Update"&amp;Projections!$AG$17&amp;"!Q"&amp;ROW(B119))</f>
        <v>1.186515152</v>
      </c>
      <c r="AB138" s="180">
        <f t="array" ref="AB138">INDIRECT("Update"&amp;Projections!$AG$17&amp;"!I"&amp;ROW(B119))</f>
        <v>0.6178429834</v>
      </c>
      <c r="AC138" s="180">
        <f t="array" ref="AC138">INDIRECT("Update"&amp;Projections!$AG$17&amp;"!K"&amp;ROW(B119))</f>
        <v>0.7700158114</v>
      </c>
      <c r="AD138" s="124">
        <f t="array" ref="AD138">INDIRECT("Update"&amp;Projections!$AG$17&amp;"!R"&amp;ROW(B119))</f>
        <v>0.9209090909</v>
      </c>
      <c r="AE138" s="124">
        <f t="shared" si="3"/>
        <v>-1.103634266</v>
      </c>
      <c r="AF138" s="124">
        <f t="shared" si="4"/>
        <v>-1.298404399</v>
      </c>
      <c r="AG138" s="124">
        <f t="shared" si="5"/>
        <v>0.2057511729</v>
      </c>
      <c r="AH138" s="124">
        <f t="shared" si="6"/>
        <v>-1.171264243</v>
      </c>
      <c r="AI138" s="124">
        <f t="shared" si="7"/>
        <v>-1.078510162</v>
      </c>
      <c r="AJ138" s="124">
        <f t="shared" si="8"/>
        <v>0.780967498</v>
      </c>
      <c r="AK138" s="124">
        <f t="shared" si="9"/>
        <v>1.056064366</v>
      </c>
      <c r="AL138" s="124">
        <f t="shared" si="10"/>
        <v>-0.1848891542</v>
      </c>
      <c r="AM138" s="124">
        <f t="shared" si="11"/>
        <v>0</v>
      </c>
      <c r="AN138" s="183">
        <f t="shared" si="12"/>
        <v>-1.298404399</v>
      </c>
      <c r="AO138" s="183">
        <f t="shared" si="13"/>
        <v>-2.469668643</v>
      </c>
      <c r="AP138" s="183">
        <f t="array" ref="AP138">INDIRECT("Update"&amp;Projections!$AG$17&amp;"!S"&amp;ROW(B119))</f>
        <v>7.528636364</v>
      </c>
      <c r="AQ138" s="183">
        <f t="array" ref="AQ138">INDIRECT("Update"&amp;Projections!$AG$17&amp;"!T"&amp;ROW(B119))</f>
        <v>2.108181818</v>
      </c>
    </row>
    <row r="139">
      <c r="A139" s="40" t="str">
        <f>IF(UpdateHashtag!C137="",ROW(UpdateHashtag!C137),UpdateHashtag!C137)</f>
        <v>Jaden Ivey</v>
      </c>
      <c r="B139" s="41">
        <f>IF(TYPE($A139)=1,"",(UpdateHashtag!M137-B$1)/B$2)</f>
        <v>0.1642729721</v>
      </c>
      <c r="C139" s="41">
        <f>IF(TYPE($A139)=1,"",(UpdateHashtag!L137-C$1)/C$2)</f>
        <v>0.447690414</v>
      </c>
      <c r="D139" s="41">
        <f>IF(TYPE($A139)=1,"",(UpdateHashtag!N137-D$1)/D$2)</f>
        <v>-0.9340450079</v>
      </c>
      <c r="E139" s="41">
        <f>IF(TYPE($A139)=1,"",(UpdateHashtag!O137-E$1)/E$2)</f>
        <v>0.3027589397</v>
      </c>
      <c r="F139" s="41">
        <f>IF(TYPE($A139)=1,"",(UpdateHashtag!P137-F$1)/F$2)</f>
        <v>-0.5822631548</v>
      </c>
      <c r="G139" s="41">
        <f>IF(TYPE($A139)=1,"",(UpdateHashtag!Q137-G$1)/G$2)</f>
        <v>-0.2651689765</v>
      </c>
      <c r="H139" s="41">
        <f>IF(TYPE($A139)=1,"",(UpdateHashtag!I137-H$1)/H$2*I139/$I$1)</f>
        <v>-1.07156332</v>
      </c>
      <c r="I139" s="41">
        <f>UpdateHashtag!S137</f>
        <v>14.8</v>
      </c>
      <c r="J139" s="53">
        <f>IF(TYPE($A139)=1,"",(UpdateHashtag!K137-J$1)/J$2*K139/$K$1)</f>
        <v>-0.556160003</v>
      </c>
      <c r="K139" s="55">
        <f>UpdateHashtag!T137</f>
        <v>4.4</v>
      </c>
      <c r="L139" s="41">
        <f>IF(TYPE($A139)=1,"",-(UpdateHashtag!R137-L$1)/L$2)</f>
        <v>-0.9436546835</v>
      </c>
      <c r="N139" s="5">
        <v>119.0</v>
      </c>
      <c r="O139" s="170">
        <f t="array" ref="O139">INDIRECT("Update"&amp;Projections!$AG$17&amp;"!B"&amp;ROW(B120))</f>
        <v>141.7</v>
      </c>
      <c r="P139" s="172" t="str">
        <f t="array" ref="P139">INDIRECT("Update"&amp;Projections!$AG$17&amp;"!C"&amp;ROW(B120))</f>
        <v>Jeremy Sochan</v>
      </c>
      <c r="Q139" s="170">
        <f>UpdateHashtag!F163</f>
        <v>67</v>
      </c>
      <c r="R139" s="177" t="str">
        <f>IF(UpdateHashtag!D163="",ROW(UpdateHashtag!D163),UpdateHashtag!D163)</f>
        <v>PG</v>
      </c>
      <c r="S139" s="124">
        <f t="shared" si="1"/>
        <v>-2.182747111</v>
      </c>
      <c r="T139" s="124">
        <f>SUM(AE139:AM139)-IFERROR(IFS(Projections!$I$17,AN139,Projections!$J$17,AO139),"")</f>
        <v>-2.219613789</v>
      </c>
      <c r="U139" s="124">
        <f t="shared" si="2"/>
        <v>-0.03686667737</v>
      </c>
      <c r="V139" s="124">
        <f t="array" ref="V139">INDIRECT("Update"&amp;Projections!$AG$17&amp;"!M"&amp;ROW(B120))</f>
        <v>12.86205479</v>
      </c>
      <c r="W139" s="124">
        <f t="array" ref="W139">INDIRECT("Update"&amp;Projections!$AG$17&amp;"!L"&amp;ROW(B120))</f>
        <v>1.093013699</v>
      </c>
      <c r="X139" s="124">
        <f t="array" ref="X139">INDIRECT("Update"&amp;Projections!$AG$17&amp;"!N"&amp;ROW(B120))</f>
        <v>7.266712329</v>
      </c>
      <c r="Y139" s="124">
        <f t="array" ref="Y139">INDIRECT("Update"&amp;Projections!$AG$17&amp;"!O"&amp;ROW(B120))</f>
        <v>2.733287671</v>
      </c>
      <c r="Z139" s="124">
        <f t="array" ref="Z139">INDIRECT("Update"&amp;Projections!$AG$17&amp;"!P"&amp;ROW(B120))</f>
        <v>1.133287671</v>
      </c>
      <c r="AA139" s="124">
        <f t="array" ref="AA139">INDIRECT("Update"&amp;Projections!$AG$17&amp;"!Q"&amp;ROW(B120))</f>
        <v>0.6612328767</v>
      </c>
      <c r="AB139" s="180">
        <f t="array" ref="AB139">INDIRECT("Update"&amp;Projections!$AG$17&amp;"!I"&amp;ROW(B120))</f>
        <v>0.4409704385</v>
      </c>
      <c r="AC139" s="180">
        <f t="array" ref="AC139">INDIRECT("Update"&amp;Projections!$AG$17&amp;"!K"&amp;ROW(B120))</f>
        <v>0.7570052539</v>
      </c>
      <c r="AD139" s="124">
        <f t="array" ref="AD139">INDIRECT("Update"&amp;Projections!$AG$17&amp;"!R"&amp;ROW(B120))</f>
        <v>1.6</v>
      </c>
      <c r="AE139" s="124">
        <f t="shared" si="3"/>
        <v>-0.833972879</v>
      </c>
      <c r="AF139" s="124">
        <f t="shared" si="4"/>
        <v>-0.6503608903</v>
      </c>
      <c r="AG139" s="124">
        <f t="shared" si="5"/>
        <v>0.4637745077</v>
      </c>
      <c r="AH139" s="124">
        <f t="shared" si="6"/>
        <v>-0.5449868284</v>
      </c>
      <c r="AI139" s="124">
        <f t="shared" si="7"/>
        <v>0.5203569064</v>
      </c>
      <c r="AJ139" s="124">
        <f t="shared" si="8"/>
        <v>-0.1559510892</v>
      </c>
      <c r="AK139" s="124">
        <f t="shared" si="9"/>
        <v>-0.7680325983</v>
      </c>
      <c r="AL139" s="124">
        <f t="shared" si="10"/>
        <v>-0.2504409174</v>
      </c>
      <c r="AM139" s="124">
        <f t="shared" si="11"/>
        <v>0</v>
      </c>
      <c r="AN139" s="183">
        <f t="shared" si="12"/>
        <v>-0.833972879</v>
      </c>
      <c r="AO139" s="183">
        <f t="shared" si="13"/>
        <v>-1.602005477</v>
      </c>
      <c r="AP139" s="183">
        <f t="array" ref="AP139">INDIRECT("Update"&amp;Projections!$AG$17&amp;"!S"&amp;ROW(B120))</f>
        <v>11.73315068</v>
      </c>
      <c r="AQ139" s="183">
        <f t="array" ref="AQ139">INDIRECT("Update"&amp;Projections!$AG$17&amp;"!T"&amp;ROW(B120))</f>
        <v>1.877260274</v>
      </c>
    </row>
    <row r="140">
      <c r="A140" s="40" t="str">
        <f>IF(UpdateHashtag!C138="",ROW(UpdateHashtag!C138),UpdateHashtag!C138)</f>
        <v>RJ Barrett</v>
      </c>
      <c r="B140" s="41">
        <f>IF(TYPE($A140)=1,"",(UpdateHashtag!M138-B$1)/B$2)</f>
        <v>0.6689887606</v>
      </c>
      <c r="C140" s="41">
        <f>IF(TYPE($A140)=1,"",(UpdateHashtag!L138-C$1)/C$2)</f>
        <v>-0.1474667095</v>
      </c>
      <c r="D140" s="41">
        <f>IF(TYPE($A140)=1,"",(UpdateHashtag!N138-D$1)/D$2)</f>
        <v>0.1241038822</v>
      </c>
      <c r="E140" s="41">
        <f>IF(TYPE($A140)=1,"",(UpdateHashtag!O138-E$1)/E$2)</f>
        <v>-0.06055178793</v>
      </c>
      <c r="F140" s="41">
        <f>IF(TYPE($A140)=1,"",(UpdateHashtag!P138-F$1)/F$2)</f>
        <v>-1.243925831</v>
      </c>
      <c r="G140" s="41">
        <f>IF(TYPE($A140)=1,"",(UpdateHashtag!Q138-G$1)/G$2)</f>
        <v>-0.6218985413</v>
      </c>
      <c r="H140" s="41">
        <f>IF(TYPE($A140)=1,"",(UpdateHashtag!I138-H$1)/H$2*I140/$I$1)</f>
        <v>-0.2890696747</v>
      </c>
      <c r="I140" s="41">
        <f>UpdateHashtag!S138</f>
        <v>16.3</v>
      </c>
      <c r="J140" s="53">
        <f>IF(TYPE($A140)=1,"",(UpdateHashtag!K138-J$1)/J$2*K140/$K$1)</f>
        <v>-1.3085878</v>
      </c>
      <c r="K140" s="55">
        <f>UpdateHashtag!T138</f>
        <v>5.4</v>
      </c>
      <c r="L140" s="41">
        <f>IF(TYPE($A140)=1,"",-(UpdateHashtag!R138-L$1)/L$2)</f>
        <v>-0.5468832679</v>
      </c>
      <c r="N140" s="112">
        <v>120.0</v>
      </c>
      <c r="O140" s="170">
        <f t="array" ref="O140">INDIRECT("Update"&amp;Projections!$AG$17&amp;"!B"&amp;ROW(B121))</f>
        <v>109.6</v>
      </c>
      <c r="P140" s="172" t="str">
        <f t="array" ref="P140">INDIRECT("Update"&amp;Projections!$AG$17&amp;"!C"&amp;ROW(B121))</f>
        <v>Jerami Grant</v>
      </c>
      <c r="Q140" s="170">
        <f>UpdateHashtag!F183</f>
        <v>79</v>
      </c>
      <c r="R140" s="177" t="str">
        <f>IF(UpdateHashtag!D183="",ROW(UpdateHashtag!D183),UpdateHashtag!D183)</f>
        <v>SG,SF</v>
      </c>
      <c r="S140" s="124">
        <f t="shared" si="1"/>
        <v>-2.224355184</v>
      </c>
      <c r="T140" s="124">
        <f>SUM(AE140:AM140)-IFERROR(IFS(Projections!$I$17,AN140,Projections!$J$17,AO140),"")</f>
        <v>-2.171080355</v>
      </c>
      <c r="U140" s="124">
        <f t="shared" si="2"/>
        <v>0.05327482862</v>
      </c>
      <c r="V140" s="124">
        <f t="array" ref="V140">INDIRECT("Update"&amp;Projections!$AG$17&amp;"!M"&amp;ROW(B121))</f>
        <v>19.58816667</v>
      </c>
      <c r="W140" s="124">
        <f t="array" ref="W140">INDIRECT("Update"&amp;Projections!$AG$17&amp;"!L"&amp;ROW(B121))</f>
        <v>1.995</v>
      </c>
      <c r="X140" s="124">
        <f t="array" ref="X140">INDIRECT("Update"&amp;Projections!$AG$17&amp;"!N"&amp;ROW(B121))</f>
        <v>3.295833333</v>
      </c>
      <c r="Y140" s="124">
        <f t="array" ref="Y140">INDIRECT("Update"&amp;Projections!$AG$17&amp;"!O"&amp;ROW(B121))</f>
        <v>2.664666667</v>
      </c>
      <c r="Z140" s="124">
        <f t="array" ref="Z140">INDIRECT("Update"&amp;Projections!$AG$17&amp;"!P"&amp;ROW(B121))</f>
        <v>0.8436666667</v>
      </c>
      <c r="AA140" s="124">
        <f t="array" ref="AA140">INDIRECT("Update"&amp;Projections!$AG$17&amp;"!Q"&amp;ROW(B121))</f>
        <v>0.63</v>
      </c>
      <c r="AB140" s="180">
        <f t="array" ref="AB140">INDIRECT("Update"&amp;Projections!$AG$17&amp;"!I"&amp;ROW(B121))</f>
        <v>0.4424836746</v>
      </c>
      <c r="AC140" s="180">
        <f t="array" ref="AC140">INDIRECT("Update"&amp;Projections!$AG$17&amp;"!K"&amp;ROW(B121))</f>
        <v>0.8210001904</v>
      </c>
      <c r="AD140" s="124">
        <f t="array" ref="AD140">INDIRECT("Update"&amp;Projections!$AG$17&amp;"!R"&amp;ROW(B121))</f>
        <v>1.9635</v>
      </c>
      <c r="AE140" s="124">
        <f t="shared" si="3"/>
        <v>0.3784467141</v>
      </c>
      <c r="AF140" s="124">
        <f t="shared" si="4"/>
        <v>0.2443450635</v>
      </c>
      <c r="AG140" s="124">
        <f t="shared" si="5"/>
        <v>-1.092440752</v>
      </c>
      <c r="AH140" s="124">
        <f t="shared" si="6"/>
        <v>-0.576150262</v>
      </c>
      <c r="AI140" s="124">
        <f t="shared" si="7"/>
        <v>-0.4378001371</v>
      </c>
      <c r="AJ140" s="124">
        <f t="shared" si="8"/>
        <v>-0.2116595418</v>
      </c>
      <c r="AK140" s="124">
        <f t="shared" si="9"/>
        <v>-0.9559401908</v>
      </c>
      <c r="AL140" s="124">
        <f t="shared" si="10"/>
        <v>0.4801187511</v>
      </c>
      <c r="AM140" s="124">
        <f t="shared" si="11"/>
        <v>0</v>
      </c>
      <c r="AN140" s="183">
        <f t="shared" si="12"/>
        <v>-1.092440752</v>
      </c>
      <c r="AO140" s="183">
        <f t="shared" si="13"/>
        <v>-2.048380943</v>
      </c>
      <c r="AP140" s="183">
        <f t="array" ref="AP140">INDIRECT("Update"&amp;Projections!$AG$17&amp;"!S"&amp;ROW(B121))</f>
        <v>15.00733333</v>
      </c>
      <c r="AQ140" s="183">
        <f t="array" ref="AQ140">INDIRECT("Update"&amp;Projections!$AG$17&amp;"!T"&amp;ROW(B121))</f>
        <v>5.252333333</v>
      </c>
    </row>
    <row r="141">
      <c r="A141" s="40" t="str">
        <f>IF(UpdateHashtag!C139="",ROW(UpdateHashtag!C139),UpdateHashtag!C139)</f>
        <v>P.J. Washington</v>
      </c>
      <c r="B141" s="41">
        <f>IF(TYPE($A141)=1,"",(UpdateHashtag!M139-B$1)/B$2)</f>
        <v>-0.9172608603</v>
      </c>
      <c r="C141" s="41">
        <f>IF(TYPE($A141)=1,"",(UpdateHashtag!L139-C$1)/C$2)</f>
        <v>0.1501118522</v>
      </c>
      <c r="D141" s="41">
        <f>IF(TYPE($A141)=1,"",(UpdateHashtag!N139-D$1)/D$2)</f>
        <v>-0.2286124145</v>
      </c>
      <c r="E141" s="41">
        <f>IF(TYPE($A141)=1,"",(UpdateHashtag!O139-E$1)/E$2)</f>
        <v>-0.832587084</v>
      </c>
      <c r="F141" s="41">
        <f>IF(TYPE($A141)=1,"",(UpdateHashtag!P139-F$1)/F$2)</f>
        <v>0.410230859</v>
      </c>
      <c r="G141" s="41">
        <f>IF(TYPE($A141)=1,"",(UpdateHashtag!Q139-G$1)/G$2)</f>
        <v>0.2699253707</v>
      </c>
      <c r="H141" s="41">
        <f>IF(TYPE($A141)=1,"",(UpdateHashtag!I139-H$1)/H$2*I141/$I$1)</f>
        <v>-0.809083517</v>
      </c>
      <c r="I141" s="41">
        <f>UpdateHashtag!S139</f>
        <v>10.5</v>
      </c>
      <c r="J141" s="53">
        <f>IF(TYPE($A141)=1,"",(UpdateHashtag!K139-J$1)/J$2*K141/$K$1)</f>
        <v>-0.6564438946</v>
      </c>
      <c r="K141" s="55">
        <f>UpdateHashtag!T139</f>
        <v>2.1</v>
      </c>
      <c r="L141" s="41">
        <f>IF(TYPE($A141)=1,"",-(UpdateHashtag!R139-L$1)/L$2)</f>
        <v>0.3458524173</v>
      </c>
      <c r="N141" s="112">
        <v>121.0</v>
      </c>
      <c r="O141" s="170">
        <f t="array" ref="O141">INDIRECT("Update"&amp;Projections!$AG$17&amp;"!B"&amp;ROW(B122))</f>
        <v>144.9</v>
      </c>
      <c r="P141" s="172" t="str">
        <f t="array" ref="P141">INDIRECT("Update"&amp;Projections!$AG$17&amp;"!C"&amp;ROW(B122))</f>
        <v>Caris LeVert</v>
      </c>
      <c r="Q141" s="170">
        <f>UpdateHashtag!F186</f>
        <v>60</v>
      </c>
      <c r="R141" s="177" t="str">
        <f>IF(UpdateHashtag!D186="",ROW(UpdateHashtag!D186),UpdateHashtag!D186)</f>
        <v>SG</v>
      </c>
      <c r="S141" s="124">
        <f t="shared" si="1"/>
        <v>-2.117506209</v>
      </c>
      <c r="T141" s="124">
        <f>SUM(AE141:AM141)-IFERROR(IFS(Projections!$I$17,AN141,Projections!$J$17,AO141),"")</f>
        <v>-2.153825867</v>
      </c>
      <c r="U141" s="124">
        <f t="shared" si="2"/>
        <v>-0.03631965804</v>
      </c>
      <c r="V141" s="124">
        <f t="array" ref="V141">INDIRECT("Update"&amp;Projections!$AG$17&amp;"!M"&amp;ROW(B122))</f>
        <v>13.56176471</v>
      </c>
      <c r="W141" s="124">
        <f t="array" ref="W141">INDIRECT("Update"&amp;Projections!$AG$17&amp;"!L"&amp;ROW(B122))</f>
        <v>1.524705882</v>
      </c>
      <c r="X141" s="124">
        <f t="array" ref="X141">INDIRECT("Update"&amp;Projections!$AG$17&amp;"!N"&amp;ROW(B122))</f>
        <v>4.498676471</v>
      </c>
      <c r="Y141" s="124">
        <f t="array" ref="Y141">INDIRECT("Update"&amp;Projections!$AG$17&amp;"!O"&amp;ROW(B122))</f>
        <v>5.114852941</v>
      </c>
      <c r="Z141" s="124">
        <f t="array" ref="Z141">INDIRECT("Update"&amp;Projections!$AG$17&amp;"!P"&amp;ROW(B122))</f>
        <v>1.213529412</v>
      </c>
      <c r="AA141" s="124">
        <f t="array" ref="AA141">INDIRECT("Update"&amp;Projections!$AG$17&amp;"!Q"&amp;ROW(B122))</f>
        <v>0.4313235294</v>
      </c>
      <c r="AB141" s="180">
        <f t="array" ref="AB141">INDIRECT("Update"&amp;Projections!$AG$17&amp;"!I"&amp;ROW(B122))</f>
        <v>0.4256898479</v>
      </c>
      <c r="AC141" s="180">
        <f t="array" ref="AC141">INDIRECT("Update"&amp;Projections!$AG$17&amp;"!K"&amp;ROW(B122))</f>
        <v>0.7550187869</v>
      </c>
      <c r="AD141" s="124">
        <f t="array" ref="AD141">INDIRECT("Update"&amp;Projections!$AG$17&amp;"!R"&amp;ROW(B122))</f>
        <v>1.602205882</v>
      </c>
      <c r="AE141" s="124">
        <f t="shared" si="3"/>
        <v>-0.7078462205</v>
      </c>
      <c r="AF141" s="124">
        <f t="shared" si="4"/>
        <v>-0.2221530939</v>
      </c>
      <c r="AG141" s="124">
        <f t="shared" si="5"/>
        <v>-0.6210381111</v>
      </c>
      <c r="AH141" s="124">
        <f t="shared" si="6"/>
        <v>0.5365734354</v>
      </c>
      <c r="AI141" s="124">
        <f t="shared" si="7"/>
        <v>0.7858217317</v>
      </c>
      <c r="AJ141" s="124">
        <f t="shared" si="8"/>
        <v>-0.5660283962</v>
      </c>
      <c r="AK141" s="124">
        <f t="shared" si="9"/>
        <v>-0.9745381711</v>
      </c>
      <c r="AL141" s="124">
        <f t="shared" si="10"/>
        <v>-0.3846170416</v>
      </c>
      <c r="AM141" s="124">
        <f t="shared" si="11"/>
        <v>0</v>
      </c>
      <c r="AN141" s="183">
        <f t="shared" si="12"/>
        <v>-0.9745381711</v>
      </c>
      <c r="AO141" s="183">
        <f t="shared" si="13"/>
        <v>-1.682384392</v>
      </c>
      <c r="AP141" s="183">
        <f t="array" ref="AP141">INDIRECT("Update"&amp;Projections!$AG$17&amp;"!S"&amp;ROW(B122))</f>
        <v>11.70867647</v>
      </c>
      <c r="AQ141" s="183">
        <f t="array" ref="AQ141">INDIRECT("Update"&amp;Projections!$AG$17&amp;"!T"&amp;ROW(B122))</f>
        <v>2.739705882</v>
      </c>
    </row>
    <row r="142">
      <c r="A142" s="40" t="str">
        <f>IF(UpdateHashtag!C140="",ROW(UpdateHashtag!C140),UpdateHashtag!C140)</f>
        <v>Malik Monk</v>
      </c>
      <c r="B142" s="41">
        <f>IF(TYPE($A142)=1,"",(UpdateHashtag!M140-B$1)/B$2)</f>
        <v>-0.538724019</v>
      </c>
      <c r="C142" s="41">
        <f>IF(TYPE($A142)=1,"",(UpdateHashtag!L140-C$1)/C$2)</f>
        <v>0.2493047061</v>
      </c>
      <c r="D142" s="41">
        <f>IF(TYPE($A142)=1,"",(UpdateHashtag!N140-D$1)/D$2)</f>
        <v>-1.286761305</v>
      </c>
      <c r="E142" s="41">
        <f>IF(TYPE($A142)=1,"",(UpdateHashtag!O140-E$1)/E$2)</f>
        <v>0.2573450987</v>
      </c>
      <c r="F142" s="41">
        <f>IF(TYPE($A142)=1,"",(UpdateHashtag!P140-F$1)/F$2)</f>
        <v>-1.243925831</v>
      </c>
      <c r="G142" s="41">
        <f>IF(TYPE($A142)=1,"",(UpdateHashtag!Q140-G$1)/G$2)</f>
        <v>-0.6218985413</v>
      </c>
      <c r="H142" s="41">
        <f>IF(TYPE($A142)=1,"",(UpdateHashtag!I140-H$1)/H$2*I142/$I$1)</f>
        <v>-0.679532914</v>
      </c>
      <c r="I142" s="41">
        <f>UpdateHashtag!S140</f>
        <v>11.4</v>
      </c>
      <c r="J142" s="53">
        <f>IF(TYPE($A142)=1,"",(UpdateHashtag!K140-J$1)/J$2*K142/$K$1)</f>
        <v>0.6395741669</v>
      </c>
      <c r="K142" s="55">
        <f>UpdateHashtag!T140</f>
        <v>2.8</v>
      </c>
      <c r="L142" s="41">
        <f>IF(TYPE($A142)=1,"",-(UpdateHashtag!R140-L$1)/L$2)</f>
        <v>-0.2493047061</v>
      </c>
      <c r="N142" s="5">
        <v>122.0</v>
      </c>
      <c r="O142" s="170">
        <f t="array" ref="O142">INDIRECT("Update"&amp;Projections!$AG$17&amp;"!B"&amp;ROW(B123))</f>
        <v>138.9</v>
      </c>
      <c r="P142" s="172" t="str">
        <f t="array" ref="P142">INDIRECT("Update"&amp;Projections!$AG$17&amp;"!C"&amp;ROW(B123))</f>
        <v>Taylor Hendricks</v>
      </c>
      <c r="Q142" s="170">
        <f>UpdateHashtag!F181</f>
        <v>70</v>
      </c>
      <c r="R142" s="177" t="str">
        <f>IF(UpdateHashtag!D181="",ROW(UpdateHashtag!D181),UpdateHashtag!D181)</f>
        <v>PG,SG</v>
      </c>
      <c r="S142" s="124">
        <f t="shared" si="1"/>
        <v>-2.210223863</v>
      </c>
      <c r="T142" s="124">
        <f>SUM(AE142:AM142)-IFERROR(IFS(Projections!$I$17,AN142,Projections!$J$17,AO142),"")</f>
        <v>-2.419896721</v>
      </c>
      <c r="U142" s="124">
        <f t="shared" si="2"/>
        <v>-0.2096728581</v>
      </c>
      <c r="V142" s="124">
        <f t="array" ref="V142">INDIRECT("Update"&amp;Projections!$AG$17&amp;"!M"&amp;ROW(B123))</f>
        <v>10.64863014</v>
      </c>
      <c r="W142" s="124">
        <f t="array" ref="W142">INDIRECT("Update"&amp;Projections!$AG$17&amp;"!L"&amp;ROW(B123))</f>
        <v>1.819452055</v>
      </c>
      <c r="X142" s="124">
        <f t="array" ref="X142">INDIRECT("Update"&amp;Projections!$AG$17&amp;"!N"&amp;ROW(B123))</f>
        <v>6.285205479</v>
      </c>
      <c r="Y142" s="124">
        <f t="array" ref="Y142">INDIRECT("Update"&amp;Projections!$AG$17&amp;"!O"&amp;ROW(B123))</f>
        <v>1.169315068</v>
      </c>
      <c r="Z142" s="124">
        <f t="array" ref="Z142">INDIRECT("Update"&amp;Projections!$AG$17&amp;"!P"&amp;ROW(B123))</f>
        <v>0.9153424658</v>
      </c>
      <c r="AA142" s="124">
        <f t="array" ref="AA142">INDIRECT("Update"&amp;Projections!$AG$17&amp;"!Q"&amp;ROW(B123))</f>
        <v>1.021232877</v>
      </c>
      <c r="AB142" s="180">
        <f t="array" ref="AB142">INDIRECT("Update"&amp;Projections!$AG$17&amp;"!I"&amp;ROW(B123))</f>
        <v>0.4610116933</v>
      </c>
      <c r="AC142" s="180">
        <f t="array" ref="AC142">INDIRECT("Update"&amp;Projections!$AG$17&amp;"!K"&amp;ROW(B123))</f>
        <v>0.7929586563</v>
      </c>
      <c r="AD142" s="124">
        <f t="array" ref="AD142">INDIRECT("Update"&amp;Projections!$AG$17&amp;"!R"&amp;ROW(B123))</f>
        <v>0.9031506849</v>
      </c>
      <c r="AE142" s="124">
        <f t="shared" si="3"/>
        <v>-1.232955153</v>
      </c>
      <c r="AF142" s="124">
        <f t="shared" si="4"/>
        <v>0.07021404683</v>
      </c>
      <c r="AG142" s="124">
        <f t="shared" si="5"/>
        <v>0.07911510625</v>
      </c>
      <c r="AH142" s="124">
        <f t="shared" si="6"/>
        <v>-1.255246859</v>
      </c>
      <c r="AI142" s="124">
        <f t="shared" si="7"/>
        <v>-0.2006741319</v>
      </c>
      <c r="AJ142" s="124">
        <f t="shared" si="8"/>
        <v>0.4861621279</v>
      </c>
      <c r="AK142" s="124">
        <f t="shared" si="9"/>
        <v>-0.3574769153</v>
      </c>
      <c r="AL142" s="124">
        <f t="shared" si="10"/>
        <v>-0.009034943252</v>
      </c>
      <c r="AM142" s="124">
        <f t="shared" si="11"/>
        <v>0</v>
      </c>
      <c r="AN142" s="183">
        <f t="shared" si="12"/>
        <v>-1.255246859</v>
      </c>
      <c r="AO142" s="183">
        <f t="shared" si="13"/>
        <v>-2.488202012</v>
      </c>
      <c r="AP142" s="183">
        <f t="array" ref="AP142">INDIRECT("Update"&amp;Projections!$AG$17&amp;"!S"&amp;ROW(B123))</f>
        <v>8.481643836</v>
      </c>
      <c r="AQ142" s="183">
        <f t="array" ref="AQ142">INDIRECT("Update"&amp;Projections!$AG$17&amp;"!T"&amp;ROW(B123))</f>
        <v>1.272328767</v>
      </c>
    </row>
    <row r="143">
      <c r="A143" s="40" t="str">
        <f>IF(UpdateHashtag!C141="",ROW(UpdateHashtag!C141),UpdateHashtag!C141)</f>
        <v>Luguentz Dort</v>
      </c>
      <c r="B143" s="41">
        <f>IF(TYPE($A143)=1,"",(UpdateHashtag!M141-B$1)/B$2)</f>
        <v>-0.9893631158</v>
      </c>
      <c r="C143" s="41">
        <f>IF(TYPE($A143)=1,"",(UpdateHashtag!L141-C$1)/C$2)</f>
        <v>0.2493047061</v>
      </c>
      <c r="D143" s="41">
        <f>IF(TYPE($A143)=1,"",(UpdateHashtag!N141-D$1)/D$2)</f>
        <v>-0.7380915098</v>
      </c>
      <c r="E143" s="41">
        <f>IF(TYPE($A143)=1,"",(UpdateHashtag!O141-E$1)/E$2)</f>
        <v>-0.9688286069</v>
      </c>
      <c r="F143" s="41">
        <f>IF(TYPE($A143)=1,"",(UpdateHashtag!P141-F$1)/F$2)</f>
        <v>0.0793995211</v>
      </c>
      <c r="G143" s="41">
        <f>IF(TYPE($A143)=1,"",(UpdateHashtag!Q141-G$1)/G$2)</f>
        <v>-0.08680419409</v>
      </c>
      <c r="H143" s="41">
        <f>IF(TYPE($A143)=1,"",(UpdateHashtag!I141-H$1)/H$2*I143/$I$1)</f>
        <v>-0.7248737252</v>
      </c>
      <c r="I143" s="41">
        <f>UpdateHashtag!S141</f>
        <v>9.7</v>
      </c>
      <c r="J143" s="53">
        <f>IF(TYPE($A143)=1,"",(UpdateHashtag!K141-J$1)/J$2*K143/$K$1)</f>
        <v>0.2140930751</v>
      </c>
      <c r="K143" s="55">
        <f>UpdateHashtag!T141</f>
        <v>2.1</v>
      </c>
      <c r="L143" s="41">
        <f>IF(TYPE($A143)=1,"",-(UpdateHashtag!R141-L$1)/L$2)</f>
        <v>0.643430979</v>
      </c>
      <c r="N143" s="112">
        <v>123.0</v>
      </c>
      <c r="O143" s="170">
        <f t="array" ref="O143">INDIRECT("Update"&amp;Projections!$AG$17&amp;"!B"&amp;ROW(B124))</f>
        <v>138.5</v>
      </c>
      <c r="P143" s="172" t="str">
        <f t="array" ref="P143">INDIRECT("Update"&amp;Projections!$AG$17&amp;"!C"&amp;ROW(B124))</f>
        <v>Ben Simmons</v>
      </c>
      <c r="Q143" s="170">
        <f>UpdateHashtag!F187</f>
        <v>74</v>
      </c>
      <c r="R143" s="177" t="str">
        <f>IF(UpdateHashtag!D187="",ROW(UpdateHashtag!D187),UpdateHashtag!D187)</f>
        <v>C</v>
      </c>
      <c r="S143" s="124">
        <f t="shared" si="1"/>
        <v>-2.800861396</v>
      </c>
      <c r="T143" s="124">
        <f>SUM(AE143:AM143)-IFERROR(IFS(Projections!$I$17,AN143,Projections!$J$17,AO143),"")</f>
        <v>-2.688112185</v>
      </c>
      <c r="U143" s="124">
        <f t="shared" si="2"/>
        <v>0.1127492105</v>
      </c>
      <c r="V143" s="124">
        <f t="array" ref="V143">INDIRECT("Update"&amp;Projections!$AG$17&amp;"!M"&amp;ROW(B124))</f>
        <v>7.074615385</v>
      </c>
      <c r="W143" s="124">
        <f t="array" ref="W143">INDIRECT("Update"&amp;Projections!$AG$17&amp;"!L"&amp;ROW(B124))</f>
        <v>0</v>
      </c>
      <c r="X143" s="124">
        <f t="array" ref="X143">INDIRECT("Update"&amp;Projections!$AG$17&amp;"!N"&amp;ROW(B124))</f>
        <v>8.101025641</v>
      </c>
      <c r="Y143" s="124">
        <f t="array" ref="Y143">INDIRECT("Update"&amp;Projections!$AG$17&amp;"!O"&amp;ROW(B124))</f>
        <v>6.47025641</v>
      </c>
      <c r="Z143" s="124">
        <f t="array" ref="Z143">INDIRECT("Update"&amp;Projections!$AG$17&amp;"!P"&amp;ROW(B124))</f>
        <v>1.052051282</v>
      </c>
      <c r="AA143" s="124">
        <f t="array" ref="AA143">INDIRECT("Update"&amp;Projections!$AG$17&amp;"!Q"&amp;ROW(B124))</f>
        <v>0.4720512821</v>
      </c>
      <c r="AB143" s="180">
        <f t="array" ref="AB143">INDIRECT("Update"&amp;Projections!$AG$17&amp;"!I"&amp;ROW(B124))</f>
        <v>0.5859887535</v>
      </c>
      <c r="AC143" s="180">
        <f t="array" ref="AC143">INDIRECT("Update"&amp;Projections!$AG$17&amp;"!K"&amp;ROW(B124))</f>
        <v>0.5040031244</v>
      </c>
      <c r="AD143" s="124">
        <f t="array" ref="AD143">INDIRECT("Update"&amp;Projections!$AG$17&amp;"!R"&amp;ROW(B124))</f>
        <v>2.203333333</v>
      </c>
      <c r="AE143" s="124">
        <f t="shared" si="3"/>
        <v>-1.877191466</v>
      </c>
      <c r="AF143" s="124">
        <f t="shared" si="4"/>
        <v>-1.734552372</v>
      </c>
      <c r="AG143" s="124">
        <f t="shared" si="5"/>
        <v>0.7907477318</v>
      </c>
      <c r="AH143" s="124">
        <f t="shared" si="6"/>
        <v>1.152114211</v>
      </c>
      <c r="AI143" s="124">
        <f t="shared" si="7"/>
        <v>0.2516014738</v>
      </c>
      <c r="AJ143" s="124">
        <f t="shared" si="8"/>
        <v>-0.4933844287</v>
      </c>
      <c r="AK143" s="124">
        <f t="shared" si="9"/>
        <v>0.5648062178</v>
      </c>
      <c r="AL143" s="124">
        <f t="shared" si="10"/>
        <v>-1.342253553</v>
      </c>
      <c r="AM143" s="124">
        <f t="shared" si="11"/>
        <v>0</v>
      </c>
      <c r="AN143" s="183">
        <f t="shared" si="12"/>
        <v>-1.877191466</v>
      </c>
      <c r="AO143" s="183">
        <f t="shared" si="13"/>
        <v>-3.611743838</v>
      </c>
      <c r="AP143" s="183">
        <f t="array" ref="AP143">INDIRECT("Update"&amp;Projections!$AG$17&amp;"!S"&amp;ROW(B124))</f>
        <v>5.471794872</v>
      </c>
      <c r="AQ143" s="183">
        <f t="array" ref="AQ143">INDIRECT("Update"&amp;Projections!$AG$17&amp;"!T"&amp;ROW(B124))</f>
        <v>1.313076923</v>
      </c>
    </row>
    <row r="144">
      <c r="A144" s="40" t="str">
        <f>IF(UpdateHashtag!C142="",ROW(UpdateHashtag!C142),UpdateHashtag!C142)</f>
        <v>Ausar Thompson</v>
      </c>
      <c r="B144" s="41">
        <f>IF(TYPE($A144)=1,"",(UpdateHashtag!M142-B$1)/B$2)</f>
        <v>-1.24172101</v>
      </c>
      <c r="C144" s="41">
        <f>IF(TYPE($A144)=1,"",(UpdateHashtag!L142-C$1)/C$2)</f>
        <v>-1.337780956</v>
      </c>
      <c r="D144" s="41">
        <f>IF(TYPE($A144)=1,"",(UpdateHashtag!N142-D$1)/D$2)</f>
        <v>0.4376294792</v>
      </c>
      <c r="E144" s="41">
        <f>IF(TYPE($A144)=1,"",(UpdateHashtag!O142-E$1)/E$2)</f>
        <v>-0.7871732431</v>
      </c>
      <c r="F144" s="41">
        <f>IF(TYPE($A144)=1,"",(UpdateHashtag!P142-F$1)/F$2)</f>
        <v>0.741062197</v>
      </c>
      <c r="G144" s="41">
        <f>IF(TYPE($A144)=1,"",(UpdateHashtag!Q142-G$1)/G$2)</f>
        <v>0.6266549355</v>
      </c>
      <c r="H144" s="41">
        <f>IF(TYPE($A144)=1,"",(UpdateHashtag!I142-H$1)/H$2*I144/$I$1)</f>
        <v>-0.04445603304</v>
      </c>
      <c r="I144" s="41">
        <f>UpdateHashtag!S142</f>
        <v>9</v>
      </c>
      <c r="J144" s="53">
        <f>IF(TYPE($A144)=1,"",(UpdateHashtag!K142-J$1)/J$2*K144/$K$1)</f>
        <v>-1.261393314</v>
      </c>
      <c r="K144" s="55">
        <f>UpdateHashtag!T142</f>
        <v>2.1</v>
      </c>
      <c r="L144" s="41">
        <f>IF(TYPE($A144)=1,"",-(UpdateHashtag!R142-L$1)/L$2)</f>
        <v>0.2466595634</v>
      </c>
      <c r="N144" s="112">
        <v>124.0</v>
      </c>
      <c r="O144" s="170">
        <f t="array" ref="O144">INDIRECT("Update"&amp;Projections!$AG$17&amp;"!B"&amp;ROW(B125))</f>
        <v>130.8</v>
      </c>
      <c r="P144" s="172" t="str">
        <f t="array" ref="P144">INDIRECT("Update"&amp;Projections!$AG$17&amp;"!C"&amp;ROW(B125))</f>
        <v>Scoot Henderson</v>
      </c>
      <c r="Q144" s="170">
        <f>UpdateHashtag!F184</f>
        <v>68</v>
      </c>
      <c r="R144" s="177" t="str">
        <f>IF(UpdateHashtag!D184="",ROW(UpdateHashtag!D184),UpdateHashtag!D184)</f>
        <v>SF</v>
      </c>
      <c r="S144" s="124">
        <f t="shared" si="1"/>
        <v>-2.547221336</v>
      </c>
      <c r="T144" s="124">
        <f>SUM(AE144:AM144)-IFERROR(IFS(Projections!$I$17,AN144,Projections!$J$17,AO144),"")</f>
        <v>-2.124664641</v>
      </c>
      <c r="U144" s="124">
        <f t="shared" si="2"/>
        <v>0.4225566953</v>
      </c>
      <c r="V144" s="124">
        <f t="array" ref="V144">INDIRECT("Update"&amp;Projections!$AG$17&amp;"!M"&amp;ROW(B125))</f>
        <v>16.42367647</v>
      </c>
      <c r="W144" s="124">
        <f t="array" ref="W144">INDIRECT("Update"&amp;Projections!$AG$17&amp;"!L"&amp;ROW(B125))</f>
        <v>1.855441176</v>
      </c>
      <c r="X144" s="124">
        <f t="array" ref="X144">INDIRECT("Update"&amp;Projections!$AG$17&amp;"!N"&amp;ROW(B125))</f>
        <v>3.452647059</v>
      </c>
      <c r="Y144" s="124">
        <f t="array" ref="Y144">INDIRECT("Update"&amp;Projections!$AG$17&amp;"!O"&amp;ROW(B125))</f>
        <v>6.841323529</v>
      </c>
      <c r="Z144" s="124">
        <f t="array" ref="Z144">INDIRECT("Update"&amp;Projections!$AG$17&amp;"!P"&amp;ROW(B125))</f>
        <v>0.9064705882</v>
      </c>
      <c r="AA144" s="124">
        <f t="array" ref="AA144">INDIRECT("Update"&amp;Projections!$AG$17&amp;"!Q"&amp;ROW(B125))</f>
        <v>0.1901470588</v>
      </c>
      <c r="AB144" s="180">
        <f t="array" ref="AB144">INDIRECT("Update"&amp;Projections!$AG$17&amp;"!I"&amp;ROW(B125))</f>
        <v>0.4143974864</v>
      </c>
      <c r="AC144" s="180">
        <f t="array" ref="AC144">INDIRECT("Update"&amp;Projections!$AG$17&amp;"!K"&amp;ROW(B125))</f>
        <v>0.8190178571</v>
      </c>
      <c r="AD144" s="124">
        <f t="array" ref="AD144">INDIRECT("Update"&amp;Projections!$AG$17&amp;"!R"&amp;ROW(B125))</f>
        <v>3.452647059</v>
      </c>
      <c r="AE144" s="124">
        <f t="shared" si="3"/>
        <v>-0.1919704882</v>
      </c>
      <c r="AF144" s="124">
        <f t="shared" si="4"/>
        <v>0.105912683</v>
      </c>
      <c r="AG144" s="124">
        <f t="shared" si="5"/>
        <v>-1.030984356</v>
      </c>
      <c r="AH144" s="124">
        <f t="shared" si="6"/>
        <v>1.320630042</v>
      </c>
      <c r="AI144" s="124">
        <f t="shared" si="7"/>
        <v>-0.2300250833</v>
      </c>
      <c r="AJ144" s="124">
        <f t="shared" si="8"/>
        <v>-0.9962022832</v>
      </c>
      <c r="AK144" s="124">
        <f t="shared" si="9"/>
        <v>-1.380201869</v>
      </c>
      <c r="AL144" s="124">
        <f t="shared" si="10"/>
        <v>0.2781767136</v>
      </c>
      <c r="AM144" s="124">
        <f t="shared" si="11"/>
        <v>0</v>
      </c>
      <c r="AN144" s="183">
        <f t="shared" si="12"/>
        <v>-1.380201869</v>
      </c>
      <c r="AO144" s="183">
        <f t="shared" si="13"/>
        <v>-2.411186225</v>
      </c>
      <c r="AP144" s="183">
        <f t="array" ref="AP144">INDIRECT("Update"&amp;Projections!$AG$17&amp;"!S"&amp;ROW(B125))</f>
        <v>14.32235294</v>
      </c>
      <c r="AQ144" s="183">
        <f t="array" ref="AQ144">INDIRECT("Update"&amp;Projections!$AG$17&amp;"!T"&amp;ROW(B125))</f>
        <v>3.294117647</v>
      </c>
    </row>
    <row r="145">
      <c r="A145" s="40" t="str">
        <f>IF(UpdateHashtag!C143="",ROW(UpdateHashtag!C143),UpdateHashtag!C143)</f>
        <v>Rui Hachimura</v>
      </c>
      <c r="B145" s="41">
        <f>IF(TYPE($A145)=1,"",(UpdateHashtag!M143-B$1)/B$2)</f>
        <v>-0.4846473274</v>
      </c>
      <c r="C145" s="41">
        <f>IF(TYPE($A145)=1,"",(UpdateHashtag!L143-C$1)/C$2)</f>
        <v>-0.2466595634</v>
      </c>
      <c r="D145" s="41">
        <f>IF(TYPE($A145)=1,"",(UpdateHashtag!N143-D$1)/D$2)</f>
        <v>-0.3461845134</v>
      </c>
      <c r="E145" s="41">
        <f>IF(TYPE($A145)=1,"",(UpdateHashtag!O143-E$1)/E$2)</f>
        <v>-1.195897812</v>
      </c>
      <c r="F145" s="41">
        <f>IF(TYPE($A145)=1,"",(UpdateHashtag!P143-F$1)/F$2)</f>
        <v>-0.9130944927</v>
      </c>
      <c r="G145" s="41">
        <f>IF(TYPE($A145)=1,"",(UpdateHashtag!Q143-G$1)/G$2)</f>
        <v>-0.4435337589</v>
      </c>
      <c r="H145" s="41">
        <f>IF(TYPE($A145)=1,"",(UpdateHashtag!I143-H$1)/H$2*I145/$I$1)</f>
        <v>0.2202012078</v>
      </c>
      <c r="I145" s="41">
        <f>UpdateHashtag!S143</f>
        <v>11.3</v>
      </c>
      <c r="J145" s="53">
        <f>IF(TYPE($A145)=1,"",(UpdateHashtag!K143-J$1)/J$2*K145/$K$1)</f>
        <v>-0.4442408473</v>
      </c>
      <c r="K145" s="55">
        <f>UpdateHashtag!T143</f>
        <v>2.3</v>
      </c>
      <c r="L145" s="41">
        <f>IF(TYPE($A145)=1,"",-(UpdateHashtag!R143-L$1)/L$2)</f>
        <v>0.8418166868</v>
      </c>
      <c r="N145" s="5">
        <v>125.0</v>
      </c>
      <c r="O145" s="170">
        <f t="array" ref="O145">INDIRECT("Update"&amp;Projections!$AG$17&amp;"!B"&amp;ROW(B126))</f>
        <v>142</v>
      </c>
      <c r="P145" s="172" t="str">
        <f t="array" ref="P145">INDIRECT("Update"&amp;Projections!$AG$17&amp;"!C"&amp;ROW(B126))</f>
        <v>De'Anthony Melton</v>
      </c>
      <c r="Q145" s="170">
        <f>UpdateHashtag!F180</f>
        <v>58</v>
      </c>
      <c r="R145" s="177" t="str">
        <f>IF(UpdateHashtag!D180="",ROW(UpdateHashtag!D180),UpdateHashtag!D180)</f>
        <v>PG,SG,SF</v>
      </c>
      <c r="S145" s="124">
        <f t="shared" si="1"/>
        <v>-2.049258577</v>
      </c>
      <c r="T145" s="124">
        <f>SUM(AE145:AM145)-IFERROR(IFS(Projections!$I$17,AN145,Projections!$J$17,AO145),"")</f>
        <v>-2.19875714</v>
      </c>
      <c r="U145" s="124">
        <f t="shared" si="2"/>
        <v>-0.149498563</v>
      </c>
      <c r="V145" s="124">
        <f t="array" ref="V145">INDIRECT("Update"&amp;Projections!$AG$17&amp;"!M"&amp;ROW(B126))</f>
        <v>11.52258065</v>
      </c>
      <c r="W145" s="124">
        <f t="array" ref="W145">INDIRECT("Update"&amp;Projections!$AG$17&amp;"!L"&amp;ROW(B126))</f>
        <v>2.155967742</v>
      </c>
      <c r="X145" s="124">
        <f t="array" ref="X145">INDIRECT("Update"&amp;Projections!$AG$17&amp;"!N"&amp;ROW(B126))</f>
        <v>3.437419355</v>
      </c>
      <c r="Y145" s="124">
        <f t="array" ref="Y145">INDIRECT("Update"&amp;Projections!$AG$17&amp;"!O"&amp;ROW(B126))</f>
        <v>2.546290323</v>
      </c>
      <c r="Z145" s="124">
        <f t="array" ref="Z145">INDIRECT("Update"&amp;Projections!$AG$17&amp;"!P"&amp;ROW(B126))</f>
        <v>1.405</v>
      </c>
      <c r="AA145" s="124">
        <f t="array" ref="AA145">INDIRECT("Update"&amp;Projections!$AG$17&amp;"!Q"&amp;ROW(B126))</f>
        <v>0.4169354839</v>
      </c>
      <c r="AB145" s="180">
        <f t="array" ref="AB145">INDIRECT("Update"&amp;Projections!$AG$17&amp;"!I"&amp;ROW(B126))</f>
        <v>0.4041167362</v>
      </c>
      <c r="AC145" s="180">
        <f t="array" ref="AC145">INDIRECT("Update"&amp;Projections!$AG$17&amp;"!K"&amp;ROW(B126))</f>
        <v>0.8470419686</v>
      </c>
      <c r="AD145" s="124">
        <f t="array" ref="AD145">INDIRECT("Update"&amp;Projections!$AG$17&amp;"!R"&amp;ROW(B126))</f>
        <v>1.145806452</v>
      </c>
      <c r="AE145" s="124">
        <f t="shared" si="3"/>
        <v>-1.075420646</v>
      </c>
      <c r="AF145" s="124">
        <f t="shared" si="4"/>
        <v>0.4040135606</v>
      </c>
      <c r="AG145" s="124">
        <f t="shared" si="5"/>
        <v>-1.0369522</v>
      </c>
      <c r="AH145" s="124">
        <f t="shared" si="6"/>
        <v>-0.6299095066</v>
      </c>
      <c r="AI145" s="124">
        <f t="shared" si="7"/>
        <v>1.41926644</v>
      </c>
      <c r="AJ145" s="124">
        <f t="shared" si="8"/>
        <v>-0.5916916023</v>
      </c>
      <c r="AK145" s="124">
        <f t="shared" si="9"/>
        <v>-1.038104381</v>
      </c>
      <c r="AL145" s="124">
        <f t="shared" si="10"/>
        <v>0.350041195</v>
      </c>
      <c r="AM145" s="124">
        <f t="shared" si="11"/>
        <v>0</v>
      </c>
      <c r="AN145" s="183">
        <f t="shared" si="12"/>
        <v>-1.075420646</v>
      </c>
      <c r="AO145" s="183">
        <f t="shared" si="13"/>
        <v>-2.113525027</v>
      </c>
      <c r="AP145" s="183">
        <f t="array" ref="AP145">INDIRECT("Update"&amp;Projections!$AG$17&amp;"!S"&amp;ROW(B126))</f>
        <v>9.583225806</v>
      </c>
      <c r="AQ145" s="183">
        <f t="array" ref="AQ145">INDIRECT("Update"&amp;Projections!$AG$17&amp;"!T"&amp;ROW(B126))</f>
        <v>1.913870968</v>
      </c>
    </row>
    <row r="146">
      <c r="A146" s="40" t="str">
        <f>IF(UpdateHashtag!C144="",ROW(UpdateHashtag!C144),UpdateHashtag!C144)</f>
        <v>Josh Hart</v>
      </c>
      <c r="B146" s="41">
        <f>IF(TYPE($A146)=1,"",(UpdateHashtag!M144-B$1)/B$2)</f>
        <v>-1.512104468</v>
      </c>
      <c r="C146" s="41">
        <f>IF(TYPE($A146)=1,"",(UpdateHashtag!L144-C$1)/C$2)</f>
        <v>-0.8418166868</v>
      </c>
      <c r="D146" s="41">
        <f>IF(TYPE($A146)=1,"",(UpdateHashtag!N144-D$1)/D$2)</f>
        <v>0.7119643767</v>
      </c>
      <c r="E146" s="41">
        <f>IF(TYPE($A146)=1,"",(UpdateHashtag!O144-E$1)/E$2)</f>
        <v>-0.01513794698</v>
      </c>
      <c r="F146" s="41">
        <f>IF(TYPE($A146)=1,"",(UpdateHashtag!P144-F$1)/F$2)</f>
        <v>0.0793995211</v>
      </c>
      <c r="G146" s="41">
        <f>IF(TYPE($A146)=1,"",(UpdateHashtag!Q144-G$1)/G$2)</f>
        <v>-0.8002633236</v>
      </c>
      <c r="H146" s="41">
        <f>IF(TYPE($A146)=1,"",(UpdateHashtag!I144-H$1)/H$2*I146/$I$1)</f>
        <v>-0.3511003028</v>
      </c>
      <c r="I146" s="41">
        <f>UpdateHashtag!S144</f>
        <v>7.5</v>
      </c>
      <c r="J146" s="53">
        <f>IF(TYPE($A146)=1,"",(UpdateHashtag!K144-J$1)/J$2*K146/$K$1)</f>
        <v>-0.1895789227</v>
      </c>
      <c r="K146" s="55">
        <f>UpdateHashtag!T144</f>
        <v>1.8</v>
      </c>
      <c r="L146" s="41">
        <f>IF(TYPE($A146)=1,"",-(UpdateHashtag!R144-L$1)/L$2)</f>
        <v>0.04827385557</v>
      </c>
      <c r="N146" s="112">
        <v>126.0</v>
      </c>
      <c r="O146" s="170">
        <f t="array" ref="O146">INDIRECT("Update"&amp;Projections!$AG$17&amp;"!B"&amp;ROW(B127))</f>
        <v>140.6</v>
      </c>
      <c r="P146" s="172" t="str">
        <f t="array" ref="P146">INDIRECT("Update"&amp;Projections!$AG$17&amp;"!C"&amp;ROW(B127))</f>
        <v>Andrew Nembhard</v>
      </c>
      <c r="Q146" s="170">
        <f>UpdateHashtag!F174</f>
        <v>60</v>
      </c>
      <c r="R146" s="177" t="str">
        <f>IF(UpdateHashtag!D174="",ROW(UpdateHashtag!D174),UpdateHashtag!D174)</f>
        <v>SG,SF</v>
      </c>
      <c r="S146" s="124">
        <f t="shared" si="1"/>
        <v>-2.447536586</v>
      </c>
      <c r="T146" s="124">
        <f>SUM(AE146:AM146)-IFERROR(IFS(Projections!$I$17,AN146,Projections!$J$17,AO146),"")</f>
        <v>-2.540623871</v>
      </c>
      <c r="U146" s="124">
        <f t="shared" si="2"/>
        <v>-0.09308728469</v>
      </c>
      <c r="V146" s="124">
        <f t="array" ref="V146">INDIRECT("Update"&amp;Projections!$AG$17&amp;"!M"&amp;ROW(B127))</f>
        <v>12.56383562</v>
      </c>
      <c r="W146" s="124">
        <f t="array" ref="W146">INDIRECT("Update"&amp;Projections!$AG$17&amp;"!L"&amp;ROW(B127))</f>
        <v>1.626164384</v>
      </c>
      <c r="X146" s="124">
        <f t="array" ref="X146">INDIRECT("Update"&amp;Projections!$AG$17&amp;"!N"&amp;ROW(B127))</f>
        <v>2.677945205</v>
      </c>
      <c r="Y146" s="124">
        <f t="array" ref="Y146">INDIRECT("Update"&amp;Projections!$AG$17&amp;"!O"&amp;ROW(B127))</f>
        <v>5.081369863</v>
      </c>
      <c r="Z146" s="124">
        <f t="array" ref="Z146">INDIRECT("Update"&amp;Projections!$AG$17&amp;"!P"&amp;ROW(B127))</f>
        <v>1.118630137</v>
      </c>
      <c r="AA146" s="124">
        <f t="array" ref="AA146">INDIRECT("Update"&amp;Projections!$AG$17&amp;"!Q"&amp;ROW(B127))</f>
        <v>0.1357534247</v>
      </c>
      <c r="AB146" s="180">
        <f t="array" ref="AB146">INDIRECT("Update"&amp;Projections!$AG$17&amp;"!I"&amp;ROW(B127))</f>
        <v>0.4832456129</v>
      </c>
      <c r="AC146" s="180">
        <f t="array" ref="AC146">INDIRECT("Update"&amp;Projections!$AG$17&amp;"!K"&amp;ROW(B127))</f>
        <v>0.8149363434</v>
      </c>
      <c r="AD146" s="124">
        <f t="array" ref="AD146">INDIRECT("Update"&amp;Projections!$AG$17&amp;"!R"&amp;ROW(B127))</f>
        <v>1.373287671</v>
      </c>
      <c r="AE146" s="124">
        <f t="shared" si="3"/>
        <v>-0.887728566</v>
      </c>
      <c r="AF146" s="124">
        <f t="shared" si="4"/>
        <v>-0.1215135103</v>
      </c>
      <c r="AG146" s="124">
        <f t="shared" si="5"/>
        <v>-1.334595433</v>
      </c>
      <c r="AH146" s="124">
        <f t="shared" si="6"/>
        <v>0.5213674836</v>
      </c>
      <c r="AI146" s="124">
        <f t="shared" si="7"/>
        <v>0.4718651905</v>
      </c>
      <c r="AJ146" s="124">
        <f t="shared" si="8"/>
        <v>-1.09322137</v>
      </c>
      <c r="AK146" s="124">
        <f t="shared" si="9"/>
        <v>-0.1699691727</v>
      </c>
      <c r="AL146" s="124">
        <f t="shared" si="10"/>
        <v>0.07317150693</v>
      </c>
      <c r="AM146" s="124">
        <f t="shared" si="11"/>
        <v>0</v>
      </c>
      <c r="AN146" s="183">
        <f t="shared" si="12"/>
        <v>-1.334595433</v>
      </c>
      <c r="AO146" s="183">
        <f t="shared" si="13"/>
        <v>-2.427816803</v>
      </c>
      <c r="AP146" s="183">
        <f t="array" ref="AP146">INDIRECT("Update"&amp;Projections!$AG$17&amp;"!S"&amp;ROW(B127))</f>
        <v>10.43684932</v>
      </c>
      <c r="AQ146" s="183">
        <f t="array" ref="AQ146">INDIRECT("Update"&amp;Projections!$AG$17&amp;"!T"&amp;ROW(B127))</f>
        <v>1.04369863</v>
      </c>
    </row>
    <row r="147">
      <c r="A147" s="40" t="str">
        <f>IF(UpdateHashtag!C145="",ROW(UpdateHashtag!C145),UpdateHashtag!C145)</f>
        <v>Wendell Carter Jr.</v>
      </c>
      <c r="B147" s="41">
        <f>IF(TYPE($A147)=1,"",(UpdateHashtag!M145-B$1)/B$2)</f>
        <v>-0.8091074771</v>
      </c>
      <c r="C147" s="41">
        <f>IF(TYPE($A147)=1,"",(UpdateHashtag!L145-C$1)/C$2)</f>
        <v>-0.4450452712</v>
      </c>
      <c r="D147" s="41">
        <f>IF(TYPE($A147)=1,"",(UpdateHashtag!N145-D$1)/D$2)</f>
        <v>0.6335829774</v>
      </c>
      <c r="E147" s="41">
        <f>IF(TYPE($A147)=1,"",(UpdateHashtag!O145-E$1)/E$2)</f>
        <v>-0.878000925</v>
      </c>
      <c r="F147" s="41">
        <f>IF(TYPE($A147)=1,"",(UpdateHashtag!P145-F$1)/F$2)</f>
        <v>-1.243925831</v>
      </c>
      <c r="G147" s="41">
        <f>IF(TYPE($A147)=1,"",(UpdateHashtag!Q145-G$1)/G$2)</f>
        <v>-0.4435337589</v>
      </c>
      <c r="H147" s="41">
        <f>IF(TYPE($A147)=1,"",(UpdateHashtag!I145-H$1)/H$2*I147/$I$1)</f>
        <v>0.2969908046</v>
      </c>
      <c r="I147" s="41">
        <f>UpdateHashtag!S145</f>
        <v>9.2</v>
      </c>
      <c r="J147" s="53">
        <f>IF(TYPE($A147)=1,"",(UpdateHashtag!K145-J$1)/J$2*K147/$K$1)</f>
        <v>-0.7435116439</v>
      </c>
      <c r="K147" s="55">
        <f>UpdateHashtag!T145</f>
        <v>2.9</v>
      </c>
      <c r="L147" s="41">
        <f>IF(TYPE($A147)=1,"",-(UpdateHashtag!R145-L$1)/L$2)</f>
        <v>0.2466595634</v>
      </c>
      <c r="N147" s="112">
        <v>127.0</v>
      </c>
      <c r="O147" s="170">
        <f t="array" ref="O147">INDIRECT("Update"&amp;Projections!$AG$17&amp;"!B"&amp;ROW(B128))</f>
        <v>130.7</v>
      </c>
      <c r="P147" s="172" t="str">
        <f t="array" ref="P147">INDIRECT("Update"&amp;Projections!$AG$17&amp;"!C"&amp;ROW(B128))</f>
        <v>Marcus Smart</v>
      </c>
      <c r="Q147" s="170">
        <f>UpdateHashtag!F175</f>
        <v>28</v>
      </c>
      <c r="R147" s="177" t="str">
        <f>IF(UpdateHashtag!D175="",ROW(UpdateHashtag!D175),UpdateHashtag!D175)</f>
        <v>PG</v>
      </c>
      <c r="S147" s="124">
        <f t="shared" si="1"/>
        <v>-2.312135416</v>
      </c>
      <c r="T147" s="124">
        <f>SUM(AE147:AM147)-IFERROR(IFS(Projections!$I$17,AN147,Projections!$J$17,AO147),"")</f>
        <v>-2.24980924</v>
      </c>
      <c r="U147" s="124">
        <f t="shared" si="2"/>
        <v>0.06232617654</v>
      </c>
      <c r="V147" s="124">
        <f t="array" ref="V147">INDIRECT("Update"&amp;Projections!$AG$17&amp;"!M"&amp;ROW(B128))</f>
        <v>10.58455882</v>
      </c>
      <c r="W147" s="124">
        <f t="array" ref="W147">INDIRECT("Update"&amp;Projections!$AG$17&amp;"!L"&amp;ROW(B128))</f>
        <v>1.756323529</v>
      </c>
      <c r="X147" s="124">
        <f t="array" ref="X147">INDIRECT("Update"&amp;Projections!$AG$17&amp;"!N"&amp;ROW(B128))</f>
        <v>3.0625</v>
      </c>
      <c r="Y147" s="124">
        <f t="array" ref="Y147">INDIRECT("Update"&amp;Projections!$AG$17&amp;"!O"&amp;ROW(B128))</f>
        <v>3.5</v>
      </c>
      <c r="Z147" s="124">
        <f t="array" ref="Z147">INDIRECT("Update"&amp;Projections!$AG$17&amp;"!P"&amp;ROW(B128))</f>
        <v>1.690294118</v>
      </c>
      <c r="AA147" s="124">
        <f t="array" ref="AA147">INDIRECT("Update"&amp;Projections!$AG$17&amp;"!Q"&amp;ROW(B128))</f>
        <v>0.2497058824</v>
      </c>
      <c r="AB147" s="180">
        <f t="array" ref="AB147">INDIRECT("Update"&amp;Projections!$AG$17&amp;"!I"&amp;ROW(B128))</f>
        <v>0.4153441729</v>
      </c>
      <c r="AC147" s="180">
        <f t="array" ref="AC147">INDIRECT("Update"&amp;Projections!$AG$17&amp;"!K"&amp;ROW(B128))</f>
        <v>0.7549748057</v>
      </c>
      <c r="AD147" s="124">
        <f t="array" ref="AD147">INDIRECT("Update"&amp;Projections!$AG$17&amp;"!R"&amp;ROW(B128))</f>
        <v>2</v>
      </c>
      <c r="AE147" s="124">
        <f t="shared" si="3"/>
        <v>-1.24450437</v>
      </c>
      <c r="AF147" s="124">
        <f t="shared" si="4"/>
        <v>0.007595060268</v>
      </c>
      <c r="AG147" s="124">
        <f t="shared" si="5"/>
        <v>-1.183885718</v>
      </c>
      <c r="AH147" s="124">
        <f t="shared" si="6"/>
        <v>-0.1967933108</v>
      </c>
      <c r="AI147" s="124">
        <f t="shared" si="7"/>
        <v>2.363108787</v>
      </c>
      <c r="AJ147" s="124">
        <f t="shared" si="8"/>
        <v>-0.8899703171</v>
      </c>
      <c r="AK147" s="124">
        <f t="shared" si="9"/>
        <v>-0.8633605813</v>
      </c>
      <c r="AL147" s="124">
        <f t="shared" si="10"/>
        <v>-0.2419987901</v>
      </c>
      <c r="AM147" s="124">
        <f t="shared" si="11"/>
        <v>0</v>
      </c>
      <c r="AN147" s="183">
        <f t="shared" si="12"/>
        <v>-1.24450437</v>
      </c>
      <c r="AO147" s="183">
        <f t="shared" si="13"/>
        <v>-2.428390088</v>
      </c>
      <c r="AP147" s="183">
        <f t="array" ref="AP147">INDIRECT("Update"&amp;Projections!$AG$17&amp;"!S"&amp;ROW(B128))</f>
        <v>9.062647059</v>
      </c>
      <c r="AQ147" s="183">
        <f t="array" ref="AQ147">INDIRECT("Update"&amp;Projections!$AG$17&amp;"!T"&amp;ROW(B128))</f>
        <v>1.721911765</v>
      </c>
    </row>
    <row r="148">
      <c r="A148" s="40" t="str">
        <f>IF(UpdateHashtag!C146="",ROW(UpdateHashtag!C146),UpdateHashtag!C146)</f>
        <v>Jeremy Sochan</v>
      </c>
      <c r="B148" s="41">
        <f>IF(TYPE($A148)=1,"",(UpdateHashtag!M146-B$1)/B$2)</f>
        <v>-0.9172608603</v>
      </c>
      <c r="C148" s="41">
        <f>IF(TYPE($A148)=1,"",(UpdateHashtag!L146-C$1)/C$2)</f>
        <v>-0.7426238329</v>
      </c>
      <c r="D148" s="41">
        <f>IF(TYPE($A148)=1,"",(UpdateHashtag!N146-D$1)/D$2)</f>
        <v>0.2808666807</v>
      </c>
      <c r="E148" s="41">
        <f>IF(TYPE($A148)=1,"",(UpdateHashtag!O146-E$1)/E$2)</f>
        <v>-0.3330348336</v>
      </c>
      <c r="F148" s="41">
        <f>IF(TYPE($A148)=1,"",(UpdateHashtag!P146-F$1)/F$2)</f>
        <v>0.0793995211</v>
      </c>
      <c r="G148" s="41">
        <f>IF(TYPE($A148)=1,"",(UpdateHashtag!Q146-G$1)/G$2)</f>
        <v>-0.2651689765</v>
      </c>
      <c r="H148" s="41">
        <f>IF(TYPE($A148)=1,"",(UpdateHashtag!I146-H$1)/H$2*I148/$I$1)</f>
        <v>-0.6812792071</v>
      </c>
      <c r="I148" s="41">
        <f>UpdateHashtag!S146</f>
        <v>11</v>
      </c>
      <c r="J148" s="53">
        <f>IF(TYPE($A148)=1,"",(UpdateHashtag!K146-J$1)/J$2*K148/$K$1)</f>
        <v>-0.193063881</v>
      </c>
      <c r="K148" s="55">
        <f>UpdateHashtag!T146</f>
        <v>2.2</v>
      </c>
      <c r="L148" s="41">
        <f>IF(TYPE($A148)=1,"",-(UpdateHashtag!R146-L$1)/L$2)</f>
        <v>-0.2493047061</v>
      </c>
      <c r="N148" s="5">
        <v>128.0</v>
      </c>
      <c r="O148" s="170">
        <f t="array" ref="O148">INDIRECT("Update"&amp;Projections!$AG$17&amp;"!B"&amp;ROW(B129))</f>
        <v>129.5</v>
      </c>
      <c r="P148" s="172" t="str">
        <f t="array" ref="P148">INDIRECT("Update"&amp;Projections!$AG$17&amp;"!C"&amp;ROW(B129))</f>
        <v>Malik Monk</v>
      </c>
      <c r="Q148" s="170">
        <f>UpdateHashtag!F189</f>
        <v>67</v>
      </c>
      <c r="R148" s="177" t="str">
        <f>IF(UpdateHashtag!D189="",ROW(UpdateHashtag!D189),UpdateHashtag!D189)</f>
        <v>SG</v>
      </c>
      <c r="S148" s="124">
        <f t="shared" si="1"/>
        <v>-2.578340974</v>
      </c>
      <c r="T148" s="124">
        <f>SUM(AE148:AM148)-IFERROR(IFS(Projections!$I$17,AN148,Projections!$J$17,AO148),"")</f>
        <v>-2.561161134</v>
      </c>
      <c r="U148" s="124">
        <f t="shared" si="2"/>
        <v>0.01717983983</v>
      </c>
      <c r="V148" s="124">
        <f t="array" ref="V148">INDIRECT("Update"&amp;Projections!$AG$17&amp;"!M"&amp;ROW(B129))</f>
        <v>15.73054795</v>
      </c>
      <c r="W148" s="124">
        <f t="array" ref="W148">INDIRECT("Update"&amp;Projections!$AG$17&amp;"!L"&amp;ROW(B129))</f>
        <v>1.898082192</v>
      </c>
      <c r="X148" s="124">
        <f t="array" ref="X148">INDIRECT("Update"&amp;Projections!$AG$17&amp;"!N"&amp;ROW(B129))</f>
        <v>3.181506849</v>
      </c>
      <c r="Y148" s="124">
        <f t="array" ref="Y148">INDIRECT("Update"&amp;Projections!$AG$17&amp;"!O"&amp;ROW(B129))</f>
        <v>4.374520548</v>
      </c>
      <c r="Z148" s="124">
        <f t="array" ref="Z148">INDIRECT("Update"&amp;Projections!$AG$17&amp;"!P"&amp;ROW(B129))</f>
        <v>0.6926027397</v>
      </c>
      <c r="AA148" s="124">
        <f t="array" ref="AA148">INDIRECT("Update"&amp;Projections!$AG$17&amp;"!Q"&amp;ROW(B129))</f>
        <v>0.5060273973</v>
      </c>
      <c r="AB148" s="180">
        <f t="array" ref="AB148">INDIRECT("Update"&amp;Projections!$AG$17&amp;"!I"&amp;ROW(B129))</f>
        <v>0.4548712936</v>
      </c>
      <c r="AC148" s="180">
        <f t="array" ref="AC148">INDIRECT("Update"&amp;Projections!$AG$17&amp;"!K"&amp;ROW(B129))</f>
        <v>0.8500123426</v>
      </c>
      <c r="AD148" s="124">
        <f t="array" ref="AD148">INDIRECT("Update"&amp;Projections!$AG$17&amp;"!R"&amp;ROW(B129))</f>
        <v>1.817945205</v>
      </c>
      <c r="AE148" s="124">
        <f t="shared" si="3"/>
        <v>-0.3169108123</v>
      </c>
      <c r="AF148" s="124">
        <f t="shared" si="4"/>
        <v>0.1482095238</v>
      </c>
      <c r="AG148" s="124">
        <f t="shared" si="5"/>
        <v>-1.137246101</v>
      </c>
      <c r="AH148" s="124">
        <f t="shared" si="6"/>
        <v>0.20036006</v>
      </c>
      <c r="AI148" s="124">
        <f t="shared" si="7"/>
        <v>-0.9375669479</v>
      </c>
      <c r="AJ148" s="124">
        <f t="shared" si="8"/>
        <v>-0.4327830048</v>
      </c>
      <c r="AK148" s="124">
        <f t="shared" si="9"/>
        <v>-0.6216541563</v>
      </c>
      <c r="AL148" s="124">
        <f t="shared" si="10"/>
        <v>0.5364303049</v>
      </c>
      <c r="AM148" s="124">
        <f t="shared" si="11"/>
        <v>0</v>
      </c>
      <c r="AN148" s="183">
        <f t="shared" si="12"/>
        <v>-1.137246101</v>
      </c>
      <c r="AO148" s="183">
        <f t="shared" si="13"/>
        <v>-2.074813049</v>
      </c>
      <c r="AP148" s="183">
        <f t="array" ref="AP148">INDIRECT("Update"&amp;Projections!$AG$17&amp;"!S"&amp;ROW(B129))</f>
        <v>12.61232877</v>
      </c>
      <c r="AQ148" s="183">
        <f t="array" ref="AQ148">INDIRECT("Update"&amp;Projections!$AG$17&amp;"!T"&amp;ROW(B129))</f>
        <v>2.774657534</v>
      </c>
    </row>
    <row r="149">
      <c r="A149" s="40" t="str">
        <f>IF(UpdateHashtag!C147="",ROW(UpdateHashtag!C147),UpdateHashtag!C147)</f>
        <v>Aaron Nesmith</v>
      </c>
      <c r="B149" s="41">
        <f>IF(TYPE($A149)=1,"",(UpdateHashtag!M147-B$1)/B$2)</f>
        <v>-1.00738868</v>
      </c>
      <c r="C149" s="41">
        <f>IF(TYPE($A149)=1,"",(UpdateHashtag!L147-C$1)/C$2)</f>
        <v>0.1501118522</v>
      </c>
      <c r="D149" s="41">
        <f>IF(TYPE($A149)=1,"",(UpdateHashtag!N147-D$1)/D$2)</f>
        <v>-0.7772822094</v>
      </c>
      <c r="E149" s="41">
        <f>IF(TYPE($A149)=1,"",(UpdateHashtag!O147-E$1)/E$2)</f>
        <v>-1.10507013</v>
      </c>
      <c r="F149" s="41">
        <f>IF(TYPE($A149)=1,"",(UpdateHashtag!P147-F$1)/F$2)</f>
        <v>-0.2514318168</v>
      </c>
      <c r="G149" s="41">
        <f>IF(TYPE($A149)=1,"",(UpdateHashtag!Q147-G$1)/G$2)</f>
        <v>-0.2651689765</v>
      </c>
      <c r="H149" s="41">
        <f>IF(TYPE($A149)=1,"",(UpdateHashtag!I147-H$1)/H$2*I149/$I$1)</f>
        <v>-0.2072412623</v>
      </c>
      <c r="I149" s="41">
        <f>UpdateHashtag!S147</f>
        <v>8.8</v>
      </c>
      <c r="J149" s="53">
        <f>IF(TYPE($A149)=1,"",(UpdateHashtag!K147-J$1)/J$2*K149/$K$1)</f>
        <v>0.007166648177</v>
      </c>
      <c r="K149" s="55">
        <f>UpdateHashtag!T147</f>
        <v>2</v>
      </c>
      <c r="L149" s="41">
        <f>IF(TYPE($A149)=1,"",-(UpdateHashtag!R147-L$1)/L$2)</f>
        <v>0.7426238329</v>
      </c>
      <c r="N149" s="112">
        <v>129.0</v>
      </c>
      <c r="O149" s="170">
        <f t="array" ref="O149">INDIRECT("Update"&amp;Projections!$AG$17&amp;"!B"&amp;ROW(B130))</f>
        <v>110.3</v>
      </c>
      <c r="P149" s="172" t="str">
        <f t="array" ref="P149">INDIRECT("Update"&amp;Projections!$AG$17&amp;"!C"&amp;ROW(B130))</f>
        <v>Donte DiVincenzo</v>
      </c>
      <c r="Q149" s="170">
        <f>UpdateHashtag!F191</f>
        <v>65</v>
      </c>
      <c r="R149" s="177" t="str">
        <f>IF(UpdateHashtag!D191="",ROW(UpdateHashtag!D191),UpdateHashtag!D191)</f>
        <v>PF</v>
      </c>
      <c r="S149" s="124">
        <f t="shared" si="1"/>
        <v>-2.390405452</v>
      </c>
      <c r="T149" s="124">
        <f>SUM(AE149:AM149)-IFERROR(IFS(Projections!$I$17,AN149,Projections!$J$17,AO149),"")</f>
        <v>-2.483798468</v>
      </c>
      <c r="U149" s="124">
        <f t="shared" si="2"/>
        <v>-0.09339301591</v>
      </c>
      <c r="V149" s="124">
        <f t="array" ref="V149">INDIRECT("Update"&amp;Projections!$AG$17&amp;"!M"&amp;ROW(B130))</f>
        <v>12.27575342</v>
      </c>
      <c r="W149" s="124">
        <f t="array" ref="W149">INDIRECT("Update"&amp;Projections!$AG$17&amp;"!L"&amp;ROW(B130))</f>
        <v>2.784657534</v>
      </c>
      <c r="X149" s="124">
        <f t="array" ref="X149">INDIRECT("Update"&amp;Projections!$AG$17&amp;"!N"&amp;ROW(B130))</f>
        <v>3.503561644</v>
      </c>
      <c r="Y149" s="124">
        <f t="array" ref="Y149">INDIRECT("Update"&amp;Projections!$AG$17&amp;"!O"&amp;ROW(B130))</f>
        <v>2.388767123</v>
      </c>
      <c r="Z149" s="124">
        <f t="array" ref="Z149">INDIRECT("Update"&amp;Projections!$AG$17&amp;"!P"&amp;ROW(B130))</f>
        <v>1.102191781</v>
      </c>
      <c r="AA149" s="124">
        <f t="array" ref="AA149">INDIRECT("Update"&amp;Projections!$AG$17&amp;"!Q"&amp;ROW(B130))</f>
        <v>0.4417808219</v>
      </c>
      <c r="AB149" s="180">
        <f t="array" ref="AB149">INDIRECT("Update"&amp;Projections!$AG$17&amp;"!I"&amp;ROW(B130))</f>
        <v>0.4359206643</v>
      </c>
      <c r="AC149" s="180">
        <f t="array" ref="AC149">INDIRECT("Update"&amp;Projections!$AG$17&amp;"!K"&amp;ROW(B130))</f>
        <v>0.79</v>
      </c>
      <c r="AD149" s="124">
        <f t="array" ref="AD149">INDIRECT("Update"&amp;Projections!$AG$17&amp;"!R"&amp;ROW(B130))</f>
        <v>1.372054795</v>
      </c>
      <c r="AE149" s="124">
        <f t="shared" si="3"/>
        <v>-0.939657007</v>
      </c>
      <c r="AF149" s="124">
        <f t="shared" si="4"/>
        <v>1.027628907</v>
      </c>
      <c r="AG149" s="124">
        <f t="shared" si="5"/>
        <v>-1.011030574</v>
      </c>
      <c r="AH149" s="124">
        <f t="shared" si="6"/>
        <v>-0.7014468421</v>
      </c>
      <c r="AI149" s="124">
        <f t="shared" si="7"/>
        <v>0.4174819574</v>
      </c>
      <c r="AJ149" s="124">
        <f t="shared" si="8"/>
        <v>-0.5473762692</v>
      </c>
      <c r="AK149" s="124">
        <f t="shared" si="9"/>
        <v>-0.7119035877</v>
      </c>
      <c r="AL149" s="124">
        <f t="shared" si="10"/>
        <v>-0.0174950529</v>
      </c>
      <c r="AM149" s="124">
        <f t="shared" si="11"/>
        <v>0</v>
      </c>
      <c r="AN149" s="183">
        <f t="shared" si="12"/>
        <v>-1.011030574</v>
      </c>
      <c r="AO149" s="183">
        <f t="shared" si="13"/>
        <v>-1.950687581</v>
      </c>
      <c r="AP149" s="183">
        <f t="array" ref="AP149">INDIRECT("Update"&amp;Projections!$AG$17&amp;"!S"&amp;ROW(B130))</f>
        <v>9.980136986</v>
      </c>
      <c r="AQ149" s="183">
        <f t="array" ref="AQ149">INDIRECT("Update"&amp;Projections!$AG$17&amp;"!T"&amp;ROW(B130))</f>
        <v>1</v>
      </c>
    </row>
    <row r="150">
      <c r="A150" s="40" t="str">
        <f>IF(UpdateHashtag!C148="",ROW(UpdateHashtag!C148),UpdateHashtag!C148)</f>
        <v>Brandon Clarke</v>
      </c>
      <c r="B150" s="41">
        <f>IF(TYPE($A150)=1,"",(UpdateHashtag!M148-B$1)/B$2)</f>
        <v>-1.097516499</v>
      </c>
      <c r="C150" s="41">
        <f>IF(TYPE($A150)=1,"",(UpdateHashtag!L148-C$1)/C$2)</f>
        <v>-1.734552372</v>
      </c>
      <c r="D150" s="41">
        <f>IF(TYPE($A150)=1,"",(UpdateHashtag!N148-D$1)/D$2)</f>
        <v>0.04572248291</v>
      </c>
      <c r="E150" s="41">
        <f>IF(TYPE($A150)=1,"",(UpdateHashtag!O148-E$1)/E$2)</f>
        <v>-1.10507013</v>
      </c>
      <c r="F150" s="41">
        <f>IF(TYPE($A150)=1,"",(UpdateHashtag!P148-F$1)/F$2)</f>
        <v>-0.9130944927</v>
      </c>
      <c r="G150" s="41">
        <f>IF(TYPE($A150)=1,"",(UpdateHashtag!Q148-G$1)/G$2)</f>
        <v>0.09156058829</v>
      </c>
      <c r="H150" s="41">
        <f>IF(TYPE($A150)=1,"",(UpdateHashtag!I148-H$1)/H$2*I150/$I$1)</f>
        <v>1.245949146</v>
      </c>
      <c r="I150" s="41">
        <f>UpdateHashtag!S148</f>
        <v>7.4</v>
      </c>
      <c r="J150" s="53">
        <f>IF(TYPE($A150)=1,"",(UpdateHashtag!K148-J$1)/J$2*K150/$K$1)</f>
        <v>-0.913213657</v>
      </c>
      <c r="K150" s="55">
        <f>UpdateHashtag!T148</f>
        <v>2.6</v>
      </c>
      <c r="L150" s="41">
        <f>IF(TYPE($A150)=1,"",-(UpdateHashtag!R148-L$1)/L$2)</f>
        <v>0.643430979</v>
      </c>
      <c r="N150" s="112">
        <v>130.0</v>
      </c>
      <c r="O150" s="170">
        <f t="array" ref="O150">INDIRECT("Update"&amp;Projections!$AG$17&amp;"!B"&amp;ROW(B131))</f>
        <v>146.3</v>
      </c>
      <c r="P150" s="172" t="str">
        <f t="array" ref="P150">INDIRECT("Update"&amp;Projections!$AG$17&amp;"!C"&amp;ROW(B131))</f>
        <v>Keon Ellis</v>
      </c>
      <c r="Q150" s="170">
        <f>UpdateHashtag!F188</f>
        <v>72</v>
      </c>
      <c r="R150" s="177" t="str">
        <f>IF(UpdateHashtag!D188="",ROW(UpdateHashtag!D188),UpdateHashtag!D188)</f>
        <v>PG</v>
      </c>
      <c r="S150" s="124">
        <f t="shared" si="1"/>
        <v>-2.281861491</v>
      </c>
      <c r="T150" s="124">
        <f>SUM(AE150:AM150)-IFERROR(IFS(Projections!$I$17,AN150,Projections!$J$17,AO150),"")</f>
        <v>-2.525572445</v>
      </c>
      <c r="U150" s="124">
        <f t="shared" si="2"/>
        <v>-0.2437109539</v>
      </c>
      <c r="V150" s="124">
        <f t="array" ref="V150">INDIRECT("Update"&amp;Projections!$AG$17&amp;"!M"&amp;ROW(B131))</f>
        <v>8.132054795</v>
      </c>
      <c r="W150" s="124">
        <f t="array" ref="W150">INDIRECT("Update"&amp;Projections!$AG$17&amp;"!L"&amp;ROW(B131))</f>
        <v>1.812328767</v>
      </c>
      <c r="X150" s="124">
        <f t="array" ref="X150">INDIRECT("Update"&amp;Projections!$AG$17&amp;"!N"&amp;ROW(B131))</f>
        <v>3.337260274</v>
      </c>
      <c r="Y150" s="124">
        <f t="array" ref="Y150">INDIRECT("Update"&amp;Projections!$AG$17&amp;"!O"&amp;ROW(B131))</f>
        <v>1.750684932</v>
      </c>
      <c r="Z150" s="124">
        <f t="array" ref="Z150">INDIRECT("Update"&amp;Projections!$AG$17&amp;"!P"&amp;ROW(B131))</f>
        <v>1.491369863</v>
      </c>
      <c r="AA150" s="124">
        <f t="array" ref="AA150">INDIRECT("Update"&amp;Projections!$AG$17&amp;"!Q"&amp;ROW(B131))</f>
        <v>0.6564383562</v>
      </c>
      <c r="AB150" s="180">
        <f t="array" ref="AB150">INDIRECT("Update"&amp;Projections!$AG$17&amp;"!I"&amp;ROW(B131))</f>
        <v>0.4362947585</v>
      </c>
      <c r="AC150" s="180">
        <f t="array" ref="AC150">INDIRECT("Update"&amp;Projections!$AG$17&amp;"!K"&amp;ROW(B131))</f>
        <v>0.8199327423</v>
      </c>
      <c r="AD150" s="124">
        <f t="array" ref="AD150">INDIRECT("Update"&amp;Projections!$AG$17&amp;"!R"&amp;ROW(B131))</f>
        <v>0.765890411</v>
      </c>
      <c r="AE150" s="124">
        <f t="shared" si="3"/>
        <v>-1.686582049</v>
      </c>
      <c r="AF150" s="124">
        <f t="shared" si="4"/>
        <v>0.06314825418</v>
      </c>
      <c r="AG150" s="124">
        <f t="shared" si="5"/>
        <v>-1.076205244</v>
      </c>
      <c r="AH150" s="124">
        <f t="shared" si="6"/>
        <v>-0.9912244734</v>
      </c>
      <c r="AI150" s="124">
        <f t="shared" si="7"/>
        <v>1.705005013</v>
      </c>
      <c r="AJ150" s="124">
        <f t="shared" si="8"/>
        <v>-0.1645028253</v>
      </c>
      <c r="AK150" s="124">
        <f t="shared" si="9"/>
        <v>-0.4537693837</v>
      </c>
      <c r="AL150" s="124">
        <f t="shared" si="10"/>
        <v>0.07855826412</v>
      </c>
      <c r="AM150" s="124">
        <f t="shared" si="11"/>
        <v>0</v>
      </c>
      <c r="AN150" s="183">
        <f t="shared" si="12"/>
        <v>-1.686582049</v>
      </c>
      <c r="AO150" s="183">
        <f t="shared" si="13"/>
        <v>-2.762787294</v>
      </c>
      <c r="AP150" s="183">
        <f t="array" ref="AP150">INDIRECT("Update"&amp;Projections!$AG$17&amp;"!S"&amp;ROW(B131))</f>
        <v>6.400410959</v>
      </c>
      <c r="AQ150" s="183">
        <f t="array" ref="AQ150">INDIRECT("Update"&amp;Projections!$AG$17&amp;"!T"&amp;ROW(B131))</f>
        <v>0.8961643836</v>
      </c>
    </row>
    <row r="151">
      <c r="A151" s="40" t="str">
        <f>IF(UpdateHashtag!C149="",ROW(UpdateHashtag!C149),UpdateHashtag!C149)</f>
        <v>Marvin Bagley III</v>
      </c>
      <c r="B151" s="41">
        <f>IF(TYPE($A151)=1,"",(UpdateHashtag!M149-B$1)/B$2)</f>
        <v>-0.7370052216</v>
      </c>
      <c r="C151" s="41">
        <f>IF(TYPE($A151)=1,"",(UpdateHashtag!L149-C$1)/C$2)</f>
        <v>-1.43697381</v>
      </c>
      <c r="D151" s="41">
        <f>IF(TYPE($A151)=1,"",(UpdateHashtag!N149-D$1)/D$2)</f>
        <v>0.4376294792</v>
      </c>
      <c r="E151" s="41">
        <f>IF(TYPE($A151)=1,"",(UpdateHashtag!O149-E$1)/E$2)</f>
        <v>-1.286725494</v>
      </c>
      <c r="F151" s="41">
        <f>IF(TYPE($A151)=1,"",(UpdateHashtag!P149-F$1)/F$2)</f>
        <v>-1.574757169</v>
      </c>
      <c r="G151" s="41">
        <f>IF(TYPE($A151)=1,"",(UpdateHashtag!Q149-G$1)/G$2)</f>
        <v>0.09156058829</v>
      </c>
      <c r="H151" s="41">
        <f>IF(TYPE($A151)=1,"",(UpdateHashtag!I149-H$1)/H$2*I151/$I$1)</f>
        <v>0.6925262035</v>
      </c>
      <c r="I151" s="41">
        <f>UpdateHashtag!S149</f>
        <v>9.8</v>
      </c>
      <c r="J151" s="53">
        <f>IF(TYPE($A151)=1,"",(UpdateHashtag!K149-J$1)/J$2*K151/$K$1)</f>
        <v>-0.4073115308</v>
      </c>
      <c r="K151" s="55">
        <f>UpdateHashtag!T149</f>
        <v>2.9</v>
      </c>
      <c r="L151" s="41">
        <f>IF(TYPE($A151)=1,"",-(UpdateHashtag!R149-L$1)/L$2)</f>
        <v>0.4450452712</v>
      </c>
      <c r="N151" s="5">
        <v>131.0</v>
      </c>
      <c r="O151" s="170">
        <f t="array" ref="O151">INDIRECT("Update"&amp;Projections!$AG$17&amp;"!B"&amp;ROW(B132))</f>
        <v>107.7</v>
      </c>
      <c r="P151" s="172" t="str">
        <f t="array" ref="P151">INDIRECT("Update"&amp;Projections!$AG$17&amp;"!C"&amp;ROW(B132))</f>
        <v>RJ Barrett</v>
      </c>
      <c r="Q151" s="170">
        <f>UpdateHashtag!F200</f>
        <v>78</v>
      </c>
      <c r="R151" s="177" t="str">
        <f>IF(UpdateHashtag!D200="",ROW(UpdateHashtag!D200),UpdateHashtag!D200)</f>
        <v>SG,SF</v>
      </c>
      <c r="S151" s="124">
        <f t="shared" si="1"/>
        <v>-3.055735266</v>
      </c>
      <c r="T151" s="124">
        <f>SUM(AE151:AM151)-IFERROR(IFS(Projections!$I$17,AN151,Projections!$J$17,AO151),"")</f>
        <v>-2.891554074</v>
      </c>
      <c r="U151" s="124">
        <f t="shared" si="2"/>
        <v>0.1641811916</v>
      </c>
      <c r="V151" s="124">
        <f t="array" ref="V151">INDIRECT("Update"&amp;Projections!$AG$17&amp;"!M"&amp;ROW(B132))</f>
        <v>21.90529412</v>
      </c>
      <c r="W151" s="124">
        <f t="array" ref="W151">INDIRECT("Update"&amp;Projections!$AG$17&amp;"!L"&amp;ROW(B132))</f>
        <v>1.264558824</v>
      </c>
      <c r="X151" s="124">
        <f t="array" ref="X151">INDIRECT("Update"&amp;Projections!$AG$17&amp;"!N"&amp;ROW(B132))</f>
        <v>6.186176471</v>
      </c>
      <c r="Y151" s="124">
        <f t="array" ref="Y151">INDIRECT("Update"&amp;Projections!$AG$17&amp;"!O"&amp;ROW(B132))</f>
        <v>4.197794118</v>
      </c>
      <c r="Z151" s="124">
        <f t="array" ref="Z151">INDIRECT("Update"&amp;Projections!$AG$17&amp;"!P"&amp;ROW(B132))</f>
        <v>0.5973529412</v>
      </c>
      <c r="AA151" s="124">
        <f t="array" ref="AA151">INDIRECT("Update"&amp;Projections!$AG$17&amp;"!Q"&amp;ROW(B132))</f>
        <v>0.3647058824</v>
      </c>
      <c r="AB151" s="180">
        <f t="array" ref="AB151">INDIRECT("Update"&amp;Projections!$AG$17&amp;"!I"&amp;ROW(B132))</f>
        <v>0.5216020917</v>
      </c>
      <c r="AC151" s="180">
        <f t="array" ref="AC151">INDIRECT("Update"&amp;Projections!$AG$17&amp;"!K"&amp;ROW(B132))</f>
        <v>0.6889948007</v>
      </c>
      <c r="AD151" s="124">
        <f t="array" ref="AD151">INDIRECT("Update"&amp;Projections!$AG$17&amp;"!R"&amp;ROW(B132))</f>
        <v>2.410735294</v>
      </c>
      <c r="AE151" s="124">
        <f t="shared" si="3"/>
        <v>0.7961220027</v>
      </c>
      <c r="AF151" s="124">
        <f t="shared" si="4"/>
        <v>-0.4802003851</v>
      </c>
      <c r="AG151" s="124">
        <f t="shared" si="5"/>
        <v>0.04030494518</v>
      </c>
      <c r="AH151" s="124">
        <f t="shared" si="6"/>
        <v>0.1201018001</v>
      </c>
      <c r="AI151" s="124">
        <f t="shared" si="7"/>
        <v>-1.252683131</v>
      </c>
      <c r="AJ151" s="124">
        <f t="shared" si="8"/>
        <v>-0.6848508173</v>
      </c>
      <c r="AK151" s="124">
        <f t="shared" si="9"/>
        <v>0.4652628113</v>
      </c>
      <c r="AL151" s="124">
        <f t="shared" si="10"/>
        <v>-1.8956113</v>
      </c>
      <c r="AM151" s="124">
        <f t="shared" si="11"/>
        <v>0</v>
      </c>
      <c r="AN151" s="183">
        <f t="shared" si="12"/>
        <v>-1.8956113</v>
      </c>
      <c r="AO151" s="183">
        <f t="shared" si="13"/>
        <v>-3.148294431</v>
      </c>
      <c r="AP151" s="183">
        <f t="array" ref="AP151">INDIRECT("Update"&amp;Projections!$AG$17&amp;"!S"&amp;ROW(B132))</f>
        <v>16.42338235</v>
      </c>
      <c r="AQ151" s="183">
        <f t="array" ref="AQ151">INDIRECT("Update"&amp;Projections!$AG$17&amp;"!T"&amp;ROW(B132))</f>
        <v>5.091176471</v>
      </c>
    </row>
    <row r="152">
      <c r="A152" s="40" t="str">
        <f>IF(UpdateHashtag!C150="",ROW(UpdateHashtag!C150),UpdateHashtag!C150)</f>
        <v>Kelly Olynyk</v>
      </c>
      <c r="B152" s="41">
        <f>IF(TYPE($A152)=1,"",(UpdateHashtag!M150-B$1)/B$2)</f>
        <v>-1.421976649</v>
      </c>
      <c r="C152" s="41">
        <f>IF(TYPE($A152)=1,"",(UpdateHashtag!L150-C$1)/C$2)</f>
        <v>-0.8418166868</v>
      </c>
      <c r="D152" s="41">
        <f>IF(TYPE($A152)=1,"",(UpdateHashtag!N150-D$1)/D$2)</f>
        <v>-0.4245659127</v>
      </c>
      <c r="E152" s="41">
        <f>IF(TYPE($A152)=1,"",(UpdateHashtag!O150-E$1)/E$2)</f>
        <v>-0.2422071517</v>
      </c>
      <c r="F152" s="41">
        <f>IF(TYPE($A152)=1,"",(UpdateHashtag!P150-F$1)/F$2)</f>
        <v>-0.5822631548</v>
      </c>
      <c r="G152" s="41">
        <f>IF(TYPE($A152)=1,"",(UpdateHashtag!Q150-G$1)/G$2)</f>
        <v>-0.6218985413</v>
      </c>
      <c r="H152" s="41">
        <f>IF(TYPE($A152)=1,"",(UpdateHashtag!I150-H$1)/H$2*I152/$I$1)</f>
        <v>0.2107020555</v>
      </c>
      <c r="I152" s="41">
        <f>UpdateHashtag!S150</f>
        <v>6.3</v>
      </c>
      <c r="J152" s="53">
        <f>IF(TYPE($A152)=1,"",(UpdateHashtag!K150-J$1)/J$2*K152/$K$1)</f>
        <v>0.3289913081</v>
      </c>
      <c r="K152" s="55">
        <f>UpdateHashtag!T150</f>
        <v>2.4</v>
      </c>
      <c r="L152" s="41">
        <f>IF(TYPE($A152)=1,"",-(UpdateHashtag!R150-L$1)/L$2)</f>
        <v>-0.1501118522</v>
      </c>
      <c r="N152" s="112">
        <v>132.0</v>
      </c>
      <c r="O152" s="170">
        <f t="array" ref="O152">INDIRECT("Update"&amp;Projections!$AG$17&amp;"!B"&amp;ROW(B133))</f>
        <v>106.7</v>
      </c>
      <c r="P152" s="172" t="str">
        <f t="array" ref="P152">INDIRECT("Update"&amp;Projections!$AG$17&amp;"!C"&amp;ROW(B133))</f>
        <v>John Collins</v>
      </c>
      <c r="Q152" s="170">
        <f>UpdateHashtag!F198</f>
        <v>60</v>
      </c>
      <c r="R152" s="177" t="str">
        <f>IF(UpdateHashtag!D198="",ROW(UpdateHashtag!D198),UpdateHashtag!D198)</f>
        <v>PG,SG</v>
      </c>
      <c r="S152" s="124">
        <f t="shared" si="1"/>
        <v>-2.888983812</v>
      </c>
      <c r="T152" s="124">
        <f>SUM(AE152:AM152)-IFERROR(IFS(Projections!$I$17,AN152,Projections!$J$17,AO152),"")</f>
        <v>-3.022950994</v>
      </c>
      <c r="U152" s="124">
        <f t="shared" si="2"/>
        <v>-0.133967182</v>
      </c>
      <c r="V152" s="124">
        <f t="array" ref="V152">INDIRECT("Update"&amp;Projections!$AG$17&amp;"!M"&amp;ROW(B133))</f>
        <v>13.5875</v>
      </c>
      <c r="W152" s="124">
        <f t="array" ref="W152">INDIRECT("Update"&amp;Projections!$AG$17&amp;"!L"&amp;ROW(B133))</f>
        <v>1.01265625</v>
      </c>
      <c r="X152" s="124">
        <f t="array" ref="X152">INDIRECT("Update"&amp;Projections!$AG$17&amp;"!N"&amp;ROW(B133))</f>
        <v>7.7328125</v>
      </c>
      <c r="Y152" s="124">
        <f t="array" ref="Y152">INDIRECT("Update"&amp;Projections!$AG$17&amp;"!O"&amp;ROW(B133))</f>
        <v>1.16375</v>
      </c>
      <c r="Z152" s="124">
        <f t="array" ref="Z152">INDIRECT("Update"&amp;Projections!$AG$17&amp;"!P"&amp;ROW(B133))</f>
        <v>0.5271875</v>
      </c>
      <c r="AA152" s="124">
        <f t="array" ref="AA152">INDIRECT("Update"&amp;Projections!$AG$17&amp;"!Q"&amp;ROW(B133))</f>
        <v>0.78796875</v>
      </c>
      <c r="AB152" s="180">
        <f t="array" ref="AB152">INDIRECT("Update"&amp;Projections!$AG$17&amp;"!I"&amp;ROW(B133))</f>
        <v>0.5304874154</v>
      </c>
      <c r="AC152" s="180">
        <f t="array" ref="AC152">INDIRECT("Update"&amp;Projections!$AG$17&amp;"!K"&amp;ROW(B133))</f>
        <v>0.8010151705</v>
      </c>
      <c r="AD152" s="124">
        <f t="array" ref="AD152">INDIRECT("Update"&amp;Projections!$AG$17&amp;"!R"&amp;ROW(B133))</f>
        <v>1.2084375</v>
      </c>
      <c r="AE152" s="124">
        <f t="shared" si="3"/>
        <v>-0.7032072893</v>
      </c>
      <c r="AF152" s="124">
        <f t="shared" si="4"/>
        <v>-0.7300697373</v>
      </c>
      <c r="AG152" s="124">
        <f t="shared" si="5"/>
        <v>0.6464424257</v>
      </c>
      <c r="AH152" s="124">
        <f t="shared" si="6"/>
        <v>-1.25777417</v>
      </c>
      <c r="AI152" s="124">
        <f t="shared" si="7"/>
        <v>-1.484812399</v>
      </c>
      <c r="AJ152" s="124">
        <f t="shared" si="8"/>
        <v>0.07010107541</v>
      </c>
      <c r="AK152" s="124">
        <f t="shared" si="9"/>
        <v>0.3782824282</v>
      </c>
      <c r="AL152" s="124">
        <f t="shared" si="10"/>
        <v>0.05808667127</v>
      </c>
      <c r="AM152" s="124">
        <f t="shared" si="11"/>
        <v>0</v>
      </c>
      <c r="AN152" s="183">
        <f t="shared" si="12"/>
        <v>-1.484812399</v>
      </c>
      <c r="AO152" s="183">
        <f t="shared" si="13"/>
        <v>-2.742586568</v>
      </c>
      <c r="AP152" s="183">
        <f t="array" ref="AP152">INDIRECT("Update"&amp;Projections!$AG$17&amp;"!S"&amp;ROW(B133))</f>
        <v>9.78375</v>
      </c>
      <c r="AQ152" s="183">
        <f t="array" ref="AQ152">INDIRECT("Update"&amp;Projections!$AG$17&amp;"!T"&amp;ROW(B133))</f>
        <v>2.7396875</v>
      </c>
    </row>
    <row r="153">
      <c r="A153" s="40" t="str">
        <f>IF(UpdateHashtag!C151="",ROW(UpdateHashtag!C151),UpdateHashtag!C151)</f>
        <v>Bilal Coulibaly</v>
      </c>
      <c r="B153" s="41">
        <f>IF(TYPE($A153)=1,"",(UpdateHashtag!M151-B$1)/B$2)</f>
        <v>-1.133567627</v>
      </c>
      <c r="C153" s="41">
        <f>IF(TYPE($A153)=1,"",(UpdateHashtag!L151-C$1)/C$2)</f>
        <v>-0.4450452712</v>
      </c>
      <c r="D153" s="41">
        <f>IF(TYPE($A153)=1,"",(UpdateHashtag!N151-D$1)/D$2)</f>
        <v>-0.3069938138</v>
      </c>
      <c r="E153" s="41">
        <f>IF(TYPE($A153)=1,"",(UpdateHashtag!O151-E$1)/E$2)</f>
        <v>-0.7417594022</v>
      </c>
      <c r="F153" s="41">
        <f>IF(TYPE($A153)=1,"",(UpdateHashtag!P151-F$1)/F$2)</f>
        <v>0.741062197</v>
      </c>
      <c r="G153" s="41">
        <f>IF(TYPE($A153)=1,"",(UpdateHashtag!Q151-G$1)/G$2)</f>
        <v>0.4482901531</v>
      </c>
      <c r="H153" s="41">
        <f>IF(TYPE($A153)=1,"",(UpdateHashtag!I151-H$1)/H$2*I153/$I$1)</f>
        <v>-0.5888156212</v>
      </c>
      <c r="I153" s="41">
        <f>UpdateHashtag!S151</f>
        <v>9</v>
      </c>
      <c r="J153" s="53">
        <f>IF(TYPE($A153)=1,"",(UpdateHashtag!K151-J$1)/J$2*K153/$K$1)</f>
        <v>-0.8439992931</v>
      </c>
      <c r="K153" s="55">
        <f>UpdateHashtag!T151</f>
        <v>2.7</v>
      </c>
      <c r="L153" s="41">
        <f>IF(TYPE($A153)=1,"",-(UpdateHashtag!R151-L$1)/L$2)</f>
        <v>-0.05091899834</v>
      </c>
      <c r="N153" s="112">
        <v>133.0</v>
      </c>
      <c r="O153" s="170">
        <f t="array" ref="O153">INDIRECT("Update"&amp;Projections!$AG$17&amp;"!B"&amp;ROW(B134))</f>
        <v>132.1</v>
      </c>
      <c r="P153" s="172" t="str">
        <f t="array" ref="P153">INDIRECT("Update"&amp;Projections!$AG$17&amp;"!C"&amp;ROW(B134))</f>
        <v>Norman Powell</v>
      </c>
      <c r="Q153" s="170">
        <f>UpdateHashtag!F192</f>
        <v>68</v>
      </c>
      <c r="R153" s="177" t="str">
        <f>IF(UpdateHashtag!D192="",ROW(UpdateHashtag!D192),UpdateHashtag!D192)</f>
        <v>SG,SF</v>
      </c>
      <c r="S153" s="124">
        <f t="shared" si="1"/>
        <v>-2.617604113</v>
      </c>
      <c r="T153" s="124">
        <f>SUM(AE153:AM153)-IFERROR(IFS(Projections!$I$17,AN153,Projections!$J$17,AO153),"")</f>
        <v>-2.67862357</v>
      </c>
      <c r="U153" s="124">
        <f t="shared" si="2"/>
        <v>-0.06101945782</v>
      </c>
      <c r="V153" s="124">
        <f t="array" ref="V153">INDIRECT("Update"&amp;Projections!$AG$17&amp;"!M"&amp;ROW(B134))</f>
        <v>18.81493151</v>
      </c>
      <c r="W153" s="124">
        <f t="array" ref="W153">INDIRECT("Update"&amp;Projections!$AG$17&amp;"!L"&amp;ROW(B134))</f>
        <v>2.610410959</v>
      </c>
      <c r="X153" s="124">
        <f t="array" ref="X153">INDIRECT("Update"&amp;Projections!$AG$17&amp;"!N"&amp;ROW(B134))</f>
        <v>3.201369863</v>
      </c>
      <c r="Y153" s="124">
        <f t="array" ref="Y153">INDIRECT("Update"&amp;Projections!$AG$17&amp;"!O"&amp;ROW(B134))</f>
        <v>1.763972603</v>
      </c>
      <c r="Z153" s="124">
        <f t="array" ref="Z153">INDIRECT("Update"&amp;Projections!$AG$17&amp;"!P"&amp;ROW(B134))</f>
        <v>0.7839726027</v>
      </c>
      <c r="AA153" s="124">
        <f t="array" ref="AA153">INDIRECT("Update"&amp;Projections!$AG$17&amp;"!Q"&amp;ROW(B134))</f>
        <v>0.3269863014</v>
      </c>
      <c r="AB153" s="180">
        <f t="array" ref="AB153">INDIRECT("Update"&amp;Projections!$AG$17&amp;"!I"&amp;ROW(B134))</f>
        <v>0.4720350306</v>
      </c>
      <c r="AC153" s="180">
        <f t="array" ref="AC153">INDIRECT("Update"&amp;Projections!$AG$17&amp;"!K"&amp;ROW(B134))</f>
        <v>0.8060087769</v>
      </c>
      <c r="AD153" s="124">
        <f t="array" ref="AD153">INDIRECT("Update"&amp;Projections!$AG$17&amp;"!R"&amp;ROW(B134))</f>
        <v>1.50260274</v>
      </c>
      <c r="AE153" s="124">
        <f t="shared" si="3"/>
        <v>0.2390667165</v>
      </c>
      <c r="AF153" s="124">
        <f t="shared" si="4"/>
        <v>0.8547887569</v>
      </c>
      <c r="AG153" s="124">
        <f t="shared" si="5"/>
        <v>-1.129461647</v>
      </c>
      <c r="AH153" s="124">
        <f t="shared" si="6"/>
        <v>-0.9851900317</v>
      </c>
      <c r="AI153" s="124">
        <f t="shared" si="7"/>
        <v>-0.6352868077</v>
      </c>
      <c r="AJ153" s="124">
        <f t="shared" si="8"/>
        <v>-0.7521292659</v>
      </c>
      <c r="AK153" s="124">
        <f t="shared" si="9"/>
        <v>-0.411914681</v>
      </c>
      <c r="AL153" s="124">
        <f t="shared" si="10"/>
        <v>0.1415033897</v>
      </c>
      <c r="AM153" s="124">
        <f t="shared" si="11"/>
        <v>0</v>
      </c>
      <c r="AN153" s="183">
        <f t="shared" si="12"/>
        <v>-1.129461647</v>
      </c>
      <c r="AO153" s="183">
        <f t="shared" si="13"/>
        <v>-2.114651679</v>
      </c>
      <c r="AP153" s="183">
        <f t="array" ref="AP153">INDIRECT("Update"&amp;Projections!$AG$17&amp;"!S"&amp;ROW(B134))</f>
        <v>14.04643836</v>
      </c>
      <c r="AQ153" s="183">
        <f t="array" ref="AQ153">INDIRECT("Update"&amp;Projections!$AG$17&amp;"!T"&amp;ROW(B134))</f>
        <v>3.652191781</v>
      </c>
    </row>
    <row r="154">
      <c r="A154" s="40" t="str">
        <f>IF(UpdateHashtag!C152="",ROW(UpdateHashtag!C152),UpdateHashtag!C152)</f>
        <v>Kevin Porter Jr.</v>
      </c>
      <c r="B154" s="41">
        <f>IF(TYPE($A154)=1,"",(UpdateHashtag!M152-B$1)/B$2)</f>
        <v>-0.5928007106</v>
      </c>
      <c r="C154" s="41">
        <f>IF(TYPE($A154)=1,"",(UpdateHashtag!L152-C$1)/C$2)</f>
        <v>0.05091899834</v>
      </c>
      <c r="D154" s="41">
        <f>IF(TYPE($A154)=1,"",(UpdateHashtag!N152-D$1)/D$2)</f>
        <v>-0.8556636087</v>
      </c>
      <c r="E154" s="41">
        <f>IF(TYPE($A154)=1,"",(UpdateHashtag!O152-E$1)/E$2)</f>
        <v>0.1665174168</v>
      </c>
      <c r="F154" s="41">
        <f>IF(TYPE($A154)=1,"",(UpdateHashtag!P152-F$1)/F$2)</f>
        <v>0.0793995211</v>
      </c>
      <c r="G154" s="41">
        <f>IF(TYPE($A154)=1,"",(UpdateHashtag!Q152-G$1)/G$2)</f>
        <v>-0.978628106</v>
      </c>
      <c r="H154" s="41">
        <f>IF(TYPE($A154)=1,"",(UpdateHashtag!I152-H$1)/H$2*I154/$I$1)</f>
        <v>-0.7132948401</v>
      </c>
      <c r="I154" s="41">
        <f>UpdateHashtag!S152</f>
        <v>11.1</v>
      </c>
      <c r="J154" s="53">
        <f>IF(TYPE($A154)=1,"",(UpdateHashtag!K152-J$1)/J$2*K154/$K$1)</f>
        <v>-0.1156992113</v>
      </c>
      <c r="K154" s="55">
        <f>UpdateHashtag!T152</f>
        <v>3.3</v>
      </c>
      <c r="L154" s="41">
        <f>IF(TYPE($A154)=1,"",-(UpdateHashtag!R152-L$1)/L$2)</f>
        <v>-0.6460761218</v>
      </c>
      <c r="N154" s="5">
        <v>134.0</v>
      </c>
      <c r="O154" s="170">
        <f t="array" ref="O154">INDIRECT("Update"&amp;Projections!$AG$17&amp;"!B"&amp;ROW(B135))</f>
        <v>134.2</v>
      </c>
      <c r="P154" s="172" t="str">
        <f t="array" ref="P154">INDIRECT("Update"&amp;Projections!$AG$17&amp;"!C"&amp;ROW(B135))</f>
        <v>P.J. Washington</v>
      </c>
      <c r="Q154" s="170">
        <f>UpdateHashtag!F193</f>
        <v>72</v>
      </c>
      <c r="R154" s="177" t="str">
        <f>IF(UpdateHashtag!D193="",ROW(UpdateHashtag!D193),UpdateHashtag!D193)</f>
        <v>PG</v>
      </c>
      <c r="S154" s="124">
        <f t="shared" si="1"/>
        <v>-2.515603793</v>
      </c>
      <c r="T154" s="124">
        <f>SUM(AE154:AM154)-IFERROR(IFS(Projections!$I$17,AN154,Projections!$J$17,AO154),"")</f>
        <v>-2.690423271</v>
      </c>
      <c r="U154" s="124">
        <f t="shared" si="2"/>
        <v>-0.1748194787</v>
      </c>
      <c r="V154" s="124">
        <f t="array" ref="V154">INDIRECT("Update"&amp;Projections!$AG$17&amp;"!M"&amp;ROW(B135))</f>
        <v>12.21136986</v>
      </c>
      <c r="W154" s="124">
        <f t="array" ref="W154">INDIRECT("Update"&amp;Projections!$AG$17&amp;"!L"&amp;ROW(B135))</f>
        <v>2.020821918</v>
      </c>
      <c r="X154" s="124">
        <f t="array" ref="X154">INDIRECT("Update"&amp;Projections!$AG$17&amp;"!N"&amp;ROW(B135))</f>
        <v>6.196712329</v>
      </c>
      <c r="Y154" s="124">
        <f t="array" ref="Y154">INDIRECT("Update"&amp;Projections!$AG$17&amp;"!O"&amp;ROW(B135))</f>
        <v>1.749452055</v>
      </c>
      <c r="Z154" s="124">
        <f t="array" ref="Z154">INDIRECT("Update"&amp;Projections!$AG$17&amp;"!P"&amp;ROW(B135))</f>
        <v>1.040821918</v>
      </c>
      <c r="AA154" s="124">
        <f t="array" ref="AA154">INDIRECT("Update"&amp;Projections!$AG$17&amp;"!Q"&amp;ROW(B135))</f>
        <v>0.8495890411</v>
      </c>
      <c r="AB154" s="180">
        <f t="array" ref="AB154">INDIRECT("Update"&amp;Projections!$AG$17&amp;"!I"&amp;ROW(B135))</f>
        <v>0.4325703804</v>
      </c>
      <c r="AC154" s="180">
        <f t="array" ref="AC154">INDIRECT("Update"&amp;Projections!$AG$17&amp;"!K"&amp;ROW(B135))</f>
        <v>0.6900311526</v>
      </c>
      <c r="AD154" s="124">
        <f t="array" ref="AD154">INDIRECT("Update"&amp;Projections!$AG$17&amp;"!R"&amp;ROW(B135))</f>
        <v>1.04369863</v>
      </c>
      <c r="AE154" s="124">
        <f t="shared" si="3"/>
        <v>-0.9512625067</v>
      </c>
      <c r="AF154" s="124">
        <f t="shared" si="4"/>
        <v>0.2699585608</v>
      </c>
      <c r="AG154" s="124">
        <f t="shared" si="5"/>
        <v>0.04443402164</v>
      </c>
      <c r="AH154" s="124">
        <f t="shared" si="6"/>
        <v>-0.9917843702</v>
      </c>
      <c r="AI154" s="124">
        <f t="shared" si="7"/>
        <v>0.2144512186</v>
      </c>
      <c r="AJ154" s="124">
        <f t="shared" si="8"/>
        <v>0.1800099735</v>
      </c>
      <c r="AK154" s="124">
        <f t="shared" si="9"/>
        <v>-0.7753117952</v>
      </c>
      <c r="AL154" s="124">
        <f t="shared" si="10"/>
        <v>-0.6809183738</v>
      </c>
      <c r="AM154" s="124">
        <f t="shared" si="11"/>
        <v>0</v>
      </c>
      <c r="AN154" s="183">
        <f t="shared" si="12"/>
        <v>-0.9917843702</v>
      </c>
      <c r="AO154" s="183">
        <f t="shared" si="13"/>
        <v>-1.943046877</v>
      </c>
      <c r="AP154" s="183">
        <f t="array" ref="AP154">INDIRECT("Update"&amp;Projections!$AG$17&amp;"!S"&amp;ROW(B135))</f>
        <v>10.3060274</v>
      </c>
      <c r="AQ154" s="183">
        <f t="array" ref="AQ154">INDIRECT("Update"&amp;Projections!$AG$17&amp;"!T"&amp;ROW(B135))</f>
        <v>1.846849315</v>
      </c>
    </row>
    <row r="155">
      <c r="A155" s="40" t="str">
        <f>IF(UpdateHashtag!C153="",ROW(UpdateHashtag!C153),UpdateHashtag!C153)</f>
        <v>Bruce Brown</v>
      </c>
      <c r="B155" s="41">
        <f>IF(TYPE($A155)=1,"",(UpdateHashtag!M153-B$1)/B$2)</f>
        <v>-1.079490935</v>
      </c>
      <c r="C155" s="41">
        <f>IF(TYPE($A155)=1,"",(UpdateHashtag!L153-C$1)/C$2)</f>
        <v>-0.7426238329</v>
      </c>
      <c r="D155" s="41">
        <f>IF(TYPE($A155)=1,"",(UpdateHashtag!N153-D$1)/D$2)</f>
        <v>-0.6989008101</v>
      </c>
      <c r="E155" s="41">
        <f>IF(TYPE($A155)=1,"",(UpdateHashtag!O153-E$1)/E$2)</f>
        <v>-0.3330348336</v>
      </c>
      <c r="F155" s="41">
        <f>IF(TYPE($A155)=1,"",(UpdateHashtag!P153-F$1)/F$2)</f>
        <v>0.0793995211</v>
      </c>
      <c r="G155" s="41">
        <f>IF(TYPE($A155)=1,"",(UpdateHashtag!Q153-G$1)/G$2)</f>
        <v>-0.4435337589</v>
      </c>
      <c r="H155" s="41">
        <f>IF(TYPE($A155)=1,"",(UpdateHashtag!I153-H$1)/H$2*I155/$I$1)</f>
        <v>-0.1738569759</v>
      </c>
      <c r="I155" s="41">
        <f>UpdateHashtag!S153</f>
        <v>9.2</v>
      </c>
      <c r="J155" s="53">
        <f>IF(TYPE($A155)=1,"",(UpdateHashtag!K153-J$1)/J$2*K155/$K$1)</f>
        <v>-0.0367396111</v>
      </c>
      <c r="K155" s="55">
        <f>UpdateHashtag!T153</f>
        <v>2.1</v>
      </c>
      <c r="L155" s="41">
        <f>IF(TYPE($A155)=1,"",-(UpdateHashtag!R153-L$1)/L$2)</f>
        <v>0.2466595634</v>
      </c>
      <c r="N155" s="112">
        <v>135.0</v>
      </c>
      <c r="O155" s="170">
        <f t="array" ref="O155">INDIRECT("Update"&amp;Projections!$AG$17&amp;"!B"&amp;ROW(B136))</f>
        <v>116.6</v>
      </c>
      <c r="P155" s="172" t="str">
        <f t="array" ref="P155">INDIRECT("Update"&amp;Projections!$AG$17&amp;"!C"&amp;ROW(B136))</f>
        <v>Brandin Podziemski</v>
      </c>
      <c r="Q155" s="170">
        <f>UpdateHashtag!F194</f>
        <v>43</v>
      </c>
      <c r="R155" s="177" t="str">
        <f>IF(UpdateHashtag!D194="",ROW(UpdateHashtag!D194),UpdateHashtag!D194)</f>
        <v>PG,SG</v>
      </c>
      <c r="S155" s="124">
        <f t="shared" si="1"/>
        <v>-2.711205921</v>
      </c>
      <c r="T155" s="124">
        <f>SUM(AE155:AM155)-IFERROR(IFS(Projections!$I$17,AN155,Projections!$J$17,AO155),"")</f>
        <v>-2.838263361</v>
      </c>
      <c r="U155" s="124">
        <f t="shared" si="2"/>
        <v>-0.12705744</v>
      </c>
      <c r="V155" s="124">
        <f t="array" ref="V155">INDIRECT("Update"&amp;Projections!$AG$17&amp;"!M"&amp;ROW(B136))</f>
        <v>11.81726027</v>
      </c>
      <c r="W155" s="124">
        <f t="array" ref="W155">INDIRECT("Update"&amp;Projections!$AG$17&amp;"!L"&amp;ROW(B136))</f>
        <v>1.636575342</v>
      </c>
      <c r="X155" s="124">
        <f t="array" ref="X155">INDIRECT("Update"&amp;Projections!$AG$17&amp;"!N"&amp;ROW(B136))</f>
        <v>6.437534247</v>
      </c>
      <c r="Y155" s="124">
        <f t="array" ref="Y155">INDIRECT("Update"&amp;Projections!$AG$17&amp;"!O"&amp;ROW(B136))</f>
        <v>4.312465753</v>
      </c>
      <c r="Z155" s="124">
        <f t="array" ref="Z155">INDIRECT("Update"&amp;Projections!$AG$17&amp;"!P"&amp;ROW(B136))</f>
        <v>0.8923287671</v>
      </c>
      <c r="AA155" s="124">
        <f t="array" ref="AA155">INDIRECT("Update"&amp;Projections!$AG$17&amp;"!Q"&amp;ROW(B136))</f>
        <v>0.2467123288</v>
      </c>
      <c r="AB155" s="180">
        <f t="array" ref="AB155">INDIRECT("Update"&amp;Projections!$AG$17&amp;"!I"&amp;ROW(B136))</f>
        <v>0.4582322453</v>
      </c>
      <c r="AC155" s="180">
        <f t="array" ref="AC155">INDIRECT("Update"&amp;Projections!$AG$17&amp;"!K"&amp;ROW(B136))</f>
        <v>0.7199963242</v>
      </c>
      <c r="AD155" s="124">
        <f t="array" ref="AD155">INDIRECT("Update"&amp;Projections!$AG$17&amp;"!R"&amp;ROW(B136))</f>
        <v>1.23630137</v>
      </c>
      <c r="AE155" s="124">
        <f t="shared" si="3"/>
        <v>-1.022302983</v>
      </c>
      <c r="AF155" s="124">
        <f t="shared" si="4"/>
        <v>-0.1111865839</v>
      </c>
      <c r="AG155" s="124">
        <f t="shared" si="5"/>
        <v>0.1388138162</v>
      </c>
      <c r="AH155" s="124">
        <f t="shared" si="6"/>
        <v>0.172178594</v>
      </c>
      <c r="AI155" s="124">
        <f t="shared" si="7"/>
        <v>-0.2768106593</v>
      </c>
      <c r="AJ155" s="124">
        <f t="shared" si="8"/>
        <v>-0.8953097624</v>
      </c>
      <c r="AK155" s="124">
        <f t="shared" si="9"/>
        <v>-0.4509660335</v>
      </c>
      <c r="AL155" s="124">
        <f t="shared" si="10"/>
        <v>-0.3926797494</v>
      </c>
      <c r="AM155" s="124">
        <f t="shared" si="11"/>
        <v>0</v>
      </c>
      <c r="AN155" s="183">
        <f t="shared" si="12"/>
        <v>-1.022302983</v>
      </c>
      <c r="AO155" s="183">
        <f t="shared" si="13"/>
        <v>-1.917612745</v>
      </c>
      <c r="AP155" s="183">
        <f t="array" ref="AP155">INDIRECT("Update"&amp;Projections!$AG$17&amp;"!S"&amp;ROW(B136))</f>
        <v>9.937534247</v>
      </c>
      <c r="AQ155" s="183">
        <f t="array" ref="AQ155">INDIRECT("Update"&amp;Projections!$AG$17&amp;"!T"&amp;ROW(B136))</f>
        <v>1.490684932</v>
      </c>
    </row>
    <row r="156">
      <c r="A156" s="40" t="str">
        <f>IF(UpdateHashtag!C154="",ROW(UpdateHashtag!C154),UpdateHashtag!C154)</f>
        <v>Kelly Oubre Jr.</v>
      </c>
      <c r="B156" s="41">
        <f>IF(TYPE($A156)=1,"",(UpdateHashtag!M154-B$1)/B$2)</f>
        <v>-0.1601871776</v>
      </c>
      <c r="C156" s="41">
        <f>IF(TYPE($A156)=1,"",(UpdateHashtag!L154-C$1)/C$2)</f>
        <v>0.05091899834</v>
      </c>
      <c r="D156" s="41">
        <f>IF(TYPE($A156)=1,"",(UpdateHashtag!N154-D$1)/D$2)</f>
        <v>-0.4245659127</v>
      </c>
      <c r="E156" s="41">
        <f>IF(TYPE($A156)=1,"",(UpdateHashtag!O154-E$1)/E$2)</f>
        <v>-1.195897812</v>
      </c>
      <c r="F156" s="41">
        <f>IF(TYPE($A156)=1,"",(UpdateHashtag!P154-F$1)/F$2)</f>
        <v>0.741062197</v>
      </c>
      <c r="G156" s="41">
        <f>IF(TYPE($A156)=1,"",(UpdateHashtag!Q154-G$1)/G$2)</f>
        <v>-0.2651689765</v>
      </c>
      <c r="H156" s="41">
        <f>IF(TYPE($A156)=1,"",(UpdateHashtag!I154-H$1)/H$2*I156/$I$1)</f>
        <v>-1.020881271</v>
      </c>
      <c r="I156" s="41">
        <f>UpdateHashtag!S154</f>
        <v>14.1</v>
      </c>
      <c r="J156" s="53">
        <f>IF(TYPE($A156)=1,"",(UpdateHashtag!K154-J$1)/J$2*K156/$K$1)</f>
        <v>-0.4178155887</v>
      </c>
      <c r="K156" s="55">
        <f>UpdateHashtag!T154</f>
        <v>3.4</v>
      </c>
      <c r="L156" s="41">
        <f>IF(TYPE($A156)=1,"",-(UpdateHashtag!R154-L$1)/L$2)</f>
        <v>0.4450452712</v>
      </c>
      <c r="N156" s="112">
        <v>136.0</v>
      </c>
      <c r="O156" s="170">
        <f t="array" ref="O156">INDIRECT("Update"&amp;Projections!$AG$17&amp;"!B"&amp;ROW(B137))</f>
        <v>139.4</v>
      </c>
      <c r="P156" s="172" t="str">
        <f t="array" ref="P156">INDIRECT("Update"&amp;Projections!$AG$17&amp;"!C"&amp;ROW(B137))</f>
        <v>Andrew Wiggins</v>
      </c>
      <c r="Q156" s="170">
        <f>UpdateHashtag!F176</f>
        <v>55</v>
      </c>
      <c r="R156" s="177" t="str">
        <f>IF(UpdateHashtag!D176="",ROW(UpdateHashtag!D176),UpdateHashtag!D176)</f>
        <v>SF,PF</v>
      </c>
      <c r="S156" s="124">
        <f t="shared" si="1"/>
        <v>-2.763108976</v>
      </c>
      <c r="T156" s="124">
        <f>SUM(AE156:AM156)-IFERROR(IFS(Projections!$I$17,AN156,Projections!$J$17,AO156),"")</f>
        <v>-2.867134651</v>
      </c>
      <c r="U156" s="124">
        <f t="shared" si="2"/>
        <v>-0.1040256747</v>
      </c>
      <c r="V156" s="124">
        <f t="array" ref="V156">INDIRECT("Update"&amp;Projections!$AG$17&amp;"!M"&amp;ROW(B137))</f>
        <v>16.31821918</v>
      </c>
      <c r="W156" s="124">
        <f t="array" ref="W156">INDIRECT("Update"&amp;Projections!$AG$17&amp;"!L"&amp;ROW(B137))</f>
        <v>1.830273973</v>
      </c>
      <c r="X156" s="124">
        <f t="array" ref="X156">INDIRECT("Update"&amp;Projections!$AG$17&amp;"!N"&amp;ROW(B137))</f>
        <v>4.833287671</v>
      </c>
      <c r="Y156" s="124">
        <f t="array" ref="Y156">INDIRECT("Update"&amp;Projections!$AG$17&amp;"!O"&amp;ROW(B137))</f>
        <v>2.018767123</v>
      </c>
      <c r="Z156" s="124">
        <f t="array" ref="Z156">INDIRECT("Update"&amp;Projections!$AG$17&amp;"!P"&amp;ROW(B137))</f>
        <v>0.7994520548</v>
      </c>
      <c r="AA156" s="124">
        <f t="array" ref="AA156">INDIRECT("Update"&amp;Projections!$AG$17&amp;"!Q"&amp;ROW(B137))</f>
        <v>0.7165753425</v>
      </c>
      <c r="AB156" s="180">
        <f t="array" ref="AB156">INDIRECT("Update"&amp;Projections!$AG$17&amp;"!I"&amp;ROW(B137))</f>
        <v>0.4621657323</v>
      </c>
      <c r="AC156" s="180">
        <f t="array" ref="AC156">INDIRECT("Update"&amp;Projections!$AG$17&amp;"!K"&amp;ROW(B137))</f>
        <v>0.7759864039</v>
      </c>
      <c r="AD156" s="124">
        <f t="array" ref="AD156">INDIRECT("Update"&amp;Projections!$AG$17&amp;"!R"&amp;ROW(B137))</f>
        <v>1.329178082</v>
      </c>
      <c r="AE156" s="124">
        <f t="shared" si="3"/>
        <v>-0.2109797593</v>
      </c>
      <c r="AF156" s="124">
        <f t="shared" si="4"/>
        <v>0.08094861615</v>
      </c>
      <c r="AG156" s="124">
        <f t="shared" si="5"/>
        <v>-0.4899016408</v>
      </c>
      <c r="AH156" s="124">
        <f t="shared" si="6"/>
        <v>-0.8694780536</v>
      </c>
      <c r="AI156" s="124">
        <f t="shared" si="7"/>
        <v>-0.5840759292</v>
      </c>
      <c r="AJ156" s="124">
        <f t="shared" si="8"/>
        <v>-0.05723962051</v>
      </c>
      <c r="AK156" s="124">
        <f t="shared" si="9"/>
        <v>-0.5374102992</v>
      </c>
      <c r="AL156" s="124">
        <f t="shared" si="10"/>
        <v>-0.1989979642</v>
      </c>
      <c r="AM156" s="124">
        <f t="shared" si="11"/>
        <v>0</v>
      </c>
      <c r="AN156" s="183">
        <f t="shared" si="12"/>
        <v>-0.8694780536</v>
      </c>
      <c r="AO156" s="183">
        <f t="shared" si="13"/>
        <v>-1.453553983</v>
      </c>
      <c r="AP156" s="183">
        <f t="array" ref="AP156">INDIRECT("Update"&amp;Projections!$AG$17&amp;"!S"&amp;ROW(B137))</f>
        <v>13.17027397</v>
      </c>
      <c r="AQ156" s="183">
        <f t="array" ref="AQ156">INDIRECT("Update"&amp;Projections!$AG$17&amp;"!T"&amp;ROW(B137))</f>
        <v>2.982328767</v>
      </c>
    </row>
    <row r="157">
      <c r="A157" s="40" t="str">
        <f>IF(UpdateHashtag!C155="",ROW(UpdateHashtag!C155),UpdateHashtag!C155)</f>
        <v>Nick Richards</v>
      </c>
      <c r="B157" s="41">
        <f>IF(TYPE($A157)=1,"",(UpdateHashtag!M155-B$1)/B$2)</f>
        <v>-1.385925521</v>
      </c>
      <c r="C157" s="41">
        <f>IF(TYPE($A157)=1,"",(UpdateHashtag!L155-C$1)/C$2)</f>
        <v>-1.734552372</v>
      </c>
      <c r="D157" s="41">
        <f>IF(TYPE($A157)=1,"",(UpdateHashtag!N155-D$1)/D$2)</f>
        <v>0.7511550763</v>
      </c>
      <c r="E157" s="41">
        <f>IF(TYPE($A157)=1,"",(UpdateHashtag!O155-E$1)/E$2)</f>
        <v>-1.422967016</v>
      </c>
      <c r="F157" s="41">
        <f>IF(TYPE($A157)=1,"",(UpdateHashtag!P155-F$1)/F$2)</f>
        <v>-2.236419844</v>
      </c>
      <c r="G157" s="41">
        <f>IF(TYPE($A157)=1,"",(UpdateHashtag!Q155-G$1)/G$2)</f>
        <v>0.6266549355</v>
      </c>
      <c r="H157" s="41">
        <f>IF(TYPE($A157)=1,"",(UpdateHashtag!I155-H$1)/H$2*I157/$I$1)</f>
        <v>1.071003451</v>
      </c>
      <c r="I157" s="41">
        <f>UpdateHashtag!S155</f>
        <v>5.8</v>
      </c>
      <c r="J157" s="53">
        <f>IF(TYPE($A157)=1,"",(UpdateHashtag!K155-J$1)/J$2*K157/$K$1)</f>
        <v>-0.547827018</v>
      </c>
      <c r="K157" s="55">
        <f>UpdateHashtag!T155</f>
        <v>3</v>
      </c>
      <c r="L157" s="41">
        <f>IF(TYPE($A157)=1,"",-(UpdateHashtag!R155-L$1)/L$2)</f>
        <v>0.643430979</v>
      </c>
      <c r="N157" s="5">
        <v>137.0</v>
      </c>
      <c r="O157" s="170">
        <f t="array" ref="O157">INDIRECT("Update"&amp;Projections!$AG$17&amp;"!B"&amp;ROW(B138))</f>
        <v>125.6</v>
      </c>
      <c r="P157" s="172" t="str">
        <f t="array" ref="P157">INDIRECT("Update"&amp;Projections!$AG$17&amp;"!C"&amp;ROW(B138))</f>
        <v>Trayce Jackson-Davis</v>
      </c>
      <c r="Q157" s="170">
        <f>UpdateHashtag!F197</f>
        <v>52</v>
      </c>
      <c r="R157" s="177" t="str">
        <f>IF(UpdateHashtag!D197="",ROW(UpdateHashtag!D197),UpdateHashtag!D197)</f>
        <v>PF,C</v>
      </c>
      <c r="S157" s="124">
        <f t="shared" si="1"/>
        <v>-3.409113357</v>
      </c>
      <c r="T157" s="124">
        <f>SUM(AE157:AM157)-IFERROR(IFS(Projections!$I$17,AN157,Projections!$J$17,AO157),"")</f>
        <v>-3.609070751</v>
      </c>
      <c r="U157" s="124">
        <f t="shared" si="2"/>
        <v>-0.1999573937</v>
      </c>
      <c r="V157" s="124">
        <f t="array" ref="V157">INDIRECT("Update"&amp;Projections!$AG$17&amp;"!M"&amp;ROW(B138))</f>
        <v>11.94</v>
      </c>
      <c r="W157" s="124">
        <f t="array" ref="W157">INDIRECT("Update"&amp;Projections!$AG$17&amp;"!L"&amp;ROW(B138))</f>
        <v>0</v>
      </c>
      <c r="X157" s="124">
        <f t="array" ref="X157">INDIRECT("Update"&amp;Projections!$AG$17&amp;"!N"&amp;ROW(B138))</f>
        <v>6.416712329</v>
      </c>
      <c r="Y157" s="124">
        <f t="array" ref="Y157">INDIRECT("Update"&amp;Projections!$AG$17&amp;"!O"&amp;ROW(B138))</f>
        <v>1.783150685</v>
      </c>
      <c r="Z157" s="124">
        <f t="array" ref="Z157">INDIRECT("Update"&amp;Projections!$AG$17&amp;"!P"&amp;ROW(B138))</f>
        <v>0.6204109589</v>
      </c>
      <c r="AA157" s="124">
        <f t="array" ref="AA157">INDIRECT("Update"&amp;Projections!$AG$17&amp;"!Q"&amp;ROW(B138))</f>
        <v>1.420821918</v>
      </c>
      <c r="AB157" s="180">
        <f t="array" ref="AB157">INDIRECT("Update"&amp;Projections!$AG$17&amp;"!I"&amp;ROW(B138))</f>
        <v>0.7080075188</v>
      </c>
      <c r="AC157" s="180">
        <f t="array" ref="AC157">INDIRECT("Update"&amp;Projections!$AG$17&amp;"!K"&amp;ROW(B138))</f>
        <v>0.6009957326</v>
      </c>
      <c r="AD157" s="124">
        <f t="array" ref="AD157">INDIRECT("Update"&amp;Projections!$AG$17&amp;"!R"&amp;ROW(B138))</f>
        <v>0.9423287671</v>
      </c>
      <c r="AE157" s="124">
        <f t="shared" si="3"/>
        <v>-1.000178454</v>
      </c>
      <c r="AF157" s="124">
        <f t="shared" si="4"/>
        <v>-1.734552372</v>
      </c>
      <c r="AG157" s="124">
        <f t="shared" si="5"/>
        <v>0.1306535608</v>
      </c>
      <c r="AH157" s="124">
        <f t="shared" si="6"/>
        <v>-0.976480528</v>
      </c>
      <c r="AI157" s="124">
        <f t="shared" si="7"/>
        <v>-1.176399982</v>
      </c>
      <c r="AJ157" s="124">
        <f t="shared" si="8"/>
        <v>1.198888251</v>
      </c>
      <c r="AK157" s="124">
        <f t="shared" si="9"/>
        <v>1.786564672</v>
      </c>
      <c r="AL157" s="124">
        <f t="shared" si="10"/>
        <v>-1.837565898</v>
      </c>
      <c r="AM157" s="124">
        <f t="shared" si="11"/>
        <v>0</v>
      </c>
      <c r="AN157" s="183">
        <f t="shared" si="12"/>
        <v>-1.837565898</v>
      </c>
      <c r="AO157" s="183">
        <f t="shared" si="13"/>
        <v>-3.57211827</v>
      </c>
      <c r="AP157" s="183">
        <f t="array" ref="AP157">INDIRECT("Update"&amp;Projections!$AG$17&amp;"!S"&amp;ROW(B138))</f>
        <v>7.287671233</v>
      </c>
      <c r="AQ157" s="183">
        <f t="array" ref="AQ157">INDIRECT("Update"&amp;Projections!$AG$17&amp;"!T"&amp;ROW(B138))</f>
        <v>2.696438356</v>
      </c>
    </row>
    <row r="158">
      <c r="A158" s="40" t="str">
        <f>IF(UpdateHashtag!C156="",ROW(UpdateHashtag!C156),UpdateHashtag!C156)</f>
        <v>Noah Clowney</v>
      </c>
      <c r="B158" s="41">
        <f>IF(TYPE($A158)=1,"",(UpdateHashtag!M156-B$1)/B$2)</f>
        <v>-1.403951085</v>
      </c>
      <c r="C158" s="41">
        <f>IF(TYPE($A158)=1,"",(UpdateHashtag!L156-C$1)/C$2)</f>
        <v>-0.8418166868</v>
      </c>
      <c r="D158" s="41">
        <f>IF(TYPE($A158)=1,"",(UpdateHashtag!N156-D$1)/D$2)</f>
        <v>-0.1110403156</v>
      </c>
      <c r="E158" s="41">
        <f>IF(TYPE($A158)=1,"",(UpdateHashtag!O156-E$1)/E$2)</f>
        <v>-1.195897812</v>
      </c>
      <c r="F158" s="41">
        <f>IF(TYPE($A158)=1,"",(UpdateHashtag!P156-F$1)/F$2)</f>
        <v>-1.243925831</v>
      </c>
      <c r="G158" s="41">
        <f>IF(TYPE($A158)=1,"",(UpdateHashtag!Q156-G$1)/G$2)</f>
        <v>0.6266549355</v>
      </c>
      <c r="H158" s="41">
        <f>IF(TYPE($A158)=1,"",(UpdateHashtag!I156-H$1)/H$2*I158/$I$1)</f>
        <v>0.4203340024</v>
      </c>
      <c r="I158" s="41">
        <f>UpdateHashtag!S156</f>
        <v>6.6</v>
      </c>
      <c r="J158" s="53">
        <f>IF(TYPE($A158)=1,"",(UpdateHashtag!K156-J$1)/J$2*K158/$K$1)</f>
        <v>-0.4941403918</v>
      </c>
      <c r="K158" s="55">
        <f>UpdateHashtag!T156</f>
        <v>2.1</v>
      </c>
      <c r="L158" s="41">
        <f>IF(TYPE($A158)=1,"",-(UpdateHashtag!R156-L$1)/L$2)</f>
        <v>0.643430979</v>
      </c>
      <c r="N158" s="112">
        <v>138.0</v>
      </c>
      <c r="O158" s="170">
        <f t="array" ref="O158">INDIRECT("Update"&amp;Projections!$AG$17&amp;"!B"&amp;ROW(B139))</f>
        <v>143.4</v>
      </c>
      <c r="P158" s="172" t="str">
        <f t="array" ref="P158">INDIRECT("Update"&amp;Projections!$AG$17&amp;"!C"&amp;ROW(B139))</f>
        <v>T.J. McConnell</v>
      </c>
      <c r="Q158" s="170">
        <f>UpdateHashtag!F172</f>
        <v>68</v>
      </c>
      <c r="R158" s="177" t="str">
        <f>IF(UpdateHashtag!D172="",ROW(UpdateHashtag!D172),UpdateHashtag!D172)</f>
        <v>PG,SG</v>
      </c>
      <c r="S158" s="124">
        <f t="shared" si="1"/>
        <v>-3.259465374</v>
      </c>
      <c r="T158" s="124">
        <f>SUM(AE158:AM158)-IFERROR(IFS(Projections!$I$17,AN158,Projections!$J$17,AO158),"")</f>
        <v>-3.267321539</v>
      </c>
      <c r="U158" s="124">
        <f t="shared" si="2"/>
        <v>-0.007856164708</v>
      </c>
      <c r="V158" s="124">
        <f t="array" ref="V158">INDIRECT("Update"&amp;Projections!$AG$17&amp;"!M"&amp;ROW(B139))</f>
        <v>10.5009589</v>
      </c>
      <c r="W158" s="124">
        <f t="array" ref="W158">INDIRECT("Update"&amp;Projections!$AG$17&amp;"!L"&amp;ROW(B139))</f>
        <v>0.2819178082</v>
      </c>
      <c r="X158" s="124">
        <f t="array" ref="X158">INDIRECT("Update"&amp;Projections!$AG$17&amp;"!N"&amp;ROW(B139))</f>
        <v>2.961232877</v>
      </c>
      <c r="Y158" s="124">
        <f t="array" ref="Y158">INDIRECT("Update"&amp;Projections!$AG$17&amp;"!O"&amp;ROW(B139))</f>
        <v>5.917260274</v>
      </c>
      <c r="Z158" s="124">
        <f t="array" ref="Z158">INDIRECT("Update"&amp;Projections!$AG$17&amp;"!P"&amp;ROW(B139))</f>
        <v>1.07260274</v>
      </c>
      <c r="AA158" s="124">
        <f t="array" ref="AA158">INDIRECT("Update"&amp;Projections!$AG$17&amp;"!Q"&amp;ROW(B139))</f>
        <v>0.1287671233</v>
      </c>
      <c r="AB158" s="180">
        <f t="array" ref="AB158">INDIRECT("Update"&amp;Projections!$AG$17&amp;"!I"&amp;ROW(B139))</f>
        <v>0.5480603977</v>
      </c>
      <c r="AC158" s="180">
        <f t="array" ref="AC158">INDIRECT("Update"&amp;Projections!$AG$17&amp;"!K"&amp;ROW(B139))</f>
        <v>0.8099744246</v>
      </c>
      <c r="AD158" s="124">
        <f t="array" ref="AD158">INDIRECT("Update"&amp;Projections!$AG$17&amp;"!R"&amp;ROW(B139))</f>
        <v>1.716986301</v>
      </c>
      <c r="AE158" s="124">
        <f t="shared" si="3"/>
        <v>-1.259573727</v>
      </c>
      <c r="AF158" s="124">
        <f t="shared" si="4"/>
        <v>-1.454910052</v>
      </c>
      <c r="AG158" s="124">
        <f t="shared" si="5"/>
        <v>-1.223573012</v>
      </c>
      <c r="AH158" s="124">
        <f t="shared" si="6"/>
        <v>0.9009774254</v>
      </c>
      <c r="AI158" s="124">
        <f t="shared" si="7"/>
        <v>0.3195921372</v>
      </c>
      <c r="AJ158" s="124">
        <f t="shared" si="8"/>
        <v>-1.105682472</v>
      </c>
      <c r="AK158" s="124">
        <f t="shared" si="9"/>
        <v>0.5276338394</v>
      </c>
      <c r="AL158" s="124">
        <f t="shared" si="10"/>
        <v>0.02821432205</v>
      </c>
      <c r="AM158" s="124">
        <f t="shared" si="11"/>
        <v>0</v>
      </c>
      <c r="AN158" s="183">
        <f t="shared" si="12"/>
        <v>-1.454910052</v>
      </c>
      <c r="AO158" s="183">
        <f t="shared" si="13"/>
        <v>-2.714483779</v>
      </c>
      <c r="AP158" s="183">
        <f t="array" ref="AP158">INDIRECT("Update"&amp;Projections!$AG$17&amp;"!S"&amp;ROW(B139))</f>
        <v>8.927123288</v>
      </c>
      <c r="AQ158" s="183">
        <f t="array" ref="AQ158">INDIRECT("Update"&amp;Projections!$AG$17&amp;"!T"&amp;ROW(B139))</f>
        <v>0.5356164384</v>
      </c>
    </row>
    <row r="159">
      <c r="A159" s="40" t="str">
        <f>IF(UpdateHashtag!C157="",ROW(UpdateHashtag!C157),UpdateHashtag!C157)</f>
        <v>Mitchell Robinson</v>
      </c>
      <c r="B159" s="41">
        <f>IF(TYPE($A159)=1,"",(UpdateHashtag!M157-B$1)/B$2)</f>
        <v>-1.926692437</v>
      </c>
      <c r="C159" s="41">
        <f>IF(TYPE($A159)=1,"",(UpdateHashtag!L157-C$1)/C$2)</f>
        <v>-1.734552372</v>
      </c>
      <c r="D159" s="41">
        <f>IF(TYPE($A159)=1,"",(UpdateHashtag!N157-D$1)/D$2)</f>
        <v>1.182252772</v>
      </c>
      <c r="E159" s="41">
        <f>IF(TYPE($A159)=1,"",(UpdateHashtag!O157-E$1)/E$2)</f>
        <v>-1.422967016</v>
      </c>
      <c r="F159" s="41">
        <f>IF(TYPE($A159)=1,"",(UpdateHashtag!P157-F$1)/F$2)</f>
        <v>0.0793995211</v>
      </c>
      <c r="G159" s="41">
        <f>IF(TYPE($A159)=1,"",(UpdateHashtag!Q157-G$1)/G$2)</f>
        <v>1.518478847</v>
      </c>
      <c r="H159" s="41">
        <f>IF(TYPE($A159)=1,"",(UpdateHashtag!I157-H$1)/H$2*I159/$I$1)</f>
        <v>0.7472033245</v>
      </c>
      <c r="I159" s="41">
        <f>UpdateHashtag!S157</f>
        <v>4.5</v>
      </c>
      <c r="J159" s="53">
        <f>IF(TYPE($A159)=1,"",(UpdateHashtag!K157-J$1)/J$2*K159/$K$1)</f>
        <v>-2.478669585</v>
      </c>
      <c r="K159" s="55">
        <f>UpdateHashtag!T157</f>
        <v>2.1</v>
      </c>
      <c r="L159" s="41">
        <f>IF(TYPE($A159)=1,"",-(UpdateHashtag!R157-L$1)/L$2)</f>
        <v>1.040202395</v>
      </c>
      <c r="N159" s="112">
        <v>139.0</v>
      </c>
      <c r="O159" s="170">
        <f t="array" ref="O159">INDIRECT("Update"&amp;Projections!$AG$17&amp;"!B"&amp;ROW(B140))</f>
        <v>144.8</v>
      </c>
      <c r="P159" s="172" t="str">
        <f t="array" ref="P159">INDIRECT("Update"&amp;Projections!$AG$17&amp;"!C"&amp;ROW(B140))</f>
        <v>Max Strus</v>
      </c>
      <c r="Q159" s="170">
        <f>UpdateHashtag!F190</f>
        <v>70</v>
      </c>
      <c r="R159" s="177" t="str">
        <f>IF(UpdateHashtag!D190="",ROW(UpdateHashtag!D190),UpdateHashtag!D190)</f>
        <v>SF,PF</v>
      </c>
      <c r="S159" s="124">
        <f t="shared" si="1"/>
        <v>-2.992132814</v>
      </c>
      <c r="T159" s="124">
        <f>SUM(AE159:AM159)-IFERROR(IFS(Projections!$I$17,AN159,Projections!$J$17,AO159),"")</f>
        <v>-3.014727866</v>
      </c>
      <c r="U159" s="124">
        <f t="shared" si="2"/>
        <v>-0.02259505257</v>
      </c>
      <c r="V159" s="124">
        <f t="array" ref="V159">INDIRECT("Update"&amp;Projections!$AG$17&amp;"!M"&amp;ROW(B140))</f>
        <v>11.57183673</v>
      </c>
      <c r="W159" s="124">
        <f t="array" ref="W159">INDIRECT("Update"&amp;Projections!$AG$17&amp;"!L"&amp;ROW(B140))</f>
        <v>2.281836735</v>
      </c>
      <c r="X159" s="124">
        <f t="array" ref="X159">INDIRECT("Update"&amp;Projections!$AG$17&amp;"!N"&amp;ROW(B140))</f>
        <v>4.653673469</v>
      </c>
      <c r="Y159" s="124">
        <f t="array" ref="Y159">INDIRECT("Update"&amp;Projections!$AG$17&amp;"!O"&amp;ROW(B140))</f>
        <v>4.27122449</v>
      </c>
      <c r="Z159" s="124">
        <f t="array" ref="Z159">INDIRECT("Update"&amp;Projections!$AG$17&amp;"!P"&amp;ROW(B140))</f>
        <v>0.7651020408</v>
      </c>
      <c r="AA159" s="124">
        <f t="array" ref="AA159">INDIRECT("Update"&amp;Projections!$AG$17&amp;"!Q"&amp;ROW(B140))</f>
        <v>0.3197959184</v>
      </c>
      <c r="AB159" s="180">
        <f t="array" ref="AB159">INDIRECT("Update"&amp;Projections!$AG$17&amp;"!I"&amp;ROW(B140))</f>
        <v>0.4321658788</v>
      </c>
      <c r="AC159" s="180">
        <f t="array" ref="AC159">INDIRECT("Update"&amp;Projections!$AG$17&amp;"!K"&amp;ROW(B140))</f>
        <v>0.819025522</v>
      </c>
      <c r="AD159" s="124">
        <f t="array" ref="AD159">INDIRECT("Update"&amp;Projections!$AG$17&amp;"!R"&amp;ROW(B140))</f>
        <v>1.65755102</v>
      </c>
      <c r="AE159" s="124">
        <f t="shared" si="3"/>
        <v>-1.06654196</v>
      </c>
      <c r="AF159" s="124">
        <f t="shared" si="4"/>
        <v>0.5288666069</v>
      </c>
      <c r="AG159" s="124">
        <f t="shared" si="5"/>
        <v>-0.5602937032</v>
      </c>
      <c r="AH159" s="124">
        <f t="shared" si="6"/>
        <v>0.1534493525</v>
      </c>
      <c r="AI159" s="124">
        <f t="shared" si="7"/>
        <v>-0.6977165401</v>
      </c>
      <c r="AJ159" s="124">
        <f t="shared" si="8"/>
        <v>-0.7649543769</v>
      </c>
      <c r="AK159" s="124">
        <f t="shared" si="9"/>
        <v>-0.7189904545</v>
      </c>
      <c r="AL159" s="124">
        <f t="shared" si="10"/>
        <v>0.1114532086</v>
      </c>
      <c r="AM159" s="124">
        <f t="shared" si="11"/>
        <v>0</v>
      </c>
      <c r="AN159" s="183">
        <f t="shared" si="12"/>
        <v>-1.06654196</v>
      </c>
      <c r="AO159" s="183">
        <f t="shared" si="13"/>
        <v>-1.831496336</v>
      </c>
      <c r="AP159" s="183">
        <f t="array" ref="AP159">INDIRECT("Update"&amp;Projections!$AG$17&amp;"!S"&amp;ROW(B140))</f>
        <v>9.497959184</v>
      </c>
      <c r="AQ159" s="183">
        <f t="array" ref="AQ159">INDIRECT("Update"&amp;Projections!$AG$17&amp;"!T"&amp;ROW(B140))</f>
        <v>1.319387755</v>
      </c>
    </row>
    <row r="160">
      <c r="A160" s="40" t="str">
        <f>IF(UpdateHashtag!C158="",ROW(UpdateHashtag!C158),UpdateHashtag!C158)</f>
        <v>Donovan Clingan</v>
      </c>
      <c r="B160" s="41">
        <f>IF(TYPE($A160)=1,"",(UpdateHashtag!M158-B$1)/B$2)</f>
        <v>-1.313823266</v>
      </c>
      <c r="C160" s="41">
        <f>IF(TYPE($A160)=1,"",(UpdateHashtag!L158-C$1)/C$2)</f>
        <v>-1.43697381</v>
      </c>
      <c r="D160" s="41">
        <f>IF(TYPE($A160)=1,"",(UpdateHashtag!N158-D$1)/D$2)</f>
        <v>-0.1894217149</v>
      </c>
      <c r="E160" s="41">
        <f>IF(TYPE($A160)=1,"",(UpdateHashtag!O158-E$1)/E$2)</f>
        <v>-1.241311653</v>
      </c>
      <c r="F160" s="41">
        <f>IF(TYPE($A160)=1,"",(UpdateHashtag!P158-F$1)/F$2)</f>
        <v>-1.905588506</v>
      </c>
      <c r="G160" s="41">
        <f>IF(TYPE($A160)=1,"",(UpdateHashtag!Q158-G$1)/G$2)</f>
        <v>2.053573195</v>
      </c>
      <c r="H160" s="41">
        <f>IF(TYPE($A160)=1,"",(UpdateHashtag!I158-H$1)/H$2*I160/$I$1)</f>
        <v>1.055244939</v>
      </c>
      <c r="I160" s="41">
        <f>UpdateHashtag!S158</f>
        <v>6.4</v>
      </c>
      <c r="J160" s="53">
        <f>IF(TYPE($A160)=1,"",(UpdateHashtag!K158-J$1)/J$2*K160/$K$1)</f>
        <v>-1.904930216</v>
      </c>
      <c r="K160" s="55">
        <f>UpdateHashtag!T158</f>
        <v>2.9</v>
      </c>
      <c r="L160" s="41">
        <f>IF(TYPE($A160)=1,"",-(UpdateHashtag!R158-L$1)/L$2)</f>
        <v>1.139395249</v>
      </c>
      <c r="N160" s="5">
        <v>140.0</v>
      </c>
      <c r="O160" s="170">
        <f t="array" ref="O160">INDIRECT("Update"&amp;Projections!$AG$17&amp;"!B"&amp;ROW(B141))</f>
        <v>140.6</v>
      </c>
      <c r="P160" s="172" t="str">
        <f t="array" ref="P160">INDIRECT("Update"&amp;Projections!$AG$17&amp;"!C"&amp;ROW(B141))</f>
        <v>Shaedon Sharpe</v>
      </c>
      <c r="Q160" s="170">
        <f>UpdateHashtag!F201</f>
        <v>68</v>
      </c>
      <c r="R160" s="177" t="str">
        <f>IF(UpdateHashtag!D201="",ROW(UpdateHashtag!D201),UpdateHashtag!D201)</f>
        <v>SG,SF</v>
      </c>
      <c r="S160" s="124">
        <f t="shared" si="1"/>
        <v>-2.925048251</v>
      </c>
      <c r="T160" s="124">
        <f>SUM(AE160:AM160)-IFERROR(IFS(Projections!$I$17,AN160,Projections!$J$17,AO160),"")</f>
        <v>-2.886115056</v>
      </c>
      <c r="U160" s="124">
        <f t="shared" si="2"/>
        <v>0.03893319524</v>
      </c>
      <c r="V160" s="124">
        <f t="array" ref="V160">INDIRECT("Update"&amp;Projections!$AG$17&amp;"!M"&amp;ROW(B141))</f>
        <v>16.22216667</v>
      </c>
      <c r="W160" s="124">
        <f t="array" ref="W160">INDIRECT("Update"&amp;Projections!$AG$17&amp;"!L"&amp;ROW(B141))</f>
        <v>1.953166667</v>
      </c>
      <c r="X160" s="124">
        <f t="array" ref="X160">INDIRECT("Update"&amp;Projections!$AG$17&amp;"!N"&amp;ROW(B141))</f>
        <v>4.764333333</v>
      </c>
      <c r="Y160" s="124">
        <f t="array" ref="Y160">INDIRECT("Update"&amp;Projections!$AG$17&amp;"!O"&amp;ROW(B141))</f>
        <v>2.926666667</v>
      </c>
      <c r="Z160" s="124">
        <f t="array" ref="Z160">INDIRECT("Update"&amp;Projections!$AG$17&amp;"!P"&amp;ROW(B141))</f>
        <v>0.8256666667</v>
      </c>
      <c r="AA160" s="124">
        <f t="array" ref="AA160">INDIRECT("Update"&amp;Projections!$AG$17&amp;"!Q"&amp;ROW(B141))</f>
        <v>0.4053333333</v>
      </c>
      <c r="AB160" s="180">
        <f t="array" ref="AB160">INDIRECT("Update"&amp;Projections!$AG$17&amp;"!I"&amp;ROW(B141))</f>
        <v>0.4255115049</v>
      </c>
      <c r="AC160" s="180">
        <f t="array" ref="AC160">INDIRECT("Update"&amp;Projections!$AG$17&amp;"!K"&amp;ROW(B141))</f>
        <v>0.8199972952</v>
      </c>
      <c r="AD160" s="124">
        <f t="array" ref="AD160">INDIRECT("Update"&amp;Projections!$AG$17&amp;"!R"&amp;ROW(B141))</f>
        <v>1.905666667</v>
      </c>
      <c r="AE160" s="124">
        <f t="shared" si="3"/>
        <v>-0.2282937659</v>
      </c>
      <c r="AF160" s="124">
        <f t="shared" si="4"/>
        <v>0.2028493866</v>
      </c>
      <c r="AG160" s="124">
        <f t="shared" si="5"/>
        <v>-0.5169253283</v>
      </c>
      <c r="AH160" s="124">
        <f t="shared" si="6"/>
        <v>-0.4571659987</v>
      </c>
      <c r="AI160" s="124">
        <f t="shared" si="7"/>
        <v>-0.4973497779</v>
      </c>
      <c r="AJ160" s="124">
        <f t="shared" si="8"/>
        <v>-0.6123857529</v>
      </c>
      <c r="AK160" s="124">
        <f t="shared" si="9"/>
        <v>-1.101777925</v>
      </c>
      <c r="AL160" s="124">
        <f t="shared" si="10"/>
        <v>0.3249341066</v>
      </c>
      <c r="AM160" s="124">
        <f t="shared" si="11"/>
        <v>0</v>
      </c>
      <c r="AN160" s="183">
        <f t="shared" si="12"/>
        <v>-1.101777925</v>
      </c>
      <c r="AO160" s="183">
        <f t="shared" si="13"/>
        <v>-1.714163678</v>
      </c>
      <c r="AP160" s="183">
        <f t="array" ref="AP160">INDIRECT("Update"&amp;Projections!$AG$17&amp;"!S"&amp;ROW(B141))</f>
        <v>13.2045</v>
      </c>
      <c r="AQ160" s="183">
        <f t="array" ref="AQ160">INDIRECT("Update"&amp;Projections!$AG$17&amp;"!T"&amp;ROW(B141))</f>
        <v>3.697166667</v>
      </c>
    </row>
    <row r="161">
      <c r="A161" s="40" t="str">
        <f>IF(UpdateHashtag!C159="",ROW(UpdateHashtag!C159),UpdateHashtag!C159)</f>
        <v>Tari Eason</v>
      </c>
      <c r="B161" s="41">
        <f>IF(TYPE($A161)=1,"",(UpdateHashtag!M159-B$1)/B$2)</f>
        <v>-1.385925521</v>
      </c>
      <c r="C161" s="41">
        <f>IF(TYPE($A161)=1,"",(UpdateHashtag!L159-C$1)/C$2)</f>
        <v>-0.9410095407</v>
      </c>
      <c r="D161" s="41">
        <f>IF(TYPE($A161)=1,"",(UpdateHashtag!N159-D$1)/D$2)</f>
        <v>0.3984387796</v>
      </c>
      <c r="E161" s="41">
        <f>IF(TYPE($A161)=1,"",(UpdateHashtag!O159-E$1)/E$2)</f>
        <v>-1.241311653</v>
      </c>
      <c r="F161" s="41">
        <f>IF(TYPE($A161)=1,"",(UpdateHashtag!P159-F$1)/F$2)</f>
        <v>1.071893535</v>
      </c>
      <c r="G161" s="41">
        <f>IF(TYPE($A161)=1,"",(UpdateHashtag!Q159-G$1)/G$2)</f>
        <v>-0.08680419409</v>
      </c>
      <c r="H161" s="41">
        <f>IF(TYPE($A161)=1,"",(UpdateHashtag!I159-H$1)/H$2*I161/$I$1)</f>
        <v>-0.3979136765</v>
      </c>
      <c r="I161" s="41">
        <f>UpdateHashtag!S159</f>
        <v>8.5</v>
      </c>
      <c r="J161" s="53">
        <f>IF(TYPE($A161)=1,"",(UpdateHashtag!K159-J$1)/J$2*K161/$K$1)</f>
        <v>-0.3982548549</v>
      </c>
      <c r="K161" s="55">
        <f>UpdateHashtag!T159</f>
        <v>1.8</v>
      </c>
      <c r="L161" s="41">
        <f>IF(TYPE($A161)=1,"",-(UpdateHashtag!R159-L$1)/L$2)</f>
        <v>0.5442381251</v>
      </c>
      <c r="N161" s="112">
        <v>141.0</v>
      </c>
      <c r="O161" s="170">
        <f t="array" ref="O161">INDIRECT("Update"&amp;Projections!$AG$17&amp;"!B"&amp;ROW(B142))</f>
        <v>139.1</v>
      </c>
      <c r="P161" s="172" t="str">
        <f t="array" ref="P161">INDIRECT("Update"&amp;Projections!$AG$17&amp;"!C"&amp;ROW(B142))</f>
        <v>Andre Drummond</v>
      </c>
      <c r="Q161" s="170">
        <f>UpdateHashtag!F208</f>
        <v>68</v>
      </c>
      <c r="R161" s="177" t="str">
        <f>IF(UpdateHashtag!D208="",ROW(UpdateHashtag!D208),UpdateHashtag!D208)</f>
        <v>SG,SF</v>
      </c>
      <c r="S161" s="124">
        <f t="shared" si="1"/>
        <v>-3.34714551</v>
      </c>
      <c r="T161" s="124">
        <f>SUM(AE161:AM161)-IFERROR(IFS(Projections!$I$17,AN161,Projections!$J$17,AO161),"")</f>
        <v>-3.398007891</v>
      </c>
      <c r="U161" s="124">
        <f t="shared" si="2"/>
        <v>-0.05086238137</v>
      </c>
      <c r="V161" s="124">
        <f t="array" ref="V161">INDIRECT("Update"&amp;Projections!$AG$17&amp;"!M"&amp;ROW(B142))</f>
        <v>8.595068493</v>
      </c>
      <c r="W161" s="124">
        <f t="array" ref="W161">INDIRECT("Update"&amp;Projections!$AG$17&amp;"!L"&amp;ROW(B142))</f>
        <v>0</v>
      </c>
      <c r="X161" s="124">
        <f t="array" ref="X161">INDIRECT("Update"&amp;Projections!$AG$17&amp;"!N"&amp;ROW(B142))</f>
        <v>11.06178082</v>
      </c>
      <c r="Y161" s="124">
        <f t="array" ref="Y161">INDIRECT("Update"&amp;Projections!$AG$17&amp;"!O"&amp;ROW(B142))</f>
        <v>1.029041096</v>
      </c>
      <c r="Z161" s="124">
        <f t="array" ref="Z161">INDIRECT("Update"&amp;Projections!$AG$17&amp;"!P"&amp;ROW(B142))</f>
        <v>1.098219178</v>
      </c>
      <c r="AA161" s="124">
        <f t="array" ref="AA161">INDIRECT("Update"&amp;Projections!$AG$17&amp;"!Q"&amp;ROW(B142))</f>
        <v>0.9004109589</v>
      </c>
      <c r="AB161" s="180">
        <f t="array" ref="AB161">INDIRECT("Update"&amp;Projections!$AG$17&amp;"!I"&amp;ROW(B142))</f>
        <v>0.5779897937</v>
      </c>
      <c r="AC161" s="180">
        <f t="array" ref="AC161">INDIRECT("Update"&amp;Projections!$AG$17&amp;"!K"&amp;ROW(B142))</f>
        <v>0.5760051951</v>
      </c>
      <c r="AD161" s="124">
        <f t="array" ref="AD161">INDIRECT("Update"&amp;Projections!$AG$17&amp;"!R"&amp;ROW(B142))</f>
        <v>1.543561644</v>
      </c>
      <c r="AE161" s="124">
        <f t="shared" si="3"/>
        <v>-1.60312122</v>
      </c>
      <c r="AF161" s="124">
        <f t="shared" si="4"/>
        <v>-1.734552372</v>
      </c>
      <c r="AG161" s="124">
        <f t="shared" si="5"/>
        <v>1.951088401</v>
      </c>
      <c r="AH161" s="124">
        <f t="shared" si="6"/>
        <v>-1.318950657</v>
      </c>
      <c r="AI161" s="124">
        <f t="shared" si="7"/>
        <v>0.4043393418</v>
      </c>
      <c r="AJ161" s="124">
        <f t="shared" si="8"/>
        <v>0.2706583766</v>
      </c>
      <c r="AK161" s="124">
        <f t="shared" si="9"/>
        <v>0.5798428237</v>
      </c>
      <c r="AL161" s="124">
        <f t="shared" si="10"/>
        <v>-1.947312586</v>
      </c>
      <c r="AM161" s="124">
        <f t="shared" si="11"/>
        <v>0</v>
      </c>
      <c r="AN161" s="183">
        <f t="shared" si="12"/>
        <v>-1.947312586</v>
      </c>
      <c r="AO161" s="183">
        <f t="shared" si="13"/>
        <v>-3.681864957</v>
      </c>
      <c r="AP161" s="183">
        <f t="array" ref="AP161">INDIRECT("Update"&amp;Projections!$AG$17&amp;"!S"&amp;ROW(B142))</f>
        <v>6.173972603</v>
      </c>
      <c r="AQ161" s="183">
        <f t="array" ref="AQ161">INDIRECT("Update"&amp;Projections!$AG$17&amp;"!T"&amp;ROW(B142))</f>
        <v>2.531369863</v>
      </c>
    </row>
    <row r="162">
      <c r="A162" s="40" t="str">
        <f>IF(UpdateHashtag!C160="",ROW(UpdateHashtag!C160),UpdateHashtag!C160)</f>
        <v>Aaron Gordon</v>
      </c>
      <c r="B162" s="41">
        <f>IF(TYPE($A162)=1,"",(UpdateHashtag!M160-B$1)/B$2)</f>
        <v>-0.394519508</v>
      </c>
      <c r="C162" s="41">
        <f>IF(TYPE($A162)=1,"",(UpdateHashtag!L160-C$1)/C$2)</f>
        <v>-1.040202395</v>
      </c>
      <c r="D162" s="41">
        <f>IF(TYPE($A162)=1,"",(UpdateHashtag!N160-D$1)/D$2)</f>
        <v>0.2024852814</v>
      </c>
      <c r="E162" s="41">
        <f>IF(TYPE($A162)=1,"",(UpdateHashtag!O160-E$1)/E$2)</f>
        <v>-0.2876209927</v>
      </c>
      <c r="F162" s="41">
        <f>IF(TYPE($A162)=1,"",(UpdateHashtag!P160-F$1)/F$2)</f>
        <v>-0.5822631548</v>
      </c>
      <c r="G162" s="41">
        <f>IF(TYPE($A162)=1,"",(UpdateHashtag!Q160-G$1)/G$2)</f>
        <v>-0.08680419409</v>
      </c>
      <c r="H162" s="41">
        <f>IF(TYPE($A162)=1,"",(UpdateHashtag!I160-H$1)/H$2*I162/$I$1)</f>
        <v>0.7737179789</v>
      </c>
      <c r="I162" s="41">
        <f>UpdateHashtag!S160</f>
        <v>10.6</v>
      </c>
      <c r="J162" s="53">
        <f>IF(TYPE($A162)=1,"",(UpdateHashtag!K160-J$1)/J$2*K162/$K$1)</f>
        <v>-2.404747717</v>
      </c>
      <c r="K162" s="55">
        <f>UpdateHashtag!T160</f>
        <v>4.2</v>
      </c>
      <c r="L162" s="41">
        <f>IF(TYPE($A162)=1,"",-(UpdateHashtag!R160-L$1)/L$2)</f>
        <v>0.2466595634</v>
      </c>
      <c r="N162" s="112">
        <v>142.0</v>
      </c>
      <c r="O162" s="170">
        <f t="array" ref="O162">INDIRECT("Update"&amp;Projections!$AG$17&amp;"!B"&amp;ROW(B143))</f>
        <v>132.1</v>
      </c>
      <c r="P162" s="172" t="str">
        <f t="array" ref="P162">INDIRECT("Update"&amp;Projections!$AG$17&amp;"!C"&amp;ROW(B143))</f>
        <v>Jaden Ivey</v>
      </c>
      <c r="Q162" s="170">
        <f>UpdateHashtag!F206</f>
        <v>60</v>
      </c>
      <c r="R162" s="177" t="str">
        <f>IF(UpdateHashtag!D206="",ROW(UpdateHashtag!D206),UpdateHashtag!D206)</f>
        <v>PF,C</v>
      </c>
      <c r="S162" s="124">
        <f t="shared" si="1"/>
        <v>-3.177508336</v>
      </c>
      <c r="T162" s="124">
        <f>SUM(AE162:AM162)-IFERROR(IFS(Projections!$I$17,AN162,Projections!$J$17,AO162),"")</f>
        <v>-3.005560468</v>
      </c>
      <c r="U162" s="124">
        <f t="shared" si="2"/>
        <v>0.1719478683</v>
      </c>
      <c r="V162" s="124">
        <f t="array" ref="V162">INDIRECT("Update"&amp;Projections!$AG$17&amp;"!M"&amp;ROW(B143))</f>
        <v>17.90013699</v>
      </c>
      <c r="W162" s="124">
        <f t="array" ref="W162">INDIRECT("Update"&amp;Projections!$AG$17&amp;"!L"&amp;ROW(B143))</f>
        <v>2.133424658</v>
      </c>
      <c r="X162" s="124">
        <f t="array" ref="X162">INDIRECT("Update"&amp;Projections!$AG$17&amp;"!N"&amp;ROW(B143))</f>
        <v>3.366027397</v>
      </c>
      <c r="Y162" s="124">
        <f t="array" ref="Y162">INDIRECT("Update"&amp;Projections!$AG$17&amp;"!O"&amp;ROW(B143))</f>
        <v>4.62</v>
      </c>
      <c r="Z162" s="124">
        <f t="array" ref="Z162">INDIRECT("Update"&amp;Projections!$AG$17&amp;"!P"&amp;ROW(B143))</f>
        <v>0.708630137</v>
      </c>
      <c r="AA162" s="124">
        <f t="array" ref="AA162">INDIRECT("Update"&amp;Projections!$AG$17&amp;"!Q"&amp;ROW(B143))</f>
        <v>0.4694520548</v>
      </c>
      <c r="AB162" s="180">
        <f t="array" ref="AB162">INDIRECT("Update"&amp;Projections!$AG$17&amp;"!I"&amp;ROW(B143))</f>
        <v>0.4420107856</v>
      </c>
      <c r="AC162" s="180">
        <f t="array" ref="AC162">INDIRECT("Update"&amp;Projections!$AG$17&amp;"!K"&amp;ROW(B143))</f>
        <v>0.7660149531</v>
      </c>
      <c r="AD162" s="124">
        <f t="array" ref="AD162">INDIRECT("Update"&amp;Projections!$AG$17&amp;"!R"&amp;ROW(B143))</f>
        <v>2.442054795</v>
      </c>
      <c r="AE162" s="124">
        <f t="shared" si="3"/>
        <v>0.07416984596</v>
      </c>
      <c r="AF162" s="124">
        <f t="shared" si="4"/>
        <v>0.3816524322</v>
      </c>
      <c r="AG162" s="124">
        <f t="shared" si="5"/>
        <v>-1.064931208</v>
      </c>
      <c r="AH162" s="124">
        <f t="shared" si="6"/>
        <v>0.3118417078</v>
      </c>
      <c r="AI162" s="124">
        <f t="shared" si="7"/>
        <v>-0.884543295</v>
      </c>
      <c r="AJ162" s="124">
        <f t="shared" si="8"/>
        <v>-0.4980205348</v>
      </c>
      <c r="AK162" s="124">
        <f t="shared" si="9"/>
        <v>-0.9286160562</v>
      </c>
      <c r="AL162" s="124">
        <f t="shared" si="10"/>
        <v>-0.3971133603</v>
      </c>
      <c r="AM162" s="124">
        <f t="shared" si="11"/>
        <v>0</v>
      </c>
      <c r="AN162" s="183">
        <f t="shared" si="12"/>
        <v>-1.064931208</v>
      </c>
      <c r="AO162" s="183">
        <f t="shared" si="13"/>
        <v>-1.993547264</v>
      </c>
      <c r="AP162" s="183">
        <f t="array" ref="AP162">INDIRECT("Update"&amp;Projections!$AG$17&amp;"!S"&amp;ROW(B143))</f>
        <v>14.45356164</v>
      </c>
      <c r="AQ162" s="183">
        <f t="array" ref="AQ162">INDIRECT("Update"&amp;Projections!$AG$17&amp;"!T"&amp;ROW(B143))</f>
        <v>3.90260274</v>
      </c>
    </row>
    <row r="163">
      <c r="A163" s="40" t="str">
        <f>IF(UpdateHashtag!C161="",ROW(UpdateHashtag!C161),UpdateHashtag!C161)</f>
        <v>Tre Jones</v>
      </c>
      <c r="B163" s="41">
        <f>IF(TYPE($A163)=1,"",(UpdateHashtag!M161-B$1)/B$2)</f>
        <v>-1.385925521</v>
      </c>
      <c r="C163" s="41">
        <f>IF(TYPE($A163)=1,"",(UpdateHashtag!L161-C$1)/C$2)</f>
        <v>-1.040202395</v>
      </c>
      <c r="D163" s="41">
        <f>IF(TYPE($A163)=1,"",(UpdateHashtag!N161-D$1)/D$2)</f>
        <v>-1.129998506</v>
      </c>
      <c r="E163" s="41">
        <f>IF(TYPE($A163)=1,"",(UpdateHashtag!O161-E$1)/E$2)</f>
        <v>0.7114835082</v>
      </c>
      <c r="F163" s="41">
        <f>IF(TYPE($A163)=1,"",(UpdateHashtag!P161-F$1)/F$2)</f>
        <v>0.0793995211</v>
      </c>
      <c r="G163" s="41">
        <f>IF(TYPE($A163)=1,"",(UpdateHashtag!Q161-G$1)/G$2)</f>
        <v>-1.156992888</v>
      </c>
      <c r="H163" s="41">
        <f>IF(TYPE($A163)=1,"",(UpdateHashtag!I161-H$1)/H$2*I163/$I$1)</f>
        <v>-0.1697905633</v>
      </c>
      <c r="I163" s="41">
        <f>UpdateHashtag!S161</f>
        <v>8</v>
      </c>
      <c r="J163" s="53">
        <f>IF(TYPE($A163)=1,"",(UpdateHashtag!K161-J$1)/J$2*K163/$K$1)</f>
        <v>0.3942850939</v>
      </c>
      <c r="K163" s="55">
        <f>UpdateHashtag!T161</f>
        <v>1.7</v>
      </c>
      <c r="L163" s="41">
        <f>IF(TYPE($A163)=1,"",-(UpdateHashtag!R161-L$1)/L$2)</f>
        <v>0.3458524173</v>
      </c>
      <c r="N163" s="5">
        <v>143.0</v>
      </c>
      <c r="O163" s="170">
        <f t="array" ref="O163">INDIRECT("Update"&amp;Projections!$AG$17&amp;"!B"&amp;ROW(B144))</f>
        <v>143.9</v>
      </c>
      <c r="P163" s="172" t="str">
        <f t="array" ref="P163">INDIRECT("Update"&amp;Projections!$AG$17&amp;"!C"&amp;ROW(B144))</f>
        <v>Gary Trent Jr.</v>
      </c>
      <c r="Q163" s="170">
        <f>UpdateHashtag!F196</f>
        <v>67</v>
      </c>
      <c r="R163" s="177" t="str">
        <f>IF(UpdateHashtag!D196="",ROW(UpdateHashtag!D196),UpdateHashtag!D196)</f>
        <v>SG,SF</v>
      </c>
      <c r="S163" s="124">
        <f t="shared" si="1"/>
        <v>-2.671917002</v>
      </c>
      <c r="T163" s="124">
        <f>SUM(AE163:AM163)-IFERROR(IFS(Projections!$I$17,AN163,Projections!$J$17,AO163),"")</f>
        <v>-2.926736196</v>
      </c>
      <c r="U163" s="124">
        <f t="shared" si="2"/>
        <v>-0.2548191947</v>
      </c>
      <c r="V163" s="124">
        <f t="array" ref="V163">INDIRECT("Update"&amp;Projections!$AG$17&amp;"!M"&amp;ROW(B144))</f>
        <v>14.87479452</v>
      </c>
      <c r="W163" s="124">
        <f t="array" ref="W163">INDIRECT("Update"&amp;Projections!$AG$17&amp;"!L"&amp;ROW(B144))</f>
        <v>2.742054795</v>
      </c>
      <c r="X163" s="124">
        <f t="array" ref="X163">INDIRECT("Update"&amp;Projections!$AG$17&amp;"!N"&amp;ROW(B144))</f>
        <v>2.706027397</v>
      </c>
      <c r="Y163" s="124">
        <f t="array" ref="Y163">INDIRECT("Update"&amp;Projections!$AG$17&amp;"!O"&amp;ROW(B144))</f>
        <v>1.583972603</v>
      </c>
      <c r="Z163" s="124">
        <f t="array" ref="Z163">INDIRECT("Update"&amp;Projections!$AG$17&amp;"!P"&amp;ROW(B144))</f>
        <v>1.187945205</v>
      </c>
      <c r="AA163" s="124">
        <f t="array" ref="AA163">INDIRECT("Update"&amp;Projections!$AG$17&amp;"!Q"&amp;ROW(B144))</f>
        <v>0.1964383562</v>
      </c>
      <c r="AB163" s="180">
        <f t="array" ref="AB163">INDIRECT("Update"&amp;Projections!$AG$17&amp;"!I"&amp;ROW(B144))</f>
        <v>0.4240654708</v>
      </c>
      <c r="AC163" s="180">
        <f t="array" ref="AC163">INDIRECT("Update"&amp;Projections!$AG$17&amp;"!K"&amp;ROW(B144))</f>
        <v>0.853010989</v>
      </c>
      <c r="AD163" s="124">
        <f t="array" ref="AD163">INDIRECT("Update"&amp;Projections!$AG$17&amp;"!R"&amp;ROW(B144))</f>
        <v>0.7210958904</v>
      </c>
      <c r="AE163" s="124">
        <f t="shared" si="3"/>
        <v>-0.4711651934</v>
      </c>
      <c r="AF163" s="124">
        <f t="shared" si="4"/>
        <v>0.9853700348</v>
      </c>
      <c r="AG163" s="124">
        <f t="shared" si="5"/>
        <v>-1.323589825</v>
      </c>
      <c r="AH163" s="124">
        <f t="shared" si="6"/>
        <v>-1.066934945</v>
      </c>
      <c r="AI163" s="124">
        <f t="shared" si="7"/>
        <v>0.7011811574</v>
      </c>
      <c r="AJ163" s="124">
        <f t="shared" si="8"/>
        <v>-0.9849808242</v>
      </c>
      <c r="AK163" s="124">
        <f t="shared" si="9"/>
        <v>-1.084285307</v>
      </c>
      <c r="AL163" s="124">
        <f t="shared" si="10"/>
        <v>0.3176687065</v>
      </c>
      <c r="AM163" s="124">
        <f t="shared" si="11"/>
        <v>0</v>
      </c>
      <c r="AN163" s="183">
        <f t="shared" si="12"/>
        <v>-1.323589825</v>
      </c>
      <c r="AO163" s="183">
        <f t="shared" si="13"/>
        <v>-2.407875132</v>
      </c>
      <c r="AP163" s="183">
        <f t="array" ref="AP163">INDIRECT("Update"&amp;Projections!$AG$17&amp;"!S"&amp;ROW(B144))</f>
        <v>12.73808219</v>
      </c>
      <c r="AQ163" s="183">
        <f t="array" ref="AQ163">INDIRECT("Update"&amp;Projections!$AG$17&amp;"!T"&amp;ROW(B144))</f>
        <v>1.558219178</v>
      </c>
    </row>
    <row r="164">
      <c r="A164" s="40" t="str">
        <f>IF(UpdateHashtag!C162="",ROW(UpdateHashtag!C162),UpdateHashtag!C162)</f>
        <v>Zach Edey</v>
      </c>
      <c r="B164" s="41">
        <f>IF(TYPE($A164)=1,"",(UpdateHashtag!M162-B$1)/B$2)</f>
        <v>-1.313823266</v>
      </c>
      <c r="C164" s="41">
        <f>IF(TYPE($A164)=1,"",(UpdateHashtag!L162-C$1)/C$2)</f>
        <v>-1.734552372</v>
      </c>
      <c r="D164" s="41">
        <f>IF(TYPE($A164)=1,"",(UpdateHashtag!N162-D$1)/D$2)</f>
        <v>0.4376294792</v>
      </c>
      <c r="E164" s="41">
        <f>IF(TYPE($A164)=1,"",(UpdateHashtag!O162-E$1)/E$2)</f>
        <v>-1.195897812</v>
      </c>
      <c r="F164" s="41">
        <f>IF(TYPE($A164)=1,"",(UpdateHashtag!P162-F$1)/F$2)</f>
        <v>-2.236419844</v>
      </c>
      <c r="G164" s="41">
        <f>IF(TYPE($A164)=1,"",(UpdateHashtag!Q162-G$1)/G$2)</f>
        <v>0.9833845002</v>
      </c>
      <c r="H164" s="41">
        <f>IF(TYPE($A164)=1,"",(UpdateHashtag!I162-H$1)/H$2*I164/$I$1)</f>
        <v>0.6602096995</v>
      </c>
      <c r="I164" s="41">
        <f>UpdateHashtag!S162</f>
        <v>7.3</v>
      </c>
      <c r="J164" s="53">
        <f>IF(TYPE($A164)=1,"",(UpdateHashtag!K162-J$1)/J$2*K164/$K$1)</f>
        <v>-0.5794797141</v>
      </c>
      <c r="K164" s="55">
        <f>UpdateHashtag!T162</f>
        <v>2.5</v>
      </c>
      <c r="L164" s="41">
        <f>IF(TYPE($A164)=1,"",-(UpdateHashtag!R162-L$1)/L$2)</f>
        <v>0.7426238329</v>
      </c>
      <c r="N164" s="112">
        <v>144.0</v>
      </c>
      <c r="O164" s="170">
        <f t="array" ref="O164">INDIRECT("Update"&amp;Projections!$AG$17&amp;"!B"&amp;ROW(B145))</f>
        <v>116.1</v>
      </c>
      <c r="P164" s="172" t="str">
        <f t="array" ref="P164">INDIRECT("Update"&amp;Projections!$AG$17&amp;"!C"&amp;ROW(B145))</f>
        <v>Tyus Jones</v>
      </c>
      <c r="Q164" s="170">
        <f>UpdateHashtag!F205</f>
        <v>74</v>
      </c>
      <c r="R164" s="177" t="str">
        <f>IF(UpdateHashtag!D205="",ROW(UpdateHashtag!D205),UpdateHashtag!D205)</f>
        <v>SG,SF</v>
      </c>
      <c r="S164" s="124">
        <f t="shared" si="1"/>
        <v>-2.954936745</v>
      </c>
      <c r="T164" s="124">
        <f>SUM(AE164:AM164)-IFERROR(IFS(Projections!$I$17,AN164,Projections!$J$17,AO164),"")</f>
        <v>-3.165390916</v>
      </c>
      <c r="U164" s="124">
        <f t="shared" si="2"/>
        <v>-0.2104541717</v>
      </c>
      <c r="V164" s="124">
        <f t="array" ref="V164">INDIRECT("Update"&amp;Projections!$AG$17&amp;"!M"&amp;ROW(B145))</f>
        <v>9.478630137</v>
      </c>
      <c r="W164" s="124">
        <f t="array" ref="W164">INDIRECT("Update"&amp;Projections!$AG$17&amp;"!L"&amp;ROW(B145))</f>
        <v>1.654246575</v>
      </c>
      <c r="X164" s="124">
        <f t="array" ref="X164">INDIRECT("Update"&amp;Projections!$AG$17&amp;"!N"&amp;ROW(B145))</f>
        <v>2.30630137</v>
      </c>
      <c r="Y164" s="124">
        <f t="array" ref="Y164">INDIRECT("Update"&amp;Projections!$AG$17&amp;"!O"&amp;ROW(B145))</f>
        <v>5.625068493</v>
      </c>
      <c r="Z164" s="124">
        <f t="array" ref="Z164">INDIRECT("Update"&amp;Projections!$AG$17&amp;"!P"&amp;ROW(B145))</f>
        <v>1.125068493</v>
      </c>
      <c r="AA164" s="124">
        <f t="array" ref="AA164">INDIRECT("Update"&amp;Projections!$AG$17&amp;"!Q"&amp;ROW(B145))</f>
        <v>0.2280821918</v>
      </c>
      <c r="AB164" s="180">
        <f t="array" ref="AB164">INDIRECT("Update"&amp;Projections!$AG$17&amp;"!I"&amp;ROW(B145))</f>
        <v>0.442868117</v>
      </c>
      <c r="AC164" s="180">
        <f t="array" ref="AC164">INDIRECT("Update"&amp;Projections!$AG$17&amp;"!K"&amp;ROW(B145))</f>
        <v>0.8239932413</v>
      </c>
      <c r="AD164" s="124">
        <f t="array" ref="AD164">INDIRECT("Update"&amp;Projections!$AG$17&amp;"!R"&amp;ROW(B145))</f>
        <v>0.9</v>
      </c>
      <c r="AE164" s="124">
        <f t="shared" si="3"/>
        <v>-1.443854251</v>
      </c>
      <c r="AF164" s="124">
        <f t="shared" si="4"/>
        <v>-0.09365798358</v>
      </c>
      <c r="AG164" s="124">
        <f t="shared" si="5"/>
        <v>-1.480245252</v>
      </c>
      <c r="AH164" s="124">
        <f t="shared" si="6"/>
        <v>0.7682819147</v>
      </c>
      <c r="AI164" s="124">
        <f t="shared" si="7"/>
        <v>0.4931652898</v>
      </c>
      <c r="AJ164" s="124">
        <f t="shared" si="8"/>
        <v>-0.9285393657</v>
      </c>
      <c r="AK164" s="124">
        <f t="shared" si="9"/>
        <v>-0.5301216634</v>
      </c>
      <c r="AL164" s="124">
        <f t="shared" si="10"/>
        <v>0.04958039467</v>
      </c>
      <c r="AM164" s="124">
        <f t="shared" si="11"/>
        <v>0</v>
      </c>
      <c r="AN164" s="183">
        <f t="shared" si="12"/>
        <v>-1.480245252</v>
      </c>
      <c r="AO164" s="183">
        <f t="shared" si="13"/>
        <v>-2.924099503</v>
      </c>
      <c r="AP164" s="183">
        <f t="array" ref="AP164">INDIRECT("Update"&amp;Projections!$AG$17&amp;"!S"&amp;ROW(B145))</f>
        <v>8.381232877</v>
      </c>
      <c r="AQ164" s="183">
        <f t="array" ref="AQ164">INDIRECT("Update"&amp;Projections!$AG$17&amp;"!T"&amp;ROW(B145))</f>
        <v>0.4864383562</v>
      </c>
    </row>
    <row r="165">
      <c r="A165" s="40" t="str">
        <f>IF(UpdateHashtag!C163="",ROW(UpdateHashtag!C163),UpdateHashtag!C163)</f>
        <v>Scoot Henderson</v>
      </c>
      <c r="B165" s="41">
        <f>IF(TYPE($A165)=1,"",(UpdateHashtag!M163-B$1)/B$2)</f>
        <v>-0.3224172525</v>
      </c>
      <c r="C165" s="41">
        <f>IF(TYPE($A165)=1,"",(UpdateHashtag!L163-C$1)/C$2)</f>
        <v>-0.2466595634</v>
      </c>
      <c r="D165" s="41">
        <f>IF(TYPE($A165)=1,"",(UpdateHashtag!N163-D$1)/D$2)</f>
        <v>-1.090807806</v>
      </c>
      <c r="E165" s="41">
        <f>IF(TYPE($A165)=1,"",(UpdateHashtag!O163-E$1)/E$2)</f>
        <v>0.847725031</v>
      </c>
      <c r="F165" s="41">
        <f>IF(TYPE($A165)=1,"",(UpdateHashtag!P163-F$1)/F$2)</f>
        <v>0.0793995211</v>
      </c>
      <c r="G165" s="41">
        <f>IF(TYPE($A165)=1,"",(UpdateHashtag!Q163-G$1)/G$2)</f>
        <v>-0.8002633236</v>
      </c>
      <c r="H165" s="41">
        <f>IF(TYPE($A165)=1,"",(UpdateHashtag!I163-H$1)/H$2*I165/$I$1)</f>
        <v>-1.416502743</v>
      </c>
      <c r="I165" s="41">
        <f>UpdateHashtag!S163</f>
        <v>13.8</v>
      </c>
      <c r="J165" s="53">
        <f>IF(TYPE($A165)=1,"",(UpdateHashtag!K163-J$1)/J$2*K165/$K$1)</f>
        <v>0.3199346321</v>
      </c>
      <c r="K165" s="55">
        <f>UpdateHashtag!T163</f>
        <v>3.5</v>
      </c>
      <c r="L165" s="41">
        <f>IF(TYPE($A165)=1,"",-(UpdateHashtag!R163-L$1)/L$2)</f>
        <v>-1.538811807</v>
      </c>
      <c r="N165" s="112">
        <v>145.0</v>
      </c>
      <c r="O165" s="170">
        <f t="array" ref="O165">INDIRECT("Update"&amp;Projections!$AG$17&amp;"!B"&amp;ROW(B146))</f>
        <v>139.1</v>
      </c>
      <c r="P165" s="172" t="str">
        <f t="array" ref="P165">INDIRECT("Update"&amp;Projections!$AG$17&amp;"!C"&amp;ROW(B146))</f>
        <v>Ayo Dosunmu</v>
      </c>
      <c r="Q165" s="170">
        <f>UpdateHashtag!F202</f>
        <v>64</v>
      </c>
      <c r="R165" s="177" t="str">
        <f>IF(UpdateHashtag!D202="",ROW(UpdateHashtag!D202),UpdateHashtag!D202)</f>
        <v>SG,SF</v>
      </c>
      <c r="S165" s="124">
        <f t="shared" si="1"/>
        <v>-3.281499227</v>
      </c>
      <c r="T165" s="124">
        <f>SUM(AE165:AM165)-IFERROR(IFS(Projections!$I$17,AN165,Projections!$J$17,AO165),"")</f>
        <v>-3.343503819</v>
      </c>
      <c r="U165" s="124">
        <f t="shared" si="2"/>
        <v>-0.06200459239</v>
      </c>
      <c r="V165" s="124">
        <f t="array" ref="V165">INDIRECT("Update"&amp;Projections!$AG$17&amp;"!M"&amp;ROW(B146))</f>
        <v>12.60123288</v>
      </c>
      <c r="W165" s="124">
        <f t="array" ref="W165">INDIRECT("Update"&amp;Projections!$AG$17&amp;"!L"&amp;ROW(B146))</f>
        <v>1.560136986</v>
      </c>
      <c r="X165" s="124">
        <f t="array" ref="X165">INDIRECT("Update"&amp;Projections!$AG$17&amp;"!N"&amp;ROW(B146))</f>
        <v>2.817534247</v>
      </c>
      <c r="Y165" s="124">
        <f t="array" ref="Y165">INDIRECT("Update"&amp;Projections!$AG$17&amp;"!O"&amp;ROW(B146))</f>
        <v>3.341369863</v>
      </c>
      <c r="Z165" s="124">
        <f t="array" ref="Z165">INDIRECT("Update"&amp;Projections!$AG$17&amp;"!P"&amp;ROW(B146))</f>
        <v>0.8887671233</v>
      </c>
      <c r="AA165" s="124">
        <f t="array" ref="AA165">INDIRECT("Update"&amp;Projections!$AG$17&amp;"!Q"&amp;ROW(B146))</f>
        <v>0.438630137</v>
      </c>
      <c r="AB165" s="180">
        <f t="array" ref="AB165">INDIRECT("Update"&amp;Projections!$AG$17&amp;"!I"&amp;ROW(B146))</f>
        <v>0.4892553029</v>
      </c>
      <c r="AC165" s="180">
        <f t="array" ref="AC165">INDIRECT("Update"&amp;Projections!$AG$17&amp;"!K"&amp;ROW(B146))</f>
        <v>0.8300375878</v>
      </c>
      <c r="AD165" s="124">
        <f t="array" ref="AD165">INDIRECT("Update"&amp;Projections!$AG$17&amp;"!R"&amp;ROW(B146))</f>
        <v>1.498630137</v>
      </c>
      <c r="AE165" s="124">
        <f t="shared" si="3"/>
        <v>-0.880987499</v>
      </c>
      <c r="AF165" s="124">
        <f t="shared" si="4"/>
        <v>-0.1870079707</v>
      </c>
      <c r="AG165" s="124">
        <f t="shared" si="5"/>
        <v>-1.279889511</v>
      </c>
      <c r="AH165" s="124">
        <f t="shared" si="6"/>
        <v>-0.2688333489</v>
      </c>
      <c r="AI165" s="124">
        <f t="shared" si="7"/>
        <v>-0.2885936931</v>
      </c>
      <c r="AJ165" s="124">
        <f t="shared" si="8"/>
        <v>-0.5529959815</v>
      </c>
      <c r="AK165" s="124">
        <f t="shared" si="9"/>
        <v>-0.0916651397</v>
      </c>
      <c r="AL165" s="124">
        <f t="shared" si="10"/>
        <v>0.2064693242</v>
      </c>
      <c r="AM165" s="124">
        <f t="shared" si="11"/>
        <v>0</v>
      </c>
      <c r="AN165" s="183">
        <f t="shared" si="12"/>
        <v>-1.279889511</v>
      </c>
      <c r="AO165" s="183">
        <f t="shared" si="13"/>
        <v>-2.16087701</v>
      </c>
      <c r="AP165" s="183">
        <f t="array" ref="AP165">INDIRECT("Update"&amp;Projections!$AG$17&amp;"!S"&amp;ROW(B146))</f>
        <v>9.861506849</v>
      </c>
      <c r="AQ165" s="183">
        <f t="array" ref="AQ165">INDIRECT("Update"&amp;Projections!$AG$17&amp;"!T"&amp;ROW(B146))</f>
        <v>1.676438356</v>
      </c>
    </row>
    <row r="166">
      <c r="A166" s="40" t="str">
        <f>IF(UpdateHashtag!C164="",ROW(UpdateHashtag!C164),UpdateHashtag!C164)</f>
        <v>Kyle Lowry</v>
      </c>
      <c r="B166" s="41">
        <f>IF(TYPE($A166)=1,"",(UpdateHashtag!M164-B$1)/B$2)</f>
        <v>-1.512104468</v>
      </c>
      <c r="C166" s="41">
        <f>IF(TYPE($A166)=1,"",(UpdateHashtag!L164-C$1)/C$2)</f>
        <v>-0.04827385557</v>
      </c>
      <c r="D166" s="41">
        <f>IF(TYPE($A166)=1,"",(UpdateHashtag!N164-D$1)/D$2)</f>
        <v>-1.051617107</v>
      </c>
      <c r="E166" s="41">
        <f>IF(TYPE($A166)=1,"",(UpdateHashtag!O164-E$1)/E$2)</f>
        <v>0.2119312578</v>
      </c>
      <c r="F166" s="41">
        <f>IF(TYPE($A166)=1,"",(UpdateHashtag!P164-F$1)/F$2)</f>
        <v>0.0793995211</v>
      </c>
      <c r="G166" s="41">
        <f>IF(TYPE($A166)=1,"",(UpdateHashtag!Q164-G$1)/G$2)</f>
        <v>-0.8002633236</v>
      </c>
      <c r="H166" s="41">
        <f>IF(TYPE($A166)=1,"",(UpdateHashtag!I164-H$1)/H$2*I166/$I$1)</f>
        <v>-0.6627128231</v>
      </c>
      <c r="I166" s="41">
        <f>UpdateHashtag!S164</f>
        <v>7.1</v>
      </c>
      <c r="J166" s="53">
        <f>IF(TYPE($A166)=1,"",(UpdateHashtag!K164-J$1)/J$2*K166/$K$1)</f>
        <v>0.358451853</v>
      </c>
      <c r="K166" s="55">
        <f>UpdateHashtag!T164</f>
        <v>1.7</v>
      </c>
      <c r="L166" s="41">
        <f>IF(TYPE($A166)=1,"",-(UpdateHashtag!R164-L$1)/L$2)</f>
        <v>0.2466595634</v>
      </c>
      <c r="N166" s="5">
        <v>146.0</v>
      </c>
      <c r="O166" s="170">
        <f t="array" ref="O166">INDIRECT("Update"&amp;Projections!$AG$17&amp;"!B"&amp;ROW(B147))</f>
        <v>140.4</v>
      </c>
      <c r="P166" s="172" t="str">
        <f t="array" ref="P166">INDIRECT("Update"&amp;Projections!$AG$17&amp;"!C"&amp;ROW(B147))</f>
        <v>Kentavious Caldwell-Pope</v>
      </c>
      <c r="Q166" s="170">
        <f>UpdateHashtag!F203</f>
        <v>78</v>
      </c>
      <c r="R166" s="177" t="str">
        <f>IF(UpdateHashtag!D203="",ROW(UpdateHashtag!D203),UpdateHashtag!D203)</f>
        <v>SF,PF</v>
      </c>
      <c r="S166" s="124">
        <f t="shared" si="1"/>
        <v>-3.009656658</v>
      </c>
      <c r="T166" s="124">
        <f>SUM(AE166:AM166)-IFERROR(IFS(Projections!$I$17,AN166,Projections!$J$17,AO166),"")</f>
        <v>-3.210259484</v>
      </c>
      <c r="U166" s="124">
        <f t="shared" si="2"/>
        <v>-0.2006028266</v>
      </c>
      <c r="V166" s="124">
        <f t="array" ref="V166">INDIRECT("Update"&amp;Projections!$AG$17&amp;"!M"&amp;ROW(B147))</f>
        <v>9.478219178</v>
      </c>
      <c r="W166" s="124">
        <f t="array" ref="W166">INDIRECT("Update"&amp;Projections!$AG$17&amp;"!L"&amp;ROW(B147))</f>
        <v>1.793424658</v>
      </c>
      <c r="X166" s="124">
        <f t="array" ref="X166">INDIRECT("Update"&amp;Projections!$AG$17&amp;"!N"&amp;ROW(B147))</f>
        <v>2.819041096</v>
      </c>
      <c r="Y166" s="124">
        <f t="array" ref="Y166">INDIRECT("Update"&amp;Projections!$AG$17&amp;"!O"&amp;ROW(B147))</f>
        <v>2.31739726</v>
      </c>
      <c r="Z166" s="124">
        <f t="array" ref="Z166">INDIRECT("Update"&amp;Projections!$AG$17&amp;"!P"&amp;ROW(B147))</f>
        <v>1.252739726</v>
      </c>
      <c r="AA166" s="124">
        <f t="array" ref="AA166">INDIRECT("Update"&amp;Projections!$AG$17&amp;"!Q"&amp;ROW(B147))</f>
        <v>0.4384931507</v>
      </c>
      <c r="AB166" s="180">
        <f t="array" ref="AB166">INDIRECT("Update"&amp;Projections!$AG$17&amp;"!I"&amp;ROW(B147))</f>
        <v>0.4456973508</v>
      </c>
      <c r="AC166" s="180">
        <f t="array" ref="AC166">INDIRECT("Update"&amp;Projections!$AG$17&amp;"!K"&amp;ROW(B147))</f>
        <v>0.874015748</v>
      </c>
      <c r="AD166" s="124">
        <f t="array" ref="AD166">INDIRECT("Update"&amp;Projections!$AG$17&amp;"!R"&amp;ROW(B147))</f>
        <v>0.9397260274</v>
      </c>
      <c r="AE166" s="124">
        <f t="shared" si="3"/>
        <v>-1.443928329</v>
      </c>
      <c r="AF166" s="124">
        <f t="shared" si="4"/>
        <v>0.04439672895</v>
      </c>
      <c r="AG166" s="124">
        <f t="shared" si="5"/>
        <v>-1.279298966</v>
      </c>
      <c r="AH166" s="124">
        <f t="shared" si="6"/>
        <v>-0.7338586382</v>
      </c>
      <c r="AI166" s="124">
        <f t="shared" si="7"/>
        <v>0.9155417381</v>
      </c>
      <c r="AJ166" s="124">
        <f t="shared" si="8"/>
        <v>-0.5532403168</v>
      </c>
      <c r="AK166" s="124">
        <f t="shared" si="9"/>
        <v>-0.4545310212</v>
      </c>
      <c r="AL166" s="124">
        <f t="shared" si="10"/>
        <v>0.2946593192</v>
      </c>
      <c r="AM166" s="124">
        <f t="shared" si="11"/>
        <v>0</v>
      </c>
      <c r="AN166" s="183">
        <f t="shared" si="12"/>
        <v>-1.443928329</v>
      </c>
      <c r="AO166" s="183">
        <f t="shared" si="13"/>
        <v>-2.723227295</v>
      </c>
      <c r="AP166" s="183">
        <f t="array" ref="AP166">INDIRECT("Update"&amp;Projections!$AG$17&amp;"!S"&amp;ROW(B147))</f>
        <v>7.580547945</v>
      </c>
      <c r="AQ166" s="183">
        <f t="array" ref="AQ166">INDIRECT("Update"&amp;Projections!$AG$17&amp;"!T"&amp;ROW(B147))</f>
        <v>1.061232877</v>
      </c>
    </row>
    <row r="167">
      <c r="A167" s="40" t="str">
        <f>IF(UpdateHashtag!C165="",ROW(UpdateHashtag!C165),UpdateHashtag!C165)</f>
        <v>Dyson Daniels</v>
      </c>
      <c r="B167" s="41">
        <f>IF(TYPE($A167)=1,"",(UpdateHashtag!M165-B$1)/B$2)</f>
        <v>-1.872615746</v>
      </c>
      <c r="C167" s="41">
        <f>IF(TYPE($A167)=1,"",(UpdateHashtag!L165-C$1)/C$2)</f>
        <v>-0.9410095407</v>
      </c>
      <c r="D167" s="41">
        <f>IF(TYPE($A167)=1,"",(UpdateHashtag!N165-D$1)/D$2)</f>
        <v>-0.4245659127</v>
      </c>
      <c r="E167" s="41">
        <f>IF(TYPE($A167)=1,"",(UpdateHashtag!O165-E$1)/E$2)</f>
        <v>-0.1967933108</v>
      </c>
      <c r="F167" s="41">
        <f>IF(TYPE($A167)=1,"",(UpdateHashtag!P165-F$1)/F$2)</f>
        <v>1.733556211</v>
      </c>
      <c r="G167" s="41">
        <f>IF(TYPE($A167)=1,"",(UpdateHashtag!Q165-G$1)/G$2)</f>
        <v>-0.6218985413</v>
      </c>
      <c r="H167" s="41">
        <f>IF(TYPE($A167)=1,"",(UpdateHashtag!I165-H$1)/H$2*I167/$I$1)</f>
        <v>-0.3139427205</v>
      </c>
      <c r="I167" s="41">
        <f>UpdateHashtag!S165</f>
        <v>6.1</v>
      </c>
      <c r="J167" s="53">
        <f>IF(TYPE($A167)=1,"",(UpdateHashtag!K165-J$1)/J$2*K167/$K$1)</f>
        <v>-0.5563918652</v>
      </c>
      <c r="K167" s="55">
        <f>UpdateHashtag!T165</f>
        <v>1.1</v>
      </c>
      <c r="L167" s="41">
        <f>IF(TYPE($A167)=1,"",-(UpdateHashtag!R165-L$1)/L$2)</f>
        <v>0.3458524173</v>
      </c>
      <c r="N167" s="112">
        <v>147.0</v>
      </c>
      <c r="O167" s="170">
        <f t="array" ref="O167">INDIRECT("Update"&amp;Projections!$AG$17&amp;"!B"&amp;ROW(B148))</f>
        <v>123.8</v>
      </c>
      <c r="P167" s="172" t="str">
        <f t="array" ref="P167">INDIRECT("Update"&amp;Projections!$AG$17&amp;"!C"&amp;ROW(B148))</f>
        <v>Deni Avdija</v>
      </c>
      <c r="Q167" s="170">
        <f>UpdateHashtag!F204</f>
        <v>67</v>
      </c>
      <c r="R167" s="177" t="str">
        <f>IF(UpdateHashtag!D204="",ROW(UpdateHashtag!D204),UpdateHashtag!D204)</f>
        <v>C</v>
      </c>
      <c r="S167" s="124">
        <f t="shared" si="1"/>
        <v>-3.431040136</v>
      </c>
      <c r="T167" s="124">
        <f>SUM(AE167:AM167)-IFERROR(IFS(Projections!$I$17,AN167,Projections!$J$17,AO167),"")</f>
        <v>-3.38903369</v>
      </c>
      <c r="U167" s="124">
        <f t="shared" si="2"/>
        <v>0.04200644627</v>
      </c>
      <c r="V167" s="124">
        <f t="array" ref="V167">INDIRECT("Update"&amp;Projections!$AG$17&amp;"!M"&amp;ROW(B148))</f>
        <v>12.90701493</v>
      </c>
      <c r="W167" s="124">
        <f t="array" ref="W167">INDIRECT("Update"&amp;Projections!$AG$17&amp;"!L"&amp;ROW(B148))</f>
        <v>1.275522388</v>
      </c>
      <c r="X167" s="124">
        <f t="array" ref="X167">INDIRECT("Update"&amp;Projections!$AG$17&amp;"!N"&amp;ROW(B148))</f>
        <v>6.393731343</v>
      </c>
      <c r="Y167" s="124">
        <f t="array" ref="Y167">INDIRECT("Update"&amp;Projections!$AG$17&amp;"!O"&amp;ROW(B148))</f>
        <v>3.196865672</v>
      </c>
      <c r="Z167" s="124">
        <f t="array" ref="Z167">INDIRECT("Update"&amp;Projections!$AG$17&amp;"!P"&amp;ROW(B148))</f>
        <v>0.8311940299</v>
      </c>
      <c r="AA167" s="124">
        <f t="array" ref="AA167">INDIRECT("Update"&amp;Projections!$AG$17&amp;"!Q"&amp;ROW(B148))</f>
        <v>0.4514925373</v>
      </c>
      <c r="AB167" s="180">
        <f t="array" ref="AB167">INDIRECT("Update"&amp;Projections!$AG$17&amp;"!I"&amp;ROW(B148))</f>
        <v>0.4801892371</v>
      </c>
      <c r="AC167" s="180">
        <f t="array" ref="AC167">INDIRECT("Update"&amp;Projections!$AG$17&amp;"!K"&amp;ROW(B148))</f>
        <v>0.7359894723</v>
      </c>
      <c r="AD167" s="124">
        <f t="array" ref="AD167">INDIRECT("Update"&amp;Projections!$AG$17&amp;"!R"&amp;ROW(B148))</f>
        <v>1.918059701</v>
      </c>
      <c r="AE167" s="124">
        <f t="shared" si="3"/>
        <v>-0.8258685603</v>
      </c>
      <c r="AF167" s="124">
        <f t="shared" si="4"/>
        <v>-0.4693253131</v>
      </c>
      <c r="AG167" s="124">
        <f t="shared" si="5"/>
        <v>0.1216471516</v>
      </c>
      <c r="AH167" s="124">
        <f t="shared" si="6"/>
        <v>-0.3344582524</v>
      </c>
      <c r="AI167" s="124">
        <f t="shared" si="7"/>
        <v>-0.4790635283</v>
      </c>
      <c r="AJ167" s="124">
        <f t="shared" si="8"/>
        <v>-0.5300539892</v>
      </c>
      <c r="AK167" s="124">
        <f t="shared" si="9"/>
        <v>-0.1902856386</v>
      </c>
      <c r="AL167" s="124">
        <f t="shared" si="10"/>
        <v>-0.68162556</v>
      </c>
      <c r="AM167" s="124">
        <f t="shared" si="11"/>
        <v>0</v>
      </c>
      <c r="AN167" s="183">
        <f t="shared" si="12"/>
        <v>-0.8258685603</v>
      </c>
      <c r="AO167" s="183">
        <f t="shared" si="13"/>
        <v>-1.50749412</v>
      </c>
      <c r="AP167" s="183">
        <f t="array" ref="AP167">INDIRECT("Update"&amp;Projections!$AG$17&amp;"!S"&amp;ROW(B148))</f>
        <v>9.590746269</v>
      </c>
      <c r="AQ167" s="183">
        <f t="array" ref="AQ167">INDIRECT("Update"&amp;Projections!$AG$17&amp;"!T"&amp;ROW(B148))</f>
        <v>3.289104478</v>
      </c>
    </row>
    <row r="168">
      <c r="A168" s="40" t="str">
        <f>IF(UpdateHashtag!C166="",ROW(UpdateHashtag!C166),UpdateHashtag!C166)</f>
        <v>Andrew Nembhard</v>
      </c>
      <c r="B168" s="41">
        <f>IF(TYPE($A168)=1,"",(UpdateHashtag!M166-B$1)/B$2)</f>
        <v>-1.223695446</v>
      </c>
      <c r="C168" s="41">
        <f>IF(TYPE($A168)=1,"",(UpdateHashtag!L166-C$1)/C$2)</f>
        <v>-0.5442381251</v>
      </c>
      <c r="D168" s="41">
        <f>IF(TYPE($A168)=1,"",(UpdateHashtag!N166-D$1)/D$2)</f>
        <v>-1.325952004</v>
      </c>
      <c r="E168" s="41">
        <f>IF(TYPE($A168)=1,"",(UpdateHashtag!O166-E$1)/E$2)</f>
        <v>0.4844143034</v>
      </c>
      <c r="F168" s="41">
        <f>IF(TYPE($A168)=1,"",(UpdateHashtag!P166-F$1)/F$2)</f>
        <v>0.410230859</v>
      </c>
      <c r="G168" s="41">
        <f>IF(TYPE($A168)=1,"",(UpdateHashtag!Q166-G$1)/G$2)</f>
        <v>-0.978628106</v>
      </c>
      <c r="H168" s="41">
        <f>IF(TYPE($A168)=1,"",(UpdateHashtag!I166-H$1)/H$2*I168/$I$1)</f>
        <v>-0.2166613196</v>
      </c>
      <c r="I168" s="41">
        <f>UpdateHashtag!S166</f>
        <v>9.2</v>
      </c>
      <c r="J168" s="53">
        <f>IF(TYPE($A168)=1,"",(UpdateHashtag!K166-J$1)/J$2*K168/$K$1)</f>
        <v>0.01763557542</v>
      </c>
      <c r="K168" s="55">
        <f>UpdateHashtag!T166</f>
        <v>1</v>
      </c>
      <c r="L168" s="41">
        <f>IF(TYPE($A168)=1,"",-(UpdateHashtag!R166-L$1)/L$2)</f>
        <v>-0.05091899834</v>
      </c>
      <c r="N168" s="112">
        <v>148.0</v>
      </c>
      <c r="O168" s="170">
        <f t="array" ref="O168">INDIRECT("Update"&amp;Projections!$AG$17&amp;"!B"&amp;ROW(B149))</f>
        <v>139.5</v>
      </c>
      <c r="P168" s="172" t="str">
        <f t="array" ref="P168">INDIRECT("Update"&amp;Projections!$AG$17&amp;"!C"&amp;ROW(B149))</f>
        <v>Luguentz Dort</v>
      </c>
      <c r="Q168" s="170">
        <f>UpdateHashtag!F199</f>
        <v>64</v>
      </c>
      <c r="R168" s="177" t="str">
        <f>IF(UpdateHashtag!D199="",ROW(UpdateHashtag!D199),UpdateHashtag!D199)</f>
        <v>PG,SG</v>
      </c>
      <c r="S168" s="124">
        <f t="shared" si="1"/>
        <v>-3.003355594</v>
      </c>
      <c r="T168" s="124">
        <f>SUM(AE168:AM168)-IFERROR(IFS(Projections!$I$17,AN168,Projections!$J$17,AO168),"")</f>
        <v>-3.123924734</v>
      </c>
      <c r="U168" s="124">
        <f t="shared" si="2"/>
        <v>-0.1205691405</v>
      </c>
      <c r="V168" s="124">
        <f t="array" ref="V168">INDIRECT("Update"&amp;Projections!$AG$17&amp;"!M"&amp;ROW(B149))</f>
        <v>13.75945205</v>
      </c>
      <c r="W168" s="124">
        <f t="array" ref="W168">INDIRECT("Update"&amp;Projections!$AG$17&amp;"!L"&amp;ROW(B149))</f>
        <v>2.385205479</v>
      </c>
      <c r="X168" s="124">
        <f t="array" ref="X168">INDIRECT("Update"&amp;Projections!$AG$17&amp;"!N"&amp;ROW(B149))</f>
        <v>3.724383562</v>
      </c>
      <c r="Y168" s="124">
        <f t="array" ref="Y168">INDIRECT("Update"&amp;Projections!$AG$17&amp;"!O"&amp;ROW(B149))</f>
        <v>1.830684932</v>
      </c>
      <c r="Z168" s="124">
        <f t="array" ref="Z168">INDIRECT("Update"&amp;Projections!$AG$17&amp;"!P"&amp;ROW(B149))</f>
        <v>1.013561644</v>
      </c>
      <c r="AA168" s="124">
        <f t="array" ref="AA168">INDIRECT("Update"&amp;Projections!$AG$17&amp;"!Q"&amp;ROW(B149))</f>
        <v>0.5038356164</v>
      </c>
      <c r="AB168" s="180">
        <f t="array" ref="AB168">INDIRECT("Update"&amp;Projections!$AG$17&amp;"!I"&amp;ROW(B149))</f>
        <v>0.4070840609</v>
      </c>
      <c r="AC168" s="180">
        <f t="array" ref="AC168">INDIRECT("Update"&amp;Projections!$AG$17&amp;"!K"&amp;ROW(B149))</f>
        <v>0.8199916855</v>
      </c>
      <c r="AD168" s="124">
        <f t="array" ref="AD168">INDIRECT("Update"&amp;Projections!$AG$17&amp;"!R"&amp;ROW(B149))</f>
        <v>1.262465753</v>
      </c>
      <c r="AE168" s="124">
        <f t="shared" si="3"/>
        <v>-0.6722119627</v>
      </c>
      <c r="AF168" s="124">
        <f t="shared" si="4"/>
        <v>0.6314010142</v>
      </c>
      <c r="AG168" s="124">
        <f t="shared" si="5"/>
        <v>-0.9244889194</v>
      </c>
      <c r="AH168" s="124">
        <f t="shared" si="6"/>
        <v>-0.9548934007</v>
      </c>
      <c r="AI168" s="124">
        <f t="shared" si="7"/>
        <v>0.1242656894</v>
      </c>
      <c r="AJ168" s="124">
        <f t="shared" si="8"/>
        <v>-0.43669237</v>
      </c>
      <c r="AK168" s="124">
        <f t="shared" si="9"/>
        <v>-1.151886451</v>
      </c>
      <c r="AL168" s="124">
        <f t="shared" si="10"/>
        <v>0.2605816662</v>
      </c>
      <c r="AM168" s="124">
        <f t="shared" si="11"/>
        <v>0</v>
      </c>
      <c r="AN168" s="183">
        <f t="shared" si="12"/>
        <v>-1.151886451</v>
      </c>
      <c r="AO168" s="183">
        <f t="shared" si="13"/>
        <v>-2.106779852</v>
      </c>
      <c r="AP168" s="183">
        <f t="array" ref="AP168">INDIRECT("Update"&amp;Projections!$AG$17&amp;"!S"&amp;ROW(B149))</f>
        <v>10.98356164</v>
      </c>
      <c r="AQ168" s="183">
        <f t="array" ref="AQ168">INDIRECT("Update"&amp;Projections!$AG$17&amp;"!T"&amp;ROW(B149))</f>
        <v>2.965616438</v>
      </c>
    </row>
    <row r="169">
      <c r="A169" s="40" t="str">
        <f>IF(UpdateHashtag!C167="",ROW(UpdateHashtag!C167),UpdateHashtag!C167)</f>
        <v>Jaden McDaniels</v>
      </c>
      <c r="B169" s="41">
        <f>IF(TYPE($A169)=1,"",(UpdateHashtag!M167-B$1)/B$2)</f>
        <v>-1.097516499</v>
      </c>
      <c r="C169" s="41">
        <f>IF(TYPE($A169)=1,"",(UpdateHashtag!L167-C$1)/C$2)</f>
        <v>-0.4450452712</v>
      </c>
      <c r="D169" s="41">
        <f>IF(TYPE($A169)=1,"",(UpdateHashtag!N167-D$1)/D$2)</f>
        <v>-1.012426407</v>
      </c>
      <c r="E169" s="41">
        <f>IF(TYPE($A169)=1,"",(UpdateHashtag!O167-E$1)/E$2)</f>
        <v>-1.014242448</v>
      </c>
      <c r="F169" s="41">
        <f>IF(TYPE($A169)=1,"",(UpdateHashtag!P167-F$1)/F$2)</f>
        <v>-0.2514318168</v>
      </c>
      <c r="G169" s="41">
        <f>IF(TYPE($A169)=1,"",(UpdateHashtag!Q167-G$1)/G$2)</f>
        <v>0.09156058829</v>
      </c>
      <c r="H169" s="41">
        <f>IF(TYPE($A169)=1,"",(UpdateHashtag!I167-H$1)/H$2*I169/$I$1)</f>
        <v>0.07069695678</v>
      </c>
      <c r="I169" s="41">
        <f>UpdateHashtag!S167</f>
        <v>9</v>
      </c>
      <c r="J169" s="53">
        <f>IF(TYPE($A169)=1,"",(UpdateHashtag!K167-J$1)/J$2*K169/$K$1)</f>
        <v>-0.3318790457</v>
      </c>
      <c r="K169" s="55">
        <f>UpdateHashtag!T167</f>
        <v>1.5</v>
      </c>
      <c r="L169" s="41">
        <f>IF(TYPE($A169)=1,"",-(UpdateHashtag!R167-L$1)/L$2)</f>
        <v>0.4450452712</v>
      </c>
      <c r="N169" s="5">
        <v>149.0</v>
      </c>
      <c r="O169" s="170">
        <f t="array" ref="O169">INDIRECT("Update"&amp;Projections!$AG$17&amp;"!B"&amp;ROW(B150))</f>
        <v>146.7</v>
      </c>
      <c r="P169" s="172" t="str">
        <f t="array" ref="P169">INDIRECT("Update"&amp;Projections!$AG$17&amp;"!C"&amp;ROW(B150))</f>
        <v>Vince Williams Jr.</v>
      </c>
      <c r="Q169" s="170">
        <f>UpdateHashtag!F212</f>
        <v>80</v>
      </c>
      <c r="R169" s="177" t="str">
        <f>IF(UpdateHashtag!D212="",ROW(UpdateHashtag!D212),UpdateHashtag!D212)</f>
        <v>SF,PF</v>
      </c>
      <c r="S169" s="124">
        <f t="shared" si="1"/>
        <v>-3.440984272</v>
      </c>
      <c r="T169" s="124">
        <f>SUM(AE169:AM169)-IFERROR(IFS(Projections!$I$17,AN169,Projections!$J$17,AO169),"")</f>
        <v>-3.525897488</v>
      </c>
      <c r="U169" s="124">
        <f t="shared" si="2"/>
        <v>-0.08491321598</v>
      </c>
      <c r="V169" s="124">
        <f t="array" ref="V169">INDIRECT("Update"&amp;Projections!$AG$17&amp;"!M"&amp;ROW(B150))</f>
        <v>8.904642857</v>
      </c>
      <c r="W169" s="124">
        <f t="array" ref="W169">INDIRECT("Update"&amp;Projections!$AG$17&amp;"!L"&amp;ROW(B150))</f>
        <v>1.300892857</v>
      </c>
      <c r="X169" s="124">
        <f t="array" ref="X169">INDIRECT("Update"&amp;Projections!$AG$17&amp;"!N"&amp;ROW(B150))</f>
        <v>5.0625</v>
      </c>
      <c r="Y169" s="124">
        <f t="array" ref="Y169">INDIRECT("Update"&amp;Projections!$AG$17&amp;"!O"&amp;ROW(B150))</f>
        <v>2.75625</v>
      </c>
      <c r="Z169" s="124">
        <f t="array" ref="Z169">INDIRECT("Update"&amp;Projections!$AG$17&amp;"!P"&amp;ROW(B150))</f>
        <v>0.9403571429</v>
      </c>
      <c r="AA169" s="124">
        <f t="array" ref="AA169">INDIRECT("Update"&amp;Projections!$AG$17&amp;"!Q"&amp;ROW(B150))</f>
        <v>0.6255357143</v>
      </c>
      <c r="AB169" s="180">
        <f t="array" ref="AB169">INDIRECT("Update"&amp;Projections!$AG$17&amp;"!I"&amp;ROW(B150))</f>
        <v>0.4638133531</v>
      </c>
      <c r="AC169" s="180">
        <f t="array" ref="AC169">INDIRECT("Update"&amp;Projections!$AG$17&amp;"!K"&amp;ROW(B150))</f>
        <v>0.795026455</v>
      </c>
      <c r="AD169" s="124">
        <f t="array" ref="AD169">INDIRECT("Update"&amp;Projections!$AG$17&amp;"!R"&amp;ROW(B150))</f>
        <v>1.40625</v>
      </c>
      <c r="AE169" s="124">
        <f t="shared" si="3"/>
        <v>-1.547318695</v>
      </c>
      <c r="AF169" s="124">
        <f t="shared" si="4"/>
        <v>-0.4441596208</v>
      </c>
      <c r="AG169" s="124">
        <f t="shared" si="5"/>
        <v>-0.4000717254</v>
      </c>
      <c r="AH169" s="124">
        <f t="shared" si="6"/>
        <v>-0.5345587528</v>
      </c>
      <c r="AI169" s="124">
        <f t="shared" si="7"/>
        <v>-0.117917741</v>
      </c>
      <c r="AJ169" s="124">
        <f t="shared" si="8"/>
        <v>-0.2196222552</v>
      </c>
      <c r="AK169" s="124">
        <f t="shared" si="9"/>
        <v>-0.2625240967</v>
      </c>
      <c r="AL169" s="124">
        <f t="shared" si="10"/>
        <v>0.0002753988759</v>
      </c>
      <c r="AM169" s="124">
        <f t="shared" si="11"/>
        <v>0</v>
      </c>
      <c r="AN169" s="183">
        <f t="shared" si="12"/>
        <v>-1.547318695</v>
      </c>
      <c r="AO169" s="183">
        <f t="shared" si="13"/>
        <v>-2.081877448</v>
      </c>
      <c r="AP169" s="183">
        <f t="array" ref="AP169">INDIRECT("Update"&amp;Projections!$AG$17&amp;"!S"&amp;ROW(B150))</f>
        <v>6.750714286</v>
      </c>
      <c r="AQ169" s="183">
        <f t="array" ref="AQ169">INDIRECT("Update"&amp;Projections!$AG$17&amp;"!T"&amp;ROW(B150))</f>
        <v>1.6875</v>
      </c>
    </row>
    <row r="170">
      <c r="A170" s="40" t="str">
        <f>IF(UpdateHashtag!C168="",ROW(UpdateHashtag!C168),UpdateHashtag!C168)</f>
        <v>Patrick Williams</v>
      </c>
      <c r="B170" s="41">
        <f>IF(TYPE($A170)=1,"",(UpdateHashtag!M168-B$1)/B$2)</f>
        <v>-1.295797702</v>
      </c>
      <c r="C170" s="41">
        <f>IF(TYPE($A170)=1,"",(UpdateHashtag!L168-C$1)/C$2)</f>
        <v>-0.3458524173</v>
      </c>
      <c r="D170" s="41">
        <f>IF(TYPE($A170)=1,"",(UpdateHashtag!N168-D$1)/D$2)</f>
        <v>-0.816472909</v>
      </c>
      <c r="E170" s="41">
        <f>IF(TYPE($A170)=1,"",(UpdateHashtag!O168-E$1)/E$2)</f>
        <v>-1.150483971</v>
      </c>
      <c r="F170" s="41">
        <f>IF(TYPE($A170)=1,"",(UpdateHashtag!P168-F$1)/F$2)</f>
        <v>-0.2514318168</v>
      </c>
      <c r="G170" s="41">
        <f>IF(TYPE($A170)=1,"",(UpdateHashtag!Q168-G$1)/G$2)</f>
        <v>0.09156058829</v>
      </c>
      <c r="H170" s="41">
        <f>IF(TYPE($A170)=1,"",(UpdateHashtag!I168-H$1)/H$2*I170/$I$1)</f>
        <v>-0.3979136765</v>
      </c>
      <c r="I170" s="41">
        <f>UpdateHashtag!S168</f>
        <v>8.5</v>
      </c>
      <c r="J170" s="53">
        <f>IF(TYPE($A170)=1,"",(UpdateHashtag!K168-J$1)/J$2*K170/$K$1)</f>
        <v>0.1673201566</v>
      </c>
      <c r="K170" s="55">
        <f>UpdateHashtag!T168</f>
        <v>1.4</v>
      </c>
      <c r="L170" s="41">
        <f>IF(TYPE($A170)=1,"",-(UpdateHashtag!R168-L$1)/L$2)</f>
        <v>0.4450452712</v>
      </c>
      <c r="N170" s="112">
        <v>150.0</v>
      </c>
      <c r="O170" s="170">
        <f t="array" ref="O170">INDIRECT("Update"&amp;Projections!$AG$17&amp;"!B"&amp;ROW(B151))</f>
        <v>139.1</v>
      </c>
      <c r="P170" s="172" t="str">
        <f t="array" ref="P170">INDIRECT("Update"&amp;Projections!$AG$17&amp;"!C"&amp;ROW(B151))</f>
        <v>Russell Westbrook</v>
      </c>
      <c r="Q170" s="170">
        <f>UpdateHashtag!F216</f>
        <v>67</v>
      </c>
      <c r="R170" s="177" t="str">
        <f>IF(UpdateHashtag!D216="",ROW(UpdateHashtag!D216),UpdateHashtag!D216)</f>
        <v>C</v>
      </c>
      <c r="S170" s="124">
        <f t="shared" si="1"/>
        <v>-3.596711251</v>
      </c>
      <c r="T170" s="124">
        <f>SUM(AE170:AM170)-IFERROR(IFS(Projections!$I$17,AN170,Projections!$J$17,AO170),"")</f>
        <v>-3.41980374</v>
      </c>
      <c r="U170" s="124">
        <f t="shared" si="2"/>
        <v>0.176907511</v>
      </c>
      <c r="V170" s="124">
        <f t="array" ref="V170">INDIRECT("Update"&amp;Projections!$AG$17&amp;"!M"&amp;ROW(B151))</f>
        <v>12.70205479</v>
      </c>
      <c r="W170" s="124">
        <f t="array" ref="W170">INDIRECT("Update"&amp;Projections!$AG$17&amp;"!L"&amp;ROW(B151))</f>
        <v>0.7453424658</v>
      </c>
      <c r="X170" s="124">
        <f t="array" ref="X170">INDIRECT("Update"&amp;Projections!$AG$17&amp;"!N"&amp;ROW(B151))</f>
        <v>5.361369863</v>
      </c>
      <c r="Y170" s="124">
        <f t="array" ref="Y170">INDIRECT("Update"&amp;Projections!$AG$17&amp;"!O"&amp;ROW(B151))</f>
        <v>5.042876712</v>
      </c>
      <c r="Z170" s="124">
        <f t="array" ref="Z170">INDIRECT("Update"&amp;Projections!$AG$17&amp;"!P"&amp;ROW(B151))</f>
        <v>1.061643836</v>
      </c>
      <c r="AA170" s="124">
        <f t="array" ref="AA170">INDIRECT("Update"&amp;Projections!$AG$17&amp;"!Q"&amp;ROW(B151))</f>
        <v>0.4180821918</v>
      </c>
      <c r="AB170" s="180">
        <f t="array" ref="AB170">INDIRECT("Update"&amp;Projections!$AG$17&amp;"!I"&amp;ROW(B151))</f>
        <v>0.4572066175</v>
      </c>
      <c r="AC170" s="180">
        <f t="array" ref="AC170">INDIRECT("Update"&amp;Projections!$AG$17&amp;"!K"&amp;ROW(B151))</f>
        <v>0.6950234367</v>
      </c>
      <c r="AD170" s="124">
        <f t="array" ref="AD170">INDIRECT("Update"&amp;Projections!$AG$17&amp;"!R"&amp;ROW(B151))</f>
        <v>2.462054795</v>
      </c>
      <c r="AE170" s="124">
        <f t="shared" si="3"/>
        <v>-0.8628137812</v>
      </c>
      <c r="AF170" s="124">
        <f t="shared" si="4"/>
        <v>-0.9952259087</v>
      </c>
      <c r="AG170" s="124">
        <f t="shared" si="5"/>
        <v>-0.2829425351</v>
      </c>
      <c r="AH170" s="124">
        <f t="shared" si="6"/>
        <v>0.5038862652</v>
      </c>
      <c r="AI170" s="124">
        <f t="shared" si="7"/>
        <v>0.2833366485</v>
      </c>
      <c r="AJ170" s="124">
        <f t="shared" si="8"/>
        <v>-0.5896462792</v>
      </c>
      <c r="AK170" s="124">
        <f t="shared" si="9"/>
        <v>-0.5117356777</v>
      </c>
      <c r="AL170" s="124">
        <f t="shared" si="10"/>
        <v>-0.9646624721</v>
      </c>
      <c r="AM170" s="124">
        <f t="shared" si="11"/>
        <v>0</v>
      </c>
      <c r="AN170" s="183">
        <f t="shared" si="12"/>
        <v>-0.9952259087</v>
      </c>
      <c r="AO170" s="183">
        <f t="shared" si="13"/>
        <v>-1.959888381</v>
      </c>
      <c r="AP170" s="183">
        <f t="array" ref="AP170">INDIRECT("Update"&amp;Projections!$AG$17&amp;"!S"&amp;ROW(B151))</f>
        <v>10.98780822</v>
      </c>
      <c r="AQ170" s="183">
        <f t="array" ref="AQ170">INDIRECT("Update"&amp;Projections!$AG$17&amp;"!T"&amp;ROW(B151))</f>
        <v>2.747123288</v>
      </c>
    </row>
    <row r="171">
      <c r="A171" s="40" t="str">
        <f>IF(UpdateHashtag!C169="",ROW(UpdateHashtag!C169),UpdateHashtag!C169)</f>
        <v>Karlo Matkovic</v>
      </c>
      <c r="B171" s="41">
        <f>IF(TYPE($A171)=1,"",(UpdateHashtag!M169-B$1)/B$2)</f>
        <v>-1.403951085</v>
      </c>
      <c r="C171" s="41">
        <f>IF(TYPE($A171)=1,"",(UpdateHashtag!L169-C$1)/C$2)</f>
        <v>-0.643430979</v>
      </c>
      <c r="D171" s="41">
        <f>IF(TYPE($A171)=1,"",(UpdateHashtag!N169-D$1)/D$2)</f>
        <v>-0.5813287112</v>
      </c>
      <c r="E171" s="41">
        <f>IF(TYPE($A171)=1,"",(UpdateHashtag!O169-E$1)/E$2)</f>
        <v>-1.10507013</v>
      </c>
      <c r="F171" s="41">
        <f>IF(TYPE($A171)=1,"",(UpdateHashtag!P169-F$1)/F$2)</f>
        <v>-0.9130944927</v>
      </c>
      <c r="G171" s="41">
        <f>IF(TYPE($A171)=1,"",(UpdateHashtag!Q169-G$1)/G$2)</f>
        <v>0.8050197178</v>
      </c>
      <c r="H171" s="41">
        <f>IF(TYPE($A171)=1,"",(UpdateHashtag!I169-H$1)/H$2*I171/$I$1)</f>
        <v>-0.07958971427</v>
      </c>
      <c r="I171" s="41">
        <f>UpdateHashtag!S169</f>
        <v>7.4</v>
      </c>
      <c r="J171" s="53">
        <f>IF(TYPE($A171)=1,"",(UpdateHashtag!K169-J$1)/J$2*K171/$K$1)</f>
        <v>-0.2935585564</v>
      </c>
      <c r="K171" s="55">
        <f>UpdateHashtag!T169</f>
        <v>1.9</v>
      </c>
      <c r="L171" s="41">
        <f>IF(TYPE($A171)=1,"",-(UpdateHashtag!R169-L$1)/L$2)</f>
        <v>0.3458524173</v>
      </c>
      <c r="N171" s="112">
        <v>151.0</v>
      </c>
      <c r="O171" s="170" t="str">
        <f t="array" ref="O171">INDIRECT("Update"&amp;Projections!$AG$17&amp;"!B"&amp;ROW(B152))</f>
        <v/>
      </c>
      <c r="P171" s="172" t="str">
        <f t="array" ref="P171">INDIRECT("Update"&amp;Projections!$AG$17&amp;"!C"&amp;ROW(B152))</f>
        <v>Caleb Martin</v>
      </c>
      <c r="Q171" s="170">
        <f>UpdateHashtag!F207</f>
        <v>80</v>
      </c>
      <c r="R171" s="177" t="str">
        <f>IF(UpdateHashtag!D207="",ROW(UpdateHashtag!D207),UpdateHashtag!D207)</f>
        <v>SF,PF</v>
      </c>
      <c r="S171" s="124">
        <f t="shared" si="1"/>
        <v>-3.385250055</v>
      </c>
      <c r="T171" s="124">
        <f>SUM(AE171:AM171)-IFERROR(IFS(Projections!$I$17,AN171,Projections!$J$17,AO171),"")</f>
        <v>-3.527253864</v>
      </c>
      <c r="U171" s="124">
        <f t="shared" si="2"/>
        <v>-0.1420038089</v>
      </c>
      <c r="V171" s="124">
        <f t="array" ref="V171">INDIRECT("Update"&amp;Projections!$AG$17&amp;"!M"&amp;ROW(B152))</f>
        <v>9.806029412</v>
      </c>
      <c r="W171" s="124">
        <f t="array" ref="W171">INDIRECT("Update"&amp;Projections!$AG$17&amp;"!L"&amp;ROW(B152))</f>
        <v>1.432058824</v>
      </c>
      <c r="X171" s="124">
        <f t="array" ref="X171">INDIRECT("Update"&amp;Projections!$AG$17&amp;"!N"&amp;ROW(B152))</f>
        <v>4.965294118</v>
      </c>
      <c r="Y171" s="124">
        <f t="array" ref="Y171">INDIRECT("Update"&amp;Projections!$AG$17&amp;"!O"&amp;ROW(B152))</f>
        <v>2.156029412</v>
      </c>
      <c r="Z171" s="124">
        <f t="array" ref="Z171">INDIRECT("Update"&amp;Projections!$AG$17&amp;"!P"&amp;ROW(B152))</f>
        <v>1.045294118</v>
      </c>
      <c r="AA171" s="124">
        <f t="array" ref="AA171">INDIRECT("Update"&amp;Projections!$AG$17&amp;"!Q"&amp;ROW(B152))</f>
        <v>0.5780882353</v>
      </c>
      <c r="AB171" s="180">
        <f t="array" ref="AB171">INDIRECT("Update"&amp;Projections!$AG$17&amp;"!I"&amp;ROW(B152))</f>
        <v>0.4403147848</v>
      </c>
      <c r="AC171" s="180">
        <f t="array" ref="AC171">INDIRECT("Update"&amp;Projections!$AG$17&amp;"!K"&amp;ROW(B152))</f>
        <v>0.8070547177</v>
      </c>
      <c r="AD171" s="124">
        <f t="array" ref="AD171">INDIRECT("Update"&amp;Projections!$AG$17&amp;"!R"&amp;ROW(B152))</f>
        <v>1.176029412</v>
      </c>
      <c r="AE171" s="124">
        <f t="shared" si="3"/>
        <v>-1.384838686</v>
      </c>
      <c r="AF171" s="124">
        <f t="shared" si="4"/>
        <v>-0.3140523548</v>
      </c>
      <c r="AG171" s="124">
        <f t="shared" si="5"/>
        <v>-0.4381673907</v>
      </c>
      <c r="AH171" s="124">
        <f t="shared" si="6"/>
        <v>-0.807141976</v>
      </c>
      <c r="AI171" s="124">
        <f t="shared" si="7"/>
        <v>0.2292466577</v>
      </c>
      <c r="AJ171" s="124">
        <f t="shared" si="8"/>
        <v>-0.3042518479</v>
      </c>
      <c r="AK171" s="124">
        <f t="shared" si="9"/>
        <v>-0.558096734</v>
      </c>
      <c r="AL171" s="124">
        <f t="shared" si="10"/>
        <v>0.05004846738</v>
      </c>
      <c r="AM171" s="124">
        <f t="shared" si="11"/>
        <v>0</v>
      </c>
      <c r="AN171" s="183">
        <f t="shared" si="12"/>
        <v>-1.384838686</v>
      </c>
      <c r="AO171" s="183">
        <f t="shared" si="13"/>
        <v>-2.191980662</v>
      </c>
      <c r="AP171" s="183">
        <f t="array" ref="AP171">INDIRECT("Update"&amp;Projections!$AG$17&amp;"!S"&amp;ROW(B152))</f>
        <v>8.427794118</v>
      </c>
      <c r="AQ171" s="183">
        <f t="array" ref="AQ171">INDIRECT("Update"&amp;Projections!$AG$17&amp;"!T"&amp;ROW(B152))</f>
        <v>1.179852941</v>
      </c>
    </row>
    <row r="172">
      <c r="A172" s="40" t="str">
        <f>IF(UpdateHashtag!C170="",ROW(UpdateHashtag!C170),UpdateHashtag!C170)</f>
        <v>Max Strus</v>
      </c>
      <c r="B172" s="41">
        <f>IF(TYPE($A172)=1,"",(UpdateHashtag!M170-B$1)/B$2)</f>
        <v>-1.043439807</v>
      </c>
      <c r="C172" s="41">
        <f>IF(TYPE($A172)=1,"",(UpdateHashtag!L170-C$1)/C$2)</f>
        <v>0.6460761218</v>
      </c>
      <c r="D172" s="41">
        <f>IF(TYPE($A172)=1,"",(UpdateHashtag!N170-D$1)/D$2)</f>
        <v>-0.8556636087</v>
      </c>
      <c r="E172" s="41">
        <f>IF(TYPE($A172)=1,"",(UpdateHashtag!O170-E$1)/E$2)</f>
        <v>-0.2422071517</v>
      </c>
      <c r="F172" s="41">
        <f>IF(TYPE($A172)=1,"",(UpdateHashtag!P170-F$1)/F$2)</f>
        <v>-0.5822631548</v>
      </c>
      <c r="G172" s="41">
        <f>IF(TYPE($A172)=1,"",(UpdateHashtag!Q170-G$1)/G$2)</f>
        <v>-0.8002633236</v>
      </c>
      <c r="H172" s="41">
        <f>IF(TYPE($A172)=1,"",(UpdateHashtag!I170-H$1)/H$2*I172/$I$1)</f>
        <v>-0.9682931877</v>
      </c>
      <c r="I172" s="41">
        <f>UpdateHashtag!S170</f>
        <v>10</v>
      </c>
      <c r="J172" s="53">
        <f>IF(TYPE($A172)=1,"",(UpdateHashtag!K170-J$1)/J$2*K172/$K$1)</f>
        <v>0.143417277</v>
      </c>
      <c r="K172" s="55">
        <f>UpdateHashtag!T170</f>
        <v>1.2</v>
      </c>
      <c r="L172" s="41">
        <f>IF(TYPE($A172)=1,"",-(UpdateHashtag!R170-L$1)/L$2)</f>
        <v>0.5442381251</v>
      </c>
      <c r="N172" s="5">
        <v>152.0</v>
      </c>
      <c r="O172" s="170">
        <f t="array" ref="O172">INDIRECT("Update"&amp;Projections!$AG$17&amp;"!B"&amp;ROW(B153))</f>
        <v>142.1</v>
      </c>
      <c r="P172" s="172" t="str">
        <f t="array" ref="P172">INDIRECT("Update"&amp;Projections!$AG$17&amp;"!C"&amp;ROW(B153))</f>
        <v>Wendell Carter Jr.</v>
      </c>
      <c r="Q172" s="170">
        <f>UpdateHashtag!F209</f>
        <v>60</v>
      </c>
      <c r="R172" s="177" t="str">
        <f>IF(UpdateHashtag!D209="",ROW(UpdateHashtag!D209),UpdateHashtag!D209)</f>
        <v>SF,PF</v>
      </c>
      <c r="S172" s="124">
        <f t="shared" si="1"/>
        <v>-3.718432594</v>
      </c>
      <c r="T172" s="124">
        <f>SUM(AE172:AM172)-IFERROR(IFS(Projections!$I$17,AN172,Projections!$J$17,AO172),"")</f>
        <v>-3.840853108</v>
      </c>
      <c r="U172" s="124">
        <f t="shared" si="2"/>
        <v>-0.1224205139</v>
      </c>
      <c r="V172" s="124">
        <f t="array" ref="V172">INDIRECT("Update"&amp;Projections!$AG$17&amp;"!M"&amp;ROW(B153))</f>
        <v>11.59955882</v>
      </c>
      <c r="W172" s="124">
        <f t="array" ref="W172">INDIRECT("Update"&amp;Projections!$AG$17&amp;"!L"&amp;ROW(B153))</f>
        <v>1.245</v>
      </c>
      <c r="X172" s="124">
        <f t="array" ref="X172">INDIRECT("Update"&amp;Projections!$AG$17&amp;"!N"&amp;ROW(B153))</f>
        <v>7.828676471</v>
      </c>
      <c r="Y172" s="124">
        <f t="array" ref="Y172">INDIRECT("Update"&amp;Projections!$AG$17&amp;"!O"&amp;ROW(B153))</f>
        <v>2.101617647</v>
      </c>
      <c r="Z172" s="124">
        <f t="array" ref="Z172">INDIRECT("Update"&amp;Projections!$AG$17&amp;"!P"&amp;ROW(B153))</f>
        <v>0.6360294118</v>
      </c>
      <c r="AA172" s="124">
        <f t="array" ref="AA172">INDIRECT("Update"&amp;Projections!$AG$17&amp;"!Q"&amp;ROW(B153))</f>
        <v>0.4702941176</v>
      </c>
      <c r="AB172" s="180">
        <f t="array" ref="AB172">INDIRECT("Update"&amp;Projections!$AG$17&amp;"!I"&amp;ROW(B153))</f>
        <v>0.5240795247</v>
      </c>
      <c r="AC172" s="180">
        <f t="array" ref="AC172">INDIRECT("Update"&amp;Projections!$AG$17&amp;"!K"&amp;ROW(B153))</f>
        <v>0.7099793294</v>
      </c>
      <c r="AD172" s="124">
        <f t="array" ref="AD172">INDIRECT("Update"&amp;Projections!$AG$17&amp;"!R"&amp;ROW(B153))</f>
        <v>1.255</v>
      </c>
      <c r="AE172" s="124">
        <f t="shared" si="3"/>
        <v>-1.061544897</v>
      </c>
      <c r="AF172" s="124">
        <f t="shared" si="4"/>
        <v>-0.4996013408</v>
      </c>
      <c r="AG172" s="124">
        <f t="shared" si="5"/>
        <v>0.6840121867</v>
      </c>
      <c r="AH172" s="124">
        <f t="shared" si="6"/>
        <v>-0.8318524484</v>
      </c>
      <c r="AI172" s="124">
        <f t="shared" si="7"/>
        <v>-1.124729246</v>
      </c>
      <c r="AJ172" s="124">
        <f t="shared" si="8"/>
        <v>-0.4965185914</v>
      </c>
      <c r="AK172" s="124">
        <f t="shared" si="9"/>
        <v>0.2541810405</v>
      </c>
      <c r="AL172" s="124">
        <f t="shared" si="10"/>
        <v>-0.7647998124</v>
      </c>
      <c r="AM172" s="124">
        <f t="shared" si="11"/>
        <v>0</v>
      </c>
      <c r="AN172" s="183">
        <f t="shared" si="12"/>
        <v>-1.124729246</v>
      </c>
      <c r="AO172" s="183">
        <f t="shared" si="13"/>
        <v>-2.186274142</v>
      </c>
      <c r="AP172" s="183">
        <f t="array" ref="AP172">INDIRECT("Update"&amp;Projections!$AG$17&amp;"!S"&amp;ROW(B153))</f>
        <v>8.143970588</v>
      </c>
      <c r="AQ172" s="183">
        <f t="array" ref="AQ172">INDIRECT("Update"&amp;Projections!$AG$17&amp;"!T"&amp;ROW(B153))</f>
        <v>2.561176471</v>
      </c>
    </row>
    <row r="173">
      <c r="A173" s="40" t="str">
        <f>IF(UpdateHashtag!C171="",ROW(UpdateHashtag!C171),UpdateHashtag!C171)</f>
        <v>T.J. McConnell</v>
      </c>
      <c r="B173" s="41">
        <f>IF(TYPE($A173)=1,"",(UpdateHashtag!M171-B$1)/B$2)</f>
        <v>-1.494078904</v>
      </c>
      <c r="C173" s="41">
        <f>IF(TYPE($A173)=1,"",(UpdateHashtag!L171-C$1)/C$2)</f>
        <v>-1.43697381</v>
      </c>
      <c r="D173" s="41">
        <f>IF(TYPE($A173)=1,"",(UpdateHashtag!N171-D$1)/D$2)</f>
        <v>-1.286761305</v>
      </c>
      <c r="E173" s="41">
        <f>IF(TYPE($A173)=1,"",(UpdateHashtag!O171-E$1)/E$2)</f>
        <v>0.6206558263</v>
      </c>
      <c r="F173" s="41">
        <f>IF(TYPE($A173)=1,"",(UpdateHashtag!P171-F$1)/F$2)</f>
        <v>0.0793995211</v>
      </c>
      <c r="G173" s="41">
        <f>IF(TYPE($A173)=1,"",(UpdateHashtag!Q171-G$1)/G$2)</f>
        <v>-1.156992888</v>
      </c>
      <c r="H173" s="41">
        <f>IF(TYPE($A173)=1,"",(UpdateHashtag!I171-H$1)/H$2*I173/$I$1)</f>
        <v>0.454068788</v>
      </c>
      <c r="I173" s="41">
        <f>UpdateHashtag!S171</f>
        <v>7.4</v>
      </c>
      <c r="J173" s="53">
        <f>IF(TYPE($A173)=1,"",(UpdateHashtag!K171-J$1)/J$2*K173/$K$1)</f>
        <v>0.06646012265</v>
      </c>
      <c r="K173" s="55">
        <f>UpdateHashtag!T171</f>
        <v>0.9</v>
      </c>
      <c r="L173" s="41">
        <f>IF(TYPE($A173)=1,"",-(UpdateHashtag!R171-L$1)/L$2)</f>
        <v>0.04827385557</v>
      </c>
      <c r="N173" s="112">
        <v>153.0</v>
      </c>
      <c r="O173" s="170">
        <f t="array" ref="O173">INDIRECT("Update"&amp;Projections!$AG$17&amp;"!B"&amp;ROW(B154))</f>
        <v>138.1</v>
      </c>
      <c r="P173" s="172" t="str">
        <f t="array" ref="P173">INDIRECT("Update"&amp;Projections!$AG$17&amp;"!C"&amp;ROW(B154))</f>
        <v>Ausar Thompson</v>
      </c>
      <c r="Q173" s="170">
        <f>UpdateHashtag!F221</f>
        <v>74</v>
      </c>
      <c r="R173" s="177" t="str">
        <f>IF(UpdateHashtag!D221="",ROW(UpdateHashtag!D221),UpdateHashtag!D221)</f>
        <v>PG,SG</v>
      </c>
      <c r="S173" s="124">
        <f t="shared" si="1"/>
        <v>-3.573049922</v>
      </c>
      <c r="T173" s="124">
        <f>SUM(AE173:AM173)-IFERROR(IFS(Projections!$I$17,AN173,Projections!$J$17,AO173),"")</f>
        <v>-3.688458527</v>
      </c>
      <c r="U173" s="124">
        <f t="shared" si="2"/>
        <v>-0.1154086052</v>
      </c>
      <c r="V173" s="124">
        <f t="array" ref="V173">INDIRECT("Update"&amp;Projections!$AG$17&amp;"!M"&amp;ROW(B154))</f>
        <v>9.374310345</v>
      </c>
      <c r="W173" s="124">
        <f t="array" ref="W173">INDIRECT("Update"&amp;Projections!$AG$17&amp;"!L"&amp;ROW(B154))</f>
        <v>0.5210344828</v>
      </c>
      <c r="X173" s="124">
        <f t="array" ref="X173">INDIRECT("Update"&amp;Projections!$AG$17&amp;"!N"&amp;ROW(B154))</f>
        <v>5.568793103</v>
      </c>
      <c r="Y173" s="124">
        <f t="array" ref="Y173">INDIRECT("Update"&amp;Projections!$AG$17&amp;"!O"&amp;ROW(B154))</f>
        <v>2.060517241</v>
      </c>
      <c r="Z173" s="124">
        <f t="array" ref="Z173">INDIRECT("Update"&amp;Projections!$AG$17&amp;"!P"&amp;ROW(B154))</f>
        <v>1.336551724</v>
      </c>
      <c r="AA173" s="124">
        <f t="array" ref="AA173">INDIRECT("Update"&amp;Projections!$AG$17&amp;"!Q"&amp;ROW(B154))</f>
        <v>0.8910344828</v>
      </c>
      <c r="AB173" s="180">
        <f t="array" ref="AB173">INDIRECT("Update"&amp;Projections!$AG$17&amp;"!I"&amp;ROW(B154))</f>
        <v>0.5096156019</v>
      </c>
      <c r="AC173" s="180">
        <f t="array" ref="AC173">INDIRECT("Update"&amp;Projections!$AG$17&amp;"!K"&amp;ROW(B154))</f>
        <v>0.5679607237</v>
      </c>
      <c r="AD173" s="124">
        <f t="array" ref="AD173">INDIRECT("Update"&amp;Projections!$AG$17&amp;"!R"&amp;ROW(B154))</f>
        <v>1.283275862</v>
      </c>
      <c r="AE173" s="124">
        <f t="shared" si="3"/>
        <v>-1.462658482</v>
      </c>
      <c r="AF173" s="124">
        <f t="shared" si="4"/>
        <v>-1.217723399</v>
      </c>
      <c r="AG173" s="124">
        <f t="shared" si="5"/>
        <v>-0.2016519162</v>
      </c>
      <c r="AH173" s="124">
        <f t="shared" si="6"/>
        <v>-0.8505177214</v>
      </c>
      <c r="AI173" s="124">
        <f t="shared" si="7"/>
        <v>1.192818092</v>
      </c>
      <c r="AJ173" s="124">
        <f t="shared" si="8"/>
        <v>0.2539340454</v>
      </c>
      <c r="AK173" s="124">
        <f t="shared" si="9"/>
        <v>0.1097658981</v>
      </c>
      <c r="AL173" s="124">
        <f t="shared" si="10"/>
        <v>-1.512425045</v>
      </c>
      <c r="AM173" s="124">
        <f t="shared" si="11"/>
        <v>0</v>
      </c>
      <c r="AN173" s="183">
        <f t="shared" si="12"/>
        <v>-1.512425045</v>
      </c>
      <c r="AO173" s="183">
        <f t="shared" si="13"/>
        <v>-2.975083527</v>
      </c>
      <c r="AP173" s="183">
        <f t="array" ref="AP173">INDIRECT("Update"&amp;Projections!$AG$17&amp;"!S"&amp;ROW(B154))</f>
        <v>7.629482759</v>
      </c>
      <c r="AQ173" s="183">
        <f t="array" ref="AQ173">INDIRECT("Update"&amp;Projections!$AG$17&amp;"!T"&amp;ROW(B154))</f>
        <v>1.89637931</v>
      </c>
    </row>
    <row r="174">
      <c r="A174" s="40" t="str">
        <f>IF(UpdateHashtag!C172="",ROW(UpdateHashtag!C172),UpdateHashtag!C172)</f>
        <v>Miles McBride</v>
      </c>
      <c r="B174" s="41">
        <f>IF(TYPE($A174)=1,"",(UpdateHashtag!M172-B$1)/B$2)</f>
        <v>-1.205669882</v>
      </c>
      <c r="C174" s="41">
        <f>IF(TYPE($A174)=1,"",(UpdateHashtag!L172-C$1)/C$2)</f>
        <v>0.34849756</v>
      </c>
      <c r="D174" s="41">
        <f>IF(TYPE($A174)=1,"",(UpdateHashtag!N172-D$1)/D$2)</f>
        <v>-1.561096202</v>
      </c>
      <c r="E174" s="41">
        <f>IF(TYPE($A174)=1,"",(UpdateHashtag!O172-E$1)/E$2)</f>
        <v>-0.6055178793</v>
      </c>
      <c r="F174" s="41">
        <f>IF(TYPE($A174)=1,"",(UpdateHashtag!P172-F$1)/F$2)</f>
        <v>0.741062197</v>
      </c>
      <c r="G174" s="41">
        <f>IF(TYPE($A174)=1,"",(UpdateHashtag!Q172-G$1)/G$2)</f>
        <v>-0.978628106</v>
      </c>
      <c r="H174" s="41">
        <f>IF(TYPE($A174)=1,"",(UpdateHashtag!I172-H$1)/H$2*I174/$I$1)</f>
        <v>-0.518590908</v>
      </c>
      <c r="I174" s="41">
        <f>UpdateHashtag!S172</f>
        <v>8.7</v>
      </c>
      <c r="J174" s="53">
        <f>IF(TYPE($A174)=1,"",(UpdateHashtag!K172-J$1)/J$2*K174/$K$1)</f>
        <v>0.2108680834</v>
      </c>
      <c r="K174" s="55">
        <f>UpdateHashtag!T172</f>
        <v>1.2</v>
      </c>
      <c r="L174" s="41">
        <f>IF(TYPE($A174)=1,"",-(UpdateHashtag!R172-L$1)/L$2)</f>
        <v>0.9410095407</v>
      </c>
      <c r="N174" s="112">
        <v>154.0</v>
      </c>
      <c r="O174" s="170">
        <f t="array" ref="O174">INDIRECT("Update"&amp;Projections!$AG$17&amp;"!B"&amp;ROW(B155))</f>
        <v>142.5</v>
      </c>
      <c r="P174" s="172" t="str">
        <f t="array" ref="P174">INDIRECT("Update"&amp;Projections!$AG$17&amp;"!C"&amp;ROW(B155))</f>
        <v>Kelly Oubre Jr.</v>
      </c>
      <c r="Q174" s="170">
        <f>UpdateHashtag!F211</f>
        <v>62</v>
      </c>
      <c r="R174" s="177" t="str">
        <f>IF(UpdateHashtag!D211="",ROW(UpdateHashtag!D211),UpdateHashtag!D211)</f>
        <v>SF,PF</v>
      </c>
      <c r="S174" s="124">
        <f t="shared" si="1"/>
        <v>-3.32156093</v>
      </c>
      <c r="T174" s="124">
        <f>SUM(AE174:AM174)-IFERROR(IFS(Projections!$I$17,AN174,Projections!$J$17,AO174),"")</f>
        <v>-3.43115771</v>
      </c>
      <c r="U174" s="124">
        <f t="shared" si="2"/>
        <v>-0.1095967801</v>
      </c>
      <c r="V174" s="124">
        <f t="array" ref="V174">INDIRECT("Update"&amp;Projections!$AG$17&amp;"!M"&amp;ROW(B155))</f>
        <v>14.67972603</v>
      </c>
      <c r="W174" s="124">
        <f t="array" ref="W174">INDIRECT("Update"&amp;Projections!$AG$17&amp;"!L"&amp;ROW(B155))</f>
        <v>1.59</v>
      </c>
      <c r="X174" s="124">
        <f t="array" ref="X174">INDIRECT("Update"&amp;Projections!$AG$17&amp;"!N"&amp;ROW(B155))</f>
        <v>5.226712329</v>
      </c>
      <c r="Y174" s="124">
        <f t="array" ref="Y174">INDIRECT("Update"&amp;Projections!$AG$17&amp;"!O"&amp;ROW(B155))</f>
        <v>1.43739726</v>
      </c>
      <c r="Z174" s="124">
        <f t="array" ref="Z174">INDIRECT("Update"&amp;Projections!$AG$17&amp;"!P"&amp;ROW(B155))</f>
        <v>1.102739726</v>
      </c>
      <c r="AA174" s="124">
        <f t="array" ref="AA174">INDIRECT("Update"&amp;Projections!$AG$17&amp;"!Q"&amp;ROW(B155))</f>
        <v>0.5226027397</v>
      </c>
      <c r="AB174" s="180">
        <f t="array" ref="AB174">INDIRECT("Update"&amp;Projections!$AG$17&amp;"!I"&amp;ROW(B155))</f>
        <v>0.4298018301</v>
      </c>
      <c r="AC174" s="180">
        <f t="array" ref="AC174">INDIRECT("Update"&amp;Projections!$AG$17&amp;"!K"&amp;ROW(B155))</f>
        <v>0.7630009775</v>
      </c>
      <c r="AD174" s="124">
        <f t="array" ref="AD174">INDIRECT("Update"&amp;Projections!$AG$17&amp;"!R"&amp;ROW(B155))</f>
        <v>1.306712329</v>
      </c>
      <c r="AE174" s="124">
        <f t="shared" si="3"/>
        <v>-0.5063273887</v>
      </c>
      <c r="AF174" s="124">
        <f t="shared" si="4"/>
        <v>-0.1573859949</v>
      </c>
      <c r="AG174" s="124">
        <f t="shared" si="5"/>
        <v>-0.3357157648</v>
      </c>
      <c r="AH174" s="124">
        <f t="shared" si="6"/>
        <v>-1.133500439</v>
      </c>
      <c r="AI174" s="124">
        <f t="shared" si="7"/>
        <v>0.4192947312</v>
      </c>
      <c r="AJ174" s="124">
        <f t="shared" si="8"/>
        <v>-0.4032184314</v>
      </c>
      <c r="AK174" s="124">
        <f t="shared" si="9"/>
        <v>-0.9994325474</v>
      </c>
      <c r="AL174" s="124">
        <f t="shared" si="10"/>
        <v>-0.3148718756</v>
      </c>
      <c r="AM174" s="124">
        <f t="shared" si="11"/>
        <v>0</v>
      </c>
      <c r="AN174" s="183">
        <f t="shared" si="12"/>
        <v>-1.133500439</v>
      </c>
      <c r="AO174" s="183">
        <f t="shared" si="13"/>
        <v>-2.132932986</v>
      </c>
      <c r="AP174" s="183">
        <f t="array" ref="AP174">INDIRECT("Update"&amp;Projections!$AG$17&amp;"!S"&amp;ROW(B155))</f>
        <v>12.73986301</v>
      </c>
      <c r="AQ174" s="183">
        <f t="array" ref="AQ174">INDIRECT("Update"&amp;Projections!$AG$17&amp;"!T"&amp;ROW(B155))</f>
        <v>2.802739726</v>
      </c>
    </row>
    <row r="175">
      <c r="A175" s="40" t="str">
        <f>IF(UpdateHashtag!C173="",ROW(UpdateHashtag!C173),UpdateHashtag!C173)</f>
        <v>Deni Avdija</v>
      </c>
      <c r="B175" s="41">
        <f>IF(TYPE($A175)=1,"",(UpdateHashtag!M173-B$1)/B$2)</f>
        <v>-1.00738868</v>
      </c>
      <c r="C175" s="41">
        <f>IF(TYPE($A175)=1,"",(UpdateHashtag!L173-C$1)/C$2)</f>
        <v>-0.7426238329</v>
      </c>
      <c r="D175" s="41">
        <f>IF(TYPE($A175)=1,"",(UpdateHashtag!N173-D$1)/D$2)</f>
        <v>0.1632945818</v>
      </c>
      <c r="E175" s="41">
        <f>IF(TYPE($A175)=1,"",(UpdateHashtag!O173-E$1)/E$2)</f>
        <v>-0.2876209927</v>
      </c>
      <c r="F175" s="41">
        <f>IF(TYPE($A175)=1,"",(UpdateHashtag!P173-F$1)/F$2)</f>
        <v>-0.5822631548</v>
      </c>
      <c r="G175" s="41">
        <f>IF(TYPE($A175)=1,"",(UpdateHashtag!Q173-G$1)/G$2)</f>
        <v>-0.6218985413</v>
      </c>
      <c r="H175" s="41">
        <f>IF(TYPE($A175)=1,"",(UpdateHashtag!I173-H$1)/H$2*I175/$I$1)</f>
        <v>-0.2143063053</v>
      </c>
      <c r="I175" s="41">
        <f>UpdateHashtag!S173</f>
        <v>9.1</v>
      </c>
      <c r="J175" s="53">
        <f>IF(TYPE($A175)=1,"",(UpdateHashtag!K173-J$1)/J$2*K175/$K$1)</f>
        <v>-0.5805055285</v>
      </c>
      <c r="K175" s="55">
        <f>UpdateHashtag!T173</f>
        <v>2.9</v>
      </c>
      <c r="L175" s="41">
        <f>IF(TYPE($A175)=1,"",-(UpdateHashtag!R173-L$1)/L$2)</f>
        <v>-0.1501118522</v>
      </c>
      <c r="N175" s="5">
        <v>155.0</v>
      </c>
      <c r="O175" s="170">
        <f t="array" ref="O175">INDIRECT("Update"&amp;Projections!$AG$17&amp;"!B"&amp;ROW(B156))</f>
        <v>115.9</v>
      </c>
      <c r="P175" s="172" t="str">
        <f t="array" ref="P175">INDIRECT("Update"&amp;Projections!$AG$17&amp;"!C"&amp;ROW(B156))</f>
        <v>Bobby Portis</v>
      </c>
      <c r="Q175" s="170">
        <f>UpdateHashtag!F195</f>
        <v>69</v>
      </c>
      <c r="R175" s="177" t="str">
        <f>IF(UpdateHashtag!D195="",ROW(UpdateHashtag!D195),UpdateHashtag!D195)</f>
        <v>SG,SF</v>
      </c>
      <c r="S175" s="124">
        <f t="shared" si="1"/>
        <v>-3.763051549</v>
      </c>
      <c r="T175" s="124">
        <f>SUM(AE175:AM175)-IFERROR(IFS(Projections!$I$17,AN175,Projections!$J$17,AO175),"")</f>
        <v>-3.902589271</v>
      </c>
      <c r="U175" s="124">
        <f t="shared" si="2"/>
        <v>-0.1395377222</v>
      </c>
      <c r="V175" s="124">
        <f t="array" ref="V175">INDIRECT("Update"&amp;Projections!$AG$17&amp;"!M"&amp;ROW(B156))</f>
        <v>12.80181818</v>
      </c>
      <c r="W175" s="124">
        <f t="array" ref="W175">INDIRECT("Update"&amp;Projections!$AG$17&amp;"!L"&amp;ROW(B156))</f>
        <v>1.000909091</v>
      </c>
      <c r="X175" s="124">
        <f t="array" ref="X175">INDIRECT("Update"&amp;Projections!$AG$17&amp;"!N"&amp;ROW(B156))</f>
        <v>7.352857143</v>
      </c>
      <c r="Y175" s="124">
        <f t="array" ref="Y175">INDIRECT("Update"&amp;Projections!$AG$17&amp;"!O"&amp;ROW(B156))</f>
        <v>1.375714286</v>
      </c>
      <c r="Z175" s="124">
        <f t="array" ref="Z175">INDIRECT("Update"&amp;Projections!$AG$17&amp;"!P"&amp;ROW(B156))</f>
        <v>0.6641558442</v>
      </c>
      <c r="AA175" s="124">
        <f t="array" ref="AA175">INDIRECT("Update"&amp;Projections!$AG$17&amp;"!Q"&amp;ROW(B156))</f>
        <v>0.3337662338</v>
      </c>
      <c r="AB175" s="180">
        <f t="array" ref="AB175">INDIRECT("Update"&amp;Projections!$AG$17&amp;"!I"&amp;ROW(B156))</f>
        <v>0.5113625351</v>
      </c>
      <c r="AC175" s="180">
        <f t="array" ref="AC175">INDIRECT("Update"&amp;Projections!$AG$17&amp;"!K"&amp;ROW(B156))</f>
        <v>0.7800121139</v>
      </c>
      <c r="AD175" s="124">
        <f t="array" ref="AD175">INDIRECT("Update"&amp;Projections!$AG$17&amp;"!R"&amp;ROW(B156))</f>
        <v>1.185974026</v>
      </c>
      <c r="AE175" s="124">
        <f t="shared" si="3"/>
        <v>-0.8448308677</v>
      </c>
      <c r="AF175" s="124">
        <f t="shared" si="4"/>
        <v>-0.7417220796</v>
      </c>
      <c r="AG175" s="124">
        <f t="shared" si="5"/>
        <v>0.497535263</v>
      </c>
      <c r="AH175" s="124">
        <f t="shared" si="6"/>
        <v>-1.161513046</v>
      </c>
      <c r="AI175" s="124">
        <f t="shared" si="7"/>
        <v>-1.031678193</v>
      </c>
      <c r="AJ175" s="124">
        <f t="shared" si="8"/>
        <v>-0.7400362542</v>
      </c>
      <c r="AK175" s="124">
        <f t="shared" si="9"/>
        <v>0.1760291127</v>
      </c>
      <c r="AL175" s="124">
        <f t="shared" si="10"/>
        <v>-0.05637320666</v>
      </c>
      <c r="AM175" s="124">
        <f t="shared" si="11"/>
        <v>0</v>
      </c>
      <c r="AN175" s="183">
        <f t="shared" si="12"/>
        <v>-1.161513046</v>
      </c>
      <c r="AO175" s="183">
        <f t="shared" si="13"/>
        <v>-2.193191239</v>
      </c>
      <c r="AP175" s="183">
        <f t="array" ref="AP175">INDIRECT("Update"&amp;Projections!$AG$17&amp;"!S"&amp;ROW(B156))</f>
        <v>10.72103896</v>
      </c>
      <c r="AQ175" s="183">
        <f t="array" ref="AQ175">INDIRECT("Update"&amp;Projections!$AG$17&amp;"!T"&amp;ROW(B156))</f>
        <v>1.072077922</v>
      </c>
    </row>
    <row r="176">
      <c r="A176" s="40" t="str">
        <f>IF(UpdateHashtag!C174="",ROW(UpdateHashtag!C174),UpdateHashtag!C174)</f>
        <v>Shaedon Sharpe</v>
      </c>
      <c r="B176" s="41">
        <f>IF(TYPE($A176)=1,"",(UpdateHashtag!M174-B$1)/B$2)</f>
        <v>-0.2863661247</v>
      </c>
      <c r="C176" s="41">
        <f>IF(TYPE($A176)=1,"",(UpdateHashtag!L174-C$1)/C$2)</f>
        <v>0.1501118522</v>
      </c>
      <c r="D176" s="41">
        <f>IF(TYPE($A176)=1,"",(UpdateHashtag!N174-D$1)/D$2)</f>
        <v>-0.5813287112</v>
      </c>
      <c r="E176" s="41">
        <f>IF(TYPE($A176)=1,"",(UpdateHashtag!O174-E$1)/E$2)</f>
        <v>-0.7871732431</v>
      </c>
      <c r="F176" s="41">
        <f>IF(TYPE($A176)=1,"",(UpdateHashtag!P174-F$1)/F$2)</f>
        <v>-0.5822631548</v>
      </c>
      <c r="G176" s="41">
        <f>IF(TYPE($A176)=1,"",(UpdateHashtag!Q174-G$1)/G$2)</f>
        <v>-0.6218985413</v>
      </c>
      <c r="H176" s="41">
        <f>IF(TYPE($A176)=1,"",(UpdateHashtag!I174-H$1)/H$2*I176/$I$1)</f>
        <v>-0.9490025418</v>
      </c>
      <c r="I176" s="41">
        <f>UpdateHashtag!S174</f>
        <v>12.9</v>
      </c>
      <c r="J176" s="53">
        <f>IF(TYPE($A176)=1,"",(UpdateHashtag!K174-J$1)/J$2*K176/$K$1)</f>
        <v>0.2092731529</v>
      </c>
      <c r="K176" s="55">
        <f>UpdateHashtag!T174</f>
        <v>3.5</v>
      </c>
      <c r="L176" s="41">
        <f>IF(TYPE($A176)=1,"",-(UpdateHashtag!R174-L$1)/L$2)</f>
        <v>-0.05091899834</v>
      </c>
      <c r="N176" s="112">
        <v>156.0</v>
      </c>
      <c r="O176" s="170">
        <f t="array" ref="O176">INDIRECT("Update"&amp;Projections!$AG$17&amp;"!B"&amp;ROW(B157))</f>
        <v>140.4</v>
      </c>
      <c r="P176" s="172" t="str">
        <f t="array" ref="P176">INDIRECT("Update"&amp;Projections!$AG$17&amp;"!C"&amp;ROW(B157))</f>
        <v>Obi Toppin</v>
      </c>
      <c r="Q176" s="170">
        <f>UpdateHashtag!F220</f>
        <v>68</v>
      </c>
      <c r="R176" s="177" t="str">
        <f>IF(UpdateHashtag!D220="",ROW(UpdateHashtag!D220),UpdateHashtag!D220)</f>
        <v>SG,SF</v>
      </c>
      <c r="S176" s="124">
        <f t="shared" si="1"/>
        <v>-3.75356643</v>
      </c>
      <c r="T176" s="124">
        <f>SUM(AE176:AM176)-IFERROR(IFS(Projections!$I$17,AN176,Projections!$J$17,AO176),"")</f>
        <v>-3.975614572</v>
      </c>
      <c r="U176" s="124">
        <f t="shared" si="2"/>
        <v>-0.2220481416</v>
      </c>
      <c r="V176" s="124">
        <f t="array" ref="V176">INDIRECT("Update"&amp;Projections!$AG$17&amp;"!M"&amp;ROW(B157))</f>
        <v>10.74987013</v>
      </c>
      <c r="W176" s="124">
        <f t="array" ref="W176">INDIRECT("Update"&amp;Projections!$AG$17&amp;"!L"&amp;ROW(B157))</f>
        <v>1.365844156</v>
      </c>
      <c r="X176" s="124">
        <f t="array" ref="X176">INDIRECT("Update"&amp;Projections!$AG$17&amp;"!N"&amp;ROW(B157))</f>
        <v>4.280909091</v>
      </c>
      <c r="Y176" s="124">
        <f t="array" ref="Y176">INDIRECT("Update"&amp;Projections!$AG$17&amp;"!O"&amp;ROW(B157))</f>
        <v>1.697532468</v>
      </c>
      <c r="Z176" s="124">
        <f t="array" ref="Z176">INDIRECT("Update"&amp;Projections!$AG$17&amp;"!P"&amp;ROW(B157))</f>
        <v>0.7661038961</v>
      </c>
      <c r="AA176" s="124">
        <f t="array" ref="AA176">INDIRECT("Update"&amp;Projections!$AG$17&amp;"!Q"&amp;ROW(B157))</f>
        <v>0.4936363636</v>
      </c>
      <c r="AB176" s="180">
        <f t="array" ref="AB176">INDIRECT("Update"&amp;Projections!$AG$17&amp;"!I"&amp;ROW(B157))</f>
        <v>0.5431027218</v>
      </c>
      <c r="AC176" s="180">
        <f t="array" ref="AC176">INDIRECT("Update"&amp;Projections!$AG$17&amp;"!K"&amp;ROW(B157))</f>
        <v>0.8129751119</v>
      </c>
      <c r="AD176" s="124">
        <f t="array" ref="AD176">INDIRECT("Update"&amp;Projections!$AG$17&amp;"!R"&amp;ROW(B157))</f>
        <v>0.8532467532</v>
      </c>
      <c r="AE176" s="124">
        <f t="shared" si="3"/>
        <v>-1.214706074</v>
      </c>
      <c r="AF176" s="124">
        <f t="shared" si="4"/>
        <v>-0.3797325737</v>
      </c>
      <c r="AG176" s="124">
        <f t="shared" si="5"/>
        <v>-0.7063826709</v>
      </c>
      <c r="AH176" s="124">
        <f t="shared" si="6"/>
        <v>-1.015363049</v>
      </c>
      <c r="AI176" s="124">
        <f t="shared" si="7"/>
        <v>-0.6944020888</v>
      </c>
      <c r="AJ176" s="124">
        <f t="shared" si="8"/>
        <v>-0.4548842451</v>
      </c>
      <c r="AK176" s="124">
        <f t="shared" si="9"/>
        <v>0.4110143039</v>
      </c>
      <c r="AL176" s="124">
        <f t="shared" si="10"/>
        <v>0.07884182571</v>
      </c>
      <c r="AM176" s="124">
        <f t="shared" si="11"/>
        <v>0</v>
      </c>
      <c r="AN176" s="183">
        <f t="shared" si="12"/>
        <v>-1.214706074</v>
      </c>
      <c r="AO176" s="183">
        <f t="shared" si="13"/>
        <v>-2.230069123</v>
      </c>
      <c r="AP176" s="183">
        <f t="array" ref="AP176">INDIRECT("Update"&amp;Projections!$AG$17&amp;"!S"&amp;ROW(B157))</f>
        <v>7.705844156</v>
      </c>
      <c r="AQ176" s="183">
        <f t="array" ref="AQ176">INDIRECT("Update"&amp;Projections!$AG$17&amp;"!T"&amp;ROW(B157))</f>
        <v>1.247142857</v>
      </c>
    </row>
    <row r="177">
      <c r="A177" s="40" t="str">
        <f>IF(UpdateHashtag!C175="",ROW(UpdateHashtag!C175),UpdateHashtag!C175)</f>
        <v>Ben Simmons</v>
      </c>
      <c r="B177" s="41">
        <f>IF(TYPE($A177)=1,"",(UpdateHashtag!M175-B$1)/B$2)</f>
        <v>-1.962743565</v>
      </c>
      <c r="C177" s="41">
        <f>IF(TYPE($A177)=1,"",(UpdateHashtag!L175-C$1)/C$2)</f>
        <v>-1.734552372</v>
      </c>
      <c r="D177" s="41">
        <f>IF(TYPE($A177)=1,"",(UpdateHashtag!N175-D$1)/D$2)</f>
        <v>0.2024852814</v>
      </c>
      <c r="E177" s="41">
        <f>IF(TYPE($A177)=1,"",(UpdateHashtag!O175-E$1)/E$2)</f>
        <v>0.893138872</v>
      </c>
      <c r="F177" s="41">
        <f>IF(TYPE($A177)=1,"",(UpdateHashtag!P175-F$1)/F$2)</f>
        <v>0.410230859</v>
      </c>
      <c r="G177" s="41">
        <f>IF(TYPE($A177)=1,"",(UpdateHashtag!Q175-G$1)/G$2)</f>
        <v>-0.2651689765</v>
      </c>
      <c r="H177" s="41">
        <f>IF(TYPE($A177)=1,"",(UpdateHashtag!I175-H$1)/H$2*I177/$I$1)</f>
        <v>0.4423417936</v>
      </c>
      <c r="I177" s="41">
        <f>UpdateHashtag!S175</f>
        <v>5.3</v>
      </c>
      <c r="J177" s="53">
        <f>IF(TYPE($A177)=1,"",(UpdateHashtag!K175-J$1)/J$2*K177/$K$1)</f>
        <v>-1.551284233</v>
      </c>
      <c r="K177" s="55">
        <f>UpdateHashtag!T175</f>
        <v>1.2</v>
      </c>
      <c r="L177" s="41">
        <f>IF(TYPE($A177)=1,"",-(UpdateHashtag!R175-L$1)/L$2)</f>
        <v>-0.34849756</v>
      </c>
      <c r="N177" s="112">
        <v>157.0</v>
      </c>
      <c r="O177" s="170">
        <f t="array" ref="O177">INDIRECT("Update"&amp;Projections!$AG$17&amp;"!B"&amp;ROW(B158))</f>
        <v>116.7</v>
      </c>
      <c r="P177" s="172" t="str">
        <f t="array" ref="P177">INDIRECT("Update"&amp;Projections!$AG$17&amp;"!C"&amp;ROW(B158))</f>
        <v>Aaron Gordon</v>
      </c>
      <c r="Q177" s="170">
        <f>UpdateHashtag!F210</f>
        <v>78</v>
      </c>
      <c r="R177" s="177" t="str">
        <f>IF(UpdateHashtag!D210="",ROW(UpdateHashtag!D210),UpdateHashtag!D210)</f>
        <v>PG,SG</v>
      </c>
      <c r="S177" s="124">
        <f t="shared" si="1"/>
        <v>-3.972952861</v>
      </c>
      <c r="T177" s="124">
        <f>SUM(AE177:AM177)-IFERROR(IFS(Projections!$I$17,AN177,Projections!$J$17,AO177),"")</f>
        <v>-4.04511453</v>
      </c>
      <c r="U177" s="124">
        <f t="shared" si="2"/>
        <v>-0.07216166885</v>
      </c>
      <c r="V177" s="124">
        <f t="array" ref="V177">INDIRECT("Update"&amp;Projections!$AG$17&amp;"!M"&amp;ROW(B158))</f>
        <v>13.13726027</v>
      </c>
      <c r="W177" s="124">
        <f t="array" ref="W177">INDIRECT("Update"&amp;Projections!$AG$17&amp;"!L"&amp;ROW(B158))</f>
        <v>0.5547945205</v>
      </c>
      <c r="X177" s="124">
        <f t="array" ref="X177">INDIRECT("Update"&amp;Projections!$AG$17&amp;"!N"&amp;ROW(B158))</f>
        <v>5.822876712</v>
      </c>
      <c r="Y177" s="124">
        <f t="array" ref="Y177">INDIRECT("Update"&amp;Projections!$AG$17&amp;"!O"&amp;ROW(B158))</f>
        <v>3.291232877</v>
      </c>
      <c r="Z177" s="124">
        <f t="array" ref="Z177">INDIRECT("Update"&amp;Projections!$AG$17&amp;"!P"&amp;ROW(B158))</f>
        <v>0.7576712329</v>
      </c>
      <c r="AA177" s="124">
        <f t="array" ref="AA177">INDIRECT("Update"&amp;Projections!$AG$17&amp;"!Q"&amp;ROW(B158))</f>
        <v>0.6339726027</v>
      </c>
      <c r="AB177" s="180">
        <f t="array" ref="AB177">INDIRECT("Update"&amp;Projections!$AG$17&amp;"!I"&amp;ROW(B158))</f>
        <v>0.5683235454</v>
      </c>
      <c r="AC177" s="180">
        <f t="array" ref="AC177">INDIRECT("Update"&amp;Projections!$AG$17&amp;"!K"&amp;ROW(B158))</f>
        <v>0.6699988004</v>
      </c>
      <c r="AD177" s="124">
        <f t="array" ref="AD177">INDIRECT("Update"&amp;Projections!$AG$17&amp;"!R"&amp;ROW(B158))</f>
        <v>1.457671233</v>
      </c>
      <c r="AE177" s="124">
        <f t="shared" si="3"/>
        <v>-0.7843655395</v>
      </c>
      <c r="AF177" s="124">
        <f t="shared" si="4"/>
        <v>-1.184235854</v>
      </c>
      <c r="AG177" s="124">
        <f t="shared" si="5"/>
        <v>-0.1020747721</v>
      </c>
      <c r="AH177" s="124">
        <f t="shared" si="6"/>
        <v>-0.29160248</v>
      </c>
      <c r="AI177" s="124">
        <f t="shared" si="7"/>
        <v>-0.7222999813</v>
      </c>
      <c r="AJ177" s="124">
        <f t="shared" si="8"/>
        <v>-0.2045738176</v>
      </c>
      <c r="AK177" s="124">
        <f t="shared" si="9"/>
        <v>0.7482326785</v>
      </c>
      <c r="AL177" s="124">
        <f t="shared" si="10"/>
        <v>-1.504194764</v>
      </c>
      <c r="AM177" s="124">
        <f t="shared" si="11"/>
        <v>0</v>
      </c>
      <c r="AN177" s="183">
        <f t="shared" si="12"/>
        <v>-1.504194764</v>
      </c>
      <c r="AO177" s="183">
        <f t="shared" si="13"/>
        <v>-2.688430618</v>
      </c>
      <c r="AP177" s="183">
        <f t="array" ref="AP177">INDIRECT("Update"&amp;Projections!$AG$17&amp;"!S"&amp;ROW(B158))</f>
        <v>9.050410959</v>
      </c>
      <c r="AQ177" s="183">
        <f t="array" ref="AQ177">INDIRECT("Update"&amp;Projections!$AG$17&amp;"!T"&amp;ROW(B158))</f>
        <v>3.425890411</v>
      </c>
    </row>
    <row r="178">
      <c r="A178" s="40" t="str">
        <f>IF(UpdateHashtag!C176="",ROW(UpdateHashtag!C176),UpdateHashtag!C176)</f>
        <v>Jonathan Isaac</v>
      </c>
      <c r="B178" s="41">
        <f>IF(TYPE($A178)=1,"",(UpdateHashtag!M176-B$1)/B$2)</f>
        <v>-1.80051349</v>
      </c>
      <c r="C178" s="41">
        <f>IF(TYPE($A178)=1,"",(UpdateHashtag!L176-C$1)/C$2)</f>
        <v>-0.9410095407</v>
      </c>
      <c r="D178" s="41">
        <f>IF(TYPE($A178)=1,"",(UpdateHashtag!N176-D$1)/D$2)</f>
        <v>-0.3853752131</v>
      </c>
      <c r="E178" s="41">
        <f>IF(TYPE($A178)=1,"",(UpdateHashtag!O176-E$1)/E$2)</f>
        <v>-1.513794698</v>
      </c>
      <c r="F178" s="41">
        <f>IF(TYPE($A178)=1,"",(UpdateHashtag!P176-F$1)/F$2)</f>
        <v>0.0793995211</v>
      </c>
      <c r="G178" s="41">
        <f>IF(TYPE($A178)=1,"",(UpdateHashtag!Q176-G$1)/G$2)</f>
        <v>0.8050197178</v>
      </c>
      <c r="H178" s="41">
        <f>IF(TYPE($A178)=1,"",(UpdateHashtag!I176-H$1)/H$2*I178/$I$1)</f>
        <v>-0.008265425713</v>
      </c>
      <c r="I178" s="41">
        <f>UpdateHashtag!S176</f>
        <v>5.7</v>
      </c>
      <c r="J178" s="53">
        <f>IF(TYPE($A178)=1,"",(UpdateHashtag!K176-J$1)/J$2*K178/$K$1)</f>
        <v>-0.4794276847</v>
      </c>
      <c r="K178" s="55">
        <f>UpdateHashtag!T176</f>
        <v>1.5</v>
      </c>
      <c r="L178" s="41">
        <f>IF(TYPE($A178)=1,"",-(UpdateHashtag!R176-L$1)/L$2)</f>
        <v>1.238588102</v>
      </c>
      <c r="N178" s="5">
        <v>158.0</v>
      </c>
      <c r="O178" s="170">
        <f t="array" ref="O178">INDIRECT("Update"&amp;Projections!$AG$17&amp;"!B"&amp;ROW(B159))</f>
        <v>144.2</v>
      </c>
      <c r="P178" s="172" t="str">
        <f t="array" ref="P178">INDIRECT("Update"&amp;Projections!$AG$17&amp;"!C"&amp;ROW(B159))</f>
        <v>Kevin Porter Jr.</v>
      </c>
      <c r="Q178" s="170">
        <f>UpdateHashtag!F213</f>
        <v>59</v>
      </c>
      <c r="R178" s="177" t="str">
        <f>IF(UpdateHashtag!D213="",ROW(UpdateHashtag!D213),UpdateHashtag!D213)</f>
        <v>C</v>
      </c>
      <c r="S178" s="124">
        <f t="shared" si="1"/>
        <v>-3.810170344</v>
      </c>
      <c r="T178" s="124">
        <f>SUM(AE178:AM178)-IFERROR(IFS(Projections!$I$17,AN178,Projections!$J$17,AO178),"")</f>
        <v>-3.704082614</v>
      </c>
      <c r="U178" s="124">
        <f t="shared" si="2"/>
        <v>0.1060877297</v>
      </c>
      <c r="V178" s="124">
        <f t="array" ref="V178">INDIRECT("Update"&amp;Projections!$AG$17&amp;"!M"&amp;ROW(B159))</f>
        <v>14.79735294</v>
      </c>
      <c r="W178" s="124">
        <f t="array" ref="W178">INDIRECT("Update"&amp;Projections!$AG$17&amp;"!L"&amp;ROW(B159))</f>
        <v>1.981323529</v>
      </c>
      <c r="X178" s="124">
        <f t="array" ref="X178">INDIRECT("Update"&amp;Projections!$AG$17&amp;"!N"&amp;ROW(B159))</f>
        <v>3.503529412</v>
      </c>
      <c r="Y178" s="124">
        <f t="array" ref="Y178">INDIRECT("Update"&amp;Projections!$AG$17&amp;"!O"&amp;ROW(B159))</f>
        <v>3.397352941</v>
      </c>
      <c r="Z178" s="124">
        <f t="array" ref="Z178">INDIRECT("Update"&amp;Projections!$AG$17&amp;"!P"&amp;ROW(B159))</f>
        <v>0.9176470588</v>
      </c>
      <c r="AA178" s="124">
        <f t="array" ref="AA178">INDIRECT("Update"&amp;Projections!$AG$17&amp;"!Q"&amp;ROW(B159))</f>
        <v>0.2182352941</v>
      </c>
      <c r="AB178" s="180">
        <f t="array" ref="AB178">INDIRECT("Update"&amp;Projections!$AG$17&amp;"!I"&amp;ROW(B159))</f>
        <v>0.4538563244</v>
      </c>
      <c r="AC178" s="180">
        <f t="array" ref="AC178">INDIRECT("Update"&amp;Projections!$AG$17&amp;"!K"&amp;ROW(B159))</f>
        <v>0.75</v>
      </c>
      <c r="AD178" s="124">
        <f t="array" ref="AD178">INDIRECT("Update"&amp;Projections!$AG$17&amp;"!R"&amp;ROW(B159))</f>
        <v>2.176470588</v>
      </c>
      <c r="AE178" s="124">
        <f t="shared" si="3"/>
        <v>-0.4851244749</v>
      </c>
      <c r="AF178" s="124">
        <f t="shared" si="4"/>
        <v>0.2307789816</v>
      </c>
      <c r="AG178" s="124">
        <f t="shared" si="5"/>
        <v>-1.011043206</v>
      </c>
      <c r="AH178" s="124">
        <f t="shared" si="6"/>
        <v>-0.2434092829</v>
      </c>
      <c r="AI178" s="124">
        <f t="shared" si="7"/>
        <v>-0.1930498161</v>
      </c>
      <c r="AJ178" s="124">
        <f t="shared" si="8"/>
        <v>-0.9461027634</v>
      </c>
      <c r="AK178" s="124">
        <f t="shared" si="9"/>
        <v>-0.5894225232</v>
      </c>
      <c r="AL178" s="124">
        <f t="shared" si="10"/>
        <v>-0.4667095293</v>
      </c>
      <c r="AM178" s="124">
        <f t="shared" si="11"/>
        <v>0</v>
      </c>
      <c r="AN178" s="183">
        <f t="shared" si="12"/>
        <v>-1.011043206</v>
      </c>
      <c r="AO178" s="183">
        <f t="shared" si="13"/>
        <v>-1.957145969</v>
      </c>
      <c r="AP178" s="183">
        <f t="array" ref="AP178">INDIRECT("Update"&amp;Projections!$AG$17&amp;"!S"&amp;ROW(B159))</f>
        <v>11.67867647</v>
      </c>
      <c r="AQ178" s="183">
        <f t="array" ref="AQ178">INDIRECT("Update"&amp;Projections!$AG$17&amp;"!T"&amp;ROW(B159))</f>
        <v>2.953529412</v>
      </c>
    </row>
    <row r="179">
      <c r="A179" s="40" t="str">
        <f>IF(UpdateHashtag!C177="",ROW(UpdateHashtag!C177),UpdateHashtag!C177)</f>
        <v>Jaime Jaquez Jr.</v>
      </c>
      <c r="B179" s="41">
        <f>IF(TYPE($A179)=1,"",(UpdateHashtag!M177-B$1)/B$2)</f>
        <v>-1.00738868</v>
      </c>
      <c r="C179" s="41">
        <f>IF(TYPE($A179)=1,"",(UpdateHashtag!L177-C$1)/C$2)</f>
        <v>-0.8418166868</v>
      </c>
      <c r="D179" s="41">
        <f>IF(TYPE($A179)=1,"",(UpdateHashtag!N177-D$1)/D$2)</f>
        <v>-0.8948543083</v>
      </c>
      <c r="E179" s="41">
        <f>IF(TYPE($A179)=1,"",(UpdateHashtag!O177-E$1)/E$2)</f>
        <v>-0.6055178793</v>
      </c>
      <c r="F179" s="41">
        <f>IF(TYPE($A179)=1,"",(UpdateHashtag!P177-F$1)/F$2)</f>
        <v>0.0793995211</v>
      </c>
      <c r="G179" s="41">
        <f>IF(TYPE($A179)=1,"",(UpdateHashtag!Q177-G$1)/G$2)</f>
        <v>-0.8002633236</v>
      </c>
      <c r="H179" s="41">
        <f>IF(TYPE($A179)=1,"",(UpdateHashtag!I177-H$1)/H$2*I179/$I$1)</f>
        <v>-0.0892075091</v>
      </c>
      <c r="I179" s="41">
        <f>UpdateHashtag!S177</f>
        <v>9.3</v>
      </c>
      <c r="J179" s="53">
        <f>IF(TYPE($A179)=1,"",(UpdateHashtag!K177-J$1)/J$2*K179/$K$1)</f>
        <v>0.1375223576</v>
      </c>
      <c r="K179" s="55">
        <f>UpdateHashtag!T177</f>
        <v>2.3</v>
      </c>
      <c r="L179" s="41">
        <f>IF(TYPE($A179)=1,"",-(UpdateHashtag!R177-L$1)/L$2)</f>
        <v>0.2466595634</v>
      </c>
      <c r="N179" s="112">
        <v>159.0</v>
      </c>
      <c r="O179" s="170">
        <f t="array" ref="O179">INDIRECT("Update"&amp;Projections!$AG$17&amp;"!B"&amp;ROW(B160))</f>
        <v>102.7</v>
      </c>
      <c r="P179" s="172" t="str">
        <f t="array" ref="P179">INDIRECT("Update"&amp;Projections!$AG$17&amp;"!C"&amp;ROW(B160))</f>
        <v>Clint Capela</v>
      </c>
      <c r="Q179" s="170">
        <f>UpdateHashtag!F222</f>
        <v>70</v>
      </c>
      <c r="R179" s="177" t="str">
        <f>IF(UpdateHashtag!D222="",ROW(UpdateHashtag!D222),UpdateHashtag!D222)</f>
        <v>SG,SF</v>
      </c>
      <c r="S179" s="124">
        <f t="shared" si="1"/>
        <v>-4.082952311</v>
      </c>
      <c r="T179" s="124">
        <f>SUM(AE179:AM179)-IFERROR(IFS(Projections!$I$17,AN179,Projections!$J$17,AO179),"")</f>
        <v>-4.243810056</v>
      </c>
      <c r="U179" s="124">
        <f t="shared" si="2"/>
        <v>-0.1608577447</v>
      </c>
      <c r="V179" s="124">
        <f t="array" ref="V179">INDIRECT("Update"&amp;Projections!$AG$17&amp;"!M"&amp;ROW(B160))</f>
        <v>9.419558824</v>
      </c>
      <c r="W179" s="124">
        <f t="array" ref="W179">INDIRECT("Update"&amp;Projections!$AG$17&amp;"!L"&amp;ROW(B160))</f>
        <v>0</v>
      </c>
      <c r="X179" s="124">
        <f t="array" ref="X179">INDIRECT("Update"&amp;Projections!$AG$17&amp;"!N"&amp;ROW(B160))</f>
        <v>9.8</v>
      </c>
      <c r="Y179" s="124">
        <f t="array" ref="Y179">INDIRECT("Update"&amp;Projections!$AG$17&amp;"!O"&amp;ROW(B160))</f>
        <v>1.25</v>
      </c>
      <c r="Z179" s="124">
        <f t="array" ref="Z179">INDIRECT("Update"&amp;Projections!$AG$17&amp;"!P"&amp;ROW(B160))</f>
        <v>0.6</v>
      </c>
      <c r="AA179" s="124">
        <f t="array" ref="AA179">INDIRECT("Update"&amp;Projections!$AG$17&amp;"!Q"&amp;ROW(B160))</f>
        <v>1.15</v>
      </c>
      <c r="AB179" s="180">
        <f t="array" ref="AB179">INDIRECT("Update"&amp;Projections!$AG$17&amp;"!I"&amp;ROW(B160))</f>
        <v>0.569995915</v>
      </c>
      <c r="AC179" s="180">
        <f t="array" ref="AC179">INDIRECT("Update"&amp;Projections!$AG$17&amp;"!K"&amp;ROW(B160))</f>
        <v>0.600992049</v>
      </c>
      <c r="AD179" s="124">
        <f t="array" ref="AD179">INDIRECT("Update"&amp;Projections!$AG$17&amp;"!R"&amp;ROW(B160))</f>
        <v>1.1</v>
      </c>
      <c r="AE179" s="124">
        <f t="shared" si="3"/>
        <v>-1.454502188</v>
      </c>
      <c r="AF179" s="124">
        <f t="shared" si="4"/>
        <v>-1.734552372</v>
      </c>
      <c r="AG179" s="124">
        <f t="shared" si="5"/>
        <v>1.45658767</v>
      </c>
      <c r="AH179" s="124">
        <f t="shared" si="6"/>
        <v>-1.218604732</v>
      </c>
      <c r="AI179" s="124">
        <f t="shared" si="7"/>
        <v>-1.243925831</v>
      </c>
      <c r="AJ179" s="124">
        <f t="shared" si="8"/>
        <v>0.7158373266</v>
      </c>
      <c r="AK179" s="124">
        <f t="shared" si="9"/>
        <v>0.6092577056</v>
      </c>
      <c r="AL179" s="124">
        <f t="shared" si="10"/>
        <v>-1.373907635</v>
      </c>
      <c r="AM179" s="124">
        <f t="shared" si="11"/>
        <v>0</v>
      </c>
      <c r="AN179" s="183">
        <f t="shared" si="12"/>
        <v>-1.734552372</v>
      </c>
      <c r="AO179" s="183">
        <f t="shared" si="13"/>
        <v>-3.18905456</v>
      </c>
      <c r="AP179" s="183">
        <f t="array" ref="AP179">INDIRECT("Update"&amp;Projections!$AG$17&amp;"!S"&amp;ROW(B160))</f>
        <v>7.2</v>
      </c>
      <c r="AQ179" s="183">
        <f t="array" ref="AQ179">INDIRECT("Update"&amp;Projections!$AG$17&amp;"!T"&amp;ROW(B160))</f>
        <v>2.016029412</v>
      </c>
    </row>
    <row r="180">
      <c r="A180" s="40" t="str">
        <f>IF(UpdateHashtag!C178="",ROW(UpdateHashtag!C178),UpdateHashtag!C178)</f>
        <v>Kevin Huerter</v>
      </c>
      <c r="B180" s="41">
        <f>IF(TYPE($A180)=1,"",(UpdateHashtag!M178-B$1)/B$2)</f>
        <v>-0.9893631158</v>
      </c>
      <c r="C180" s="41">
        <f>IF(TYPE($A180)=1,"",(UpdateHashtag!L178-C$1)/C$2)</f>
        <v>0.447690414</v>
      </c>
      <c r="D180" s="41">
        <f>IF(TYPE($A180)=1,"",(UpdateHashtag!N178-D$1)/D$2)</f>
        <v>-1.129998506</v>
      </c>
      <c r="E180" s="41">
        <f>IF(TYPE($A180)=1,"",(UpdateHashtag!O178-E$1)/E$2)</f>
        <v>-0.6055178793</v>
      </c>
      <c r="F180" s="41">
        <f>IF(TYPE($A180)=1,"",(UpdateHashtag!P178-F$1)/F$2)</f>
        <v>-0.5822631548</v>
      </c>
      <c r="G180" s="41">
        <f>IF(TYPE($A180)=1,"",(UpdateHashtag!Q178-G$1)/G$2)</f>
        <v>-0.8002633236</v>
      </c>
      <c r="H180" s="41">
        <f>IF(TYPE($A180)=1,"",(UpdateHashtag!I178-H$1)/H$2*I180/$I$1)</f>
        <v>-0.323176672</v>
      </c>
      <c r="I180" s="41">
        <f>UpdateHashtag!S178</f>
        <v>9.5</v>
      </c>
      <c r="J180" s="53">
        <f>IF(TYPE($A180)=1,"",(UpdateHashtag!K178-J$1)/J$2*K180/$K$1)</f>
        <v>-0.1896210794</v>
      </c>
      <c r="K180" s="55">
        <f>UpdateHashtag!T178</f>
        <v>1.2</v>
      </c>
      <c r="L180" s="41">
        <f>IF(TYPE($A180)=1,"",-(UpdateHashtag!R178-L$1)/L$2)</f>
        <v>0.7426238329</v>
      </c>
      <c r="N180" s="112">
        <v>160.0</v>
      </c>
      <c r="O180" s="170">
        <f t="array" ref="O180">INDIRECT("Update"&amp;Projections!$AG$17&amp;"!B"&amp;ROW(B161))</f>
        <v>144</v>
      </c>
      <c r="P180" s="172" t="str">
        <f t="array" ref="P180">INDIRECT("Update"&amp;Projections!$AG$17&amp;"!C"&amp;ROW(B161))</f>
        <v>Tari Eason</v>
      </c>
      <c r="Q180" s="170">
        <f>UpdateHashtag!F218</f>
        <v>63</v>
      </c>
      <c r="R180" s="177" t="str">
        <f>IF(UpdateHashtag!D218="",ROW(UpdateHashtag!D218),UpdateHashtag!D218)</f>
        <v>SG,SF</v>
      </c>
      <c r="S180" s="124">
        <f t="shared" si="1"/>
        <v>-3.695700742</v>
      </c>
      <c r="T180" s="124">
        <f>SUM(AE180:AM180)-IFERROR(IFS(Projections!$I$17,AN180,Projections!$J$17,AO180),"")</f>
        <v>-3.899226001</v>
      </c>
      <c r="U180" s="124">
        <f t="shared" si="2"/>
        <v>-0.2035252591</v>
      </c>
      <c r="V180" s="124">
        <f t="array" ref="V180">INDIRECT("Update"&amp;Projections!$AG$17&amp;"!M"&amp;ROW(B161))</f>
        <v>8.913970588</v>
      </c>
      <c r="W180" s="124">
        <f t="array" ref="W180">INDIRECT("Update"&amp;Projections!$AG$17&amp;"!L"&amp;ROW(B161))</f>
        <v>0.7308823529</v>
      </c>
      <c r="X180" s="124">
        <f t="array" ref="X180">INDIRECT("Update"&amp;Projections!$AG$17&amp;"!N"&amp;ROW(B161))</f>
        <v>5.921176471</v>
      </c>
      <c r="Y180" s="124">
        <f t="array" ref="Y180">INDIRECT("Update"&amp;Projections!$AG$17&amp;"!O"&amp;ROW(B161))</f>
        <v>1.085294118</v>
      </c>
      <c r="Z180" s="124">
        <f t="array" ref="Z180">INDIRECT("Update"&amp;Projections!$AG$17&amp;"!P"&amp;ROW(B161))</f>
        <v>1.237205882</v>
      </c>
      <c r="AA180" s="124">
        <f t="array" ref="AA180">INDIRECT("Update"&amp;Projections!$AG$17&amp;"!Q"&amp;ROW(B161))</f>
        <v>0.6213235294</v>
      </c>
      <c r="AB180" s="180">
        <f t="array" ref="AB180">INDIRECT("Update"&amp;Projections!$AG$17&amp;"!I"&amp;ROW(B161))</f>
        <v>0.4693368128</v>
      </c>
      <c r="AC180" s="180">
        <f t="array" ref="AC180">INDIRECT("Update"&amp;Projections!$AG$17&amp;"!K"&amp;ROW(B161))</f>
        <v>0.7099633613</v>
      </c>
      <c r="AD180" s="124">
        <f t="array" ref="AD180">INDIRECT("Update"&amp;Projections!$AG$17&amp;"!R"&amp;ROW(B161))</f>
        <v>0.9279411765</v>
      </c>
      <c r="AE180" s="124">
        <f t="shared" si="3"/>
        <v>-1.545637319</v>
      </c>
      <c r="AF180" s="124">
        <f t="shared" si="4"/>
        <v>-1.009569307</v>
      </c>
      <c r="AG180" s="124">
        <f t="shared" si="5"/>
        <v>-0.06355040885</v>
      </c>
      <c r="AH180" s="124">
        <f t="shared" si="6"/>
        <v>-1.293403999</v>
      </c>
      <c r="AI180" s="124">
        <f t="shared" si="7"/>
        <v>0.8641509142</v>
      </c>
      <c r="AJ180" s="124">
        <f t="shared" si="8"/>
        <v>-0.2271353097</v>
      </c>
      <c r="AK180" s="124">
        <f t="shared" si="9"/>
        <v>-0.2524575324</v>
      </c>
      <c r="AL180" s="124">
        <f t="shared" si="10"/>
        <v>-0.3716230385</v>
      </c>
      <c r="AM180" s="124">
        <f t="shared" si="11"/>
        <v>0</v>
      </c>
      <c r="AN180" s="183">
        <f t="shared" si="12"/>
        <v>-1.545637319</v>
      </c>
      <c r="AO180" s="183">
        <f t="shared" si="13"/>
        <v>-2.839041318</v>
      </c>
      <c r="AP180" s="183">
        <f t="array" ref="AP180">INDIRECT("Update"&amp;Projections!$AG$17&amp;"!S"&amp;ROW(B161))</f>
        <v>7.776617647</v>
      </c>
      <c r="AQ180" s="183">
        <f t="array" ref="AQ180">INDIRECT("Update"&amp;Projections!$AG$17&amp;"!T"&amp;ROW(B161))</f>
        <v>1.244264706</v>
      </c>
    </row>
    <row r="181">
      <c r="A181" s="40" t="str">
        <f>IF(UpdateHashtag!C179="",ROW(UpdateHashtag!C179),UpdateHashtag!C179)</f>
        <v>Lonzo Ball</v>
      </c>
      <c r="B181" s="41">
        <f>IF(TYPE($A181)=1,"",(UpdateHashtag!M179-B$1)/B$2)</f>
        <v>-1.782487926</v>
      </c>
      <c r="C181" s="41">
        <f>IF(TYPE($A181)=1,"",(UpdateHashtag!L179-C$1)/C$2)</f>
        <v>0.05091899834</v>
      </c>
      <c r="D181" s="41">
        <f>IF(TYPE($A181)=1,"",(UpdateHashtag!N179-D$1)/D$2)</f>
        <v>-1.129998506</v>
      </c>
      <c r="E181" s="41">
        <f>IF(TYPE($A181)=1,"",(UpdateHashtag!O179-E$1)/E$2)</f>
        <v>-0.1967933108</v>
      </c>
      <c r="F181" s="41">
        <f>IF(TYPE($A181)=1,"",(UpdateHashtag!P179-F$1)/F$2)</f>
        <v>0.410230859</v>
      </c>
      <c r="G181" s="41">
        <f>IF(TYPE($A181)=1,"",(UpdateHashtag!Q179-G$1)/G$2)</f>
        <v>-0.4435337589</v>
      </c>
      <c r="H181" s="41">
        <f>IF(TYPE($A181)=1,"",(UpdateHashtag!I179-H$1)/H$2*I181/$I$1)</f>
        <v>-0.552709537</v>
      </c>
      <c r="I181" s="41">
        <f>UpdateHashtag!S179</f>
        <v>6.4</v>
      </c>
      <c r="J181" s="53">
        <f>IF(TYPE($A181)=1,"",(UpdateHashtag!K179-J$1)/J$2*K181/$K$1)</f>
        <v>-0.05968693751</v>
      </c>
      <c r="K181" s="55">
        <f>UpdateHashtag!T179</f>
        <v>0.5</v>
      </c>
      <c r="L181" s="41">
        <f>IF(TYPE($A181)=1,"",-(UpdateHashtag!R179-L$1)/L$2)</f>
        <v>0.3458524173</v>
      </c>
      <c r="N181" s="5">
        <v>161.0</v>
      </c>
      <c r="O181" s="170">
        <f t="array" ref="O181">INDIRECT("Update"&amp;Projections!$AG$17&amp;"!B"&amp;ROW(B162))</f>
        <v>137.4</v>
      </c>
      <c r="P181" s="172" t="str">
        <f t="array" ref="P181">INDIRECT("Update"&amp;Projections!$AG$17&amp;"!C"&amp;ROW(B162))</f>
        <v>Aaron Nesmith</v>
      </c>
      <c r="Q181" s="170">
        <f>UpdateHashtag!F215</f>
        <v>68</v>
      </c>
      <c r="R181" s="177" t="str">
        <f>IF(UpdateHashtag!D215="",ROW(UpdateHashtag!D215),UpdateHashtag!D215)</f>
        <v>PF</v>
      </c>
      <c r="S181" s="124">
        <f t="shared" si="1"/>
        <v>-3.763169994</v>
      </c>
      <c r="T181" s="124">
        <f>SUM(AE181:AM181)-IFERROR(IFS(Projections!$I$17,AN181,Projections!$J$17,AO181),"")</f>
        <v>-3.971857717</v>
      </c>
      <c r="U181" s="124">
        <f t="shared" si="2"/>
        <v>-0.2086877236</v>
      </c>
      <c r="V181" s="124">
        <f t="array" ref="V181">INDIRECT("Update"&amp;Projections!$AG$17&amp;"!M"&amp;ROW(B162))</f>
        <v>11.86547945</v>
      </c>
      <c r="W181" s="124">
        <f t="array" ref="W181">INDIRECT("Update"&amp;Projections!$AG$17&amp;"!L"&amp;ROW(B162))</f>
        <v>1.862876712</v>
      </c>
      <c r="X181" s="124">
        <f t="array" ref="X181">INDIRECT("Update"&amp;Projections!$AG$17&amp;"!N"&amp;ROW(B162))</f>
        <v>4.025616438</v>
      </c>
      <c r="Y181" s="124">
        <f t="array" ref="Y181">INDIRECT("Update"&amp;Projections!$AG$17&amp;"!O"&amp;ROW(B162))</f>
        <v>1.634109589</v>
      </c>
      <c r="Z181" s="124">
        <f t="array" ref="Z181">INDIRECT("Update"&amp;Projections!$AG$17&amp;"!P"&amp;ROW(B162))</f>
        <v>0.7209589041</v>
      </c>
      <c r="AA181" s="124">
        <f t="array" ref="AA181">INDIRECT("Update"&amp;Projections!$AG$17&amp;"!Q"&amp;ROW(B162))</f>
        <v>0.5406849315</v>
      </c>
      <c r="AB181" s="180">
        <f t="array" ref="AB181">INDIRECT("Update"&amp;Projections!$AG$17&amp;"!I"&amp;ROW(B162))</f>
        <v>0.4760066272</v>
      </c>
      <c r="AC181" s="180">
        <f t="array" ref="AC181">INDIRECT("Update"&amp;Projections!$AG$17&amp;"!K"&amp;ROW(B162))</f>
        <v>0.83096</v>
      </c>
      <c r="AD181" s="124">
        <f t="array" ref="AD181">INDIRECT("Update"&amp;Projections!$AG$17&amp;"!R"&amp;ROW(B162))</f>
        <v>0.9071232877</v>
      </c>
      <c r="AE181" s="124">
        <f t="shared" si="3"/>
        <v>-1.013611204</v>
      </c>
      <c r="AF181" s="124">
        <f t="shared" si="4"/>
        <v>0.1132882034</v>
      </c>
      <c r="AG181" s="124">
        <f t="shared" si="5"/>
        <v>-0.8064336478</v>
      </c>
      <c r="AH181" s="124">
        <f t="shared" si="6"/>
        <v>-1.044165814</v>
      </c>
      <c r="AI181" s="124">
        <f t="shared" si="7"/>
        <v>-0.8437558698</v>
      </c>
      <c r="AJ181" s="124">
        <f t="shared" si="8"/>
        <v>-0.3709661693</v>
      </c>
      <c r="AK181" s="124">
        <f t="shared" si="9"/>
        <v>-0.2226515733</v>
      </c>
      <c r="AL181" s="124">
        <f t="shared" si="10"/>
        <v>0.2164383573</v>
      </c>
      <c r="AM181" s="124">
        <f t="shared" si="11"/>
        <v>0</v>
      </c>
      <c r="AN181" s="183">
        <f t="shared" si="12"/>
        <v>-1.044165814</v>
      </c>
      <c r="AO181" s="183">
        <f t="shared" si="13"/>
        <v>-2.057777018</v>
      </c>
      <c r="AP181" s="183">
        <f t="array" ref="AP181">INDIRECT("Update"&amp;Projections!$AG$17&amp;"!S"&amp;ROW(B162))</f>
        <v>9.012191781</v>
      </c>
      <c r="AQ181" s="183">
        <f t="array" ref="AQ181">INDIRECT("Update"&amp;Projections!$AG$17&amp;"!T"&amp;ROW(B162))</f>
        <v>1.712328767</v>
      </c>
    </row>
    <row r="182">
      <c r="A182" s="40" t="str">
        <f>IF(UpdateHashtag!C180="",ROW(UpdateHashtag!C180),UpdateHashtag!C180)</f>
        <v>Vince Williams Jr.</v>
      </c>
      <c r="B182" s="41">
        <f>IF(TYPE($A182)=1,"",(UpdateHashtag!M180-B$1)/B$2)</f>
        <v>-1.530130032</v>
      </c>
      <c r="C182" s="41">
        <f>IF(TYPE($A182)=1,"",(UpdateHashtag!L180-C$1)/C$2)</f>
        <v>-0.4450452712</v>
      </c>
      <c r="D182" s="41">
        <f>IF(TYPE($A182)=1,"",(UpdateHashtag!N180-D$1)/D$2)</f>
        <v>-0.502947312</v>
      </c>
      <c r="E182" s="41">
        <f>IF(TYPE($A182)=1,"",(UpdateHashtag!O180-E$1)/E$2)</f>
        <v>-0.5146901974</v>
      </c>
      <c r="F182" s="41">
        <f>IF(TYPE($A182)=1,"",(UpdateHashtag!P180-F$1)/F$2)</f>
        <v>-0.5822631548</v>
      </c>
      <c r="G182" s="41">
        <f>IF(TYPE($A182)=1,"",(UpdateHashtag!Q180-G$1)/G$2)</f>
        <v>-0.2651689765</v>
      </c>
      <c r="H182" s="41">
        <f>IF(TYPE($A182)=1,"",(UpdateHashtag!I180-H$1)/H$2*I182/$I$1)</f>
        <v>-0.3319988644</v>
      </c>
      <c r="I182" s="41">
        <f>UpdateHashtag!S180</f>
        <v>6.6</v>
      </c>
      <c r="J182" s="53">
        <f>IF(TYPE($A182)=1,"",(UpdateHashtag!K180-J$1)/J$2*K182/$K$1)</f>
        <v>0.05916700421</v>
      </c>
      <c r="K182" s="55">
        <f>UpdateHashtag!T180</f>
        <v>2.1</v>
      </c>
      <c r="L182" s="41">
        <f>IF(TYPE($A182)=1,"",-(UpdateHashtag!R180-L$1)/L$2)</f>
        <v>0.2466595634</v>
      </c>
      <c r="N182" s="112">
        <v>162.0</v>
      </c>
      <c r="O182" s="170">
        <f t="array" ref="O182">INDIRECT("Update"&amp;Projections!$AG$17&amp;"!B"&amp;ROW(B163))</f>
        <v>138.6</v>
      </c>
      <c r="P182" s="172" t="str">
        <f t="array" ref="P182">INDIRECT("Update"&amp;Projections!$AG$17&amp;"!C"&amp;ROW(B163))</f>
        <v>Malcolm Brogdon</v>
      </c>
      <c r="Q182" s="170">
        <f>UpdateHashtag!F224</f>
        <v>76</v>
      </c>
      <c r="R182" s="177" t="str">
        <f>IF(UpdateHashtag!D224="",ROW(UpdateHashtag!D224),UpdateHashtag!D224)</f>
        <v>SF,PF</v>
      </c>
      <c r="S182" s="124">
        <f t="shared" si="1"/>
        <v>-3.84286446</v>
      </c>
      <c r="T182" s="124">
        <f>SUM(AE182:AM182)-IFERROR(IFS(Projections!$I$17,AN182,Projections!$J$17,AO182),"")</f>
        <v>-3.871384421</v>
      </c>
      <c r="U182" s="124">
        <f t="shared" si="2"/>
        <v>-0.02851996151</v>
      </c>
      <c r="V182" s="124">
        <f t="array" ref="V182">INDIRECT("Update"&amp;Projections!$AG$17&amp;"!M"&amp;ROW(B163))</f>
        <v>12.63585366</v>
      </c>
      <c r="W182" s="124">
        <f t="array" ref="W182">INDIRECT("Update"&amp;Projections!$AG$17&amp;"!L"&amp;ROW(B163))</f>
        <v>1.608292683</v>
      </c>
      <c r="X182" s="124">
        <f t="array" ref="X182">INDIRECT("Update"&amp;Projections!$AG$17&amp;"!N"&amp;ROW(B163))</f>
        <v>3.436341463</v>
      </c>
      <c r="Y182" s="124">
        <f t="array" ref="Y182">INDIRECT("Update"&amp;Projections!$AG$17&amp;"!O"&amp;ROW(B163))</f>
        <v>5.013658537</v>
      </c>
      <c r="Z182" s="124">
        <f t="array" ref="Z182">INDIRECT("Update"&amp;Projections!$AG$17&amp;"!P"&amp;ROW(B163))</f>
        <v>0.6668292683</v>
      </c>
      <c r="AA182" s="124">
        <f t="array" ref="AA182">INDIRECT("Update"&amp;Projections!$AG$17&amp;"!Q"&amp;ROW(B163))</f>
        <v>0.2273170732</v>
      </c>
      <c r="AB182" s="180">
        <f t="array" ref="AB182">INDIRECT("Update"&amp;Projections!$AG$17&amp;"!I"&amp;ROW(B163))</f>
        <v>0.4446902134</v>
      </c>
      <c r="AC182" s="180">
        <f t="array" ref="AC182">INDIRECT("Update"&amp;Projections!$AG$17&amp;"!K"&amp;ROW(B163))</f>
        <v>0.8310364146</v>
      </c>
      <c r="AD182" s="124">
        <f t="array" ref="AD182">INDIRECT("Update"&amp;Projections!$AG$17&amp;"!R"&amp;ROW(B163))</f>
        <v>1.633658537</v>
      </c>
      <c r="AE182" s="124">
        <f t="shared" si="3"/>
        <v>-0.8747469082</v>
      </c>
      <c r="AF182" s="124">
        <f t="shared" si="4"/>
        <v>-0.1392409605</v>
      </c>
      <c r="AG182" s="124">
        <f t="shared" si="5"/>
        <v>-1.037374633</v>
      </c>
      <c r="AH182" s="124">
        <f t="shared" si="6"/>
        <v>0.4906171697</v>
      </c>
      <c r="AI182" s="124">
        <f t="shared" si="7"/>
        <v>-1.022833668</v>
      </c>
      <c r="AJ182" s="124">
        <f t="shared" si="8"/>
        <v>-0.9299040679</v>
      </c>
      <c r="AK182" s="124">
        <f t="shared" si="9"/>
        <v>-0.6336369421</v>
      </c>
      <c r="AL182" s="124">
        <f t="shared" si="10"/>
        <v>0.2757355892</v>
      </c>
      <c r="AM182" s="124">
        <f t="shared" si="11"/>
        <v>0</v>
      </c>
      <c r="AN182" s="183">
        <f t="shared" si="12"/>
        <v>-1.037374633</v>
      </c>
      <c r="AO182" s="183">
        <f t="shared" si="13"/>
        <v>-2.060208301</v>
      </c>
      <c r="AP182" s="183">
        <f t="array" ref="AP182">INDIRECT("Update"&amp;Projections!$AG$17&amp;"!S"&amp;ROW(B163))</f>
        <v>10.36512195</v>
      </c>
      <c r="AQ182" s="183">
        <f t="array" ref="AQ182">INDIRECT("Update"&amp;Projections!$AG$17&amp;"!T"&amp;ROW(B163))</f>
        <v>2.176829268</v>
      </c>
    </row>
    <row r="183">
      <c r="A183" s="40" t="str">
        <f>IF(UpdateHashtag!C181="",ROW(UpdateHashtag!C181),UpdateHashtag!C181)</f>
        <v>Gary Trent Jr.</v>
      </c>
      <c r="B183" s="41">
        <f>IF(TYPE($A183)=1,"",(UpdateHashtag!M181-B$1)/B$2)</f>
        <v>-0.538724019</v>
      </c>
      <c r="C183" s="41">
        <f>IF(TYPE($A183)=1,"",(UpdateHashtag!L181-C$1)/C$2)</f>
        <v>0.6460761218</v>
      </c>
      <c r="D183" s="41">
        <f>IF(TYPE($A183)=1,"",(UpdateHashtag!N181-D$1)/D$2)</f>
        <v>-1.404333404</v>
      </c>
      <c r="E183" s="41">
        <f>IF(TYPE($A183)=1,"",(UpdateHashtag!O181-E$1)/E$2)</f>
        <v>-1.059656289</v>
      </c>
      <c r="F183" s="41">
        <f>IF(TYPE($A183)=1,"",(UpdateHashtag!P181-F$1)/F$2)</f>
        <v>0.741062197</v>
      </c>
      <c r="G183" s="41">
        <f>IF(TYPE($A183)=1,"",(UpdateHashtag!Q181-G$1)/G$2)</f>
        <v>-0.978628106</v>
      </c>
      <c r="H183" s="41">
        <f>IF(TYPE($A183)=1,"",(UpdateHashtag!I181-H$1)/H$2*I183/$I$1)</f>
        <v>-0.9763973217</v>
      </c>
      <c r="I183" s="41">
        <f>UpdateHashtag!S181</f>
        <v>12.3</v>
      </c>
      <c r="J183" s="53">
        <f>IF(TYPE($A183)=1,"",(UpdateHashtag!K181-J$1)/J$2*K183/$K$1)</f>
        <v>-0.0219847472</v>
      </c>
      <c r="K183" s="55">
        <f>UpdateHashtag!T181</f>
        <v>2.1</v>
      </c>
      <c r="L183" s="41">
        <f>IF(TYPE($A183)=1,"",-(UpdateHashtag!R181-L$1)/L$2)</f>
        <v>1.040202395</v>
      </c>
      <c r="N183" s="112">
        <v>163.0</v>
      </c>
      <c r="O183" s="170">
        <f t="array" ref="O183">INDIRECT("Update"&amp;Projections!$AG$17&amp;"!B"&amp;ROW(B164))</f>
        <v>139</v>
      </c>
      <c r="P183" s="172" t="str">
        <f t="array" ref="P183">INDIRECT("Update"&amp;Projections!$AG$17&amp;"!C"&amp;ROW(B164))</f>
        <v>Dennis Schröder</v>
      </c>
      <c r="Q183" s="170">
        <f>UpdateHashtag!F219</f>
        <v>38</v>
      </c>
      <c r="R183" s="177" t="str">
        <f>IF(UpdateHashtag!D219="",ROW(UpdateHashtag!D219),UpdateHashtag!D219)</f>
        <v>C</v>
      </c>
      <c r="S183" s="124">
        <f t="shared" si="1"/>
        <v>-3.872863764</v>
      </c>
      <c r="T183" s="124">
        <f>SUM(AE183:AM183)-IFERROR(IFS(Projections!$I$17,AN183,Projections!$J$17,AO183),"")</f>
        <v>-3.83740798</v>
      </c>
      <c r="U183" s="124">
        <f t="shared" si="2"/>
        <v>0.03545578367</v>
      </c>
      <c r="V183" s="124">
        <f t="array" ref="V183">INDIRECT("Update"&amp;Projections!$AG$17&amp;"!M"&amp;ROW(B164))</f>
        <v>13.64767123</v>
      </c>
      <c r="W183" s="124">
        <f t="array" ref="W183">INDIRECT("Update"&amp;Projections!$AG$17&amp;"!L"&amp;ROW(B164))</f>
        <v>1.700410959</v>
      </c>
      <c r="X183" s="124">
        <f t="array" ref="X183">INDIRECT("Update"&amp;Projections!$AG$17&amp;"!N"&amp;ROW(B164))</f>
        <v>3.112054795</v>
      </c>
      <c r="Y183" s="124">
        <f t="array" ref="Y183">INDIRECT("Update"&amp;Projections!$AG$17&amp;"!O"&amp;ROW(B164))</f>
        <v>5.735890411</v>
      </c>
      <c r="Z183" s="124">
        <f t="array" ref="Z183">INDIRECT("Update"&amp;Projections!$AG$17&amp;"!P"&amp;ROW(B164))</f>
        <v>0.6102739726</v>
      </c>
      <c r="AA183" s="124">
        <f t="array" ref="AA183">INDIRECT("Update"&amp;Projections!$AG$17&amp;"!Q"&amp;ROW(B164))</f>
        <v>0.2468493151</v>
      </c>
      <c r="AB183" s="180">
        <f t="array" ref="AB183">INDIRECT("Update"&amp;Projections!$AG$17&amp;"!I"&amp;ROW(B164))</f>
        <v>0.4200946529</v>
      </c>
      <c r="AC183" s="180">
        <f t="array" ref="AC183">INDIRECT("Update"&amp;Projections!$AG$17&amp;"!K"&amp;ROW(B164))</f>
        <v>0.8450011571</v>
      </c>
      <c r="AD183" s="124">
        <f t="array" ref="AD183">INDIRECT("Update"&amp;Projections!$AG$17&amp;"!R"&amp;ROW(B164))</f>
        <v>1.891643836</v>
      </c>
      <c r="AE183" s="124">
        <f t="shared" si="3"/>
        <v>-0.6923610858</v>
      </c>
      <c r="AF183" s="124">
        <f t="shared" si="4"/>
        <v>-0.04786621361</v>
      </c>
      <c r="AG183" s="124">
        <f t="shared" si="5"/>
        <v>-1.164464847</v>
      </c>
      <c r="AH183" s="124">
        <f t="shared" si="6"/>
        <v>0.8186104042</v>
      </c>
      <c r="AI183" s="124">
        <f t="shared" si="7"/>
        <v>-1.20993631</v>
      </c>
      <c r="AJ183" s="124">
        <f t="shared" si="8"/>
        <v>-0.8950654271</v>
      </c>
      <c r="AK183" s="124">
        <f t="shared" si="9"/>
        <v>-1.062389371</v>
      </c>
      <c r="AL183" s="124">
        <f t="shared" si="10"/>
        <v>0.4160648704</v>
      </c>
      <c r="AM183" s="124">
        <f t="shared" si="11"/>
        <v>0</v>
      </c>
      <c r="AN183" s="183">
        <f t="shared" si="12"/>
        <v>-1.20993631</v>
      </c>
      <c r="AO183" s="183">
        <f t="shared" si="13"/>
        <v>-2.374401157</v>
      </c>
      <c r="AP183" s="183">
        <f t="array" ref="AP183">INDIRECT("Update"&amp;Projections!$AG$17&amp;"!S"&amp;ROW(B164))</f>
        <v>11.83849315</v>
      </c>
      <c r="AQ183" s="183">
        <f t="array" ref="AQ183">INDIRECT("Update"&amp;Projections!$AG$17&amp;"!T"&amp;ROW(B164))</f>
        <v>2.367671233</v>
      </c>
    </row>
    <row r="184">
      <c r="A184" s="40" t="str">
        <f>IF(UpdateHashtag!C182="",ROW(UpdateHashtag!C182),UpdateHashtag!C182)</f>
        <v>Keldon Johnson</v>
      </c>
      <c r="B184" s="41">
        <f>IF(TYPE($A184)=1,"",(UpdateHashtag!M182-B$1)/B$2)</f>
        <v>-0.1421616138</v>
      </c>
      <c r="C184" s="41">
        <f>IF(TYPE($A184)=1,"",(UpdateHashtag!L182-C$1)/C$2)</f>
        <v>0.05091899834</v>
      </c>
      <c r="D184" s="41">
        <f>IF(TYPE($A184)=1,"",(UpdateHashtag!N182-D$1)/D$2)</f>
        <v>-0.5421380116</v>
      </c>
      <c r="E184" s="41">
        <f>IF(TYPE($A184)=1,"",(UpdateHashtag!O182-E$1)/E$2)</f>
        <v>-0.6055178793</v>
      </c>
      <c r="F184" s="41">
        <f>IF(TYPE($A184)=1,"",(UpdateHashtag!P182-F$1)/F$2)</f>
        <v>-0.9130944927</v>
      </c>
      <c r="G184" s="41">
        <f>IF(TYPE($A184)=1,"",(UpdateHashtag!Q182-G$1)/G$2)</f>
        <v>-0.978628106</v>
      </c>
      <c r="H184" s="41">
        <f>IF(TYPE($A184)=1,"",(UpdateHashtag!I182-H$1)/H$2*I184/$I$1)</f>
        <v>-0.6896446647</v>
      </c>
      <c r="I184" s="41">
        <f>UpdateHashtag!S182</f>
        <v>13.4</v>
      </c>
      <c r="J184" s="53">
        <f>IF(TYPE($A184)=1,"",(UpdateHashtag!K182-J$1)/J$2*K184/$K$1)</f>
        <v>0.03819401911</v>
      </c>
      <c r="K184" s="55">
        <f>UpdateHashtag!T182</f>
        <v>3.6</v>
      </c>
      <c r="L184" s="41">
        <f>IF(TYPE($A184)=1,"",-(UpdateHashtag!R182-L$1)/L$2)</f>
        <v>0.1474667095</v>
      </c>
      <c r="N184" s="5">
        <v>164.0</v>
      </c>
      <c r="O184" s="170">
        <f t="array" ref="O184">INDIRECT("Update"&amp;Projections!$AG$17&amp;"!B"&amp;ROW(B165))</f>
        <v>143.5</v>
      </c>
      <c r="P184" s="172" t="str">
        <f t="array" ref="P184">INDIRECT("Update"&amp;Projections!$AG$17&amp;"!C"&amp;ROW(B165))</f>
        <v>Gradey Dick</v>
      </c>
      <c r="Q184" s="170">
        <f>UpdateHashtag!F214</f>
        <v>74</v>
      </c>
      <c r="R184" s="177" t="str">
        <f>IF(UpdateHashtag!D214="",ROW(UpdateHashtag!D214),UpdateHashtag!D214)</f>
        <v>PG</v>
      </c>
      <c r="S184" s="124">
        <f t="shared" si="1"/>
        <v>-3.701901866</v>
      </c>
      <c r="T184" s="124">
        <f>SUM(AE184:AM184)-IFERROR(IFS(Projections!$I$17,AN184,Projections!$J$17,AO184),"")</f>
        <v>-3.892891138</v>
      </c>
      <c r="U184" s="124">
        <f t="shared" si="2"/>
        <v>-0.1909892726</v>
      </c>
      <c r="V184" s="124">
        <f t="array" ref="V184">INDIRECT("Update"&amp;Projections!$AG$17&amp;"!M"&amp;ROW(B165))</f>
        <v>14.5839726</v>
      </c>
      <c r="W184" s="124">
        <f t="array" ref="W184">INDIRECT("Update"&amp;Projections!$AG$17&amp;"!L"&amp;ROW(B165))</f>
        <v>2.41</v>
      </c>
      <c r="X184" s="124">
        <f t="array" ref="X184">INDIRECT("Update"&amp;Projections!$AG$17&amp;"!N"&amp;ROW(B165))</f>
        <v>3.587671233</v>
      </c>
      <c r="Y184" s="124">
        <f t="array" ref="Y184">INDIRECT("Update"&amp;Projections!$AG$17&amp;"!O"&amp;ROW(B165))</f>
        <v>1.435068493</v>
      </c>
      <c r="Z184" s="124">
        <f t="array" ref="Z184">INDIRECT("Update"&amp;Projections!$AG$17&amp;"!P"&amp;ROW(B165))</f>
        <v>0.8878082192</v>
      </c>
      <c r="AA184" s="124">
        <f t="array" ref="AA184">INDIRECT("Update"&amp;Projections!$AG$17&amp;"!Q"&amp;ROW(B165))</f>
        <v>0.06328767123</v>
      </c>
      <c r="AB184" s="180">
        <f t="array" ref="AB184">INDIRECT("Update"&amp;Projections!$AG$17&amp;"!I"&amp;ROW(B165))</f>
        <v>0.4415175295</v>
      </c>
      <c r="AC184" s="180">
        <f t="array" ref="AC184">INDIRECT("Update"&amp;Projections!$AG$17&amp;"!K"&amp;ROW(B165))</f>
        <v>0.86</v>
      </c>
      <c r="AD184" s="124">
        <f t="array" ref="AD184">INDIRECT("Update"&amp;Projections!$AG$17&amp;"!R"&amp;ROW(B165))</f>
        <v>0.9784931507</v>
      </c>
      <c r="AE184" s="124">
        <f t="shared" si="3"/>
        <v>-0.5235874843</v>
      </c>
      <c r="AF184" s="124">
        <f t="shared" si="4"/>
        <v>0.6559954072</v>
      </c>
      <c r="AG184" s="124">
        <f t="shared" si="5"/>
        <v>-0.9780674376</v>
      </c>
      <c r="AH184" s="124">
        <f t="shared" si="6"/>
        <v>-1.134558021</v>
      </c>
      <c r="AI184" s="124">
        <f t="shared" si="7"/>
        <v>-0.2917660484</v>
      </c>
      <c r="AJ184" s="124">
        <f t="shared" si="8"/>
        <v>-1.222474754</v>
      </c>
      <c r="AK184" s="124">
        <f t="shared" si="9"/>
        <v>-0.7864327841</v>
      </c>
      <c r="AL184" s="124">
        <f t="shared" si="10"/>
        <v>0.3879999838</v>
      </c>
      <c r="AM184" s="124">
        <f t="shared" si="11"/>
        <v>0</v>
      </c>
      <c r="AN184" s="183">
        <f t="shared" si="12"/>
        <v>-1.222474754</v>
      </c>
      <c r="AO184" s="183">
        <f t="shared" si="13"/>
        <v>-2.357032775</v>
      </c>
      <c r="AP184" s="183">
        <f t="array" ref="AP184">INDIRECT("Update"&amp;Projections!$AG$17&amp;"!S"&amp;ROW(B165))</f>
        <v>12.13219178</v>
      </c>
      <c r="AQ184" s="183">
        <f t="array" ref="AQ184">INDIRECT("Update"&amp;Projections!$AG$17&amp;"!T"&amp;ROW(B165))</f>
        <v>1.698630137</v>
      </c>
    </row>
    <row r="185">
      <c r="A185" s="40" t="str">
        <f>IF(UpdateHashtag!C183="",ROW(UpdateHashtag!C183),UpdateHashtag!C183)</f>
        <v>Christian Braun</v>
      </c>
      <c r="B185" s="41">
        <f>IF(TYPE($A185)=1,"",(UpdateHashtag!M183-B$1)/B$2)</f>
        <v>-1.169618755</v>
      </c>
      <c r="C185" s="41">
        <f>IF(TYPE($A185)=1,"",(UpdateHashtag!L183-C$1)/C$2)</f>
        <v>-0.643430979</v>
      </c>
      <c r="D185" s="41">
        <f>IF(TYPE($A185)=1,"",(UpdateHashtag!N183-D$1)/D$2)</f>
        <v>-0.2286124145</v>
      </c>
      <c r="E185" s="41">
        <f>IF(TYPE($A185)=1,"",(UpdateHashtag!O183-E$1)/E$2)</f>
        <v>-0.7871732431</v>
      </c>
      <c r="F185" s="41">
        <f>IF(TYPE($A185)=1,"",(UpdateHashtag!P183-F$1)/F$2)</f>
        <v>-0.2514318168</v>
      </c>
      <c r="G185" s="41">
        <f>IF(TYPE($A185)=1,"",(UpdateHashtag!Q183-G$1)/G$2)</f>
        <v>-0.2651689765</v>
      </c>
      <c r="H185" s="41">
        <f>IF(TYPE($A185)=1,"",(UpdateHashtag!I183-H$1)/H$2*I185/$I$1)</f>
        <v>-0.2993636541</v>
      </c>
      <c r="I185" s="41">
        <f>UpdateHashtag!S183</f>
        <v>8.8</v>
      </c>
      <c r="J185" s="53">
        <f>IF(TYPE($A185)=1,"",(UpdateHashtag!K183-J$1)/J$2*K185/$K$1)</f>
        <v>-0.494484672</v>
      </c>
      <c r="K185" s="55">
        <f>UpdateHashtag!T183</f>
        <v>2.2</v>
      </c>
      <c r="L185" s="41">
        <f>IF(TYPE($A185)=1,"",-(UpdateHashtag!R183-L$1)/L$2)</f>
        <v>0.7426238329</v>
      </c>
      <c r="N185" s="112">
        <v>165.0</v>
      </c>
      <c r="O185" s="170">
        <f t="array" ref="O185">INDIRECT("Update"&amp;Projections!$AG$17&amp;"!B"&amp;ROW(B166))</f>
        <v>138.2</v>
      </c>
      <c r="P185" s="172" t="str">
        <f t="array" ref="P185">INDIRECT("Update"&amp;Projections!$AG$17&amp;"!C"&amp;ROW(B166))</f>
        <v>Grayson Allen</v>
      </c>
      <c r="Q185" s="170">
        <f>UpdateHashtag!F229</f>
        <v>71</v>
      </c>
      <c r="R185" s="177" t="str">
        <f>IF(UpdateHashtag!D229="",ROW(UpdateHashtag!D229),UpdateHashtag!D229)</f>
        <v>SF,PF</v>
      </c>
      <c r="S185" s="124">
        <f t="shared" si="1"/>
        <v>-3.833470225</v>
      </c>
      <c r="T185" s="124">
        <f>SUM(AE185:AM185)-IFERROR(IFS(Projections!$I$17,AN185,Projections!$J$17,AO185),"")</f>
        <v>-4.041122521</v>
      </c>
      <c r="U185" s="124">
        <f t="shared" si="2"/>
        <v>-0.2076522956</v>
      </c>
      <c r="V185" s="124">
        <f t="array" ref="V185">INDIRECT("Update"&amp;Projections!$AG$17&amp;"!M"&amp;ROW(B166))</f>
        <v>11.43285714</v>
      </c>
      <c r="W185" s="124">
        <f t="array" ref="W185">INDIRECT("Update"&amp;Projections!$AG$17&amp;"!L"&amp;ROW(B166))</f>
        <v>2.325324675</v>
      </c>
      <c r="X185" s="124">
        <f t="array" ref="X185">INDIRECT("Update"&amp;Projections!$AG$17&amp;"!N"&amp;ROW(B166))</f>
        <v>3.037532468</v>
      </c>
      <c r="Y185" s="124">
        <f t="array" ref="Y185">INDIRECT("Update"&amp;Projections!$AG$17&amp;"!O"&amp;ROW(B166))</f>
        <v>1.856233766</v>
      </c>
      <c r="Z185" s="124">
        <f t="array" ref="Z185">INDIRECT("Update"&amp;Projections!$AG$17&amp;"!P"&amp;ROW(B166))</f>
        <v>0.7706493506</v>
      </c>
      <c r="AA185" s="124">
        <f t="array" ref="AA185">INDIRECT("Update"&amp;Projections!$AG$17&amp;"!Q"&amp;ROW(B166))</f>
        <v>0.3375324675</v>
      </c>
      <c r="AB185" s="180">
        <f t="array" ref="AB185">INDIRECT("Update"&amp;Projections!$AG$17&amp;"!I"&amp;ROW(B166))</f>
        <v>0.4566430099</v>
      </c>
      <c r="AC185" s="180">
        <f t="array" ref="AC185">INDIRECT("Update"&amp;Projections!$AG$17&amp;"!K"&amp;ROW(B166))</f>
        <v>0.8669714109</v>
      </c>
      <c r="AD185" s="124">
        <f t="array" ref="AD185">INDIRECT("Update"&amp;Projections!$AG$17&amp;"!R"&amp;ROW(B166))</f>
        <v>0.9112987013</v>
      </c>
      <c r="AE185" s="124">
        <f t="shared" si="3"/>
        <v>-1.091593814</v>
      </c>
      <c r="AF185" s="124">
        <f t="shared" si="4"/>
        <v>0.5720035357</v>
      </c>
      <c r="AG185" s="124">
        <f t="shared" si="5"/>
        <v>-1.193670669</v>
      </c>
      <c r="AH185" s="124">
        <f t="shared" si="6"/>
        <v>-0.9432906938</v>
      </c>
      <c r="AI185" s="124">
        <f t="shared" si="7"/>
        <v>-0.6793643009</v>
      </c>
      <c r="AJ185" s="124">
        <f t="shared" si="8"/>
        <v>-0.7333186197</v>
      </c>
      <c r="AK185" s="124">
        <f t="shared" si="9"/>
        <v>-0.3958248276</v>
      </c>
      <c r="AL185" s="124">
        <f t="shared" si="10"/>
        <v>0.4239368682</v>
      </c>
      <c r="AM185" s="124">
        <f t="shared" si="11"/>
        <v>0</v>
      </c>
      <c r="AN185" s="183">
        <f t="shared" si="12"/>
        <v>-1.193670669</v>
      </c>
      <c r="AO185" s="183">
        <f t="shared" si="13"/>
        <v>-2.285264483</v>
      </c>
      <c r="AP185" s="183">
        <f t="array" ref="AP185">INDIRECT("Update"&amp;Projections!$AG$17&amp;"!S"&amp;ROW(B166))</f>
        <v>8.381038961</v>
      </c>
      <c r="AQ185" s="183">
        <f t="array" ref="AQ185">INDIRECT("Update"&amp;Projections!$AG$17&amp;"!T"&amp;ROW(B166))</f>
        <v>1.676233766</v>
      </c>
    </row>
    <row r="186">
      <c r="A186" s="40" t="str">
        <f>IF(UpdateHashtag!C184="",ROW(UpdateHashtag!C184),UpdateHashtag!C184)</f>
        <v>Zaccharie Risacher</v>
      </c>
      <c r="B186" s="41">
        <f>IF(TYPE($A186)=1,"",(UpdateHashtag!M184-B$1)/B$2)</f>
        <v>-0.7009540939</v>
      </c>
      <c r="C186" s="41">
        <f>IF(TYPE($A186)=1,"",(UpdateHashtag!L184-C$1)/C$2)</f>
        <v>-0.3458524173</v>
      </c>
      <c r="D186" s="41">
        <f>IF(TYPE($A186)=1,"",(UpdateHashtag!N184-D$1)/D$2)</f>
        <v>-0.7772822094</v>
      </c>
      <c r="E186" s="41">
        <f>IF(TYPE($A186)=1,"",(UpdateHashtag!O184-E$1)/E$2)</f>
        <v>-1.10507013</v>
      </c>
      <c r="F186" s="41">
        <f>IF(TYPE($A186)=1,"",(UpdateHashtag!P184-F$1)/F$2)</f>
        <v>0.410230859</v>
      </c>
      <c r="G186" s="41">
        <f>IF(TYPE($A186)=1,"",(UpdateHashtag!Q184-G$1)/G$2)</f>
        <v>-0.08680419409</v>
      </c>
      <c r="H186" s="41">
        <f>IF(TYPE($A186)=1,"",(UpdateHashtag!I184-H$1)/H$2*I186/$I$1)</f>
        <v>-0.5894468302</v>
      </c>
      <c r="I186" s="41">
        <f>UpdateHashtag!S184</f>
        <v>11.2</v>
      </c>
      <c r="J186" s="53">
        <f>IF(TYPE($A186)=1,"",(UpdateHashtag!K184-J$1)/J$2*K186/$K$1)</f>
        <v>-0.5408149446</v>
      </c>
      <c r="K186" s="55">
        <f>UpdateHashtag!T184</f>
        <v>2.8</v>
      </c>
      <c r="L186" s="41">
        <f>IF(TYPE($A186)=1,"",-(UpdateHashtag!R184-L$1)/L$2)</f>
        <v>0.1474667095</v>
      </c>
      <c r="N186" s="112">
        <v>166.0</v>
      </c>
      <c r="O186" s="170">
        <f t="array" ref="O186">INDIRECT("Update"&amp;Projections!$AG$17&amp;"!B"&amp;ROW(B167))</f>
        <v>126.5</v>
      </c>
      <c r="P186" s="172" t="str">
        <f t="array" ref="P186">INDIRECT("Update"&amp;Projections!$AG$17&amp;"!C"&amp;ROW(B167))</f>
        <v>Buddy Hield</v>
      </c>
      <c r="Q186" s="170">
        <f>UpdateHashtag!F223</f>
        <v>64</v>
      </c>
      <c r="R186" s="177" t="str">
        <f>IF(UpdateHashtag!D223="",ROW(UpdateHashtag!D223),UpdateHashtag!D223)</f>
        <v>SG,SF</v>
      </c>
      <c r="S186" s="124">
        <f t="shared" si="1"/>
        <v>-3.837157693</v>
      </c>
      <c r="T186" s="124">
        <f>SUM(AE186:AM186)-IFERROR(IFS(Projections!$I$17,AN186,Projections!$J$17,AO186),"")</f>
        <v>-4.007612668</v>
      </c>
      <c r="U186" s="124">
        <f t="shared" si="2"/>
        <v>-0.1704549755</v>
      </c>
      <c r="V186" s="124">
        <f t="array" ref="V186">INDIRECT("Update"&amp;Projections!$AG$17&amp;"!M"&amp;ROW(B167))</f>
        <v>12.02805195</v>
      </c>
      <c r="W186" s="124">
        <f t="array" ref="W186">INDIRECT("Update"&amp;Projections!$AG$17&amp;"!L"&amp;ROW(B167))</f>
        <v>2.535454545</v>
      </c>
      <c r="X186" s="124">
        <f t="array" ref="X186">INDIRECT("Update"&amp;Projections!$AG$17&amp;"!N"&amp;ROW(B167))</f>
        <v>3.018701299</v>
      </c>
      <c r="Y186" s="124">
        <f t="array" ref="Y186">INDIRECT("Update"&amp;Projections!$AG$17&amp;"!O"&amp;ROW(B167))</f>
        <v>2.06038961</v>
      </c>
      <c r="Z186" s="124">
        <f t="array" ref="Z186">INDIRECT("Update"&amp;Projections!$AG$17&amp;"!P"&amp;ROW(B167))</f>
        <v>0.8042857143</v>
      </c>
      <c r="AA186" s="124">
        <f t="array" ref="AA186">INDIRECT("Update"&amp;Projections!$AG$17&amp;"!Q"&amp;ROW(B167))</f>
        <v>0.2875324675</v>
      </c>
      <c r="AB186" s="180">
        <f t="array" ref="AB186">INDIRECT("Update"&amp;Projections!$AG$17&amp;"!I"&amp;ROW(B167))</f>
        <v>0.4418891989</v>
      </c>
      <c r="AC186" s="180">
        <f t="array" ref="AC186">INDIRECT("Update"&amp;Projections!$AG$17&amp;"!K"&amp;ROW(B167))</f>
        <v>0.8729905673</v>
      </c>
      <c r="AD186" s="124">
        <f t="array" ref="AD186">INDIRECT("Update"&amp;Projections!$AG$17&amp;"!R"&amp;ROW(B167))</f>
        <v>1.061298701</v>
      </c>
      <c r="AE186" s="124">
        <f t="shared" si="3"/>
        <v>-0.9843065937</v>
      </c>
      <c r="AF186" s="124">
        <f t="shared" si="4"/>
        <v>0.7804373507</v>
      </c>
      <c r="AG186" s="124">
        <f t="shared" si="5"/>
        <v>-1.201050735</v>
      </c>
      <c r="AH186" s="124">
        <f t="shared" si="6"/>
        <v>-0.8505756836</v>
      </c>
      <c r="AI186" s="124">
        <f t="shared" si="7"/>
        <v>-0.5680846688</v>
      </c>
      <c r="AJ186" s="124">
        <f t="shared" si="8"/>
        <v>-0.8225010109</v>
      </c>
      <c r="AK186" s="124">
        <f t="shared" si="9"/>
        <v>-0.6294299884</v>
      </c>
      <c r="AL186" s="124">
        <f t="shared" si="10"/>
        <v>0.2678986618</v>
      </c>
      <c r="AM186" s="124">
        <f t="shared" si="11"/>
        <v>0</v>
      </c>
      <c r="AN186" s="183">
        <f t="shared" si="12"/>
        <v>-1.201050735</v>
      </c>
      <c r="AO186" s="183">
        <f t="shared" si="13"/>
        <v>-2.185357329</v>
      </c>
      <c r="AP186" s="183">
        <f t="array" ref="AP186">INDIRECT("Update"&amp;Projections!$AG$17&amp;"!S"&amp;ROW(B167))</f>
        <v>9.775324675</v>
      </c>
      <c r="AQ186" s="183">
        <f t="array" ref="AQ186">INDIRECT("Update"&amp;Projections!$AG$17&amp;"!T"&amp;ROW(B167))</f>
        <v>0.9775324675</v>
      </c>
    </row>
    <row r="187">
      <c r="A187" s="40" t="str">
        <f>IF(UpdateHashtag!C185="",ROW(UpdateHashtag!C185),UpdateHashtag!C185)</f>
        <v>Jordan Clarkson</v>
      </c>
      <c r="B187" s="41">
        <f>IF(TYPE($A187)=1,"",(UpdateHashtag!M185-B$1)/B$2)</f>
        <v>-0.01598266664</v>
      </c>
      <c r="C187" s="41">
        <f>IF(TYPE($A187)=1,"",(UpdateHashtag!L185-C$1)/C$2)</f>
        <v>0.1501118522</v>
      </c>
      <c r="D187" s="41">
        <f>IF(TYPE($A187)=1,"",(UpdateHashtag!N185-D$1)/D$2)</f>
        <v>-1.051617107</v>
      </c>
      <c r="E187" s="41">
        <f>IF(TYPE($A187)=1,"",(UpdateHashtag!O185-E$1)/E$2)</f>
        <v>0.1665174168</v>
      </c>
      <c r="F187" s="41">
        <f>IF(TYPE($A187)=1,"",(UpdateHashtag!P185-F$1)/F$2)</f>
        <v>-1.574757169</v>
      </c>
      <c r="G187" s="41">
        <f>IF(TYPE($A187)=1,"",(UpdateHashtag!Q185-G$1)/G$2)</f>
        <v>-0.978628106</v>
      </c>
      <c r="H187" s="41">
        <f>IF(TYPE($A187)=1,"",(UpdateHashtag!I185-H$1)/H$2*I187/$I$1)</f>
        <v>-1.117305809</v>
      </c>
      <c r="I187" s="41">
        <f>UpdateHashtag!S185</f>
        <v>14.5</v>
      </c>
      <c r="J187" s="53">
        <f>IF(TYPE($A187)=1,"",(UpdateHashtag!K185-J$1)/J$2*K187/$K$1)</f>
        <v>0.6273276299</v>
      </c>
      <c r="K187" s="55">
        <f>UpdateHashtag!T185</f>
        <v>3.5</v>
      </c>
      <c r="L187" s="41">
        <f>IF(TYPE($A187)=1,"",-(UpdateHashtag!R185-L$1)/L$2)</f>
        <v>-0.8444618296</v>
      </c>
      <c r="N187" s="5">
        <v>167.0</v>
      </c>
      <c r="O187" s="170">
        <f t="array" ref="O187">INDIRECT("Update"&amp;Projections!$AG$17&amp;"!B"&amp;ROW(B168))</f>
        <v>133.6</v>
      </c>
      <c r="P187" s="172" t="str">
        <f t="array" ref="P187">INDIRECT("Update"&amp;Projections!$AG$17&amp;"!C"&amp;ROW(B168))</f>
        <v>Jaime Jaquez Jr.</v>
      </c>
      <c r="Q187" s="170">
        <f>UpdateHashtag!F225</f>
        <v>69</v>
      </c>
      <c r="R187" s="177" t="str">
        <f>IF(UpdateHashtag!D225="",ROW(UpdateHashtag!D225),UpdateHashtag!D225)</f>
        <v>SF,PF</v>
      </c>
      <c r="S187" s="124">
        <f t="shared" si="1"/>
        <v>-4.104837801</v>
      </c>
      <c r="T187" s="124">
        <f>SUM(AE187:AM187)-IFERROR(IFS(Projections!$I$17,AN187,Projections!$J$17,AO187),"")</f>
        <v>-4.187428308</v>
      </c>
      <c r="U187" s="124">
        <f t="shared" si="2"/>
        <v>-0.08259050669</v>
      </c>
      <c r="V187" s="124">
        <f t="array" ref="V187">INDIRECT("Update"&amp;Projections!$AG$17&amp;"!M"&amp;ROW(B168))</f>
        <v>10.93315068</v>
      </c>
      <c r="W187" s="124">
        <f t="array" ref="W187">INDIRECT("Update"&amp;Projections!$AG$17&amp;"!L"&amp;ROW(B168))</f>
        <v>0.8743835616</v>
      </c>
      <c r="X187" s="124">
        <f t="array" ref="X187">INDIRECT("Update"&amp;Projections!$AG$17&amp;"!N"&amp;ROW(B168))</f>
        <v>3.904246575</v>
      </c>
      <c r="Y187" s="124">
        <f t="array" ref="Y187">INDIRECT("Update"&amp;Projections!$AG$17&amp;"!O"&amp;ROW(B168))</f>
        <v>2.829178082</v>
      </c>
      <c r="Z187" s="124">
        <f t="array" ref="Z187">INDIRECT("Update"&amp;Projections!$AG$17&amp;"!P"&amp;ROW(B168))</f>
        <v>1.017123288</v>
      </c>
      <c r="AA187" s="124">
        <f t="array" ref="AA187">INDIRECT("Update"&amp;Projections!$AG$17&amp;"!Q"&amp;ROW(B168))</f>
        <v>0.2831506849</v>
      </c>
      <c r="AB187" s="180">
        <f t="array" ref="AB187">INDIRECT("Update"&amp;Projections!$AG$17&amp;"!I"&amp;ROW(B168))</f>
        <v>0.4849727217</v>
      </c>
      <c r="AC187" s="180">
        <f t="array" ref="AC187">INDIRECT("Update"&amp;Projections!$AG$17&amp;"!K"&amp;ROW(B168))</f>
        <v>0.7990055116</v>
      </c>
      <c r="AD187" s="124">
        <f t="array" ref="AD187">INDIRECT("Update"&amp;Projections!$AG$17&amp;"!R"&amp;ROW(B168))</f>
        <v>1.415616438</v>
      </c>
      <c r="AE187" s="124">
        <f t="shared" si="3"/>
        <v>-1.181668721</v>
      </c>
      <c r="AF187" s="124">
        <f t="shared" si="4"/>
        <v>-0.8672263631</v>
      </c>
      <c r="AG187" s="124">
        <f t="shared" si="5"/>
        <v>-0.8539993462</v>
      </c>
      <c r="AH187" s="124">
        <f t="shared" si="6"/>
        <v>-0.5014393097</v>
      </c>
      <c r="AI187" s="124">
        <f t="shared" si="7"/>
        <v>0.1360487239</v>
      </c>
      <c r="AJ187" s="124">
        <f t="shared" si="8"/>
        <v>-0.8303165679</v>
      </c>
      <c r="AK187" s="124">
        <f t="shared" si="9"/>
        <v>-0.1211631866</v>
      </c>
      <c r="AL187" s="124">
        <f t="shared" si="10"/>
        <v>0.03233646308</v>
      </c>
      <c r="AM187" s="124">
        <f t="shared" si="11"/>
        <v>0</v>
      </c>
      <c r="AN187" s="183">
        <f t="shared" si="12"/>
        <v>-1.181668721</v>
      </c>
      <c r="AO187" s="183">
        <f t="shared" si="13"/>
        <v>-2.048895085</v>
      </c>
      <c r="AP187" s="183">
        <f t="array" ref="AP187">INDIRECT("Update"&amp;Projections!$AG$17&amp;"!S"&amp;ROW(B168))</f>
        <v>8.486849315</v>
      </c>
      <c r="AQ187" s="183">
        <f t="array" ref="AQ187">INDIRECT("Update"&amp;Projections!$AG$17&amp;"!T"&amp;ROW(B168))</f>
        <v>2.286575342</v>
      </c>
    </row>
    <row r="188">
      <c r="A188" s="40" t="str">
        <f>IF(UpdateHashtag!C186="",ROW(UpdateHashtag!C186),UpdateHashtag!C186)</f>
        <v>Luke Kennard</v>
      </c>
      <c r="B188" s="41">
        <f>IF(TYPE($A188)=1,"",(UpdateHashtag!M186-B$1)/B$2)</f>
        <v>-1.205669882</v>
      </c>
      <c r="C188" s="41">
        <f>IF(TYPE($A188)=1,"",(UpdateHashtag!L186-C$1)/C$2)</f>
        <v>0.9436546835</v>
      </c>
      <c r="D188" s="41">
        <f>IF(TYPE($A188)=1,"",(UpdateHashtag!N186-D$1)/D$2)</f>
        <v>-1.208379905</v>
      </c>
      <c r="E188" s="41">
        <f>IF(TYPE($A188)=1,"",(UpdateHashtag!O186-E$1)/E$2)</f>
        <v>-0.6509317203</v>
      </c>
      <c r="F188" s="41">
        <f>IF(TYPE($A188)=1,"",(UpdateHashtag!P186-F$1)/F$2)</f>
        <v>-1.243925831</v>
      </c>
      <c r="G188" s="41">
        <f>IF(TYPE($A188)=1,"",(UpdateHashtag!Q186-G$1)/G$2)</f>
        <v>-1.156992888</v>
      </c>
      <c r="H188" s="41">
        <f>IF(TYPE($A188)=1,"",(UpdateHashtag!I186-H$1)/H$2*I188/$I$1)</f>
        <v>-0.2261178227</v>
      </c>
      <c r="I188" s="41">
        <f>UpdateHashtag!S186</f>
        <v>7.7</v>
      </c>
      <c r="J188" s="53">
        <f>IF(TYPE($A188)=1,"",(UpdateHashtag!K186-J$1)/J$2*K188/$K$1)</f>
        <v>0.3763122644</v>
      </c>
      <c r="K188" s="55">
        <f>UpdateHashtag!T186</f>
        <v>0.9</v>
      </c>
      <c r="L188" s="41">
        <f>IF(TYPE($A188)=1,"",-(UpdateHashtag!R186-L$1)/L$2)</f>
        <v>0.643430979</v>
      </c>
      <c r="N188" s="112">
        <v>168.0</v>
      </c>
      <c r="O188" s="170">
        <f t="array" ref="O188">INDIRECT("Update"&amp;Projections!$AG$17&amp;"!B"&amp;ROW(B169))</f>
        <v>140.3</v>
      </c>
      <c r="P188" s="172" t="str">
        <f t="array" ref="P188">INDIRECT("Update"&amp;Projections!$AG$17&amp;"!C"&amp;ROW(B169))</f>
        <v>Kelly Olynyk</v>
      </c>
      <c r="Q188" s="170">
        <f>UpdateHashtag!F236</f>
        <v>62</v>
      </c>
      <c r="R188" s="177" t="str">
        <f>IF(UpdateHashtag!D236="",ROW(UpdateHashtag!D236),UpdateHashtag!D236)</f>
        <v>PF,C</v>
      </c>
      <c r="S188" s="124">
        <f t="shared" si="1"/>
        <v>-4.450001416</v>
      </c>
      <c r="T188" s="124">
        <f>SUM(AE188:AM188)-IFERROR(IFS(Projections!$I$17,AN188,Projections!$J$17,AO188),"")</f>
        <v>-4.412473452</v>
      </c>
      <c r="U188" s="124">
        <f t="shared" si="2"/>
        <v>0.03752796306</v>
      </c>
      <c r="V188" s="124">
        <f t="array" ref="V188">INDIRECT("Update"&amp;Projections!$AG$17&amp;"!M"&amp;ROW(B169))</f>
        <v>8.761176471</v>
      </c>
      <c r="W188" s="124">
        <f t="array" ref="W188">INDIRECT("Update"&amp;Projections!$AG$17&amp;"!L"&amp;ROW(B169))</f>
        <v>0.5997058824</v>
      </c>
      <c r="X188" s="124">
        <f t="array" ref="X188">INDIRECT("Update"&amp;Projections!$AG$17&amp;"!N"&amp;ROW(B169))</f>
        <v>4.639705882</v>
      </c>
      <c r="Y188" s="124">
        <f t="array" ref="Y188">INDIRECT("Update"&amp;Projections!$AG$17&amp;"!O"&amp;ROW(B169))</f>
        <v>3.606764706</v>
      </c>
      <c r="Z188" s="124">
        <f t="array" ref="Z188">INDIRECT("Update"&amp;Projections!$AG$17&amp;"!P"&amp;ROW(B169))</f>
        <v>0.7070588235</v>
      </c>
      <c r="AA188" s="124">
        <f t="array" ref="AA188">INDIRECT("Update"&amp;Projections!$AG$17&amp;"!Q"&amp;ROW(B169))</f>
        <v>0.3589705882</v>
      </c>
      <c r="AB188" s="180">
        <f t="array" ref="AB188">INDIRECT("Update"&amp;Projections!$AG$17&amp;"!I"&amp;ROW(B169))</f>
        <v>0.5456924367</v>
      </c>
      <c r="AC188" s="180">
        <f t="array" ref="AC188">INDIRECT("Update"&amp;Projections!$AG$17&amp;"!K"&amp;ROW(B169))</f>
        <v>0.8299688927</v>
      </c>
      <c r="AD188" s="124">
        <f t="array" ref="AD188">INDIRECT("Update"&amp;Projections!$AG$17&amp;"!R"&amp;ROW(B169))</f>
        <v>1.9</v>
      </c>
      <c r="AE188" s="124">
        <f t="shared" si="3"/>
        <v>-1.57317932</v>
      </c>
      <c r="AF188" s="124">
        <f t="shared" si="4"/>
        <v>-1.139686992</v>
      </c>
      <c r="AG188" s="124">
        <f t="shared" si="5"/>
        <v>-0.5657676983</v>
      </c>
      <c r="AH188" s="124">
        <f t="shared" si="6"/>
        <v>-0.148307357</v>
      </c>
      <c r="AI188" s="124">
        <f t="shared" si="7"/>
        <v>-0.8897416925</v>
      </c>
      <c r="AJ188" s="124">
        <f t="shared" si="8"/>
        <v>-0.6950805623</v>
      </c>
      <c r="AK188" s="124">
        <f t="shared" si="9"/>
        <v>0.3261768227</v>
      </c>
      <c r="AL188" s="124">
        <f t="shared" si="10"/>
        <v>0.2731133469</v>
      </c>
      <c r="AM188" s="124">
        <f t="shared" si="11"/>
        <v>0</v>
      </c>
      <c r="AN188" s="183">
        <f t="shared" si="12"/>
        <v>-1.57317932</v>
      </c>
      <c r="AO188" s="183">
        <f t="shared" si="13"/>
        <v>-2.712866312</v>
      </c>
      <c r="AP188" s="183">
        <f t="array" ref="AP188">INDIRECT("Update"&amp;Projections!$AG$17&amp;"!S"&amp;ROW(B169))</f>
        <v>5.788382353</v>
      </c>
      <c r="AQ188" s="183">
        <f t="array" ref="AQ188">INDIRECT("Update"&amp;Projections!$AG$17&amp;"!T"&amp;ROW(B169))</f>
        <v>2.221911765</v>
      </c>
    </row>
    <row r="189">
      <c r="A189" s="40" t="str">
        <f>IF(UpdateHashtag!C187="",ROW(UpdateHashtag!C187),UpdateHashtag!C187)</f>
        <v>Andre Drummond</v>
      </c>
      <c r="B189" s="41">
        <f>IF(TYPE($A189)=1,"",(UpdateHashtag!M187-B$1)/B$2)</f>
        <v>-1.385925521</v>
      </c>
      <c r="C189" s="41">
        <f>IF(TYPE($A189)=1,"",(UpdateHashtag!L187-C$1)/C$2)</f>
        <v>-1.734552372</v>
      </c>
      <c r="D189" s="41">
        <f>IF(TYPE($A189)=1,"",(UpdateHashtag!N187-D$1)/D$2)</f>
        <v>1.770113267</v>
      </c>
      <c r="E189" s="41">
        <f>IF(TYPE($A189)=1,"",(UpdateHashtag!O187-E$1)/E$2)</f>
        <v>-1.513794698</v>
      </c>
      <c r="F189" s="41">
        <f>IF(TYPE($A189)=1,"",(UpdateHashtag!P187-F$1)/F$2)</f>
        <v>0.410230859</v>
      </c>
      <c r="G189" s="41">
        <f>IF(TYPE($A189)=1,"",(UpdateHashtag!Q187-G$1)/G$2)</f>
        <v>-0.08680419409</v>
      </c>
      <c r="H189" s="41">
        <f>IF(TYPE($A189)=1,"",(UpdateHashtag!I187-H$1)/H$2*I189/$I$1)</f>
        <v>0.6160080111</v>
      </c>
      <c r="I189" s="41">
        <f>UpdateHashtag!S187</f>
        <v>6.9</v>
      </c>
      <c r="J189" s="53">
        <f>IF(TYPE($A189)=1,"",(UpdateHashtag!K187-J$1)/J$2*K189/$K$1)</f>
        <v>-2.012774219</v>
      </c>
      <c r="K189" s="55">
        <f>UpdateHashtag!T187</f>
        <v>3</v>
      </c>
      <c r="L189" s="41">
        <f>IF(TYPE($A189)=1,"",-(UpdateHashtag!R187-L$1)/L$2)</f>
        <v>0.3458524173</v>
      </c>
      <c r="N189" s="112">
        <v>169.0</v>
      </c>
      <c r="O189" s="170" t="str">
        <f t="array" ref="O189">INDIRECT("Update"&amp;Projections!$AG$17&amp;"!B"&amp;ROW(B170))</f>
        <v/>
      </c>
      <c r="P189" s="172" t="str">
        <f t="array" ref="P189">INDIRECT("Update"&amp;Projections!$AG$17&amp;"!C"&amp;ROW(B170))</f>
        <v>Delon Wright</v>
      </c>
      <c r="Q189" s="170">
        <f>UpdateHashtag!F226</f>
        <v>67</v>
      </c>
      <c r="R189" s="177" t="str">
        <f>IF(UpdateHashtag!D226="",ROW(UpdateHashtag!D226),UpdateHashtag!D226)</f>
        <v>C</v>
      </c>
      <c r="S189" s="124">
        <f t="shared" si="1"/>
        <v>-3.835546995</v>
      </c>
      <c r="T189" s="124">
        <f>SUM(AE189:AM189)-IFERROR(IFS(Projections!$I$17,AN189,Projections!$J$17,AO189),"")</f>
        <v>-4.108069636</v>
      </c>
      <c r="U189" s="124">
        <f t="shared" si="2"/>
        <v>-0.2725226413</v>
      </c>
      <c r="V189" s="124">
        <f t="array" ref="V189">INDIRECT("Update"&amp;Projections!$AG$17&amp;"!M"&amp;ROW(B170))</f>
        <v>6.068382353</v>
      </c>
      <c r="W189" s="124">
        <f t="array" ref="W189">INDIRECT("Update"&amp;Projections!$AG$17&amp;"!L"&amp;ROW(B170))</f>
        <v>0.7470588235</v>
      </c>
      <c r="X189" s="124">
        <f t="array" ref="X189">INDIRECT("Update"&amp;Projections!$AG$17&amp;"!N"&amp;ROW(B170))</f>
        <v>3.031911765</v>
      </c>
      <c r="Y189" s="124">
        <f t="array" ref="Y189">INDIRECT("Update"&amp;Projections!$AG$17&amp;"!O"&amp;ROW(B170))</f>
        <v>2.988529412</v>
      </c>
      <c r="Z189" s="124">
        <f t="array" ref="Z189">INDIRECT("Update"&amp;Projections!$AG$17&amp;"!P"&amp;ROW(B170))</f>
        <v>1.455441176</v>
      </c>
      <c r="AA189" s="124">
        <f t="array" ref="AA189">INDIRECT("Update"&amp;Projections!$AG$17&amp;"!Q"&amp;ROW(B170))</f>
        <v>0.2998529412</v>
      </c>
      <c r="AB189" s="180">
        <f t="array" ref="AB189">INDIRECT("Update"&amp;Projections!$AG$17&amp;"!I"&amp;ROW(B170))</f>
        <v>0.4372374101</v>
      </c>
      <c r="AC189" s="180">
        <f t="array" ref="AC189">INDIRECT("Update"&amp;Projections!$AG$17&amp;"!K"&amp;ROW(B170))</f>
        <v>0.8339807222</v>
      </c>
      <c r="AD189" s="124">
        <f t="array" ref="AD189">INDIRECT("Update"&amp;Projections!$AG$17&amp;"!R"&amp;ROW(B170))</f>
        <v>0.6497058824</v>
      </c>
      <c r="AE189" s="124">
        <f t="shared" si="3"/>
        <v>-2.058570644</v>
      </c>
      <c r="AF189" s="124">
        <f t="shared" si="4"/>
        <v>-0.9935234046</v>
      </c>
      <c r="AG189" s="124">
        <f t="shared" si="5"/>
        <v>-1.195873461</v>
      </c>
      <c r="AH189" s="124">
        <f t="shared" si="6"/>
        <v>-0.4290717501</v>
      </c>
      <c r="AI189" s="124">
        <f t="shared" si="7"/>
        <v>1.586141657</v>
      </c>
      <c r="AJ189" s="124">
        <f t="shared" si="8"/>
        <v>-0.8005256248</v>
      </c>
      <c r="AK189" s="124">
        <f t="shared" si="9"/>
        <v>-0.3567008683</v>
      </c>
      <c r="AL189" s="124">
        <f t="shared" si="10"/>
        <v>0.1400544596</v>
      </c>
      <c r="AM189" s="124">
        <f t="shared" si="11"/>
        <v>0</v>
      </c>
      <c r="AN189" s="183">
        <f t="shared" si="12"/>
        <v>-2.058570644</v>
      </c>
      <c r="AO189" s="183">
        <f t="shared" si="13"/>
        <v>-3.254444105</v>
      </c>
      <c r="AP189" s="183">
        <f t="array" ref="AP189">INDIRECT("Update"&amp;Projections!$AG$17&amp;"!S"&amp;ROW(B170))</f>
        <v>5.110294118</v>
      </c>
      <c r="AQ189" s="183">
        <f t="array" ref="AQ189">INDIRECT("Update"&amp;Projections!$AG$17&amp;"!T"&amp;ROW(B170))</f>
        <v>1.022205882</v>
      </c>
    </row>
    <row r="190">
      <c r="A190" s="40" t="str">
        <f>IF(UpdateHashtag!C188="",ROW(UpdateHashtag!C188),UpdateHashtag!C188)</f>
        <v>Cole Anthony</v>
      </c>
      <c r="B190" s="41">
        <f>IF(TYPE($A190)=1,"",(UpdateHashtag!M188-B$1)/B$2)</f>
        <v>-1.079490935</v>
      </c>
      <c r="C190" s="41">
        <f>IF(TYPE($A190)=1,"",(UpdateHashtag!L188-C$1)/C$2)</f>
        <v>-0.4450452712</v>
      </c>
      <c r="D190" s="41">
        <f>IF(TYPE($A190)=1,"",(UpdateHashtag!N188-D$1)/D$2)</f>
        <v>-0.8556636087</v>
      </c>
      <c r="E190" s="41">
        <f>IF(TYPE($A190)=1,"",(UpdateHashtag!O188-E$1)/E$2)</f>
        <v>-0.3784486746</v>
      </c>
      <c r="F190" s="41">
        <f>IF(TYPE($A190)=1,"",(UpdateHashtag!P188-F$1)/F$2)</f>
        <v>-0.9130944927</v>
      </c>
      <c r="G190" s="41">
        <f>IF(TYPE($A190)=1,"",(UpdateHashtag!Q188-G$1)/G$2)</f>
        <v>-0.4435337589</v>
      </c>
      <c r="H190" s="41">
        <f>IF(TYPE($A190)=1,"",(UpdateHashtag!I188-H$1)/H$2*I190/$I$1)</f>
        <v>-0.5574102604</v>
      </c>
      <c r="I190" s="41">
        <f>UpdateHashtag!S188</f>
        <v>9</v>
      </c>
      <c r="J190" s="53">
        <f>IF(TYPE($A190)=1,"",(UpdateHashtag!K188-J$1)/J$2*K190/$K$1)</f>
        <v>0.548220481</v>
      </c>
      <c r="K190" s="55">
        <f>UpdateHashtag!T188</f>
        <v>2.6</v>
      </c>
      <c r="L190" s="41">
        <f>IF(TYPE($A190)=1,"",-(UpdateHashtag!R188-L$1)/L$2)</f>
        <v>0.3458524173</v>
      </c>
      <c r="N190" s="5">
        <v>170.0</v>
      </c>
      <c r="O190" s="170">
        <f t="array" ref="O190">INDIRECT("Update"&amp;Projections!$AG$17&amp;"!B"&amp;ROW(B171))</f>
        <v>144.2</v>
      </c>
      <c r="P190" s="172" t="str">
        <f t="array" ref="P190">INDIRECT("Update"&amp;Projections!$AG$17&amp;"!C"&amp;ROW(B171))</f>
        <v>Noah Clowney</v>
      </c>
      <c r="Q190" s="170">
        <f>UpdateHashtag!F227</f>
        <v>62</v>
      </c>
      <c r="R190" s="177" t="str">
        <f>IF(UpdateHashtag!D227="",ROW(UpdateHashtag!D227),UpdateHashtag!D227)</f>
        <v>SF,PF</v>
      </c>
      <c r="S190" s="124">
        <f t="shared" si="1"/>
        <v>-4.433466231</v>
      </c>
      <c r="T190" s="124">
        <f>SUM(AE190:AM190)-IFERROR(IFS(Projections!$I$17,AN190,Projections!$J$17,AO190),"")</f>
        <v>-4.609542605</v>
      </c>
      <c r="U190" s="124">
        <f t="shared" si="2"/>
        <v>-0.1760763744</v>
      </c>
      <c r="V190" s="124">
        <f t="array" ref="V190">INDIRECT("Update"&amp;Projections!$AG$17&amp;"!M"&amp;ROW(B171))</f>
        <v>10.57438356</v>
      </c>
      <c r="W190" s="124">
        <f t="array" ref="W190">INDIRECT("Update"&amp;Projections!$AG$17&amp;"!L"&amp;ROW(B171))</f>
        <v>0.8934246575</v>
      </c>
      <c r="X190" s="124">
        <f t="array" ref="X190">INDIRECT("Update"&amp;Projections!$AG$17&amp;"!N"&amp;ROW(B171))</f>
        <v>5.733835616</v>
      </c>
      <c r="Y190" s="124">
        <f t="array" ref="Y190">INDIRECT("Update"&amp;Projections!$AG$17&amp;"!O"&amp;ROW(B171))</f>
        <v>1.367671233</v>
      </c>
      <c r="Z190" s="124">
        <f t="array" ref="Z190">INDIRECT("Update"&amp;Projections!$AG$17&amp;"!P"&amp;ROW(B171))</f>
        <v>0.5936986301</v>
      </c>
      <c r="AA190" s="124">
        <f t="array" ref="AA190">INDIRECT("Update"&amp;Projections!$AG$17&amp;"!Q"&amp;ROW(B171))</f>
        <v>1.104657534</v>
      </c>
      <c r="AB190" s="180">
        <f t="array" ref="AB190">INDIRECT("Update"&amp;Projections!$AG$17&amp;"!I"&amp;ROW(B171))</f>
        <v>0.5183383369</v>
      </c>
      <c r="AC190" s="180">
        <f t="array" ref="AC190">INDIRECT("Update"&amp;Projections!$AG$17&amp;"!K"&amp;ROW(B171))</f>
        <v>0.7100154247</v>
      </c>
      <c r="AD190" s="124">
        <f t="array" ref="AD190">INDIRECT("Update"&amp;Projections!$AG$17&amp;"!R"&amp;ROW(B171))</f>
        <v>1.038630137</v>
      </c>
      <c r="AE190" s="124">
        <f t="shared" si="3"/>
        <v>-1.246338518</v>
      </c>
      <c r="AF190" s="124">
        <f t="shared" si="4"/>
        <v>-0.8483389567</v>
      </c>
      <c r="AG190" s="124">
        <f t="shared" si="5"/>
        <v>-0.1369706006</v>
      </c>
      <c r="AH190" s="124">
        <f t="shared" si="6"/>
        <v>-1.165165706</v>
      </c>
      <c r="AI190" s="124">
        <f t="shared" si="7"/>
        <v>-1.264772737</v>
      </c>
      <c r="AJ190" s="124">
        <f t="shared" si="8"/>
        <v>0.6349623358</v>
      </c>
      <c r="AK190" s="124">
        <f t="shared" si="9"/>
        <v>0.185825857</v>
      </c>
      <c r="AL190" s="124">
        <f t="shared" si="10"/>
        <v>-0.7687442803</v>
      </c>
      <c r="AM190" s="124">
        <f t="shared" si="11"/>
        <v>0</v>
      </c>
      <c r="AN190" s="183">
        <f t="shared" si="12"/>
        <v>-1.264772737</v>
      </c>
      <c r="AO190" s="183">
        <f t="shared" si="13"/>
        <v>-2.511111255</v>
      </c>
      <c r="AP190" s="183">
        <f t="array" ref="AP190">INDIRECT("Update"&amp;Projections!$AG$17&amp;"!S"&amp;ROW(B171))</f>
        <v>7.574520548</v>
      </c>
      <c r="AQ190" s="183">
        <f t="array" ref="AQ190">INDIRECT("Update"&amp;Projections!$AG$17&amp;"!T"&amp;ROW(B171))</f>
        <v>2.575479452</v>
      </c>
    </row>
    <row r="191">
      <c r="A191" s="40" t="str">
        <f>IF(UpdateHashtag!C189="",ROW(UpdateHashtag!C189),UpdateHashtag!C189)</f>
        <v>Reed Sheppard</v>
      </c>
      <c r="B191" s="41">
        <f>IF(TYPE($A191)=1,"",(UpdateHashtag!M189-B$1)/B$2)</f>
        <v>-1.944718001</v>
      </c>
      <c r="C191" s="41">
        <f>IF(TYPE($A191)=1,"",(UpdateHashtag!L189-C$1)/C$2)</f>
        <v>-0.4450452712</v>
      </c>
      <c r="D191" s="41">
        <f>IF(TYPE($A191)=1,"",(UpdateHashtag!N189-D$1)/D$2)</f>
        <v>-1.404333404</v>
      </c>
      <c r="E191" s="41">
        <f>IF(TYPE($A191)=1,"",(UpdateHashtag!O189-E$1)/E$2)</f>
        <v>-0.6963455612</v>
      </c>
      <c r="F191" s="41">
        <f>IF(TYPE($A191)=1,"",(UpdateHashtag!P189-F$1)/F$2)</f>
        <v>1.071893535</v>
      </c>
      <c r="G191" s="41">
        <f>IF(TYPE($A191)=1,"",(UpdateHashtag!Q189-G$1)/G$2)</f>
        <v>-0.6218985413</v>
      </c>
      <c r="H191" s="41">
        <f>IF(TYPE($A191)=1,"",(UpdateHashtag!I189-H$1)/H$2*I191/$I$1)</f>
        <v>-0.1409565648</v>
      </c>
      <c r="I191" s="41">
        <f>UpdateHashtag!S189</f>
        <v>4.8</v>
      </c>
      <c r="J191" s="53">
        <f>IF(TYPE($A191)=1,"",(UpdateHashtag!K189-J$1)/J$2*K191/$K$1)</f>
        <v>0.1405927745</v>
      </c>
      <c r="K191" s="55">
        <f>UpdateHashtag!T189</f>
        <v>1</v>
      </c>
      <c r="L191" s="41">
        <f>IF(TYPE($A191)=1,"",-(UpdateHashtag!R189-L$1)/L$2)</f>
        <v>0.643430979</v>
      </c>
      <c r="N191" s="112">
        <v>171.0</v>
      </c>
      <c r="O191" s="170">
        <f t="array" ref="O191">INDIRECT("Update"&amp;Projections!$AG$17&amp;"!B"&amp;ROW(B172))</f>
        <v>138.9</v>
      </c>
      <c r="P191" s="172" t="str">
        <f t="array" ref="P191">INDIRECT("Update"&amp;Projections!$AG$17&amp;"!C"&amp;ROW(B172))</f>
        <v>Jordan Clarkson</v>
      </c>
      <c r="Q191" s="170">
        <f>UpdateHashtag!F217</f>
        <v>64</v>
      </c>
      <c r="R191" s="177" t="str">
        <f>IF(UpdateHashtag!D217="",ROW(UpdateHashtag!D217),UpdateHashtag!D217)</f>
        <v>PF,C</v>
      </c>
      <c r="S191" s="124">
        <f t="shared" si="1"/>
        <v>-4.433225255</v>
      </c>
      <c r="T191" s="124">
        <f>SUM(AE191:AM191)-IFERROR(IFS(Projections!$I$17,AN191,Projections!$J$17,AO191),"")</f>
        <v>-4.340880188</v>
      </c>
      <c r="U191" s="124">
        <f t="shared" si="2"/>
        <v>0.09234506664</v>
      </c>
      <c r="V191" s="124">
        <f t="array" ref="V191">INDIRECT("Update"&amp;Projections!$AG$17&amp;"!M"&amp;ROW(B172))</f>
        <v>15.37947368</v>
      </c>
      <c r="W191" s="124">
        <f t="array" ref="W191">INDIRECT("Update"&amp;Projections!$AG$17&amp;"!L"&amp;ROW(B172))</f>
        <v>1.58245614</v>
      </c>
      <c r="X191" s="124">
        <f t="array" ref="X191">INDIRECT("Update"&amp;Projections!$AG$17&amp;"!N"&amp;ROW(B172))</f>
        <v>3.181578947</v>
      </c>
      <c r="Y191" s="124">
        <f t="array" ref="Y191">INDIRECT("Update"&amp;Projections!$AG$17&amp;"!O"&amp;ROW(B172))</f>
        <v>4.302982456</v>
      </c>
      <c r="Z191" s="124">
        <f t="array" ref="Z191">INDIRECT("Update"&amp;Projections!$AG$17&amp;"!P"&amp;ROW(B172))</f>
        <v>0.5243859649</v>
      </c>
      <c r="AA191" s="124">
        <f t="array" ref="AA191">INDIRECT("Update"&amp;Projections!$AG$17&amp;"!Q"&amp;ROW(B172))</f>
        <v>0.05929824561</v>
      </c>
      <c r="AB191" s="180">
        <f t="array" ref="AB191">INDIRECT("Update"&amp;Projections!$AG$17&amp;"!I"&amp;ROW(B172))</f>
        <v>0.4368494386</v>
      </c>
      <c r="AC191" s="180">
        <f t="array" ref="AC191">INDIRECT("Update"&amp;Projections!$AG$17&amp;"!K"&amp;ROW(B172))</f>
        <v>0.8720156788</v>
      </c>
      <c r="AD191" s="124">
        <f t="array" ref="AD191">INDIRECT("Update"&amp;Projections!$AG$17&amp;"!R"&amp;ROW(B172))</f>
        <v>2.121052632</v>
      </c>
      <c r="AE191" s="124">
        <f t="shared" si="3"/>
        <v>-0.380193929</v>
      </c>
      <c r="AF191" s="124">
        <f t="shared" si="4"/>
        <v>-0.1648689649</v>
      </c>
      <c r="AG191" s="124">
        <f t="shared" si="5"/>
        <v>-1.137217846</v>
      </c>
      <c r="AH191" s="124">
        <f t="shared" si="6"/>
        <v>0.1678718646</v>
      </c>
      <c r="AI191" s="124">
        <f t="shared" si="7"/>
        <v>-1.494080755</v>
      </c>
      <c r="AJ191" s="124">
        <f t="shared" si="8"/>
        <v>-1.229590484</v>
      </c>
      <c r="AK191" s="124">
        <f t="shared" si="9"/>
        <v>-0.9022540758</v>
      </c>
      <c r="AL191" s="124">
        <f t="shared" si="10"/>
        <v>0.7994540014</v>
      </c>
      <c r="AM191" s="124">
        <f t="shared" si="11"/>
        <v>0</v>
      </c>
      <c r="AN191" s="183">
        <f t="shared" si="12"/>
        <v>-1.494080755</v>
      </c>
      <c r="AO191" s="183">
        <f t="shared" si="13"/>
        <v>-2.723671239</v>
      </c>
      <c r="AP191" s="183">
        <f t="array" ref="AP191">INDIRECT("Update"&amp;Projections!$AG$17&amp;"!S"&amp;ROW(B172))</f>
        <v>12.84315789</v>
      </c>
      <c r="AQ191" s="183">
        <f t="array" ref="AQ191">INDIRECT("Update"&amp;Projections!$AG$17&amp;"!T"&amp;ROW(B172))</f>
        <v>2.954035088</v>
      </c>
    </row>
    <row r="192">
      <c r="A192" s="40" t="str">
        <f>IF(UpdateHashtag!C190="",ROW(UpdateHashtag!C190),UpdateHashtag!C190)</f>
        <v>Andrew Wiggins</v>
      </c>
      <c r="B192" s="41">
        <f>IF(TYPE($A192)=1,"",(UpdateHashtag!M190-B$1)/B$2)</f>
        <v>-0.5206984551</v>
      </c>
      <c r="C192" s="41">
        <f>IF(TYPE($A192)=1,"",(UpdateHashtag!L190-C$1)/C$2)</f>
        <v>-0.04827385557</v>
      </c>
      <c r="D192" s="41">
        <f>IF(TYPE($A192)=1,"",(UpdateHashtag!N190-D$1)/D$2)</f>
        <v>-0.5421380116</v>
      </c>
      <c r="E192" s="41">
        <f>IF(TYPE($A192)=1,"",(UpdateHashtag!O190-E$1)/E$2)</f>
        <v>-0.9234147659</v>
      </c>
      <c r="F192" s="41">
        <f>IF(TYPE($A192)=1,"",(UpdateHashtag!P190-F$1)/F$2)</f>
        <v>-0.5822631548</v>
      </c>
      <c r="G192" s="41">
        <f>IF(TYPE($A192)=1,"",(UpdateHashtag!Q190-G$1)/G$2)</f>
        <v>-0.2651689765</v>
      </c>
      <c r="H192" s="41">
        <f>IF(TYPE($A192)=1,"",(UpdateHashtag!I190-H$1)/H$2*I192/$I$1)</f>
        <v>-0.5101448046</v>
      </c>
      <c r="I192" s="41">
        <f>UpdateHashtag!S190</f>
        <v>12.1</v>
      </c>
      <c r="J192" s="53">
        <f>IF(TYPE($A192)=1,"",(UpdateHashtag!K190-J$1)/J$2*K192/$K$1)</f>
        <v>-0.7080648399</v>
      </c>
      <c r="K192" s="55">
        <f>UpdateHashtag!T190</f>
        <v>2.4</v>
      </c>
      <c r="L192" s="41">
        <f>IF(TYPE($A192)=1,"",-(UpdateHashtag!R190-L$1)/L$2)</f>
        <v>0.4450452712</v>
      </c>
      <c r="N192" s="112">
        <v>172.0</v>
      </c>
      <c r="O192" s="170">
        <f t="array" ref="O192">INDIRECT("Update"&amp;Projections!$AG$17&amp;"!B"&amp;ROW(B173))</f>
        <v>136.5</v>
      </c>
      <c r="P192" s="172" t="str">
        <f t="array" ref="P192">INDIRECT("Update"&amp;Projections!$AG$17&amp;"!C"&amp;ROW(B173))</f>
        <v>Rui Hachimura</v>
      </c>
      <c r="Q192" s="170">
        <f>UpdateHashtag!F232</f>
        <v>64</v>
      </c>
      <c r="R192" s="177" t="str">
        <f>IF(UpdateHashtag!D232="",ROW(UpdateHashtag!D232),UpdateHashtag!D232)</f>
        <v>SG</v>
      </c>
      <c r="S192" s="124">
        <f t="shared" si="1"/>
        <v>-4.407505505</v>
      </c>
      <c r="T192" s="124">
        <f>SUM(AE192:AM192)-IFERROR(IFS(Projections!$I$17,AN192,Projections!$J$17,AO192),"")</f>
        <v>-4.666638909</v>
      </c>
      <c r="U192" s="124">
        <f t="shared" si="2"/>
        <v>-0.2591334045</v>
      </c>
      <c r="V192" s="124">
        <f t="array" ref="V192">INDIRECT("Update"&amp;Projections!$AG$17&amp;"!M"&amp;ROW(B173))</f>
        <v>14.13136986</v>
      </c>
      <c r="W192" s="124">
        <f t="array" ref="W192">INDIRECT("Update"&amp;Projections!$AG$17&amp;"!L"&amp;ROW(B173))</f>
        <v>1.405890411</v>
      </c>
      <c r="X192" s="124">
        <f t="array" ref="X192">INDIRECT("Update"&amp;Projections!$AG$17&amp;"!N"&amp;ROW(B173))</f>
        <v>5.227534247</v>
      </c>
      <c r="Y192" s="124">
        <f t="array" ref="Y192">INDIRECT("Update"&amp;Projections!$AG$17&amp;"!O"&amp;ROW(B173))</f>
        <v>1.255342466</v>
      </c>
      <c r="Z192" s="124">
        <f t="array" ref="Z192">INDIRECT("Update"&amp;Projections!$AG$17&amp;"!P"&amp;ROW(B173))</f>
        <v>0.5068493151</v>
      </c>
      <c r="AA192" s="124">
        <f t="array" ref="AA192">INDIRECT("Update"&amp;Projections!$AG$17&amp;"!Q"&amp;ROW(B173))</f>
        <v>0.4480821918</v>
      </c>
      <c r="AB192" s="180">
        <f t="array" ref="AB192">INDIRECT("Update"&amp;Projections!$AG$17&amp;"!I"&amp;ROW(B173))</f>
        <v>0.5170341683</v>
      </c>
      <c r="AC192" s="180">
        <f t="array" ref="AC192">INDIRECT("Update"&amp;Projections!$AG$17&amp;"!K"&amp;ROW(B173))</f>
        <v>0.7439741329</v>
      </c>
      <c r="AD192" s="124">
        <f t="array" ref="AD192">INDIRECT("Update"&amp;Projections!$AG$17&amp;"!R"&amp;ROW(B173))</f>
        <v>0.7036986301</v>
      </c>
      <c r="AE192" s="124">
        <f t="shared" si="3"/>
        <v>-0.6051716803</v>
      </c>
      <c r="AF192" s="124">
        <f t="shared" si="4"/>
        <v>-0.3400095505</v>
      </c>
      <c r="AG192" s="124">
        <f t="shared" si="5"/>
        <v>-0.3353936494</v>
      </c>
      <c r="AH192" s="124">
        <f t="shared" si="6"/>
        <v>-1.216178513</v>
      </c>
      <c r="AI192" s="124">
        <f t="shared" si="7"/>
        <v>-1.552097488</v>
      </c>
      <c r="AJ192" s="124">
        <f t="shared" si="8"/>
        <v>-0.5361368445</v>
      </c>
      <c r="AK192" s="124">
        <f t="shared" si="9"/>
        <v>0.252372678</v>
      </c>
      <c r="AL192" s="124">
        <f t="shared" si="10"/>
        <v>-0.3340238618</v>
      </c>
      <c r="AM192" s="124">
        <f t="shared" si="11"/>
        <v>0</v>
      </c>
      <c r="AN192" s="183">
        <f t="shared" si="12"/>
        <v>-1.552097488</v>
      </c>
      <c r="AO192" s="183">
        <f t="shared" si="13"/>
        <v>-2.768276001</v>
      </c>
      <c r="AP192" s="183">
        <f t="array" ref="AP192">INDIRECT("Update"&amp;Projections!$AG$17&amp;"!S"&amp;ROW(B173))</f>
        <v>10.96506849</v>
      </c>
      <c r="AQ192" s="183">
        <f t="array" ref="AQ192">INDIRECT("Update"&amp;Projections!$AG$17&amp;"!T"&amp;ROW(B173))</f>
        <v>1.864109589</v>
      </c>
    </row>
    <row r="193">
      <c r="A193" s="40" t="str">
        <f>IF(UpdateHashtag!C191="",ROW(UpdateHashtag!C191),UpdateHashtag!C191)</f>
        <v>Jarred Vanderbilt</v>
      </c>
      <c r="B193" s="41">
        <f>IF(TYPE($A193)=1,"",(UpdateHashtag!M191-B$1)/B$2)</f>
        <v>-1.782487926</v>
      </c>
      <c r="C193" s="41">
        <f>IF(TYPE($A193)=1,"",(UpdateHashtag!L191-C$1)/C$2)</f>
        <v>-1.337780956</v>
      </c>
      <c r="D193" s="41">
        <f>IF(TYPE($A193)=1,"",(UpdateHashtag!N191-D$1)/D$2)</f>
        <v>0.3984387796</v>
      </c>
      <c r="E193" s="41">
        <f>IF(TYPE($A193)=1,"",(UpdateHashtag!O191-E$1)/E$2)</f>
        <v>-0.7871732431</v>
      </c>
      <c r="F193" s="41">
        <f>IF(TYPE($A193)=1,"",(UpdateHashtag!P191-F$1)/F$2)</f>
        <v>0.741062197</v>
      </c>
      <c r="G193" s="41">
        <f>IF(TYPE($A193)=1,"",(UpdateHashtag!Q191-G$1)/G$2)</f>
        <v>-0.8002633236</v>
      </c>
      <c r="H193" s="41">
        <f>IF(TYPE($A193)=1,"",(UpdateHashtag!I191-H$1)/H$2*I193/$I$1)</f>
        <v>0.2915099876</v>
      </c>
      <c r="I193" s="41">
        <f>UpdateHashtag!S191</f>
        <v>5.6</v>
      </c>
      <c r="J193" s="53">
        <f>IF(TYPE($A193)=1,"",(UpdateHashtag!K191-J$1)/J$2*K193/$K$1)</f>
        <v>-0.638906685</v>
      </c>
      <c r="K193" s="55">
        <f>UpdateHashtag!T191</f>
        <v>1.7</v>
      </c>
      <c r="L193" s="41">
        <f>IF(TYPE($A193)=1,"",-(UpdateHashtag!R191-L$1)/L$2)</f>
        <v>0.5442381251</v>
      </c>
      <c r="N193" s="5">
        <v>173.0</v>
      </c>
      <c r="O193" s="170">
        <f t="array" ref="O193">INDIRECT("Update"&amp;Projections!$AG$17&amp;"!B"&amp;ROW(B174))</f>
        <v>143.3</v>
      </c>
      <c r="P193" s="172" t="str">
        <f t="array" ref="P193">INDIRECT("Update"&amp;Projections!$AG$17&amp;"!C"&amp;ROW(B174))</f>
        <v>Keldon Johnson</v>
      </c>
      <c r="Q193" s="170">
        <f>UpdateHashtag!F233</f>
        <v>60</v>
      </c>
      <c r="R193" s="177" t="str">
        <f>IF(UpdateHashtag!D233="",ROW(UpdateHashtag!D233),UpdateHashtag!D233)</f>
        <v>PF,C</v>
      </c>
      <c r="S193" s="124">
        <f t="shared" si="1"/>
        <v>-4.330695704</v>
      </c>
      <c r="T193" s="124">
        <f>SUM(AE193:AM193)-IFERROR(IFS(Projections!$I$17,AN193,Projections!$J$17,AO193),"")</f>
        <v>-4.443213918</v>
      </c>
      <c r="U193" s="124">
        <f t="shared" si="2"/>
        <v>-0.1125182135</v>
      </c>
      <c r="V193" s="124">
        <f t="array" ref="V193">INDIRECT("Update"&amp;Projections!$AG$17&amp;"!M"&amp;ROW(B174))</f>
        <v>13.09657534</v>
      </c>
      <c r="W193" s="124">
        <f t="array" ref="W193">INDIRECT("Update"&amp;Projections!$AG$17&amp;"!L"&amp;ROW(B174))</f>
        <v>1.703561644</v>
      </c>
      <c r="X193" s="124">
        <f t="array" ref="X193">INDIRECT("Update"&amp;Projections!$AG$17&amp;"!N"&amp;ROW(B174))</f>
        <v>4.781232877</v>
      </c>
      <c r="Y193" s="124">
        <f t="array" ref="Y193">INDIRECT("Update"&amp;Projections!$AG$17&amp;"!O"&amp;ROW(B174))</f>
        <v>2.240958904</v>
      </c>
      <c r="Z193" s="124">
        <f t="array" ref="Z193">INDIRECT("Update"&amp;Projections!$AG$17&amp;"!P"&amp;ROW(B174))</f>
        <v>0.6178082192</v>
      </c>
      <c r="AA193" s="124">
        <f t="array" ref="AA193">INDIRECT("Update"&amp;Projections!$AG$17&amp;"!Q"&amp;ROW(B174))</f>
        <v>0.2815068493</v>
      </c>
      <c r="AB193" s="180">
        <f t="array" ref="AB193">INDIRECT("Update"&amp;Projections!$AG$17&amp;"!I"&amp;ROW(B174))</f>
        <v>0.4582896047</v>
      </c>
      <c r="AC193" s="180">
        <f t="array" ref="AC193">INDIRECT("Update"&amp;Projections!$AG$17&amp;"!K"&amp;ROW(B174))</f>
        <v>0.8119907183</v>
      </c>
      <c r="AD193" s="124">
        <f t="array" ref="AD193">INDIRECT("Update"&amp;Projections!$AG$17&amp;"!R"&amp;ROW(B174))</f>
        <v>1.294931507</v>
      </c>
      <c r="AE193" s="124">
        <f t="shared" si="3"/>
        <v>-0.7916992275</v>
      </c>
      <c r="AF193" s="124">
        <f t="shared" si="4"/>
        <v>-0.04474095924</v>
      </c>
      <c r="AG193" s="124">
        <f t="shared" si="5"/>
        <v>-0.5103022788</v>
      </c>
      <c r="AH193" s="124">
        <f t="shared" si="6"/>
        <v>-0.7685722316</v>
      </c>
      <c r="AI193" s="124">
        <f t="shared" si="7"/>
        <v>-1.185010661</v>
      </c>
      <c r="AJ193" s="124">
        <f t="shared" si="8"/>
        <v>-0.8332485916</v>
      </c>
      <c r="AK193" s="124">
        <f t="shared" si="9"/>
        <v>-0.4613396139</v>
      </c>
      <c r="AL193" s="124">
        <f t="shared" si="10"/>
        <v>0.1516996455</v>
      </c>
      <c r="AM193" s="124">
        <f t="shared" si="11"/>
        <v>0</v>
      </c>
      <c r="AN193" s="183">
        <f t="shared" si="12"/>
        <v>-1.185010661</v>
      </c>
      <c r="AO193" s="183">
        <f t="shared" si="13"/>
        <v>-2.018259252</v>
      </c>
      <c r="AP193" s="183">
        <f t="array" ref="AP193">INDIRECT("Update"&amp;Projections!$AG$17&amp;"!S"&amp;ROW(B174))</f>
        <v>10.18109589</v>
      </c>
      <c r="AQ193" s="183">
        <f t="array" ref="AQ193">INDIRECT("Update"&amp;Projections!$AG$17&amp;"!T"&amp;ROW(B174))</f>
        <v>2.538493151</v>
      </c>
    </row>
    <row r="194">
      <c r="A194" s="40" t="str">
        <f>IF(UpdateHashtag!C192="",ROW(UpdateHashtag!C192),UpdateHashtag!C192)</f>
        <v>Caleb Martin</v>
      </c>
      <c r="B194" s="41">
        <f>IF(TYPE($A194)=1,"",(UpdateHashtag!M192-B$1)/B$2)</f>
        <v>-1.259746574</v>
      </c>
      <c r="C194" s="41">
        <f>IF(TYPE($A194)=1,"",(UpdateHashtag!L192-C$1)/C$2)</f>
        <v>-0.4450452712</v>
      </c>
      <c r="D194" s="41">
        <f>IF(TYPE($A194)=1,"",(UpdateHashtag!N192-D$1)/D$2)</f>
        <v>-0.4637566123</v>
      </c>
      <c r="E194" s="41">
        <f>IF(TYPE($A194)=1,"",(UpdateHashtag!O192-E$1)/E$2)</f>
        <v>-0.832587084</v>
      </c>
      <c r="F194" s="41">
        <f>IF(TYPE($A194)=1,"",(UpdateHashtag!P192-F$1)/F$2)</f>
        <v>-0.2514318168</v>
      </c>
      <c r="G194" s="41">
        <f>IF(TYPE($A194)=1,"",(UpdateHashtag!Q192-G$1)/G$2)</f>
        <v>-0.4435337589</v>
      </c>
      <c r="H194" s="41">
        <f>IF(TYPE($A194)=1,"",(UpdateHashtag!I192-H$1)/H$2*I194/$I$1)</f>
        <v>-0.5143159018</v>
      </c>
      <c r="I194" s="41">
        <f>UpdateHashtag!S192</f>
        <v>8.8</v>
      </c>
      <c r="J194" s="53">
        <f>IF(TYPE($A194)=1,"",(UpdateHashtag!K192-J$1)/J$2*K194/$K$1)</f>
        <v>0.00609165095</v>
      </c>
      <c r="K194" s="55">
        <f>UpdateHashtag!T192</f>
        <v>1.7</v>
      </c>
      <c r="L194" s="41">
        <f>IF(TYPE($A194)=1,"",-(UpdateHashtag!R192-L$1)/L$2)</f>
        <v>0.5442381251</v>
      </c>
      <c r="N194" s="112">
        <v>174.0</v>
      </c>
      <c r="O194" s="170">
        <f t="array" ref="O194">INDIRECT("Update"&amp;Projections!$AG$17&amp;"!B"&amp;ROW(B175))</f>
        <v>144.6</v>
      </c>
      <c r="P194" s="172" t="str">
        <f t="array" ref="P194">INDIRECT("Update"&amp;Projections!$AG$17&amp;"!C"&amp;ROW(B175))</f>
        <v>Bilal Coulibaly</v>
      </c>
      <c r="Q194" s="170">
        <f>UpdateHashtag!F231</f>
        <v>74</v>
      </c>
      <c r="R194" s="177" t="str">
        <f>IF(UpdateHashtag!D231="",ROW(UpdateHashtag!D231),UpdateHashtag!D231)</f>
        <v>SG</v>
      </c>
      <c r="S194" s="124">
        <f t="shared" si="1"/>
        <v>-4.215371941</v>
      </c>
      <c r="T194" s="124">
        <f>SUM(AE194:AM194)-IFERROR(IFS(Projections!$I$17,AN194,Projections!$J$17,AO194),"")</f>
        <v>-4.31589869</v>
      </c>
      <c r="U194" s="124">
        <f t="shared" si="2"/>
        <v>-0.1005267487</v>
      </c>
      <c r="V194" s="124">
        <f t="array" ref="V194">INDIRECT("Update"&amp;Projections!$AG$17&amp;"!M"&amp;ROW(B175))</f>
        <v>9.973287671</v>
      </c>
      <c r="W194" s="124">
        <f t="array" ref="W194">INDIRECT("Update"&amp;Projections!$AG$17&amp;"!L"&amp;ROW(B175))</f>
        <v>1.186027397</v>
      </c>
      <c r="X194" s="124">
        <f t="array" ref="X194">INDIRECT("Update"&amp;Projections!$AG$17&amp;"!N"&amp;ROW(B175))</f>
        <v>4.097123288</v>
      </c>
      <c r="Y194" s="124">
        <f t="array" ref="Y194">INDIRECT("Update"&amp;Projections!$AG$17&amp;"!O"&amp;ROW(B175))</f>
        <v>2.149315068</v>
      </c>
      <c r="Z194" s="124">
        <f t="array" ref="Z194">INDIRECT("Update"&amp;Projections!$AG$17&amp;"!P"&amp;ROW(B175))</f>
        <v>1.141780822</v>
      </c>
      <c r="AA194" s="124">
        <f t="array" ref="AA194">INDIRECT("Update"&amp;Projections!$AG$17&amp;"!Q"&amp;ROW(B175))</f>
        <v>0.7387671233</v>
      </c>
      <c r="AB194" s="180">
        <f t="array" ref="AB194">INDIRECT("Update"&amp;Projections!$AG$17&amp;"!I"&amp;ROW(B175))</f>
        <v>0.4276560668</v>
      </c>
      <c r="AC194" s="180">
        <f t="array" ref="AC194">INDIRECT("Update"&amp;Projections!$AG$17&amp;"!K"&amp;ROW(B175))</f>
        <v>0.7199854159</v>
      </c>
      <c r="AD194" s="124">
        <f t="array" ref="AD194">INDIRECT("Update"&amp;Projections!$AG$17&amp;"!R"&amp;ROW(B175))</f>
        <v>1.343287671</v>
      </c>
      <c r="AE194" s="124">
        <f t="shared" si="3"/>
        <v>-1.354689441</v>
      </c>
      <c r="AF194" s="124">
        <f t="shared" si="4"/>
        <v>-0.5580979488</v>
      </c>
      <c r="AG194" s="124">
        <f t="shared" si="5"/>
        <v>-0.778409613</v>
      </c>
      <c r="AH194" s="124">
        <f t="shared" si="6"/>
        <v>-0.8101912175</v>
      </c>
      <c r="AI194" s="124">
        <f t="shared" si="7"/>
        <v>0.5484549115</v>
      </c>
      <c r="AJ194" s="124">
        <f t="shared" si="8"/>
        <v>-0.01765729898</v>
      </c>
      <c r="AK194" s="124">
        <f t="shared" si="9"/>
        <v>-0.6524064777</v>
      </c>
      <c r="AL194" s="124">
        <f t="shared" si="10"/>
        <v>-0.6929016042</v>
      </c>
      <c r="AM194" s="124">
        <f t="shared" si="11"/>
        <v>0</v>
      </c>
      <c r="AN194" s="183">
        <f t="shared" si="12"/>
        <v>-1.354689441</v>
      </c>
      <c r="AO194" s="183">
        <f t="shared" si="13"/>
        <v>-2.164880659</v>
      </c>
      <c r="AP194" s="183">
        <f t="array" ref="AP194">INDIRECT("Update"&amp;Projections!$AG$17&amp;"!S"&amp;ROW(B175))</f>
        <v>8.059863014</v>
      </c>
      <c r="AQ194" s="183">
        <f t="array" ref="AQ194">INDIRECT("Update"&amp;Projections!$AG$17&amp;"!T"&amp;ROW(B175))</f>
        <v>2.63</v>
      </c>
    </row>
    <row r="195">
      <c r="A195" s="40" t="str">
        <f>IF(UpdateHashtag!C193="",ROW(UpdateHashtag!C193),UpdateHashtag!C193)</f>
        <v>Russell Westbrook</v>
      </c>
      <c r="B195" s="41">
        <f>IF(TYPE($A195)=1,"",(UpdateHashtag!M193-B$1)/B$2)</f>
        <v>-0.4846473274</v>
      </c>
      <c r="C195" s="41">
        <f>IF(TYPE($A195)=1,"",(UpdateHashtag!L193-C$1)/C$2)</f>
        <v>-0.7426238329</v>
      </c>
      <c r="D195" s="41">
        <f>IF(TYPE($A195)=1,"",(UpdateHashtag!N193-D$1)/D$2)</f>
        <v>-0.071849616</v>
      </c>
      <c r="E195" s="41">
        <f>IF(TYPE($A195)=1,"",(UpdateHashtag!O193-E$1)/E$2)</f>
        <v>0.6660696672</v>
      </c>
      <c r="F195" s="41">
        <f>IF(TYPE($A195)=1,"",(UpdateHashtag!P193-F$1)/F$2)</f>
        <v>0.741062197</v>
      </c>
      <c r="G195" s="41">
        <f>IF(TYPE($A195)=1,"",(UpdateHashtag!Q193-G$1)/G$2)</f>
        <v>-0.6218985413</v>
      </c>
      <c r="H195" s="41">
        <f>IF(TYPE($A195)=1,"",(UpdateHashtag!I193-H$1)/H$2*I195/$I$1)</f>
        <v>-0.7927612592</v>
      </c>
      <c r="I195" s="41">
        <f>UpdateHashtag!S193</f>
        <v>12.8</v>
      </c>
      <c r="J195" s="53">
        <f>IF(TYPE($A195)=1,"",(UpdateHashtag!K193-J$1)/J$2*K195/$K$1)</f>
        <v>-1.650528258</v>
      </c>
      <c r="K195" s="55">
        <f>UpdateHashtag!T193</f>
        <v>3.7</v>
      </c>
      <c r="L195" s="41">
        <f>IF(TYPE($A195)=1,"",-(UpdateHashtag!R193-L$1)/L$2)</f>
        <v>-1.340426099</v>
      </c>
      <c r="N195" s="112">
        <v>175.0</v>
      </c>
      <c r="O195" s="170">
        <f t="array" ref="O195">INDIRECT("Update"&amp;Projections!$AG$17&amp;"!B"&amp;ROW(B176))</f>
        <v>140.9</v>
      </c>
      <c r="P195" s="172" t="str">
        <f t="array" ref="P195">INDIRECT("Update"&amp;Projections!$AG$17&amp;"!C"&amp;ROW(B176))</f>
        <v>Reed Sheppard</v>
      </c>
      <c r="Q195" s="170">
        <f>UpdateHashtag!F234</f>
        <v>77</v>
      </c>
      <c r="R195" s="177" t="str">
        <f>IF(UpdateHashtag!D234="",ROW(UpdateHashtag!D234),UpdateHashtag!D234)</f>
        <v>PF,C</v>
      </c>
      <c r="S195" s="124">
        <f t="shared" si="1"/>
        <v>-4.368631898</v>
      </c>
      <c r="T195" s="124">
        <f>SUM(AE195:AM195)-IFERROR(IFS(Projections!$I$17,AN195,Projections!$J$17,AO195),"")</f>
        <v>-4.416131234</v>
      </c>
      <c r="U195" s="124">
        <f t="shared" si="2"/>
        <v>-0.04749933594</v>
      </c>
      <c r="V195" s="124">
        <f t="array" ref="V195">INDIRECT("Update"&amp;Projections!$AG$17&amp;"!M"&amp;ROW(B176))</f>
        <v>8.668630137</v>
      </c>
      <c r="W195" s="124">
        <f t="array" ref="W195">INDIRECT("Update"&amp;Projections!$AG$17&amp;"!L"&amp;ROW(B176))</f>
        <v>1.620684932</v>
      </c>
      <c r="X195" s="124">
        <f t="array" ref="X195">INDIRECT("Update"&amp;Projections!$AG$17&amp;"!N"&amp;ROW(B176))</f>
        <v>2.230410959</v>
      </c>
      <c r="Y195" s="124">
        <f t="array" ref="Y195">INDIRECT("Update"&amp;Projections!$AG$17&amp;"!O"&amp;ROW(B176))</f>
        <v>2.819589041</v>
      </c>
      <c r="Z195" s="124">
        <f t="array" ref="Z195">INDIRECT("Update"&amp;Projections!$AG$17&amp;"!P"&amp;ROW(B176))</f>
        <v>1.13630137</v>
      </c>
      <c r="AA195" s="124">
        <f t="array" ref="AA195">INDIRECT("Update"&amp;Projections!$AG$17&amp;"!Q"&amp;ROW(B176))</f>
        <v>0.3787671233</v>
      </c>
      <c r="AB195" s="180">
        <f t="array" ref="AB195">INDIRECT("Update"&amp;Projections!$AG$17&amp;"!I"&amp;ROW(B176))</f>
        <v>0.4223179775</v>
      </c>
      <c r="AC195" s="180">
        <f t="array" ref="AC195">INDIRECT("Update"&amp;Projections!$AG$17&amp;"!K"&amp;ROW(B176))</f>
        <v>0.8220230474</v>
      </c>
      <c r="AD195" s="124">
        <f t="array" ref="AD195">INDIRECT("Update"&amp;Projections!$AG$17&amp;"!R"&amp;ROW(B176))</f>
        <v>1.557123288</v>
      </c>
      <c r="AE195" s="124">
        <f t="shared" si="3"/>
        <v>-1.589861318</v>
      </c>
      <c r="AF195" s="124">
        <f t="shared" si="4"/>
        <v>-0.1269487351</v>
      </c>
      <c r="AG195" s="124">
        <f t="shared" si="5"/>
        <v>-1.509987235</v>
      </c>
      <c r="AH195" s="124">
        <f t="shared" si="6"/>
        <v>-0.5057940615</v>
      </c>
      <c r="AI195" s="124">
        <f t="shared" si="7"/>
        <v>0.5303271671</v>
      </c>
      <c r="AJ195" s="124">
        <f t="shared" si="8"/>
        <v>-0.6597705156</v>
      </c>
      <c r="AK195" s="124">
        <f t="shared" si="9"/>
        <v>-0.6455736025</v>
      </c>
      <c r="AL195" s="124">
        <f t="shared" si="10"/>
        <v>0.09147706665</v>
      </c>
      <c r="AM195" s="124">
        <f t="shared" si="11"/>
        <v>0</v>
      </c>
      <c r="AN195" s="183">
        <f t="shared" si="12"/>
        <v>-1.589861318</v>
      </c>
      <c r="AO195" s="183">
        <f t="shared" si="13"/>
        <v>-3.099848553</v>
      </c>
      <c r="AP195" s="183">
        <f t="array" ref="AP195">INDIRECT("Update"&amp;Projections!$AG$17&amp;"!S"&amp;ROW(B176))</f>
        <v>7.407260274</v>
      </c>
      <c r="AQ195" s="183">
        <f t="array" ref="AQ195">INDIRECT("Update"&amp;Projections!$AG$17&amp;"!T"&amp;ROW(B176))</f>
        <v>0.9628767123</v>
      </c>
    </row>
    <row r="196">
      <c r="A196" s="40" t="str">
        <f>IF(UpdateHashtag!C194="",ROW(UpdateHashtag!C194),UpdateHashtag!C194)</f>
        <v>Malcolm Brogdon</v>
      </c>
      <c r="B196" s="41">
        <f>IF(TYPE($A196)=1,"",(UpdateHashtag!M194-B$1)/B$2)</f>
        <v>-0.971337552</v>
      </c>
      <c r="C196" s="41">
        <f>IF(TYPE($A196)=1,"",(UpdateHashtag!L194-C$1)/C$2)</f>
        <v>-0.1474667095</v>
      </c>
      <c r="D196" s="41">
        <f>IF(TYPE($A196)=1,"",(UpdateHashtag!N194-D$1)/D$2)</f>
        <v>-1.129998506</v>
      </c>
      <c r="E196" s="41">
        <f>IF(TYPE($A196)=1,"",(UpdateHashtag!O194-E$1)/E$2)</f>
        <v>-0.1967933108</v>
      </c>
      <c r="F196" s="41">
        <f>IF(TYPE($A196)=1,"",(UpdateHashtag!P194-F$1)/F$2)</f>
        <v>-1.574757169</v>
      </c>
      <c r="G196" s="41">
        <f>IF(TYPE($A196)=1,"",(UpdateHashtag!Q194-G$1)/G$2)</f>
        <v>-0.978628106</v>
      </c>
      <c r="H196" s="41">
        <f>IF(TYPE($A196)=1,"",(UpdateHashtag!I194-H$1)/H$2*I196/$I$1)</f>
        <v>-0.3343732648</v>
      </c>
      <c r="I196" s="41">
        <f>UpdateHashtag!S194</f>
        <v>9.2</v>
      </c>
      <c r="J196" s="53">
        <f>IF(TYPE($A196)=1,"",(UpdateHashtag!K194-J$1)/J$2*K196/$K$1)</f>
        <v>0.4364840046</v>
      </c>
      <c r="K196" s="55">
        <f>UpdateHashtag!T194</f>
        <v>2.3</v>
      </c>
      <c r="L196" s="41">
        <f>IF(TYPE($A196)=1,"",-(UpdateHashtag!R194-L$1)/L$2)</f>
        <v>0.5442381251</v>
      </c>
      <c r="N196" s="5">
        <v>176.0</v>
      </c>
      <c r="O196" s="170">
        <f t="array" ref="O196">INDIRECT("Update"&amp;Projections!$AG$17&amp;"!B"&amp;ROW(B177))</f>
        <v>144</v>
      </c>
      <c r="P196" s="172" t="str">
        <f t="array" ref="P196">INDIRECT("Update"&amp;Projections!$AG$17&amp;"!C"&amp;ROW(B177))</f>
        <v>Tre Mann</v>
      </c>
      <c r="Q196" s="170">
        <f>UpdateHashtag!F240</f>
        <v>62</v>
      </c>
      <c r="R196" s="177" t="str">
        <f>IF(UpdateHashtag!D240="",ROW(UpdateHashtag!D240),UpdateHashtag!D240)</f>
        <v>PF,C</v>
      </c>
      <c r="S196" s="124">
        <f t="shared" si="1"/>
        <v>-4.375659386</v>
      </c>
      <c r="T196" s="124">
        <f>SUM(AE196:AM196)-IFERROR(IFS(Projections!$I$17,AN196,Projections!$J$17,AO196),"")</f>
        <v>-4.490029212</v>
      </c>
      <c r="U196" s="124">
        <f t="shared" si="2"/>
        <v>-0.1143698262</v>
      </c>
      <c r="V196" s="124">
        <f t="array" ref="V196">INDIRECT("Update"&amp;Projections!$AG$17&amp;"!M"&amp;ROW(B177))</f>
        <v>10.61028169</v>
      </c>
      <c r="W196" s="124">
        <f t="array" ref="W196">INDIRECT("Update"&amp;Projections!$AG$17&amp;"!L"&amp;ROW(B177))</f>
        <v>1.353943662</v>
      </c>
      <c r="X196" s="124">
        <f t="array" ref="X196">INDIRECT("Update"&amp;Projections!$AG$17&amp;"!N"&amp;ROW(B177))</f>
        <v>3.192957746</v>
      </c>
      <c r="Y196" s="124">
        <f t="array" ref="Y196">INDIRECT("Update"&amp;Projections!$AG$17&amp;"!O"&amp;ROW(B177))</f>
        <v>3.45056338</v>
      </c>
      <c r="Z196" s="124">
        <f t="array" ref="Z196">INDIRECT("Update"&amp;Projections!$AG$17&amp;"!P"&amp;ROW(B177))</f>
        <v>1.03</v>
      </c>
      <c r="AA196" s="124">
        <f t="array" ref="AA196">INDIRECT("Update"&amp;Projections!$AG$17&amp;"!Q"&amp;ROW(B177))</f>
        <v>0.1043661972</v>
      </c>
      <c r="AB196" s="180">
        <f t="array" ref="AB196">INDIRECT("Update"&amp;Projections!$AG$17&amp;"!I"&amp;ROW(B177))</f>
        <v>0.4500104564</v>
      </c>
      <c r="AC196" s="180">
        <f t="array" ref="AC196">INDIRECT("Update"&amp;Projections!$AG$17&amp;"!K"&amp;ROW(B177))</f>
        <v>0.786036036</v>
      </c>
      <c r="AD196" s="124">
        <f t="array" ref="AD196">INDIRECT("Update"&amp;Projections!$AG$17&amp;"!R"&amp;ROW(B177))</f>
        <v>1.287464789</v>
      </c>
      <c r="AE196" s="124">
        <f t="shared" si="3"/>
        <v>-1.239867677</v>
      </c>
      <c r="AF196" s="124">
        <f t="shared" si="4"/>
        <v>-0.3915370133</v>
      </c>
      <c r="AG196" s="124">
        <f t="shared" si="5"/>
        <v>-1.132758415</v>
      </c>
      <c r="AH196" s="124">
        <f t="shared" si="6"/>
        <v>-0.2192443788</v>
      </c>
      <c r="AI196" s="124">
        <f t="shared" si="7"/>
        <v>0.1786489225</v>
      </c>
      <c r="AJ196" s="124">
        <f t="shared" si="8"/>
        <v>-1.14920513</v>
      </c>
      <c r="AK196" s="124">
        <f t="shared" si="9"/>
        <v>-0.4810483039</v>
      </c>
      <c r="AL196" s="124">
        <f t="shared" si="10"/>
        <v>-0.05501721627</v>
      </c>
      <c r="AM196" s="124">
        <f t="shared" si="11"/>
        <v>0</v>
      </c>
      <c r="AN196" s="183">
        <f t="shared" si="12"/>
        <v>-1.239867677</v>
      </c>
      <c r="AO196" s="183">
        <f t="shared" si="13"/>
        <v>-2.389072808</v>
      </c>
      <c r="AP196" s="183">
        <f t="array" ref="AP196">INDIRECT("Update"&amp;Projections!$AG$17&amp;"!S"&amp;ROW(B177))</f>
        <v>8.755352113</v>
      </c>
      <c r="AQ196" s="183">
        <f t="array" ref="AQ196">INDIRECT("Update"&amp;Projections!$AG$17&amp;"!T"&amp;ROW(B177))</f>
        <v>1.750985915</v>
      </c>
    </row>
    <row r="197">
      <c r="A197" s="40" t="str">
        <f>IF(UpdateHashtag!C195="",ROW(UpdateHashtag!C195),UpdateHashtag!C195)</f>
        <v>Caris LeVert</v>
      </c>
      <c r="B197" s="41">
        <f>IF(TYPE($A197)=1,"",(UpdateHashtag!M195-B$1)/B$2)</f>
        <v>-0.9533119881</v>
      </c>
      <c r="C197" s="41">
        <f>IF(TYPE($A197)=1,"",(UpdateHashtag!L195-C$1)/C$2)</f>
        <v>-0.1474667095</v>
      </c>
      <c r="D197" s="41">
        <f>IF(TYPE($A197)=1,"",(UpdateHashtag!N195-D$1)/D$2)</f>
        <v>-0.9340450079</v>
      </c>
      <c r="E197" s="41">
        <f>IF(TYPE($A197)=1,"",(UpdateHashtag!O195-E$1)/E$2)</f>
        <v>0.1211035759</v>
      </c>
      <c r="F197" s="41">
        <f>IF(TYPE($A197)=1,"",(UpdateHashtag!P195-F$1)/F$2)</f>
        <v>0.0793995211</v>
      </c>
      <c r="G197" s="41">
        <f>IF(TYPE($A197)=1,"",(UpdateHashtag!Q195-G$1)/G$2)</f>
        <v>-0.6218985413</v>
      </c>
      <c r="H197" s="41">
        <f>IF(TYPE($A197)=1,"",(UpdateHashtag!I195-H$1)/H$2*I197/$I$1)</f>
        <v>-0.8535752203</v>
      </c>
      <c r="I197" s="41">
        <f>UpdateHashtag!S195</f>
        <v>10.3</v>
      </c>
      <c r="J197" s="53">
        <f>IF(TYPE($A197)=1,"",(UpdateHashtag!K195-J$1)/J$2*K197/$K$1)</f>
        <v>-0.4301745438</v>
      </c>
      <c r="K197" s="55">
        <f>UpdateHashtag!T195</f>
        <v>2.5</v>
      </c>
      <c r="L197" s="41">
        <f>IF(TYPE($A197)=1,"",-(UpdateHashtag!R195-L$1)/L$2)</f>
        <v>0.2466595634</v>
      </c>
      <c r="N197" s="112">
        <v>177.0</v>
      </c>
      <c r="O197" s="170">
        <f t="array" ref="O197">INDIRECT("Update"&amp;Projections!$AG$17&amp;"!B"&amp;ROW(B178))</f>
        <v>103.5</v>
      </c>
      <c r="P197" s="172" t="str">
        <f t="array" ref="P197">INDIRECT("Update"&amp;Projections!$AG$17&amp;"!C"&amp;ROW(B178))</f>
        <v>Zach Edey</v>
      </c>
      <c r="Q197" s="170">
        <f>UpdateHashtag!F228</f>
        <v>64</v>
      </c>
      <c r="R197" s="177" t="str">
        <f>IF(UpdateHashtag!D228="",ROW(UpdateHashtag!D228),UpdateHashtag!D228)</f>
        <v>C</v>
      </c>
      <c r="S197" s="124">
        <f t="shared" si="1"/>
        <v>-4.939189596</v>
      </c>
      <c r="T197" s="124">
        <f>SUM(AE197:AM197)-IFERROR(IFS(Projections!$I$17,AN197,Projections!$J$17,AO197),"")</f>
        <v>-4.980724172</v>
      </c>
      <c r="U197" s="124">
        <f t="shared" si="2"/>
        <v>-0.04153457627</v>
      </c>
      <c r="V197" s="124">
        <f t="array" ref="V197">INDIRECT("Update"&amp;Projections!$AG$17&amp;"!M"&amp;ROW(B178))</f>
        <v>11.82176471</v>
      </c>
      <c r="W197" s="124">
        <f t="array" ref="W197">INDIRECT("Update"&amp;Projections!$AG$17&amp;"!L"&amp;ROW(B178))</f>
        <v>0.05029411765</v>
      </c>
      <c r="X197" s="124">
        <f t="array" ref="X197">INDIRECT("Update"&amp;Projections!$AG$17&amp;"!N"&amp;ROW(B178))</f>
        <v>8.145882353</v>
      </c>
      <c r="Y197" s="124">
        <f t="array" ref="Y197">INDIRECT("Update"&amp;Projections!$AG$17&amp;"!O"&amp;ROW(B178))</f>
        <v>0.9583823529</v>
      </c>
      <c r="Z197" s="124">
        <f t="array" ref="Z197">INDIRECT("Update"&amp;Projections!$AG$17&amp;"!P"&amp;ROW(B178))</f>
        <v>0.2875</v>
      </c>
      <c r="AA197" s="124">
        <f t="array" ref="AA197">INDIRECT("Update"&amp;Projections!$AG$17&amp;"!Q"&amp;ROW(B178))</f>
        <v>1.245882353</v>
      </c>
      <c r="AB197" s="180">
        <f t="array" ref="AB197">INDIRECT("Update"&amp;Projections!$AG$17&amp;"!I"&amp;ROW(B178))</f>
        <v>0.5588993529</v>
      </c>
      <c r="AC197" s="180">
        <f t="array" ref="AC197">INDIRECT("Update"&amp;Projections!$AG$17&amp;"!K"&amp;ROW(B178))</f>
        <v>0.7150122764</v>
      </c>
      <c r="AD197" s="124">
        <f t="array" ref="AD197">INDIRECT("Update"&amp;Projections!$AG$17&amp;"!R"&amp;ROW(B178))</f>
        <v>1.581176471</v>
      </c>
      <c r="AE197" s="124">
        <f t="shared" si="3"/>
        <v>-1.021491032</v>
      </c>
      <c r="AF197" s="124">
        <f t="shared" si="4"/>
        <v>-1.684664201</v>
      </c>
      <c r="AG197" s="124">
        <f t="shared" si="5"/>
        <v>0.8083273911</v>
      </c>
      <c r="AH197" s="124">
        <f t="shared" si="6"/>
        <v>-1.351039507</v>
      </c>
      <c r="AI197" s="124">
        <f t="shared" si="7"/>
        <v>-2.277773762</v>
      </c>
      <c r="AJ197" s="124">
        <f t="shared" si="8"/>
        <v>0.8868576769</v>
      </c>
      <c r="AK197" s="124">
        <f t="shared" si="9"/>
        <v>0.6013370244</v>
      </c>
      <c r="AL197" s="124">
        <f t="shared" si="10"/>
        <v>-0.942277763</v>
      </c>
      <c r="AM197" s="124">
        <f t="shared" si="11"/>
        <v>0</v>
      </c>
      <c r="AN197" s="183">
        <f t="shared" si="12"/>
        <v>-2.277773762</v>
      </c>
      <c r="AO197" s="183">
        <f t="shared" si="13"/>
        <v>-3.962437963</v>
      </c>
      <c r="AP197" s="183">
        <f t="array" ref="AP197">INDIRECT("Update"&amp;Projections!$AG$17&amp;"!S"&amp;ROW(B178))</f>
        <v>8.385441176</v>
      </c>
      <c r="AQ197" s="183">
        <f t="array" ref="AQ197">INDIRECT("Update"&amp;Projections!$AG$17&amp;"!T"&amp;ROW(B178))</f>
        <v>3.354117647</v>
      </c>
    </row>
    <row r="198">
      <c r="A198" s="40" t="str">
        <f>IF(UpdateHashtag!C196="",ROW(UpdateHashtag!C196),UpdateHashtag!C196)</f>
        <v>Duncan Robinson</v>
      </c>
      <c r="B198" s="41">
        <f>IF(TYPE($A198)=1,"",(UpdateHashtag!M196-B$1)/B$2)</f>
        <v>-0.8992352965</v>
      </c>
      <c r="C198" s="41">
        <f>IF(TYPE($A198)=1,"",(UpdateHashtag!L196-C$1)/C$2)</f>
        <v>0.8444618296</v>
      </c>
      <c r="D198" s="41">
        <f>IF(TYPE($A198)=1,"",(UpdateHashtag!N196-D$1)/D$2)</f>
        <v>-1.404333404</v>
      </c>
      <c r="E198" s="41">
        <f>IF(TYPE($A198)=1,"",(UpdateHashtag!O196-E$1)/E$2)</f>
        <v>-0.6509317203</v>
      </c>
      <c r="F198" s="41">
        <f>IF(TYPE($A198)=1,"",(UpdateHashtag!P196-F$1)/F$2)</f>
        <v>-1.243925831</v>
      </c>
      <c r="G198" s="41">
        <f>IF(TYPE($A198)=1,"",(UpdateHashtag!Q196-G$1)/G$2)</f>
        <v>-0.978628106</v>
      </c>
      <c r="H198" s="41">
        <f>IF(TYPE($A198)=1,"",(UpdateHashtag!I196-H$1)/H$2*I198/$I$1)</f>
        <v>-0.5727608906</v>
      </c>
      <c r="I198" s="41">
        <f>UpdateHashtag!S196</f>
        <v>9.8</v>
      </c>
      <c r="J198" s="53">
        <f>IF(TYPE($A198)=1,"",(UpdateHashtag!K196-J$1)/J$2*K198/$K$1)</f>
        <v>0.4293876177</v>
      </c>
      <c r="K198" s="55">
        <f>UpdateHashtag!T196</f>
        <v>1.3</v>
      </c>
      <c r="L198" s="41">
        <f>IF(TYPE($A198)=1,"",-(UpdateHashtag!R196-L$1)/L$2)</f>
        <v>0.4450452712</v>
      </c>
      <c r="N198" s="112">
        <v>178.0</v>
      </c>
      <c r="O198" s="170">
        <f t="array" ref="O198">INDIRECT("Update"&amp;Projections!$AG$17&amp;"!B"&amp;ROW(B179))</f>
        <v>139</v>
      </c>
      <c r="P198" s="172" t="str">
        <f t="array" ref="P198">INDIRECT("Update"&amp;Projections!$AG$17&amp;"!C"&amp;ROW(B179))</f>
        <v>Zaccharie Risacher</v>
      </c>
      <c r="Q198" s="170">
        <f>UpdateHashtag!F230</f>
        <v>62</v>
      </c>
      <c r="R198" s="177" t="str">
        <f>IF(UpdateHashtag!D230="",ROW(UpdateHashtag!D230),UpdateHashtag!D230)</f>
        <v>PG,SG</v>
      </c>
      <c r="S198" s="124">
        <f t="shared" si="1"/>
        <v>-4.507869855</v>
      </c>
      <c r="T198" s="124">
        <f>SUM(AE198:AM198)-IFERROR(IFS(Projections!$I$17,AN198,Projections!$J$17,AO198),"")</f>
        <v>-4.414528926</v>
      </c>
      <c r="U198" s="124">
        <f t="shared" si="2"/>
        <v>0.09334092842</v>
      </c>
      <c r="V198" s="124">
        <f t="array" ref="V198">INDIRECT("Update"&amp;Projections!$AG$17&amp;"!M"&amp;ROW(B179))</f>
        <v>12.11739726</v>
      </c>
      <c r="W198" s="124">
        <f t="array" ref="W198">INDIRECT("Update"&amp;Projections!$AG$17&amp;"!L"&amp;ROW(B179))</f>
        <v>1.839863014</v>
      </c>
      <c r="X198" s="124">
        <f t="array" ref="X198">INDIRECT("Update"&amp;Projections!$AG$17&amp;"!N"&amp;ROW(B179))</f>
        <v>5.062465753</v>
      </c>
      <c r="Y198" s="124">
        <f t="array" ref="Y198">INDIRECT("Update"&amp;Projections!$AG$17&amp;"!O"&amp;ROW(B179))</f>
        <v>1.624931507</v>
      </c>
      <c r="Z198" s="124">
        <f t="array" ref="Z198">INDIRECT("Update"&amp;Projections!$AG$17&amp;"!P"&amp;ROW(B179))</f>
        <v>0.9375342466</v>
      </c>
      <c r="AA198" s="124">
        <f t="array" ref="AA198">INDIRECT("Update"&amp;Projections!$AG$17&amp;"!Q"&amp;ROW(B179))</f>
        <v>0.4375342466</v>
      </c>
      <c r="AB198" s="180">
        <f t="array" ref="AB198">INDIRECT("Update"&amp;Projections!$AG$17&amp;"!I"&amp;ROW(B179))</f>
        <v>0.4216554538</v>
      </c>
      <c r="AC198" s="180">
        <f t="array" ref="AC198">INDIRECT("Update"&amp;Projections!$AG$17&amp;"!K"&amp;ROW(B179))</f>
        <v>0.7150337838</v>
      </c>
      <c r="AD198" s="124">
        <f t="array" ref="AD198">INDIRECT("Update"&amp;Projections!$AG$17&amp;"!R"&amp;ROW(B179))</f>
        <v>2.125068493</v>
      </c>
      <c r="AE198" s="124">
        <f t="shared" si="3"/>
        <v>-0.9682015978</v>
      </c>
      <c r="AF198" s="124">
        <f t="shared" si="4"/>
        <v>0.09046025958</v>
      </c>
      <c r="AG198" s="124">
        <f t="shared" si="5"/>
        <v>-0.4000851471</v>
      </c>
      <c r="AH198" s="124">
        <f t="shared" si="6"/>
        <v>-1.048333934</v>
      </c>
      <c r="AI198" s="124">
        <f t="shared" si="7"/>
        <v>-0.1272567666</v>
      </c>
      <c r="AJ198" s="124">
        <f t="shared" si="8"/>
        <v>-0.554950664</v>
      </c>
      <c r="AK198" s="124">
        <f t="shared" si="9"/>
        <v>-0.950635598</v>
      </c>
      <c r="AL198" s="124">
        <f t="shared" si="10"/>
        <v>-0.4555254787</v>
      </c>
      <c r="AM198" s="124">
        <f t="shared" si="11"/>
        <v>0</v>
      </c>
      <c r="AN198" s="183">
        <f t="shared" si="12"/>
        <v>-1.048333934</v>
      </c>
      <c r="AO198" s="183">
        <f t="shared" si="13"/>
        <v>-2.016535532</v>
      </c>
      <c r="AP198" s="183">
        <f t="array" ref="AP198">INDIRECT("Update"&amp;Projections!$AG$17&amp;"!S"&amp;ROW(B179))</f>
        <v>10.81191781</v>
      </c>
      <c r="AQ198" s="183">
        <f t="array" ref="AQ198">INDIRECT("Update"&amp;Projections!$AG$17&amp;"!T"&amp;ROW(B179))</f>
        <v>1.621917808</v>
      </c>
    </row>
    <row r="199">
      <c r="A199" s="40" t="str">
        <f>IF(UpdateHashtag!C197="",ROW(UpdateHashtag!C197),UpdateHashtag!C197)</f>
        <v>Nikola Jovic</v>
      </c>
      <c r="B199" s="41">
        <f>IF(TYPE($A199)=1,"",(UpdateHashtag!M197-B$1)/B$2)</f>
        <v>-1.277772138</v>
      </c>
      <c r="C199" s="41">
        <f>IF(TYPE($A199)=1,"",(UpdateHashtag!L197-C$1)/C$2)</f>
        <v>0.05091899834</v>
      </c>
      <c r="D199" s="41">
        <f>IF(TYPE($A199)=1,"",(UpdateHashtag!N197-D$1)/D$2)</f>
        <v>-0.3069938138</v>
      </c>
      <c r="E199" s="41">
        <f>IF(TYPE($A199)=1,"",(UpdateHashtag!O197-E$1)/E$2)</f>
        <v>-0.6963455612</v>
      </c>
      <c r="F199" s="41">
        <f>IF(TYPE($A199)=1,"",(UpdateHashtag!P197-F$1)/F$2)</f>
        <v>-0.5822631548</v>
      </c>
      <c r="G199" s="41">
        <f>IF(TYPE($A199)=1,"",(UpdateHashtag!Q197-G$1)/G$2)</f>
        <v>-0.6218985413</v>
      </c>
      <c r="H199" s="41">
        <f>IF(TYPE($A199)=1,"",(UpdateHashtag!I197-H$1)/H$2*I199/$I$1)</f>
        <v>-0.5300201331</v>
      </c>
      <c r="I199" s="41">
        <f>UpdateHashtag!S197</f>
        <v>8.4</v>
      </c>
      <c r="J199" s="53">
        <f>IF(TYPE($A199)=1,"",(UpdateHashtag!K197-J$1)/J$2*K199/$K$1)</f>
        <v>-0.1628936974</v>
      </c>
      <c r="K199" s="55">
        <f>UpdateHashtag!T197</f>
        <v>1.6</v>
      </c>
      <c r="L199" s="41">
        <f>IF(TYPE($A199)=1,"",-(UpdateHashtag!R197-L$1)/L$2)</f>
        <v>0.5442381251</v>
      </c>
      <c r="N199" s="5">
        <v>179.0</v>
      </c>
      <c r="O199" s="170" t="str">
        <f t="array" ref="O199">INDIRECT("Update"&amp;Projections!$AG$17&amp;"!B"&amp;ROW(B180))</f>
        <v/>
      </c>
      <c r="P199" s="172" t="str">
        <f t="array" ref="P199">INDIRECT("Update"&amp;Projections!$AG$17&amp;"!C"&amp;ROW(B180))</f>
        <v>Brandon Clarke</v>
      </c>
      <c r="Q199" s="170">
        <f>UpdateHashtag!F239</f>
        <v>68</v>
      </c>
      <c r="R199" s="177" t="str">
        <f>IF(UpdateHashtag!D239="",ROW(UpdateHashtag!D239),UpdateHashtag!D239)</f>
        <v>PG</v>
      </c>
      <c r="S199" s="124">
        <f t="shared" si="1"/>
        <v>-4.814792646</v>
      </c>
      <c r="T199" s="124">
        <f>SUM(AE199:AM199)-IFERROR(IFS(Projections!$I$17,AN199,Projections!$J$17,AO199),"")</f>
        <v>-5.044428965</v>
      </c>
      <c r="U199" s="124">
        <f t="shared" si="2"/>
        <v>-0.2296363192</v>
      </c>
      <c r="V199" s="124">
        <f t="array" ref="V199">INDIRECT("Update"&amp;Projections!$AG$17&amp;"!M"&amp;ROW(B180))</f>
        <v>8.978529412</v>
      </c>
      <c r="W199" s="124">
        <f t="array" ref="W199">INDIRECT("Update"&amp;Projections!$AG$17&amp;"!L"&amp;ROW(B180))</f>
        <v>0.06470588235</v>
      </c>
      <c r="X199" s="124">
        <f t="array" ref="X199">INDIRECT("Update"&amp;Projections!$AG$17&amp;"!N"&amp;ROW(B180))</f>
        <v>5.3375</v>
      </c>
      <c r="Y199" s="124">
        <f t="array" ref="Y199">INDIRECT("Update"&amp;Projections!$AG$17&amp;"!O"&amp;ROW(B180))</f>
        <v>1.428529412</v>
      </c>
      <c r="Z199" s="124">
        <f t="array" ref="Z199">INDIRECT("Update"&amp;Projections!$AG$17&amp;"!P"&amp;ROW(B180))</f>
        <v>0.7139705882</v>
      </c>
      <c r="AA199" s="124">
        <f t="array" ref="AA199">INDIRECT("Update"&amp;Projections!$AG$17&amp;"!Q"&amp;ROW(B180))</f>
        <v>0.8311764706</v>
      </c>
      <c r="AB199" s="180">
        <f t="array" ref="AB199">INDIRECT("Update"&amp;Projections!$AG$17&amp;"!I"&amp;ROW(B180))</f>
        <v>0.6084892805</v>
      </c>
      <c r="AC199" s="180">
        <f t="array" ref="AC199">INDIRECT("Update"&amp;Projections!$AG$17&amp;"!K"&amp;ROW(B180))</f>
        <v>0.6939863731</v>
      </c>
      <c r="AD199" s="124">
        <f t="array" ref="AD199">INDIRECT("Update"&amp;Projections!$AG$17&amp;"!R"&amp;ROW(B180))</f>
        <v>0.8226470588</v>
      </c>
      <c r="AE199" s="124">
        <f t="shared" si="3"/>
        <v>-1.534000227</v>
      </c>
      <c r="AF199" s="124">
        <f t="shared" si="4"/>
        <v>-1.670368761</v>
      </c>
      <c r="AG199" s="124">
        <f t="shared" si="5"/>
        <v>-0.2922973014</v>
      </c>
      <c r="AH199" s="124">
        <f t="shared" si="6"/>
        <v>-1.137527669</v>
      </c>
      <c r="AI199" s="124">
        <f t="shared" si="7"/>
        <v>-0.8668754088</v>
      </c>
      <c r="AJ199" s="124">
        <f t="shared" si="8"/>
        <v>0.1471684322</v>
      </c>
      <c r="AK199" s="124">
        <f t="shared" si="9"/>
        <v>0.8378585545</v>
      </c>
      <c r="AL199" s="124">
        <f t="shared" si="10"/>
        <v>-0.5283865857</v>
      </c>
      <c r="AM199" s="124">
        <f t="shared" si="11"/>
        <v>0</v>
      </c>
      <c r="AN199" s="183">
        <f t="shared" si="12"/>
        <v>-1.670368761</v>
      </c>
      <c r="AO199" s="183">
        <f t="shared" si="13"/>
        <v>-3.204368987</v>
      </c>
      <c r="AP199" s="183">
        <f t="array" ref="AP199">INDIRECT("Update"&amp;Projections!$AG$17&amp;"!S"&amp;ROW(B180))</f>
        <v>6.475294118</v>
      </c>
      <c r="AQ199" s="183">
        <f t="array" ref="AQ199">INDIRECT("Update"&amp;Projections!$AG$17&amp;"!T"&amp;ROW(B180))</f>
        <v>1.489264706</v>
      </c>
    </row>
    <row r="200">
      <c r="A200" s="40" t="str">
        <f>IF(UpdateHashtag!C198="",ROW(UpdateHashtag!C198),UpdateHashtag!C198)</f>
        <v>Josh Richardson</v>
      </c>
      <c r="B200" s="41">
        <f>IF(TYPE($A200)=1,"",(UpdateHashtag!M198-B$1)/B$2)</f>
        <v>-1.277772138</v>
      </c>
      <c r="C200" s="41">
        <f>IF(TYPE($A200)=1,"",(UpdateHashtag!L198-C$1)/C$2)</f>
        <v>-0.04827385557</v>
      </c>
      <c r="D200" s="41">
        <f>IF(TYPE($A200)=1,"",(UpdateHashtag!N198-D$1)/D$2)</f>
        <v>-1.247570605</v>
      </c>
      <c r="E200" s="41">
        <f>IF(TYPE($A200)=1,"",(UpdateHashtag!O198-E$1)/E$2)</f>
        <v>-0.5601040384</v>
      </c>
      <c r="F200" s="41">
        <f>IF(TYPE($A200)=1,"",(UpdateHashtag!P198-F$1)/F$2)</f>
        <v>-0.2514318168</v>
      </c>
      <c r="G200" s="41">
        <f>IF(TYPE($A200)=1,"",(UpdateHashtag!Q198-G$1)/G$2)</f>
        <v>-0.8002633236</v>
      </c>
      <c r="H200" s="41">
        <f>IF(TYPE($A200)=1,"",(UpdateHashtag!I198-H$1)/H$2*I200/$I$1)</f>
        <v>-0.6197859597</v>
      </c>
      <c r="I200" s="41">
        <f>UpdateHashtag!S198</f>
        <v>8.7</v>
      </c>
      <c r="J200" s="53">
        <f>IF(TYPE($A200)=1,"",(UpdateHashtag!K198-J$1)/J$2*K200/$K$1)</f>
        <v>0.411119691</v>
      </c>
      <c r="K200" s="55">
        <f>UpdateHashtag!T198</f>
        <v>1.3</v>
      </c>
      <c r="L200" s="41">
        <f>IF(TYPE($A200)=1,"",-(UpdateHashtag!R198-L$1)/L$2)</f>
        <v>0.5442381251</v>
      </c>
      <c r="N200" s="112">
        <v>180.0</v>
      </c>
      <c r="O200" s="170" t="str">
        <f t="array" ref="O200">INDIRECT("Update"&amp;Projections!$AG$17&amp;"!B"&amp;ROW(B181))</f>
        <v/>
      </c>
      <c r="P200" s="172" t="str">
        <f t="array" ref="P200">INDIRECT("Update"&amp;Projections!$AG$17&amp;"!C"&amp;ROW(B181))</f>
        <v>Isaiah Jackson</v>
      </c>
      <c r="Q200" s="170">
        <f>UpdateHashtag!F241</f>
        <v>68</v>
      </c>
      <c r="R200" s="177" t="str">
        <f>IF(UpdateHashtag!D241="",ROW(UpdateHashtag!D241),UpdateHashtag!D241)</f>
        <v>SG,SF</v>
      </c>
      <c r="S200" s="124">
        <f t="shared" si="1"/>
        <v>-4.811990601</v>
      </c>
      <c r="T200" s="124">
        <f>SUM(AE200:AM200)-IFERROR(IFS(Projections!$I$17,AN200,Projections!$J$17,AO200),"")</f>
        <v>-5.044471421</v>
      </c>
      <c r="U200" s="124">
        <f t="shared" si="2"/>
        <v>-0.2324808201</v>
      </c>
      <c r="V200" s="124">
        <f t="array" ref="V200">INDIRECT("Update"&amp;Projections!$AG$17&amp;"!M"&amp;ROW(B181))</f>
        <v>7.695588235</v>
      </c>
      <c r="W200" s="124">
        <f t="array" ref="W200">INDIRECT("Update"&amp;Projections!$AG$17&amp;"!L"&amp;ROW(B181))</f>
        <v>0</v>
      </c>
      <c r="X200" s="124">
        <f t="array" ref="X200">INDIRECT("Update"&amp;Projections!$AG$17&amp;"!N"&amp;ROW(B181))</f>
        <v>5.252941176</v>
      </c>
      <c r="Y200" s="124">
        <f t="array" ref="Y200">INDIRECT("Update"&amp;Projections!$AG$17&amp;"!O"&amp;ROW(B181))</f>
        <v>0.9675</v>
      </c>
      <c r="Z200" s="124">
        <f t="array" ref="Z200">INDIRECT("Update"&amp;Projections!$AG$17&amp;"!P"&amp;ROW(B181))</f>
        <v>0.6566176471</v>
      </c>
      <c r="AA200" s="124">
        <f t="array" ref="AA200">INDIRECT("Update"&amp;Projections!$AG$17&amp;"!Q"&amp;ROW(B181))</f>
        <v>1.441617647</v>
      </c>
      <c r="AB200" s="180">
        <f t="array" ref="AB200">INDIRECT("Update"&amp;Projections!$AG$17&amp;"!I"&amp;ROW(B181))</f>
        <v>0.630990041</v>
      </c>
      <c r="AC200" s="180">
        <f t="array" ref="AC200">INDIRECT("Update"&amp;Projections!$AG$17&amp;"!K"&amp;ROW(B181))</f>
        <v>0.6769658808</v>
      </c>
      <c r="AD200" s="124">
        <f t="array" ref="AD200">INDIRECT("Update"&amp;Projections!$AG$17&amp;"!R"&amp;ROW(B181))</f>
        <v>0.8111764706</v>
      </c>
      <c r="AE200" s="124">
        <f t="shared" si="3"/>
        <v>-1.765257608</v>
      </c>
      <c r="AF200" s="124">
        <f t="shared" si="4"/>
        <v>-1.734552372</v>
      </c>
      <c r="AG200" s="124">
        <f t="shared" si="5"/>
        <v>-0.3254364962</v>
      </c>
      <c r="AH200" s="124">
        <f t="shared" si="6"/>
        <v>-1.346898833</v>
      </c>
      <c r="AI200" s="124">
        <f t="shared" si="7"/>
        <v>-1.056616911</v>
      </c>
      <c r="AJ200" s="124">
        <f t="shared" si="8"/>
        <v>1.235980508</v>
      </c>
      <c r="AK200" s="124">
        <f t="shared" si="9"/>
        <v>0.7810285402</v>
      </c>
      <c r="AL200" s="124">
        <f t="shared" si="10"/>
        <v>-0.8327182492</v>
      </c>
      <c r="AM200" s="124">
        <f t="shared" si="11"/>
        <v>0</v>
      </c>
      <c r="AN200" s="183">
        <f t="shared" si="12"/>
        <v>-1.765257608</v>
      </c>
      <c r="AO200" s="183">
        <f t="shared" si="13"/>
        <v>-3.49980998</v>
      </c>
      <c r="AP200" s="183">
        <f t="array" ref="AP200">INDIRECT("Update"&amp;Projections!$AG$17&amp;"!S"&amp;ROW(B181))</f>
        <v>5.020588235</v>
      </c>
      <c r="AQ200" s="183">
        <f t="array" ref="AQ200">INDIRECT("Update"&amp;Projections!$AG$17&amp;"!T"&amp;ROW(B181))</f>
        <v>2.008529412</v>
      </c>
    </row>
    <row r="201">
      <c r="A201" s="40" t="str">
        <f>IF(UpdateHashtag!C199="",ROW(UpdateHashtag!C199),UpdateHashtag!C199)</f>
        <v>Kris Dunn</v>
      </c>
      <c r="B201" s="41">
        <f>IF(TYPE($A201)=1,"",(UpdateHashtag!M199-B$1)/B$2)</f>
        <v>-1.854590182</v>
      </c>
      <c r="C201" s="41">
        <f>IF(TYPE($A201)=1,"",(UpdateHashtag!L199-C$1)/C$2)</f>
        <v>-1.139395249</v>
      </c>
      <c r="D201" s="41">
        <f>IF(TYPE($A201)=1,"",(UpdateHashtag!N199-D$1)/D$2)</f>
        <v>-1.129998506</v>
      </c>
      <c r="E201" s="41">
        <f>IF(TYPE($A201)=1,"",(UpdateHashtag!O199-E$1)/E$2)</f>
        <v>0.1211035759</v>
      </c>
      <c r="F201" s="41">
        <f>IF(TYPE($A201)=1,"",(UpdateHashtag!P199-F$1)/F$2)</f>
        <v>0.0793995211</v>
      </c>
      <c r="G201" s="41">
        <f>IF(TYPE($A201)=1,"",(UpdateHashtag!Q199-G$1)/G$2)</f>
        <v>-0.6218985413</v>
      </c>
      <c r="H201" s="41">
        <f>IF(TYPE($A201)=1,"",(UpdateHashtag!I199-H$1)/H$2*I201/$I$1)</f>
        <v>0.005169865206</v>
      </c>
      <c r="I201" s="41">
        <f>UpdateHashtag!S199</f>
        <v>5.9</v>
      </c>
      <c r="J201" s="53">
        <f>IF(TYPE($A201)=1,"",(UpdateHashtag!K199-J$1)/J$2*K201/$K$1)</f>
        <v>-0.1928039143</v>
      </c>
      <c r="K201" s="55">
        <f>UpdateHashtag!T199</f>
        <v>0.9</v>
      </c>
      <c r="L201" s="41">
        <f>IF(TYPE($A201)=1,"",-(UpdateHashtag!R199-L$1)/L$2)</f>
        <v>0.4450452712</v>
      </c>
      <c r="N201" s="112">
        <v>181.0</v>
      </c>
      <c r="O201" s="170" t="str">
        <f t="array" ref="O201">INDIRECT("Update"&amp;Projections!$AG$17&amp;"!B"&amp;ROW(B182))</f>
        <v/>
      </c>
      <c r="P201" s="172" t="str">
        <f t="array" ref="P201">INDIRECT("Update"&amp;Projections!$AG$17&amp;"!C"&amp;ROW(B182))</f>
        <v>Toumani Camara</v>
      </c>
      <c r="Q201" s="170">
        <f>UpdateHashtag!F235</f>
        <v>68</v>
      </c>
      <c r="R201" s="177" t="str">
        <f>IF(UpdateHashtag!D235="",ROW(UpdateHashtag!D235),UpdateHashtag!D235)</f>
        <v>SF,PF,C</v>
      </c>
      <c r="S201" s="124">
        <f t="shared" si="1"/>
        <v>-4.715107165</v>
      </c>
      <c r="T201" s="124">
        <f>SUM(AE201:AM201)-IFERROR(IFS(Projections!$I$17,AN201,Projections!$J$17,AO201),"")</f>
        <v>-4.820219885</v>
      </c>
      <c r="U201" s="124">
        <f t="shared" si="2"/>
        <v>-0.1051127195</v>
      </c>
      <c r="V201" s="124">
        <f t="array" ref="V201">INDIRECT("Update"&amp;Projections!$AG$17&amp;"!M"&amp;ROW(B182))</f>
        <v>9.245342466</v>
      </c>
      <c r="W201" s="124">
        <f t="array" ref="W201">INDIRECT("Update"&amp;Projections!$AG$17&amp;"!L"&amp;ROW(B182))</f>
        <v>1.032876712</v>
      </c>
      <c r="X201" s="124">
        <f t="array" ref="X201">INDIRECT("Update"&amp;Projections!$AG$17&amp;"!N"&amp;ROW(B182))</f>
        <v>4.29</v>
      </c>
      <c r="Y201" s="124">
        <f t="array" ref="Y201">INDIRECT("Update"&amp;Projections!$AG$17&amp;"!O"&amp;ROW(B182))</f>
        <v>1.608767123</v>
      </c>
      <c r="Z201" s="124">
        <f t="array" ref="Z201">INDIRECT("Update"&amp;Projections!$AG$17&amp;"!P"&amp;ROW(B182))</f>
        <v>0.9130136986</v>
      </c>
      <c r="AA201" s="124">
        <f t="array" ref="AA201">INDIRECT("Update"&amp;Projections!$AG$17&amp;"!Q"&amp;ROW(B182))</f>
        <v>0.4993150685</v>
      </c>
      <c r="AB201" s="180">
        <f t="array" ref="AB201">INDIRECT("Update"&amp;Projections!$AG$17&amp;"!I"&amp;ROW(B182))</f>
        <v>0.4808047284</v>
      </c>
      <c r="AC201" s="180">
        <f t="array" ref="AC201">INDIRECT("Update"&amp;Projections!$AG$17&amp;"!K"&amp;ROW(B182))</f>
        <v>0.7809994406</v>
      </c>
      <c r="AD201" s="124">
        <f t="array" ref="AD201">INDIRECT("Update"&amp;Projections!$AG$17&amp;"!R"&amp;ROW(B182))</f>
        <v>1.324794521</v>
      </c>
      <c r="AE201" s="124">
        <f t="shared" si="3"/>
        <v>-1.485905669</v>
      </c>
      <c r="AF201" s="124">
        <f t="shared" si="4"/>
        <v>-0.710012484</v>
      </c>
      <c r="AG201" s="124">
        <f t="shared" si="5"/>
        <v>-0.7028198801</v>
      </c>
      <c r="AH201" s="124">
        <f t="shared" si="6"/>
        <v>-1.055674801</v>
      </c>
      <c r="AI201" s="124">
        <f t="shared" si="7"/>
        <v>-0.2083784236</v>
      </c>
      <c r="AJ201" s="124">
        <f t="shared" si="8"/>
        <v>-0.4447554354</v>
      </c>
      <c r="AK201" s="124">
        <f t="shared" si="9"/>
        <v>-0.1405083931</v>
      </c>
      <c r="AL201" s="124">
        <f t="shared" si="10"/>
        <v>-0.07216479774</v>
      </c>
      <c r="AM201" s="124">
        <f t="shared" si="11"/>
        <v>0</v>
      </c>
      <c r="AN201" s="183">
        <f t="shared" si="12"/>
        <v>-1.485905669</v>
      </c>
      <c r="AO201" s="183">
        <f t="shared" si="13"/>
        <v>-2.541580471</v>
      </c>
      <c r="AP201" s="183">
        <f t="array" ref="AP201">INDIRECT("Update"&amp;Projections!$AG$17&amp;"!S"&amp;ROW(B182))</f>
        <v>7.346986301</v>
      </c>
      <c r="AQ201" s="183">
        <f t="array" ref="AQ201">INDIRECT("Update"&amp;Projections!$AG$17&amp;"!T"&amp;ROW(B182))</f>
        <v>1.469315068</v>
      </c>
    </row>
    <row r="202">
      <c r="A202" s="40" t="str">
        <f>IF(UpdateHashtag!C200="",ROW(UpdateHashtag!C200),UpdateHashtag!C200)</f>
        <v>Ayo Dosunmu</v>
      </c>
      <c r="B202" s="41">
        <f>IF(TYPE($A202)=1,"",(UpdateHashtag!M200-B$1)/B$2)</f>
        <v>-1.313823266</v>
      </c>
      <c r="C202" s="41">
        <f>IF(TYPE($A202)=1,"",(UpdateHashtag!L200-C$1)/C$2)</f>
        <v>-0.643430979</v>
      </c>
      <c r="D202" s="41">
        <f>IF(TYPE($A202)=1,"",(UpdateHashtag!N200-D$1)/D$2)</f>
        <v>-1.286761305</v>
      </c>
      <c r="E202" s="41">
        <f>IF(TYPE($A202)=1,"",(UpdateHashtag!O200-E$1)/E$2)</f>
        <v>-0.5146901974</v>
      </c>
      <c r="F202" s="41">
        <f>IF(TYPE($A202)=1,"",(UpdateHashtag!P200-F$1)/F$2)</f>
        <v>-0.5822631548</v>
      </c>
      <c r="G202" s="41">
        <f>IF(TYPE($A202)=1,"",(UpdateHashtag!Q200-G$1)/G$2)</f>
        <v>-0.6218985413</v>
      </c>
      <c r="H202" s="41">
        <f>IF(TYPE($A202)=1,"",(UpdateHashtag!I200-H$1)/H$2*I202/$I$1)</f>
        <v>0.007185236388</v>
      </c>
      <c r="I202" s="41">
        <f>UpdateHashtag!S200</f>
        <v>8.2</v>
      </c>
      <c r="J202" s="53">
        <f>IF(TYPE($A202)=1,"",(UpdateHashtag!K200-J$1)/J$2*K202/$K$1)</f>
        <v>0.08018214607</v>
      </c>
      <c r="K202" s="55">
        <f>UpdateHashtag!T200</f>
        <v>1.2</v>
      </c>
      <c r="L202" s="41">
        <f>IF(TYPE($A202)=1,"",-(UpdateHashtag!R200-L$1)/L$2)</f>
        <v>0.4450452712</v>
      </c>
      <c r="N202" s="5">
        <v>182.0</v>
      </c>
      <c r="O202" s="170" t="str">
        <f t="array" ref="O202">INDIRECT("Update"&amp;Projections!$AG$17&amp;"!B"&amp;ROW(B183))</f>
        <v/>
      </c>
      <c r="P202" s="172" t="str">
        <f t="array" ref="P202">INDIRECT("Update"&amp;Projections!$AG$17&amp;"!C"&amp;ROW(B183))</f>
        <v>Scotty Pippen Jr.</v>
      </c>
      <c r="Q202" s="170">
        <f>UpdateHashtag!F244</f>
        <v>64</v>
      </c>
      <c r="R202" s="177" t="str">
        <f>IF(UpdateHashtag!D244="",ROW(UpdateHashtag!D244),UpdateHashtag!D244)</f>
        <v>SF,PF</v>
      </c>
      <c r="S202" s="124">
        <f t="shared" si="1"/>
        <v>-4.822903253</v>
      </c>
      <c r="T202" s="124">
        <f>SUM(AE202:AM202)-IFERROR(IFS(Projections!$I$17,AN202,Projections!$J$17,AO202),"")</f>
        <v>-4.801307292</v>
      </c>
      <c r="U202" s="124">
        <f t="shared" si="2"/>
        <v>0.02159596024</v>
      </c>
      <c r="V202" s="124">
        <f t="array" ref="V202">INDIRECT("Update"&amp;Projections!$AG$17&amp;"!M"&amp;ROW(B183))</f>
        <v>7.461369863</v>
      </c>
      <c r="W202" s="124">
        <f t="array" ref="W202">INDIRECT("Update"&amp;Projections!$AG$17&amp;"!L"&amp;ROW(B183))</f>
        <v>0.7536986301</v>
      </c>
      <c r="X202" s="124">
        <f t="array" ref="X202">INDIRECT("Update"&amp;Projections!$AG$17&amp;"!N"&amp;ROW(B183))</f>
        <v>2.273013699</v>
      </c>
      <c r="Y202" s="124">
        <f t="array" ref="Y202">INDIRECT("Update"&amp;Projections!$AG$17&amp;"!O"&amp;ROW(B183))</f>
        <v>3.364520548</v>
      </c>
      <c r="Z202" s="124">
        <f t="array" ref="Z202">INDIRECT("Update"&amp;Projections!$AG$17&amp;"!P"&amp;ROW(B183))</f>
        <v>1.227123288</v>
      </c>
      <c r="AA202" s="124">
        <f t="array" ref="AA202">INDIRECT("Update"&amp;Projections!$AG$17&amp;"!Q"&amp;ROW(B183))</f>
        <v>0.3269863014</v>
      </c>
      <c r="AB202" s="180">
        <f t="array" ref="AB202">INDIRECT("Update"&amp;Projections!$AG$17&amp;"!I"&amp;ROW(B183))</f>
        <v>0.4687966428</v>
      </c>
      <c r="AC202" s="180">
        <f t="array" ref="AC202">INDIRECT("Update"&amp;Projections!$AG$17&amp;"!K"&amp;ROW(B183))</f>
        <v>0.7600378532</v>
      </c>
      <c r="AD202" s="124">
        <f t="array" ref="AD202">INDIRECT("Update"&amp;Projections!$AG$17&amp;"!R"&amp;ROW(B183))</f>
        <v>1.835753425</v>
      </c>
      <c r="AE202" s="124">
        <f t="shared" si="3"/>
        <v>-1.80747679</v>
      </c>
      <c r="AF202" s="124">
        <f t="shared" si="4"/>
        <v>-0.9869371909</v>
      </c>
      <c r="AG202" s="124">
        <f t="shared" si="5"/>
        <v>-1.493290923</v>
      </c>
      <c r="AH202" s="124">
        <f t="shared" si="6"/>
        <v>-0.2583197336</v>
      </c>
      <c r="AI202" s="124">
        <f t="shared" si="7"/>
        <v>0.8307945335</v>
      </c>
      <c r="AJ202" s="124">
        <f t="shared" si="8"/>
        <v>-0.7521292659</v>
      </c>
      <c r="AK202" s="124">
        <f t="shared" si="9"/>
        <v>-0.2095628508</v>
      </c>
      <c r="AL202" s="124">
        <f t="shared" si="10"/>
        <v>-0.1243850714</v>
      </c>
      <c r="AM202" s="124">
        <f t="shared" si="11"/>
        <v>0</v>
      </c>
      <c r="AN202" s="183">
        <f t="shared" si="12"/>
        <v>-1.80747679</v>
      </c>
      <c r="AO202" s="183">
        <f t="shared" si="13"/>
        <v>-3.300767713</v>
      </c>
      <c r="AP202" s="183">
        <f t="array" ref="AP202">INDIRECT("Update"&amp;Projections!$AG$17&amp;"!S"&amp;ROW(B183))</f>
        <v>6.332739726</v>
      </c>
      <c r="AQ202" s="183">
        <f t="array" ref="AQ202">INDIRECT("Update"&amp;Projections!$AG$17&amp;"!T"&amp;ROW(B183))</f>
        <v>1.013287671</v>
      </c>
    </row>
    <row r="203">
      <c r="A203" s="40" t="str">
        <f>IF(UpdateHashtag!C201="",ROW(UpdateHashtag!C201),UpdateHashtag!C201)</f>
        <v>Bennedict Mathurin</v>
      </c>
      <c r="B203" s="41">
        <f>IF(TYPE($A203)=1,"",(UpdateHashtag!M201-B$1)/B$2)</f>
        <v>-0.1241360499</v>
      </c>
      <c r="C203" s="41">
        <f>IF(TYPE($A203)=1,"",(UpdateHashtag!L201-C$1)/C$2)</f>
        <v>-0.3458524173</v>
      </c>
      <c r="D203" s="41">
        <f>IF(TYPE($A203)=1,"",(UpdateHashtag!N201-D$1)/D$2)</f>
        <v>-0.6989008101</v>
      </c>
      <c r="E203" s="41">
        <f>IF(TYPE($A203)=1,"",(UpdateHashtag!O201-E$1)/E$2)</f>
        <v>-0.9688286069</v>
      </c>
      <c r="F203" s="41">
        <f>IF(TYPE($A203)=1,"",(UpdateHashtag!P201-F$1)/F$2)</f>
        <v>-0.9130944927</v>
      </c>
      <c r="G203" s="41">
        <f>IF(TYPE($A203)=1,"",(UpdateHashtag!Q201-G$1)/G$2)</f>
        <v>-0.978628106</v>
      </c>
      <c r="H203" s="41">
        <f>IF(TYPE($A203)=1,"",(UpdateHashtag!I201-H$1)/H$2*I203/$I$1)</f>
        <v>-0.7887204361</v>
      </c>
      <c r="I203" s="41">
        <f>UpdateHashtag!S201</f>
        <v>12.5</v>
      </c>
      <c r="J203" s="53">
        <f>IF(TYPE($A203)=1,"",(UpdateHashtag!K201-J$1)/J$2*K203/$K$1)</f>
        <v>0.5775686079</v>
      </c>
      <c r="K203" s="55">
        <f>UpdateHashtag!T201</f>
        <v>5.3</v>
      </c>
      <c r="L203" s="41">
        <f>IF(TYPE($A203)=1,"",-(UpdateHashtag!R201-L$1)/L$2)</f>
        <v>-0.1501118522</v>
      </c>
      <c r="N203" s="112">
        <v>183.0</v>
      </c>
      <c r="O203" s="170" t="str">
        <f t="array" ref="O203">INDIRECT("Update"&amp;Projections!$AG$17&amp;"!B"&amp;ROW(B184))</f>
        <v/>
      </c>
      <c r="P203" s="172" t="str">
        <f t="array" ref="P203">INDIRECT("Update"&amp;Projections!$AG$17&amp;"!C"&amp;ROW(B184))</f>
        <v>Royce O'Neale</v>
      </c>
      <c r="Q203" s="170">
        <f>UpdateHashtag!F246</f>
        <v>58</v>
      </c>
      <c r="R203" s="177" t="str">
        <f>IF(UpdateHashtag!D246="",ROW(UpdateHashtag!D246),UpdateHashtag!D246)</f>
        <v>SG,SF</v>
      </c>
      <c r="S203" s="124">
        <f t="shared" si="1"/>
        <v>-4.520532671</v>
      </c>
      <c r="T203" s="124">
        <f>SUM(AE203:AM203)-IFERROR(IFS(Projections!$I$17,AN203,Projections!$J$17,AO203),"")</f>
        <v>-4.768184163</v>
      </c>
      <c r="U203" s="124">
        <f t="shared" si="2"/>
        <v>-0.2476514919</v>
      </c>
      <c r="V203" s="124">
        <f t="array" ref="V203">INDIRECT("Update"&amp;Projections!$AG$17&amp;"!M"&amp;ROW(B184))</f>
        <v>8.216027397</v>
      </c>
      <c r="W203" s="124">
        <f t="array" ref="W203">INDIRECT("Update"&amp;Projections!$AG$17&amp;"!L"&amp;ROW(B184))</f>
        <v>2.054520548</v>
      </c>
      <c r="X203" s="124">
        <f t="array" ref="X203">INDIRECT("Update"&amp;Projections!$AG$17&amp;"!N"&amp;ROW(B184))</f>
        <v>4.8</v>
      </c>
      <c r="Y203" s="124">
        <f t="array" ref="Y203">INDIRECT("Update"&amp;Projections!$AG$17&amp;"!O"&amp;ROW(B184))</f>
        <v>2.4</v>
      </c>
      <c r="Z203" s="124">
        <f t="array" ref="Z203">INDIRECT("Update"&amp;Projections!$AG$17&amp;"!P"&amp;ROW(B184))</f>
        <v>0.7076712329</v>
      </c>
      <c r="AA203" s="124">
        <f t="array" ref="AA203">INDIRECT("Update"&amp;Projections!$AG$17&amp;"!Q"&amp;ROW(B184))</f>
        <v>0.4965753425</v>
      </c>
      <c r="AB203" s="180">
        <f t="array" ref="AB203">INDIRECT("Update"&amp;Projections!$AG$17&amp;"!I"&amp;ROW(B184))</f>
        <v>0.408165628</v>
      </c>
      <c r="AC203" s="180">
        <f t="array" ref="AC203">INDIRECT("Update"&amp;Projections!$AG$17&amp;"!K"&amp;ROW(B184))</f>
        <v>0.7230644288</v>
      </c>
      <c r="AD203" s="124">
        <f t="array" ref="AD203">INDIRECT("Update"&amp;Projections!$AG$17&amp;"!R"&amp;ROW(B184))</f>
        <v>0.75</v>
      </c>
      <c r="AE203" s="124">
        <f t="shared" si="3"/>
        <v>-1.671445514</v>
      </c>
      <c r="AF203" s="124">
        <f t="shared" si="4"/>
        <v>0.3033851937</v>
      </c>
      <c r="AG203" s="124">
        <f t="shared" si="5"/>
        <v>-0.502947312</v>
      </c>
      <c r="AH203" s="124">
        <f t="shared" si="6"/>
        <v>-0.6963455612</v>
      </c>
      <c r="AI203" s="124">
        <f t="shared" si="7"/>
        <v>-0.8877156502</v>
      </c>
      <c r="AJ203" s="124">
        <f t="shared" si="8"/>
        <v>-0.4496421418</v>
      </c>
      <c r="AK203" s="124">
        <f t="shared" si="9"/>
        <v>-0.735628432</v>
      </c>
      <c r="AL203" s="124">
        <f t="shared" si="10"/>
        <v>-0.1278447454</v>
      </c>
      <c r="AM203" s="124">
        <f t="shared" si="11"/>
        <v>0</v>
      </c>
      <c r="AN203" s="183">
        <f t="shared" si="12"/>
        <v>-1.671445514</v>
      </c>
      <c r="AO203" s="183">
        <f t="shared" si="13"/>
        <v>-2.559161165</v>
      </c>
      <c r="AP203" s="183">
        <f t="array" ref="AP203">INDIRECT("Update"&amp;Projections!$AG$17&amp;"!S"&amp;ROW(B184))</f>
        <v>7.099589041</v>
      </c>
      <c r="AQ203" s="183">
        <f t="array" ref="AQ203">INDIRECT("Update"&amp;Projections!$AG$17&amp;"!T"&amp;ROW(B184))</f>
        <v>0.5060273973</v>
      </c>
    </row>
    <row r="204">
      <c r="A204" s="40" t="str">
        <f>IF(UpdateHashtag!C202="",ROW(UpdateHashtag!C202),UpdateHashtag!C202)</f>
        <v>Josh Green</v>
      </c>
      <c r="B204" s="41">
        <f>IF(TYPE($A204)=1,"",(UpdateHashtag!M202-B$1)/B$2)</f>
        <v>-1.169618755</v>
      </c>
      <c r="C204" s="41">
        <f>IF(TYPE($A204)=1,"",(UpdateHashtag!L202-C$1)/C$2)</f>
        <v>-0.1474667095</v>
      </c>
      <c r="D204" s="41">
        <f>IF(TYPE($A204)=1,"",(UpdateHashtag!N202-D$1)/D$2)</f>
        <v>-0.9732357076</v>
      </c>
      <c r="E204" s="41">
        <f>IF(TYPE($A204)=1,"",(UpdateHashtag!O202-E$1)/E$2)</f>
        <v>-0.7417594022</v>
      </c>
      <c r="F204" s="41">
        <f>IF(TYPE($A204)=1,"",(UpdateHashtag!P202-F$1)/F$2)</f>
        <v>0.0793995211</v>
      </c>
      <c r="G204" s="41">
        <f>IF(TYPE($A204)=1,"",(UpdateHashtag!Q202-G$1)/G$2)</f>
        <v>-0.8002633236</v>
      </c>
      <c r="H204" s="41">
        <f>IF(TYPE($A204)=1,"",(UpdateHashtag!I202-H$1)/H$2*I204/$I$1)</f>
        <v>-0.2613569639</v>
      </c>
      <c r="I204" s="41">
        <f>UpdateHashtag!S202</f>
        <v>8.9</v>
      </c>
      <c r="J204" s="53">
        <f>IF(TYPE($A204)=1,"",(UpdateHashtag!K202-J$1)/J$2*K204/$K$1)</f>
        <v>-0.4530797134</v>
      </c>
      <c r="K204" s="55">
        <f>UpdateHashtag!T202</f>
        <v>1.5</v>
      </c>
      <c r="L204" s="41">
        <f>IF(TYPE($A204)=1,"",-(UpdateHashtag!R202-L$1)/L$2)</f>
        <v>0.4450452712</v>
      </c>
      <c r="N204" s="112">
        <v>184.0</v>
      </c>
      <c r="O204" s="170">
        <f t="array" ref="O204">INDIRECT("Update"&amp;Projections!$AG$17&amp;"!B"&amp;ROW(B185))</f>
        <v>143</v>
      </c>
      <c r="P204" s="172" t="str">
        <f t="array" ref="P204">INDIRECT("Update"&amp;Projections!$AG$17&amp;"!C"&amp;ROW(B185))</f>
        <v>Payton Pritchard</v>
      </c>
      <c r="Q204" s="170">
        <f>UpdateHashtag!F253</f>
        <v>64</v>
      </c>
      <c r="R204" s="177" t="str">
        <f>IF(UpdateHashtag!D253="",ROW(UpdateHashtag!D253),UpdateHashtag!D253)</f>
        <v>PF,C</v>
      </c>
      <c r="S204" s="124">
        <f t="shared" si="1"/>
        <v>-4.859216191</v>
      </c>
      <c r="T204" s="124">
        <f>SUM(AE204:AM204)-IFERROR(IFS(Projections!$I$17,AN204,Projections!$J$17,AO204),"")</f>
        <v>-5.071602691</v>
      </c>
      <c r="U204" s="124">
        <f t="shared" si="2"/>
        <v>-0.2123865</v>
      </c>
      <c r="V204" s="124">
        <f t="array" ref="V204">INDIRECT("Update"&amp;Projections!$AG$17&amp;"!M"&amp;ROW(B185))</f>
        <v>11.11766234</v>
      </c>
      <c r="W204" s="124">
        <f t="array" ref="W204">INDIRECT("Update"&amp;Projections!$AG$17&amp;"!L"&amp;ROW(B185))</f>
        <v>1.834415584</v>
      </c>
      <c r="X204" s="124">
        <f t="array" ref="X204">INDIRECT("Update"&amp;Projections!$AG$17&amp;"!N"&amp;ROW(B185))</f>
        <v>3.099220779</v>
      </c>
      <c r="Y204" s="124">
        <f t="array" ref="Y204">INDIRECT("Update"&amp;Projections!$AG$17&amp;"!O"&amp;ROW(B185))</f>
        <v>3.662727273</v>
      </c>
      <c r="Z204" s="124">
        <f t="array" ref="Z204">INDIRECT("Update"&amp;Projections!$AG$17&amp;"!P"&amp;ROW(B185))</f>
        <v>0.5123376623</v>
      </c>
      <c r="AA204" s="124">
        <f t="array" ref="AA204">INDIRECT("Update"&amp;Projections!$AG$17&amp;"!Q"&amp;ROW(B185))</f>
        <v>0.04714285714</v>
      </c>
      <c r="AB204" s="180">
        <f t="array" ref="AB204">INDIRECT("Update"&amp;Projections!$AG$17&amp;"!I"&amp;ROW(B185))</f>
        <v>0.4891643132</v>
      </c>
      <c r="AC204" s="180">
        <f t="array" ref="AC204">INDIRECT("Update"&amp;Projections!$AG$17&amp;"!K"&amp;ROW(B185))</f>
        <v>0.8570634038</v>
      </c>
      <c r="AD204" s="124">
        <f t="array" ref="AD204">INDIRECT("Update"&amp;Projections!$AG$17&amp;"!R"&amp;ROW(B185))</f>
        <v>0.8922077922</v>
      </c>
      <c r="AE204" s="124">
        <f t="shared" si="3"/>
        <v>-1.148409454</v>
      </c>
      <c r="AF204" s="124">
        <f t="shared" si="4"/>
        <v>0.08505679829</v>
      </c>
      <c r="AG204" s="124">
        <f t="shared" si="5"/>
        <v>-1.169494588</v>
      </c>
      <c r="AH204" s="124">
        <f t="shared" si="6"/>
        <v>-0.1228926058</v>
      </c>
      <c r="AI204" s="124">
        <f t="shared" si="7"/>
        <v>-1.533940315</v>
      </c>
      <c r="AJ204" s="124">
        <f t="shared" si="8"/>
        <v>-1.251271416</v>
      </c>
      <c r="AK204" s="124">
        <f t="shared" si="9"/>
        <v>-0.08343643847</v>
      </c>
      <c r="AL204" s="124">
        <f t="shared" si="10"/>
        <v>0.1527853291</v>
      </c>
      <c r="AM204" s="124">
        <f t="shared" si="11"/>
        <v>0</v>
      </c>
      <c r="AN204" s="183">
        <f t="shared" si="12"/>
        <v>-1.533940315</v>
      </c>
      <c r="AO204" s="183">
        <f t="shared" si="13"/>
        <v>-2.785211732</v>
      </c>
      <c r="AP204" s="183">
        <f t="array" ref="AP204">INDIRECT("Update"&amp;Projections!$AG$17&amp;"!S"&amp;ROW(B185))</f>
        <v>8.875194805</v>
      </c>
      <c r="AQ204" s="183">
        <f t="array" ref="AQ204">INDIRECT("Update"&amp;Projections!$AG$17&amp;"!T"&amp;ROW(B185))</f>
        <v>0.7005194805</v>
      </c>
    </row>
    <row r="205">
      <c r="A205" s="40" t="str">
        <f>IF(UpdateHashtag!C203="",ROW(UpdateHashtag!C203),UpdateHashtag!C203)</f>
        <v>Peyton Watson</v>
      </c>
      <c r="B205" s="41">
        <f>IF(TYPE($A205)=1,"",(UpdateHashtag!M203-B$1)/B$2)</f>
        <v>-1.440002213</v>
      </c>
      <c r="C205" s="41">
        <f>IF(TYPE($A205)=1,"",(UpdateHashtag!L203-C$1)/C$2)</f>
        <v>-0.9410095407</v>
      </c>
      <c r="D205" s="41">
        <f>IF(TYPE($A205)=1,"",(UpdateHashtag!N203-D$1)/D$2)</f>
        <v>-0.5813287112</v>
      </c>
      <c r="E205" s="41">
        <f>IF(TYPE($A205)=1,"",(UpdateHashtag!O203-E$1)/E$2)</f>
        <v>-1.10507013</v>
      </c>
      <c r="F205" s="41">
        <f>IF(TYPE($A205)=1,"",(UpdateHashtag!P203-F$1)/F$2)</f>
        <v>-0.9130944927</v>
      </c>
      <c r="G205" s="41">
        <f>IF(TYPE($A205)=1,"",(UpdateHashtag!Q203-G$1)/G$2)</f>
        <v>1.340114065</v>
      </c>
      <c r="H205" s="41">
        <f>IF(TYPE($A205)=1,"",(UpdateHashtag!I203-H$1)/H$2*I205/$I$1)</f>
        <v>-0.2779358927</v>
      </c>
      <c r="I205" s="41">
        <f>UpdateHashtag!S203</f>
        <v>7.9</v>
      </c>
      <c r="J205" s="53">
        <f>IF(TYPE($A205)=1,"",(UpdateHashtag!K203-J$1)/J$2*K205/$K$1)</f>
        <v>-1.018647699</v>
      </c>
      <c r="K205" s="55">
        <f>UpdateHashtag!T203</f>
        <v>2</v>
      </c>
      <c r="L205" s="41">
        <f>IF(TYPE($A205)=1,"",-(UpdateHashtag!R203-L$1)/L$2)</f>
        <v>0.7426238329</v>
      </c>
      <c r="N205" s="5">
        <v>185.0</v>
      </c>
      <c r="O205" s="170">
        <f t="array" ref="O205">INDIRECT("Update"&amp;Projections!$AG$17&amp;"!B"&amp;ROW(B186))</f>
        <v>146</v>
      </c>
      <c r="P205" s="172" t="str">
        <f t="array" ref="P205">INDIRECT("Update"&amp;Projections!$AG$17&amp;"!C"&amp;ROW(B186))</f>
        <v>Sam Hauser</v>
      </c>
      <c r="Q205" s="170">
        <f>UpdateHashtag!F243</f>
        <v>58</v>
      </c>
      <c r="R205" s="177" t="str">
        <f>IF(UpdateHashtag!D243="",ROW(UpdateHashtag!D243),UpdateHashtag!D243)</f>
        <v>C</v>
      </c>
      <c r="S205" s="124">
        <f t="shared" si="1"/>
        <v>-4.612416585</v>
      </c>
      <c r="T205" s="124">
        <f>SUM(AE205:AM205)-IFERROR(IFS(Projections!$I$17,AN205,Projections!$J$17,AO205),"")</f>
        <v>-4.937232388</v>
      </c>
      <c r="U205" s="124">
        <f t="shared" si="2"/>
        <v>-0.3248158029</v>
      </c>
      <c r="V205" s="124">
        <f t="array" ref="V205">INDIRECT("Update"&amp;Projections!$AG$17&amp;"!M"&amp;ROW(B186))</f>
        <v>10.31064935</v>
      </c>
      <c r="W205" s="124">
        <f t="array" ref="W205">INDIRECT("Update"&amp;Projections!$AG$17&amp;"!L"&amp;ROW(B186))</f>
        <v>2.681428571</v>
      </c>
      <c r="X205" s="124">
        <f t="array" ref="X205">INDIRECT("Update"&amp;Projections!$AG$17&amp;"!N"&amp;ROW(B186))</f>
        <v>3.871038961</v>
      </c>
      <c r="Y205" s="124">
        <f t="array" ref="Y205">INDIRECT("Update"&amp;Projections!$AG$17&amp;"!O"&amp;ROW(B186))</f>
        <v>1.322987013</v>
      </c>
      <c r="Z205" s="124">
        <f t="array" ref="Z205">INDIRECT("Update"&amp;Projections!$AG$17&amp;"!P"&amp;ROW(B186))</f>
        <v>0.544025974</v>
      </c>
      <c r="AA205" s="124">
        <f t="array" ref="AA205">INDIRECT("Update"&amp;Projections!$AG$17&amp;"!Q"&amp;ROW(B186))</f>
        <v>0.3897402597</v>
      </c>
      <c r="AB205" s="180">
        <f t="array" ref="AB205">INDIRECT("Update"&amp;Projections!$AG$17&amp;"!I"&amp;ROW(B186))</f>
        <v>0.4414773256</v>
      </c>
      <c r="AC205" s="180">
        <f t="array" ref="AC205">INDIRECT("Update"&amp;Projections!$AG$17&amp;"!K"&amp;ROW(B186))</f>
        <v>0.9028484232</v>
      </c>
      <c r="AD205" s="124">
        <f t="array" ref="AD205">INDIRECT("Update"&amp;Projections!$AG$17&amp;"!R"&amp;ROW(B186))</f>
        <v>0.4388311688</v>
      </c>
      <c r="AE205" s="124">
        <f t="shared" si="3"/>
        <v>-1.293878096</v>
      </c>
      <c r="AF205" s="124">
        <f t="shared" si="4"/>
        <v>0.925233153</v>
      </c>
      <c r="AG205" s="124">
        <f t="shared" si="5"/>
        <v>-0.8670136425</v>
      </c>
      <c r="AH205" s="124">
        <f t="shared" si="6"/>
        <v>-1.185458526</v>
      </c>
      <c r="AI205" s="124">
        <f t="shared" si="7"/>
        <v>-1.42910545</v>
      </c>
      <c r="AJ205" s="124">
        <f t="shared" si="8"/>
        <v>-0.6401983047</v>
      </c>
      <c r="AK205" s="124">
        <f t="shared" si="9"/>
        <v>-0.5435664365</v>
      </c>
      <c r="AL205" s="124">
        <f t="shared" si="10"/>
        <v>0.09675491504</v>
      </c>
      <c r="AM205" s="124">
        <f t="shared" si="11"/>
        <v>0</v>
      </c>
      <c r="AN205" s="183">
        <f t="shared" si="12"/>
        <v>-1.42910545</v>
      </c>
      <c r="AO205" s="183">
        <f t="shared" si="13"/>
        <v>-2.722983546</v>
      </c>
      <c r="AP205" s="183">
        <f t="array" ref="AP205">INDIRECT("Update"&amp;Projections!$AG$17&amp;"!S"&amp;ROW(B186))</f>
        <v>8.379480519</v>
      </c>
      <c r="AQ205" s="183">
        <f t="array" ref="AQ205">INDIRECT("Update"&amp;Projections!$AG$17&amp;"!T"&amp;ROW(B186))</f>
        <v>0.2553246753</v>
      </c>
    </row>
    <row r="206">
      <c r="A206" s="40" t="str">
        <f>IF(UpdateHashtag!C204="",ROW(UpdateHashtag!C204),UpdateHashtag!C204)</f>
        <v>Daniel Theis</v>
      </c>
      <c r="B206" s="41">
        <f>IF(TYPE($A206)=1,"",(UpdateHashtag!M204-B$1)/B$2)</f>
        <v>-1.620257851</v>
      </c>
      <c r="C206" s="41">
        <f>IF(TYPE($A206)=1,"",(UpdateHashtag!L204-C$1)/C$2)</f>
        <v>-1.139395249</v>
      </c>
      <c r="D206" s="41">
        <f>IF(TYPE($A206)=1,"",(UpdateHashtag!N204-D$1)/D$2)</f>
        <v>-0.3461845134</v>
      </c>
      <c r="E206" s="41">
        <f>IF(TYPE($A206)=1,"",(UpdateHashtag!O204-E$1)/E$2)</f>
        <v>-1.150483971</v>
      </c>
      <c r="F206" s="41">
        <f>IF(TYPE($A206)=1,"",(UpdateHashtag!P204-F$1)/F$2)</f>
        <v>-1.574757169</v>
      </c>
      <c r="G206" s="41">
        <f>IF(TYPE($A206)=1,"",(UpdateHashtag!Q204-G$1)/G$2)</f>
        <v>0.4482901531</v>
      </c>
      <c r="H206" s="41">
        <f>IF(TYPE($A206)=1,"",(UpdateHashtag!I204-H$1)/H$2*I206/$I$1)</f>
        <v>0.2084935995</v>
      </c>
      <c r="I206" s="41">
        <f>UpdateHashtag!S204</f>
        <v>6.7</v>
      </c>
      <c r="J206" s="53">
        <f>IF(TYPE($A206)=1,"",(UpdateHashtag!K204-J$1)/J$2*K206/$K$1)</f>
        <v>-0.1390329746</v>
      </c>
      <c r="K206" s="55">
        <f>UpdateHashtag!T204</f>
        <v>1.2</v>
      </c>
      <c r="L206" s="41">
        <f>IF(TYPE($A206)=1,"",-(UpdateHashtag!R204-L$1)/L$2)</f>
        <v>0.8418166868</v>
      </c>
      <c r="N206" s="112">
        <v>186.0</v>
      </c>
      <c r="O206" s="170">
        <f t="array" ref="O206">INDIRECT("Update"&amp;Projections!$AG$17&amp;"!B"&amp;ROW(B187))</f>
        <v>140.2</v>
      </c>
      <c r="P206" s="172" t="str">
        <f t="array" ref="P206">INDIRECT("Update"&amp;Projections!$AG$17&amp;"!C"&amp;ROW(B187))</f>
        <v>Kyle Lowry</v>
      </c>
      <c r="Q206" s="170">
        <f>UpdateHashtag!F237</f>
        <v>65</v>
      </c>
      <c r="R206" s="177" t="str">
        <f>IF(UpdateHashtag!D237="",ROW(UpdateHashtag!D237),UpdateHashtag!D237)</f>
        <v>PF,C</v>
      </c>
      <c r="S206" s="124">
        <f t="shared" si="1"/>
        <v>-4.87804547</v>
      </c>
      <c r="T206" s="124">
        <f>SUM(AE206:AM206)-IFERROR(IFS(Projections!$I$17,AN206,Projections!$J$17,AO206),"")</f>
        <v>-4.96870239</v>
      </c>
      <c r="U206" s="124">
        <f t="shared" si="2"/>
        <v>-0.09065691991</v>
      </c>
      <c r="V206" s="124">
        <f t="array" ref="V206">INDIRECT("Update"&amp;Projections!$AG$17&amp;"!M"&amp;ROW(B187))</f>
        <v>6.032794118</v>
      </c>
      <c r="W206" s="124">
        <f t="array" ref="W206">INDIRECT("Update"&amp;Projections!$AG$17&amp;"!L"&amp;ROW(B187))</f>
        <v>1.206617647</v>
      </c>
      <c r="X206" s="124">
        <f t="array" ref="X206">INDIRECT("Update"&amp;Projections!$AG$17&amp;"!N"&amp;ROW(B187))</f>
        <v>3.252352941</v>
      </c>
      <c r="Y206" s="124">
        <f t="array" ref="Y206">INDIRECT("Update"&amp;Projections!$AG$17&amp;"!O"&amp;ROW(B187))</f>
        <v>4.1225</v>
      </c>
      <c r="Z206" s="124">
        <f t="array" ref="Z206">INDIRECT("Update"&amp;Projections!$AG$17&amp;"!P"&amp;ROW(B187))</f>
        <v>0.8763235294</v>
      </c>
      <c r="AA206" s="124">
        <f t="array" ref="AA206">INDIRECT("Update"&amp;Projections!$AG$17&amp;"!Q"&amp;ROW(B187))</f>
        <v>0.3322058824</v>
      </c>
      <c r="AB206" s="180">
        <f t="array" ref="AB206">INDIRECT("Update"&amp;Projections!$AG$17&amp;"!I"&amp;ROW(B187))</f>
        <v>0.4196100074</v>
      </c>
      <c r="AC206" s="180">
        <f t="array" ref="AC206">INDIRECT("Update"&amp;Projections!$AG$17&amp;"!K"&amp;ROW(B187))</f>
        <v>0.8439485511</v>
      </c>
      <c r="AD206" s="124">
        <f t="array" ref="AD206">INDIRECT("Update"&amp;Projections!$AG$17&amp;"!R"&amp;ROW(B187))</f>
        <v>1.383088235</v>
      </c>
      <c r="AE206" s="124">
        <f t="shared" si="3"/>
        <v>-2.064985624</v>
      </c>
      <c r="AF206" s="124">
        <f t="shared" si="4"/>
        <v>-0.5376738922</v>
      </c>
      <c r="AG206" s="124">
        <f t="shared" si="5"/>
        <v>-1.109481022</v>
      </c>
      <c r="AH206" s="124">
        <f t="shared" si="6"/>
        <v>0.08590784913</v>
      </c>
      <c r="AI206" s="124">
        <f t="shared" si="7"/>
        <v>-0.3297610013</v>
      </c>
      <c r="AJ206" s="124">
        <f t="shared" si="8"/>
        <v>-0.7428193716</v>
      </c>
      <c r="AK206" s="124">
        <f t="shared" si="9"/>
        <v>-0.4331403556</v>
      </c>
      <c r="AL206" s="124">
        <f t="shared" si="10"/>
        <v>0.1632510277</v>
      </c>
      <c r="AM206" s="124">
        <f t="shared" si="11"/>
        <v>0</v>
      </c>
      <c r="AN206" s="183">
        <f t="shared" si="12"/>
        <v>-2.064985624</v>
      </c>
      <c r="AO206" s="183">
        <f t="shared" si="13"/>
        <v>-3.174466646</v>
      </c>
      <c r="AP206" s="183">
        <f t="array" ref="AP206">INDIRECT("Update"&amp;Projections!$AG$17&amp;"!S"&amp;ROW(B187))</f>
        <v>4.796470588</v>
      </c>
      <c r="AQ206" s="183">
        <f t="array" ref="AQ206">INDIRECT("Update"&amp;Projections!$AG$17&amp;"!T"&amp;ROW(B187))</f>
        <v>0.9489705882</v>
      </c>
    </row>
    <row r="207">
      <c r="A207" s="40" t="str">
        <f>IF(UpdateHashtag!C205="",ROW(UpdateHashtag!C205),UpdateHashtag!C205)</f>
        <v>Nickeil Alexander-Walker</v>
      </c>
      <c r="B207" s="41">
        <f>IF(TYPE($A207)=1,"",(UpdateHashtag!M205-B$1)/B$2)</f>
        <v>-1.440002213</v>
      </c>
      <c r="C207" s="41">
        <f>IF(TYPE($A207)=1,"",(UpdateHashtag!L205-C$1)/C$2)</f>
        <v>0.05091899834</v>
      </c>
      <c r="D207" s="41">
        <f>IF(TYPE($A207)=1,"",(UpdateHashtag!N205-D$1)/D$2)</f>
        <v>-1.404333404</v>
      </c>
      <c r="E207" s="41">
        <f>IF(TYPE($A207)=1,"",(UpdateHashtag!O205-E$1)/E$2)</f>
        <v>-0.4692763565</v>
      </c>
      <c r="F207" s="41">
        <f>IF(TYPE($A207)=1,"",(UpdateHashtag!P205-F$1)/F$2)</f>
        <v>-0.2514318168</v>
      </c>
      <c r="G207" s="41">
        <f>IF(TYPE($A207)=1,"",(UpdateHashtag!Q205-G$1)/G$2)</f>
        <v>-0.2651689765</v>
      </c>
      <c r="H207" s="41">
        <f>IF(TYPE($A207)=1,"",(UpdateHashtag!I205-H$1)/H$2*I207/$I$1)</f>
        <v>-0.503764476</v>
      </c>
      <c r="I207" s="41">
        <f>UpdateHashtag!S205</f>
        <v>7.7</v>
      </c>
      <c r="J207" s="53">
        <f>IF(TYPE($A207)=1,"",(UpdateHashtag!K205-J$1)/J$2*K207/$K$1)</f>
        <v>-0.2612875612</v>
      </c>
      <c r="K207" s="55">
        <f>UpdateHashtag!T205</f>
        <v>1.2</v>
      </c>
      <c r="L207" s="41">
        <f>IF(TYPE($A207)=1,"",-(UpdateHashtag!R205-L$1)/L$2)</f>
        <v>0.5442381251</v>
      </c>
      <c r="N207" s="112">
        <v>187.0</v>
      </c>
      <c r="O207" s="170">
        <f t="array" ref="O207">INDIRECT("Update"&amp;Projections!$AG$17&amp;"!B"&amp;ROW(B188))</f>
        <v>144.9</v>
      </c>
      <c r="P207" s="172" t="str">
        <f t="array" ref="P207">INDIRECT("Update"&amp;Projections!$AG$17&amp;"!C"&amp;ROW(B188))</f>
        <v>Terance Mann</v>
      </c>
      <c r="Q207" s="170">
        <f>UpdateHashtag!F242</f>
        <v>67</v>
      </c>
      <c r="R207" s="177" t="str">
        <f>IF(UpdateHashtag!D242="",ROW(UpdateHashtag!D242),UpdateHashtag!D242)</f>
        <v>SF</v>
      </c>
      <c r="S207" s="124">
        <f t="shared" si="1"/>
        <v>-5.0302302</v>
      </c>
      <c r="T207" s="124">
        <f>SUM(AE207:AM207)-IFERROR(IFS(Projections!$I$17,AN207,Projections!$J$17,AO207),"")</f>
        <v>-5.19451893</v>
      </c>
      <c r="U207" s="124">
        <f t="shared" si="2"/>
        <v>-0.1642887303</v>
      </c>
      <c r="V207" s="124">
        <f t="array" ref="V207">INDIRECT("Update"&amp;Projections!$AG$17&amp;"!M"&amp;ROW(B188))</f>
        <v>11.33246575</v>
      </c>
      <c r="W207" s="124">
        <f t="array" ref="W207">INDIRECT("Update"&amp;Projections!$AG$17&amp;"!L"&amp;ROW(B188))</f>
        <v>1.172191781</v>
      </c>
      <c r="X207" s="124">
        <f t="array" ref="X207">INDIRECT("Update"&amp;Projections!$AG$17&amp;"!N"&amp;ROW(B188))</f>
        <v>4.230273973</v>
      </c>
      <c r="Y207" s="124">
        <f t="array" ref="Y207">INDIRECT("Update"&amp;Projections!$AG$17&amp;"!O"&amp;ROW(B188))</f>
        <v>2.286712329</v>
      </c>
      <c r="Z207" s="124">
        <f t="array" ref="Z207">INDIRECT("Update"&amp;Projections!$AG$17&amp;"!P"&amp;ROW(B188))</f>
        <v>0.5839726027</v>
      </c>
      <c r="AA207" s="124">
        <f t="array" ref="AA207">INDIRECT("Update"&amp;Projections!$AG$17&amp;"!Q"&amp;ROW(B188))</f>
        <v>0.1691780822</v>
      </c>
      <c r="AB207" s="180">
        <f t="array" ref="AB207">INDIRECT("Update"&amp;Projections!$AG$17&amp;"!I"&amp;ROW(B188))</f>
        <v>0.5102572821</v>
      </c>
      <c r="AC207" s="180">
        <f t="array" ref="AC207">INDIRECT("Update"&amp;Projections!$AG$17&amp;"!K"&amp;ROW(B188))</f>
        <v>0.8199882249</v>
      </c>
      <c r="AD207" s="124">
        <f t="array" ref="AD207">INDIRECT("Update"&amp;Projections!$AG$17&amp;"!R"&amp;ROW(B188))</f>
        <v>1.086164384</v>
      </c>
      <c r="AE207" s="124">
        <f t="shared" si="3"/>
        <v>-1.109689928</v>
      </c>
      <c r="AF207" s="124">
        <f t="shared" si="4"/>
        <v>-0.5718218911</v>
      </c>
      <c r="AG207" s="124">
        <f t="shared" si="5"/>
        <v>-0.7262269279</v>
      </c>
      <c r="AH207" s="124">
        <f t="shared" si="6"/>
        <v>-0.7477938439</v>
      </c>
      <c r="AI207" s="124">
        <f t="shared" si="7"/>
        <v>-1.296949484</v>
      </c>
      <c r="AJ207" s="124">
        <f t="shared" si="8"/>
        <v>-1.033603553</v>
      </c>
      <c r="AK207" s="124">
        <f t="shared" si="9"/>
        <v>0.128035182</v>
      </c>
      <c r="AL207" s="124">
        <f t="shared" si="10"/>
        <v>0.1635315156</v>
      </c>
      <c r="AM207" s="124">
        <f t="shared" si="11"/>
        <v>0</v>
      </c>
      <c r="AN207" s="183">
        <f t="shared" si="12"/>
        <v>-1.296949484</v>
      </c>
      <c r="AO207" s="183">
        <f t="shared" si="13"/>
        <v>-2.406639412</v>
      </c>
      <c r="AP207" s="183">
        <f t="array" ref="AP207">INDIRECT("Update"&amp;Projections!$AG$17&amp;"!S"&amp;ROW(B188))</f>
        <v>8.460410959</v>
      </c>
      <c r="AQ207" s="183">
        <f t="array" ref="AQ207">INDIRECT("Update"&amp;Projections!$AG$17&amp;"!T"&amp;ROW(B188))</f>
        <v>1.861369863</v>
      </c>
    </row>
    <row r="208">
      <c r="A208" s="40" t="str">
        <f>IF(UpdateHashtag!C206="",ROW(UpdateHashtag!C206),UpdateHashtag!C206)</f>
        <v>Isaiah Jackson</v>
      </c>
      <c r="B208" s="41">
        <f>IF(TYPE($A208)=1,"",(UpdateHashtag!M206-B$1)/B$2)</f>
        <v>-1.764462362</v>
      </c>
      <c r="C208" s="41">
        <f>IF(TYPE($A208)=1,"",(UpdateHashtag!L206-C$1)/C$2)</f>
        <v>-1.734552372</v>
      </c>
      <c r="D208" s="41">
        <f>IF(TYPE($A208)=1,"",(UpdateHashtag!N206-D$1)/D$2)</f>
        <v>-0.502947312</v>
      </c>
      <c r="E208" s="41">
        <f>IF(TYPE($A208)=1,"",(UpdateHashtag!O206-E$1)/E$2)</f>
        <v>-1.377553175</v>
      </c>
      <c r="F208" s="41">
        <f>IF(TYPE($A208)=1,"",(UpdateHashtag!P206-F$1)/F$2)</f>
        <v>-1.243925831</v>
      </c>
      <c r="G208" s="41">
        <f>IF(TYPE($A208)=1,"",(UpdateHashtag!Q206-G$1)/G$2)</f>
        <v>1.161749283</v>
      </c>
      <c r="H208" s="41">
        <f>IF(TYPE($A208)=1,"",(UpdateHashtag!I206-H$1)/H$2*I208/$I$1)</f>
        <v>0.6510703518</v>
      </c>
      <c r="I208" s="41">
        <f>UpdateHashtag!S206</f>
        <v>5.1</v>
      </c>
      <c r="J208" s="53">
        <f>IF(TYPE($A208)=1,"",(UpdateHashtag!K206-J$1)/J$2*K208/$K$1)</f>
        <v>-0.9694437407</v>
      </c>
      <c r="K208" s="55">
        <f>UpdateHashtag!T206</f>
        <v>2.3</v>
      </c>
      <c r="L208" s="41">
        <f>IF(TYPE($A208)=1,"",-(UpdateHashtag!R206-L$1)/L$2)</f>
        <v>0.9410095407</v>
      </c>
      <c r="N208" s="5">
        <v>188.0</v>
      </c>
      <c r="O208" s="170" t="str">
        <f t="array" ref="O208">INDIRECT("Update"&amp;Projections!$AG$17&amp;"!B"&amp;ROW(B189))</f>
        <v/>
      </c>
      <c r="P208" s="172" t="str">
        <f t="array" ref="P208">INDIRECT("Update"&amp;Projections!$AG$17&amp;"!C"&amp;ROW(B189))</f>
        <v>Miles McBride</v>
      </c>
      <c r="Q208" s="170">
        <f>UpdateHashtag!F238</f>
        <v>52</v>
      </c>
      <c r="R208" s="177" t="str">
        <f>IF(UpdateHashtag!D238="",ROW(UpdateHashtag!D238),UpdateHashtag!D238)</f>
        <v>PF,C</v>
      </c>
      <c r="S208" s="124">
        <f t="shared" si="1"/>
        <v>-4.556938695</v>
      </c>
      <c r="T208" s="124">
        <f>SUM(AE208:AM208)-IFERROR(IFS(Projections!$I$17,AN208,Projections!$J$17,AO208),"")</f>
        <v>-4.848343747</v>
      </c>
      <c r="U208" s="124">
        <f t="shared" si="2"/>
        <v>-0.2914050521</v>
      </c>
      <c r="V208" s="124">
        <f t="array" ref="V208">INDIRECT("Update"&amp;Projections!$AG$17&amp;"!M"&amp;ROW(B189))</f>
        <v>10.69945205</v>
      </c>
      <c r="W208" s="124">
        <f t="array" ref="W208">INDIRECT("Update"&amp;Projections!$AG$17&amp;"!L"&amp;ROW(B189))</f>
        <v>2.144383562</v>
      </c>
      <c r="X208" s="124">
        <f t="array" ref="X208">INDIRECT("Update"&amp;Projections!$AG$17&amp;"!N"&amp;ROW(B189))</f>
        <v>1.976027397</v>
      </c>
      <c r="Y208" s="124">
        <f t="array" ref="Y208">INDIRECT("Update"&amp;Projections!$AG$17&amp;"!O"&amp;ROW(B189))</f>
        <v>2.258767123</v>
      </c>
      <c r="Z208" s="124">
        <f t="array" ref="Z208">INDIRECT("Update"&amp;Projections!$AG$17&amp;"!P"&amp;ROW(B189))</f>
        <v>0.9830136986</v>
      </c>
      <c r="AA208" s="124">
        <f t="array" ref="AA208">INDIRECT("Update"&amp;Projections!$AG$17&amp;"!Q"&amp;ROW(B189))</f>
        <v>0.1564383562</v>
      </c>
      <c r="AB208" s="180">
        <f t="array" ref="AB208">INDIRECT("Update"&amp;Projections!$AG$17&amp;"!I"&amp;ROW(B189))</f>
        <v>0.4227665662</v>
      </c>
      <c r="AC208" s="180">
        <f t="array" ref="AC208">INDIRECT("Update"&amp;Projections!$AG$17&amp;"!K"&amp;ROW(B189))</f>
        <v>0.8399491094</v>
      </c>
      <c r="AD208" s="124">
        <f t="array" ref="AD208">INDIRECT("Update"&amp;Projections!$AG$17&amp;"!R"&amp;ROW(B189))</f>
        <v>0.5735616438</v>
      </c>
      <c r="AE208" s="124">
        <f t="shared" si="3"/>
        <v>-1.223794217</v>
      </c>
      <c r="AF208" s="124">
        <f t="shared" si="4"/>
        <v>0.3925228819</v>
      </c>
      <c r="AG208" s="124">
        <f t="shared" si="5"/>
        <v>-1.609681933</v>
      </c>
      <c r="AH208" s="124">
        <f t="shared" si="6"/>
        <v>-0.7604848353</v>
      </c>
      <c r="AI208" s="124">
        <f t="shared" si="7"/>
        <v>0.02320351292</v>
      </c>
      <c r="AJ208" s="124">
        <f t="shared" si="8"/>
        <v>-1.056326737</v>
      </c>
      <c r="AK208" s="124">
        <f t="shared" si="9"/>
        <v>-0.7838806872</v>
      </c>
      <c r="AL208" s="124">
        <f t="shared" si="10"/>
        <v>0.1700982674</v>
      </c>
      <c r="AM208" s="124">
        <f t="shared" si="11"/>
        <v>0</v>
      </c>
      <c r="AN208" s="183">
        <f t="shared" si="12"/>
        <v>-1.609681933</v>
      </c>
      <c r="AO208" s="183">
        <f t="shared" si="13"/>
        <v>-2.83347615</v>
      </c>
      <c r="AP208" s="183">
        <f t="array" ref="AP208">INDIRECT("Update"&amp;Projections!$AG$17&amp;"!S"&amp;ROW(B189))</f>
        <v>9.048356164</v>
      </c>
      <c r="AQ208" s="183">
        <f t="array" ref="AQ208">INDIRECT("Update"&amp;Projections!$AG$17&amp;"!T"&amp;ROW(B189))</f>
        <v>1.076712329</v>
      </c>
    </row>
    <row r="209">
      <c r="A209" s="40" t="str">
        <f>IF(UpdateHashtag!C207="",ROW(UpdateHashtag!C207),UpdateHashtag!C207)</f>
        <v>Sam Hauser</v>
      </c>
      <c r="B209" s="41">
        <f>IF(TYPE($A209)=1,"",(UpdateHashtag!M207-B$1)/B$2)</f>
        <v>-1.421976649</v>
      </c>
      <c r="C209" s="41">
        <f>IF(TYPE($A209)=1,"",(UpdateHashtag!L207-C$1)/C$2)</f>
        <v>0.8444618296</v>
      </c>
      <c r="D209" s="41">
        <f>IF(TYPE($A209)=1,"",(UpdateHashtag!N207-D$1)/D$2)</f>
        <v>-0.8948543083</v>
      </c>
      <c r="E209" s="41">
        <f>IF(TYPE($A209)=1,"",(UpdateHashtag!O207-E$1)/E$2)</f>
        <v>-1.241311653</v>
      </c>
      <c r="F209" s="41">
        <f>IF(TYPE($A209)=1,"",(UpdateHashtag!P207-F$1)/F$2)</f>
        <v>-1.574757169</v>
      </c>
      <c r="G209" s="41">
        <f>IF(TYPE($A209)=1,"",(UpdateHashtag!Q207-G$1)/G$2)</f>
        <v>-0.6218985413</v>
      </c>
      <c r="H209" s="41">
        <f>IF(TYPE($A209)=1,"",(UpdateHashtag!I207-H$1)/H$2*I209/$I$1)</f>
        <v>-0.4121662822</v>
      </c>
      <c r="I209" s="41">
        <f>UpdateHashtag!S207</f>
        <v>7.5</v>
      </c>
      <c r="J209" s="53">
        <f>IF(TYPE($A209)=1,"",(UpdateHashtag!K207-J$1)/J$2*K209/$K$1)</f>
        <v>0.02742296847</v>
      </c>
      <c r="K209" s="55">
        <f>UpdateHashtag!T207</f>
        <v>0.3</v>
      </c>
      <c r="L209" s="41">
        <f>IF(TYPE($A209)=1,"",-(UpdateHashtag!R207-L$1)/L$2)</f>
        <v>1.238588102</v>
      </c>
      <c r="N209" s="112">
        <v>189.0</v>
      </c>
      <c r="O209" s="170" t="str">
        <f t="array" ref="O209">INDIRECT("Update"&amp;Projections!$AG$17&amp;"!B"&amp;ROW(B190))</f>
        <v/>
      </c>
      <c r="P209" s="172" t="str">
        <f t="array" ref="P209">INDIRECT("Update"&amp;Projections!$AG$17&amp;"!C"&amp;ROW(B190))</f>
        <v>Luke Kornet</v>
      </c>
      <c r="Q209" s="170">
        <f>UpdateHashtag!F248</f>
        <v>66</v>
      </c>
      <c r="R209" s="177" t="str">
        <f>IF(UpdateHashtag!D248="",ROW(UpdateHashtag!D248),UpdateHashtag!D248)</f>
        <v>PG,SG</v>
      </c>
      <c r="S209" s="124">
        <f t="shared" si="1"/>
        <v>-5.220667558</v>
      </c>
      <c r="T209" s="124">
        <f>SUM(AE209:AM209)-IFERROR(IFS(Projections!$I$17,AN209,Projections!$J$17,AO209),"")</f>
        <v>-5.549897879</v>
      </c>
      <c r="U209" s="124">
        <f t="shared" si="2"/>
        <v>-0.3292303206</v>
      </c>
      <c r="V209" s="124">
        <f t="array" ref="V209">INDIRECT("Update"&amp;Projections!$AG$17&amp;"!M"&amp;ROW(B190))</f>
        <v>6.690735294</v>
      </c>
      <c r="W209" s="124">
        <f t="array" ref="W209">INDIRECT("Update"&amp;Projections!$AG$17&amp;"!L"&amp;ROW(B190))</f>
        <v>0.02191176471</v>
      </c>
      <c r="X209" s="124">
        <f t="array" ref="X209">INDIRECT("Update"&amp;Projections!$AG$17&amp;"!N"&amp;ROW(B190))</f>
        <v>4.732647059</v>
      </c>
      <c r="Y209" s="124">
        <f t="array" ref="Y209">INDIRECT("Update"&amp;Projections!$AG$17&amp;"!O"&amp;ROW(B190))</f>
        <v>1.377647059</v>
      </c>
      <c r="Z209" s="124">
        <f t="array" ref="Z209">INDIRECT("Update"&amp;Projections!$AG$17&amp;"!P"&amp;ROW(B190))</f>
        <v>0.4267647059</v>
      </c>
      <c r="AA209" s="124">
        <f t="array" ref="AA209">INDIRECT("Update"&amp;Projections!$AG$17&amp;"!Q"&amp;ROW(B190))</f>
        <v>1.047352941</v>
      </c>
      <c r="AB209" s="180">
        <f t="array" ref="AB209">INDIRECT("Update"&amp;Projections!$AG$17&amp;"!I"&amp;ROW(B190))</f>
        <v>0.6737864735</v>
      </c>
      <c r="AC209" s="180">
        <f t="array" ref="AC209">INDIRECT("Update"&amp;Projections!$AG$17&amp;"!K"&amp;ROW(B190))</f>
        <v>0.852</v>
      </c>
      <c r="AD209" s="124">
        <f t="array" ref="AD209">INDIRECT("Update"&amp;Projections!$AG$17&amp;"!R"&amp;ROW(B190))</f>
        <v>0.4210294118</v>
      </c>
      <c r="AE209" s="124">
        <f t="shared" si="3"/>
        <v>-1.946388017</v>
      </c>
      <c r="AF209" s="124">
        <f t="shared" si="4"/>
        <v>-1.712817467</v>
      </c>
      <c r="AG209" s="124">
        <f t="shared" si="5"/>
        <v>-0.5293434008</v>
      </c>
      <c r="AH209" s="124">
        <f t="shared" si="6"/>
        <v>-1.1606353</v>
      </c>
      <c r="AI209" s="124">
        <f t="shared" si="7"/>
        <v>-1.817042472</v>
      </c>
      <c r="AJ209" s="124">
        <f t="shared" si="8"/>
        <v>0.5327511232</v>
      </c>
      <c r="AK209" s="124">
        <f t="shared" si="9"/>
        <v>0.8921002313</v>
      </c>
      <c r="AL209" s="124">
        <f t="shared" si="10"/>
        <v>0.1914774231</v>
      </c>
      <c r="AM209" s="124">
        <f t="shared" si="11"/>
        <v>0</v>
      </c>
      <c r="AN209" s="183">
        <f t="shared" si="12"/>
        <v>-1.946388017</v>
      </c>
      <c r="AO209" s="183">
        <f t="shared" si="13"/>
        <v>-3.763430489</v>
      </c>
      <c r="AP209" s="183">
        <f t="array" ref="AP209">INDIRECT("Update"&amp;Projections!$AG$17&amp;"!S"&amp;ROW(B190))</f>
        <v>4.344411765</v>
      </c>
      <c r="AQ209" s="183">
        <f t="array" ref="AQ209">INDIRECT("Update"&amp;Projections!$AG$17&amp;"!T"&amp;ROW(B190))</f>
        <v>0.9558823529</v>
      </c>
    </row>
    <row r="210">
      <c r="A210" s="40" t="str">
        <f>IF(UpdateHashtag!C208="",ROW(UpdateHashtag!C208),UpdateHashtag!C208)</f>
        <v>Eric Gordon</v>
      </c>
      <c r="B210" s="41">
        <f>IF(TYPE($A210)=1,"",(UpdateHashtag!M208-B$1)/B$2)</f>
        <v>-1.061465371</v>
      </c>
      <c r="C210" s="41">
        <f>IF(TYPE($A210)=1,"",(UpdateHashtag!L208-C$1)/C$2)</f>
        <v>0.2493047061</v>
      </c>
      <c r="D210" s="41">
        <f>IF(TYPE($A210)=1,"",(UpdateHashtag!N208-D$1)/D$2)</f>
        <v>-1.639477601</v>
      </c>
      <c r="E210" s="41">
        <f>IF(TYPE($A210)=1,"",(UpdateHashtag!O208-E$1)/E$2)</f>
        <v>-0.7417594022</v>
      </c>
      <c r="F210" s="41">
        <f>IF(TYPE($A210)=1,"",(UpdateHashtag!P208-F$1)/F$2)</f>
        <v>-0.5822631548</v>
      </c>
      <c r="G210" s="41">
        <f>IF(TYPE($A210)=1,"",(UpdateHashtag!Q208-G$1)/G$2)</f>
        <v>-0.6218985413</v>
      </c>
      <c r="H210" s="41">
        <f>IF(TYPE($A210)=1,"",(UpdateHashtag!I208-H$1)/H$2*I210/$I$1)</f>
        <v>-0.5697971551</v>
      </c>
      <c r="I210" s="41">
        <f>UpdateHashtag!S208</f>
        <v>9.2</v>
      </c>
      <c r="J210" s="53">
        <f>IF(TYPE($A210)=1,"",(UpdateHashtag!K208-J$1)/J$2*K210/$K$1)</f>
        <v>0.1076191668</v>
      </c>
      <c r="K210" s="55">
        <f>UpdateHashtag!T208</f>
        <v>1.7</v>
      </c>
      <c r="L210" s="41">
        <f>IF(TYPE($A210)=1,"",-(UpdateHashtag!R208-L$1)/L$2)</f>
        <v>0.4450452712</v>
      </c>
      <c r="N210" s="112">
        <v>190.0</v>
      </c>
      <c r="O210" s="170" t="str">
        <f t="array" ref="O210">INDIRECT("Update"&amp;Projections!$AG$17&amp;"!B"&amp;ROW(B191))</f>
        <v/>
      </c>
      <c r="P210" s="172" t="str">
        <f t="array" ref="P210">INDIRECT("Update"&amp;Projections!$AG$17&amp;"!C"&amp;ROW(B191))</f>
        <v>Kris Dunn</v>
      </c>
      <c r="Q210" s="170">
        <f>UpdateHashtag!F256</f>
        <v>54</v>
      </c>
      <c r="R210" s="177" t="str">
        <f>IF(UpdateHashtag!D256="",ROW(UpdateHashtag!D256),UpdateHashtag!D256)</f>
        <v>PF,C</v>
      </c>
      <c r="S210" s="124">
        <f t="shared" si="1"/>
        <v>-4.903488302</v>
      </c>
      <c r="T210" s="124">
        <f>SUM(AE210:AM210)-IFERROR(IFS(Projections!$I$17,AN210,Projections!$J$17,AO210),"")</f>
        <v>-5.092572248</v>
      </c>
      <c r="U210" s="124">
        <f t="shared" si="2"/>
        <v>-0.1890839466</v>
      </c>
      <c r="V210" s="124">
        <f t="array" ref="V210">INDIRECT("Update"&amp;Projections!$AG$17&amp;"!M"&amp;ROW(B191))</f>
        <v>6.855</v>
      </c>
      <c r="W210" s="124">
        <f t="array" ref="W210">INDIRECT("Update"&amp;Projections!$AG$17&amp;"!L"&amp;ROW(B191))</f>
        <v>0.5558823529</v>
      </c>
      <c r="X210" s="124">
        <f t="array" ref="X210">INDIRECT("Update"&amp;Projections!$AG$17&amp;"!N"&amp;ROW(B191))</f>
        <v>3.087058824</v>
      </c>
      <c r="Y210" s="124">
        <f t="array" ref="Y210">INDIRECT("Update"&amp;Projections!$AG$17&amp;"!O"&amp;ROW(B191))</f>
        <v>3.172794118</v>
      </c>
      <c r="Z210" s="124">
        <f t="array" ref="Z210">INDIRECT("Update"&amp;Projections!$AG$17&amp;"!P"&amp;ROW(B191))</f>
        <v>1.134705882</v>
      </c>
      <c r="AA210" s="124">
        <f t="array" ref="AA210">INDIRECT("Update"&amp;Projections!$AG$17&amp;"!Q"&amp;ROW(B191))</f>
        <v>0.3429411765</v>
      </c>
      <c r="AB210" s="180">
        <f t="array" ref="AB210">INDIRECT("Update"&amp;Projections!$AG$17&amp;"!I"&amp;ROW(B191))</f>
        <v>0.4780382646</v>
      </c>
      <c r="AC210" s="180">
        <f t="array" ref="AC210">INDIRECT("Update"&amp;Projections!$AG$17&amp;"!K"&amp;ROW(B191))</f>
        <v>0.7420549815</v>
      </c>
      <c r="AD210" s="124">
        <f t="array" ref="AD210">INDIRECT("Update"&amp;Projections!$AG$17&amp;"!R"&amp;ROW(B191))</f>
        <v>0.9861764706</v>
      </c>
      <c r="AE210" s="124">
        <f t="shared" si="3"/>
        <v>-1.916778377</v>
      </c>
      <c r="AF210" s="124">
        <f t="shared" si="4"/>
        <v>-1.183156802</v>
      </c>
      <c r="AG210" s="124">
        <f t="shared" si="5"/>
        <v>-1.174260943</v>
      </c>
      <c r="AH210" s="124">
        <f t="shared" si="6"/>
        <v>-0.3453900696</v>
      </c>
      <c r="AI210" s="124">
        <f t="shared" si="7"/>
        <v>0.5250487928</v>
      </c>
      <c r="AJ210" s="124">
        <f t="shared" si="8"/>
        <v>-0.7236713876</v>
      </c>
      <c r="AK210" s="124">
        <f t="shared" si="9"/>
        <v>-0.1341238429</v>
      </c>
      <c r="AL210" s="124">
        <f t="shared" si="10"/>
        <v>-0.1402396187</v>
      </c>
      <c r="AM210" s="124">
        <f t="shared" si="11"/>
        <v>0</v>
      </c>
      <c r="AN210" s="183">
        <f t="shared" si="12"/>
        <v>-1.916778377</v>
      </c>
      <c r="AO210" s="183">
        <f t="shared" si="13"/>
        <v>-3.099935179</v>
      </c>
      <c r="AP210" s="183">
        <f t="array" ref="AP210">INDIRECT("Update"&amp;Projections!$AG$17&amp;"!S"&amp;ROW(B191))</f>
        <v>6.003088235</v>
      </c>
      <c r="AQ210" s="183">
        <f t="array" ref="AQ210">INDIRECT("Update"&amp;Projections!$AG$17&amp;"!T"&amp;ROW(B191))</f>
        <v>0.7542647059</v>
      </c>
    </row>
    <row r="211">
      <c r="A211" s="40" t="str">
        <f>IF(UpdateHashtag!C209="",ROW(UpdateHashtag!C209),UpdateHashtag!C209)</f>
        <v>De'Andre Hunter</v>
      </c>
      <c r="B211" s="41">
        <f>IF(TYPE($A211)=1,"",(UpdateHashtag!M209-B$1)/B$2)</f>
        <v>-0.5747751467</v>
      </c>
      <c r="C211" s="41">
        <f>IF(TYPE($A211)=1,"",(UpdateHashtag!L209-C$1)/C$2)</f>
        <v>-0.1474667095</v>
      </c>
      <c r="D211" s="41">
        <f>IF(TYPE($A211)=1,"",(UpdateHashtag!N209-D$1)/D$2)</f>
        <v>-0.8948543083</v>
      </c>
      <c r="E211" s="41">
        <f>IF(TYPE($A211)=1,"",(UpdateHashtag!O209-E$1)/E$2)</f>
        <v>-1.150483971</v>
      </c>
      <c r="F211" s="41">
        <f>IF(TYPE($A211)=1,"",(UpdateHashtag!P209-F$1)/F$2)</f>
        <v>-1.243925831</v>
      </c>
      <c r="G211" s="41">
        <f>IF(TYPE($A211)=1,"",(UpdateHashtag!Q209-G$1)/G$2)</f>
        <v>-0.8002633236</v>
      </c>
      <c r="H211" s="41">
        <f>IF(TYPE($A211)=1,"",(UpdateHashtag!I209-H$1)/H$2*I211/$I$1)</f>
        <v>-0.4765627808</v>
      </c>
      <c r="I211" s="41">
        <f>UpdateHashtag!S209</f>
        <v>11</v>
      </c>
      <c r="J211" s="53">
        <f>IF(TYPE($A211)=1,"",(UpdateHashtag!K209-J$1)/J$2*K211/$K$1)</f>
        <v>0.4323175121</v>
      </c>
      <c r="K211" s="55">
        <f>UpdateHashtag!T209</f>
        <v>3</v>
      </c>
      <c r="L211" s="41">
        <f>IF(TYPE($A211)=1,"",-(UpdateHashtag!R209-L$1)/L$2)</f>
        <v>0.5442381251</v>
      </c>
      <c r="N211" s="5">
        <v>191.0</v>
      </c>
      <c r="O211" s="170">
        <f t="array" ref="O211">INDIRECT("Update"&amp;Projections!$AG$17&amp;"!B"&amp;ROW(B192))</f>
        <v>145.4</v>
      </c>
      <c r="P211" s="172" t="str">
        <f t="array" ref="P211">INDIRECT("Update"&amp;Projections!$AG$17&amp;"!C"&amp;ROW(B192))</f>
        <v>Corey Kispert</v>
      </c>
      <c r="Q211" s="170">
        <f>UpdateHashtag!F249</f>
        <v>64</v>
      </c>
      <c r="R211" s="177" t="str">
        <f>IF(UpdateHashtag!D249="",ROW(UpdateHashtag!D249),UpdateHashtag!D249)</f>
        <v>SF,PF</v>
      </c>
      <c r="S211" s="124">
        <f t="shared" si="1"/>
        <v>-5.08892932</v>
      </c>
      <c r="T211" s="124">
        <f>SUM(AE211:AM211)-IFERROR(IFS(Projections!$I$17,AN211,Projections!$J$17,AO211),"")</f>
        <v>-5.214232224</v>
      </c>
      <c r="U211" s="124">
        <f t="shared" si="2"/>
        <v>-0.1253029037</v>
      </c>
      <c r="V211" s="124">
        <f t="array" ref="V211">INDIRECT("Update"&amp;Projections!$AG$17&amp;"!M"&amp;ROW(B192))</f>
        <v>12.64012987</v>
      </c>
      <c r="W211" s="124">
        <f t="array" ref="W211">INDIRECT("Update"&amp;Projections!$AG$17&amp;"!L"&amp;ROW(B192))</f>
        <v>2.248311688</v>
      </c>
      <c r="X211" s="124">
        <f t="array" ref="X211">INDIRECT("Update"&amp;Projections!$AG$17&amp;"!N"&amp;ROW(B192))</f>
        <v>2.983506494</v>
      </c>
      <c r="Y211" s="124">
        <f t="array" ref="Y211">INDIRECT("Update"&amp;Projections!$AG$17&amp;"!O"&amp;ROW(B192))</f>
        <v>1.942857143</v>
      </c>
      <c r="Z211" s="124">
        <f t="array" ref="Z211">INDIRECT("Update"&amp;Projections!$AG$17&amp;"!P"&amp;ROW(B192))</f>
        <v>0.5153246753</v>
      </c>
      <c r="AA211" s="124">
        <f t="array" ref="AA211">INDIRECT("Update"&amp;Projections!$AG$17&amp;"!Q"&amp;ROW(B192))</f>
        <v>0.1780519481</v>
      </c>
      <c r="AB211" s="180">
        <f t="array" ref="AB211">INDIRECT("Update"&amp;Projections!$AG$17&amp;"!I"&amp;ROW(B192))</f>
        <v>0.4888235212</v>
      </c>
      <c r="AC211" s="180">
        <f t="array" ref="AC211">INDIRECT("Update"&amp;Projections!$AG$17&amp;"!K"&amp;ROW(B192))</f>
        <v>0.7800359125</v>
      </c>
      <c r="AD211" s="124">
        <f t="array" ref="AD211">INDIRECT("Update"&amp;Projections!$AG$17&amp;"!R"&amp;ROW(B192))</f>
        <v>1.243376623</v>
      </c>
      <c r="AE211" s="124">
        <f t="shared" si="3"/>
        <v>-0.8739760972</v>
      </c>
      <c r="AF211" s="124">
        <f t="shared" si="4"/>
        <v>0.495612156</v>
      </c>
      <c r="AG211" s="124">
        <f t="shared" si="5"/>
        <v>-1.214843826</v>
      </c>
      <c r="AH211" s="124">
        <f t="shared" si="6"/>
        <v>-0.9039516912</v>
      </c>
      <c r="AI211" s="124">
        <f t="shared" si="7"/>
        <v>-1.52405834</v>
      </c>
      <c r="AJ211" s="124">
        <f t="shared" si="8"/>
        <v>-1.017775701</v>
      </c>
      <c r="AK211" s="124">
        <f t="shared" si="9"/>
        <v>-0.09170312755</v>
      </c>
      <c r="AL211" s="124">
        <f t="shared" si="10"/>
        <v>-0.08353559724</v>
      </c>
      <c r="AM211" s="124">
        <f t="shared" si="11"/>
        <v>0</v>
      </c>
      <c r="AN211" s="183">
        <f t="shared" si="12"/>
        <v>-1.52405834</v>
      </c>
      <c r="AO211" s="183">
        <f t="shared" si="13"/>
        <v>-2.738902166</v>
      </c>
      <c r="AP211" s="183">
        <f t="array" ref="AP211">INDIRECT("Update"&amp;Projections!$AG$17&amp;"!S"&amp;ROW(B192))</f>
        <v>9.35987013</v>
      </c>
      <c r="AQ211" s="183">
        <f t="array" ref="AQ211">INDIRECT("Update"&amp;Projections!$AG$17&amp;"!T"&amp;ROW(B192))</f>
        <v>1.591168831</v>
      </c>
    </row>
    <row r="212">
      <c r="A212" s="40" t="str">
        <f>IF(UpdateHashtag!C210="",ROW(UpdateHashtag!C210),UpdateHashtag!C210)</f>
        <v>Cason Wallace</v>
      </c>
      <c r="B212" s="41">
        <f>IF(TYPE($A212)=1,"",(UpdateHashtag!M210-B$1)/B$2)</f>
        <v>-1.818539054</v>
      </c>
      <c r="C212" s="41">
        <f>IF(TYPE($A212)=1,"",(UpdateHashtag!L210-C$1)/C$2)</f>
        <v>-0.4450452712</v>
      </c>
      <c r="D212" s="41">
        <f>IF(TYPE($A212)=1,"",(UpdateHashtag!N210-D$1)/D$2)</f>
        <v>-1.404333404</v>
      </c>
      <c r="E212" s="41">
        <f>IF(TYPE($A212)=1,"",(UpdateHashtag!O210-E$1)/E$2)</f>
        <v>-1.059656289</v>
      </c>
      <c r="F212" s="41">
        <f>IF(TYPE($A212)=1,"",(UpdateHashtag!P210-F$1)/F$2)</f>
        <v>0.0793995211</v>
      </c>
      <c r="G212" s="41">
        <f>IF(TYPE($A212)=1,"",(UpdateHashtag!Q210-G$1)/G$2)</f>
        <v>-0.4435337589</v>
      </c>
      <c r="H212" s="41">
        <f>IF(TYPE($A212)=1,"",(UpdateHashtag!I210-H$1)/H$2*I212/$I$1)</f>
        <v>-0.04214211707</v>
      </c>
      <c r="I212" s="41">
        <f>UpdateHashtag!S210</f>
        <v>5.8</v>
      </c>
      <c r="J212" s="53">
        <f>IF(TYPE($A212)=1,"",(UpdateHashtag!K210-J$1)/J$2*K212/$K$1)</f>
        <v>-0.03333896627</v>
      </c>
      <c r="K212" s="55">
        <f>UpdateHashtag!T210</f>
        <v>0.5</v>
      </c>
      <c r="L212" s="41">
        <f>IF(TYPE($A212)=1,"",-(UpdateHashtag!R210-L$1)/L$2)</f>
        <v>1.139395249</v>
      </c>
      <c r="N212" s="112">
        <v>192.0</v>
      </c>
      <c r="O212" s="170">
        <f t="array" ref="O212">INDIRECT("Update"&amp;Projections!$AG$17&amp;"!B"&amp;ROW(B193))</f>
        <v>144.3</v>
      </c>
      <c r="P212" s="172" t="str">
        <f t="array" ref="P212">INDIRECT("Update"&amp;Projections!$AG$17&amp;"!C"&amp;ROW(B193))</f>
        <v>Jalen Smith</v>
      </c>
      <c r="Q212" s="170">
        <f>UpdateHashtag!F245</f>
        <v>75</v>
      </c>
      <c r="R212" s="177" t="str">
        <f>IF(UpdateHashtag!D245="",ROW(UpdateHashtag!D245),UpdateHashtag!D245)</f>
        <v>PG,SG</v>
      </c>
      <c r="S212" s="124">
        <f t="shared" si="1"/>
        <v>-5.170421128</v>
      </c>
      <c r="T212" s="124">
        <f>SUM(AE212:AM212)-IFERROR(IFS(Projections!$I$17,AN212,Projections!$J$17,AO212),"")</f>
        <v>-5.384303288</v>
      </c>
      <c r="U212" s="124">
        <f t="shared" si="2"/>
        <v>-0.21388216</v>
      </c>
      <c r="V212" s="124">
        <f t="array" ref="V212">INDIRECT("Update"&amp;Projections!$AG$17&amp;"!M"&amp;ROW(B193))</f>
        <v>10.86161765</v>
      </c>
      <c r="W212" s="124">
        <f t="array" ref="W212">INDIRECT("Update"&amp;Projections!$AG$17&amp;"!L"&amp;ROW(B193))</f>
        <v>1.010588235</v>
      </c>
      <c r="X212" s="124">
        <f t="array" ref="X212">INDIRECT("Update"&amp;Projections!$AG$17&amp;"!N"&amp;ROW(B193))</f>
        <v>6.302647059</v>
      </c>
      <c r="Y212" s="124">
        <f t="array" ref="Y212">INDIRECT("Update"&amp;Projections!$AG$17&amp;"!O"&amp;ROW(B193))</f>
        <v>0.9432352941</v>
      </c>
      <c r="Z212" s="124">
        <f t="array" ref="Z212">INDIRECT("Update"&amp;Projections!$AG$17&amp;"!P"&amp;ROW(B193))</f>
        <v>0.3538235294</v>
      </c>
      <c r="AA212" s="124">
        <f t="array" ref="AA212">INDIRECT("Update"&amp;Projections!$AG$17&amp;"!Q"&amp;ROW(B193))</f>
        <v>0.8145588235</v>
      </c>
      <c r="AB212" s="180">
        <f t="array" ref="AB212">INDIRECT("Update"&amp;Projections!$AG$17&amp;"!I"&amp;ROW(B193))</f>
        <v>0.5243456864</v>
      </c>
      <c r="AC212" s="180">
        <f t="array" ref="AC212">INDIRECT("Update"&amp;Projections!$AG$17&amp;"!K"&amp;ROW(B193))</f>
        <v>0.73</v>
      </c>
      <c r="AD212" s="124">
        <f t="array" ref="AD212">INDIRECT("Update"&amp;Projections!$AG$17&amp;"!R"&amp;ROW(B193))</f>
        <v>0.8861764706</v>
      </c>
      <c r="AE212" s="124">
        <f t="shared" si="3"/>
        <v>-1.194562953</v>
      </c>
      <c r="AF212" s="124">
        <f t="shared" si="4"/>
        <v>-0.7321210604</v>
      </c>
      <c r="AG212" s="124">
        <f t="shared" si="5"/>
        <v>0.08595058348</v>
      </c>
      <c r="AH212" s="124">
        <f t="shared" si="6"/>
        <v>-1.357918368</v>
      </c>
      <c r="AI212" s="124">
        <f t="shared" si="7"/>
        <v>-2.058354742</v>
      </c>
      <c r="AJ212" s="124">
        <f t="shared" si="8"/>
        <v>0.1175284021</v>
      </c>
      <c r="AK212" s="124">
        <f t="shared" si="9"/>
        <v>0.2486599524</v>
      </c>
      <c r="AL212" s="124">
        <f t="shared" si="10"/>
        <v>-0.4934851023</v>
      </c>
      <c r="AM212" s="124">
        <f t="shared" si="11"/>
        <v>0</v>
      </c>
      <c r="AN212" s="183">
        <f t="shared" si="12"/>
        <v>-2.058354742</v>
      </c>
      <c r="AO212" s="183">
        <f t="shared" si="13"/>
        <v>-3.41627311</v>
      </c>
      <c r="AP212" s="183">
        <f t="array" ref="AP212">INDIRECT("Update"&amp;Projections!$AG$17&amp;"!S"&amp;ROW(B193))</f>
        <v>7.888823529</v>
      </c>
      <c r="AQ212" s="183">
        <f t="array" ref="AQ212">INDIRECT("Update"&amp;Projections!$AG$17&amp;"!T"&amp;ROW(B193))</f>
        <v>2.161764706</v>
      </c>
    </row>
    <row r="213">
      <c r="A213" s="40" t="str">
        <f>IF(UpdateHashtag!C211="",ROW(UpdateHashtag!C211),UpdateHashtag!C211)</f>
        <v>Nicolas Batum</v>
      </c>
      <c r="B213" s="41">
        <f>IF(TYPE($A213)=1,"",(UpdateHashtag!M211-B$1)/B$2)</f>
        <v>-2.034845821</v>
      </c>
      <c r="C213" s="41">
        <f>IF(TYPE($A213)=1,"",(UpdateHashtag!L211-C$1)/C$2)</f>
        <v>-0.2466595634</v>
      </c>
      <c r="D213" s="41">
        <f>IF(TYPE($A213)=1,"",(UpdateHashtag!N211-D$1)/D$2)</f>
        <v>-0.7380915098</v>
      </c>
      <c r="E213" s="41">
        <f>IF(TYPE($A213)=1,"",(UpdateHashtag!O211-E$1)/E$2)</f>
        <v>-0.9234147659</v>
      </c>
      <c r="F213" s="41">
        <f>IF(TYPE($A213)=1,"",(UpdateHashtag!P211-F$1)/F$2)</f>
        <v>-0.5822631548</v>
      </c>
      <c r="G213" s="41">
        <f>IF(TYPE($A213)=1,"",(UpdateHashtag!Q211-G$1)/G$2)</f>
        <v>-0.2651689765</v>
      </c>
      <c r="H213" s="41">
        <f>IF(TYPE($A213)=1,"",(UpdateHashtag!I211-H$1)/H$2*I213/$I$1)</f>
        <v>-0.3718728165</v>
      </c>
      <c r="I213" s="41">
        <f>UpdateHashtag!S211</f>
        <v>4.9</v>
      </c>
      <c r="J213" s="53">
        <f>IF(TYPE($A213)=1,"",(UpdateHashtag!K211-J$1)/J$2*K213/$K$1)</f>
        <v>-0.1369743198</v>
      </c>
      <c r="K213" s="55">
        <f>UpdateHashtag!T211</f>
        <v>0.5</v>
      </c>
      <c r="L213" s="41">
        <f>IF(TYPE($A213)=1,"",-(UpdateHashtag!R211-L$1)/L$2)</f>
        <v>1.040202395</v>
      </c>
      <c r="N213" s="112">
        <v>193.0</v>
      </c>
      <c r="O213" s="170">
        <f t="array" ref="O213">INDIRECT("Update"&amp;Projections!$AG$17&amp;"!B"&amp;ROW(B194))</f>
        <v>141.5</v>
      </c>
      <c r="P213" s="172" t="str">
        <f t="array" ref="P213">INDIRECT("Update"&amp;Projections!$AG$17&amp;"!C"&amp;ROW(B194))</f>
        <v>Tre Jones</v>
      </c>
      <c r="Q213" s="170">
        <f>UpdateHashtag!F257</f>
        <v>78</v>
      </c>
      <c r="R213" s="177" t="str">
        <f>IF(UpdateHashtag!D257="",ROW(UpdateHashtag!D257),UpdateHashtag!D257)</f>
        <v>SF,PF</v>
      </c>
      <c r="S213" s="124">
        <f t="shared" si="1"/>
        <v>-5.197567106</v>
      </c>
      <c r="T213" s="124">
        <f>SUM(AE213:AM213)-IFERROR(IFS(Projections!$I$17,AN213,Projections!$J$17,AO213),"")</f>
        <v>-5.338779513</v>
      </c>
      <c r="U213" s="124">
        <f t="shared" si="2"/>
        <v>-0.1412124069</v>
      </c>
      <c r="V213" s="124">
        <f t="array" ref="V213">INDIRECT("Update"&amp;Projections!$AG$17&amp;"!M"&amp;ROW(B194))</f>
        <v>7.865584416</v>
      </c>
      <c r="W213" s="124">
        <f t="array" ref="W213">INDIRECT("Update"&amp;Projections!$AG$17&amp;"!L"&amp;ROW(B194))</f>
        <v>0.7527272727</v>
      </c>
      <c r="X213" s="124">
        <f t="array" ref="X213">INDIRECT("Update"&amp;Projections!$AG$17&amp;"!N"&amp;ROW(B194))</f>
        <v>3.162467532</v>
      </c>
      <c r="Y213" s="124">
        <f t="array" ref="Y213">INDIRECT("Update"&amp;Projections!$AG$17&amp;"!O"&amp;ROW(B194))</f>
        <v>4.674935065</v>
      </c>
      <c r="Z213" s="124">
        <f t="array" ref="Z213">INDIRECT("Update"&amp;Projections!$AG$17&amp;"!P"&amp;ROW(B194))</f>
        <v>0.7392207792</v>
      </c>
      <c r="AA213" s="124">
        <f t="array" ref="AA213">INDIRECT("Update"&amp;Projections!$AG$17&amp;"!Q"&amp;ROW(B194))</f>
        <v>0.09480519481</v>
      </c>
      <c r="AB213" s="180">
        <f t="array" ref="AB213">INDIRECT("Update"&amp;Projections!$AG$17&amp;"!I"&amp;ROW(B194))</f>
        <v>0.4952052404</v>
      </c>
      <c r="AC213" s="180">
        <f t="array" ref="AC213">INDIRECT("Update"&amp;Projections!$AG$17&amp;"!K"&amp;ROW(B194))</f>
        <v>0.8389373717</v>
      </c>
      <c r="AD213" s="124">
        <f t="array" ref="AD213">INDIRECT("Update"&amp;Projections!$AG$17&amp;"!R"&amp;ROW(B194))</f>
        <v>1.179220779</v>
      </c>
      <c r="AE213" s="124">
        <f t="shared" si="3"/>
        <v>-1.734614838</v>
      </c>
      <c r="AF213" s="124">
        <f t="shared" si="4"/>
        <v>-0.987900708</v>
      </c>
      <c r="AG213" s="124">
        <f t="shared" si="5"/>
        <v>-1.144707743</v>
      </c>
      <c r="AH213" s="124">
        <f t="shared" si="6"/>
        <v>0.3367898309</v>
      </c>
      <c r="AI213" s="124">
        <f t="shared" si="7"/>
        <v>-0.7833398641</v>
      </c>
      <c r="AJ213" s="124">
        <f t="shared" si="8"/>
        <v>-1.166258591</v>
      </c>
      <c r="AK213" s="124">
        <f t="shared" si="9"/>
        <v>-0.01501768672</v>
      </c>
      <c r="AL213" s="124">
        <f t="shared" si="10"/>
        <v>0.1562700867</v>
      </c>
      <c r="AM213" s="124">
        <f t="shared" si="11"/>
        <v>0</v>
      </c>
      <c r="AN213" s="183">
        <f t="shared" si="12"/>
        <v>-1.734614838</v>
      </c>
      <c r="AO213" s="183">
        <f t="shared" si="13"/>
        <v>-2.900873429</v>
      </c>
      <c r="AP213" s="183">
        <f t="array" ref="AP213">INDIRECT("Update"&amp;Projections!$AG$17&amp;"!S"&amp;ROW(B194))</f>
        <v>6.324545455</v>
      </c>
      <c r="AQ213" s="183">
        <f t="array" ref="AQ213">INDIRECT("Update"&amp;Projections!$AG$17&amp;"!T"&amp;ROW(B194))</f>
        <v>1.011948052</v>
      </c>
    </row>
    <row r="214">
      <c r="A214" s="40" t="str">
        <f>IF(UpdateHashtag!C212="",ROW(UpdateHashtag!C212),UpdateHashtag!C212)</f>
        <v>Harrison Barnes</v>
      </c>
      <c r="B214" s="41">
        <f>IF(TYPE($A214)=1,"",(UpdateHashtag!M212-B$1)/B$2)</f>
        <v>-0.9533119881</v>
      </c>
      <c r="C214" s="41">
        <f>IF(TYPE($A214)=1,"",(UpdateHashtag!L212-C$1)/C$2)</f>
        <v>-0.2466595634</v>
      </c>
      <c r="D214" s="41">
        <f>IF(TYPE($A214)=1,"",(UpdateHashtag!N212-D$1)/D$2)</f>
        <v>-1.051617107</v>
      </c>
      <c r="E214" s="41">
        <f>IF(TYPE($A214)=1,"",(UpdateHashtag!O212-E$1)/E$2)</f>
        <v>-1.241311653</v>
      </c>
      <c r="F214" s="41">
        <f>IF(TYPE($A214)=1,"",(UpdateHashtag!P212-F$1)/F$2)</f>
        <v>-1.243925831</v>
      </c>
      <c r="G214" s="41">
        <f>IF(TYPE($A214)=1,"",(UpdateHashtag!Q212-G$1)/G$2)</f>
        <v>-1.156992888</v>
      </c>
      <c r="H214" s="41">
        <f>IF(TYPE($A214)=1,"",(UpdateHashtag!I212-H$1)/H$2*I214/$I$1)</f>
        <v>-0.2369034317</v>
      </c>
      <c r="I214" s="41">
        <f>UpdateHashtag!S212</f>
        <v>8.4</v>
      </c>
      <c r="J214" s="53">
        <f>IF(TYPE($A214)=1,"",(UpdateHashtag!K212-J$1)/J$2*K214/$K$1)</f>
        <v>0.4291768339</v>
      </c>
      <c r="K214" s="55">
        <f>UpdateHashtag!T212</f>
        <v>3.3</v>
      </c>
      <c r="L214" s="41">
        <f>IF(TYPE($A214)=1,"",-(UpdateHashtag!R212-L$1)/L$2)</f>
        <v>0.9410095407</v>
      </c>
      <c r="N214" s="5">
        <v>194.0</v>
      </c>
      <c r="O214" s="170">
        <f t="array" ref="O214">INDIRECT("Update"&amp;Projections!$AG$17&amp;"!B"&amp;ROW(B195))</f>
        <v>142.6</v>
      </c>
      <c r="P214" s="172" t="str">
        <f t="array" ref="P214">INDIRECT("Update"&amp;Projections!$AG$17&amp;"!C"&amp;ROW(B195))</f>
        <v>Nikola Jovic</v>
      </c>
      <c r="Q214" s="170">
        <f>UpdateHashtag!F252</f>
        <v>60</v>
      </c>
      <c r="R214" s="177" t="str">
        <f>IF(UpdateHashtag!D252="",ROW(UpdateHashtag!D252),UpdateHashtag!D252)</f>
        <v>SF,PF</v>
      </c>
      <c r="S214" s="124">
        <f t="shared" si="1"/>
        <v>-5.007398999</v>
      </c>
      <c r="T214" s="124">
        <f>SUM(AE214:AM214)-IFERROR(IFS(Projections!$I$17,AN214,Projections!$J$17,AO214),"")</f>
        <v>-5.210515617</v>
      </c>
      <c r="U214" s="124">
        <f t="shared" si="2"/>
        <v>-0.2031166181</v>
      </c>
      <c r="V214" s="124">
        <f t="array" ref="V214">INDIRECT("Update"&amp;Projections!$AG$17&amp;"!M"&amp;ROW(B195))</f>
        <v>9.088630137</v>
      </c>
      <c r="W214" s="124">
        <f t="array" ref="W214">INDIRECT("Update"&amp;Projections!$AG$17&amp;"!L"&amp;ROW(B195))</f>
        <v>1.663972603</v>
      </c>
      <c r="X214" s="124">
        <f t="array" ref="X214">INDIRECT("Update"&amp;Projections!$AG$17&amp;"!N"&amp;ROW(B195))</f>
        <v>4.694383562</v>
      </c>
      <c r="Y214" s="124">
        <f t="array" ref="Y214">INDIRECT("Update"&amp;Projections!$AG$17&amp;"!O"&amp;ROW(B195))</f>
        <v>2.249589041</v>
      </c>
      <c r="Z214" s="124">
        <f t="array" ref="Z214">INDIRECT("Update"&amp;Projections!$AG$17&amp;"!P"&amp;ROW(B195))</f>
        <v>0.6689041096</v>
      </c>
      <c r="AA214" s="124">
        <f t="array" ref="AA214">INDIRECT("Update"&amp;Projections!$AG$17&amp;"!Q"&amp;ROW(B195))</f>
        <v>0.32</v>
      </c>
      <c r="AB214" s="180">
        <f t="array" ref="AB214">INDIRECT("Update"&amp;Projections!$AG$17&amp;"!I"&amp;ROW(B195))</f>
        <v>0.445809156</v>
      </c>
      <c r="AC214" s="180">
        <f t="array" ref="AC214">INDIRECT("Update"&amp;Projections!$AG$17&amp;"!K"&amp;ROW(B195))</f>
        <v>0.773021684</v>
      </c>
      <c r="AD214" s="124">
        <f t="array" ref="AD214">INDIRECT("Update"&amp;Projections!$AG$17&amp;"!R"&amp;ROW(B195))</f>
        <v>0.9295890411</v>
      </c>
      <c r="AE214" s="124">
        <f t="shared" si="3"/>
        <v>-1.51415395</v>
      </c>
      <c r="AF214" s="124">
        <f t="shared" si="4"/>
        <v>-0.08401045884</v>
      </c>
      <c r="AG214" s="124">
        <f t="shared" si="5"/>
        <v>-0.5443391329</v>
      </c>
      <c r="AH214" s="124">
        <f t="shared" si="6"/>
        <v>-0.7646529549</v>
      </c>
      <c r="AI214" s="124">
        <f t="shared" si="7"/>
        <v>-1.015969443</v>
      </c>
      <c r="AJ214" s="124">
        <f t="shared" si="8"/>
        <v>-0.7645903672</v>
      </c>
      <c r="AK214" s="124">
        <f t="shared" si="9"/>
        <v>-0.4477506825</v>
      </c>
      <c r="AL214" s="124">
        <f t="shared" si="10"/>
        <v>-0.07504862778</v>
      </c>
      <c r="AM214" s="124">
        <f t="shared" si="11"/>
        <v>0</v>
      </c>
      <c r="AN214" s="183">
        <f t="shared" si="12"/>
        <v>-1.51415395</v>
      </c>
      <c r="AO214" s="183">
        <f t="shared" si="13"/>
        <v>-2.530123393</v>
      </c>
      <c r="AP214" s="183">
        <f t="array" ref="AP214">INDIRECT("Update"&amp;Projections!$AG$17&amp;"!S"&amp;ROW(B195))</f>
        <v>7.48369863</v>
      </c>
      <c r="AQ214" s="183">
        <f t="array" ref="AQ214">INDIRECT("Update"&amp;Projections!$AG$17&amp;"!T"&amp;ROW(B195))</f>
        <v>0.9728767123</v>
      </c>
    </row>
    <row r="215">
      <c r="A215" s="40" t="str">
        <f>IF(UpdateHashtag!C213="",ROW(UpdateHashtag!C213),UpdateHashtag!C213)</f>
        <v>Larry Nance Jr.</v>
      </c>
      <c r="B215" s="41">
        <f>IF(TYPE($A215)=1,"",(UpdateHashtag!M213-B$1)/B$2)</f>
        <v>-2.088922512</v>
      </c>
      <c r="C215" s="41">
        <f>IF(TYPE($A215)=1,"",(UpdateHashtag!L213-C$1)/C$2)</f>
        <v>-1.43697381</v>
      </c>
      <c r="D215" s="41">
        <f>IF(TYPE($A215)=1,"",(UpdateHashtag!N213-D$1)/D$2)</f>
        <v>-0.4637566123</v>
      </c>
      <c r="E215" s="41">
        <f>IF(TYPE($A215)=1,"",(UpdateHashtag!O213-E$1)/E$2)</f>
        <v>-1.014242448</v>
      </c>
      <c r="F215" s="41">
        <f>IF(TYPE($A215)=1,"",(UpdateHashtag!P213-F$1)/F$2)</f>
        <v>-0.2514318168</v>
      </c>
      <c r="G215" s="41">
        <f>IF(TYPE($A215)=1,"",(UpdateHashtag!Q213-G$1)/G$2)</f>
        <v>-0.6218985413</v>
      </c>
      <c r="H215" s="41">
        <f>IF(TYPE($A215)=1,"",(UpdateHashtag!I213-H$1)/H$2*I215/$I$1)</f>
        <v>0.4566440276</v>
      </c>
      <c r="I215" s="41">
        <f>UpdateHashtag!S213</f>
        <v>4.1</v>
      </c>
      <c r="J215" s="53">
        <f>IF(TYPE($A215)=1,"",(UpdateHashtag!K213-J$1)/J$2*K215/$K$1)</f>
        <v>-0.1755828803</v>
      </c>
      <c r="K215" s="55">
        <f>UpdateHashtag!T213</f>
        <v>1</v>
      </c>
      <c r="L215" s="41">
        <f>IF(TYPE($A215)=1,"",-(UpdateHashtag!R213-L$1)/L$2)</f>
        <v>1.040202395</v>
      </c>
      <c r="N215" s="112">
        <v>195.0</v>
      </c>
      <c r="O215" s="170">
        <f t="array" ref="O215">INDIRECT("Update"&amp;Projections!$AG$17&amp;"!B"&amp;ROW(B196))</f>
        <v>144.4</v>
      </c>
      <c r="P215" s="172" t="str">
        <f t="array" ref="P215">INDIRECT("Update"&amp;Projections!$AG$17&amp;"!C"&amp;ROW(B196))</f>
        <v>Bojan Bogdanovic</v>
      </c>
      <c r="Q215" s="170">
        <f>UpdateHashtag!F254</f>
        <v>68</v>
      </c>
      <c r="R215" s="177" t="str">
        <f>IF(UpdateHashtag!D254="",ROW(UpdateHashtag!D254),UpdateHashtag!D254)</f>
        <v>PG</v>
      </c>
      <c r="S215" s="124">
        <f t="shared" si="1"/>
        <v>-5.073694246</v>
      </c>
      <c r="T215" s="124">
        <f>SUM(AE215:AM215)-IFERROR(IFS(Projections!$I$17,AN215,Projections!$J$17,AO215),"")</f>
        <v>-5.127451782</v>
      </c>
      <c r="U215" s="124">
        <f t="shared" si="2"/>
        <v>-0.05375753609</v>
      </c>
      <c r="V215" s="124">
        <f t="array" ref="V215">INDIRECT("Update"&amp;Projections!$AG$17&amp;"!M"&amp;ROW(B196))</f>
        <v>15.81622642</v>
      </c>
      <c r="W215" s="124">
        <f t="array" ref="W215">INDIRECT("Update"&amp;Projections!$AG$17&amp;"!L"&amp;ROW(B196))</f>
        <v>2.423018868</v>
      </c>
      <c r="X215" s="124">
        <f t="array" ref="X215">INDIRECT("Update"&amp;Projections!$AG$17&amp;"!N"&amp;ROW(B196))</f>
        <v>2.954339623</v>
      </c>
      <c r="Y215" s="124">
        <f t="array" ref="Y215">INDIRECT("Update"&amp;Projections!$AG$17&amp;"!O"&amp;ROW(B196))</f>
        <v>1.477169811</v>
      </c>
      <c r="Z215" s="124">
        <f t="array" ref="Z215">INDIRECT("Update"&amp;Projections!$AG$17&amp;"!P"&amp;ROW(B196))</f>
        <v>0.5077358491</v>
      </c>
      <c r="AA215" s="124">
        <f t="array" ref="AA215">INDIRECT("Update"&amp;Projections!$AG$17&amp;"!Q"&amp;ROW(B196))</f>
        <v>0.1073584906</v>
      </c>
      <c r="AB215" s="180">
        <f t="array" ref="AB215">INDIRECT("Update"&amp;Projections!$AG$17&amp;"!I"&amp;ROW(B196))</f>
        <v>0.4501109645</v>
      </c>
      <c r="AC215" s="180">
        <f t="array" ref="AC215">INDIRECT("Update"&amp;Projections!$AG$17&amp;"!K"&amp;ROW(B196))</f>
        <v>0.8209626631</v>
      </c>
      <c r="AD215" s="124">
        <f t="array" ref="AD215">INDIRECT("Update"&amp;Projections!$AG$17&amp;"!R"&amp;ROW(B196))</f>
        <v>1.531886792</v>
      </c>
      <c r="AE215" s="124">
        <f t="shared" si="3"/>
        <v>-0.3014667849</v>
      </c>
      <c r="AF215" s="124">
        <f t="shared" si="4"/>
        <v>0.6689091939</v>
      </c>
      <c r="AG215" s="124">
        <f t="shared" si="5"/>
        <v>-1.226274527</v>
      </c>
      <c r="AH215" s="124">
        <f t="shared" si="6"/>
        <v>-1.115438195</v>
      </c>
      <c r="AI215" s="124">
        <f t="shared" si="7"/>
        <v>-1.549164555</v>
      </c>
      <c r="AJ215" s="124">
        <f t="shared" si="8"/>
        <v>-1.143867933</v>
      </c>
      <c r="AK215" s="124">
        <f t="shared" si="9"/>
        <v>-0.6898613726</v>
      </c>
      <c r="AL215" s="124">
        <f t="shared" si="10"/>
        <v>0.2297123914</v>
      </c>
      <c r="AM215" s="124">
        <f t="shared" si="11"/>
        <v>0</v>
      </c>
      <c r="AN215" s="183">
        <f t="shared" si="12"/>
        <v>-1.549164555</v>
      </c>
      <c r="AO215" s="183">
        <f t="shared" si="13"/>
        <v>-2.775439082</v>
      </c>
      <c r="AP215" s="183">
        <f t="array" ref="AP215">INDIRECT("Update"&amp;Projections!$AG$17&amp;"!S"&amp;ROW(B196))</f>
        <v>12.58264151</v>
      </c>
      <c r="AQ215" s="183">
        <f t="array" ref="AQ215">INDIRECT("Update"&amp;Projections!$AG$17&amp;"!T"&amp;ROW(B196))</f>
        <v>2.516603774</v>
      </c>
    </row>
    <row r="216">
      <c r="A216" s="40" t="str">
        <f>IF(UpdateHashtag!C214="",ROW(UpdateHashtag!C214),UpdateHashtag!C214)</f>
        <v>Payton Pritchard</v>
      </c>
      <c r="B216" s="41">
        <f>IF(TYPE($A216)=1,"",(UpdateHashtag!M214-B$1)/B$2)</f>
        <v>-1.259746574</v>
      </c>
      <c r="C216" s="41">
        <f>IF(TYPE($A216)=1,"",(UpdateHashtag!L214-C$1)/C$2)</f>
        <v>0.2493047061</v>
      </c>
      <c r="D216" s="41">
        <f>IF(TYPE($A216)=1,"",(UpdateHashtag!N214-D$1)/D$2)</f>
        <v>-1.012426407</v>
      </c>
      <c r="E216" s="41">
        <f>IF(TYPE($A216)=1,"",(UpdateHashtag!O214-E$1)/E$2)</f>
        <v>-0.2422071517</v>
      </c>
      <c r="F216" s="41">
        <f>IF(TYPE($A216)=1,"",(UpdateHashtag!P214-F$1)/F$2)</f>
        <v>-1.574757169</v>
      </c>
      <c r="G216" s="41">
        <f>IF(TYPE($A216)=1,"",(UpdateHashtag!Q214-G$1)/G$2)</f>
        <v>-1.156992888</v>
      </c>
      <c r="H216" s="41">
        <f>IF(TYPE($A216)=1,"",(UpdateHashtag!I214-H$1)/H$2*I216/$I$1)</f>
        <v>-0.4529009739</v>
      </c>
      <c r="I216" s="41">
        <f>UpdateHashtag!S214</f>
        <v>8.8</v>
      </c>
      <c r="J216" s="53">
        <f>IF(TYPE($A216)=1,"",(UpdateHashtag!K214-J$1)/J$2*K216/$K$1)</f>
        <v>0.02709976668</v>
      </c>
      <c r="K216" s="55">
        <f>UpdateHashtag!T214</f>
        <v>0.7</v>
      </c>
      <c r="L216" s="41">
        <f>IF(TYPE($A216)=1,"",-(UpdateHashtag!R214-L$1)/L$2)</f>
        <v>0.7426238329</v>
      </c>
      <c r="N216" s="112">
        <v>196.0</v>
      </c>
      <c r="O216" s="170">
        <f t="array" ref="O216">INDIRECT("Update"&amp;Projections!$AG$17&amp;"!B"&amp;ROW(B197))</f>
        <v>141.2</v>
      </c>
      <c r="P216" s="172" t="str">
        <f t="array" ref="P216">INDIRECT("Update"&amp;Projections!$AG$17&amp;"!C"&amp;ROW(B197))</f>
        <v>Jaden McDaniels</v>
      </c>
      <c r="Q216" s="170">
        <f>UpdateHashtag!F251</f>
        <v>34</v>
      </c>
      <c r="R216" s="177" t="str">
        <f>IF(UpdateHashtag!D251="",ROW(UpdateHashtag!D251),UpdateHashtag!D251)</f>
        <v>PG,SG</v>
      </c>
      <c r="S216" s="124">
        <f t="shared" si="1"/>
        <v>-5.179849255</v>
      </c>
      <c r="T216" s="124">
        <f>SUM(AE216:AM216)-IFERROR(IFS(Projections!$I$17,AN216,Projections!$J$17,AO216),"")</f>
        <v>-5.305208187</v>
      </c>
      <c r="U216" s="124">
        <f t="shared" si="2"/>
        <v>-0.1253589323</v>
      </c>
      <c r="V216" s="124">
        <f t="array" ref="V216">INDIRECT("Update"&amp;Projections!$AG$17&amp;"!M"&amp;ROW(B197))</f>
        <v>9.067123288</v>
      </c>
      <c r="W216" s="124">
        <f t="array" ref="W216">INDIRECT("Update"&amp;Projections!$AG$17&amp;"!L"&amp;ROW(B197))</f>
        <v>1.049863014</v>
      </c>
      <c r="X216" s="124">
        <f t="array" ref="X216">INDIRECT("Update"&amp;Projections!$AG$17&amp;"!N"&amp;ROW(B197))</f>
        <v>3.315616438</v>
      </c>
      <c r="Y216" s="124">
        <f t="array" ref="Y216">INDIRECT("Update"&amp;Projections!$AG$17&amp;"!O"&amp;ROW(B197))</f>
        <v>1.422328767</v>
      </c>
      <c r="Z216" s="124">
        <f t="array" ref="Z216">INDIRECT("Update"&amp;Projections!$AG$17&amp;"!P"&amp;ROW(B197))</f>
        <v>0.8291780822</v>
      </c>
      <c r="AA216" s="124">
        <f t="array" ref="AA216">INDIRECT("Update"&amp;Projections!$AG$17&amp;"!Q"&amp;ROW(B197))</f>
        <v>0.7697260274</v>
      </c>
      <c r="AB216" s="180">
        <f t="array" ref="AB216">INDIRECT("Update"&amp;Projections!$AG$17&amp;"!I"&amp;ROW(B197))</f>
        <v>0.4829948083</v>
      </c>
      <c r="AC216" s="180">
        <f t="array" ref="AC216">INDIRECT("Update"&amp;Projections!$AG$17&amp;"!K"&amp;ROW(B197))</f>
        <v>0.7149544863</v>
      </c>
      <c r="AD216" s="124">
        <f t="array" ref="AD216">INDIRECT("Update"&amp;Projections!$AG$17&amp;"!R"&amp;ROW(B197))</f>
        <v>1.243150685</v>
      </c>
      <c r="AE216" s="124">
        <f t="shared" si="3"/>
        <v>-1.518030681</v>
      </c>
      <c r="AF216" s="124">
        <f t="shared" si="4"/>
        <v>-0.6931632863</v>
      </c>
      <c r="AG216" s="124">
        <f t="shared" si="5"/>
        <v>-1.084687615</v>
      </c>
      <c r="AH216" s="124">
        <f t="shared" si="6"/>
        <v>-1.14034362</v>
      </c>
      <c r="AI216" s="124">
        <f t="shared" si="7"/>
        <v>-0.485732915</v>
      </c>
      <c r="AJ216" s="124">
        <f t="shared" si="8"/>
        <v>0.03756248294</v>
      </c>
      <c r="AK216" s="124">
        <f t="shared" si="9"/>
        <v>-0.124658372</v>
      </c>
      <c r="AL216" s="124">
        <f t="shared" si="10"/>
        <v>-0.2961541807</v>
      </c>
      <c r="AM216" s="124">
        <f t="shared" si="11"/>
        <v>0</v>
      </c>
      <c r="AN216" s="183">
        <f t="shared" si="12"/>
        <v>-1.518030681</v>
      </c>
      <c r="AO216" s="183">
        <f t="shared" si="13"/>
        <v>-2.658374301</v>
      </c>
      <c r="AP216" s="183">
        <f t="array" ref="AP216">INDIRECT("Update"&amp;Projections!$AG$17&amp;"!S"&amp;ROW(B197))</f>
        <v>7.519863014</v>
      </c>
      <c r="AQ216" s="183">
        <f t="array" ref="AQ216">INDIRECT("Update"&amp;Projections!$AG$17&amp;"!T"&amp;ROW(B197))</f>
        <v>1.053424658</v>
      </c>
    </row>
    <row r="217">
      <c r="A217" s="40" t="str">
        <f>IF(UpdateHashtag!C215="",ROW(UpdateHashtag!C215),UpdateHashtag!C215)</f>
        <v>Obi Toppin</v>
      </c>
      <c r="B217" s="41">
        <f>IF(TYPE($A217)=1,"",(UpdateHashtag!M215-B$1)/B$2)</f>
        <v>-1.403951085</v>
      </c>
      <c r="C217" s="41">
        <f>IF(TYPE($A217)=1,"",(UpdateHashtag!L215-C$1)/C$2)</f>
        <v>-0.3458524173</v>
      </c>
      <c r="D217" s="41">
        <f>IF(TYPE($A217)=1,"",(UpdateHashtag!N215-D$1)/D$2)</f>
        <v>-0.9340450079</v>
      </c>
      <c r="E217" s="41">
        <f>IF(TYPE($A217)=1,"",(UpdateHashtag!O215-E$1)/E$2)</f>
        <v>-1.150483971</v>
      </c>
      <c r="F217" s="41">
        <f>IF(TYPE($A217)=1,"",(UpdateHashtag!P215-F$1)/F$2)</f>
        <v>-1.574757169</v>
      </c>
      <c r="G217" s="41">
        <f>IF(TYPE($A217)=1,"",(UpdateHashtag!Q215-G$1)/G$2)</f>
        <v>-0.6218985413</v>
      </c>
      <c r="H217" s="41">
        <f>IF(TYPE($A217)=1,"",(UpdateHashtag!I215-H$1)/H$2*I217/$I$1)</f>
        <v>0.1932003519</v>
      </c>
      <c r="I217" s="41">
        <f>UpdateHashtag!S215</f>
        <v>7.3</v>
      </c>
      <c r="J217" s="53">
        <f>IF(TYPE($A217)=1,"",(UpdateHashtag!K215-J$1)/J$2*K217/$K$1)</f>
        <v>-0.01151581996</v>
      </c>
      <c r="K217" s="55">
        <f>UpdateHashtag!T215</f>
        <v>1.1</v>
      </c>
      <c r="L217" s="41">
        <f>IF(TYPE($A217)=1,"",-(UpdateHashtag!R215-L$1)/L$2)</f>
        <v>0.9410095407</v>
      </c>
      <c r="N217" s="5">
        <v>197.0</v>
      </c>
      <c r="O217" s="170">
        <f t="array" ref="O217">INDIRECT("Update"&amp;Projections!$AG$17&amp;"!B"&amp;ROW(B198))</f>
        <v>143.9</v>
      </c>
      <c r="P217" s="172" t="str">
        <f t="array" ref="P217">INDIRECT("Update"&amp;Projections!$AG$17&amp;"!C"&amp;ROW(B198))</f>
        <v>Precious Achiuwa</v>
      </c>
      <c r="Q217" s="170">
        <f>UpdateHashtag!F262</f>
        <v>68</v>
      </c>
      <c r="R217" s="177" t="str">
        <f>IF(UpdateHashtag!D262="",ROW(UpdateHashtag!D262),UpdateHashtag!D262)</f>
        <v>PG</v>
      </c>
      <c r="S217" s="124">
        <f t="shared" si="1"/>
        <v>-5.301046625</v>
      </c>
      <c r="T217" s="124">
        <f>SUM(AE217:AM217)-IFERROR(IFS(Projections!$I$17,AN217,Projections!$J$17,AO217),"")</f>
        <v>-5.461326877</v>
      </c>
      <c r="U217" s="124">
        <f t="shared" si="2"/>
        <v>-0.1602802521</v>
      </c>
      <c r="V217" s="124">
        <f t="array" ref="V217">INDIRECT("Update"&amp;Projections!$AG$17&amp;"!M"&amp;ROW(B198))</f>
        <v>7.831643836</v>
      </c>
      <c r="W217" s="124">
        <f t="array" ref="W217">INDIRECT("Update"&amp;Projections!$AG$17&amp;"!L"&amp;ROW(B198))</f>
        <v>0.2912328767</v>
      </c>
      <c r="X217" s="124">
        <f t="array" ref="X217">INDIRECT("Update"&amp;Projections!$AG$17&amp;"!N"&amp;ROW(B198))</f>
        <v>7.083972603</v>
      </c>
      <c r="Y217" s="124">
        <f t="array" ref="Y217">INDIRECT("Update"&amp;Projections!$AG$17&amp;"!O"&amp;ROW(B198))</f>
        <v>1.012054795</v>
      </c>
      <c r="Z217" s="124">
        <f t="array" ref="Z217">INDIRECT("Update"&amp;Projections!$AG$17&amp;"!P"&amp;ROW(B198))</f>
        <v>0.5997260274</v>
      </c>
      <c r="AA217" s="124">
        <f t="array" ref="AA217">INDIRECT("Update"&amp;Projections!$AG$17&amp;"!Q"&amp;ROW(B198))</f>
        <v>1.012054795</v>
      </c>
      <c r="AB217" s="180">
        <f t="array" ref="AB217">INDIRECT("Update"&amp;Projections!$AG$17&amp;"!I"&amp;ROW(B198))</f>
        <v>0.518197982</v>
      </c>
      <c r="AC217" s="180">
        <f t="array" ref="AC217">INDIRECT("Update"&amp;Projections!$AG$17&amp;"!K"&amp;ROW(B198))</f>
        <v>0.6490408024</v>
      </c>
      <c r="AD217" s="124">
        <f t="array" ref="AD217">INDIRECT("Update"&amp;Projections!$AG$17&amp;"!R"&amp;ROW(B198))</f>
        <v>1.102328767</v>
      </c>
      <c r="AE217" s="124">
        <f t="shared" si="3"/>
        <v>-1.740732819</v>
      </c>
      <c r="AF217" s="124">
        <f t="shared" si="4"/>
        <v>-1.44567017</v>
      </c>
      <c r="AG217" s="124">
        <f t="shared" si="5"/>
        <v>0.3921575306</v>
      </c>
      <c r="AH217" s="124">
        <f t="shared" si="6"/>
        <v>-1.326664789</v>
      </c>
      <c r="AI217" s="124">
        <f t="shared" si="7"/>
        <v>-1.244832218</v>
      </c>
      <c r="AJ217" s="124">
        <f t="shared" si="8"/>
        <v>0.4697916619</v>
      </c>
      <c r="AK217" s="124">
        <f t="shared" si="9"/>
        <v>0.1558362927</v>
      </c>
      <c r="AL217" s="124">
        <f t="shared" si="10"/>
        <v>-0.721212367</v>
      </c>
      <c r="AM217" s="124">
        <f t="shared" si="11"/>
        <v>0</v>
      </c>
      <c r="AN217" s="183">
        <f t="shared" si="12"/>
        <v>-1.740732819</v>
      </c>
      <c r="AO217" s="183">
        <f t="shared" si="13"/>
        <v>-3.186402989</v>
      </c>
      <c r="AP217" s="183">
        <f t="array" ref="AP217">INDIRECT("Update"&amp;Projections!$AG$17&amp;"!S"&amp;ROW(B198))</f>
        <v>6.394657534</v>
      </c>
      <c r="AQ217" s="183">
        <f t="array" ref="AQ217">INDIRECT("Update"&amp;Projections!$AG$17&amp;"!T"&amp;ROW(B198))</f>
        <v>1.406712329</v>
      </c>
    </row>
    <row r="218">
      <c r="A218" s="40" t="str">
        <f>IF(UpdateHashtag!C216="",ROW(UpdateHashtag!C216),UpdateHashtag!C216)</f>
        <v>Moritz Wagner</v>
      </c>
      <c r="B218" s="41">
        <f>IF(TYPE($A218)=1,"",(UpdateHashtag!M216-B$1)/B$2)</f>
        <v>-1.295797702</v>
      </c>
      <c r="C218" s="41">
        <f>IF(TYPE($A218)=1,"",(UpdateHashtag!L216-C$1)/C$2)</f>
        <v>-1.139395249</v>
      </c>
      <c r="D218" s="41">
        <f>IF(TYPE($A218)=1,"",(UpdateHashtag!N216-D$1)/D$2)</f>
        <v>-0.7380915098</v>
      </c>
      <c r="E218" s="41">
        <f>IF(TYPE($A218)=1,"",(UpdateHashtag!O216-E$1)/E$2)</f>
        <v>-1.195897812</v>
      </c>
      <c r="F218" s="41">
        <f>IF(TYPE($A218)=1,"",(UpdateHashtag!P216-F$1)/F$2)</f>
        <v>-1.574757169</v>
      </c>
      <c r="G218" s="41">
        <f>IF(TYPE($A218)=1,"",(UpdateHashtag!Q216-G$1)/G$2)</f>
        <v>-0.978628106</v>
      </c>
      <c r="H218" s="41">
        <f>IF(TYPE($A218)=1,"",(UpdateHashtag!I216-H$1)/H$2*I218/$I$1)</f>
        <v>0.4817489303</v>
      </c>
      <c r="I218" s="41">
        <f>UpdateHashtag!S216</f>
        <v>6.6</v>
      </c>
      <c r="J218" s="53">
        <f>IF(TYPE($A218)=1,"",(UpdateHashtag!K216-J$1)/J$2*K218/$K$1)</f>
        <v>0.2942330644</v>
      </c>
      <c r="K218" s="55">
        <f>UpdateHashtag!T216</f>
        <v>2.7</v>
      </c>
      <c r="L218" s="41">
        <f>IF(TYPE($A218)=1,"",-(UpdateHashtag!R216-L$1)/L$2)</f>
        <v>0.5442381251</v>
      </c>
      <c r="N218" s="112">
        <v>198.0</v>
      </c>
      <c r="O218" s="170">
        <f t="array" ref="O218">INDIRECT("Update"&amp;Projections!$AG$17&amp;"!B"&amp;ROW(B199))</f>
        <v>146.5</v>
      </c>
      <c r="P218" s="172" t="str">
        <f t="array" ref="P218">INDIRECT("Update"&amp;Projections!$AG$17&amp;"!C"&amp;ROW(B199))</f>
        <v>De'Andre Hunter</v>
      </c>
      <c r="Q218" s="170">
        <f>UpdateHashtag!F260</f>
        <v>71</v>
      </c>
      <c r="R218" s="177" t="str">
        <f>IF(UpdateHashtag!D260="",ROW(UpdateHashtag!D260),UpdateHashtag!D260)</f>
        <v>PG,SG</v>
      </c>
      <c r="S218" s="124">
        <f t="shared" si="1"/>
        <v>-5.101474343</v>
      </c>
      <c r="T218" s="124">
        <f>SUM(AE218:AM218)-IFERROR(IFS(Projections!$I$17,AN218,Projections!$J$17,AO218),"")</f>
        <v>-5.210581062</v>
      </c>
      <c r="U218" s="124">
        <f t="shared" si="2"/>
        <v>-0.1091067188</v>
      </c>
      <c r="V218" s="124">
        <f t="array" ref="V218">INDIRECT("Update"&amp;Projections!$AG$17&amp;"!M"&amp;ROW(B199))</f>
        <v>13.77540984</v>
      </c>
      <c r="W218" s="124">
        <f t="array" ref="W218">INDIRECT("Update"&amp;Projections!$AG$17&amp;"!L"&amp;ROW(B199))</f>
        <v>1.90852459</v>
      </c>
      <c r="X218" s="124">
        <f t="array" ref="X218">INDIRECT("Update"&amp;Projections!$AG$17&amp;"!N"&amp;ROW(B199))</f>
        <v>3.487540984</v>
      </c>
      <c r="Y218" s="124">
        <f t="array" ref="Y218">INDIRECT("Update"&amp;Projections!$AG$17&amp;"!O"&amp;ROW(B199))</f>
        <v>1.518688525</v>
      </c>
      <c r="Z218" s="124">
        <f t="array" ref="Z218">INDIRECT("Update"&amp;Projections!$AG$17&amp;"!P"&amp;ROW(B199))</f>
        <v>0.551147541</v>
      </c>
      <c r="AA218" s="124">
        <f t="array" ref="AA218">INDIRECT("Update"&amp;Projections!$AG$17&amp;"!Q"&amp;ROW(B199))</f>
        <v>0.2280327869</v>
      </c>
      <c r="AB218" s="180">
        <f t="array" ref="AB218">INDIRECT("Update"&amp;Projections!$AG$17&amp;"!I"&amp;ROW(B199))</f>
        <v>0.4539943879</v>
      </c>
      <c r="AC218" s="180">
        <f t="array" ref="AC218">INDIRECT("Update"&amp;Projections!$AG$17&amp;"!K"&amp;ROW(B199))</f>
        <v>0.8239923682</v>
      </c>
      <c r="AD218" s="124">
        <f t="array" ref="AD218">INDIRECT("Update"&amp;Projections!$AG$17&amp;"!R"&amp;ROW(B199))</f>
        <v>1.308688525</v>
      </c>
      <c r="AE218" s="124">
        <f t="shared" si="3"/>
        <v>-0.6693354811</v>
      </c>
      <c r="AF218" s="124">
        <f t="shared" si="4"/>
        <v>0.1585676363</v>
      </c>
      <c r="AG218" s="124">
        <f t="shared" si="5"/>
        <v>-1.017309183</v>
      </c>
      <c r="AH218" s="124">
        <f t="shared" si="6"/>
        <v>-1.096582953</v>
      </c>
      <c r="AI218" s="124">
        <f t="shared" si="7"/>
        <v>-1.405545074</v>
      </c>
      <c r="AJ218" s="124">
        <f t="shared" si="8"/>
        <v>-0.9286274867</v>
      </c>
      <c r="AK218" s="124">
        <f t="shared" si="9"/>
        <v>-0.531984644</v>
      </c>
      <c r="AL218" s="124">
        <f t="shared" si="10"/>
        <v>0.2802361234</v>
      </c>
      <c r="AM218" s="124">
        <f t="shared" si="11"/>
        <v>0</v>
      </c>
      <c r="AN218" s="183">
        <f t="shared" si="12"/>
        <v>-1.405545074</v>
      </c>
      <c r="AO218" s="183">
        <f t="shared" si="13"/>
        <v>-2.502128027</v>
      </c>
      <c r="AP218" s="183">
        <f t="array" ref="AP218">INDIRECT("Update"&amp;Projections!$AG$17&amp;"!S"&amp;ROW(B199))</f>
        <v>10.5742623</v>
      </c>
      <c r="AQ218" s="183">
        <f t="array" ref="AQ218">INDIRECT("Update"&amp;Projections!$AG$17&amp;"!T"&amp;ROW(B199))</f>
        <v>2.749508197</v>
      </c>
    </row>
    <row r="219">
      <c r="A219" s="40" t="str">
        <f>IF(UpdateHashtag!C217="",ROW(UpdateHashtag!C217),UpdateHashtag!C217)</f>
        <v>Santi Aldama</v>
      </c>
      <c r="B219" s="41">
        <f>IF(TYPE($A219)=1,"",(UpdateHashtag!M217-B$1)/B$2)</f>
        <v>-1.458027777</v>
      </c>
      <c r="C219" s="41">
        <f>IF(TYPE($A219)=1,"",(UpdateHashtag!L217-C$1)/C$2)</f>
        <v>-0.3458524173</v>
      </c>
      <c r="D219" s="41">
        <f>IF(TYPE($A219)=1,"",(UpdateHashtag!N217-D$1)/D$2)</f>
        <v>-0.3853752131</v>
      </c>
      <c r="E219" s="41">
        <f>IF(TYPE($A219)=1,"",(UpdateHashtag!O217-E$1)/E$2)</f>
        <v>-1.059656289</v>
      </c>
      <c r="F219" s="41">
        <f>IF(TYPE($A219)=1,"",(UpdateHashtag!P217-F$1)/F$2)</f>
        <v>-1.243925831</v>
      </c>
      <c r="G219" s="41">
        <f>IF(TYPE($A219)=1,"",(UpdateHashtag!Q217-G$1)/G$2)</f>
        <v>-0.08680419409</v>
      </c>
      <c r="H219" s="41">
        <f>IF(TYPE($A219)=1,"",(UpdateHashtag!I217-H$1)/H$2*I219/$I$1)</f>
        <v>-0.3999817777</v>
      </c>
      <c r="I219" s="41">
        <f>UpdateHashtag!S217</f>
        <v>7.6</v>
      </c>
      <c r="J219" s="53">
        <f>IF(TYPE($A219)=1,"",(UpdateHashtag!K217-J$1)/J$2*K219/$K$1)</f>
        <v>-0.5226313314</v>
      </c>
      <c r="K219" s="55">
        <f>UpdateHashtag!T217</f>
        <v>1.6</v>
      </c>
      <c r="L219" s="41">
        <f>IF(TYPE($A219)=1,"",-(UpdateHashtag!R217-L$1)/L$2)</f>
        <v>0.8418166868</v>
      </c>
      <c r="N219" s="112">
        <v>199.0</v>
      </c>
      <c r="O219" s="170" t="str">
        <f t="array" ref="O219">INDIRECT("Update"&amp;Projections!$AG$17&amp;"!B"&amp;ROW(B200))</f>
        <v/>
      </c>
      <c r="P219" s="172" t="str">
        <f t="array" ref="P219">INDIRECT("Update"&amp;Projections!$AG$17&amp;"!C"&amp;ROW(B200))</f>
        <v>Taurean Prince</v>
      </c>
      <c r="Q219" s="170">
        <f>UpdateHashtag!F261</f>
        <v>60</v>
      </c>
      <c r="R219" s="177" t="str">
        <f>IF(UpdateHashtag!D261="",ROW(UpdateHashtag!D261),UpdateHashtag!D261)</f>
        <v>C</v>
      </c>
      <c r="S219" s="124">
        <f t="shared" si="1"/>
        <v>-5.063838731</v>
      </c>
      <c r="T219" s="124">
        <f>SUM(AE219:AM219)-IFERROR(IFS(Projections!$I$17,AN219,Projections!$J$17,AO219),"")</f>
        <v>-5.225375879</v>
      </c>
      <c r="U219" s="124">
        <f t="shared" si="2"/>
        <v>-0.1615371478</v>
      </c>
      <c r="V219" s="124">
        <f t="array" ref="V219">INDIRECT("Update"&amp;Projections!$AG$17&amp;"!M"&amp;ROW(B200))</f>
        <v>9.083561644</v>
      </c>
      <c r="W219" s="124">
        <f t="array" ref="W219">INDIRECT("Update"&amp;Projections!$AG$17&amp;"!L"&amp;ROW(B200))</f>
        <v>1.741643836</v>
      </c>
      <c r="X219" s="124">
        <f t="array" ref="X219">INDIRECT("Update"&amp;Projections!$AG$17&amp;"!N"&amp;ROW(B200))</f>
        <v>3.580547945</v>
      </c>
      <c r="Y219" s="124">
        <f t="array" ref="Y219">INDIRECT("Update"&amp;Projections!$AG$17&amp;"!O"&amp;ROW(B200))</f>
        <v>1.591506849</v>
      </c>
      <c r="Z219" s="124">
        <f t="array" ref="Z219">INDIRECT("Update"&amp;Projections!$AG$17&amp;"!P"&amp;ROW(B200))</f>
        <v>0.8084931507</v>
      </c>
      <c r="AA219" s="124">
        <f t="array" ref="AA219">INDIRECT("Update"&amp;Projections!$AG$17&amp;"!Q"&amp;ROW(B200))</f>
        <v>0.4552054795</v>
      </c>
      <c r="AB219" s="180">
        <f t="array" ref="AB219">INDIRECT("Update"&amp;Projections!$AG$17&amp;"!I"&amp;ROW(B200))</f>
        <v>0.4406308493</v>
      </c>
      <c r="AC219" s="180">
        <f t="array" ref="AC219">INDIRECT("Update"&amp;Projections!$AG$17&amp;"!K"&amp;ROW(B200))</f>
        <v>0.7699363057</v>
      </c>
      <c r="AD219" s="124">
        <f t="array" ref="AD219">INDIRECT("Update"&amp;Projections!$AG$17&amp;"!R"&amp;ROW(B200))</f>
        <v>1.097260274</v>
      </c>
      <c r="AE219" s="124">
        <f t="shared" si="3"/>
        <v>-1.515067575</v>
      </c>
      <c r="AF219" s="124">
        <f t="shared" si="4"/>
        <v>-0.006966146163</v>
      </c>
      <c r="AG219" s="124">
        <f t="shared" si="5"/>
        <v>-0.980859104</v>
      </c>
      <c r="AH219" s="124">
        <f t="shared" si="6"/>
        <v>-1.063513355</v>
      </c>
      <c r="AI219" s="124">
        <f t="shared" si="7"/>
        <v>-0.5541651507</v>
      </c>
      <c r="AJ219" s="124">
        <f t="shared" si="8"/>
        <v>-0.5234314079</v>
      </c>
      <c r="AK219" s="124">
        <f t="shared" si="9"/>
        <v>-0.4867644332</v>
      </c>
      <c r="AL219" s="124">
        <f t="shared" si="10"/>
        <v>-0.09460870717</v>
      </c>
      <c r="AM219" s="124">
        <f t="shared" si="11"/>
        <v>0</v>
      </c>
      <c r="AN219" s="183">
        <f t="shared" si="12"/>
        <v>-1.515067575</v>
      </c>
      <c r="AO219" s="183">
        <f t="shared" si="13"/>
        <v>-2.578580929</v>
      </c>
      <c r="AP219" s="183">
        <f t="array" ref="AP219">INDIRECT("Update"&amp;Projections!$AG$17&amp;"!S"&amp;ROW(B200))</f>
        <v>7.391643836</v>
      </c>
      <c r="AQ219" s="183">
        <f t="array" ref="AQ219">INDIRECT("Update"&amp;Projections!$AG$17&amp;"!T"&amp;ROW(B200))</f>
        <v>1.075342466</v>
      </c>
    </row>
    <row r="220">
      <c r="A220" s="40" t="str">
        <f>IF(UpdateHashtag!C218="",ROW(UpdateHashtag!C218),UpdateHashtag!C218)</f>
        <v>Matisse Thybulle</v>
      </c>
      <c r="B220" s="41">
        <f>IF(TYPE($A220)=1,"",(UpdateHashtag!M218-B$1)/B$2)</f>
        <v>-2.269178151</v>
      </c>
      <c r="C220" s="41">
        <f>IF(TYPE($A220)=1,"",(UpdateHashtag!L218-C$1)/C$2)</f>
        <v>-0.7426238329</v>
      </c>
      <c r="D220" s="41">
        <f>IF(TYPE($A220)=1,"",(UpdateHashtag!N218-D$1)/D$2)</f>
        <v>-1.561096202</v>
      </c>
      <c r="E220" s="41">
        <f>IF(TYPE($A220)=1,"",(UpdateHashtag!O218-E$1)/E$2)</f>
        <v>-1.286725494</v>
      </c>
      <c r="F220" s="41">
        <f>IF(TYPE($A220)=1,"",(UpdateHashtag!P218-F$1)/F$2)</f>
        <v>1.733556211</v>
      </c>
      <c r="G220" s="41">
        <f>IF(TYPE($A220)=1,"",(UpdateHashtag!Q218-G$1)/G$2)</f>
        <v>-0.2651689765</v>
      </c>
      <c r="H220" s="41">
        <f>IF(TYPE($A220)=1,"",(UpdateHashtag!I218-H$1)/H$2*I220/$I$1)</f>
        <v>-0.4163660707</v>
      </c>
      <c r="I220" s="41">
        <f>UpdateHashtag!S218</f>
        <v>4.3</v>
      </c>
      <c r="J220" s="53">
        <f>IF(TYPE($A220)=1,"",(UpdateHashtag!K218-J$1)/J$2*K220/$K$1)</f>
        <v>-0.1039585553</v>
      </c>
      <c r="K220" s="55">
        <f>UpdateHashtag!T218</f>
        <v>0.4</v>
      </c>
      <c r="L220" s="41">
        <f>IF(TYPE($A220)=1,"",-(UpdateHashtag!R218-L$1)/L$2)</f>
        <v>1.238588102</v>
      </c>
      <c r="N220" s="5">
        <v>200.0</v>
      </c>
      <c r="O220" s="170">
        <f t="array" ref="O220">INDIRECT("Update"&amp;Projections!$AG$17&amp;"!B"&amp;ROW(B201))</f>
        <v>143.3</v>
      </c>
      <c r="P220" s="172" t="str">
        <f t="array" ref="P220">INDIRECT("Update"&amp;Projections!$AG$17&amp;"!C"&amp;ROW(B201))</f>
        <v>Donovan Clingan</v>
      </c>
      <c r="Q220" s="170">
        <f>UpdateHashtag!F279</f>
        <v>46</v>
      </c>
      <c r="R220" s="177" t="str">
        <f>IF(UpdateHashtag!D279="",ROW(UpdateHashtag!D279),UpdateHashtag!D279)</f>
        <v>PG,SG</v>
      </c>
      <c r="S220" s="124">
        <f t="shared" si="1"/>
        <v>-5.437727101</v>
      </c>
      <c r="T220" s="124">
        <f>SUM(AE220:AM220)-IFERROR(IFS(Projections!$I$17,AN220,Projections!$J$17,AO220),"")</f>
        <v>-5.595156857</v>
      </c>
      <c r="U220" s="124">
        <f t="shared" si="2"/>
        <v>-0.1574297565</v>
      </c>
      <c r="V220" s="124">
        <f t="array" ref="V220">INDIRECT("Update"&amp;Projections!$AG$17&amp;"!M"&amp;ROW(B201))</f>
        <v>7.622205882</v>
      </c>
      <c r="W220" s="124">
        <f t="array" ref="W220">INDIRECT("Update"&amp;Projections!$AG$17&amp;"!L"&amp;ROW(B201))</f>
        <v>0.09955882353</v>
      </c>
      <c r="X220" s="124">
        <f t="array" ref="X220">INDIRECT("Update"&amp;Projections!$AG$17&amp;"!N"&amp;ROW(B201))</f>
        <v>7.0125</v>
      </c>
      <c r="Y220" s="124">
        <f t="array" ref="Y220">INDIRECT("Update"&amp;Projections!$AG$17&amp;"!O"&amp;ROW(B201))</f>
        <v>0.9486764706</v>
      </c>
      <c r="Z220" s="124">
        <f t="array" ref="Z220">INDIRECT("Update"&amp;Projections!$AG$17&amp;"!P"&amp;ROW(B201))</f>
        <v>0.4125</v>
      </c>
      <c r="AA220" s="124">
        <f t="array" ref="AA220">INDIRECT("Update"&amp;Projections!$AG$17&amp;"!Q"&amp;ROW(B201))</f>
        <v>1.65</v>
      </c>
      <c r="AB220" s="180">
        <f t="array" ref="AB220">INDIRECT("Update"&amp;Projections!$AG$17&amp;"!I"&amp;ROW(B201))</f>
        <v>0.5475498694</v>
      </c>
      <c r="AC220" s="180">
        <f t="array" ref="AC220">INDIRECT("Update"&amp;Projections!$AG$17&amp;"!K"&amp;ROW(B201))</f>
        <v>0.5699556842</v>
      </c>
      <c r="AD220" s="124">
        <f t="array" ref="AD220">INDIRECT("Update"&amp;Projections!$AG$17&amp;"!R"&amp;ROW(B201))</f>
        <v>1.113823529</v>
      </c>
      <c r="AE220" s="124">
        <f t="shared" si="3"/>
        <v>-1.778485191</v>
      </c>
      <c r="AF220" s="124">
        <f t="shared" si="4"/>
        <v>-1.635797134</v>
      </c>
      <c r="AG220" s="124">
        <f t="shared" si="5"/>
        <v>0.3641469174</v>
      </c>
      <c r="AH220" s="124">
        <f t="shared" si="6"/>
        <v>-1.35544732</v>
      </c>
      <c r="AI220" s="124">
        <f t="shared" si="7"/>
        <v>-1.864234589</v>
      </c>
      <c r="AJ220" s="124">
        <f t="shared" si="8"/>
        <v>1.607661239</v>
      </c>
      <c r="AK220" s="124">
        <f t="shared" si="9"/>
        <v>0.3524154064</v>
      </c>
      <c r="AL220" s="124">
        <f t="shared" si="10"/>
        <v>-1.285416186</v>
      </c>
      <c r="AM220" s="124">
        <f t="shared" si="11"/>
        <v>0</v>
      </c>
      <c r="AN220" s="183">
        <f t="shared" si="12"/>
        <v>-1.864234589</v>
      </c>
      <c r="AO220" s="183">
        <f t="shared" si="13"/>
        <v>-3.64271978</v>
      </c>
      <c r="AP220" s="183">
        <f t="array" ref="AP220">INDIRECT("Update"&amp;Projections!$AG$17&amp;"!S"&amp;ROW(B201))</f>
        <v>6.023088235</v>
      </c>
      <c r="AQ220" s="183">
        <f t="array" ref="AQ220">INDIRECT("Update"&amp;Projections!$AG$17&amp;"!T"&amp;ROW(B201))</f>
        <v>1.626029412</v>
      </c>
    </row>
    <row r="221">
      <c r="A221" s="40" t="str">
        <f>IF(UpdateHashtag!C219="",ROW(UpdateHashtag!C219),UpdateHashtag!C219)</f>
        <v>Robert Williams III</v>
      </c>
      <c r="B221" s="41">
        <f>IF(TYPE($A221)=1,"",(UpdateHashtag!M219-B$1)/B$2)</f>
        <v>-2.197075895</v>
      </c>
      <c r="C221" s="41">
        <f>IF(TYPE($A221)=1,"",(UpdateHashtag!L219-C$1)/C$2)</f>
        <v>-1.734552372</v>
      </c>
      <c r="D221" s="41">
        <f>IF(TYPE($A221)=1,"",(UpdateHashtag!N219-D$1)/D$2)</f>
        <v>-0.2286124145</v>
      </c>
      <c r="E221" s="41">
        <f>IF(TYPE($A221)=1,"",(UpdateHashtag!O219-E$1)/E$2)</f>
        <v>-1.377553175</v>
      </c>
      <c r="F221" s="41">
        <f>IF(TYPE($A221)=1,"",(UpdateHashtag!P219-F$1)/F$2)</f>
        <v>-1.574757169</v>
      </c>
      <c r="G221" s="41">
        <f>IF(TYPE($A221)=1,"",(UpdateHashtag!Q219-G$1)/G$2)</f>
        <v>0.2699253707</v>
      </c>
      <c r="H221" s="41">
        <f>IF(TYPE($A221)=1,"",(UpdateHashtag!I219-H$1)/H$2*I221/$I$1)</f>
        <v>0.89238992</v>
      </c>
      <c r="I221" s="41">
        <f>UpdateHashtag!S219</f>
        <v>3.2</v>
      </c>
      <c r="J221" s="53">
        <f>IF(TYPE($A221)=1,"",(UpdateHashtag!K219-J$1)/J$2*K221/$K$1)</f>
        <v>-0.4383740324</v>
      </c>
      <c r="K221" s="55">
        <f>UpdateHashtag!T219</f>
        <v>0.8</v>
      </c>
      <c r="L221" s="41">
        <f>IF(TYPE($A221)=1,"",-(UpdateHashtag!R219-L$1)/L$2)</f>
        <v>1.040202395</v>
      </c>
      <c r="N221" s="5">
        <v>201.0</v>
      </c>
      <c r="O221" s="170">
        <f t="array" ref="O221">INDIRECT("Update"&amp;Projections!$AG$17&amp;"!B"&amp;ROW(B202))</f>
        <v>145.5</v>
      </c>
      <c r="P221" s="172" t="str">
        <f t="array" ref="P221">INDIRECT("Update"&amp;Projections!$AG$17&amp;"!C"&amp;ROW(B202))</f>
        <v>Nick Richards</v>
      </c>
      <c r="Q221" s="170">
        <f>UpdateHashtag!F250</f>
        <v>36</v>
      </c>
      <c r="R221" s="177" t="str">
        <f>IF(UpdateHashtag!D250="",ROW(UpdateHashtag!D250),UpdateHashtag!D250)</f>
        <v>C</v>
      </c>
      <c r="S221" s="124">
        <f t="shared" si="1"/>
        <v>-5.692171464</v>
      </c>
      <c r="T221" s="124">
        <f>SUM(AE221:AM221)-IFERROR(IFS(Projections!$I$17,AN221,Projections!$J$17,AO221),"")</f>
        <v>-5.874872019</v>
      </c>
      <c r="U221" s="124">
        <f t="shared" si="2"/>
        <v>-0.1827005548</v>
      </c>
      <c r="V221" s="124">
        <f t="array" ref="V221">INDIRECT("Update"&amp;Projections!$AG$17&amp;"!M"&amp;ROW(B202))</f>
        <v>9.052739726</v>
      </c>
      <c r="W221" s="124">
        <f t="array" ref="W221">INDIRECT("Update"&amp;Projections!$AG$17&amp;"!L"&amp;ROW(B202))</f>
        <v>0</v>
      </c>
      <c r="X221" s="124">
        <f t="array" ref="X221">INDIRECT("Update"&amp;Projections!$AG$17&amp;"!N"&amp;ROW(B202))</f>
        <v>7.175616438</v>
      </c>
      <c r="Y221" s="124">
        <f t="array" ref="Y221">INDIRECT("Update"&amp;Projections!$AG$17&amp;"!O"&amp;ROW(B202))</f>
        <v>0.5990410959</v>
      </c>
      <c r="Z221" s="124">
        <f t="array" ref="Z221">INDIRECT("Update"&amp;Projections!$AG$17&amp;"!P"&amp;ROW(B202))</f>
        <v>0.2726027397</v>
      </c>
      <c r="AA221" s="124">
        <f t="array" ref="AA221">INDIRECT("Update"&amp;Projections!$AG$17&amp;"!Q"&amp;ROW(B202))</f>
        <v>0.8026027397</v>
      </c>
      <c r="AB221" s="180">
        <f t="array" ref="AB221">INDIRECT("Update"&amp;Projections!$AG$17&amp;"!I"&amp;ROW(B202))</f>
        <v>0.6760096735</v>
      </c>
      <c r="AC221" s="180">
        <f t="array" ref="AC221">INDIRECT("Update"&amp;Projections!$AG$17&amp;"!K"&amp;ROW(B202))</f>
        <v>0.7239687055</v>
      </c>
      <c r="AD221" s="124">
        <f t="array" ref="AD221">INDIRECT("Update"&amp;Projections!$AG$17&amp;"!R"&amp;ROW(B202))</f>
        <v>1.011917808</v>
      </c>
      <c r="AE221" s="124">
        <f t="shared" si="3"/>
        <v>-1.520623399</v>
      </c>
      <c r="AF221" s="124">
        <f t="shared" si="4"/>
        <v>-1.734552372</v>
      </c>
      <c r="AG221" s="124">
        <f t="shared" si="5"/>
        <v>0.4280733907</v>
      </c>
      <c r="AH221" s="124">
        <f t="shared" si="6"/>
        <v>-1.514230173</v>
      </c>
      <c r="AI221" s="124">
        <f t="shared" si="7"/>
        <v>-2.327058567</v>
      </c>
      <c r="AJ221" s="124">
        <f t="shared" si="8"/>
        <v>0.09620295929</v>
      </c>
      <c r="AK221" s="124">
        <f t="shared" si="9"/>
        <v>1.177796688</v>
      </c>
      <c r="AL221" s="124">
        <f t="shared" si="10"/>
        <v>-0.480480545</v>
      </c>
      <c r="AM221" s="124">
        <f t="shared" si="11"/>
        <v>0</v>
      </c>
      <c r="AN221" s="183">
        <f t="shared" si="12"/>
        <v>-2.327058567</v>
      </c>
      <c r="AO221" s="183">
        <f t="shared" si="13"/>
        <v>-4.061610939</v>
      </c>
      <c r="AP221" s="183">
        <f t="array" ref="AP221">INDIRECT("Update"&amp;Projections!$AG$17&amp;"!S"&amp;ROW(B202))</f>
        <v>5.664383562</v>
      </c>
      <c r="AQ221" s="183">
        <f t="array" ref="AQ221">INDIRECT("Update"&amp;Projections!$AG$17&amp;"!T"&amp;ROW(B202))</f>
        <v>1.926027397</v>
      </c>
    </row>
    <row r="222">
      <c r="A222" s="40" t="str">
        <f>IF(UpdateHashtag!C220="",ROW(UpdateHashtag!C220),UpdateHashtag!C220)</f>
        <v>Taurean Prince</v>
      </c>
      <c r="B222" s="41">
        <f>IF(TYPE($A222)=1,"",(UpdateHashtag!M220-B$1)/B$2)</f>
        <v>-1.385925521</v>
      </c>
      <c r="C222" s="41">
        <f>IF(TYPE($A222)=1,"",(UpdateHashtag!L220-C$1)/C$2)</f>
        <v>0.05091899834</v>
      </c>
      <c r="D222" s="41">
        <f>IF(TYPE($A222)=1,"",(UpdateHashtag!N220-D$1)/D$2)</f>
        <v>-1.208379905</v>
      </c>
      <c r="E222" s="41">
        <f>IF(TYPE($A222)=1,"",(UpdateHashtag!O220-E$1)/E$2)</f>
        <v>-1.014242448</v>
      </c>
      <c r="F222" s="41">
        <f>IF(TYPE($A222)=1,"",(UpdateHashtag!P220-F$1)/F$2)</f>
        <v>-0.9130944927</v>
      </c>
      <c r="G222" s="41">
        <f>IF(TYPE($A222)=1,"",(UpdateHashtag!Q220-G$1)/G$2)</f>
        <v>-0.6218985413</v>
      </c>
      <c r="H222" s="41">
        <f>IF(TYPE($A222)=1,"",(UpdateHashtag!I220-H$1)/H$2*I222/$I$1)</f>
        <v>-0.4065815561</v>
      </c>
      <c r="I222" s="41">
        <f>UpdateHashtag!S220</f>
        <v>7.9</v>
      </c>
      <c r="J222" s="53">
        <f>IF(TYPE($A222)=1,"",(UpdateHashtag!K220-J$1)/J$2*K222/$K$1)</f>
        <v>-0.01256271269</v>
      </c>
      <c r="K222" s="55">
        <f>UpdateHashtag!T220</f>
        <v>1.2</v>
      </c>
      <c r="L222" s="41">
        <f>IF(TYPE($A222)=1,"",-(UpdateHashtag!R220-L$1)/L$2)</f>
        <v>0.5442381251</v>
      </c>
      <c r="N222" s="112">
        <v>202.0</v>
      </c>
      <c r="O222" s="170">
        <f t="array" ref="O222">INDIRECT("Update"&amp;Projections!$AG$17&amp;"!B"&amp;ROW(B203))</f>
        <v>147</v>
      </c>
      <c r="P222" s="172" t="str">
        <f t="array" ref="P222">INDIRECT("Update"&amp;Projections!$AG$17&amp;"!C"&amp;ROW(B203))</f>
        <v>Patrick Williams</v>
      </c>
      <c r="Q222" s="170">
        <f>UpdateHashtag!F255</f>
        <v>62</v>
      </c>
      <c r="R222" s="177" t="str">
        <f>IF(UpdateHashtag!D255="",ROW(UpdateHashtag!D255),UpdateHashtag!D255)</f>
        <v>PF,C</v>
      </c>
      <c r="S222" s="124">
        <f t="shared" si="1"/>
        <v>-5.17962516</v>
      </c>
      <c r="T222" s="124">
        <f>SUM(AE222:AM222)-IFERROR(IFS(Projections!$I$17,AN222,Projections!$J$17,AO222),"")</f>
        <v>-5.37024076</v>
      </c>
      <c r="U222" s="124">
        <f t="shared" si="2"/>
        <v>-0.1906156009</v>
      </c>
      <c r="V222" s="124">
        <f t="array" ref="V222">INDIRECT("Update"&amp;Projections!$AG$17&amp;"!M"&amp;ROW(B203))</f>
        <v>9.007580645</v>
      </c>
      <c r="W222" s="124">
        <f t="array" ref="W222">INDIRECT("Update"&amp;Projections!$AG$17&amp;"!L"&amp;ROW(B203))</f>
        <v>1.133225806</v>
      </c>
      <c r="X222" s="124">
        <f t="array" ref="X222">INDIRECT("Update"&amp;Projections!$AG$17&amp;"!N"&amp;ROW(B203))</f>
        <v>3.724032258</v>
      </c>
      <c r="Y222" s="124">
        <f t="array" ref="Y222">INDIRECT("Update"&amp;Projections!$AG$17&amp;"!O"&amp;ROW(B203))</f>
        <v>1.078064516</v>
      </c>
      <c r="Z222" s="124">
        <f t="array" ref="Z222">INDIRECT("Update"&amp;Projections!$AG$17&amp;"!P"&amp;ROW(B203))</f>
        <v>0.7738709677</v>
      </c>
      <c r="AA222" s="124">
        <f t="array" ref="AA222">INDIRECT("Update"&amp;Projections!$AG$17&amp;"!Q"&amp;ROW(B203))</f>
        <v>0.6917741935</v>
      </c>
      <c r="AB222" s="180">
        <f t="array" ref="AB222">INDIRECT("Update"&amp;Projections!$AG$17&amp;"!I"&amp;ROW(B203))</f>
        <v>0.4618176899</v>
      </c>
      <c r="AC222" s="180">
        <f t="array" ref="AC222">INDIRECT("Update"&amp;Projections!$AG$17&amp;"!K"&amp;ROW(B203))</f>
        <v>0.8049805288</v>
      </c>
      <c r="AD222" s="124">
        <f t="array" ref="AD222">INDIRECT("Update"&amp;Projections!$AG$17&amp;"!R"&amp;ROW(B203))</f>
        <v>0.98</v>
      </c>
      <c r="AE222" s="124">
        <f t="shared" si="3"/>
        <v>-1.528763578</v>
      </c>
      <c r="AF222" s="124">
        <f t="shared" si="4"/>
        <v>-0.6104733538</v>
      </c>
      <c r="AG222" s="124">
        <f t="shared" si="5"/>
        <v>-0.9246265979</v>
      </c>
      <c r="AH222" s="124">
        <f t="shared" si="6"/>
        <v>-1.296687239</v>
      </c>
      <c r="AI222" s="124">
        <f t="shared" si="7"/>
        <v>-0.6687061819</v>
      </c>
      <c r="AJ222" s="124">
        <f t="shared" si="8"/>
        <v>-0.101476136</v>
      </c>
      <c r="AK222" s="124">
        <f t="shared" si="9"/>
        <v>-0.2948016733</v>
      </c>
      <c r="AL222" s="124">
        <f t="shared" si="10"/>
        <v>0.05529399979</v>
      </c>
      <c r="AM222" s="124">
        <f t="shared" si="11"/>
        <v>0</v>
      </c>
      <c r="AN222" s="183">
        <f t="shared" si="12"/>
        <v>-1.528763578</v>
      </c>
      <c r="AO222" s="183">
        <f t="shared" si="13"/>
        <v>-2.825450817</v>
      </c>
      <c r="AP222" s="183">
        <f t="array" ref="AP222">INDIRECT("Update"&amp;Projections!$AG$17&amp;"!S"&amp;ROW(B203))</f>
        <v>7.153709677</v>
      </c>
      <c r="AQ222" s="183">
        <f t="array" ref="AQ222">INDIRECT("Update"&amp;Projections!$AG$17&amp;"!T"&amp;ROW(B203))</f>
        <v>1.573870968</v>
      </c>
    </row>
    <row r="223">
      <c r="A223" s="40" t="str">
        <f>IF(UpdateHashtag!C221="",ROW(UpdateHashtag!C221),UpdateHashtag!C221)</f>
        <v>Spencer Dinwiddie</v>
      </c>
      <c r="B223" s="41">
        <f>IF(TYPE($A223)=1,"",(UpdateHashtag!M221-B$1)/B$2)</f>
        <v>-1.187644318</v>
      </c>
      <c r="C223" s="41">
        <f>IF(TYPE($A223)=1,"",(UpdateHashtag!L221-C$1)/C$2)</f>
        <v>-0.2466595634</v>
      </c>
      <c r="D223" s="41">
        <f>IF(TYPE($A223)=1,"",(UpdateHashtag!N221-D$1)/D$2)</f>
        <v>-1.443524103</v>
      </c>
      <c r="E223" s="41">
        <f>IF(TYPE($A223)=1,"",(UpdateHashtag!O221-E$1)/E$2)</f>
        <v>0.2119312578</v>
      </c>
      <c r="F223" s="41">
        <f>IF(TYPE($A223)=1,"",(UpdateHashtag!P221-F$1)/F$2)</f>
        <v>-1.243925831</v>
      </c>
      <c r="G223" s="41">
        <f>IF(TYPE($A223)=1,"",(UpdateHashtag!Q221-G$1)/G$2)</f>
        <v>-0.978628106</v>
      </c>
      <c r="H223" s="41">
        <f>IF(TYPE($A223)=1,"",(UpdateHashtag!I221-H$1)/H$2*I223/$I$1)</f>
        <v>-0.7538410995</v>
      </c>
      <c r="I223" s="41">
        <f>UpdateHashtag!S221</f>
        <v>8.5</v>
      </c>
      <c r="J223" s="53">
        <f>IF(TYPE($A223)=1,"",(UpdateHashtag!K221-J$1)/J$2*K223/$K$1)</f>
        <v>0.1329834804</v>
      </c>
      <c r="K223" s="55">
        <f>UpdateHashtag!T221</f>
        <v>2.7</v>
      </c>
      <c r="L223" s="41">
        <f>IF(TYPE($A223)=1,"",-(UpdateHashtag!R221-L$1)/L$2)</f>
        <v>0.5442381251</v>
      </c>
      <c r="N223" s="112">
        <v>203.0</v>
      </c>
      <c r="O223" s="170" t="str">
        <f t="array" ref="O223">INDIRECT("Update"&amp;Projections!$AG$17&amp;"!B"&amp;ROW(B204))</f>
        <v/>
      </c>
      <c r="P223" s="172" t="str">
        <f t="array" ref="P223">INDIRECT("Update"&amp;Projections!$AG$17&amp;"!C"&amp;ROW(B204))</f>
        <v>Isaiah Joe</v>
      </c>
      <c r="Q223" s="170">
        <f>UpdateHashtag!F265</f>
        <v>50</v>
      </c>
      <c r="R223" s="177" t="str">
        <f>IF(UpdateHashtag!D265="",ROW(UpdateHashtag!D265),UpdateHashtag!D265)</f>
        <v>PF</v>
      </c>
      <c r="S223" s="124">
        <f t="shared" si="1"/>
        <v>-5.065756072</v>
      </c>
      <c r="T223" s="124">
        <f>SUM(AE223:AM223)-IFERROR(IFS(Projections!$I$17,AN223,Projections!$J$17,AO223),"")</f>
        <v>-5.32142452</v>
      </c>
      <c r="U223" s="124">
        <f t="shared" si="2"/>
        <v>-0.2556684486</v>
      </c>
      <c r="V223" s="124">
        <f t="array" ref="V223">INDIRECT("Update"&amp;Projections!$AG$17&amp;"!M"&amp;ROW(B204))</f>
        <v>9.541917808</v>
      </c>
      <c r="W223" s="124">
        <f t="array" ref="W223">INDIRECT("Update"&amp;Projections!$AG$17&amp;"!L"&amp;ROW(B204))</f>
        <v>2.118493151</v>
      </c>
      <c r="X223" s="124">
        <f t="array" ref="X223">INDIRECT("Update"&amp;Projections!$AG$17&amp;"!N"&amp;ROW(B204))</f>
        <v>2.855342466</v>
      </c>
      <c r="Y223" s="124">
        <f t="array" ref="Y223">INDIRECT("Update"&amp;Projections!$AG$17&amp;"!O"&amp;ROW(B204))</f>
        <v>1.643150685</v>
      </c>
      <c r="Z223" s="124">
        <f t="array" ref="Z223">INDIRECT("Update"&amp;Projections!$AG$17&amp;"!P"&amp;ROW(B204))</f>
        <v>0.6928767123</v>
      </c>
      <c r="AA223" s="124">
        <f t="array" ref="AA223">INDIRECT("Update"&amp;Projections!$AG$17&amp;"!Q"&amp;ROW(B204))</f>
        <v>0.2864383562</v>
      </c>
      <c r="AB223" s="180">
        <f t="array" ref="AB223">INDIRECT("Update"&amp;Projections!$AG$17&amp;"!I"&amp;ROW(B204))</f>
        <v>0.4481205772</v>
      </c>
      <c r="AC223" s="180">
        <f t="array" ref="AC223">INDIRECT("Update"&amp;Projections!$AG$17&amp;"!K"&amp;ROW(B204))</f>
        <v>0.8739942066</v>
      </c>
      <c r="AD223" s="124">
        <f t="array" ref="AD223">INDIRECT("Update"&amp;Projections!$AG$17&amp;"!R"&amp;ROW(B204))</f>
        <v>0.7176712329</v>
      </c>
      <c r="AE223" s="124">
        <f t="shared" si="3"/>
        <v>-1.432446291</v>
      </c>
      <c r="AF223" s="124">
        <f t="shared" si="4"/>
        <v>0.3668414443</v>
      </c>
      <c r="AG223" s="124">
        <f t="shared" si="5"/>
        <v>-1.265072205</v>
      </c>
      <c r="AH223" s="124">
        <f t="shared" si="6"/>
        <v>-1.040059905</v>
      </c>
      <c r="AI223" s="124">
        <f t="shared" si="7"/>
        <v>-0.9366605607</v>
      </c>
      <c r="AJ223" s="124">
        <f t="shared" si="8"/>
        <v>-0.8244525201</v>
      </c>
      <c r="AK223" s="124">
        <f t="shared" si="9"/>
        <v>-0.4258612977</v>
      </c>
      <c r="AL223" s="124">
        <f t="shared" si="10"/>
        <v>0.2362868158</v>
      </c>
      <c r="AM223" s="124">
        <f t="shared" si="11"/>
        <v>0</v>
      </c>
      <c r="AN223" s="183">
        <f t="shared" si="12"/>
        <v>-1.432446291</v>
      </c>
      <c r="AO223" s="183">
        <f t="shared" si="13"/>
        <v>-2.697518496</v>
      </c>
      <c r="AP223" s="183">
        <f t="array" ref="AP223">INDIRECT("Update"&amp;Projections!$AG$17&amp;"!S"&amp;ROW(B204))</f>
        <v>7.452739726</v>
      </c>
      <c r="AQ223" s="183">
        <f t="array" ref="AQ223">INDIRECT("Update"&amp;Projections!$AG$17&amp;"!T"&amp;ROW(B204))</f>
        <v>0.8512328767</v>
      </c>
    </row>
    <row r="224">
      <c r="A224" s="40" t="str">
        <f>IF(UpdateHashtag!C222="",ROW(UpdateHashtag!C222),UpdateHashtag!C222)</f>
        <v>Dillon Brooks</v>
      </c>
      <c r="B224" s="41">
        <f>IF(TYPE($A224)=1,"",(UpdateHashtag!M222-B$1)/B$2)</f>
        <v>-0.8091074771</v>
      </c>
      <c r="C224" s="41">
        <f>IF(TYPE($A224)=1,"",(UpdateHashtag!L222-C$1)/C$2)</f>
        <v>0.05091899834</v>
      </c>
      <c r="D224" s="41">
        <f>IF(TYPE($A224)=1,"",(UpdateHashtag!N222-D$1)/D$2)</f>
        <v>-1.129998506</v>
      </c>
      <c r="E224" s="41">
        <f>IF(TYPE($A224)=1,"",(UpdateHashtag!O222-E$1)/E$2)</f>
        <v>-0.878000925</v>
      </c>
      <c r="F224" s="41">
        <f>IF(TYPE($A224)=1,"",(UpdateHashtag!P222-F$1)/F$2)</f>
        <v>-0.2514318168</v>
      </c>
      <c r="G224" s="41">
        <f>IF(TYPE($A224)=1,"",(UpdateHashtag!Q222-G$1)/G$2)</f>
        <v>-0.978628106</v>
      </c>
      <c r="H224" s="41">
        <f>IF(TYPE($A224)=1,"",(UpdateHashtag!I222-H$1)/H$2*I224/$I$1)</f>
        <v>-0.9411868718</v>
      </c>
      <c r="I224" s="41">
        <f>UpdateHashtag!S222</f>
        <v>11.2</v>
      </c>
      <c r="J224" s="53">
        <f>IF(TYPE($A224)=1,"",(UpdateHashtag!K222-J$1)/J$2*K224/$K$1)</f>
        <v>0.0985062818</v>
      </c>
      <c r="K224" s="55">
        <f>UpdateHashtag!T222</f>
        <v>2</v>
      </c>
      <c r="L224" s="41">
        <f>IF(TYPE($A224)=1,"",-(UpdateHashtag!R222-L$1)/L$2)</f>
        <v>0.4450452712</v>
      </c>
      <c r="N224" s="5">
        <v>204.0</v>
      </c>
      <c r="O224" s="170" t="str">
        <f t="array" ref="O224">INDIRECT("Update"&amp;Projections!$AG$17&amp;"!B"&amp;ROW(B205))</f>
        <v/>
      </c>
      <c r="P224" s="172" t="str">
        <f t="array" ref="P224">INDIRECT("Update"&amp;Projections!$AG$17&amp;"!C"&amp;ROW(B205))</f>
        <v>Kevin Huerter</v>
      </c>
      <c r="Q224" s="170">
        <f>UpdateHashtag!F258</f>
        <v>60</v>
      </c>
      <c r="R224" s="177" t="str">
        <f>IF(UpdateHashtag!D258="",ROW(UpdateHashtag!D258),UpdateHashtag!D258)</f>
        <v>PG</v>
      </c>
      <c r="S224" s="124">
        <f t="shared" si="1"/>
        <v>-5.105121735</v>
      </c>
      <c r="T224" s="124">
        <f>SUM(AE224:AM224)-IFERROR(IFS(Projections!$I$17,AN224,Projections!$J$17,AO224),"")</f>
        <v>-5.325458724</v>
      </c>
      <c r="U224" s="124">
        <f t="shared" si="2"/>
        <v>-0.2203369891</v>
      </c>
      <c r="V224" s="124">
        <f t="array" ref="V224">INDIRECT("Update"&amp;Projections!$AG$17&amp;"!M"&amp;ROW(B205))</f>
        <v>9.715147059</v>
      </c>
      <c r="W224" s="124">
        <f t="array" ref="W224">INDIRECT("Update"&amp;Projections!$AG$17&amp;"!L"&amp;ROW(B205))</f>
        <v>1.897058824</v>
      </c>
      <c r="X224" s="124">
        <f t="array" ref="X224">INDIRECT("Update"&amp;Projections!$AG$17&amp;"!N"&amp;ROW(B205))</f>
        <v>3.03</v>
      </c>
      <c r="Y224" s="124">
        <f t="array" ref="Y224">INDIRECT("Update"&amp;Projections!$AG$17&amp;"!O"&amp;ROW(B205))</f>
        <v>2.171470588</v>
      </c>
      <c r="Z224" s="124">
        <f t="array" ref="Z224">INDIRECT("Update"&amp;Projections!$AG$17&amp;"!P"&amp;ROW(B205))</f>
        <v>0.7547058824</v>
      </c>
      <c r="AA224" s="124">
        <f t="array" ref="AA224">INDIRECT("Update"&amp;Projections!$AG$17&amp;"!Q"&amp;ROW(B205))</f>
        <v>0.3542647059</v>
      </c>
      <c r="AB224" s="180">
        <f t="array" ref="AB224">INDIRECT("Update"&amp;Projections!$AG$17&amp;"!I"&amp;ROW(B205))</f>
        <v>0.4446801244</v>
      </c>
      <c r="AC224" s="180">
        <f t="array" ref="AC224">INDIRECT("Update"&amp;Projections!$AG$17&amp;"!K"&amp;ROW(B205))</f>
        <v>0.7409565916</v>
      </c>
      <c r="AD224" s="124">
        <f t="array" ref="AD224">INDIRECT("Update"&amp;Projections!$AG$17&amp;"!R"&amp;ROW(B205))</f>
        <v>0.8601470588</v>
      </c>
      <c r="AE224" s="124">
        <f t="shared" si="3"/>
        <v>-1.401220742</v>
      </c>
      <c r="AF224" s="124">
        <f t="shared" si="4"/>
        <v>0.1471944158</v>
      </c>
      <c r="AG224" s="124">
        <f t="shared" si="5"/>
        <v>-1.196622695</v>
      </c>
      <c r="AH224" s="124">
        <f t="shared" si="6"/>
        <v>-0.8001295449</v>
      </c>
      <c r="AI224" s="124">
        <f t="shared" si="7"/>
        <v>-0.73211029</v>
      </c>
      <c r="AJ224" s="124">
        <f t="shared" si="8"/>
        <v>-0.7034741991</v>
      </c>
      <c r="AK224" s="124">
        <f t="shared" si="9"/>
        <v>-0.5002157807</v>
      </c>
      <c r="AL224" s="124">
        <f t="shared" si="10"/>
        <v>-0.1388798879</v>
      </c>
      <c r="AM224" s="124">
        <f t="shared" si="11"/>
        <v>0</v>
      </c>
      <c r="AN224" s="183">
        <f t="shared" si="12"/>
        <v>-1.401220742</v>
      </c>
      <c r="AO224" s="183">
        <f t="shared" si="13"/>
        <v>-2.597843438</v>
      </c>
      <c r="AP224" s="183">
        <f t="array" ref="AP224">INDIRECT("Update"&amp;Projections!$AG$17&amp;"!S"&amp;ROW(B205))</f>
        <v>8.181029412</v>
      </c>
      <c r="AQ224" s="183">
        <f t="array" ref="AQ224">INDIRECT("Update"&amp;Projections!$AG$17&amp;"!T"&amp;ROW(B205))</f>
        <v>0.7317647059</v>
      </c>
    </row>
    <row r="225">
      <c r="A225" s="40" t="str">
        <f>IF(UpdateHashtag!C223="",ROW(UpdateHashtag!C223),UpdateHashtag!C223)</f>
        <v>John Konchar</v>
      </c>
      <c r="B225" s="41">
        <f>IF(TYPE($A225)=1,"",(UpdateHashtag!M223-B$1)/B$2)</f>
        <v>-2.305229279</v>
      </c>
      <c r="C225" s="41">
        <f>IF(TYPE($A225)=1,"",(UpdateHashtag!L223-C$1)/C$2)</f>
        <v>-0.9410095407</v>
      </c>
      <c r="D225" s="41">
        <f>IF(TYPE($A225)=1,"",(UpdateHashtag!N223-D$1)/D$2)</f>
        <v>-0.6597101105</v>
      </c>
      <c r="E225" s="41">
        <f>IF(TYPE($A225)=1,"",(UpdateHashtag!O223-E$1)/E$2)</f>
        <v>-1.014242448</v>
      </c>
      <c r="F225" s="41">
        <f>IF(TYPE($A225)=1,"",(UpdateHashtag!P223-F$1)/F$2)</f>
        <v>0.0793995211</v>
      </c>
      <c r="G225" s="41">
        <f>IF(TYPE($A225)=1,"",(UpdateHashtag!Q223-G$1)/G$2)</f>
        <v>-0.2651689765</v>
      </c>
      <c r="H225" s="41">
        <f>IF(TYPE($A225)=1,"",(UpdateHashtag!I223-H$1)/H$2*I225/$I$1)</f>
        <v>-0.3302347361</v>
      </c>
      <c r="I225" s="41">
        <f>UpdateHashtag!S223</f>
        <v>4.1</v>
      </c>
      <c r="J225" s="53">
        <f>IF(TYPE($A225)=1,"",(UpdateHashtag!K223-J$1)/J$2*K225/$K$1)</f>
        <v>-0.005234463619</v>
      </c>
      <c r="K225" s="55">
        <f>UpdateHashtag!T223</f>
        <v>0.5</v>
      </c>
      <c r="L225" s="41">
        <f>IF(TYPE($A225)=1,"",-(UpdateHashtag!R223-L$1)/L$2)</f>
        <v>1.040202395</v>
      </c>
      <c r="N225" s="5">
        <v>205.0</v>
      </c>
      <c r="O225" s="170" t="str">
        <f t="array" ref="O225">INDIRECT("Update"&amp;Projections!$AG$17&amp;"!B"&amp;ROW(B206))</f>
        <v/>
      </c>
      <c r="P225" s="172" t="str">
        <f t="array" ref="P225">INDIRECT("Update"&amp;Projections!$AG$17&amp;"!C"&amp;ROW(B206))</f>
        <v>Paul Reed</v>
      </c>
      <c r="Q225" s="170">
        <f>UpdateHashtag!F267</f>
        <v>40</v>
      </c>
      <c r="R225" s="177" t="str">
        <f>IF(UpdateHashtag!D267="",ROW(UpdateHashtag!D267),UpdateHashtag!D267)</f>
        <v>PG,SG</v>
      </c>
      <c r="S225" s="124">
        <f t="shared" si="1"/>
        <v>-5.356688829</v>
      </c>
      <c r="T225" s="124">
        <f>SUM(AE225:AM225)-IFERROR(IFS(Projections!$I$17,AN225,Projections!$J$17,AO225),"")</f>
        <v>-5.618459303</v>
      </c>
      <c r="U225" s="124">
        <f t="shared" si="2"/>
        <v>-0.2617704748</v>
      </c>
      <c r="V225" s="124">
        <f t="array" ref="V225">INDIRECT("Update"&amp;Projections!$AG$17&amp;"!M"&amp;ROW(B206))</f>
        <v>6.011774194</v>
      </c>
      <c r="W225" s="124">
        <f t="array" ref="W225">INDIRECT("Update"&amp;Projections!$AG$17&amp;"!L"&amp;ROW(B206))</f>
        <v>0.1793548387</v>
      </c>
      <c r="X225" s="124">
        <f t="array" ref="X225">INDIRECT("Update"&amp;Projections!$AG$17&amp;"!N"&amp;ROW(B206))</f>
        <v>5.148064516</v>
      </c>
      <c r="Y225" s="124">
        <f t="array" ref="Y225">INDIRECT("Update"&amp;Projections!$AG$17&amp;"!O"&amp;ROW(B206))</f>
        <v>1.055967742</v>
      </c>
      <c r="Z225" s="124">
        <f t="array" ref="Z225">INDIRECT("Update"&amp;Projections!$AG$17&amp;"!P"&amp;ROW(B206))</f>
        <v>0.7919354839</v>
      </c>
      <c r="AA225" s="124">
        <f t="array" ref="AA225">INDIRECT("Update"&amp;Projections!$AG$17&amp;"!Q"&amp;ROW(B206))</f>
        <v>0.9569354839</v>
      </c>
      <c r="AB225" s="180">
        <f t="array" ref="AB225">INDIRECT("Update"&amp;Projections!$AG$17&amp;"!I"&amp;ROW(B206))</f>
        <v>0.5500412996</v>
      </c>
      <c r="AC225" s="180">
        <f t="array" ref="AC225">INDIRECT("Update"&amp;Projections!$AG$17&amp;"!K"&amp;ROW(B206))</f>
        <v>0.6879200131</v>
      </c>
      <c r="AD225" s="124">
        <f t="array" ref="AD225">INDIRECT("Update"&amp;Projections!$AG$17&amp;"!R"&amp;ROW(B206))</f>
        <v>0.6930645161</v>
      </c>
      <c r="AE225" s="124">
        <f t="shared" si="3"/>
        <v>-2.068774583</v>
      </c>
      <c r="AF225" s="124">
        <f t="shared" si="4"/>
        <v>-1.556645189</v>
      </c>
      <c r="AG225" s="124">
        <f t="shared" si="5"/>
        <v>-0.366538393</v>
      </c>
      <c r="AH225" s="124">
        <f t="shared" si="6"/>
        <v>-1.306722233</v>
      </c>
      <c r="AI225" s="124">
        <f t="shared" si="7"/>
        <v>-0.6089431013</v>
      </c>
      <c r="AJ225" s="124">
        <f t="shared" si="8"/>
        <v>0.3714782226</v>
      </c>
      <c r="AK225" s="124">
        <f t="shared" si="9"/>
        <v>0.2877888315</v>
      </c>
      <c r="AL225" s="124">
        <f t="shared" si="10"/>
        <v>-0.3701028579</v>
      </c>
      <c r="AM225" s="124">
        <f t="shared" si="11"/>
        <v>0</v>
      </c>
      <c r="AN225" s="183">
        <f t="shared" si="12"/>
        <v>-2.068774583</v>
      </c>
      <c r="AO225" s="183">
        <f t="shared" si="13"/>
        <v>-3.625419772</v>
      </c>
      <c r="AP225" s="183">
        <f t="array" ref="AP225">INDIRECT("Update"&amp;Projections!$AG$17&amp;"!S"&amp;ROW(B206))</f>
        <v>4.686451613</v>
      </c>
      <c r="AQ225" s="183">
        <f t="array" ref="AQ225">INDIRECT("Update"&amp;Projections!$AG$17&amp;"!T"&amp;ROW(B206))</f>
        <v>0.9840322581</v>
      </c>
    </row>
    <row r="226">
      <c r="A226" s="40" t="str">
        <f>IF(UpdateHashtag!C224="",ROW(UpdateHashtag!C224),UpdateHashtag!C224)</f>
        <v>Royce O'Neale</v>
      </c>
      <c r="B226" s="41">
        <f>IF(TYPE($A226)=1,"",(UpdateHashtag!M224-B$1)/B$2)</f>
        <v>-1.854590182</v>
      </c>
      <c r="C226" s="41">
        <f>IF(TYPE($A226)=1,"",(UpdateHashtag!L224-C$1)/C$2)</f>
        <v>0.05091899834</v>
      </c>
      <c r="D226" s="41">
        <f>IF(TYPE($A226)=1,"",(UpdateHashtag!N224-D$1)/D$2)</f>
        <v>-0.6989008101</v>
      </c>
      <c r="E226" s="41">
        <f>IF(TYPE($A226)=1,"",(UpdateHashtag!O224-E$1)/E$2)</f>
        <v>-0.5146901974</v>
      </c>
      <c r="F226" s="41">
        <f>IF(TYPE($A226)=1,"",(UpdateHashtag!P224-F$1)/F$2)</f>
        <v>-0.9130944927</v>
      </c>
      <c r="G226" s="41">
        <f>IF(TYPE($A226)=1,"",(UpdateHashtag!Q224-G$1)/G$2)</f>
        <v>-0.4435337589</v>
      </c>
      <c r="H226" s="41">
        <f>IF(TYPE($A226)=1,"",(UpdateHashtag!I224-H$1)/H$2*I226/$I$1)</f>
        <v>-0.7785668115</v>
      </c>
      <c r="I226" s="41">
        <f>UpdateHashtag!S224</f>
        <v>6.3</v>
      </c>
      <c r="J226" s="53">
        <f>IF(TYPE($A226)=1,"",(UpdateHashtag!K224-J$1)/J$2*K226/$K$1)</f>
        <v>-0.1854475608</v>
      </c>
      <c r="K226" s="55">
        <f>UpdateHashtag!T224</f>
        <v>0.6</v>
      </c>
      <c r="L226" s="41">
        <f>IF(TYPE($A226)=1,"",-(UpdateHashtag!R224-L$1)/L$2)</f>
        <v>0.643430979</v>
      </c>
      <c r="N226" s="112">
        <v>206.0</v>
      </c>
      <c r="O226" s="170" t="str">
        <f t="array" ref="O226">INDIRECT("Update"&amp;Projections!$AG$17&amp;"!B"&amp;ROW(B207))</f>
        <v/>
      </c>
      <c r="P226" s="172" t="str">
        <f t="array" ref="P226">INDIRECT("Update"&amp;Projections!$AG$17&amp;"!C"&amp;ROW(B207))</f>
        <v>Day'Ron Sharpe</v>
      </c>
      <c r="Q226" s="170">
        <f>UpdateHashtag!F272</f>
        <v>70</v>
      </c>
      <c r="R226" s="177" t="str">
        <f>IF(UpdateHashtag!D272="",ROW(UpdateHashtag!D272),UpdateHashtag!D272)</f>
        <v>C</v>
      </c>
      <c r="S226" s="124">
        <f t="shared" si="1"/>
        <v>-5.709235842</v>
      </c>
      <c r="T226" s="124">
        <f>SUM(AE226:AM226)-IFERROR(IFS(Projections!$I$17,AN226,Projections!$J$17,AO226),"")</f>
        <v>-5.808667193</v>
      </c>
      <c r="U226" s="124">
        <f t="shared" si="2"/>
        <v>-0.09943135039</v>
      </c>
      <c r="V226" s="124">
        <f t="array" ref="V226">INDIRECT("Update"&amp;Projections!$AG$17&amp;"!M"&amp;ROW(B207))</f>
        <v>7.909016393</v>
      </c>
      <c r="W226" s="124">
        <f t="array" ref="W226">INDIRECT("Update"&amp;Projections!$AG$17&amp;"!L"&amp;ROW(B207))</f>
        <v>0.09409836066</v>
      </c>
      <c r="X226" s="124">
        <f t="array" ref="X226">INDIRECT("Update"&amp;Projections!$AG$17&amp;"!N"&amp;ROW(B207))</f>
        <v>7.53704918</v>
      </c>
      <c r="Y226" s="124">
        <f t="array" ref="Y226">INDIRECT("Update"&amp;Projections!$AG$17&amp;"!O"&amp;ROW(B207))</f>
        <v>1.590819672</v>
      </c>
      <c r="Z226" s="124">
        <f t="array" ref="Z226">INDIRECT("Update"&amp;Projections!$AG$17&amp;"!P"&amp;ROW(B207))</f>
        <v>0.5040983607</v>
      </c>
      <c r="AA226" s="124">
        <f t="array" ref="AA226">INDIRECT("Update"&amp;Projections!$AG$17&amp;"!Q"&amp;ROW(B207))</f>
        <v>0.896557377</v>
      </c>
      <c r="AB226" s="180">
        <f t="array" ref="AB226">INDIRECT("Update"&amp;Projections!$AG$17&amp;"!I"&amp;ROW(B207))</f>
        <v>0.5707138842</v>
      </c>
      <c r="AC226" s="180">
        <f t="array" ref="AC226">INDIRECT("Update"&amp;Projections!$AG$17&amp;"!K"&amp;ROW(B207))</f>
        <v>0.6199718953</v>
      </c>
      <c r="AD226" s="124">
        <f t="array" ref="AD226">INDIRECT("Update"&amp;Projections!$AG$17&amp;"!R"&amp;ROW(B207))</f>
        <v>1.347704918</v>
      </c>
      <c r="AE226" s="124">
        <f t="shared" si="3"/>
        <v>-1.726785979</v>
      </c>
      <c r="AF226" s="124">
        <f t="shared" si="4"/>
        <v>-1.641213523</v>
      </c>
      <c r="AG226" s="124">
        <f t="shared" si="5"/>
        <v>0.569721411</v>
      </c>
      <c r="AH226" s="124">
        <f t="shared" si="6"/>
        <v>-1.063825428</v>
      </c>
      <c r="AI226" s="124">
        <f t="shared" si="7"/>
        <v>-1.561198507</v>
      </c>
      <c r="AJ226" s="124">
        <f t="shared" si="8"/>
        <v>0.2637849437</v>
      </c>
      <c r="AK226" s="124">
        <f t="shared" si="9"/>
        <v>0.4984363699</v>
      </c>
      <c r="AL226" s="124">
        <f t="shared" si="10"/>
        <v>-1.147586481</v>
      </c>
      <c r="AM226" s="124">
        <f t="shared" si="11"/>
        <v>0</v>
      </c>
      <c r="AN226" s="183">
        <f t="shared" si="12"/>
        <v>-1.726785979</v>
      </c>
      <c r="AO226" s="183">
        <f t="shared" si="13"/>
        <v>-3.367999502</v>
      </c>
      <c r="AP226" s="183">
        <f t="array" ref="AP226">INDIRECT("Update"&amp;Projections!$AG$17&amp;"!S"&amp;ROW(B207))</f>
        <v>5.832786885</v>
      </c>
      <c r="AQ226" s="183">
        <f t="array" ref="AQ226">INDIRECT("Update"&amp;Projections!$AG$17&amp;"!T"&amp;ROW(B207))</f>
        <v>1.866557377</v>
      </c>
    </row>
    <row r="227">
      <c r="A227" s="40" t="str">
        <f>IF(UpdateHashtag!C225="",ROW(UpdateHashtag!C225),UpdateHashtag!C225)</f>
        <v>Kyle Anderson</v>
      </c>
      <c r="B227" s="41">
        <f>IF(TYPE($A227)=1,"",(UpdateHashtag!M225-B$1)/B$2)</f>
        <v>-1.998794693</v>
      </c>
      <c r="C227" s="41">
        <f>IF(TYPE($A227)=1,"",(UpdateHashtag!L225-C$1)/C$2)</f>
        <v>-1.43697381</v>
      </c>
      <c r="D227" s="41">
        <f>IF(TYPE($A227)=1,"",(UpdateHashtag!N225-D$1)/D$2)</f>
        <v>-0.9732357076</v>
      </c>
      <c r="E227" s="41">
        <f>IF(TYPE($A227)=1,"",(UpdateHashtag!O225-E$1)/E$2)</f>
        <v>-0.1059656289</v>
      </c>
      <c r="F227" s="41">
        <f>IF(TYPE($A227)=1,"",(UpdateHashtag!P225-F$1)/F$2)</f>
        <v>-0.5822631548</v>
      </c>
      <c r="G227" s="41">
        <f>IF(TYPE($A227)=1,"",(UpdateHashtag!Q225-G$1)/G$2)</f>
        <v>-0.2651689765</v>
      </c>
      <c r="H227" s="41">
        <f>IF(TYPE($A227)=1,"",(UpdateHashtag!I225-H$1)/H$2*I227/$I$1)</f>
        <v>-0.06802478706</v>
      </c>
      <c r="I227" s="41">
        <f>UpdateHashtag!S225</f>
        <v>5.2</v>
      </c>
      <c r="J227" s="53">
        <f>IF(TYPE($A227)=1,"",(UpdateHashtag!K225-J$1)/J$2*K227/$K$1)</f>
        <v>-0.3740357997</v>
      </c>
      <c r="K227" s="55">
        <f>UpdateHashtag!T225</f>
        <v>1.5</v>
      </c>
      <c r="L227" s="41">
        <f>IF(TYPE($A227)=1,"",-(UpdateHashtag!R225-L$1)/L$2)</f>
        <v>0.643430979</v>
      </c>
      <c r="N227" s="112">
        <v>207.0</v>
      </c>
      <c r="O227" s="170">
        <f t="array" ref="O227">INDIRECT("Update"&amp;Projections!$AG$17&amp;"!B"&amp;ROW(B208))</f>
        <v>142.3</v>
      </c>
      <c r="P227" s="172" t="str">
        <f t="array" ref="P227">INDIRECT("Update"&amp;Projections!$AG$17&amp;"!C"&amp;ROW(B208))</f>
        <v>Simone Fontecchio</v>
      </c>
      <c r="Q227" s="170">
        <f>UpdateHashtag!F266</f>
        <v>68</v>
      </c>
      <c r="R227" s="177" t="str">
        <f>IF(UpdateHashtag!D266="",ROW(UpdateHashtag!D266),UpdateHashtag!D266)</f>
        <v>SG,SF</v>
      </c>
      <c r="S227" s="124">
        <f t="shared" si="1"/>
        <v>-5.339129069</v>
      </c>
      <c r="T227" s="124">
        <f>SUM(AE227:AM227)-IFERROR(IFS(Projections!$I$17,AN227,Projections!$J$17,AO227),"")</f>
        <v>-5.519106595</v>
      </c>
      <c r="U227" s="124">
        <f t="shared" si="2"/>
        <v>-0.1799775267</v>
      </c>
      <c r="V227" s="124">
        <f t="array" ref="V227">INDIRECT("Update"&amp;Projections!$AG$17&amp;"!M"&amp;ROW(B208))</f>
        <v>10.11057971</v>
      </c>
      <c r="W227" s="124">
        <f t="array" ref="W227">INDIRECT("Update"&amp;Projections!$AG$17&amp;"!L"&amp;ROW(B208))</f>
        <v>1.834347826</v>
      </c>
      <c r="X227" s="124">
        <f t="array" ref="X227">INDIRECT("Update"&amp;Projections!$AG$17&amp;"!N"&amp;ROW(B208))</f>
        <v>3.700144928</v>
      </c>
      <c r="Y227" s="124">
        <f t="array" ref="Y227">INDIRECT("Update"&amp;Projections!$AG$17&amp;"!O"&amp;ROW(B208))</f>
        <v>1.527826087</v>
      </c>
      <c r="Z227" s="124">
        <f t="array" ref="Z227">INDIRECT("Update"&amp;Projections!$AG$17&amp;"!P"&amp;ROW(B208))</f>
        <v>0.6389855072</v>
      </c>
      <c r="AA227" s="124">
        <f t="array" ref="AA227">INDIRECT("Update"&amp;Projections!$AG$17&amp;"!Q"&amp;ROW(B208))</f>
        <v>0.2694202899</v>
      </c>
      <c r="AB227" s="180">
        <f t="array" ref="AB227">INDIRECT("Update"&amp;Projections!$AG$17&amp;"!I"&amp;ROW(B208))</f>
        <v>0.4488975818</v>
      </c>
      <c r="AC227" s="180">
        <f t="array" ref="AC227">INDIRECT("Update"&amp;Projections!$AG$17&amp;"!K"&amp;ROW(B208))</f>
        <v>0.83997968</v>
      </c>
      <c r="AD227" s="124">
        <f t="array" ref="AD227">INDIRECT("Update"&amp;Projections!$AG$17&amp;"!R"&amp;ROW(B208))</f>
        <v>1.022898551</v>
      </c>
      <c r="AE227" s="124">
        <f t="shared" si="3"/>
        <v>-1.329941777</v>
      </c>
      <c r="AF227" s="124">
        <f t="shared" si="4"/>
        <v>0.0849895872</v>
      </c>
      <c r="AG227" s="124">
        <f t="shared" si="5"/>
        <v>-0.9339882096</v>
      </c>
      <c r="AH227" s="124">
        <f t="shared" si="6"/>
        <v>-1.092433235</v>
      </c>
      <c r="AI227" s="124">
        <f t="shared" si="7"/>
        <v>-1.114949556</v>
      </c>
      <c r="AJ227" s="124">
        <f t="shared" si="8"/>
        <v>-0.854806757</v>
      </c>
      <c r="AK227" s="124">
        <f t="shared" si="9"/>
        <v>-0.458378779</v>
      </c>
      <c r="AL227" s="124">
        <f t="shared" si="10"/>
        <v>0.1804021306</v>
      </c>
      <c r="AM227" s="124">
        <f t="shared" si="11"/>
        <v>0</v>
      </c>
      <c r="AN227" s="183">
        <f t="shared" si="12"/>
        <v>-1.329941777</v>
      </c>
      <c r="AO227" s="183">
        <f t="shared" si="13"/>
        <v>-2.444891333</v>
      </c>
      <c r="AP227" s="183">
        <f t="array" ref="AP227">INDIRECT("Update"&amp;Projections!$AG$17&amp;"!S"&amp;ROW(B208))</f>
        <v>8.150724638</v>
      </c>
      <c r="AQ227" s="183">
        <f t="array" ref="AQ227">INDIRECT("Update"&amp;Projections!$AG$17&amp;"!T"&amp;ROW(B208))</f>
        <v>1.14115942</v>
      </c>
    </row>
    <row r="228">
      <c r="A228" s="40" t="str">
        <f>IF(UpdateHashtag!C226="",ROW(UpdateHashtag!C226),UpdateHashtag!C226)</f>
        <v>Luke Kornet</v>
      </c>
      <c r="B228" s="41">
        <f>IF(TYPE($A228)=1,"",(UpdateHashtag!M226-B$1)/B$2)</f>
        <v>-2.197075895</v>
      </c>
      <c r="C228" s="41">
        <f>IF(TYPE($A228)=1,"",(UpdateHashtag!L226-C$1)/C$2)</f>
        <v>-1.734552372</v>
      </c>
      <c r="D228" s="41">
        <f>IF(TYPE($A228)=1,"",(UpdateHashtag!N226-D$1)/D$2)</f>
        <v>-0.816472909</v>
      </c>
      <c r="E228" s="41">
        <f>IF(TYPE($A228)=1,"",(UpdateHashtag!O226-E$1)/E$2)</f>
        <v>-1.286725494</v>
      </c>
      <c r="F228" s="41">
        <f>IF(TYPE($A228)=1,"",(UpdateHashtag!P226-F$1)/F$2)</f>
        <v>-2.236419844</v>
      </c>
      <c r="G228" s="41">
        <f>IF(TYPE($A228)=1,"",(UpdateHashtag!Q226-G$1)/G$2)</f>
        <v>0.2699253707</v>
      </c>
      <c r="H228" s="41">
        <f>IF(TYPE($A228)=1,"",(UpdateHashtag!I226-H$1)/H$2*I228/$I$1)</f>
        <v>0.7168401564</v>
      </c>
      <c r="I228" s="41">
        <f>UpdateHashtag!S226</f>
        <v>3.3</v>
      </c>
      <c r="J228" s="53">
        <f>IF(TYPE($A228)=1,"",(UpdateHashtag!K226-J$1)/J$2*K228/$K$1)</f>
        <v>0.1995981779</v>
      </c>
      <c r="K228" s="55">
        <f>UpdateHashtag!T226</f>
        <v>0.8</v>
      </c>
      <c r="L228" s="41">
        <f>IF(TYPE($A228)=1,"",-(UpdateHashtag!R226-L$1)/L$2)</f>
        <v>1.337780956</v>
      </c>
      <c r="N228" s="5">
        <v>208.0</v>
      </c>
      <c r="O228" s="170" t="str">
        <f t="array" ref="O228">INDIRECT("Update"&amp;Projections!$AG$17&amp;"!B"&amp;ROW(B209))</f>
        <v/>
      </c>
      <c r="P228" s="172" t="str">
        <f t="array" ref="P228">INDIRECT("Update"&amp;Projections!$AG$17&amp;"!C"&amp;ROW(B209))</f>
        <v>Cason Wallace</v>
      </c>
      <c r="Q228" s="170">
        <f>UpdateHashtag!F271</f>
        <v>60</v>
      </c>
      <c r="R228" s="177" t="str">
        <f>IF(UpdateHashtag!D271="",ROW(UpdateHashtag!D271),UpdateHashtag!D271)</f>
        <v>SF,PF</v>
      </c>
      <c r="S228" s="124">
        <f t="shared" si="1"/>
        <v>-5.274218293</v>
      </c>
      <c r="T228" s="124">
        <f>SUM(AE228:AM228)-IFERROR(IFS(Projections!$I$17,AN228,Projections!$J$17,AO228),"")</f>
        <v>-5.532536413</v>
      </c>
      <c r="U228" s="124">
        <f t="shared" si="2"/>
        <v>-0.2583181207</v>
      </c>
      <c r="V228" s="124">
        <f t="array" ref="V228">INDIRECT("Update"&amp;Projections!$AG$17&amp;"!M"&amp;ROW(B209))</f>
        <v>6.747260274</v>
      </c>
      <c r="W228" s="124">
        <f t="array" ref="W228">INDIRECT("Update"&amp;Projections!$AG$17&amp;"!L"&amp;ROW(B209))</f>
        <v>1.130547945</v>
      </c>
      <c r="X228" s="124">
        <f t="array" ref="X228">INDIRECT("Update"&amp;Projections!$AG$17&amp;"!N"&amp;ROW(B209))</f>
        <v>2.386164384</v>
      </c>
      <c r="Y228" s="124">
        <f t="array" ref="Y228">INDIRECT("Update"&amp;Projections!$AG$17&amp;"!O"&amp;ROW(B209))</f>
        <v>1.944246575</v>
      </c>
      <c r="Z228" s="124">
        <f t="array" ref="Z228">INDIRECT("Update"&amp;Projections!$AG$17&amp;"!P"&amp;ROW(B209))</f>
        <v>1.060547945</v>
      </c>
      <c r="AA228" s="124">
        <f t="array" ref="AA228">INDIRECT("Update"&amp;Projections!$AG$17&amp;"!Q"&amp;ROW(B209))</f>
        <v>0.3976712329</v>
      </c>
      <c r="AB228" s="180">
        <f t="array" ref="AB228">INDIRECT("Update"&amp;Projections!$AG$17&amp;"!I"&amp;ROW(B209))</f>
        <v>0.4621243561</v>
      </c>
      <c r="AC228" s="180">
        <f t="array" ref="AC228">INDIRECT("Update"&amp;Projections!$AG$17&amp;"!K"&amp;ROW(B209))</f>
        <v>0.7669026117</v>
      </c>
      <c r="AD228" s="124">
        <f t="array" ref="AD228">INDIRECT("Update"&amp;Projections!$AG$17&amp;"!R"&amp;ROW(B209))</f>
        <v>0.7069863014</v>
      </c>
      <c r="AE228" s="124">
        <f t="shared" si="3"/>
        <v>-1.93619907</v>
      </c>
      <c r="AF228" s="124">
        <f t="shared" si="4"/>
        <v>-0.6131296005</v>
      </c>
      <c r="AG228" s="124">
        <f t="shared" si="5"/>
        <v>-1.448946378</v>
      </c>
      <c r="AH228" s="124">
        <f t="shared" si="6"/>
        <v>-0.9033206967</v>
      </c>
      <c r="AI228" s="124">
        <f t="shared" si="7"/>
        <v>0.2797110976</v>
      </c>
      <c r="AJ228" s="124">
        <f t="shared" si="8"/>
        <v>-0.6260522416</v>
      </c>
      <c r="AK228" s="124">
        <f t="shared" si="9"/>
        <v>-0.2292408436</v>
      </c>
      <c r="AL228" s="124">
        <f t="shared" si="10"/>
        <v>-0.05535868042</v>
      </c>
      <c r="AM228" s="124">
        <f t="shared" si="11"/>
        <v>0</v>
      </c>
      <c r="AN228" s="183">
        <f t="shared" si="12"/>
        <v>-1.93619907</v>
      </c>
      <c r="AO228" s="183">
        <f t="shared" si="13"/>
        <v>-3.385145448</v>
      </c>
      <c r="AP228" s="183">
        <f t="array" ref="AP228">INDIRECT("Update"&amp;Projections!$AG$17&amp;"!S"&amp;ROW(B209))</f>
        <v>5.611369863</v>
      </c>
      <c r="AQ228" s="183">
        <f t="array" ref="AQ228">INDIRECT("Update"&amp;Projections!$AG$17&amp;"!T"&amp;ROW(B209))</f>
        <v>0.5612328767</v>
      </c>
    </row>
    <row r="229">
      <c r="A229" s="40" t="str">
        <f>IF(UpdateHashtag!C227="",ROW(UpdateHashtag!C227),UpdateHashtag!C227)</f>
        <v>Bojan Bogdanovic</v>
      </c>
      <c r="B229" s="41">
        <f>IF(TYPE($A229)=1,"",(UpdateHashtag!M227-B$1)/B$2)</f>
        <v>-0.1782127415</v>
      </c>
      <c r="C229" s="41">
        <f>IF(TYPE($A229)=1,"",(UpdateHashtag!L227-C$1)/C$2)</f>
        <v>0.447690414</v>
      </c>
      <c r="D229" s="41">
        <f>IF(TYPE($A229)=1,"",(UpdateHashtag!N227-D$1)/D$2)</f>
        <v>-1.247570605</v>
      </c>
      <c r="E229" s="41">
        <f>IF(TYPE($A229)=1,"",(UpdateHashtag!O227-E$1)/E$2)</f>
        <v>-0.9234147659</v>
      </c>
      <c r="F229" s="41">
        <f>IF(TYPE($A229)=1,"",(UpdateHashtag!P227-F$1)/F$2)</f>
        <v>-1.574757169</v>
      </c>
      <c r="G229" s="41">
        <f>IF(TYPE($A229)=1,"",(UpdateHashtag!Q227-G$1)/G$2)</f>
        <v>-1.156992888</v>
      </c>
      <c r="H229" s="41">
        <f>IF(TYPE($A229)=1,"",(UpdateHashtag!I227-H$1)/H$2*I229/$I$1)</f>
        <v>-0.7183189224</v>
      </c>
      <c r="I229" s="41">
        <f>UpdateHashtag!S227</f>
        <v>12.8</v>
      </c>
      <c r="J229" s="53">
        <f>IF(TYPE($A229)=1,"",(UpdateHashtag!K227-J$1)/J$2*K229/$K$1)</f>
        <v>-0.02434552542</v>
      </c>
      <c r="K229" s="55">
        <f>UpdateHashtag!T227</f>
        <v>3.5</v>
      </c>
      <c r="L229" s="41">
        <f>IF(TYPE($A229)=1,"",-(UpdateHashtag!R227-L$1)/L$2)</f>
        <v>-0.05091899834</v>
      </c>
      <c r="N229" s="5">
        <v>209.0</v>
      </c>
      <c r="O229" s="170">
        <f t="array" ref="O229">INDIRECT("Update"&amp;Projections!$AG$17&amp;"!B"&amp;ROW(B210))</f>
        <v>142.5</v>
      </c>
      <c r="P229" s="172" t="str">
        <f t="array" ref="P229">INDIRECT("Update"&amp;Projections!$AG$17&amp;"!C"&amp;ROW(B210))</f>
        <v>Christian Braun</v>
      </c>
      <c r="Q229" s="170">
        <f>UpdateHashtag!F274</f>
        <v>68</v>
      </c>
      <c r="R229" s="177" t="str">
        <f>IF(UpdateHashtag!D274="",ROW(UpdateHashtag!D274),UpdateHashtag!D274)</f>
        <v>PF</v>
      </c>
      <c r="S229" s="124">
        <f t="shared" si="1"/>
        <v>-5.346154181</v>
      </c>
      <c r="T229" s="124">
        <f>SUM(AE229:AM229)-IFERROR(IFS(Projections!$I$17,AN229,Projections!$J$17,AO229),"")</f>
        <v>-5.560505215</v>
      </c>
      <c r="U229" s="124">
        <f t="shared" si="2"/>
        <v>-0.2143510338</v>
      </c>
      <c r="V229" s="124">
        <f t="array" ref="V229">INDIRECT("Update"&amp;Projections!$AG$17&amp;"!M"&amp;ROW(B210))</f>
        <v>8.766883117</v>
      </c>
      <c r="W229" s="124">
        <f t="array" ref="W229">INDIRECT("Update"&amp;Projections!$AG$17&amp;"!L"&amp;ROW(B210))</f>
        <v>1.088831169</v>
      </c>
      <c r="X229" s="124">
        <f t="array" ref="X229">INDIRECT("Update"&amp;Projections!$AG$17&amp;"!N"&amp;ROW(B210))</f>
        <v>4.23038961</v>
      </c>
      <c r="Y229" s="124">
        <f t="array" ref="Y229">INDIRECT("Update"&amp;Projections!$AG$17&amp;"!O"&amp;ROW(B210))</f>
        <v>1.829350649</v>
      </c>
      <c r="Z229" s="124">
        <f t="array" ref="Z229">INDIRECT("Update"&amp;Projections!$AG$17&amp;"!P"&amp;ROW(B210))</f>
        <v>0.8515584416</v>
      </c>
      <c r="AA229" s="124">
        <f t="array" ref="AA229">INDIRECT("Update"&amp;Projections!$AG$17&amp;"!Q"&amp;ROW(B210))</f>
        <v>0.5493506494</v>
      </c>
      <c r="AB229" s="180">
        <f t="array" ref="AB229">INDIRECT("Update"&amp;Projections!$AG$17&amp;"!I"&amp;ROW(B210))</f>
        <v>0.4662510904</v>
      </c>
      <c r="AC229" s="180">
        <f t="array" ref="AC229">INDIRECT("Update"&amp;Projections!$AG$17&amp;"!K"&amp;ROW(B210))</f>
        <v>0.6759844223</v>
      </c>
      <c r="AD229" s="124">
        <f t="array" ref="AD229">INDIRECT("Update"&amp;Projections!$AG$17&amp;"!R"&amp;ROW(B210))</f>
        <v>0.8842857143</v>
      </c>
      <c r="AE229" s="124">
        <f t="shared" si="3"/>
        <v>-1.572150665</v>
      </c>
      <c r="AF229" s="124">
        <f t="shared" si="4"/>
        <v>-0.6545096612</v>
      </c>
      <c r="AG229" s="124">
        <f t="shared" si="5"/>
        <v>-0.726181609</v>
      </c>
      <c r="AH229" s="124">
        <f t="shared" si="6"/>
        <v>-0.9554993498</v>
      </c>
      <c r="AI229" s="124">
        <f t="shared" si="7"/>
        <v>-0.4116916726</v>
      </c>
      <c r="AJ229" s="124">
        <f t="shared" si="8"/>
        <v>-0.3555095805</v>
      </c>
      <c r="AK229" s="124">
        <f t="shared" si="9"/>
        <v>-0.2576328111</v>
      </c>
      <c r="AL229" s="124">
        <f t="shared" si="10"/>
        <v>-0.6273298658</v>
      </c>
      <c r="AM229" s="124">
        <f t="shared" si="11"/>
        <v>0</v>
      </c>
      <c r="AN229" s="183">
        <f t="shared" si="12"/>
        <v>-1.572150665</v>
      </c>
      <c r="AO229" s="183">
        <f t="shared" si="13"/>
        <v>-2.527650015</v>
      </c>
      <c r="AP229" s="183">
        <f t="array" ref="AP229">INDIRECT("Update"&amp;Projections!$AG$17&amp;"!S"&amp;ROW(B210))</f>
        <v>7.145974026</v>
      </c>
      <c r="AQ229" s="183">
        <f t="array" ref="AQ229">INDIRECT("Update"&amp;Projections!$AG$17&amp;"!T"&amp;ROW(B210))</f>
        <v>1.500649351</v>
      </c>
    </row>
    <row r="230">
      <c r="A230" s="40" t="str">
        <f>IF(UpdateHashtag!C228="",ROW(UpdateHashtag!C228),UpdateHashtag!C228)</f>
        <v>Day'Ron Sharpe</v>
      </c>
      <c r="B230" s="41">
        <f>IF(TYPE($A230)=1,"",(UpdateHashtag!M228-B$1)/B$2)</f>
        <v>-1.710385671</v>
      </c>
      <c r="C230" s="41">
        <f>IF(TYPE($A230)=1,"",(UpdateHashtag!L228-C$1)/C$2)</f>
        <v>-1.635359518</v>
      </c>
      <c r="D230" s="41">
        <f>IF(TYPE($A230)=1,"",(UpdateHashtag!N228-D$1)/D$2)</f>
        <v>0.4768201789</v>
      </c>
      <c r="E230" s="41">
        <f>IF(TYPE($A230)=1,"",(UpdateHashtag!O228-E$1)/E$2)</f>
        <v>-1.10507013</v>
      </c>
      <c r="F230" s="41">
        <f>IF(TYPE($A230)=1,"",(UpdateHashtag!P228-F$1)/F$2)</f>
        <v>-1.574757169</v>
      </c>
      <c r="G230" s="41">
        <f>IF(TYPE($A230)=1,"",(UpdateHashtag!Q228-G$1)/G$2)</f>
        <v>0.2699253707</v>
      </c>
      <c r="H230" s="41">
        <f>IF(TYPE($A230)=1,"",(UpdateHashtag!I228-H$1)/H$2*I230/$I$1)</f>
        <v>0.422685915</v>
      </c>
      <c r="I230" s="41">
        <f>UpdateHashtag!S228</f>
        <v>5.7</v>
      </c>
      <c r="J230" s="53">
        <f>IF(TYPE($A230)=1,"",(UpdateHashtag!K228-J$1)/J$2*K230/$K$1)</f>
        <v>-1.236443542</v>
      </c>
      <c r="K230" s="55">
        <f>UpdateHashtag!T228</f>
        <v>2.2</v>
      </c>
      <c r="L230" s="41">
        <f>IF(TYPE($A230)=1,"",-(UpdateHashtag!R228-L$1)/L$2)</f>
        <v>0.3458524173</v>
      </c>
      <c r="N230" s="112">
        <v>210.0</v>
      </c>
      <c r="O230" s="170">
        <f t="array" ref="O230">INDIRECT("Update"&amp;Projections!$AG$17&amp;"!B"&amp;ROW(B211))</f>
        <v>143.1</v>
      </c>
      <c r="P230" s="172" t="str">
        <f t="array" ref="P230">INDIRECT("Update"&amp;Projections!$AG$17&amp;"!C"&amp;ROW(B211))</f>
        <v>Grant Williams</v>
      </c>
      <c r="Q230" s="170">
        <f>UpdateHashtag!F284</f>
        <v>45</v>
      </c>
      <c r="R230" s="177" t="str">
        <f>IF(UpdateHashtag!D284="",ROW(UpdateHashtag!D284),UpdateHashtag!D284)</f>
        <v>SF,PF</v>
      </c>
      <c r="S230" s="124">
        <f t="shared" si="1"/>
        <v>-5.572617123</v>
      </c>
      <c r="T230" s="124">
        <f>SUM(AE230:AM230)-IFERROR(IFS(Projections!$I$17,AN230,Projections!$J$17,AO230),"")</f>
        <v>-5.713570168</v>
      </c>
      <c r="U230" s="124">
        <f t="shared" si="2"/>
        <v>-0.1409530453</v>
      </c>
      <c r="V230" s="124">
        <f t="array" ref="V230">INDIRECT("Update"&amp;Projections!$AG$17&amp;"!M"&amp;ROW(B211))</f>
        <v>9.609866667</v>
      </c>
      <c r="W230" s="124">
        <f t="array" ref="W230">INDIRECT("Update"&amp;Projections!$AG$17&amp;"!L"&amp;ROW(B211))</f>
        <v>1.282</v>
      </c>
      <c r="X230" s="124">
        <f t="array" ref="X230">INDIRECT("Update"&amp;Projections!$AG$17&amp;"!N"&amp;ROW(B211))</f>
        <v>4.345333333</v>
      </c>
      <c r="Y230" s="124">
        <f t="array" ref="Y230">INDIRECT("Update"&amp;Projections!$AG$17&amp;"!O"&amp;ROW(B211))</f>
        <v>2.038533333</v>
      </c>
      <c r="Z230" s="124">
        <f t="array" ref="Z230">INDIRECT("Update"&amp;Projections!$AG$17&amp;"!P"&amp;ROW(B211))</f>
        <v>0.5184</v>
      </c>
      <c r="AA230" s="124">
        <f t="array" ref="AA230">INDIRECT("Update"&amp;Projections!$AG$17&amp;"!Q"&amp;ROW(B211))</f>
        <v>0.4388</v>
      </c>
      <c r="AB230" s="180">
        <f t="array" ref="AB230">INDIRECT("Update"&amp;Projections!$AG$17&amp;"!I"&amp;ROW(B211))</f>
        <v>0.4856819137</v>
      </c>
      <c r="AC230" s="180">
        <f t="array" ref="AC230">INDIRECT("Update"&amp;Projections!$AG$17&amp;"!K"&amp;ROW(B211))</f>
        <v>0.7729689317</v>
      </c>
      <c r="AD230" s="124">
        <f t="array" ref="AD230">INDIRECT("Update"&amp;Projections!$AG$17&amp;"!R"&amp;ROW(B211))</f>
        <v>1.180266667</v>
      </c>
      <c r="AE230" s="124">
        <f t="shared" si="3"/>
        <v>-1.420198126</v>
      </c>
      <c r="AF230" s="124">
        <f t="shared" si="4"/>
        <v>-0.4628999849</v>
      </c>
      <c r="AG230" s="124">
        <f t="shared" si="5"/>
        <v>-0.6811343598</v>
      </c>
      <c r="AH230" s="124">
        <f t="shared" si="6"/>
        <v>-0.8605014584</v>
      </c>
      <c r="AI230" s="124">
        <f t="shared" si="7"/>
        <v>-1.513884202</v>
      </c>
      <c r="AJ230" s="124">
        <f t="shared" si="8"/>
        <v>-0.5526930057</v>
      </c>
      <c r="AK230" s="124">
        <f t="shared" si="9"/>
        <v>-0.09814521845</v>
      </c>
      <c r="AL230" s="124">
        <f t="shared" si="10"/>
        <v>-0.1241138119</v>
      </c>
      <c r="AM230" s="124">
        <f t="shared" si="11"/>
        <v>0</v>
      </c>
      <c r="AN230" s="183">
        <f t="shared" si="12"/>
        <v>-1.513884202</v>
      </c>
      <c r="AO230" s="183">
        <f t="shared" si="13"/>
        <v>-2.934082329</v>
      </c>
      <c r="AP230" s="183">
        <f t="array" ref="AP230">INDIRECT("Update"&amp;Projections!$AG$17&amp;"!S"&amp;ROW(B211))</f>
        <v>7.296133333</v>
      </c>
      <c r="AQ230" s="183">
        <f t="array" ref="AQ230">INDIRECT("Update"&amp;Projections!$AG$17&amp;"!T"&amp;ROW(B211))</f>
        <v>1.605066667</v>
      </c>
    </row>
    <row r="231">
      <c r="A231" s="40" t="str">
        <f>IF(UpdateHashtag!C229="",ROW(UpdateHashtag!C229),UpdateHashtag!C229)</f>
        <v>Isaac Okoro</v>
      </c>
      <c r="B231" s="41">
        <f>IF(TYPE($A231)=1,"",(UpdateHashtag!M229-B$1)/B$2)</f>
        <v>-1.56618116</v>
      </c>
      <c r="C231" s="41">
        <f>IF(TYPE($A231)=1,"",(UpdateHashtag!L229-C$1)/C$2)</f>
        <v>-0.643430979</v>
      </c>
      <c r="D231" s="41">
        <f>IF(TYPE($A231)=1,"",(UpdateHashtag!N229-D$1)/D$2)</f>
        <v>-1.208379905</v>
      </c>
      <c r="E231" s="41">
        <f>IF(TYPE($A231)=1,"",(UpdateHashtag!O229-E$1)/E$2)</f>
        <v>-1.014242448</v>
      </c>
      <c r="F231" s="41">
        <f>IF(TYPE($A231)=1,"",(UpdateHashtag!P229-F$1)/F$2)</f>
        <v>-0.2514318168</v>
      </c>
      <c r="G231" s="41">
        <f>IF(TYPE($A231)=1,"",(UpdateHashtag!Q229-G$1)/G$2)</f>
        <v>-0.4435337589</v>
      </c>
      <c r="H231" s="41">
        <f>IF(TYPE($A231)=1,"",(UpdateHashtag!I229-H$1)/H$2*I231/$I$1)</f>
        <v>-0.04650164642</v>
      </c>
      <c r="I231" s="41">
        <f>UpdateHashtag!S229</f>
        <v>6.4</v>
      </c>
      <c r="J231" s="53">
        <f>IF(TYPE($A231)=1,"",(UpdateHashtag!K229-J$1)/J$2*K231/$K$1)</f>
        <v>-0.5405268734</v>
      </c>
      <c r="K231" s="55">
        <f>UpdateHashtag!T229</f>
        <v>1.9</v>
      </c>
      <c r="L231" s="41">
        <f>IF(TYPE($A231)=1,"",-(UpdateHashtag!R229-L$1)/L$2)</f>
        <v>1.040202395</v>
      </c>
      <c r="N231" s="112">
        <v>211.0</v>
      </c>
      <c r="O231" s="170">
        <f t="array" ref="O231">INDIRECT("Update"&amp;Projections!$AG$17&amp;"!B"&amp;ROW(B212))</f>
        <v>142.2</v>
      </c>
      <c r="P231" s="172" t="str">
        <f t="array" ref="P231">INDIRECT("Update"&amp;Projections!$AG$17&amp;"!C"&amp;ROW(B212))</f>
        <v>Kyle Anderson</v>
      </c>
      <c r="Q231" s="170">
        <f>UpdateHashtag!F268</f>
        <v>60</v>
      </c>
      <c r="R231" s="177" t="str">
        <f>IF(UpdateHashtag!D268="",ROW(UpdateHashtag!D268),UpdateHashtag!D268)</f>
        <v>SG,SF</v>
      </c>
      <c r="S231" s="124">
        <f t="shared" si="1"/>
        <v>-5.5026594</v>
      </c>
      <c r="T231" s="124">
        <f>SUM(AE231:AM231)-IFERROR(IFS(Projections!$I$17,AN231,Projections!$J$17,AO231),"")</f>
        <v>-5.698438464</v>
      </c>
      <c r="U231" s="124">
        <f t="shared" si="2"/>
        <v>-0.1957790645</v>
      </c>
      <c r="V231" s="124">
        <f t="array" ref="V231">INDIRECT("Update"&amp;Projections!$AG$17&amp;"!M"&amp;ROW(B212))</f>
        <v>6.162328767</v>
      </c>
      <c r="W231" s="124">
        <f t="array" ref="W231">INDIRECT("Update"&amp;Projections!$AG$17&amp;"!L"&amp;ROW(B212))</f>
        <v>0.2063013699</v>
      </c>
      <c r="X231" s="124">
        <f t="array" ref="X231">INDIRECT("Update"&amp;Projections!$AG$17&amp;"!N"&amp;ROW(B212))</f>
        <v>3.718767123</v>
      </c>
      <c r="Y231" s="124">
        <f t="array" ref="Y231">INDIRECT("Update"&amp;Projections!$AG$17&amp;"!O"&amp;ROW(B212))</f>
        <v>3.5</v>
      </c>
      <c r="Z231" s="124">
        <f t="array" ref="Z231">INDIRECT("Update"&amp;Projections!$AG$17&amp;"!P"&amp;ROW(B212))</f>
        <v>0.9246575342</v>
      </c>
      <c r="AA231" s="124">
        <f t="array" ref="AA231">INDIRECT("Update"&amp;Projections!$AG$17&amp;"!Q"&amp;ROW(B212))</f>
        <v>0.5228767123</v>
      </c>
      <c r="AB231" s="180">
        <f t="array" ref="AB231">INDIRECT("Update"&amp;Projections!$AG$17&amp;"!I"&amp;ROW(B212))</f>
        <v>0.4789795185</v>
      </c>
      <c r="AC231" s="180">
        <f t="array" ref="AC231">INDIRECT("Update"&amp;Projections!$AG$17&amp;"!K"&amp;ROW(B212))</f>
        <v>0.7180354643</v>
      </c>
      <c r="AD231" s="124">
        <f t="array" ref="AD231">INDIRECT("Update"&amp;Projections!$AG$17&amp;"!R"&amp;ROW(B212))</f>
        <v>0.9591780822</v>
      </c>
      <c r="AE231" s="124">
        <f t="shared" si="3"/>
        <v>-2.041636273</v>
      </c>
      <c r="AF231" s="124">
        <f t="shared" si="4"/>
        <v>-1.529916155</v>
      </c>
      <c r="AG231" s="124">
        <f t="shared" si="5"/>
        <v>-0.9266900411</v>
      </c>
      <c r="AH231" s="124">
        <f t="shared" si="6"/>
        <v>-0.1967933108</v>
      </c>
      <c r="AI231" s="124">
        <f t="shared" si="7"/>
        <v>-0.1698569665</v>
      </c>
      <c r="AJ231" s="124">
        <f t="shared" si="8"/>
        <v>-0.4027297608</v>
      </c>
      <c r="AK231" s="124">
        <f t="shared" si="9"/>
        <v>-0.1134042047</v>
      </c>
      <c r="AL231" s="124">
        <f t="shared" si="10"/>
        <v>-0.3174117524</v>
      </c>
      <c r="AM231" s="124">
        <f t="shared" si="11"/>
        <v>0</v>
      </c>
      <c r="AN231" s="183">
        <f t="shared" si="12"/>
        <v>-2.041636273</v>
      </c>
      <c r="AO231" s="183">
        <f t="shared" si="13"/>
        <v>-3.571552428</v>
      </c>
      <c r="AP231" s="183">
        <f t="array" ref="AP231">INDIRECT("Update"&amp;Projections!$AG$17&amp;"!S"&amp;ROW(B212))</f>
        <v>5.337260274</v>
      </c>
      <c r="AQ231" s="183">
        <f t="array" ref="AQ231">INDIRECT("Update"&amp;Projections!$AG$17&amp;"!T"&amp;ROW(B212))</f>
        <v>1.174246575</v>
      </c>
    </row>
    <row r="232">
      <c r="A232" s="40" t="str">
        <f>IF(UpdateHashtag!C230="",ROW(UpdateHashtag!C230),UpdateHashtag!C230)</f>
        <v>Delon Wright</v>
      </c>
      <c r="B232" s="41">
        <f>IF(TYPE($A232)=1,"",(UpdateHashtag!M230-B$1)/B$2)</f>
        <v>-2.251152587</v>
      </c>
      <c r="C232" s="41">
        <f>IF(TYPE($A232)=1,"",(UpdateHashtag!L230-C$1)/C$2)</f>
        <v>-1.139395249</v>
      </c>
      <c r="D232" s="41">
        <f>IF(TYPE($A232)=1,"",(UpdateHashtag!N230-D$1)/D$2)</f>
        <v>-1.482714803</v>
      </c>
      <c r="E232" s="41">
        <f>IF(TYPE($A232)=1,"",(UpdateHashtag!O230-E$1)/E$2)</f>
        <v>-0.5601040384</v>
      </c>
      <c r="F232" s="41">
        <f>IF(TYPE($A232)=1,"",(UpdateHashtag!P230-F$1)/F$2)</f>
        <v>1.071893535</v>
      </c>
      <c r="G232" s="41">
        <f>IF(TYPE($A232)=1,"",(UpdateHashtag!Q230-G$1)/G$2)</f>
        <v>-0.978628106</v>
      </c>
      <c r="H232" s="41">
        <f>IF(TYPE($A232)=1,"",(UpdateHashtag!I230-H$1)/H$2*I232/$I$1)</f>
        <v>-0.2634692653</v>
      </c>
      <c r="I232" s="41">
        <f>UpdateHashtag!S230</f>
        <v>4.1</v>
      </c>
      <c r="J232" s="53">
        <f>IF(TYPE($A232)=1,"",(UpdateHashtag!K230-J$1)/J$2*K232/$K$1)</f>
        <v>0.1613128191</v>
      </c>
      <c r="K232" s="55">
        <f>UpdateHashtag!T230</f>
        <v>0.9</v>
      </c>
      <c r="L232" s="41">
        <f>IF(TYPE($A232)=1,"",-(UpdateHashtag!R230-L$1)/L$2)</f>
        <v>1.238588102</v>
      </c>
      <c r="N232" s="5">
        <v>212.0</v>
      </c>
      <c r="O232" s="170" t="str">
        <f t="array" ref="O232">INDIRECT("Update"&amp;Projections!$AG$17&amp;"!B"&amp;ROW(B213))</f>
        <v/>
      </c>
      <c r="P232" s="172" t="str">
        <f t="array" ref="P232">INDIRECT("Update"&amp;Projections!$AG$17&amp;"!C"&amp;ROW(B213))</f>
        <v>Aaron Wiggins</v>
      </c>
      <c r="Q232" s="170">
        <f>UpdateHashtag!F247</f>
        <v>68</v>
      </c>
      <c r="R232" s="177" t="str">
        <f>IF(UpdateHashtag!D247="",ROW(UpdateHashtag!D247),UpdateHashtag!D247)</f>
        <v>PG</v>
      </c>
      <c r="S232" s="124">
        <f t="shared" si="1"/>
        <v>-5.642349358</v>
      </c>
      <c r="T232" s="124">
        <f>SUM(AE232:AM232)-IFERROR(IFS(Projections!$I$17,AN232,Projections!$J$17,AO232),"")</f>
        <v>-5.836463885</v>
      </c>
      <c r="U232" s="124">
        <f t="shared" si="2"/>
        <v>-0.1941145269</v>
      </c>
      <c r="V232" s="124">
        <f t="array" ref="V232">INDIRECT("Update"&amp;Projections!$AG$17&amp;"!M"&amp;ROW(B213))</f>
        <v>9.215753425</v>
      </c>
      <c r="W232" s="124">
        <f t="array" ref="W232">INDIRECT("Update"&amp;Projections!$AG$17&amp;"!L"&amp;ROW(B213))</f>
        <v>0.8015068493</v>
      </c>
      <c r="X232" s="124">
        <f t="array" ref="X232">INDIRECT("Update"&amp;Projections!$AG$17&amp;"!N"&amp;ROW(B213))</f>
        <v>2.916438356</v>
      </c>
      <c r="Y232" s="124">
        <f t="array" ref="Y232">INDIRECT("Update"&amp;Projections!$AG$17&amp;"!O"&amp;ROW(B213))</f>
        <v>1.58109589</v>
      </c>
      <c r="Z232" s="124">
        <f t="array" ref="Z232">INDIRECT("Update"&amp;Projections!$AG$17&amp;"!P"&amp;ROW(B213))</f>
        <v>0.8332876712</v>
      </c>
      <c r="AA232" s="124">
        <f t="array" ref="AA232">INDIRECT("Update"&amp;Projections!$AG$17&amp;"!Q"&amp;ROW(B213))</f>
        <v>0.3216438356</v>
      </c>
      <c r="AB232" s="180">
        <f t="array" ref="AB232">INDIRECT("Update"&amp;Projections!$AG$17&amp;"!I"&amp;ROW(B213))</f>
        <v>0.5176979247</v>
      </c>
      <c r="AC232" s="180">
        <f t="array" ref="AC232">INDIRECT("Update"&amp;Projections!$AG$17&amp;"!K"&amp;ROW(B213))</f>
        <v>0.7880054331</v>
      </c>
      <c r="AD232" s="124">
        <f t="array" ref="AD232">INDIRECT("Update"&amp;Projections!$AG$17&amp;"!R"&amp;ROW(B213))</f>
        <v>0.965890411</v>
      </c>
      <c r="AE232" s="124">
        <f t="shared" si="3"/>
        <v>-1.491239261</v>
      </c>
      <c r="AF232" s="124">
        <f t="shared" si="4"/>
        <v>-0.9395148539</v>
      </c>
      <c r="AG232" s="124">
        <f t="shared" si="5"/>
        <v>-1.241128298</v>
      </c>
      <c r="AH232" s="124">
        <f t="shared" si="6"/>
        <v>-1.068241371</v>
      </c>
      <c r="AI232" s="124">
        <f t="shared" si="7"/>
        <v>-0.4721371068</v>
      </c>
      <c r="AJ232" s="124">
        <f t="shared" si="8"/>
        <v>-0.7616583434</v>
      </c>
      <c r="AK232" s="124">
        <f t="shared" si="9"/>
        <v>0.169579941</v>
      </c>
      <c r="AL232" s="124">
        <f t="shared" si="10"/>
        <v>-0.03212459178</v>
      </c>
      <c r="AM232" s="124">
        <f t="shared" si="11"/>
        <v>0</v>
      </c>
      <c r="AN232" s="183">
        <f t="shared" si="12"/>
        <v>-1.491239261</v>
      </c>
      <c r="AO232" s="183">
        <f t="shared" si="13"/>
        <v>-2.732367559</v>
      </c>
      <c r="AP232" s="183">
        <f t="array" ref="AP232">INDIRECT("Update"&amp;Projections!$AG$17&amp;"!S"&amp;ROW(B213))</f>
        <v>7.128767123</v>
      </c>
      <c r="AQ232" s="183">
        <f t="array" ref="AQ232">INDIRECT("Update"&amp;Projections!$AG$17&amp;"!T"&amp;ROW(B213))</f>
        <v>1.31109589</v>
      </c>
    </row>
    <row r="233">
      <c r="A233" s="40" t="str">
        <f>IF(UpdateHashtag!C231="",ROW(UpdateHashtag!C231),UpdateHashtag!C231)</f>
        <v>Malik Beasley</v>
      </c>
      <c r="B233" s="41">
        <f>IF(TYPE($A233)=1,"",(UpdateHashtag!M231-B$1)/B$2)</f>
        <v>-1.151593191</v>
      </c>
      <c r="C233" s="41">
        <f>IF(TYPE($A233)=1,"",(UpdateHashtag!L231-C$1)/C$2)</f>
        <v>0.8444618296</v>
      </c>
      <c r="D233" s="41">
        <f>IF(TYPE($A233)=1,"",(UpdateHashtag!N231-D$1)/D$2)</f>
        <v>-1.090807806</v>
      </c>
      <c r="E233" s="41">
        <f>IF(TYPE($A233)=1,"",(UpdateHashtag!O231-E$1)/E$2)</f>
        <v>-1.195897812</v>
      </c>
      <c r="F233" s="41">
        <f>IF(TYPE($A233)=1,"",(UpdateHashtag!P231-F$1)/F$2)</f>
        <v>-0.9130944927</v>
      </c>
      <c r="G233" s="41">
        <f>IF(TYPE($A233)=1,"",(UpdateHashtag!Q231-G$1)/G$2)</f>
        <v>-1.156992888</v>
      </c>
      <c r="H233" s="41">
        <f>IF(TYPE($A233)=1,"",(UpdateHashtag!I231-H$1)/H$2*I233/$I$1)</f>
        <v>-0.7983281502</v>
      </c>
      <c r="I233" s="41">
        <f>UpdateHashtag!S231</f>
        <v>9.5</v>
      </c>
      <c r="J233" s="53">
        <f>IF(TYPE($A233)=1,"",(UpdateHashtag!K231-J$1)/J$2*K233/$K$1)</f>
        <v>-0.08637918891</v>
      </c>
      <c r="K233" s="55">
        <f>UpdateHashtag!T231</f>
        <v>0.6</v>
      </c>
      <c r="L233" s="41">
        <f>IF(TYPE($A233)=1,"",-(UpdateHashtag!R231-L$1)/L$2)</f>
        <v>0.9410095407</v>
      </c>
      <c r="N233" s="5">
        <v>213.0</v>
      </c>
      <c r="O233" s="170">
        <f t="array" ref="O233">INDIRECT("Update"&amp;Projections!$AG$17&amp;"!B"&amp;ROW(B214))</f>
        <v>141.7</v>
      </c>
      <c r="P233" s="172" t="str">
        <f t="array" ref="P233">INDIRECT("Update"&amp;Projections!$AG$17&amp;"!C"&amp;ROW(B214))</f>
        <v>Cole Anthony</v>
      </c>
      <c r="Q233" s="170">
        <f>UpdateHashtag!F263</f>
        <v>42</v>
      </c>
      <c r="R233" s="177" t="str">
        <f>IF(UpdateHashtag!D263="",ROW(UpdateHashtag!D263),UpdateHashtag!D263)</f>
        <v>SG,SF</v>
      </c>
      <c r="S233" s="124">
        <f t="shared" si="1"/>
        <v>-5.604506675</v>
      </c>
      <c r="T233" s="124">
        <f>SUM(AE233:AM233)-IFERROR(IFS(Projections!$I$17,AN233,Projections!$J$17,AO233),"")</f>
        <v>-5.705494448</v>
      </c>
      <c r="U233" s="124">
        <f t="shared" si="2"/>
        <v>-0.1009877723</v>
      </c>
      <c r="V233" s="124">
        <f t="array" ref="V233">INDIRECT("Update"&amp;Projections!$AG$17&amp;"!M"&amp;ROW(B214))</f>
        <v>10.04402597</v>
      </c>
      <c r="W233" s="124">
        <f t="array" ref="W233">INDIRECT("Update"&amp;Projections!$AG$17&amp;"!L"&amp;ROW(B214))</f>
        <v>1.251948052</v>
      </c>
      <c r="X233" s="124">
        <f t="array" ref="X233">INDIRECT("Update"&amp;Projections!$AG$17&amp;"!N"&amp;ROW(B214))</f>
        <v>3.394935065</v>
      </c>
      <c r="Y233" s="124">
        <f t="array" ref="Y233">INDIRECT("Update"&amp;Projections!$AG$17&amp;"!O"&amp;ROW(B214))</f>
        <v>2.748311688</v>
      </c>
      <c r="Z233" s="124">
        <f t="array" ref="Z233">INDIRECT("Update"&amp;Projections!$AG$17&amp;"!P"&amp;ROW(B214))</f>
        <v>0.6062337662</v>
      </c>
      <c r="AA233" s="124">
        <f t="array" ref="AA233">INDIRECT("Update"&amp;Projections!$AG$17&amp;"!Q"&amp;ROW(B214))</f>
        <v>0.4068831169</v>
      </c>
      <c r="AB233" s="180">
        <f t="array" ref="AB233">INDIRECT("Update"&amp;Projections!$AG$17&amp;"!I"&amp;ROW(B214))</f>
        <v>0.4364700333</v>
      </c>
      <c r="AC233" s="180">
        <f t="array" ref="AC233">INDIRECT("Update"&amp;Projections!$AG$17&amp;"!K"&amp;ROW(B214))</f>
        <v>0.833038522</v>
      </c>
      <c r="AD233" s="124">
        <f t="array" ref="AD233">INDIRECT("Update"&amp;Projections!$AG$17&amp;"!R"&amp;ROW(B214))</f>
        <v>1.341428571</v>
      </c>
      <c r="AE233" s="124">
        <f t="shared" si="3"/>
        <v>-1.341938464</v>
      </c>
      <c r="AF233" s="124">
        <f t="shared" si="4"/>
        <v>-0.4927093698</v>
      </c>
      <c r="AG233" s="124">
        <f t="shared" si="5"/>
        <v>-1.05360209</v>
      </c>
      <c r="AH233" s="124">
        <f t="shared" si="6"/>
        <v>-0.5381638452</v>
      </c>
      <c r="AI233" s="124">
        <f t="shared" si="7"/>
        <v>-1.223302578</v>
      </c>
      <c r="AJ233" s="124">
        <f t="shared" si="8"/>
        <v>-0.6096214848</v>
      </c>
      <c r="AK233" s="124">
        <f t="shared" si="9"/>
        <v>-0.6228515944</v>
      </c>
      <c r="AL233" s="124">
        <f t="shared" si="10"/>
        <v>0.1766949792</v>
      </c>
      <c r="AM233" s="124">
        <f t="shared" si="11"/>
        <v>0</v>
      </c>
      <c r="AN233" s="183">
        <f t="shared" si="12"/>
        <v>-1.341938464</v>
      </c>
      <c r="AO233" s="183">
        <f t="shared" si="13"/>
        <v>-2.565241042</v>
      </c>
      <c r="AP233" s="183">
        <f t="array" ref="AP233">INDIRECT("Update"&amp;Projections!$AG$17&amp;"!S"&amp;ROW(B214))</f>
        <v>8.810649351</v>
      </c>
      <c r="AQ233" s="183">
        <f t="array" ref="AQ233">INDIRECT("Update"&amp;Projections!$AG$17&amp;"!T"&amp;ROW(B214))</f>
        <v>1.321558442</v>
      </c>
    </row>
    <row r="234">
      <c r="A234" s="40" t="str">
        <f>IF(UpdateHashtag!C232="",ROW(UpdateHashtag!C232),UpdateHashtag!C232)</f>
        <v>Julian Strawther</v>
      </c>
      <c r="B234" s="41">
        <f>IF(TYPE($A234)=1,"",(UpdateHashtag!M232-B$1)/B$2)</f>
        <v>-1.259746574</v>
      </c>
      <c r="C234" s="41">
        <f>IF(TYPE($A234)=1,"",(UpdateHashtag!L232-C$1)/C$2)</f>
        <v>0.1501118522</v>
      </c>
      <c r="D234" s="41">
        <f>IF(TYPE($A234)=1,"",(UpdateHashtag!N232-D$1)/D$2)</f>
        <v>-1.286761305</v>
      </c>
      <c r="E234" s="41">
        <f>IF(TYPE($A234)=1,"",(UpdateHashtag!O232-E$1)/E$2)</f>
        <v>-0.7871732431</v>
      </c>
      <c r="F234" s="41">
        <f>IF(TYPE($A234)=1,"",(UpdateHashtag!P232-F$1)/F$2)</f>
        <v>-0.5822631548</v>
      </c>
      <c r="G234" s="41">
        <f>IF(TYPE($A234)=1,"",(UpdateHashtag!Q232-G$1)/G$2)</f>
        <v>-0.8002633236</v>
      </c>
      <c r="H234" s="41">
        <f>IF(TYPE($A234)=1,"",(UpdateHashtag!I232-H$1)/H$2*I234/$I$1)</f>
        <v>-0.6299054649</v>
      </c>
      <c r="I234" s="41">
        <f>UpdateHashtag!S232</f>
        <v>8.7</v>
      </c>
      <c r="J234" s="53">
        <f>IF(TYPE($A234)=1,"",(UpdateHashtag!K232-J$1)/J$2*K234/$K$1)</f>
        <v>-0.3245086399</v>
      </c>
      <c r="K234" s="55">
        <f>UpdateHashtag!T232</f>
        <v>1.4</v>
      </c>
      <c r="L234" s="41">
        <f>IF(TYPE($A234)=1,"",-(UpdateHashtag!R232-L$1)/L$2)</f>
        <v>0.643430979</v>
      </c>
      <c r="N234" s="112">
        <v>214.0</v>
      </c>
      <c r="O234" s="170" t="str">
        <f t="array" ref="O234">INDIRECT("Update"&amp;Projections!$AG$17&amp;"!B"&amp;ROW(B215))</f>
        <v/>
      </c>
      <c r="P234" s="172" t="str">
        <f t="array" ref="P234">INDIRECT("Update"&amp;Projections!$AG$17&amp;"!C"&amp;ROW(B215))</f>
        <v>Lonzo Ball</v>
      </c>
      <c r="Q234" s="170">
        <f>UpdateHashtag!F269</f>
        <v>58</v>
      </c>
      <c r="R234" s="177" t="str">
        <f>IF(UpdateHashtag!D269="",ROW(UpdateHashtag!D269),UpdateHashtag!D269)</f>
        <v>SF,PF</v>
      </c>
      <c r="S234" s="124">
        <f t="shared" si="1"/>
        <v>-5.573166457</v>
      </c>
      <c r="T234" s="124">
        <f>SUM(AE234:AM234)-IFERROR(IFS(Projections!$I$17,AN234,Projections!$J$17,AO234),"")</f>
        <v>-5.682734238</v>
      </c>
      <c r="U234" s="124">
        <f t="shared" si="2"/>
        <v>-0.1095677813</v>
      </c>
      <c r="V234" s="124">
        <f t="array" ref="V234">INDIRECT("Update"&amp;Projections!$AG$17&amp;"!M"&amp;ROW(B215))</f>
        <v>6.824390244</v>
      </c>
      <c r="W234" s="124">
        <f t="array" ref="W234">INDIRECT("Update"&amp;Projections!$AG$17&amp;"!L"&amp;ROW(B215))</f>
        <v>1.583658537</v>
      </c>
      <c r="X234" s="124">
        <f t="array" ref="X234">INDIRECT("Update"&amp;Projections!$AG$17&amp;"!N"&amp;ROW(B215))</f>
        <v>2.909268293</v>
      </c>
      <c r="Y234" s="124">
        <f t="array" ref="Y234">INDIRECT("Update"&amp;Projections!$AG$17&amp;"!O"&amp;ROW(B215))</f>
        <v>2.715365854</v>
      </c>
      <c r="Z234" s="124">
        <f t="array" ref="Z234">INDIRECT("Update"&amp;Projections!$AG$17&amp;"!P"&amp;ROW(B215))</f>
        <v>0.8475609756</v>
      </c>
      <c r="AA234" s="124">
        <f t="array" ref="AA234">INDIRECT("Update"&amp;Projections!$AG$17&amp;"!Q"&amp;ROW(B215))</f>
        <v>0.3490243902</v>
      </c>
      <c r="AB234" s="180">
        <f t="array" ref="AB234">INDIRECT("Update"&amp;Projections!$AG$17&amp;"!I"&amp;ROW(B215))</f>
        <v>0.4132103201</v>
      </c>
      <c r="AC234" s="180">
        <f t="array" ref="AC234">INDIRECT("Update"&amp;Projections!$AG$17&amp;"!K"&amp;ROW(B215))</f>
        <v>0.7407628129</v>
      </c>
      <c r="AD234" s="124">
        <f t="array" ref="AD234">INDIRECT("Update"&amp;Projections!$AG$17&amp;"!R"&amp;ROW(B215))</f>
        <v>1.306829268</v>
      </c>
      <c r="AE234" s="124">
        <f t="shared" si="3"/>
        <v>-1.922295958</v>
      </c>
      <c r="AF234" s="124">
        <f t="shared" si="4"/>
        <v>-0.163676273</v>
      </c>
      <c r="AG234" s="124">
        <f t="shared" si="5"/>
        <v>-1.243938296</v>
      </c>
      <c r="AH234" s="124">
        <f t="shared" si="6"/>
        <v>-0.5531258139</v>
      </c>
      <c r="AI234" s="124">
        <f t="shared" si="7"/>
        <v>-0.4249165428</v>
      </c>
      <c r="AJ234" s="124">
        <f t="shared" si="8"/>
        <v>-0.7128210767</v>
      </c>
      <c r="AK234" s="124">
        <f t="shared" si="9"/>
        <v>-0.5840076067</v>
      </c>
      <c r="AL234" s="124">
        <f t="shared" si="10"/>
        <v>-0.07795267068</v>
      </c>
      <c r="AM234" s="124">
        <f t="shared" si="11"/>
        <v>0</v>
      </c>
      <c r="AN234" s="183">
        <f t="shared" si="12"/>
        <v>-1.922295958</v>
      </c>
      <c r="AO234" s="183">
        <f t="shared" si="13"/>
        <v>-3.166234254</v>
      </c>
      <c r="AP234" s="183">
        <f t="array" ref="AP234">INDIRECT("Update"&amp;Projections!$AG$17&amp;"!S"&amp;ROW(B215))</f>
        <v>5.974634146</v>
      </c>
      <c r="AQ234" s="183">
        <f t="array" ref="AQ234">INDIRECT("Update"&amp;Projections!$AG$17&amp;"!T"&amp;ROW(B215))</f>
        <v>0.4092682927</v>
      </c>
    </row>
    <row r="235">
      <c r="A235" s="40" t="str">
        <f>IF(UpdateHashtag!C233="",ROW(UpdateHashtag!C233),UpdateHashtag!C233)</f>
        <v>Zach Collins</v>
      </c>
      <c r="B235" s="41">
        <f>IF(TYPE($A235)=1,"",(UpdateHashtag!M233-B$1)/B$2)</f>
        <v>-1.512104468</v>
      </c>
      <c r="C235" s="41">
        <f>IF(TYPE($A235)=1,"",(UpdateHashtag!L233-C$1)/C$2)</f>
        <v>-1.040202395</v>
      </c>
      <c r="D235" s="41">
        <f>IF(TYPE($A235)=1,"",(UpdateHashtag!N233-D$1)/D$2)</f>
        <v>-0.5421380116</v>
      </c>
      <c r="E235" s="41">
        <f>IF(TYPE($A235)=1,"",(UpdateHashtag!O233-E$1)/E$2)</f>
        <v>-0.7417594022</v>
      </c>
      <c r="F235" s="41">
        <f>IF(TYPE($A235)=1,"",(UpdateHashtag!P233-F$1)/F$2)</f>
        <v>-1.905588506</v>
      </c>
      <c r="G235" s="41">
        <f>IF(TYPE($A235)=1,"",(UpdateHashtag!Q233-G$1)/G$2)</f>
        <v>-0.2651689765</v>
      </c>
      <c r="H235" s="41">
        <f>IF(TYPE($A235)=1,"",(UpdateHashtag!I233-H$1)/H$2*I235/$I$1)</f>
        <v>0.03056013016</v>
      </c>
      <c r="I235" s="41">
        <f>UpdateHashtag!S233</f>
        <v>7</v>
      </c>
      <c r="J235" s="53">
        <f>IF(TYPE($A235)=1,"",(UpdateHashtag!K233-J$1)/J$2*K235/$K$1)</f>
        <v>-0.2211964881</v>
      </c>
      <c r="K235" s="55">
        <f>UpdateHashtag!T233</f>
        <v>1.8</v>
      </c>
      <c r="L235" s="41">
        <f>IF(TYPE($A235)=1,"",-(UpdateHashtag!R233-L$1)/L$2)</f>
        <v>0.1474667095</v>
      </c>
      <c r="N235" s="112">
        <v>215.0</v>
      </c>
      <c r="O235" s="170" t="str">
        <f t="array" ref="O235">INDIRECT("Update"&amp;Projections!$AG$17&amp;"!B"&amp;ROW(B216))</f>
        <v/>
      </c>
      <c r="P235" s="172" t="str">
        <f t="array" ref="P235">INDIRECT("Update"&amp;Projections!$AG$17&amp;"!C"&amp;ROW(B216))</f>
        <v>Gary Payton II</v>
      </c>
      <c r="Q235" s="170">
        <f>UpdateHashtag!F264</f>
        <v>60</v>
      </c>
      <c r="R235" s="177" t="str">
        <f>IF(UpdateHashtag!D264="",ROW(UpdateHashtag!D264),UpdateHashtag!D264)</f>
        <v>SF</v>
      </c>
      <c r="S235" s="124">
        <f t="shared" si="1"/>
        <v>-5.636803178</v>
      </c>
      <c r="T235" s="124">
        <f>SUM(AE235:AM235)-IFERROR(IFS(Projections!$I$17,AN235,Projections!$J$17,AO235),"")</f>
        <v>-5.902943926</v>
      </c>
      <c r="U235" s="124">
        <f t="shared" si="2"/>
        <v>-0.2661407481</v>
      </c>
      <c r="V235" s="124">
        <f t="array" ref="V235">INDIRECT("Update"&amp;Projections!$AG$17&amp;"!M"&amp;ROW(B216))</f>
        <v>5.900735294</v>
      </c>
      <c r="W235" s="124">
        <f t="array" ref="W235">INDIRECT("Update"&amp;Projections!$AG$17&amp;"!L"&amp;ROW(B216))</f>
        <v>0.5298529412</v>
      </c>
      <c r="X235" s="124">
        <f t="array" ref="X235">INDIRECT("Update"&amp;Projections!$AG$17&amp;"!N"&amp;ROW(B216))</f>
        <v>3.225</v>
      </c>
      <c r="Y235" s="124">
        <f t="array" ref="Y235">INDIRECT("Update"&amp;Projections!$AG$17&amp;"!O"&amp;ROW(B216))</f>
        <v>1.195294118</v>
      </c>
      <c r="Z235" s="124">
        <f t="array" ref="Z235">INDIRECT("Update"&amp;Projections!$AG$17&amp;"!P"&amp;ROW(B216))</f>
        <v>1.123382353</v>
      </c>
      <c r="AA235" s="124">
        <f t="array" ref="AA235">INDIRECT("Update"&amp;Projections!$AG$17&amp;"!Q"&amp;ROW(B216))</f>
        <v>0.3752941176</v>
      </c>
      <c r="AB235" s="180">
        <f t="array" ref="AB235">INDIRECT("Update"&amp;Projections!$AG$17&amp;"!I"&amp;ROW(B216))</f>
        <v>0.5452675558</v>
      </c>
      <c r="AC235" s="180">
        <f t="array" ref="AC235">INDIRECT("Update"&amp;Projections!$AG$17&amp;"!K"&amp;ROW(B216))</f>
        <v>0.6420426376</v>
      </c>
      <c r="AD235" s="124">
        <f t="array" ref="AD235">INDIRECT("Update"&amp;Projections!$AG$17&amp;"!R"&amp;ROW(B216))</f>
        <v>0.6754411765</v>
      </c>
      <c r="AE235" s="124">
        <f t="shared" si="3"/>
        <v>-2.088789971</v>
      </c>
      <c r="AF235" s="124">
        <f t="shared" si="4"/>
        <v>-1.208976118</v>
      </c>
      <c r="AG235" s="124">
        <f t="shared" si="5"/>
        <v>-1.120200831</v>
      </c>
      <c r="AH235" s="124">
        <f t="shared" si="6"/>
        <v>-1.243448774</v>
      </c>
      <c r="AI235" s="124">
        <f t="shared" si="7"/>
        <v>0.4875870103</v>
      </c>
      <c r="AJ235" s="124">
        <f t="shared" si="8"/>
        <v>-0.6659651346</v>
      </c>
      <c r="AK235" s="124">
        <f t="shared" si="9"/>
        <v>0.2555824997</v>
      </c>
      <c r="AL235" s="124">
        <f t="shared" si="10"/>
        <v>-0.3187326066</v>
      </c>
      <c r="AM235" s="124">
        <f t="shared" si="11"/>
        <v>0</v>
      </c>
      <c r="AN235" s="183">
        <f t="shared" si="12"/>
        <v>-2.088789971</v>
      </c>
      <c r="AO235" s="183">
        <f t="shared" si="13"/>
        <v>-3.332238746</v>
      </c>
      <c r="AP235" s="183">
        <f t="array" ref="AP235">INDIRECT("Update"&amp;Projections!$AG$17&amp;"!S"&amp;ROW(B216))</f>
        <v>4.575735294</v>
      </c>
      <c r="AQ235" s="183">
        <f t="array" ref="AQ235">INDIRECT("Update"&amp;Projections!$AG$17&amp;"!T"&amp;ROW(B216))</f>
        <v>0.5932352941</v>
      </c>
    </row>
    <row r="236">
      <c r="A236" s="40" t="str">
        <f>IF(UpdateHashtag!C234="",ROW(UpdateHashtag!C234),UpdateHashtag!C234)</f>
        <v>Grant Williams</v>
      </c>
      <c r="B236" s="41">
        <f>IF(TYPE($A236)=1,"",(UpdateHashtag!M234-B$1)/B$2)</f>
        <v>-1.548155596</v>
      </c>
      <c r="C236" s="41">
        <f>IF(TYPE($A236)=1,"",(UpdateHashtag!L234-C$1)/C$2)</f>
        <v>-0.2466595634</v>
      </c>
      <c r="D236" s="41">
        <f>IF(TYPE($A236)=1,"",(UpdateHashtag!N234-D$1)/D$2)</f>
        <v>-0.6989008101</v>
      </c>
      <c r="E236" s="41">
        <f>IF(TYPE($A236)=1,"",(UpdateHashtag!O234-E$1)/E$2)</f>
        <v>-0.9234147659</v>
      </c>
      <c r="F236" s="41">
        <f>IF(TYPE($A236)=1,"",(UpdateHashtag!P234-F$1)/F$2)</f>
        <v>-1.574757169</v>
      </c>
      <c r="G236" s="41">
        <f>IF(TYPE($A236)=1,"",(UpdateHashtag!Q234-G$1)/G$2)</f>
        <v>-0.6218985413</v>
      </c>
      <c r="H236" s="41">
        <f>IF(TYPE($A236)=1,"",(UpdateHashtag!I234-H$1)/H$2*I236/$I$1)</f>
        <v>-0.3341499378</v>
      </c>
      <c r="I236" s="41">
        <f>UpdateHashtag!S234</f>
        <v>6.8</v>
      </c>
      <c r="J236" s="53">
        <f>IF(TYPE($A236)=1,"",(UpdateHashtag!K234-J$1)/J$2*K236/$K$1)</f>
        <v>-0.1853772995</v>
      </c>
      <c r="K236" s="55">
        <f>UpdateHashtag!T234</f>
        <v>1.6</v>
      </c>
      <c r="L236" s="41">
        <f>IF(TYPE($A236)=1,"",-(UpdateHashtag!R234-L$1)/L$2)</f>
        <v>0.5442381251</v>
      </c>
      <c r="N236" s="5">
        <v>216.0</v>
      </c>
      <c r="O236" s="170">
        <f t="array" ref="O236">INDIRECT("Update"&amp;Projections!$AG$17&amp;"!B"&amp;ROW(B217))</f>
        <v>143</v>
      </c>
      <c r="P236" s="172" t="str">
        <f t="array" ref="P236">INDIRECT("Update"&amp;Projections!$AG$17&amp;"!C"&amp;ROW(B217))</f>
        <v>Bennedict Mathurin</v>
      </c>
      <c r="Q236" s="170">
        <f>UpdateHashtag!F270</f>
        <v>60</v>
      </c>
      <c r="R236" s="177" t="str">
        <f>IF(UpdateHashtag!D270="",ROW(UpdateHashtag!D270),UpdateHashtag!D270)</f>
        <v>PG,SG</v>
      </c>
      <c r="S236" s="124">
        <f t="shared" si="1"/>
        <v>-5.642490813</v>
      </c>
      <c r="T236" s="124">
        <f>SUM(AE236:AM236)-IFERROR(IFS(Projections!$I$17,AN236,Projections!$J$17,AO236),"")</f>
        <v>-5.730230296</v>
      </c>
      <c r="U236" s="124">
        <f t="shared" si="2"/>
        <v>-0.087739483</v>
      </c>
      <c r="V236" s="124">
        <f t="array" ref="V236">INDIRECT("Update"&amp;Projections!$AG$17&amp;"!M"&amp;ROW(B217))</f>
        <v>14.355</v>
      </c>
      <c r="W236" s="124">
        <f t="array" ref="W236">INDIRECT("Update"&amp;Projections!$AG$17&amp;"!L"&amp;ROW(B217))</f>
        <v>1.233676471</v>
      </c>
      <c r="X236" s="124">
        <f t="array" ref="X236">INDIRECT("Update"&amp;Projections!$AG$17&amp;"!N"&amp;ROW(B217))</f>
        <v>3.755147059</v>
      </c>
      <c r="Y236" s="124">
        <f t="array" ref="Y236">INDIRECT("Update"&amp;Projections!$AG$17&amp;"!O"&amp;ROW(B217))</f>
        <v>1.663088235</v>
      </c>
      <c r="Z236" s="124">
        <f t="array" ref="Z236">INDIRECT("Update"&amp;Projections!$AG$17&amp;"!P"&amp;ROW(B217))</f>
        <v>0.5335294118</v>
      </c>
      <c r="AA236" s="124">
        <f t="array" ref="AA236">INDIRECT("Update"&amp;Projections!$AG$17&amp;"!Q"&amp;ROW(B217))</f>
        <v>0.2152941176</v>
      </c>
      <c r="AB236" s="180">
        <f t="array" ref="AB236">INDIRECT("Update"&amp;Projections!$AG$17&amp;"!I"&amp;ROW(B217))</f>
        <v>0.4521189258</v>
      </c>
      <c r="AC236" s="180">
        <f t="array" ref="AC236">INDIRECT("Update"&amp;Projections!$AG$17&amp;"!K"&amp;ROW(B217))</f>
        <v>0.814018018</v>
      </c>
      <c r="AD236" s="124">
        <f t="array" ref="AD236">INDIRECT("Update"&amp;Projections!$AG$17&amp;"!R"&amp;ROW(B217))</f>
        <v>1.394852941</v>
      </c>
      <c r="AE236" s="124">
        <f t="shared" si="3"/>
        <v>-0.5648610866</v>
      </c>
      <c r="AF236" s="124">
        <f t="shared" si="4"/>
        <v>-0.5108334724</v>
      </c>
      <c r="AG236" s="124">
        <f t="shared" si="5"/>
        <v>-0.9124324897</v>
      </c>
      <c r="AH236" s="124">
        <f t="shared" si="6"/>
        <v>-1.031005498</v>
      </c>
      <c r="AI236" s="124">
        <f t="shared" si="7"/>
        <v>-1.463831367</v>
      </c>
      <c r="AJ236" s="124">
        <f t="shared" si="8"/>
        <v>-0.9513487865</v>
      </c>
      <c r="AK236" s="124">
        <f t="shared" si="9"/>
        <v>-0.568854163</v>
      </c>
      <c r="AL236" s="124">
        <f t="shared" si="10"/>
        <v>0.2729365673</v>
      </c>
      <c r="AM236" s="124">
        <f t="shared" si="11"/>
        <v>0</v>
      </c>
      <c r="AN236" s="183">
        <f t="shared" si="12"/>
        <v>-1.463831367</v>
      </c>
      <c r="AO236" s="183">
        <f t="shared" si="13"/>
        <v>-2.494836865</v>
      </c>
      <c r="AP236" s="183">
        <f t="array" ref="AP236">INDIRECT("Update"&amp;Projections!$AG$17&amp;"!S"&amp;ROW(B217))</f>
        <v>10.83720588</v>
      </c>
      <c r="AQ236" s="183">
        <f t="array" ref="AQ236">INDIRECT("Update"&amp;Projections!$AG$17&amp;"!T"&amp;ROW(B217))</f>
        <v>4.080882353</v>
      </c>
    </row>
    <row r="237">
      <c r="A237" s="40" t="str">
        <f>IF(UpdateHashtag!C235="",ROW(UpdateHashtag!C235),UpdateHashtag!C235)</f>
        <v>Dorian Finney-Smith</v>
      </c>
      <c r="B237" s="41">
        <f>IF(TYPE($A237)=1,"",(UpdateHashtag!M235-B$1)/B$2)</f>
        <v>-1.746436799</v>
      </c>
      <c r="C237" s="41">
        <f>IF(TYPE($A237)=1,"",(UpdateHashtag!L235-C$1)/C$2)</f>
        <v>-0.1474667095</v>
      </c>
      <c r="D237" s="41">
        <f>IF(TYPE($A237)=1,"",(UpdateHashtag!N235-D$1)/D$2)</f>
        <v>-0.6597101105</v>
      </c>
      <c r="E237" s="41">
        <f>IF(TYPE($A237)=1,"",(UpdateHashtag!O235-E$1)/E$2)</f>
        <v>-1.150483971</v>
      </c>
      <c r="F237" s="41">
        <f>IF(TYPE($A237)=1,"",(UpdateHashtag!P235-F$1)/F$2)</f>
        <v>-0.5822631548</v>
      </c>
      <c r="G237" s="41">
        <f>IF(TYPE($A237)=1,"",(UpdateHashtag!Q235-G$1)/G$2)</f>
        <v>-0.4435337589</v>
      </c>
      <c r="H237" s="41">
        <f>IF(TYPE($A237)=1,"",(UpdateHashtag!I235-H$1)/H$2*I237/$I$1)</f>
        <v>-0.7429422762</v>
      </c>
      <c r="I237" s="41">
        <f>UpdateHashtag!S235</f>
        <v>7</v>
      </c>
      <c r="J237" s="53">
        <f>IF(TYPE($A237)=1,"",(UpdateHashtag!K235-J$1)/J$2*K237/$K$1)</f>
        <v>-0.1106122963</v>
      </c>
      <c r="K237" s="55">
        <f>UpdateHashtag!T235</f>
        <v>0.7</v>
      </c>
      <c r="L237" s="41">
        <f>IF(TYPE($A237)=1,"",-(UpdateHashtag!R235-L$1)/L$2)</f>
        <v>0.9410095407</v>
      </c>
      <c r="N237" s="5">
        <v>217.0</v>
      </c>
      <c r="O237" s="170">
        <f t="array" ref="O237">INDIRECT("Update"&amp;Projections!$AG$17&amp;"!B"&amp;ROW(B218))</f>
        <v>143.2</v>
      </c>
      <c r="P237" s="172" t="str">
        <f t="array" ref="P237">INDIRECT("Update"&amp;Projections!$AG$17&amp;"!C"&amp;ROW(B218))</f>
        <v>Zach Collins</v>
      </c>
      <c r="Q237" s="170">
        <f>UpdateHashtag!F259</f>
        <v>10</v>
      </c>
      <c r="R237" s="177" t="str">
        <f>IF(UpdateHashtag!D259="",ROW(UpdateHashtag!D259),UpdateHashtag!D259)</f>
        <v>SF,PF</v>
      </c>
      <c r="S237" s="124">
        <f t="shared" si="1"/>
        <v>-5.901503338</v>
      </c>
      <c r="T237" s="124">
        <f>SUM(AE237:AM237)-IFERROR(IFS(Projections!$I$17,AN237,Projections!$J$17,AO237),"")</f>
        <v>-6.000365549</v>
      </c>
      <c r="U237" s="124">
        <f t="shared" si="2"/>
        <v>-0.09886221106</v>
      </c>
      <c r="V237" s="124">
        <f t="array" ref="V237">INDIRECT("Update"&amp;Projections!$AG$17&amp;"!M"&amp;ROW(B218))</f>
        <v>9.335147059</v>
      </c>
      <c r="W237" s="124">
        <f t="array" ref="W237">INDIRECT("Update"&amp;Projections!$AG$17&amp;"!L"&amp;ROW(B218))</f>
        <v>0.6720588235</v>
      </c>
      <c r="X237" s="124">
        <f t="array" ref="X237">INDIRECT("Update"&amp;Projections!$AG$17&amp;"!N"&amp;ROW(B218))</f>
        <v>4.725</v>
      </c>
      <c r="Y237" s="124">
        <f t="array" ref="Y237">INDIRECT("Update"&amp;Projections!$AG$17&amp;"!O"&amp;ROW(B218))</f>
        <v>2.0625</v>
      </c>
      <c r="Z237" s="124">
        <f t="array" ref="Z237">INDIRECT("Update"&amp;Projections!$AG$17&amp;"!P"&amp;ROW(B218))</f>
        <v>0.4125</v>
      </c>
      <c r="AA237" s="124">
        <f t="array" ref="AA237">INDIRECT("Update"&amp;Projections!$AG$17&amp;"!Q"&amp;ROW(B218))</f>
        <v>0.75</v>
      </c>
      <c r="AB237" s="180">
        <f t="array" ref="AB237">INDIRECT("Update"&amp;Projections!$AG$17&amp;"!I"&amp;ROW(B218))</f>
        <v>0.4972486243</v>
      </c>
      <c r="AC237" s="180">
        <f t="array" ref="AC237">INDIRECT("Update"&amp;Projections!$AG$17&amp;"!K"&amp;ROW(B218))</f>
        <v>0.7600066023</v>
      </c>
      <c r="AD237" s="124">
        <f t="array" ref="AD237">INDIRECT("Update"&amp;Projections!$AG$17&amp;"!R"&amp;ROW(B218))</f>
        <v>1.35</v>
      </c>
      <c r="AE237" s="124">
        <f t="shared" si="3"/>
        <v>-1.469717885</v>
      </c>
      <c r="AF237" s="124">
        <f t="shared" si="4"/>
        <v>-1.067918045</v>
      </c>
      <c r="AG237" s="124">
        <f t="shared" si="5"/>
        <v>-0.5323403367</v>
      </c>
      <c r="AH237" s="124">
        <f t="shared" si="6"/>
        <v>-0.8496172744</v>
      </c>
      <c r="AI237" s="124">
        <f t="shared" si="7"/>
        <v>-1.864234589</v>
      </c>
      <c r="AJ237" s="124">
        <f t="shared" si="8"/>
        <v>0.002378197098</v>
      </c>
      <c r="AK237" s="124">
        <f t="shared" si="9"/>
        <v>0.00001673459727</v>
      </c>
      <c r="AL237" s="124">
        <f t="shared" si="10"/>
        <v>-0.2189323501</v>
      </c>
      <c r="AM237" s="124">
        <f t="shared" si="11"/>
        <v>0</v>
      </c>
      <c r="AN237" s="183">
        <f t="shared" si="12"/>
        <v>-1.864234589</v>
      </c>
      <c r="AO237" s="183">
        <f t="shared" si="13"/>
        <v>-3.333952474</v>
      </c>
      <c r="AP237" s="183">
        <f t="array" ref="AP237">INDIRECT("Update"&amp;Projections!$AG$17&amp;"!S"&amp;ROW(B218))</f>
        <v>7.349264706</v>
      </c>
      <c r="AQ237" s="183">
        <f t="array" ref="AQ237">INDIRECT("Update"&amp;Projections!$AG$17&amp;"!T"&amp;ROW(B218))</f>
        <v>1.781911765</v>
      </c>
    </row>
    <row r="238">
      <c r="A238" s="40" t="str">
        <f>IF(UpdateHashtag!C236="",ROW(UpdateHashtag!C236),UpdateHashtag!C236)</f>
        <v>Paul Reed</v>
      </c>
      <c r="B238" s="41">
        <f>IF(TYPE($A238)=1,"",(UpdateHashtag!M236-B$1)/B$2)</f>
        <v>-2.179050332</v>
      </c>
      <c r="C238" s="41">
        <f>IF(TYPE($A238)=1,"",(UpdateHashtag!L236-C$1)/C$2)</f>
        <v>-1.635359518</v>
      </c>
      <c r="D238" s="41">
        <f>IF(TYPE($A238)=1,"",(UpdateHashtag!N236-D$1)/D$2)</f>
        <v>-0.5813287112</v>
      </c>
      <c r="E238" s="41">
        <f>IF(TYPE($A238)=1,"",(UpdateHashtag!O236-E$1)/E$2)</f>
        <v>-1.422967016</v>
      </c>
      <c r="F238" s="41">
        <f>IF(TYPE($A238)=1,"",(UpdateHashtag!P236-F$1)/F$2)</f>
        <v>-0.9130944927</v>
      </c>
      <c r="G238" s="41">
        <f>IF(TYPE($A238)=1,"",(UpdateHashtag!Q236-G$1)/G$2)</f>
        <v>0.09156058829</v>
      </c>
      <c r="H238" s="41">
        <f>IF(TYPE($A238)=1,"",(UpdateHashtag!I236-H$1)/H$2*I238/$I$1)</f>
        <v>0.2821411093</v>
      </c>
      <c r="I238" s="41">
        <f>UpdateHashtag!S236</f>
        <v>4.2</v>
      </c>
      <c r="J238" s="53">
        <f>IF(TYPE($A238)=1,"",(UpdateHashtag!K236-J$1)/J$2*K238/$K$1)</f>
        <v>-0.1685708069</v>
      </c>
      <c r="K238" s="55">
        <f>UpdateHashtag!T236</f>
        <v>0.8</v>
      </c>
      <c r="L238" s="41">
        <f>IF(TYPE($A238)=1,"",-(UpdateHashtag!R236-L$1)/L$2)</f>
        <v>1.040202395</v>
      </c>
      <c r="N238" s="112">
        <v>218.0</v>
      </c>
      <c r="O238" s="170" t="str">
        <f t="array" ref="O238">INDIRECT("Update"&amp;Projections!$AG$17&amp;"!B"&amp;ROW(B219))</f>
        <v/>
      </c>
      <c r="P238" s="172" t="str">
        <f t="array" ref="P238">INDIRECT("Update"&amp;Projections!$AG$17&amp;"!C"&amp;ROW(B219))</f>
        <v>Naji Marshall</v>
      </c>
      <c r="Q238" s="170">
        <f>UpdateHashtag!F285</f>
        <v>65</v>
      </c>
      <c r="R238" s="177" t="str">
        <f>IF(UpdateHashtag!D285="",ROW(UpdateHashtag!D285),UpdateHashtag!D285)</f>
        <v>C</v>
      </c>
      <c r="S238" s="124">
        <f t="shared" si="1"/>
        <v>-5.709495012</v>
      </c>
      <c r="T238" s="124">
        <f>SUM(AE238:AM238)-IFERROR(IFS(Projections!$I$17,AN238,Projections!$J$17,AO238),"")</f>
        <v>-5.892671148</v>
      </c>
      <c r="U238" s="124">
        <f t="shared" si="2"/>
        <v>-0.1831761369</v>
      </c>
      <c r="V238" s="124">
        <f t="array" ref="V238">INDIRECT("Update"&amp;Projections!$AG$17&amp;"!M"&amp;ROW(B219))</f>
        <v>7.849863014</v>
      </c>
      <c r="W238" s="124">
        <f t="array" ref="W238">INDIRECT("Update"&amp;Projections!$AG$17&amp;"!L"&amp;ROW(B219))</f>
        <v>0.9264383562</v>
      </c>
      <c r="X238" s="124">
        <f t="array" ref="X238">INDIRECT("Update"&amp;Projections!$AG$17&amp;"!N"&amp;ROW(B219))</f>
        <v>4.242054795</v>
      </c>
      <c r="Y238" s="124">
        <f t="array" ref="Y238">INDIRECT("Update"&amp;Projections!$AG$17&amp;"!O"&amp;ROW(B219))</f>
        <v>2.171506849</v>
      </c>
      <c r="Z238" s="124">
        <f t="array" ref="Z238">INDIRECT("Update"&amp;Projections!$AG$17&amp;"!P"&amp;ROW(B219))</f>
        <v>0.8584931507</v>
      </c>
      <c r="AA238" s="124">
        <f t="array" ref="AA238">INDIRECT("Update"&amp;Projections!$AG$17&amp;"!Q"&amp;ROW(B219))</f>
        <v>0.1960273973</v>
      </c>
      <c r="AB238" s="180">
        <f t="array" ref="AB238">INDIRECT("Update"&amp;Projections!$AG$17&amp;"!I"&amp;ROW(B219))</f>
        <v>0.4497436818</v>
      </c>
      <c r="AC238" s="180">
        <f t="array" ref="AC238">INDIRECT("Update"&amp;Projections!$AG$17&amp;"!K"&amp;ROW(B219))</f>
        <v>0.7760364724</v>
      </c>
      <c r="AD238" s="124">
        <f t="array" ref="AD238">INDIRECT("Update"&amp;Projections!$AG$17&amp;"!R"&amp;ROW(B219))</f>
        <v>1.01</v>
      </c>
      <c r="AE238" s="124">
        <f t="shared" si="3"/>
        <v>-1.737448709</v>
      </c>
      <c r="AF238" s="124">
        <f t="shared" si="4"/>
        <v>-0.8155917268</v>
      </c>
      <c r="AG238" s="124">
        <f t="shared" si="5"/>
        <v>-0.7216099414</v>
      </c>
      <c r="AH238" s="124">
        <f t="shared" si="6"/>
        <v>-0.8001130774</v>
      </c>
      <c r="AI238" s="124">
        <f t="shared" si="7"/>
        <v>-0.3887494817</v>
      </c>
      <c r="AJ238" s="124">
        <f t="shared" si="8"/>
        <v>-0.9857138302</v>
      </c>
      <c r="AK238" s="124">
        <f t="shared" si="9"/>
        <v>-0.3794562908</v>
      </c>
      <c r="AL238" s="124">
        <f t="shared" si="10"/>
        <v>-0.06398809113</v>
      </c>
      <c r="AM238" s="124">
        <f t="shared" si="11"/>
        <v>0</v>
      </c>
      <c r="AN238" s="183">
        <f t="shared" si="12"/>
        <v>-1.737448709</v>
      </c>
      <c r="AO238" s="183">
        <f t="shared" si="13"/>
        <v>-2.723162539</v>
      </c>
      <c r="AP238" s="183">
        <f t="array" ref="AP238">INDIRECT("Update"&amp;Projections!$AG$17&amp;"!S"&amp;ROW(B219))</f>
        <v>6.867534247</v>
      </c>
      <c r="AQ238" s="183">
        <f t="array" ref="AQ238">INDIRECT("Update"&amp;Projections!$AG$17&amp;"!T"&amp;ROW(B219))</f>
        <v>0.9615068493</v>
      </c>
    </row>
    <row r="239">
      <c r="A239" s="40" t="str">
        <f>IF(UpdateHashtag!C237="",ROW(UpdateHashtag!C237),UpdateHashtag!C237)</f>
        <v>Dario Saric</v>
      </c>
      <c r="B239" s="41">
        <f>IF(TYPE($A239)=1,"",(UpdateHashtag!M237-B$1)/B$2)</f>
        <v>-1.602232288</v>
      </c>
      <c r="C239" s="41">
        <f>IF(TYPE($A239)=1,"",(UpdateHashtag!L237-C$1)/C$2)</f>
        <v>-0.5442381251</v>
      </c>
      <c r="D239" s="41">
        <f>IF(TYPE($A239)=1,"",(UpdateHashtag!N237-D$1)/D$2)</f>
        <v>-0.502947312</v>
      </c>
      <c r="E239" s="41">
        <f>IF(TYPE($A239)=1,"",(UpdateHashtag!O237-E$1)/E$2)</f>
        <v>-0.832587084</v>
      </c>
      <c r="F239" s="41">
        <f>IF(TYPE($A239)=1,"",(UpdateHashtag!P237-F$1)/F$2)</f>
        <v>-1.574757169</v>
      </c>
      <c r="G239" s="41">
        <f>IF(TYPE($A239)=1,"",(UpdateHashtag!Q237-G$1)/G$2)</f>
        <v>-0.978628106</v>
      </c>
      <c r="H239" s="41">
        <f>IF(TYPE($A239)=1,"",(UpdateHashtag!I237-H$1)/H$2*I239/$I$1)</f>
        <v>-0.2513630802</v>
      </c>
      <c r="I239" s="41">
        <f>UpdateHashtag!S237</f>
        <v>6.5</v>
      </c>
      <c r="J239" s="53">
        <f>IF(TYPE($A239)=1,"",(UpdateHashtag!K237-J$1)/J$2*K239/$K$1)</f>
        <v>0.2808131644</v>
      </c>
      <c r="K239" s="55">
        <f>UpdateHashtag!T237</f>
        <v>1.7</v>
      </c>
      <c r="L239" s="41">
        <f>IF(TYPE($A239)=1,"",-(UpdateHashtag!R237-L$1)/L$2)</f>
        <v>0.4450452712</v>
      </c>
      <c r="N239" s="112">
        <v>219.0</v>
      </c>
      <c r="O239" s="170" t="str">
        <f t="array" ref="O239">INDIRECT("Update"&amp;Projections!$AG$17&amp;"!B"&amp;ROW(B220))</f>
        <v/>
      </c>
      <c r="P239" s="172" t="str">
        <f t="array" ref="P239">INDIRECT("Update"&amp;Projections!$AG$17&amp;"!C"&amp;ROW(B220))</f>
        <v>Dean Wade</v>
      </c>
      <c r="Q239" s="170">
        <f>UpdateHashtag!F276</f>
        <v>60</v>
      </c>
      <c r="R239" s="177" t="str">
        <f>IF(UpdateHashtag!D276="",ROW(UpdateHashtag!D276),UpdateHashtag!D276)</f>
        <v>SG,SF</v>
      </c>
      <c r="S239" s="124">
        <f t="shared" si="1"/>
        <v>-5.500915256</v>
      </c>
      <c r="T239" s="124">
        <f>SUM(AE239:AM239)-IFERROR(IFS(Projections!$I$17,AN239,Projections!$J$17,AO239),"")</f>
        <v>-5.826134101</v>
      </c>
      <c r="U239" s="124">
        <f t="shared" si="2"/>
        <v>-0.3252188449</v>
      </c>
      <c r="V239" s="124">
        <f t="array" ref="V239">INDIRECT("Update"&amp;Projections!$AG$17&amp;"!M"&amp;ROW(B220))</f>
        <v>6.077794118</v>
      </c>
      <c r="W239" s="124">
        <f t="array" ref="W239">INDIRECT("Update"&amp;Projections!$AG$17&amp;"!L"&amp;ROW(B220))</f>
        <v>1.624852941</v>
      </c>
      <c r="X239" s="124">
        <f t="array" ref="X239">INDIRECT("Update"&amp;Projections!$AG$17&amp;"!N"&amp;ROW(B220))</f>
        <v>4.301029412</v>
      </c>
      <c r="Y239" s="124">
        <f t="array" ref="Y239">INDIRECT("Update"&amp;Projections!$AG$17&amp;"!O"&amp;ROW(B220))</f>
        <v>1.008970588</v>
      </c>
      <c r="Z239" s="124">
        <f t="array" ref="Z239">INDIRECT("Update"&amp;Projections!$AG$17&amp;"!P"&amp;ROW(B220))</f>
        <v>0.8408823529</v>
      </c>
      <c r="AA239" s="124">
        <f t="array" ref="AA239">INDIRECT("Update"&amp;Projections!$AG$17&amp;"!Q"&amp;ROW(B220))</f>
        <v>0.4851470588</v>
      </c>
      <c r="AB239" s="180">
        <f t="array" ref="AB239">INDIRECT("Update"&amp;Projections!$AG$17&amp;"!I"&amp;ROW(B220))</f>
        <v>0.3968508997</v>
      </c>
      <c r="AC239" s="180">
        <f t="array" ref="AC239">INDIRECT("Update"&amp;Projections!$AG$17&amp;"!K"&amp;ROW(B220))</f>
        <v>0.741889313</v>
      </c>
      <c r="AD239" s="124">
        <f t="array" ref="AD239">INDIRECT("Update"&amp;Projections!$AG$17&amp;"!R"&amp;ROW(B220))</f>
        <v>0.4372058824</v>
      </c>
      <c r="AE239" s="124">
        <f t="shared" si="3"/>
        <v>-2.05687412</v>
      </c>
      <c r="AF239" s="124">
        <f t="shared" si="4"/>
        <v>-0.122814368</v>
      </c>
      <c r="AG239" s="124">
        <f t="shared" si="5"/>
        <v>-0.6984973764</v>
      </c>
      <c r="AH239" s="124">
        <f t="shared" si="6"/>
        <v>-1.328065446</v>
      </c>
      <c r="AI239" s="124">
        <f t="shared" si="7"/>
        <v>-0.4470115197</v>
      </c>
      <c r="AJ239" s="124">
        <f t="shared" si="8"/>
        <v>-0.4700261751</v>
      </c>
      <c r="AK239" s="124">
        <f t="shared" si="9"/>
        <v>-0.5878666003</v>
      </c>
      <c r="AL239" s="124">
        <f t="shared" si="10"/>
        <v>-0.1149784961</v>
      </c>
      <c r="AM239" s="124">
        <f t="shared" si="11"/>
        <v>0</v>
      </c>
      <c r="AN239" s="183">
        <f t="shared" si="12"/>
        <v>-2.05687412</v>
      </c>
      <c r="AO239" s="183">
        <f t="shared" si="13"/>
        <v>-3.384939566</v>
      </c>
      <c r="AP239" s="183">
        <f t="array" ref="AP239">INDIRECT("Update"&amp;Projections!$AG$17&amp;"!S"&amp;ROW(B220))</f>
        <v>5.034117647</v>
      </c>
      <c r="AQ239" s="183">
        <f t="array" ref="AQ239">INDIRECT("Update"&amp;Projections!$AG$17&amp;"!T"&amp;ROW(B220))</f>
        <v>0.6164705882</v>
      </c>
    </row>
    <row r="240">
      <c r="A240" s="40" t="str">
        <f>IF(UpdateHashtag!C238="",ROW(UpdateHashtag!C238),UpdateHashtag!C238)</f>
        <v>Christian Wood</v>
      </c>
      <c r="B240" s="41">
        <f>IF(TYPE($A240)=1,"",(UpdateHashtag!M238-B$1)/B$2)</f>
        <v>-1.403951085</v>
      </c>
      <c r="C240" s="41">
        <f>IF(TYPE($A240)=1,"",(UpdateHashtag!L238-C$1)/C$2)</f>
        <v>-0.8418166868</v>
      </c>
      <c r="D240" s="41">
        <f>IF(TYPE($A240)=1,"",(UpdateHashtag!N238-D$1)/D$2)</f>
        <v>-0.4245659127</v>
      </c>
      <c r="E240" s="41">
        <f>IF(TYPE($A240)=1,"",(UpdateHashtag!O238-E$1)/E$2)</f>
        <v>-1.286725494</v>
      </c>
      <c r="F240" s="41">
        <f>IF(TYPE($A240)=1,"",(UpdateHashtag!P238-F$1)/F$2)</f>
        <v>-2.236419844</v>
      </c>
      <c r="G240" s="41">
        <f>IF(TYPE($A240)=1,"",(UpdateHashtag!Q238-G$1)/G$2)</f>
        <v>-0.08680419409</v>
      </c>
      <c r="H240" s="41">
        <f>IF(TYPE($A240)=1,"",(UpdateHashtag!I238-H$1)/H$2*I240/$I$1)</f>
        <v>0.03814937131</v>
      </c>
      <c r="I240" s="41">
        <f>UpdateHashtag!S238</f>
        <v>6.9</v>
      </c>
      <c r="J240" s="53">
        <f>IF(TYPE($A240)=1,"",(UpdateHashtag!K238-J$1)/J$2*K240/$K$1)</f>
        <v>-0.3774786013</v>
      </c>
      <c r="K240" s="55">
        <f>UpdateHashtag!T238</f>
        <v>2.5</v>
      </c>
      <c r="L240" s="41">
        <f>IF(TYPE($A240)=1,"",-(UpdateHashtag!R238-L$1)/L$2)</f>
        <v>0.643430979</v>
      </c>
      <c r="N240" s="5">
        <v>220.0</v>
      </c>
      <c r="O240" s="170" t="str">
        <f t="array" ref="O240">INDIRECT("Update"&amp;Projections!$AG$17&amp;"!B"&amp;ROW(B221))</f>
        <v>#N/A</v>
      </c>
      <c r="P240" s="172" t="str">
        <f t="array" ref="P240">INDIRECT("Update"&amp;Projections!$AG$17&amp;"!C"&amp;ROW(B221))</f>
        <v>Derrick Jones</v>
      </c>
      <c r="Q240" s="170">
        <f>UpdateHashtag!F282</f>
        <v>60</v>
      </c>
      <c r="R240" s="177" t="str">
        <f>IF(UpdateHashtag!D282="",ROW(UpdateHashtag!D282),UpdateHashtag!D282)</f>
        <v>SF</v>
      </c>
      <c r="S240" s="124">
        <f t="shared" si="1"/>
        <v>-5.737586944</v>
      </c>
      <c r="T240" s="124">
        <f>SUM(AE240:AM240)-IFERROR(IFS(Projections!$I$17,AN240,Projections!$J$17,AO240),"")</f>
        <v>-5.96869497</v>
      </c>
      <c r="U240" s="124">
        <f t="shared" si="2"/>
        <v>-0.2311080262</v>
      </c>
      <c r="V240" s="124">
        <f t="array" ref="V240">INDIRECT("Update"&amp;Projections!$AG$17&amp;"!M"&amp;ROW(B221))</f>
        <v>9.105205479</v>
      </c>
      <c r="W240" s="124">
        <f t="array" ref="W240">INDIRECT("Update"&amp;Projections!$AG$17&amp;"!L"&amp;ROW(B221))</f>
        <v>0.964109589</v>
      </c>
      <c r="X240" s="124">
        <f t="array" ref="X240">INDIRECT("Update"&amp;Projections!$AG$17&amp;"!N"&amp;ROW(B221))</f>
        <v>3.828082192</v>
      </c>
      <c r="Y240" s="124">
        <f t="array" ref="Y240">INDIRECT("Update"&amp;Projections!$AG$17&amp;"!O"&amp;ROW(B221))</f>
        <v>0.9187671233</v>
      </c>
      <c r="Z240" s="124">
        <f t="array" ref="Z240">INDIRECT("Update"&amp;Projections!$AG$17&amp;"!P"&amp;ROW(B221))</f>
        <v>0.7275342466</v>
      </c>
      <c r="AA240" s="124">
        <f t="array" ref="AA240">INDIRECT("Update"&amp;Projections!$AG$17&amp;"!Q"&amp;ROW(B221))</f>
        <v>0.8167123288</v>
      </c>
      <c r="AB240" s="180">
        <f t="array" ref="AB240">INDIRECT("Update"&amp;Projections!$AG$17&amp;"!I"&amp;ROW(B221))</f>
        <v>0.4751481172</v>
      </c>
      <c r="AC240" s="180">
        <f t="array" ref="AC240">INDIRECT("Update"&amp;Projections!$AG$17&amp;"!K"&amp;ROW(B221))</f>
        <v>0.7240134445</v>
      </c>
      <c r="AD240" s="124">
        <f t="array" ref="AD240">INDIRECT("Update"&amp;Projections!$AG$17&amp;"!R"&amp;ROW(B221))</f>
        <v>0.8167123288</v>
      </c>
      <c r="AE240" s="124">
        <f t="shared" si="3"/>
        <v>-1.511166151</v>
      </c>
      <c r="AF240" s="124">
        <f t="shared" si="4"/>
        <v>-0.7782245558</v>
      </c>
      <c r="AG240" s="124">
        <f t="shared" si="5"/>
        <v>-0.8838487008</v>
      </c>
      <c r="AH240" s="124">
        <f t="shared" si="6"/>
        <v>-1.369030304</v>
      </c>
      <c r="AI240" s="124">
        <f t="shared" si="7"/>
        <v>-0.8220025763</v>
      </c>
      <c r="AJ240" s="124">
        <f t="shared" si="8"/>
        <v>0.1213694972</v>
      </c>
      <c r="AK240" s="124">
        <f t="shared" si="9"/>
        <v>-0.1771053367</v>
      </c>
      <c r="AL240" s="124">
        <f t="shared" si="10"/>
        <v>-0.5486868429</v>
      </c>
      <c r="AM240" s="124">
        <f t="shared" si="11"/>
        <v>0</v>
      </c>
      <c r="AN240" s="183">
        <f t="shared" si="12"/>
        <v>-1.511166151</v>
      </c>
      <c r="AO240" s="183">
        <f t="shared" si="13"/>
        <v>-2.880196455</v>
      </c>
      <c r="AP240" s="183">
        <f t="array" ref="AP240">INDIRECT("Update"&amp;Projections!$AG$17&amp;"!S"&amp;ROW(B221))</f>
        <v>6.890136986</v>
      </c>
      <c r="AQ240" s="183">
        <f t="array" ref="AQ240">INDIRECT("Update"&amp;Projections!$AG$17&amp;"!T"&amp;ROW(B221))</f>
        <v>2.200821918</v>
      </c>
    </row>
    <row r="241">
      <c r="A241" s="40" t="str">
        <f>IF(UpdateHashtag!C239="",ROW(UpdateHashtag!C239),UpdateHashtag!C239)</f>
        <v>Rob Dillingham</v>
      </c>
      <c r="B241" s="41">
        <f>IF(TYPE($A241)=1,"",(UpdateHashtag!M239-B$1)/B$2)</f>
        <v>-1.169618755</v>
      </c>
      <c r="C241" s="41">
        <f>IF(TYPE($A241)=1,"",(UpdateHashtag!L239-C$1)/C$2)</f>
        <v>-0.1474667095</v>
      </c>
      <c r="D241" s="41">
        <f>IF(TYPE($A241)=1,"",(UpdateHashtag!N239-D$1)/D$2)</f>
        <v>-1.561096202</v>
      </c>
      <c r="E241" s="41">
        <f>IF(TYPE($A241)=1,"",(UpdateHashtag!O239-E$1)/E$2)</f>
        <v>-0.5146901974</v>
      </c>
      <c r="F241" s="41">
        <f>IF(TYPE($A241)=1,"",(UpdateHashtag!P239-F$1)/F$2)</f>
        <v>-0.9130944927</v>
      </c>
      <c r="G241" s="41">
        <f>IF(TYPE($A241)=1,"",(UpdateHashtag!Q239-G$1)/G$2)</f>
        <v>-1.335357671</v>
      </c>
      <c r="H241" s="41">
        <f>IF(TYPE($A241)=1,"",(UpdateHashtag!I239-H$1)/H$2*I241/$I$1)</f>
        <v>-0.4225440092</v>
      </c>
      <c r="I241" s="41">
        <f>UpdateHashtag!S239</f>
        <v>8.4</v>
      </c>
      <c r="J241" s="53">
        <f>IF(TYPE($A241)=1,"",(UpdateHashtag!K239-J$1)/J$2*K241/$K$1)</f>
        <v>0.05425574237</v>
      </c>
      <c r="K241" s="55">
        <f>UpdateHashtag!T239</f>
        <v>2.2</v>
      </c>
      <c r="L241" s="41">
        <f>IF(TYPE($A241)=1,"",-(UpdateHashtag!R239-L$1)/L$2)</f>
        <v>0.3458524173</v>
      </c>
      <c r="N241" s="5">
        <v>221.0</v>
      </c>
      <c r="O241" s="170" t="str">
        <f t="array" ref="O241">INDIRECT("Update"&amp;Projections!$AG$17&amp;"!B"&amp;ROW(B222))</f>
        <v>#N/A</v>
      </c>
      <c r="P241" s="172" t="str">
        <f t="array" ref="P241">INDIRECT("Update"&amp;Projections!$AG$17&amp;"!C"&amp;ROW(B222))</f>
        <v>Bub Carrington</v>
      </c>
      <c r="Q241" s="170">
        <f>UpdateHashtag!F275</f>
        <v>40</v>
      </c>
      <c r="R241" s="177" t="str">
        <f>IF(UpdateHashtag!D275="",ROW(UpdateHashtag!D275),UpdateHashtag!D275)</f>
        <v>SG,SF</v>
      </c>
      <c r="S241" s="124">
        <f t="shared" si="1"/>
        <v>-5.802942957</v>
      </c>
      <c r="T241" s="124">
        <f>SUM(AE241:AM241)-IFERROR(IFS(Projections!$I$17,AN241,Projections!$J$17,AO241),"")</f>
        <v>-5.699275102</v>
      </c>
      <c r="U241" s="124">
        <f t="shared" si="2"/>
        <v>0.1036678558</v>
      </c>
      <c r="V241" s="124">
        <f t="array" ref="V241">INDIRECT("Update"&amp;Projections!$AG$17&amp;"!M"&amp;ROW(B222))</f>
        <v>9.654520548</v>
      </c>
      <c r="W241" s="124">
        <f t="array" ref="W241">INDIRECT("Update"&amp;Projections!$AG$17&amp;"!L"&amp;ROW(B222))</f>
        <v>1.670273973</v>
      </c>
      <c r="X241" s="124">
        <f t="array" ref="X241">INDIRECT("Update"&amp;Projections!$AG$17&amp;"!N"&amp;ROW(B222))</f>
        <v>3.737534247</v>
      </c>
      <c r="Y241" s="124">
        <f t="array" ref="Y241">INDIRECT("Update"&amp;Projections!$AG$17&amp;"!O"&amp;ROW(B222))</f>
        <v>4.170821918</v>
      </c>
      <c r="Z241" s="124">
        <f t="array" ref="Z241">INDIRECT("Update"&amp;Projections!$AG$17&amp;"!P"&amp;ROW(B222))</f>
        <v>0.65</v>
      </c>
      <c r="AA241" s="124">
        <f t="array" ref="AA241">INDIRECT("Update"&amp;Projections!$AG$17&amp;"!Q"&amp;ROW(B222))</f>
        <v>0.2167123288</v>
      </c>
      <c r="AB241" s="180">
        <f t="array" ref="AB241">INDIRECT("Update"&amp;Projections!$AG$17&amp;"!I"&amp;ROW(B222))</f>
        <v>0.3813473843</v>
      </c>
      <c r="AC241" s="180">
        <f t="array" ref="AC241">INDIRECT("Update"&amp;Projections!$AG$17&amp;"!K"&amp;ROW(B222))</f>
        <v>0.764977421</v>
      </c>
      <c r="AD241" s="124">
        <f t="array" ref="AD241">INDIRECT("Update"&amp;Projections!$AG$17&amp;"!R"&amp;ROW(B222))</f>
        <v>2.166712329</v>
      </c>
      <c r="AE241" s="124">
        <f t="shared" si="3"/>
        <v>-1.412149013</v>
      </c>
      <c r="AF241" s="124">
        <f t="shared" si="4"/>
        <v>-0.0777599501</v>
      </c>
      <c r="AG241" s="124">
        <f t="shared" si="5"/>
        <v>-0.9193350739</v>
      </c>
      <c r="AH241" s="124">
        <f t="shared" si="6"/>
        <v>0.1078526881</v>
      </c>
      <c r="AI241" s="124">
        <f t="shared" si="7"/>
        <v>-1.078510162</v>
      </c>
      <c r="AJ241" s="124">
        <f t="shared" si="8"/>
        <v>-0.9488191971</v>
      </c>
      <c r="AK241" s="124">
        <f t="shared" si="9"/>
        <v>-1.226674885</v>
      </c>
      <c r="AL241" s="124">
        <f t="shared" si="10"/>
        <v>-0.1438795093</v>
      </c>
      <c r="AM241" s="124">
        <f t="shared" si="11"/>
        <v>0</v>
      </c>
      <c r="AN241" s="183">
        <f t="shared" si="12"/>
        <v>-1.412149013</v>
      </c>
      <c r="AO241" s="183">
        <f t="shared" si="13"/>
        <v>-2.638823898</v>
      </c>
      <c r="AP241" s="183">
        <f t="array" ref="AP241">INDIRECT("Update"&amp;Projections!$AG$17&amp;"!S"&amp;ROW(B222))</f>
        <v>9.099315068</v>
      </c>
      <c r="AQ241" s="183">
        <f t="array" ref="AQ241">INDIRECT("Update"&amp;Projections!$AG$17&amp;"!T"&amp;ROW(B222))</f>
        <v>1.365068493</v>
      </c>
    </row>
    <row r="242">
      <c r="A242" s="40" t="str">
        <f>IF(UpdateHashtag!C240="",ROW(UpdateHashtag!C240),UpdateHashtag!C240)</f>
        <v>Xavier Tillman Sr.</v>
      </c>
      <c r="B242" s="41">
        <f>IF(TYPE($A242)=1,"",(UpdateHashtag!M240-B$1)/B$2)</f>
        <v>-1.854590182</v>
      </c>
      <c r="C242" s="41">
        <f>IF(TYPE($A242)=1,"",(UpdateHashtag!L240-C$1)/C$2)</f>
        <v>-1.040202395</v>
      </c>
      <c r="D242" s="41">
        <f>IF(TYPE($A242)=1,"",(UpdateHashtag!N240-D$1)/D$2)</f>
        <v>-0.4637566123</v>
      </c>
      <c r="E242" s="41">
        <f>IF(TYPE($A242)=1,"",(UpdateHashtag!O240-E$1)/E$2)</f>
        <v>-1.059656289</v>
      </c>
      <c r="F242" s="41">
        <f>IF(TYPE($A242)=1,"",(UpdateHashtag!P240-F$1)/F$2)</f>
        <v>0.0793995211</v>
      </c>
      <c r="G242" s="41">
        <f>IF(TYPE($A242)=1,"",(UpdateHashtag!Q240-G$1)/G$2)</f>
        <v>-0.08680419409</v>
      </c>
      <c r="H242" s="41">
        <f>IF(TYPE($A242)=1,"",(UpdateHashtag!I240-H$1)/H$2*I242/$I$1)</f>
        <v>-0.1720370159</v>
      </c>
      <c r="I242" s="41">
        <f>UpdateHashtag!S240</f>
        <v>6.1</v>
      </c>
      <c r="J242" s="53">
        <f>IF(TYPE($A242)=1,"",(UpdateHashtag!K240-J$1)/J$2*K242/$K$1)</f>
        <v>-1.278663531</v>
      </c>
      <c r="K242" s="55">
        <f>UpdateHashtag!T240</f>
        <v>1.3</v>
      </c>
      <c r="L242" s="41">
        <f>IF(TYPE($A242)=1,"",-(UpdateHashtag!R240-L$1)/L$2)</f>
        <v>1.040202395</v>
      </c>
      <c r="N242" s="112">
        <v>222.0</v>
      </c>
      <c r="O242" s="170" t="str">
        <f t="array" ref="O242">INDIRECT("Update"&amp;Projections!$AG$17&amp;"!B"&amp;ROW(B223))</f>
        <v/>
      </c>
      <c r="P242" s="172" t="str">
        <f t="array" ref="P242">INDIRECT("Update"&amp;Projections!$AG$17&amp;"!C"&amp;ROW(B223))</f>
        <v>Ryan Dunn</v>
      </c>
      <c r="Q242" s="170">
        <f>UpdateHashtag!F280</f>
        <v>48</v>
      </c>
      <c r="R242" s="177" t="str">
        <f>IF(UpdateHashtag!D280="",ROW(UpdateHashtag!D280),UpdateHashtag!D280)</f>
        <v>PF,C</v>
      </c>
      <c r="S242" s="124">
        <f t="shared" si="1"/>
        <v>-5.592119482</v>
      </c>
      <c r="T242" s="124">
        <f>SUM(AE242:AM242)-IFERROR(IFS(Projections!$I$17,AN242,Projections!$J$17,AO242),"")</f>
        <v>-5.86300656</v>
      </c>
      <c r="U242" s="124">
        <f t="shared" si="2"/>
        <v>-0.2708870782</v>
      </c>
      <c r="V242" s="124">
        <f t="array" ref="V242">INDIRECT("Update"&amp;Projections!$AG$17&amp;"!M"&amp;ROW(B223))</f>
        <v>6.812191781</v>
      </c>
      <c r="W242" s="124">
        <f t="array" ref="W242">INDIRECT("Update"&amp;Projections!$AG$17&amp;"!L"&amp;ROW(B223))</f>
        <v>1.06109589</v>
      </c>
      <c r="X242" s="124">
        <f t="array" ref="X242">INDIRECT("Update"&amp;Projections!$AG$17&amp;"!N"&amp;ROW(B223))</f>
        <v>4.418767123</v>
      </c>
      <c r="Y242" s="124">
        <f t="array" ref="Y242">INDIRECT("Update"&amp;Projections!$AG$17&amp;"!O"&amp;ROW(B223))</f>
        <v>0.6563013699</v>
      </c>
      <c r="Z242" s="124">
        <f t="array" ref="Z242">INDIRECT("Update"&amp;Projections!$AG$17&amp;"!P"&amp;ROW(B223))</f>
        <v>0.8750684932</v>
      </c>
      <c r="AA242" s="124">
        <f t="array" ref="AA242">INDIRECT("Update"&amp;Projections!$AG$17&amp;"!Q"&amp;ROW(B223))</f>
        <v>1.312465753</v>
      </c>
      <c r="AB242" s="180">
        <f t="array" ref="AB242">INDIRECT("Update"&amp;Projections!$AG$17&amp;"!I"&amp;ROW(B223))</f>
        <v>0.4184782609</v>
      </c>
      <c r="AC242" s="180">
        <f t="array" ref="AC242">INDIRECT("Update"&amp;Projections!$AG$17&amp;"!K"&amp;ROW(B223))</f>
        <v>0.5100078274</v>
      </c>
      <c r="AD242" s="124">
        <f t="array" ref="AD242">INDIRECT("Update"&amp;Projections!$AG$17&amp;"!R"&amp;ROW(B223))</f>
        <v>0.6563013699</v>
      </c>
      <c r="AE242" s="124">
        <f t="shared" si="3"/>
        <v>-1.9244948</v>
      </c>
      <c r="AF242" s="124">
        <f t="shared" si="4"/>
        <v>-0.682021076</v>
      </c>
      <c r="AG242" s="124">
        <f t="shared" si="5"/>
        <v>-0.6523551437</v>
      </c>
      <c r="AH242" s="124">
        <f t="shared" si="6"/>
        <v>-1.488226084</v>
      </c>
      <c r="AI242" s="124">
        <f t="shared" si="7"/>
        <v>-0.3339130543</v>
      </c>
      <c r="AJ242" s="124">
        <f t="shared" si="8"/>
        <v>1.005619013</v>
      </c>
      <c r="AK242" s="124">
        <f t="shared" si="9"/>
        <v>-0.5611685402</v>
      </c>
      <c r="AL242" s="124">
        <f t="shared" si="10"/>
        <v>-1.226446876</v>
      </c>
      <c r="AM242" s="124">
        <f t="shared" si="11"/>
        <v>0</v>
      </c>
      <c r="AN242" s="183">
        <f t="shared" si="12"/>
        <v>-1.9244948</v>
      </c>
      <c r="AO242" s="183">
        <f t="shared" si="13"/>
        <v>-3.412720884</v>
      </c>
      <c r="AP242" s="183">
        <f t="array" ref="AP242">INDIRECT("Update"&amp;Projections!$AG$17&amp;"!S"&amp;ROW(B223))</f>
        <v>6.124931507</v>
      </c>
      <c r="AQ242" s="183">
        <f t="array" ref="AQ242">INDIRECT("Update"&amp;Projections!$AG$17&amp;"!T"&amp;ROW(B223))</f>
        <v>1.225068493</v>
      </c>
    </row>
    <row r="243">
      <c r="A243" s="40" t="str">
        <f>IF(UpdateHashtag!C241="",ROW(UpdateHashtag!C241),UpdateHashtag!C241)</f>
        <v>Gradey Dick</v>
      </c>
      <c r="B243" s="41">
        <f>IF(TYPE($A243)=1,"",(UpdateHashtag!M241-B$1)/B$2)</f>
        <v>-1.097516499</v>
      </c>
      <c r="C243" s="41">
        <f>IF(TYPE($A243)=1,"",(UpdateHashtag!L241-C$1)/C$2)</f>
        <v>0.2493047061</v>
      </c>
      <c r="D243" s="41">
        <f>IF(TYPE($A243)=1,"",(UpdateHashtag!N241-D$1)/D$2)</f>
        <v>-1.247570605</v>
      </c>
      <c r="E243" s="41">
        <f>IF(TYPE($A243)=1,"",(UpdateHashtag!O241-E$1)/E$2)</f>
        <v>-1.10507013</v>
      </c>
      <c r="F243" s="41">
        <f>IF(TYPE($A243)=1,"",(UpdateHashtag!P241-F$1)/F$2)</f>
        <v>-0.5822631548</v>
      </c>
      <c r="G243" s="41">
        <f>IF(TYPE($A243)=1,"",(UpdateHashtag!Q241-G$1)/G$2)</f>
        <v>-1.335357671</v>
      </c>
      <c r="H243" s="41">
        <f>IF(TYPE($A243)=1,"",(UpdateHashtag!I241-H$1)/H$2*I243/$I$1)</f>
        <v>-0.843457266</v>
      </c>
      <c r="I243" s="41">
        <f>UpdateHashtag!S241</f>
        <v>9.9</v>
      </c>
      <c r="J243" s="53">
        <f>IF(TYPE($A243)=1,"",(UpdateHashtag!K241-J$1)/J$2*K243/$K$1)</f>
        <v>0.2512612799</v>
      </c>
      <c r="K243" s="55">
        <f>UpdateHashtag!T241</f>
        <v>1.1</v>
      </c>
      <c r="L243" s="41">
        <f>IF(TYPE($A243)=1,"",-(UpdateHashtag!R241-L$1)/L$2)</f>
        <v>0.643430979</v>
      </c>
      <c r="N243" s="112">
        <v>223.0</v>
      </c>
      <c r="O243" s="170" t="str">
        <f t="array" ref="O243">INDIRECT("Update"&amp;Projections!$AG$17&amp;"!B"&amp;ROW(B224))</f>
        <v/>
      </c>
      <c r="P243" s="172" t="str">
        <f t="array" ref="P243">INDIRECT("Update"&amp;Projections!$AG$17&amp;"!C"&amp;ROW(B224))</f>
        <v>Peyton Watson</v>
      </c>
      <c r="Q243" s="170">
        <f>UpdateHashtag!F277</f>
        <v>44</v>
      </c>
      <c r="R243" s="177" t="str">
        <f>IF(UpdateHashtag!D277="",ROW(UpdateHashtag!D277),UpdateHashtag!D277)</f>
        <v>SF,PF</v>
      </c>
      <c r="S243" s="124">
        <f t="shared" si="1"/>
        <v>-5.881734314</v>
      </c>
      <c r="T243" s="124">
        <f>SUM(AE243:AM243)-IFERROR(IFS(Projections!$I$17,AN243,Projections!$J$17,AO243),"")</f>
        <v>-6.12602276</v>
      </c>
      <c r="U243" s="124">
        <f t="shared" si="2"/>
        <v>-0.2442884465</v>
      </c>
      <c r="V243" s="124">
        <f t="array" ref="V243">INDIRECT("Update"&amp;Projections!$AG$17&amp;"!M"&amp;ROW(B224))</f>
        <v>7.881369863</v>
      </c>
      <c r="W243" s="124">
        <f t="array" ref="W243">INDIRECT("Update"&amp;Projections!$AG$17&amp;"!L"&amp;ROW(B224))</f>
        <v>0.495890411</v>
      </c>
      <c r="X243" s="124">
        <f t="array" ref="X243">INDIRECT("Update"&amp;Projections!$AG$17&amp;"!N"&amp;ROW(B224))</f>
        <v>3.95260274</v>
      </c>
      <c r="Y243" s="124">
        <f t="array" ref="Y243">INDIRECT("Update"&amp;Projections!$AG$17&amp;"!O"&amp;ROW(B224))</f>
        <v>1.359315068</v>
      </c>
      <c r="Z243" s="124">
        <f t="array" ref="Z243">INDIRECT("Update"&amp;Projections!$AG$17&amp;"!P"&amp;ROW(B224))</f>
        <v>0.5390410959</v>
      </c>
      <c r="AA243" s="124">
        <f t="array" ref="AA243">INDIRECT("Update"&amp;Projections!$AG$17&amp;"!Q"&amp;ROW(B224))</f>
        <v>1.279589041</v>
      </c>
      <c r="AB243" s="180">
        <f t="array" ref="AB243">INDIRECT("Update"&amp;Projections!$AG$17&amp;"!I"&amp;ROW(B224))</f>
        <v>0.4973371129</v>
      </c>
      <c r="AC243" s="180">
        <f t="array" ref="AC243">INDIRECT("Update"&amp;Projections!$AG$17&amp;"!K"&amp;ROW(B224))</f>
        <v>0.6750199947</v>
      </c>
      <c r="AD243" s="124">
        <f t="array" ref="AD243">INDIRECT("Update"&amp;Projections!$AG$17&amp;"!R"&amp;ROW(B224))</f>
        <v>0.7635616438</v>
      </c>
      <c r="AE243" s="124">
        <f t="shared" si="3"/>
        <v>-1.731769422</v>
      </c>
      <c r="AF243" s="124">
        <f t="shared" si="4"/>
        <v>-1.242664521</v>
      </c>
      <c r="AG243" s="124">
        <f t="shared" si="5"/>
        <v>-0.8350482268</v>
      </c>
      <c r="AH243" s="124">
        <f t="shared" si="6"/>
        <v>-1.168960561</v>
      </c>
      <c r="AI243" s="124">
        <f t="shared" si="7"/>
        <v>-1.445596989</v>
      </c>
      <c r="AJ243" s="124">
        <f t="shared" si="8"/>
        <v>0.9469785376</v>
      </c>
      <c r="AK243" s="124">
        <f t="shared" si="9"/>
        <v>0.0006710835337</v>
      </c>
      <c r="AL243" s="124">
        <f t="shared" si="10"/>
        <v>-0.6496326622</v>
      </c>
      <c r="AM243" s="124">
        <f t="shared" si="11"/>
        <v>0</v>
      </c>
      <c r="AN243" s="183">
        <f t="shared" si="12"/>
        <v>-1.731769422</v>
      </c>
      <c r="AO243" s="183">
        <f t="shared" si="13"/>
        <v>-3.177366411</v>
      </c>
      <c r="AP243" s="183">
        <f t="array" ref="AP243">INDIRECT("Update"&amp;Projections!$AG$17&amp;"!S"&amp;ROW(B224))</f>
        <v>6.37890411</v>
      </c>
      <c r="AQ243" s="183">
        <f t="array" ref="AQ243">INDIRECT("Update"&amp;Projections!$AG$17&amp;"!T"&amp;ROW(B224))</f>
        <v>1.541506849</v>
      </c>
    </row>
    <row r="244">
      <c r="A244" s="40" t="str">
        <f>IF(UpdateHashtag!C242="",ROW(UpdateHashtag!C242),UpdateHashtag!C242)</f>
        <v>Ron Holland II</v>
      </c>
      <c r="B244" s="41">
        <f>IF(TYPE($A244)=1,"",(UpdateHashtag!M242-B$1)/B$2)</f>
        <v>-1.295797702</v>
      </c>
      <c r="C244" s="41">
        <f>IF(TYPE($A244)=1,"",(UpdateHashtag!L242-C$1)/C$2)</f>
        <v>-1.238588102</v>
      </c>
      <c r="D244" s="41">
        <f>IF(TYPE($A244)=1,"",(UpdateHashtag!N242-D$1)/D$2)</f>
        <v>-0.9340450079</v>
      </c>
      <c r="E244" s="41">
        <f>IF(TYPE($A244)=1,"",(UpdateHashtag!O242-E$1)/E$2)</f>
        <v>-1.014242448</v>
      </c>
      <c r="F244" s="41">
        <f>IF(TYPE($A244)=1,"",(UpdateHashtag!P242-F$1)/F$2)</f>
        <v>1.071893535</v>
      </c>
      <c r="G244" s="41">
        <f>IF(TYPE($A244)=1,"",(UpdateHashtag!Q242-G$1)/G$2)</f>
        <v>-0.6218985413</v>
      </c>
      <c r="H244" s="41">
        <f>IF(TYPE($A244)=1,"",(UpdateHashtag!I242-H$1)/H$2*I244/$I$1)</f>
        <v>-0.585966651</v>
      </c>
      <c r="I244" s="41">
        <f>UpdateHashtag!S242</f>
        <v>8.8</v>
      </c>
      <c r="J244" s="53">
        <f>IF(TYPE($A244)=1,"",(UpdateHashtag!K242-J$1)/J$2*K244/$K$1)</f>
        <v>-0.560129764</v>
      </c>
      <c r="K244" s="55">
        <f>UpdateHashtag!T242</f>
        <v>2.9</v>
      </c>
      <c r="L244" s="41">
        <f>IF(TYPE($A244)=1,"",-(UpdateHashtag!R242-L$1)/L$2)</f>
        <v>0.1474667095</v>
      </c>
      <c r="N244" s="5">
        <v>224.0</v>
      </c>
      <c r="O244" s="170" t="str">
        <f t="array" ref="O244">INDIRECT("Update"&amp;Projections!$AG$17&amp;"!B"&amp;ROW(B225))</f>
        <v/>
      </c>
      <c r="P244" s="172" t="str">
        <f t="array" ref="P244">INDIRECT("Update"&amp;Projections!$AG$17&amp;"!C"&amp;ROW(B225))</f>
        <v>Kobe Bufkin</v>
      </c>
      <c r="Q244" s="170">
        <f>UpdateHashtag!F273</f>
        <v>70</v>
      </c>
      <c r="R244" s="177" t="str">
        <f>IF(UpdateHashtag!D273="",ROW(UpdateHashtag!D273),UpdateHashtag!D273)</f>
        <v>SG,SF</v>
      </c>
      <c r="S244" s="124">
        <f t="shared" si="1"/>
        <v>-5.789680658</v>
      </c>
      <c r="T244" s="124">
        <f>SUM(AE244:AM244)-IFERROR(IFS(Projections!$I$17,AN244,Projections!$J$17,AO244),"")</f>
        <v>-5.94433885</v>
      </c>
      <c r="U244" s="124">
        <f t="shared" si="2"/>
        <v>-0.1546581914</v>
      </c>
      <c r="V244" s="124">
        <f t="array" ref="V244">INDIRECT("Update"&amp;Projections!$AG$17&amp;"!M"&amp;ROW(B225))</f>
        <v>9.903970588</v>
      </c>
      <c r="W244" s="124">
        <f t="array" ref="W244">INDIRECT("Update"&amp;Projections!$AG$17&amp;"!L"&amp;ROW(B225))</f>
        <v>1.357941176</v>
      </c>
      <c r="X244" s="124">
        <f t="array" ref="X244">INDIRECT("Update"&amp;Projections!$AG$17&amp;"!N"&amp;ROW(B225))</f>
        <v>2.656176471</v>
      </c>
      <c r="Y244" s="124">
        <f t="array" ref="Y244">INDIRECT("Update"&amp;Projections!$AG$17&amp;"!O"&amp;ROW(B225))</f>
        <v>3.166617647</v>
      </c>
      <c r="Z244" s="124">
        <f t="array" ref="Z244">INDIRECT("Update"&amp;Projections!$AG$17&amp;"!P"&amp;ROW(B225))</f>
        <v>0.6467647059</v>
      </c>
      <c r="AA244" s="124">
        <f t="array" ref="AA244">INDIRECT("Update"&amp;Projections!$AG$17&amp;"!Q"&amp;ROW(B225))</f>
        <v>0.3461764706</v>
      </c>
      <c r="AB244" s="180">
        <f t="array" ref="AB244">INDIRECT("Update"&amp;Projections!$AG$17&amp;"!I"&amp;ROW(B225))</f>
        <v>0.4354228587</v>
      </c>
      <c r="AC244" s="180">
        <f t="array" ref="AC244">INDIRECT("Update"&amp;Projections!$AG$17&amp;"!K"&amp;ROW(B225))</f>
        <v>0.7800023835</v>
      </c>
      <c r="AD244" s="124">
        <f t="array" ref="AD244">INDIRECT("Update"&amp;Projections!$AG$17&amp;"!R"&amp;ROW(B225))</f>
        <v>1.125</v>
      </c>
      <c r="AE244" s="124">
        <f t="shared" si="3"/>
        <v>-1.367184236</v>
      </c>
      <c r="AF244" s="124">
        <f t="shared" si="4"/>
        <v>-0.3875717651</v>
      </c>
      <c r="AG244" s="124">
        <f t="shared" si="5"/>
        <v>-1.343126752</v>
      </c>
      <c r="AH244" s="124">
        <f t="shared" si="6"/>
        <v>-0.3481950423</v>
      </c>
      <c r="AI244" s="124">
        <f t="shared" si="7"/>
        <v>-1.089213528</v>
      </c>
      <c r="AJ244" s="124">
        <f t="shared" si="8"/>
        <v>-0.7179007623</v>
      </c>
      <c r="AK244" s="124">
        <f t="shared" si="9"/>
        <v>-0.6262185529</v>
      </c>
      <c r="AL244" s="124">
        <f t="shared" si="10"/>
        <v>-0.06492821029</v>
      </c>
      <c r="AM244" s="124">
        <f t="shared" si="11"/>
        <v>0</v>
      </c>
      <c r="AN244" s="183">
        <f t="shared" si="12"/>
        <v>-1.367184236</v>
      </c>
      <c r="AO244" s="183">
        <f t="shared" si="13"/>
        <v>-2.710310988</v>
      </c>
      <c r="AP244" s="183">
        <f t="array" ref="AP244">INDIRECT("Update"&amp;Projections!$AG$17&amp;"!S"&amp;ROW(B225))</f>
        <v>8.708235294</v>
      </c>
      <c r="AQ244" s="183">
        <f t="array" ref="AQ244">INDIRECT("Update"&amp;Projections!$AG$17&amp;"!T"&amp;ROW(B225))</f>
        <v>1.233970588</v>
      </c>
    </row>
    <row r="245">
      <c r="A245" s="40" t="str">
        <f>IF(UpdateHashtag!C243="",ROW(UpdateHashtag!C243),UpdateHashtag!C243)</f>
        <v>Mo Bamba</v>
      </c>
      <c r="B245" s="41">
        <f>IF(TYPE($A245)=1,"",(UpdateHashtag!M243-B$1)/B$2)</f>
        <v>-2.052871384</v>
      </c>
      <c r="C245" s="41">
        <f>IF(TYPE($A245)=1,"",(UpdateHashtag!L243-C$1)/C$2)</f>
        <v>-0.9410095407</v>
      </c>
      <c r="D245" s="41">
        <f>IF(TYPE($A245)=1,"",(UpdateHashtag!N243-D$1)/D$2)</f>
        <v>-0.4637566123</v>
      </c>
      <c r="E245" s="41">
        <f>IF(TYPE($A245)=1,"",(UpdateHashtag!O243-E$1)/E$2)</f>
        <v>-1.377553175</v>
      </c>
      <c r="F245" s="41">
        <f>IF(TYPE($A245)=1,"",(UpdateHashtag!P243-F$1)/F$2)</f>
        <v>-1.905588506</v>
      </c>
      <c r="G245" s="41">
        <f>IF(TYPE($A245)=1,"",(UpdateHashtag!Q243-G$1)/G$2)</f>
        <v>0.6266549355</v>
      </c>
      <c r="H245" s="41">
        <f>IF(TYPE($A245)=1,"",(UpdateHashtag!I243-H$1)/H$2*I245/$I$1)</f>
        <v>-0.05482523021</v>
      </c>
      <c r="I245" s="41">
        <f>UpdateHashtag!S243</f>
        <v>4.6</v>
      </c>
      <c r="J245" s="53">
        <f>IF(TYPE($A245)=1,"",(UpdateHashtag!K243-J$1)/J$2*K245/$K$1)</f>
        <v>-0.5310907867</v>
      </c>
      <c r="K245" s="55">
        <f>UpdateHashtag!T243</f>
        <v>1.2</v>
      </c>
      <c r="L245" s="41">
        <f>IF(TYPE($A245)=1,"",-(UpdateHashtag!R243-L$1)/L$2)</f>
        <v>1.040202395</v>
      </c>
      <c r="N245" s="5">
        <v>225.0</v>
      </c>
      <c r="O245" s="170" t="str">
        <f t="array" ref="O245">INDIRECT("Update"&amp;Projections!$AG$17&amp;"!B"&amp;ROW(B226))</f>
        <v/>
      </c>
      <c r="P245" s="172" t="str">
        <f t="array" ref="P245">INDIRECT("Update"&amp;Projections!$AG$17&amp;"!C"&amp;ROW(B226))</f>
        <v>Daniel Theis</v>
      </c>
      <c r="Q245" s="170">
        <f>UpdateHashtag!F278</f>
        <v>74</v>
      </c>
      <c r="R245" s="177" t="str">
        <f>IF(UpdateHashtag!D278="",ROW(UpdateHashtag!D278),UpdateHashtag!D278)</f>
        <v>SG,SF</v>
      </c>
      <c r="S245" s="124">
        <f t="shared" si="1"/>
        <v>-6.022529246</v>
      </c>
      <c r="T245" s="124">
        <f>SUM(AE245:AM245)-IFERROR(IFS(Projections!$I$17,AN245,Projections!$J$17,AO245),"")</f>
        <v>-6.262777742</v>
      </c>
      <c r="U245" s="124">
        <f t="shared" si="2"/>
        <v>-0.2402484958</v>
      </c>
      <c r="V245" s="124">
        <f t="array" ref="V245">INDIRECT("Update"&amp;Projections!$AG$17&amp;"!M"&amp;ROW(B226))</f>
        <v>6.345294118</v>
      </c>
      <c r="W245" s="124">
        <f t="array" ref="W245">INDIRECT("Update"&amp;Projections!$AG$17&amp;"!L"&amp;ROW(B226))</f>
        <v>0.5413235294</v>
      </c>
      <c r="X245" s="124">
        <f t="array" ref="X245">INDIRECT("Update"&amp;Projections!$AG$17&amp;"!N"&amp;ROW(B226))</f>
        <v>5.094411765</v>
      </c>
      <c r="Y245" s="124">
        <f t="array" ref="Y245">INDIRECT("Update"&amp;Projections!$AG$17&amp;"!O"&amp;ROW(B226))</f>
        <v>1.127352941</v>
      </c>
      <c r="Z245" s="124">
        <f t="array" ref="Z245">INDIRECT("Update"&amp;Projections!$AG$17&amp;"!P"&amp;ROW(B226))</f>
        <v>0.4354411765</v>
      </c>
      <c r="AA245" s="124">
        <f t="array" ref="AA245">INDIRECT("Update"&amp;Projections!$AG$17&amp;"!Q"&amp;ROW(B226))</f>
        <v>0.9404411765</v>
      </c>
      <c r="AB245" s="180">
        <f t="array" ref="AB245">INDIRECT("Update"&amp;Projections!$AG$17&amp;"!I"&amp;ROW(B226))</f>
        <v>0.5256895147</v>
      </c>
      <c r="AC245" s="180">
        <f t="array" ref="AC245">INDIRECT("Update"&amp;Projections!$AG$17&amp;"!K"&amp;ROW(B226))</f>
        <v>0.7449093757</v>
      </c>
      <c r="AD245" s="124">
        <f t="array" ref="AD245">INDIRECT("Update"&amp;Projections!$AG$17&amp;"!R"&amp;ROW(B226))</f>
        <v>0.7798529412</v>
      </c>
      <c r="AE245" s="124">
        <f t="shared" si="3"/>
        <v>-2.008655737</v>
      </c>
      <c r="AF245" s="124">
        <f t="shared" si="4"/>
        <v>-1.197598114</v>
      </c>
      <c r="AG245" s="124">
        <f t="shared" si="5"/>
        <v>-0.3875652815</v>
      </c>
      <c r="AH245" s="124">
        <f t="shared" si="6"/>
        <v>-1.274303472</v>
      </c>
      <c r="AI245" s="124">
        <f t="shared" si="7"/>
        <v>-1.788337988</v>
      </c>
      <c r="AJ245" s="124">
        <f t="shared" si="8"/>
        <v>0.3420581871</v>
      </c>
      <c r="AK245" s="124">
        <f t="shared" si="9"/>
        <v>0.1672279997</v>
      </c>
      <c r="AL245" s="124">
        <f t="shared" si="10"/>
        <v>-0.1156033357</v>
      </c>
      <c r="AM245" s="124">
        <f t="shared" si="11"/>
        <v>0</v>
      </c>
      <c r="AN245" s="183">
        <f t="shared" si="12"/>
        <v>-2.008655737</v>
      </c>
      <c r="AO245" s="183">
        <f t="shared" si="13"/>
        <v>-3.796993725</v>
      </c>
      <c r="AP245" s="183">
        <f t="array" ref="AP245">INDIRECT("Update"&amp;Projections!$AG$17&amp;"!S"&amp;ROW(B226))</f>
        <v>5.054705882</v>
      </c>
      <c r="AQ245" s="183">
        <f t="array" ref="AQ245">INDIRECT("Update"&amp;Projections!$AG$17&amp;"!T"&amp;ROW(B226))</f>
        <v>0.6572058824</v>
      </c>
    </row>
    <row r="246">
      <c r="A246" s="40" t="str">
        <f>IF(UpdateHashtag!C244="",ROW(UpdateHashtag!C244),UpdateHashtag!C244)</f>
        <v>Derrick Jones Jr.</v>
      </c>
      <c r="B246" s="41">
        <f>IF(TYPE($A246)=1,"",(UpdateHashtag!M244-B$1)/B$2)</f>
        <v>-1.710385671</v>
      </c>
      <c r="C246" s="41">
        <f>IF(TYPE($A246)=1,"",(UpdateHashtag!L244-C$1)/C$2)</f>
        <v>-0.8418166868</v>
      </c>
      <c r="D246" s="41">
        <f>IF(TYPE($A246)=1,"",(UpdateHashtag!N244-D$1)/D$2)</f>
        <v>-1.090807806</v>
      </c>
      <c r="E246" s="41">
        <f>IF(TYPE($A246)=1,"",(UpdateHashtag!O244-E$1)/E$2)</f>
        <v>-1.377553175</v>
      </c>
      <c r="F246" s="41">
        <f>IF(TYPE($A246)=1,"",(UpdateHashtag!P244-F$1)/F$2)</f>
        <v>-0.9130944927</v>
      </c>
      <c r="G246" s="41">
        <f>IF(TYPE($A246)=1,"",(UpdateHashtag!Q244-G$1)/G$2)</f>
        <v>-0.08680419409</v>
      </c>
      <c r="H246" s="41">
        <f>IF(TYPE($A246)=1,"",(UpdateHashtag!I244-H$1)/H$2*I246/$I$1)</f>
        <v>-0.06453220076</v>
      </c>
      <c r="I246" s="41">
        <f>UpdateHashtag!S244</f>
        <v>6</v>
      </c>
      <c r="J246" s="53">
        <f>IF(TYPE($A246)=1,"",(UpdateHashtag!K244-J$1)/J$2*K246/$K$1)</f>
        <v>-0.4488429596</v>
      </c>
      <c r="K246" s="55">
        <f>UpdateHashtag!T244</f>
        <v>1.8</v>
      </c>
      <c r="L246" s="41">
        <f>IF(TYPE($A246)=1,"",-(UpdateHashtag!R244-L$1)/L$2)</f>
        <v>1.040202395</v>
      </c>
      <c r="N246" s="112">
        <v>226.0</v>
      </c>
      <c r="O246" s="170" t="str">
        <f t="array" ref="O246">INDIRECT("Update"&amp;Projections!$AG$17&amp;"!B"&amp;ROW(B227))</f>
        <v>#N/A</v>
      </c>
      <c r="P246" s="172" t="str">
        <f t="array" ref="P246">INDIRECT("Update"&amp;Projections!$AG$17&amp;"!C"&amp;ROW(B227))</f>
        <v>Ron Holland</v>
      </c>
      <c r="Q246" s="170">
        <f>UpdateHashtag!F286</f>
        <v>45</v>
      </c>
      <c r="R246" s="177" t="str">
        <f>IF(UpdateHashtag!D286="",ROW(UpdateHashtag!D286),UpdateHashtag!D286)</f>
        <v>SG,SF</v>
      </c>
      <c r="S246" s="124">
        <f t="shared" si="1"/>
        <v>-5.914250004</v>
      </c>
      <c r="T246" s="124">
        <f>SUM(AE246:AM246)-IFERROR(IFS(Projections!$I$17,AN246,Projections!$J$17,AO246),"")</f>
        <v>-5.877341996</v>
      </c>
      <c r="U246" s="124">
        <f t="shared" si="2"/>
        <v>0.03690800772</v>
      </c>
      <c r="V246" s="124">
        <f t="array" ref="V246">INDIRECT("Update"&amp;Projections!$AG$17&amp;"!M"&amp;ROW(B227))</f>
        <v>8.642794118</v>
      </c>
      <c r="W246" s="124">
        <f t="array" ref="W246">INDIRECT("Update"&amp;Projections!$AG$17&amp;"!L"&amp;ROW(B227))</f>
        <v>0.5645588235</v>
      </c>
      <c r="X246" s="124">
        <f t="array" ref="X246">INDIRECT("Update"&amp;Projections!$AG$17&amp;"!N"&amp;ROW(B227))</f>
        <v>3.984705882</v>
      </c>
      <c r="Y246" s="124">
        <f t="array" ref="Y246">INDIRECT("Update"&amp;Projections!$AG$17&amp;"!O"&amp;ROW(B227))</f>
        <v>1.755147059</v>
      </c>
      <c r="Z246" s="124">
        <f t="array" ref="Z246">INDIRECT("Update"&amp;Projections!$AG$17&amp;"!P"&amp;ROW(B227))</f>
        <v>1.138529412</v>
      </c>
      <c r="AA246" s="124">
        <f t="array" ref="AA246">INDIRECT("Update"&amp;Projections!$AG$17&amp;"!Q"&amp;ROW(B227))</f>
        <v>0.2845588235</v>
      </c>
      <c r="AB246" s="180">
        <f t="array" ref="AB246">INDIRECT("Update"&amp;Projections!$AG$17&amp;"!I"&amp;ROW(B227))</f>
        <v>0.4254963096</v>
      </c>
      <c r="AC246" s="180">
        <f t="array" ref="AC246">INDIRECT("Update"&amp;Projections!$AG$17&amp;"!K"&amp;ROW(B227))</f>
        <v>0.7289740203</v>
      </c>
      <c r="AD246" s="124">
        <f t="array" ref="AD246">INDIRECT("Update"&amp;Projections!$AG$17&amp;"!R"&amp;ROW(B227))</f>
        <v>1.8975</v>
      </c>
      <c r="AE246" s="124">
        <f t="shared" si="3"/>
        <v>-1.594518406</v>
      </c>
      <c r="AF246" s="124">
        <f t="shared" si="4"/>
        <v>-1.174550363</v>
      </c>
      <c r="AG246" s="124">
        <f t="shared" si="5"/>
        <v>-0.8224667809</v>
      </c>
      <c r="AH246" s="124">
        <f t="shared" si="6"/>
        <v>-0.9891980502</v>
      </c>
      <c r="AI246" s="124">
        <f t="shared" si="7"/>
        <v>0.5376982282</v>
      </c>
      <c r="AJ246" s="124">
        <f t="shared" si="8"/>
        <v>-0.8278049445</v>
      </c>
      <c r="AK246" s="124">
        <f t="shared" si="9"/>
        <v>-0.6967330657</v>
      </c>
      <c r="AL246" s="124">
        <f t="shared" si="10"/>
        <v>-0.3097686133</v>
      </c>
      <c r="AM246" s="124">
        <f t="shared" si="11"/>
        <v>0</v>
      </c>
      <c r="AN246" s="183">
        <f t="shared" si="12"/>
        <v>-1.594518406</v>
      </c>
      <c r="AO246" s="183">
        <f t="shared" si="13"/>
        <v>-2.769068769</v>
      </c>
      <c r="AP246" s="183">
        <f t="array" ref="AP246">INDIRECT("Update"&amp;Projections!$AG$17&amp;"!S"&amp;ROW(B227))</f>
        <v>8.348382353</v>
      </c>
      <c r="AQ246" s="183">
        <f t="array" ref="AQ246">INDIRECT("Update"&amp;Projections!$AG$17&amp;"!T"&amp;ROW(B227))</f>
        <v>1.335882353</v>
      </c>
    </row>
    <row r="247">
      <c r="A247" s="40" t="str">
        <f>IF(UpdateHashtag!C245="",ROW(UpdateHashtag!C245),UpdateHashtag!C245)</f>
        <v>Isaiah Joe</v>
      </c>
      <c r="B247" s="41">
        <f>IF(TYPE($A247)=1,"",(UpdateHashtag!M245-B$1)/B$2)</f>
        <v>-1.620257851</v>
      </c>
      <c r="C247" s="41">
        <f>IF(TYPE($A247)=1,"",(UpdateHashtag!L245-C$1)/C$2)</f>
        <v>0.2493047061</v>
      </c>
      <c r="D247" s="41">
        <f>IF(TYPE($A247)=1,"",(UpdateHashtag!N245-D$1)/D$2)</f>
        <v>-1.482714803</v>
      </c>
      <c r="E247" s="41">
        <f>IF(TYPE($A247)=1,"",(UpdateHashtag!O245-E$1)/E$2)</f>
        <v>-1.241311653</v>
      </c>
      <c r="F247" s="41">
        <f>IF(TYPE($A247)=1,"",(UpdateHashtag!P245-F$1)/F$2)</f>
        <v>-1.243925831</v>
      </c>
      <c r="G247" s="41">
        <f>IF(TYPE($A247)=1,"",(UpdateHashtag!Q245-G$1)/G$2)</f>
        <v>-0.978628106</v>
      </c>
      <c r="H247" s="41">
        <f>IF(TYPE($A247)=1,"",(UpdateHashtag!I245-H$1)/H$2*I247/$I$1)</f>
        <v>-0.3591594612</v>
      </c>
      <c r="I247" s="41">
        <f>UpdateHashtag!S245</f>
        <v>6.4</v>
      </c>
      <c r="J247" s="53">
        <f>IF(TYPE($A247)=1,"",(UpdateHashtag!K245-J$1)/J$2*K247/$K$1)</f>
        <v>0.1124882719</v>
      </c>
      <c r="K247" s="55">
        <f>UpdateHashtag!T245</f>
        <v>1</v>
      </c>
      <c r="L247" s="41">
        <f>IF(TYPE($A247)=1,"",-(UpdateHashtag!R245-L$1)/L$2)</f>
        <v>1.139395249</v>
      </c>
      <c r="N247" s="112">
        <v>227.0</v>
      </c>
      <c r="O247" s="170" t="str">
        <f t="array" ref="O247">INDIRECT("Update"&amp;Projections!$AG$17&amp;"!B"&amp;ROW(B228))</f>
        <v/>
      </c>
      <c r="P247" s="172" t="str">
        <f t="array" ref="P247">INDIRECT("Update"&amp;Projections!$AG$17&amp;"!C"&amp;ROW(B228))</f>
        <v>Julian Strawther</v>
      </c>
      <c r="Q247" s="170">
        <f>UpdateHashtag!F290</f>
        <v>42</v>
      </c>
      <c r="R247" s="177" t="str">
        <f>IF(UpdateHashtag!D290="",ROW(UpdateHashtag!D290),UpdateHashtag!D290)</f>
        <v>C</v>
      </c>
      <c r="S247" s="124">
        <f t="shared" si="1"/>
        <v>-5.673263935</v>
      </c>
      <c r="T247" s="124">
        <f>SUM(AE247:AM247)-IFERROR(IFS(Projections!$I$17,AN247,Projections!$J$17,AO247),"")</f>
        <v>-5.867854543</v>
      </c>
      <c r="U247" s="124">
        <f t="shared" si="2"/>
        <v>-0.1945906087</v>
      </c>
      <c r="V247" s="124">
        <f t="array" ref="V247">INDIRECT("Update"&amp;Projections!$AG$17&amp;"!M"&amp;ROW(B228))</f>
        <v>10.68279412</v>
      </c>
      <c r="W247" s="124">
        <f t="array" ref="W247">INDIRECT("Update"&amp;Projections!$AG$17&amp;"!L"&amp;ROW(B228))</f>
        <v>1.9625</v>
      </c>
      <c r="X247" s="124">
        <f t="array" ref="X247">INDIRECT("Update"&amp;Projections!$AG$17&amp;"!N"&amp;ROW(B228))</f>
        <v>2.858382353</v>
      </c>
      <c r="Y247" s="124">
        <f t="array" ref="Y247">INDIRECT("Update"&amp;Projections!$AG$17&amp;"!O"&amp;ROW(B228))</f>
        <v>2.222794118</v>
      </c>
      <c r="Z247" s="124">
        <f t="array" ref="Z247">INDIRECT("Update"&amp;Projections!$AG$17&amp;"!P"&amp;ROW(B228))</f>
        <v>0.7561764706</v>
      </c>
      <c r="AA247" s="124">
        <f t="array" ref="AA247">INDIRECT("Update"&amp;Projections!$AG$17&amp;"!Q"&amp;ROW(B228))</f>
        <v>0.2822058824</v>
      </c>
      <c r="AB247" s="180">
        <f t="array" ref="AB247">INDIRECT("Update"&amp;Projections!$AG$17&amp;"!I"&amp;ROW(B228))</f>
        <v>0.4183946001</v>
      </c>
      <c r="AC247" s="180">
        <f t="array" ref="AC247">INDIRECT("Update"&amp;Projections!$AG$17&amp;"!K"&amp;ROW(B228))</f>
        <v>0.7181861124</v>
      </c>
      <c r="AD247" s="124">
        <f t="array" ref="AD247">INDIRECT("Update"&amp;Projections!$AG$17&amp;"!R"&amp;ROW(B228))</f>
        <v>0.9639705882</v>
      </c>
      <c r="AE247" s="124">
        <f t="shared" si="3"/>
        <v>-1.226796903</v>
      </c>
      <c r="AF247" s="124">
        <f t="shared" si="4"/>
        <v>0.2121073859</v>
      </c>
      <c r="AG247" s="124">
        <f t="shared" si="5"/>
        <v>-1.263880852</v>
      </c>
      <c r="AH247" s="124">
        <f t="shared" si="6"/>
        <v>-0.7768215586</v>
      </c>
      <c r="AI247" s="124">
        <f t="shared" si="7"/>
        <v>-0.7272451234</v>
      </c>
      <c r="AJ247" s="124">
        <f t="shared" si="8"/>
        <v>-0.8320017628</v>
      </c>
      <c r="AK247" s="124">
        <f t="shared" si="9"/>
        <v>-0.8332686931</v>
      </c>
      <c r="AL247" s="124">
        <f t="shared" si="10"/>
        <v>-0.4199470364</v>
      </c>
      <c r="AM247" s="124">
        <f t="shared" si="11"/>
        <v>0</v>
      </c>
      <c r="AN247" s="183">
        <f t="shared" si="12"/>
        <v>-1.263880852</v>
      </c>
      <c r="AO247" s="183">
        <f t="shared" si="13"/>
        <v>-2.490677755</v>
      </c>
      <c r="AP247" s="183">
        <f t="array" ref="AP247">INDIRECT("Update"&amp;Projections!$AG$17&amp;"!S"&amp;ROW(B228))</f>
        <v>9.085147059</v>
      </c>
      <c r="AQ247" s="183">
        <f t="array" ref="AQ247">INDIRECT("Update"&amp;Projections!$AG$17&amp;"!T"&amp;ROW(B228))</f>
        <v>1.556617647</v>
      </c>
    </row>
    <row r="248">
      <c r="A248" s="40" t="str">
        <f>IF(UpdateHashtag!C246="",ROW(UpdateHashtag!C246),UpdateHashtag!C246)</f>
        <v>Naji Marshall</v>
      </c>
      <c r="B248" s="41">
        <f>IF(TYPE($A248)=1,"",(UpdateHashtag!M246-B$1)/B$2)</f>
        <v>-1.620257851</v>
      </c>
      <c r="C248" s="41">
        <f>IF(TYPE($A248)=1,"",(UpdateHashtag!L246-C$1)/C$2)</f>
        <v>-0.8418166868</v>
      </c>
      <c r="D248" s="41">
        <f>IF(TYPE($A248)=1,"",(UpdateHashtag!N246-D$1)/D$2)</f>
        <v>-0.8948543083</v>
      </c>
      <c r="E248" s="41">
        <f>IF(TYPE($A248)=1,"",(UpdateHashtag!O246-E$1)/E$2)</f>
        <v>-0.7417594022</v>
      </c>
      <c r="F248" s="41">
        <f>IF(TYPE($A248)=1,"",(UpdateHashtag!P246-F$1)/F$2)</f>
        <v>-0.5822631548</v>
      </c>
      <c r="G248" s="41">
        <f>IF(TYPE($A248)=1,"",(UpdateHashtag!Q246-G$1)/G$2)</f>
        <v>-0.978628106</v>
      </c>
      <c r="H248" s="41">
        <f>IF(TYPE($A248)=1,"",(UpdateHashtag!I246-H$1)/H$2*I248/$I$1)</f>
        <v>-0.4053354224</v>
      </c>
      <c r="I248" s="41">
        <f>UpdateHashtag!S246</f>
        <v>6.8</v>
      </c>
      <c r="J248" s="53">
        <f>IF(TYPE($A248)=1,"",(UpdateHashtag!K246-J$1)/J$2*K248/$K$1)</f>
        <v>-0.0399154199</v>
      </c>
      <c r="K248" s="55">
        <f>UpdateHashtag!T246</f>
        <v>1.9</v>
      </c>
      <c r="L248" s="41">
        <f>IF(TYPE($A248)=1,"",-(UpdateHashtag!R246-L$1)/L$2)</f>
        <v>0.5442381251</v>
      </c>
      <c r="N248" s="5">
        <v>228.0</v>
      </c>
      <c r="O248" s="170">
        <f t="array" ref="O248">INDIRECT("Update"&amp;Projections!$AG$17&amp;"!B"&amp;ROW(B229))</f>
        <v>145.3</v>
      </c>
      <c r="P248" s="172" t="str">
        <f t="array" ref="P248">INDIRECT("Update"&amp;Projections!$AG$17&amp;"!C"&amp;ROW(B229))</f>
        <v>Matas Buzelis</v>
      </c>
      <c r="Q248" s="170">
        <f>UpdateHashtag!F281</f>
        <v>42</v>
      </c>
      <c r="R248" s="177" t="str">
        <f>IF(UpdateHashtag!D281="",ROW(UpdateHashtag!D281),UpdateHashtag!D281)</f>
        <v>PF</v>
      </c>
      <c r="S248" s="124">
        <f t="shared" si="1"/>
        <v>-5.965924615</v>
      </c>
      <c r="T248" s="124">
        <f>SUM(AE248:AM248)-IFERROR(IFS(Projections!$I$17,AN248,Projections!$J$17,AO248),"")</f>
        <v>-6.083640262</v>
      </c>
      <c r="U248" s="124">
        <f t="shared" si="2"/>
        <v>-0.1177156473</v>
      </c>
      <c r="V248" s="124">
        <f t="array" ref="V248">INDIRECT("Update"&amp;Projections!$AG$17&amp;"!M"&amp;ROW(B229))</f>
        <v>8.508767123</v>
      </c>
      <c r="W248" s="124">
        <f t="array" ref="W248">INDIRECT("Update"&amp;Projections!$AG$17&amp;"!L"&amp;ROW(B229))</f>
        <v>0.78</v>
      </c>
      <c r="X248" s="124">
        <f t="array" ref="X248">INDIRECT("Update"&amp;Projections!$AG$17&amp;"!N"&amp;ROW(B229))</f>
        <v>4.41</v>
      </c>
      <c r="Y248" s="124">
        <f t="array" ref="Y248">INDIRECT("Update"&amp;Projections!$AG$17&amp;"!O"&amp;ROW(B229))</f>
        <v>1.126986301</v>
      </c>
      <c r="Z248" s="124">
        <f t="array" ref="Z248">INDIRECT("Update"&amp;Projections!$AG$17&amp;"!P"&amp;ROW(B229))</f>
        <v>0.6369863014</v>
      </c>
      <c r="AA248" s="124">
        <f t="array" ref="AA248">INDIRECT("Update"&amp;Projections!$AG$17&amp;"!Q"&amp;ROW(B229))</f>
        <v>1.029041096</v>
      </c>
      <c r="AB248" s="180">
        <f t="array" ref="AB248">INDIRECT("Update"&amp;Projections!$AG$17&amp;"!I"&amp;ROW(B229))</f>
        <v>0.4412859191</v>
      </c>
      <c r="AC248" s="180">
        <f t="array" ref="AC248">INDIRECT("Update"&amp;Projections!$AG$17&amp;"!K"&amp;ROW(B229))</f>
        <v>0.7079967323</v>
      </c>
      <c r="AD248" s="124">
        <f t="array" ref="AD248">INDIRECT("Update"&amp;Projections!$AG$17&amp;"!R"&amp;ROW(B229))</f>
        <v>1.273972603</v>
      </c>
      <c r="AE248" s="124">
        <f t="shared" si="3"/>
        <v>-1.618677528</v>
      </c>
      <c r="AF248" s="124">
        <f t="shared" si="4"/>
        <v>-0.9608481115</v>
      </c>
      <c r="AG248" s="124">
        <f t="shared" si="5"/>
        <v>-0.6557910405</v>
      </c>
      <c r="AH248" s="124">
        <f t="shared" si="6"/>
        <v>-1.274469978</v>
      </c>
      <c r="AI248" s="124">
        <f t="shared" si="7"/>
        <v>-1.121563555</v>
      </c>
      <c r="AJ248" s="124">
        <f t="shared" si="8"/>
        <v>0.5000892407</v>
      </c>
      <c r="AK248" s="124">
        <f t="shared" si="9"/>
        <v>-0.4912081457</v>
      </c>
      <c r="AL248" s="124">
        <f t="shared" si="10"/>
        <v>-0.4611711442</v>
      </c>
      <c r="AM248" s="124">
        <f t="shared" si="11"/>
        <v>0</v>
      </c>
      <c r="AN248" s="183">
        <f t="shared" si="12"/>
        <v>-1.618677528</v>
      </c>
      <c r="AO248" s="183">
        <f t="shared" si="13"/>
        <v>-2.893147506</v>
      </c>
      <c r="AP248" s="183">
        <f t="array" ref="AP248">INDIRECT("Update"&amp;Projections!$AG$17&amp;"!S"&amp;ROW(B229))</f>
        <v>7.546438356</v>
      </c>
      <c r="AQ248" s="183">
        <f t="array" ref="AQ248">INDIRECT("Update"&amp;Projections!$AG$17&amp;"!T"&amp;ROW(B229))</f>
        <v>1.509178082</v>
      </c>
    </row>
    <row r="249">
      <c r="A249" s="40" t="str">
        <f>IF(UpdateHashtag!C247="",ROW(UpdateHashtag!C247),UpdateHashtag!C247)</f>
        <v>Carlton Carrington</v>
      </c>
      <c r="B249" s="41">
        <f>IF(TYPE($A249)=1,"",(UpdateHashtag!M247-B$1)/B$2)</f>
        <v>-1.169618755</v>
      </c>
      <c r="C249" s="41">
        <f>IF(TYPE($A249)=1,"",(UpdateHashtag!L247-C$1)/C$2)</f>
        <v>-0.1474667095</v>
      </c>
      <c r="D249" s="41">
        <f>IF(TYPE($A249)=1,"",(UpdateHashtag!N247-D$1)/D$2)</f>
        <v>-0.7772822094</v>
      </c>
      <c r="E249" s="41">
        <f>IF(TYPE($A249)=1,"",(UpdateHashtag!O247-E$1)/E$2)</f>
        <v>-0.2876209927</v>
      </c>
      <c r="F249" s="41">
        <f>IF(TYPE($A249)=1,"",(UpdateHashtag!P247-F$1)/F$2)</f>
        <v>-1.574757169</v>
      </c>
      <c r="G249" s="41">
        <f>IF(TYPE($A249)=1,"",(UpdateHashtag!Q247-G$1)/G$2)</f>
        <v>-0.978628106</v>
      </c>
      <c r="H249" s="41">
        <f>IF(TYPE($A249)=1,"",(UpdateHashtag!I247-H$1)/H$2*I249/$I$1)</f>
        <v>-0.9221474687</v>
      </c>
      <c r="I249" s="41">
        <f>UpdateHashtag!S247</f>
        <v>9.3</v>
      </c>
      <c r="J249" s="53">
        <f>IF(TYPE($A249)=1,"",(UpdateHashtag!K247-J$1)/J$2*K249/$K$1)</f>
        <v>-0.07713280754</v>
      </c>
      <c r="K249" s="55">
        <f>UpdateHashtag!T247</f>
        <v>2.2</v>
      </c>
      <c r="L249" s="41">
        <f>IF(TYPE($A249)=1,"",-(UpdateHashtag!R247-L$1)/L$2)</f>
        <v>0.2466595634</v>
      </c>
      <c r="N249" s="5">
        <v>229.0</v>
      </c>
      <c r="O249" s="170" t="str">
        <f t="array" ref="O249">INDIRECT("Update"&amp;Projections!$AG$17&amp;"!B"&amp;ROW(B230))</f>
        <v/>
      </c>
      <c r="P249" s="172" t="str">
        <f t="array" ref="P249">INDIRECT("Update"&amp;Projections!$AG$17&amp;"!C"&amp;ROW(B230))</f>
        <v>Josh Green</v>
      </c>
      <c r="Q249" s="170">
        <f>UpdateHashtag!F287</f>
        <v>22</v>
      </c>
      <c r="R249" s="177" t="str">
        <f>IF(UpdateHashtag!D287="",ROW(UpdateHashtag!D287),UpdateHashtag!D287)</f>
        <v>C</v>
      </c>
      <c r="S249" s="124">
        <f t="shared" si="1"/>
        <v>-6.044965738</v>
      </c>
      <c r="T249" s="124">
        <f>SUM(AE249:AM249)-IFERROR(IFS(Projections!$I$17,AN249,Projections!$J$17,AO249),"")</f>
        <v>-6.224495079</v>
      </c>
      <c r="U249" s="124">
        <f t="shared" si="2"/>
        <v>-0.1795293409</v>
      </c>
      <c r="V249" s="124">
        <f t="array" ref="V249">INDIRECT("Update"&amp;Projections!$AG$17&amp;"!M"&amp;ROW(B230))</f>
        <v>8.996176471</v>
      </c>
      <c r="W249" s="124">
        <f t="array" ref="W249">INDIRECT("Update"&amp;Projections!$AG$17&amp;"!L"&amp;ROW(B230))</f>
        <v>1.280147059</v>
      </c>
      <c r="X249" s="124">
        <f t="array" ref="X249">INDIRECT("Update"&amp;Projections!$AG$17&amp;"!N"&amp;ROW(B230))</f>
        <v>3.038529412</v>
      </c>
      <c r="Y249" s="124">
        <f t="array" ref="Y249">INDIRECT("Update"&amp;Projections!$AG$17&amp;"!O"&amp;ROW(B230))</f>
        <v>2.055588235</v>
      </c>
      <c r="Z249" s="124">
        <f t="array" ref="Z249">INDIRECT("Update"&amp;Projections!$AG$17&amp;"!P"&amp;ROW(B230))</f>
        <v>0.7277941176</v>
      </c>
      <c r="AA249" s="124">
        <f t="array" ref="AA249">INDIRECT("Update"&amp;Projections!$AG$17&amp;"!Q"&amp;ROW(B230))</f>
        <v>0.1023529412</v>
      </c>
      <c r="AB249" s="180">
        <f t="array" ref="AB249">INDIRECT("Update"&amp;Projections!$AG$17&amp;"!I"&amp;ROW(B230))</f>
        <v>0.5038781163</v>
      </c>
      <c r="AC249" s="180">
        <f t="array" ref="AC249">INDIRECT("Update"&amp;Projections!$AG$17&amp;"!K"&amp;ROW(B230))</f>
        <v>0.7239787353</v>
      </c>
      <c r="AD249" s="124">
        <f t="array" ref="AD249">INDIRECT("Update"&amp;Projections!$AG$17&amp;"!R"&amp;ROW(B230))</f>
        <v>1.024705882</v>
      </c>
      <c r="AE249" s="124">
        <f t="shared" si="3"/>
        <v>-1.530819245</v>
      </c>
      <c r="AF249" s="124">
        <f t="shared" si="4"/>
        <v>-0.4647379699</v>
      </c>
      <c r="AG249" s="124">
        <f t="shared" si="5"/>
        <v>-1.193279959</v>
      </c>
      <c r="AH249" s="124">
        <f t="shared" si="6"/>
        <v>-0.8527561724</v>
      </c>
      <c r="AI249" s="124">
        <f t="shared" si="7"/>
        <v>-0.8211428416</v>
      </c>
      <c r="AJ249" s="124">
        <f t="shared" si="8"/>
        <v>-1.15279607</v>
      </c>
      <c r="AK249" s="124">
        <f t="shared" si="9"/>
        <v>0.05323412754</v>
      </c>
      <c r="AL249" s="124">
        <f t="shared" si="10"/>
        <v>-0.2621969486</v>
      </c>
      <c r="AM249" s="124">
        <f t="shared" si="11"/>
        <v>0</v>
      </c>
      <c r="AN249" s="183">
        <f t="shared" si="12"/>
        <v>-1.530819245</v>
      </c>
      <c r="AO249" s="183">
        <f t="shared" si="13"/>
        <v>-2.724099204</v>
      </c>
      <c r="AP249" s="183">
        <f t="array" ref="AP249">INDIRECT("Update"&amp;Projections!$AG$17&amp;"!S"&amp;ROW(B230))</f>
        <v>6.901470588</v>
      </c>
      <c r="AQ249" s="183">
        <f t="array" ref="AQ249">INDIRECT("Update"&amp;Projections!$AG$17&amp;"!T"&amp;ROW(B230))</f>
        <v>1.051176471</v>
      </c>
    </row>
    <row r="250">
      <c r="A250" s="40" t="str">
        <f>IF(UpdateHashtag!C248="",ROW(UpdateHashtag!C248),UpdateHashtag!C248)</f>
        <v>Bones Hyland</v>
      </c>
      <c r="B250" s="41">
        <f>IF(TYPE($A250)=1,"",(UpdateHashtag!M248-B$1)/B$2)</f>
        <v>-1.313823266</v>
      </c>
      <c r="C250" s="41">
        <f>IF(TYPE($A250)=1,"",(UpdateHashtag!L248-C$1)/C$2)</f>
        <v>0.05091899834</v>
      </c>
      <c r="D250" s="41">
        <f>IF(TYPE($A250)=1,"",(UpdateHashtag!N248-D$1)/D$2)</f>
        <v>-1.561096202</v>
      </c>
      <c r="E250" s="41">
        <f>IF(TYPE($A250)=1,"",(UpdateHashtag!O248-E$1)/E$2)</f>
        <v>-0.4238625155</v>
      </c>
      <c r="F250" s="41">
        <f>IF(TYPE($A250)=1,"",(UpdateHashtag!P248-F$1)/F$2)</f>
        <v>-0.9130944927</v>
      </c>
      <c r="G250" s="41">
        <f>IF(TYPE($A250)=1,"",(UpdateHashtag!Q248-G$1)/G$2)</f>
        <v>-0.978628106</v>
      </c>
      <c r="H250" s="41">
        <f>IF(TYPE($A250)=1,"",(UpdateHashtag!I248-H$1)/H$2*I250/$I$1)</f>
        <v>-1.094150365</v>
      </c>
      <c r="I250" s="41">
        <f>UpdateHashtag!S248</f>
        <v>9.2</v>
      </c>
      <c r="J250" s="53">
        <f>IF(TYPE($A250)=1,"",(UpdateHashtag!K248-J$1)/J$2*K250/$K$1)</f>
        <v>0.1673201566</v>
      </c>
      <c r="K250" s="55">
        <f>UpdateHashtag!T248</f>
        <v>1.4</v>
      </c>
      <c r="L250" s="41">
        <f>IF(TYPE($A250)=1,"",-(UpdateHashtag!R248-L$1)/L$2)</f>
        <v>0.3458524173</v>
      </c>
      <c r="N250" s="112">
        <v>230.0</v>
      </c>
      <c r="O250" s="170" t="str">
        <f t="array" ref="O250">INDIRECT("Update"&amp;Projections!$AG$17&amp;"!B"&amp;ROW(B231))</f>
        <v>#N/A</v>
      </c>
      <c r="P250" s="172" t="str">
        <f t="array" ref="P250">INDIRECT("Update"&amp;Projections!$AG$17&amp;"!C"&amp;ROW(B231))</f>
        <v>Robert Williams</v>
      </c>
      <c r="Q250" s="170">
        <f>UpdateHashtag!F289</f>
        <v>48</v>
      </c>
      <c r="R250" s="177" t="str">
        <f>IF(UpdateHashtag!D289="",ROW(UpdateHashtag!D289),UpdateHashtag!D289)</f>
        <v>SF</v>
      </c>
      <c r="S250" s="124">
        <f t="shared" si="1"/>
        <v>-6.362270073</v>
      </c>
      <c r="T250" s="124">
        <f>SUM(AE250:AM250)-IFERROR(IFS(Projections!$I$17,AN250,Projections!$J$17,AO250),"")</f>
        <v>-6.615845582</v>
      </c>
      <c r="U250" s="124">
        <f t="shared" si="2"/>
        <v>-0.2535755096</v>
      </c>
      <c r="V250" s="124">
        <f t="array" ref="V250">INDIRECT("Update"&amp;Projections!$AG$17&amp;"!M"&amp;ROW(B231))</f>
        <v>4.931666667</v>
      </c>
      <c r="W250" s="124">
        <f t="array" ref="W250">INDIRECT("Update"&amp;Projections!$AG$17&amp;"!L"&amp;ROW(B231))</f>
        <v>0</v>
      </c>
      <c r="X250" s="124">
        <f t="array" ref="X250">INDIRECT("Update"&amp;Projections!$AG$17&amp;"!N"&amp;ROW(B231))</f>
        <v>5.28</v>
      </c>
      <c r="Y250" s="124">
        <f t="array" ref="Y250">INDIRECT("Update"&amp;Projections!$AG$17&amp;"!O"&amp;ROW(B231))</f>
        <v>0.8911111111</v>
      </c>
      <c r="Z250" s="124">
        <f t="array" ref="Z250">INDIRECT("Update"&amp;Projections!$AG$17&amp;"!P"&amp;ROW(B231))</f>
        <v>0.4747222222</v>
      </c>
      <c r="AA250" s="124">
        <f t="array" ref="AA250">INDIRECT("Update"&amp;Projections!$AG$17&amp;"!Q"&amp;ROW(B231))</f>
        <v>0.9238888889</v>
      </c>
      <c r="AB250" s="180">
        <f t="array" ref="AB250">INDIRECT("Update"&amp;Projections!$AG$17&amp;"!I"&amp;ROW(B231))</f>
        <v>0.7</v>
      </c>
      <c r="AC250" s="180">
        <f t="array" ref="AC250">INDIRECT("Update"&amp;Projections!$AG$17&amp;"!K"&amp;ROW(B231))</f>
        <v>0.6580331849</v>
      </c>
      <c r="AD250" s="124">
        <f t="array" ref="AD250">INDIRECT("Update"&amp;Projections!$AG$17&amp;"!R"&amp;ROW(B231))</f>
        <v>0.7261111111</v>
      </c>
      <c r="AE250" s="124">
        <f t="shared" si="3"/>
        <v>-2.263470056</v>
      </c>
      <c r="AF250" s="124">
        <f t="shared" si="4"/>
        <v>-1.734552372</v>
      </c>
      <c r="AG250" s="124">
        <f t="shared" si="5"/>
        <v>-0.3148319537</v>
      </c>
      <c r="AH250" s="124">
        <f t="shared" si="6"/>
        <v>-1.381589961</v>
      </c>
      <c r="AI250" s="124">
        <f t="shared" si="7"/>
        <v>-1.658383979</v>
      </c>
      <c r="AJ250" s="124">
        <f t="shared" si="8"/>
        <v>0.3125347354</v>
      </c>
      <c r="AK250" s="124">
        <f t="shared" si="9"/>
        <v>0.7546715969</v>
      </c>
      <c r="AL250" s="124">
        <f t="shared" si="10"/>
        <v>-0.330223593</v>
      </c>
      <c r="AM250" s="124">
        <f t="shared" si="11"/>
        <v>0</v>
      </c>
      <c r="AN250" s="183">
        <f t="shared" si="12"/>
        <v>-2.263470056</v>
      </c>
      <c r="AO250" s="183">
        <f t="shared" si="13"/>
        <v>-3.998022428</v>
      </c>
      <c r="AP250" s="183">
        <f t="array" ref="AP250">INDIRECT("Update"&amp;Projections!$AG$17&amp;"!S"&amp;ROW(B231))</f>
        <v>3.2</v>
      </c>
      <c r="AQ250" s="183">
        <f t="array" ref="AQ250">INDIRECT("Update"&amp;Projections!$AG$17&amp;"!T"&amp;ROW(B231))</f>
        <v>0.6863888889</v>
      </c>
    </row>
    <row r="251">
      <c r="A251" s="40" t="str">
        <f>IF(UpdateHashtag!C249="",ROW(UpdateHashtag!C249),UpdateHashtag!C249)</f>
        <v>GG Jackson II</v>
      </c>
      <c r="B251" s="41">
        <f>IF(TYPE($A251)=1,"",(UpdateHashtag!M249-B$1)/B$2)</f>
        <v>-0.827133041</v>
      </c>
      <c r="C251" s="41">
        <f>IF(TYPE($A251)=1,"",(UpdateHashtag!L249-C$1)/C$2)</f>
        <v>0.1501118522</v>
      </c>
      <c r="D251" s="41">
        <f>IF(TYPE($A251)=1,"",(UpdateHashtag!N249-D$1)/D$2)</f>
        <v>-0.9732357076</v>
      </c>
      <c r="E251" s="41">
        <f>IF(TYPE($A251)=1,"",(UpdateHashtag!O249-E$1)/E$2)</f>
        <v>-1.286725494</v>
      </c>
      <c r="F251" s="41">
        <f>IF(TYPE($A251)=1,"",(UpdateHashtag!P249-F$1)/F$2)</f>
        <v>-1.574757169</v>
      </c>
      <c r="G251" s="41">
        <f>IF(TYPE($A251)=1,"",(UpdateHashtag!Q249-G$1)/G$2)</f>
        <v>-0.6218985413</v>
      </c>
      <c r="H251" s="41">
        <f>IF(TYPE($A251)=1,"",(UpdateHashtag!I249-H$1)/H$2*I251/$I$1)</f>
        <v>-0.8376685989</v>
      </c>
      <c r="I251" s="41">
        <f>UpdateHashtag!S249</f>
        <v>10.4</v>
      </c>
      <c r="J251" s="53">
        <f>IF(TYPE($A251)=1,"",(UpdateHashtag!K249-J$1)/J$2*K251/$K$1)</f>
        <v>-0.4129394575</v>
      </c>
      <c r="K251" s="55">
        <f>UpdateHashtag!T249</f>
        <v>2.8</v>
      </c>
      <c r="L251" s="41">
        <f>IF(TYPE($A251)=1,"",-(UpdateHashtag!R249-L$1)/L$2)</f>
        <v>0.5442381251</v>
      </c>
      <c r="N251" s="112">
        <v>231.0</v>
      </c>
      <c r="O251" s="170">
        <f t="array" ref="O251">INDIRECT("Update"&amp;Projections!$AG$17&amp;"!B"&amp;ROW(B232))</f>
        <v>142.2</v>
      </c>
      <c r="P251" s="172" t="str">
        <f t="array" ref="P251">INDIRECT("Update"&amp;Projections!$AG$17&amp;"!C"&amp;ROW(B232))</f>
        <v>Harrison Barnes</v>
      </c>
      <c r="Q251" s="170">
        <f>UpdateHashtag!F300</f>
        <v>60</v>
      </c>
      <c r="R251" s="177" t="str">
        <f>IF(UpdateHashtag!D300="",ROW(UpdateHashtag!D300),UpdateHashtag!D300)</f>
        <v>SG</v>
      </c>
      <c r="S251" s="124">
        <f t="shared" si="1"/>
        <v>-5.957974357</v>
      </c>
      <c r="T251" s="124">
        <f>SUM(AE251:AM251)-IFERROR(IFS(Projections!$I$17,AN251,Projections!$J$17,AO251),"")</f>
        <v>-6.217831723</v>
      </c>
      <c r="U251" s="124">
        <f t="shared" si="2"/>
        <v>-0.2598573658</v>
      </c>
      <c r="V251" s="124">
        <f t="array" ref="V251">INDIRECT("Update"&amp;Projections!$AG$17&amp;"!M"&amp;ROW(B232))</f>
        <v>11.44194805</v>
      </c>
      <c r="W251" s="124">
        <f t="array" ref="W251">INDIRECT("Update"&amp;Projections!$AG$17&amp;"!L"&amp;ROW(B232))</f>
        <v>1.558181818</v>
      </c>
      <c r="X251" s="124">
        <f t="array" ref="X251">INDIRECT("Update"&amp;Projections!$AG$17&amp;"!N"&amp;ROW(B232))</f>
        <v>3.441688312</v>
      </c>
      <c r="Y251" s="124">
        <f t="array" ref="Y251">INDIRECT("Update"&amp;Projections!$AG$17&amp;"!O"&amp;ROW(B232))</f>
        <v>1.160909091</v>
      </c>
      <c r="Z251" s="124">
        <f t="array" ref="Z251">INDIRECT("Update"&amp;Projections!$AG$17&amp;"!P"&amp;ROW(B232))</f>
        <v>0.5822077922</v>
      </c>
      <c r="AA251" s="124">
        <f t="array" ref="AA251">INDIRECT("Update"&amp;Projections!$AG$17&amp;"!Q"&amp;ROW(B232))</f>
        <v>0.1168831169</v>
      </c>
      <c r="AB251" s="180">
        <f t="array" ref="AB251">INDIRECT("Update"&amp;Projections!$AG$17&amp;"!I"&amp;ROW(B232))</f>
        <v>0.4588898783</v>
      </c>
      <c r="AC251" s="180">
        <f t="array" ref="AC251">INDIRECT("Update"&amp;Projections!$AG$17&amp;"!K"&amp;ROW(B232))</f>
        <v>0.8170103093</v>
      </c>
      <c r="AD251" s="124">
        <f t="array" ref="AD251">INDIRECT("Update"&amp;Projections!$AG$17&amp;"!R"&amp;ROW(B232))</f>
        <v>0.7007792208</v>
      </c>
      <c r="AE251" s="124">
        <f t="shared" si="3"/>
        <v>-1.089955127</v>
      </c>
      <c r="AF251" s="124">
        <f t="shared" si="4"/>
        <v>-0.1889473576</v>
      </c>
      <c r="AG251" s="124">
        <f t="shared" si="5"/>
        <v>-1.035279166</v>
      </c>
      <c r="AH251" s="124">
        <f t="shared" si="6"/>
        <v>-1.259064336</v>
      </c>
      <c r="AI251" s="124">
        <f t="shared" si="7"/>
        <v>-1.30278803</v>
      </c>
      <c r="AJ251" s="124">
        <f t="shared" si="8"/>
        <v>-1.126879354</v>
      </c>
      <c r="AK251" s="124">
        <f t="shared" si="9"/>
        <v>-0.3904114459</v>
      </c>
      <c r="AL251" s="124">
        <f t="shared" si="10"/>
        <v>0.1754930921</v>
      </c>
      <c r="AM251" s="124">
        <f t="shared" si="11"/>
        <v>0</v>
      </c>
      <c r="AN251" s="183">
        <f t="shared" si="12"/>
        <v>-1.30278803</v>
      </c>
      <c r="AO251" s="183">
        <f t="shared" si="13"/>
        <v>-2.561852366</v>
      </c>
      <c r="AP251" s="183">
        <f t="array" ref="AP251">INDIRECT("Update"&amp;Projections!$AG$17&amp;"!S"&amp;ROW(B232))</f>
        <v>8.750649351</v>
      </c>
      <c r="AQ251" s="183">
        <f t="array" ref="AQ251">INDIRECT("Update"&amp;Projections!$AG$17&amp;"!T"&amp;ROW(B232))</f>
        <v>2.267532468</v>
      </c>
    </row>
    <row r="252">
      <c r="A252" s="40" t="str">
        <f>IF(UpdateHashtag!C250="",ROW(UpdateHashtag!C250),UpdateHashtag!C250)</f>
        <v>Neemias Queta</v>
      </c>
      <c r="B252" s="41">
        <f>IF(TYPE($A252)=1,"",(UpdateHashtag!M250-B$1)/B$2)</f>
        <v>-2.142999204</v>
      </c>
      <c r="C252" s="41">
        <f>IF(TYPE($A252)=1,"",(UpdateHashtag!L250-C$1)/C$2)</f>
        <v>-1.734552372</v>
      </c>
      <c r="D252" s="41">
        <f>IF(TYPE($A252)=1,"",(UpdateHashtag!N250-D$1)/D$2)</f>
        <v>-0.6205194109</v>
      </c>
      <c r="E252" s="41">
        <f>IF(TYPE($A252)=1,"",(UpdateHashtag!O250-E$1)/E$2)</f>
        <v>-1.468380857</v>
      </c>
      <c r="F252" s="41">
        <f>IF(TYPE($A252)=1,"",(UpdateHashtag!P250-F$1)/F$2)</f>
        <v>-1.905588506</v>
      </c>
      <c r="G252" s="41">
        <f>IF(TYPE($A252)=1,"",(UpdateHashtag!Q250-G$1)/G$2)</f>
        <v>0.09156058829</v>
      </c>
      <c r="H252" s="41">
        <f>IF(TYPE($A252)=1,"",(UpdateHashtag!I250-H$1)/H$2*I252/$I$1)</f>
        <v>0.6619117925</v>
      </c>
      <c r="I252" s="41">
        <f>UpdateHashtag!S250</f>
        <v>3.8</v>
      </c>
      <c r="J252" s="53">
        <f>IF(TYPE($A252)=1,"",(UpdateHashtag!K250-J$1)/J$2*K252/$K$1)</f>
        <v>-0.4285234042</v>
      </c>
      <c r="K252" s="55">
        <f>UpdateHashtag!T250</f>
        <v>1</v>
      </c>
      <c r="L252" s="41">
        <f>IF(TYPE($A252)=1,"",-(UpdateHashtag!R250-L$1)/L$2)</f>
        <v>1.238588102</v>
      </c>
      <c r="N252" s="5">
        <v>232.0</v>
      </c>
      <c r="O252" s="170" t="str">
        <f t="array" ref="O252">INDIRECT("Update"&amp;Projections!$AG$17&amp;"!B"&amp;ROW(B233))</f>
        <v/>
      </c>
      <c r="P252" s="172" t="str">
        <f t="array" ref="P252">INDIRECT("Update"&amp;Projections!$AG$17&amp;"!C"&amp;ROW(B233))</f>
        <v>Brice Sensabaugh</v>
      </c>
      <c r="Q252" s="170">
        <f>UpdateHashtag!F296</f>
        <v>20</v>
      </c>
      <c r="R252" s="177" t="str">
        <f>IF(UpdateHashtag!D296="",ROW(UpdateHashtag!D296),UpdateHashtag!D296)</f>
        <v>PG,SG</v>
      </c>
      <c r="S252" s="124">
        <f t="shared" si="1"/>
        <v>-6.105050827</v>
      </c>
      <c r="T252" s="124">
        <f>SUM(AE252:AM252)-IFERROR(IFS(Projections!$I$17,AN252,Projections!$J$17,AO252),"")</f>
        <v>-6.188049475</v>
      </c>
      <c r="U252" s="124">
        <f t="shared" si="2"/>
        <v>-0.08299864808</v>
      </c>
      <c r="V252" s="124">
        <f t="array" ref="V252">INDIRECT("Update"&amp;Projections!$AG$17&amp;"!M"&amp;ROW(B233))</f>
        <v>10.30985294</v>
      </c>
      <c r="W252" s="124">
        <f t="array" ref="W252">INDIRECT("Update"&amp;Projections!$AG$17&amp;"!L"&amp;ROW(B233))</f>
        <v>1.525</v>
      </c>
      <c r="X252" s="124">
        <f t="array" ref="X252">INDIRECT("Update"&amp;Projections!$AG$17&amp;"!N"&amp;ROW(B233))</f>
        <v>3.535</v>
      </c>
      <c r="Y252" s="124">
        <f t="array" ref="Y252">INDIRECT("Update"&amp;Projections!$AG$17&amp;"!O"&amp;ROW(B233))</f>
        <v>1.858970588</v>
      </c>
      <c r="Z252" s="124">
        <f t="array" ref="Z252">INDIRECT("Update"&amp;Projections!$AG$17&amp;"!P"&amp;ROW(B233))</f>
        <v>0.4927941176</v>
      </c>
      <c r="AA252" s="124">
        <f t="array" ref="AA252">INDIRECT("Update"&amp;Projections!$AG$17&amp;"!Q"&amp;ROW(B233))</f>
        <v>0.2288235294</v>
      </c>
      <c r="AB252" s="180">
        <f t="array" ref="AB252">INDIRECT("Update"&amp;Projections!$AG$17&amp;"!I"&amp;ROW(B233))</f>
        <v>0.4211694143</v>
      </c>
      <c r="AC252" s="180">
        <f t="array" ref="AC252">INDIRECT("Update"&amp;Projections!$AG$17&amp;"!K"&amp;ROW(B233))</f>
        <v>0.8781121967</v>
      </c>
      <c r="AD252" s="124">
        <f t="array" ref="AD252">INDIRECT("Update"&amp;Projections!$AG$17&amp;"!R"&amp;ROW(B233))</f>
        <v>1.413970588</v>
      </c>
      <c r="AE252" s="124">
        <f t="shared" si="3"/>
        <v>-1.294021654</v>
      </c>
      <c r="AF252" s="124">
        <f t="shared" si="4"/>
        <v>-0.2218613499</v>
      </c>
      <c r="AG252" s="124">
        <f t="shared" si="5"/>
        <v>-0.9987096623</v>
      </c>
      <c r="AH252" s="124">
        <f t="shared" si="6"/>
        <v>-0.9420477979</v>
      </c>
      <c r="AI252" s="124">
        <f t="shared" si="7"/>
        <v>-1.598596486</v>
      </c>
      <c r="AJ252" s="124">
        <f t="shared" si="8"/>
        <v>-0.9272170805</v>
      </c>
      <c r="AK252" s="124">
        <f t="shared" si="9"/>
        <v>-0.7506956241</v>
      </c>
      <c r="AL252" s="124">
        <f t="shared" si="10"/>
        <v>0.5451001788</v>
      </c>
      <c r="AM252" s="124">
        <f t="shared" si="11"/>
        <v>0</v>
      </c>
      <c r="AN252" s="183">
        <f t="shared" si="12"/>
        <v>-1.598596486</v>
      </c>
      <c r="AO252" s="183">
        <f t="shared" si="13"/>
        <v>-2.892618139</v>
      </c>
      <c r="AP252" s="183">
        <f t="array" ref="AP252">INDIRECT("Update"&amp;Projections!$AG$17&amp;"!S"&amp;ROW(B233))</f>
        <v>8.483382353</v>
      </c>
      <c r="AQ252" s="183">
        <f t="array" ref="AQ252">INDIRECT("Update"&amp;Projections!$AG$17&amp;"!T"&amp;ROW(B233))</f>
        <v>1.866470588</v>
      </c>
    </row>
    <row r="253">
      <c r="A253" s="40" t="str">
        <f>IF(UpdateHashtag!C251="",ROW(UpdateHashtag!C251),UpdateHashtag!C251)</f>
        <v>Scotty Pippen Jr.</v>
      </c>
      <c r="B253" s="41">
        <f>IF(TYPE($A253)=1,"",(UpdateHashtag!M251-B$1)/B$2)</f>
        <v>-1.80051349</v>
      </c>
      <c r="C253" s="41">
        <f>IF(TYPE($A253)=1,"",(UpdateHashtag!L251-C$1)/C$2)</f>
        <v>-0.9410095407</v>
      </c>
      <c r="D253" s="41">
        <f>IF(TYPE($A253)=1,"",(UpdateHashtag!N251-D$1)/D$2)</f>
        <v>-1.639477601</v>
      </c>
      <c r="E253" s="41">
        <f>IF(TYPE($A253)=1,"",(UpdateHashtag!O251-E$1)/E$2)</f>
        <v>-0.6055178793</v>
      </c>
      <c r="F253" s="41">
        <f>IF(TYPE($A253)=1,"",(UpdateHashtag!P251-F$1)/F$2)</f>
        <v>0.0793995211</v>
      </c>
      <c r="G253" s="41">
        <f>IF(TYPE($A253)=1,"",(UpdateHashtag!Q251-G$1)/G$2)</f>
        <v>-0.8002633236</v>
      </c>
      <c r="H253" s="41">
        <f>IF(TYPE($A253)=1,"",(UpdateHashtag!I251-H$1)/H$2*I253/$I$1)</f>
        <v>-0.08628487194</v>
      </c>
      <c r="I253" s="41">
        <f>UpdateHashtag!S251</f>
        <v>5.6</v>
      </c>
      <c r="J253" s="53">
        <f>IF(TYPE($A253)=1,"",(UpdateHashtag!K251-J$1)/J$2*K253/$K$1)</f>
        <v>-0.4477960669</v>
      </c>
      <c r="K253" s="55">
        <f>UpdateHashtag!T251</f>
        <v>1.7</v>
      </c>
      <c r="L253" s="41">
        <f>IF(TYPE($A253)=1,"",-(UpdateHashtag!R251-L$1)/L$2)</f>
        <v>0.2466595634</v>
      </c>
      <c r="N253" s="5">
        <v>233.0</v>
      </c>
      <c r="O253" s="170">
        <f t="array" ref="O253">INDIRECT("Update"&amp;Projections!$AG$17&amp;"!B"&amp;ROW(B234))</f>
        <v>149.5</v>
      </c>
      <c r="P253" s="172" t="str">
        <f t="array" ref="P253">INDIRECT("Update"&amp;Projections!$AG$17&amp;"!C"&amp;ROW(B234))</f>
        <v>Bruce Brown</v>
      </c>
      <c r="Q253" s="170">
        <f>UpdateHashtag!F283</f>
        <v>54</v>
      </c>
      <c r="R253" s="177" t="str">
        <f>IF(UpdateHashtag!D283="",ROW(UpdateHashtag!D283),UpdateHashtag!D283)</f>
        <v>SF,PF</v>
      </c>
      <c r="S253" s="124">
        <f t="shared" si="1"/>
        <v>-6.296442608</v>
      </c>
      <c r="T253" s="124">
        <f>SUM(AE253:AM253)-IFERROR(IFS(Projections!$I$17,AN253,Projections!$J$17,AO253),"")</f>
        <v>-6.452556346</v>
      </c>
      <c r="U253" s="124">
        <f t="shared" si="2"/>
        <v>-0.1561137386</v>
      </c>
      <c r="V253" s="124">
        <f t="array" ref="V253">INDIRECT("Update"&amp;Projections!$AG$17&amp;"!M"&amp;ROW(B234))</f>
        <v>8.543478261</v>
      </c>
      <c r="W253" s="124">
        <f t="array" ref="W253">INDIRECT("Update"&amp;Projections!$AG$17&amp;"!L"&amp;ROW(B234))</f>
        <v>0.5657971014</v>
      </c>
      <c r="X253" s="124">
        <f t="array" ref="X253">INDIRECT("Update"&amp;Projections!$AG$17&amp;"!N"&amp;ROW(B234))</f>
        <v>2.903768116</v>
      </c>
      <c r="Y253" s="124">
        <f t="array" ref="Y253">INDIRECT("Update"&amp;Projections!$AG$17&amp;"!O"&amp;ROW(B234))</f>
        <v>2.177826087</v>
      </c>
      <c r="Z253" s="124">
        <f t="array" ref="Z253">INDIRECT("Update"&amp;Projections!$AG$17&amp;"!P"&amp;ROW(B234))</f>
        <v>0.7188405797</v>
      </c>
      <c r="AA253" s="124">
        <f t="array" ref="AA253">INDIRECT("Update"&amp;Projections!$AG$17&amp;"!Q"&amp;ROW(B234))</f>
        <v>0.292173913</v>
      </c>
      <c r="AB253" s="180">
        <f t="array" ref="AB253">INDIRECT("Update"&amp;Projections!$AG$17&amp;"!I"&amp;ROW(B234))</f>
        <v>0.4988607513</v>
      </c>
      <c r="AC253" s="180">
        <f t="array" ref="AC253">INDIRECT("Update"&amp;Projections!$AG$17&amp;"!K"&amp;ROW(B234))</f>
        <v>0.8</v>
      </c>
      <c r="AD253" s="124">
        <f t="array" ref="AD253">INDIRECT("Update"&amp;Projections!$AG$17&amp;"!R"&amp;ROW(B234))</f>
        <v>1.119130435</v>
      </c>
      <c r="AE253" s="124">
        <f t="shared" si="3"/>
        <v>-1.61242065</v>
      </c>
      <c r="AF253" s="124">
        <f t="shared" si="4"/>
        <v>-1.17332208</v>
      </c>
      <c r="AG253" s="124">
        <f t="shared" si="5"/>
        <v>-1.246093854</v>
      </c>
      <c r="AH253" s="124">
        <f t="shared" si="6"/>
        <v>-0.7972432687</v>
      </c>
      <c r="AI253" s="124">
        <f t="shared" si="7"/>
        <v>-0.8507639508</v>
      </c>
      <c r="AJ253" s="124">
        <f t="shared" si="8"/>
        <v>-0.8142223067</v>
      </c>
      <c r="AK253" s="124">
        <f t="shared" si="9"/>
        <v>0.01253885788</v>
      </c>
      <c r="AL253" s="124">
        <f t="shared" si="10"/>
        <v>0.02897090541</v>
      </c>
      <c r="AM253" s="124">
        <f t="shared" si="11"/>
        <v>0</v>
      </c>
      <c r="AN253" s="183">
        <f t="shared" si="12"/>
        <v>-1.61242065</v>
      </c>
      <c r="AO253" s="183">
        <f t="shared" si="13"/>
        <v>-2.858514504</v>
      </c>
      <c r="AP253" s="183">
        <f t="array" ref="AP253">INDIRECT("Update"&amp;Projections!$AG$17&amp;"!S"&amp;ROW(B234))</f>
        <v>6.678695652</v>
      </c>
      <c r="AQ253" s="183">
        <f t="array" ref="AQ253">INDIRECT("Update"&amp;Projections!$AG$17&amp;"!T"&amp;ROW(B234))</f>
        <v>1.642753623</v>
      </c>
    </row>
    <row r="254">
      <c r="A254" s="40" t="str">
        <f>IF(UpdateHashtag!C252="",ROW(UpdateHashtag!C252),UpdateHashtag!C252)</f>
        <v>Brice Sensabaugh</v>
      </c>
      <c r="B254" s="41">
        <f>IF(TYPE($A254)=1,"",(UpdateHashtag!M252-B$1)/B$2)</f>
        <v>-1.385925521</v>
      </c>
      <c r="C254" s="41">
        <f>IF(TYPE($A254)=1,"",(UpdateHashtag!L252-C$1)/C$2)</f>
        <v>-0.3458524173</v>
      </c>
      <c r="D254" s="41">
        <f>IF(TYPE($A254)=1,"",(UpdateHashtag!N252-D$1)/D$2)</f>
        <v>-0.7772822094</v>
      </c>
      <c r="E254" s="41">
        <f>IF(TYPE($A254)=1,"",(UpdateHashtag!O252-E$1)/E$2)</f>
        <v>-0.7871732431</v>
      </c>
      <c r="F254" s="41">
        <f>IF(TYPE($A254)=1,"",(UpdateHashtag!P252-F$1)/F$2)</f>
        <v>-1.574757169</v>
      </c>
      <c r="G254" s="41">
        <f>IF(TYPE($A254)=1,"",(UpdateHashtag!Q252-G$1)/G$2)</f>
        <v>-0.978628106</v>
      </c>
      <c r="H254" s="41">
        <f>IF(TYPE($A254)=1,"",(UpdateHashtag!I252-H$1)/H$2*I254/$I$1)</f>
        <v>-1.097757717</v>
      </c>
      <c r="I254" s="41">
        <f>UpdateHashtag!S252</f>
        <v>8.8</v>
      </c>
      <c r="J254" s="53">
        <f>IF(TYPE($A254)=1,"",(UpdateHashtag!K252-J$1)/J$2*K254/$K$1)</f>
        <v>0.6510899869</v>
      </c>
      <c r="K254" s="55">
        <f>UpdateHashtag!T252</f>
        <v>1.7</v>
      </c>
      <c r="L254" s="41">
        <f>IF(TYPE($A254)=1,"",-(UpdateHashtag!R252-L$1)/L$2)</f>
        <v>-0.1501118522</v>
      </c>
      <c r="N254" s="112">
        <v>234.0</v>
      </c>
      <c r="O254" s="170" t="str">
        <f t="array" ref="O254">INDIRECT("Update"&amp;Projections!$AG$17&amp;"!B"&amp;ROW(B235))</f>
        <v/>
      </c>
      <c r="P254" s="172" t="str">
        <f t="array" ref="P254">INDIRECT("Update"&amp;Projections!$AG$17&amp;"!C"&amp;ROW(B235))</f>
        <v>Jarace Walker</v>
      </c>
      <c r="Q254" s="170">
        <f>UpdateHashtag!F292</f>
        <v>64</v>
      </c>
      <c r="R254" s="177" t="str">
        <f>IF(UpdateHashtag!D292="",ROW(UpdateHashtag!D292),UpdateHashtag!D292)</f>
        <v>SG,SF</v>
      </c>
      <c r="S254" s="124">
        <f t="shared" si="1"/>
        <v>-6.073112266</v>
      </c>
      <c r="T254" s="124">
        <f>SUM(AE254:AM254)-IFERROR(IFS(Projections!$I$17,AN254,Projections!$J$17,AO254),"")</f>
        <v>-6.300049956</v>
      </c>
      <c r="U254" s="124">
        <f t="shared" si="2"/>
        <v>-0.2269376901</v>
      </c>
      <c r="V254" s="124">
        <f t="array" ref="V254">INDIRECT("Update"&amp;Projections!$AG$17&amp;"!M"&amp;ROW(B235))</f>
        <v>7.0025</v>
      </c>
      <c r="W254" s="124">
        <f t="array" ref="W254">INDIRECT("Update"&amp;Projections!$AG$17&amp;"!L"&amp;ROW(B235))</f>
        <v>1.174558824</v>
      </c>
      <c r="X254" s="124">
        <f t="array" ref="X254">INDIRECT("Update"&amp;Projections!$AG$17&amp;"!N"&amp;ROW(B235))</f>
        <v>3.514852941</v>
      </c>
      <c r="Y254" s="124">
        <f t="array" ref="Y254">INDIRECT("Update"&amp;Projections!$AG$17&amp;"!O"&amp;ROW(B235))</f>
        <v>1.832352941</v>
      </c>
      <c r="Z254" s="124">
        <f t="array" ref="Z254">INDIRECT("Update"&amp;Projections!$AG$17&amp;"!P"&amp;ROW(B235))</f>
        <v>0.6880882353</v>
      </c>
      <c r="AA254" s="124">
        <f t="array" ref="AA254">INDIRECT("Update"&amp;Projections!$AG$17&amp;"!Q"&amp;ROW(B235))</f>
        <v>0.5486764706</v>
      </c>
      <c r="AB254" s="180">
        <f t="array" ref="AB254">INDIRECT("Update"&amp;Projections!$AG$17&amp;"!I"&amp;ROW(B235))</f>
        <v>0.416664708</v>
      </c>
      <c r="AC254" s="180">
        <f t="array" ref="AC254">INDIRECT("Update"&amp;Projections!$AG$17&amp;"!K"&amp;ROW(B235))</f>
        <v>0.8009205984</v>
      </c>
      <c r="AD254" s="124">
        <f t="array" ref="AD254">INDIRECT("Update"&amp;Projections!$AG$17&amp;"!R"&amp;ROW(B235))</f>
        <v>0.8335294118</v>
      </c>
      <c r="AE254" s="124">
        <f t="shared" si="3"/>
        <v>-1.89019067</v>
      </c>
      <c r="AF254" s="124">
        <f t="shared" si="4"/>
        <v>-0.5694739536</v>
      </c>
      <c r="AG254" s="124">
        <f t="shared" si="5"/>
        <v>-1.006605436</v>
      </c>
      <c r="AH254" s="124">
        <f t="shared" si="6"/>
        <v>-0.9541358937</v>
      </c>
      <c r="AI254" s="124">
        <f t="shared" si="7"/>
        <v>-0.9525023432</v>
      </c>
      <c r="AJ254" s="124">
        <f t="shared" si="8"/>
        <v>-0.356712078</v>
      </c>
      <c r="AK254" s="124">
        <f t="shared" si="9"/>
        <v>-0.5864317271</v>
      </c>
      <c r="AL254" s="124">
        <f t="shared" si="10"/>
        <v>0.01600214588</v>
      </c>
      <c r="AM254" s="124">
        <f t="shared" si="11"/>
        <v>0</v>
      </c>
      <c r="AN254" s="183">
        <f t="shared" si="12"/>
        <v>-1.89019067</v>
      </c>
      <c r="AO254" s="183">
        <f t="shared" si="13"/>
        <v>-2.896796106</v>
      </c>
      <c r="AP254" s="183">
        <f t="array" ref="AP254">INDIRECT("Update"&amp;Projections!$AG$17&amp;"!S"&amp;ROW(B235))</f>
        <v>6.256617647</v>
      </c>
      <c r="AQ254" s="183">
        <f t="array" ref="AQ254">INDIRECT("Update"&amp;Projections!$AG$17&amp;"!T"&amp;ROW(B235))</f>
        <v>0.7667647059</v>
      </c>
    </row>
    <row r="255">
      <c r="A255" s="40" t="str">
        <f>IF(UpdateHashtag!C253="",ROW(UpdateHashtag!C253),UpdateHashtag!C253)</f>
        <v>Precious Achiuwa</v>
      </c>
      <c r="B255" s="41">
        <f>IF(TYPE($A255)=1,"",(UpdateHashtag!M253-B$1)/B$2)</f>
        <v>-1.764462362</v>
      </c>
      <c r="C255" s="41">
        <f>IF(TYPE($A255)=1,"",(UpdateHashtag!L253-C$1)/C$2)</f>
        <v>-1.337780956</v>
      </c>
      <c r="D255" s="41">
        <f>IF(TYPE($A255)=1,"",(UpdateHashtag!N253-D$1)/D$2)</f>
        <v>-0.1110403156</v>
      </c>
      <c r="E255" s="41">
        <f>IF(TYPE($A255)=1,"",(UpdateHashtag!O253-E$1)/E$2)</f>
        <v>-1.286725494</v>
      </c>
      <c r="F255" s="41">
        <f>IF(TYPE($A255)=1,"",(UpdateHashtag!P253-F$1)/F$2)</f>
        <v>-1.574757169</v>
      </c>
      <c r="G255" s="41">
        <f>IF(TYPE($A255)=1,"",(UpdateHashtag!Q253-G$1)/G$2)</f>
        <v>-0.08680419409</v>
      </c>
      <c r="H255" s="41">
        <f>IF(TYPE($A255)=1,"",(UpdateHashtag!I253-H$1)/H$2*I255/$I$1)</f>
        <v>-0.02341366582</v>
      </c>
      <c r="I255" s="41">
        <f>UpdateHashtag!S253</f>
        <v>6.2</v>
      </c>
      <c r="J255" s="53">
        <f>IF(TYPE($A255)=1,"",(UpdateHashtag!K253-J$1)/J$2*K255/$K$1)</f>
        <v>-0.800156269</v>
      </c>
      <c r="K255" s="55">
        <f>UpdateHashtag!T253</f>
        <v>1.7</v>
      </c>
      <c r="L255" s="41">
        <f>IF(TYPE($A255)=1,"",-(UpdateHashtag!R253-L$1)/L$2)</f>
        <v>0.7426238329</v>
      </c>
      <c r="N255" s="112">
        <v>235.0</v>
      </c>
      <c r="O255" s="170" t="str">
        <f t="array" ref="O255">INDIRECT("Update"&amp;Projections!$AG$17&amp;"!B"&amp;ROW(B236))</f>
        <v/>
      </c>
      <c r="P255" s="172" t="str">
        <f t="array" ref="P255">INDIRECT("Update"&amp;Projections!$AG$17&amp;"!C"&amp;ROW(B236))</f>
        <v>Neemias Queta</v>
      </c>
      <c r="Q255" s="170">
        <f>UpdateHashtag!F299</f>
        <v>50</v>
      </c>
      <c r="R255" s="177" t="str">
        <f>IF(UpdateHashtag!D299="",ROW(UpdateHashtag!D299),UpdateHashtag!D299)</f>
        <v>C</v>
      </c>
      <c r="S255" s="124">
        <f t="shared" si="1"/>
        <v>-6.441352034</v>
      </c>
      <c r="T255" s="124">
        <f>SUM(AE255:AM255)-IFERROR(IFS(Projections!$I$17,AN255,Projections!$J$17,AO255),"")</f>
        <v>-6.747392047</v>
      </c>
      <c r="U255" s="124">
        <f t="shared" si="2"/>
        <v>-0.3060400127</v>
      </c>
      <c r="V255" s="124">
        <f t="array" ref="V255">INDIRECT("Update"&amp;Projections!$AG$17&amp;"!M"&amp;ROW(B236))</f>
        <v>6.373181818</v>
      </c>
      <c r="W255" s="124">
        <f t="array" ref="W255">INDIRECT("Update"&amp;Projections!$AG$17&amp;"!L"&amp;ROW(B236))</f>
        <v>0</v>
      </c>
      <c r="X255" s="124">
        <f t="array" ref="X255">INDIRECT("Update"&amp;Projections!$AG$17&amp;"!N"&amp;ROW(B236))</f>
        <v>4.859090909</v>
      </c>
      <c r="Y255" s="124">
        <f t="array" ref="Y255">INDIRECT("Update"&amp;Projections!$AG$17&amp;"!O"&amp;ROW(B236))</f>
        <v>0.8922727273</v>
      </c>
      <c r="Z255" s="124">
        <f t="array" ref="Z255">INDIRECT("Update"&amp;Projections!$AG$17&amp;"!P"&amp;ROW(B236))</f>
        <v>0.4572727273</v>
      </c>
      <c r="AA255" s="124">
        <f t="array" ref="AA255">INDIRECT("Update"&amp;Projections!$AG$17&amp;"!Q"&amp;ROW(B236))</f>
        <v>0.9147727273</v>
      </c>
      <c r="AB255" s="180">
        <f t="array" ref="AB255">INDIRECT("Update"&amp;Projections!$AG$17&amp;"!I"&amp;ROW(B236))</f>
        <v>0.6439855447</v>
      </c>
      <c r="AC255" s="180">
        <f t="array" ref="AC255">INDIRECT("Update"&amp;Projections!$AG$17&amp;"!K"&amp;ROW(B236))</f>
        <v>0.6656626506</v>
      </c>
      <c r="AD255" s="124">
        <f t="array" ref="AD255">INDIRECT("Update"&amp;Projections!$AG$17&amp;"!R"&amp;ROW(B236))</f>
        <v>0.5145454545</v>
      </c>
      <c r="AE255" s="124">
        <f t="shared" si="3"/>
        <v>-2.003628821</v>
      </c>
      <c r="AF255" s="124">
        <f t="shared" si="4"/>
        <v>-1.734552372</v>
      </c>
      <c r="AG255" s="124">
        <f t="shared" si="5"/>
        <v>-0.4797891713</v>
      </c>
      <c r="AH255" s="124">
        <f t="shared" si="6"/>
        <v>-1.381062427</v>
      </c>
      <c r="AI255" s="124">
        <f t="shared" si="7"/>
        <v>-1.716112376</v>
      </c>
      <c r="AJ255" s="124">
        <f t="shared" si="8"/>
        <v>0.2962747136</v>
      </c>
      <c r="AK255" s="124">
        <f t="shared" si="9"/>
        <v>0.7513843792</v>
      </c>
      <c r="AL255" s="124">
        <f t="shared" si="10"/>
        <v>-0.479905972</v>
      </c>
      <c r="AM255" s="124">
        <f t="shared" si="11"/>
        <v>0</v>
      </c>
      <c r="AN255" s="183">
        <f t="shared" si="12"/>
        <v>-2.003628821</v>
      </c>
      <c r="AO255" s="183">
        <f t="shared" si="13"/>
        <v>-3.738181193</v>
      </c>
      <c r="AP255" s="183">
        <f t="array" ref="AP255">INDIRECT("Update"&amp;Projections!$AG$17&amp;"!S"&amp;ROW(B236))</f>
        <v>4.402272727</v>
      </c>
      <c r="AQ255" s="183">
        <f t="array" ref="AQ255">INDIRECT("Update"&amp;Projections!$AG$17&amp;"!T"&amp;ROW(B236))</f>
        <v>1.056363636</v>
      </c>
    </row>
    <row r="256">
      <c r="A256" s="40" t="str">
        <f>IF(UpdateHashtag!C254="",ROW(UpdateHashtag!C254),UpdateHashtag!C254)</f>
        <v>Marcus Sasser</v>
      </c>
      <c r="B256" s="41">
        <f>IF(TYPE($A256)=1,"",(UpdateHashtag!M254-B$1)/B$2)</f>
        <v>-1.656308979</v>
      </c>
      <c r="C256" s="41">
        <f>IF(TYPE($A256)=1,"",(UpdateHashtag!L254-C$1)/C$2)</f>
        <v>-0.4450452712</v>
      </c>
      <c r="D256" s="41">
        <f>IF(TYPE($A256)=1,"",(UpdateHashtag!N254-D$1)/D$2)</f>
        <v>-1.678668301</v>
      </c>
      <c r="E256" s="41">
        <f>IF(TYPE($A256)=1,"",(UpdateHashtag!O254-E$1)/E$2)</f>
        <v>-0.2422071517</v>
      </c>
      <c r="F256" s="41">
        <f>IF(TYPE($A256)=1,"",(UpdateHashtag!P254-F$1)/F$2)</f>
        <v>-1.243925831</v>
      </c>
      <c r="G256" s="41">
        <f>IF(TYPE($A256)=1,"",(UpdateHashtag!Q254-G$1)/G$2)</f>
        <v>-0.978628106</v>
      </c>
      <c r="H256" s="41">
        <f>IF(TYPE($A256)=1,"",(UpdateHashtag!I254-H$1)/H$2*I256/$I$1)</f>
        <v>-0.5879789204</v>
      </c>
      <c r="I256" s="41">
        <f>UpdateHashtag!S254</f>
        <v>7.3</v>
      </c>
      <c r="J256" s="53">
        <f>IF(TYPE($A256)=1,"",(UpdateHashtag!K254-J$1)/J$2*K256/$K$1)</f>
        <v>0.2435184894</v>
      </c>
      <c r="K256" s="55">
        <f>UpdateHashtag!T254</f>
        <v>0.9</v>
      </c>
      <c r="L256" s="41">
        <f>IF(TYPE($A256)=1,"",-(UpdateHashtag!R254-L$1)/L$2)</f>
        <v>0.4450452712</v>
      </c>
      <c r="N256" s="5">
        <v>236.0</v>
      </c>
      <c r="O256" s="170" t="str">
        <f t="array" ref="O256">INDIRECT("Update"&amp;Projections!$AG$17&amp;"!B"&amp;ROW(B237))</f>
        <v/>
      </c>
      <c r="P256" s="172" t="str">
        <f t="array" ref="P256">INDIRECT("Update"&amp;Projections!$AG$17&amp;"!C"&amp;ROW(B237))</f>
        <v>Jarred Vanderbilt</v>
      </c>
      <c r="Q256" s="170">
        <f>UpdateHashtag!F291</f>
        <v>64</v>
      </c>
      <c r="R256" s="177" t="str">
        <f>IF(UpdateHashtag!D291="",ROW(UpdateHashtag!D291),UpdateHashtag!D291)</f>
        <v>SG</v>
      </c>
      <c r="S256" s="124">
        <f t="shared" si="1"/>
        <v>-6.23518196</v>
      </c>
      <c r="T256" s="124">
        <f>SUM(AE256:AM256)-IFERROR(IFS(Projections!$I$17,AN256,Projections!$J$17,AO256),"")</f>
        <v>-6.461215879</v>
      </c>
      <c r="U256" s="124">
        <f t="shared" si="2"/>
        <v>-0.2260339189</v>
      </c>
      <c r="V256" s="124">
        <f t="array" ref="V256">INDIRECT("Update"&amp;Projections!$AG$17&amp;"!M"&amp;ROW(B237))</f>
        <v>5.075869565</v>
      </c>
      <c r="W256" s="124">
        <f t="array" ref="W256">INDIRECT("Update"&amp;Projections!$AG$17&amp;"!L"&amp;ROW(B237))</f>
        <v>0.2439130435</v>
      </c>
      <c r="X256" s="124">
        <f t="array" ref="X256">INDIRECT("Update"&amp;Projections!$AG$17&amp;"!N"&amp;ROW(B237))</f>
        <v>4.743043478</v>
      </c>
      <c r="Y256" s="124">
        <f t="array" ref="Y256">INDIRECT("Update"&amp;Projections!$AG$17&amp;"!O"&amp;ROW(B237))</f>
        <v>1.373695652</v>
      </c>
      <c r="Z256" s="124">
        <f t="array" ref="Z256">INDIRECT("Update"&amp;Projections!$AG$17&amp;"!P"&amp;ROW(B237))</f>
        <v>1.032826087</v>
      </c>
      <c r="AA256" s="124">
        <f t="array" ref="AA256">INDIRECT("Update"&amp;Projections!$AG$17&amp;"!Q"&amp;ROW(B237))</f>
        <v>0.19</v>
      </c>
      <c r="AB256" s="180">
        <f t="array" ref="AB256">INDIRECT("Update"&amp;Projections!$AG$17&amp;"!I"&amp;ROW(B237))</f>
        <v>0.5336433574</v>
      </c>
      <c r="AC256" s="180">
        <f t="array" ref="AC256">INDIRECT("Update"&amp;Projections!$AG$17&amp;"!K"&amp;ROW(B237))</f>
        <v>0.6959433601</v>
      </c>
      <c r="AD256" s="124">
        <f t="array" ref="AD256">INDIRECT("Update"&amp;Projections!$AG$17&amp;"!R"&amp;ROW(B237))</f>
        <v>0.837173913</v>
      </c>
      <c r="AE256" s="124">
        <f t="shared" si="3"/>
        <v>-2.23747667</v>
      </c>
      <c r="AF256" s="124">
        <f t="shared" si="4"/>
        <v>-1.492608063</v>
      </c>
      <c r="AG256" s="124">
        <f t="shared" si="5"/>
        <v>-0.5252689714</v>
      </c>
      <c r="AH256" s="124">
        <f t="shared" si="6"/>
        <v>-1.162429785</v>
      </c>
      <c r="AI256" s="124">
        <f t="shared" si="7"/>
        <v>0.1879985039</v>
      </c>
      <c r="AJ256" s="124">
        <f t="shared" si="8"/>
        <v>-0.9964645843</v>
      </c>
      <c r="AK256" s="124">
        <f t="shared" si="9"/>
        <v>0.1603032682</v>
      </c>
      <c r="AL256" s="124">
        <f t="shared" si="10"/>
        <v>-0.3952695765</v>
      </c>
      <c r="AM256" s="124">
        <f t="shared" si="11"/>
        <v>0</v>
      </c>
      <c r="AN256" s="183">
        <f t="shared" si="12"/>
        <v>-2.23747667</v>
      </c>
      <c r="AO256" s="183">
        <f t="shared" si="13"/>
        <v>-3.730084733</v>
      </c>
      <c r="AP256" s="183">
        <f t="array" ref="AP256">INDIRECT("Update"&amp;Projections!$AG$17&amp;"!S"&amp;ROW(B237))</f>
        <v>3.786521739</v>
      </c>
      <c r="AQ256" s="183">
        <f t="array" ref="AQ256">INDIRECT("Update"&amp;Projections!$AG$17&amp;"!T"&amp;ROW(B237))</f>
        <v>1.136086957</v>
      </c>
    </row>
    <row r="257">
      <c r="A257" s="40" t="str">
        <f>IF(UpdateHashtag!C255="",ROW(UpdateHashtag!C255),UpdateHashtag!C255)</f>
        <v>Trey Lyles</v>
      </c>
      <c r="B257" s="41">
        <f>IF(TYPE($A257)=1,"",(UpdateHashtag!M255-B$1)/B$2)</f>
        <v>-1.710385671</v>
      </c>
      <c r="C257" s="41">
        <f>IF(TYPE($A257)=1,"",(UpdateHashtag!L255-C$1)/C$2)</f>
        <v>-0.3458524173</v>
      </c>
      <c r="D257" s="41">
        <f>IF(TYPE($A257)=1,"",(UpdateHashtag!N255-D$1)/D$2)</f>
        <v>-0.6205194109</v>
      </c>
      <c r="E257" s="41">
        <f>IF(TYPE($A257)=1,"",(UpdateHashtag!O255-E$1)/E$2)</f>
        <v>-1.286725494</v>
      </c>
      <c r="F257" s="41">
        <f>IF(TYPE($A257)=1,"",(UpdateHashtag!P255-F$1)/F$2)</f>
        <v>-1.905588506</v>
      </c>
      <c r="G257" s="41">
        <f>IF(TYPE($A257)=1,"",(UpdateHashtag!Q255-G$1)/G$2)</f>
        <v>-0.6218985413</v>
      </c>
      <c r="H257" s="41">
        <f>IF(TYPE($A257)=1,"",(UpdateHashtag!I255-H$1)/H$2*I257/$I$1)</f>
        <v>-0.3036495166</v>
      </c>
      <c r="I257" s="41">
        <f>UpdateHashtag!S255</f>
        <v>5.9</v>
      </c>
      <c r="J257" s="53">
        <f>IF(TYPE($A257)=1,"",(UpdateHashtag!K255-J$1)/J$2*K257/$K$1)</f>
        <v>-0.1291682942</v>
      </c>
      <c r="K257" s="55">
        <f>UpdateHashtag!T255</f>
        <v>1.6</v>
      </c>
      <c r="L257" s="41">
        <f>IF(TYPE($A257)=1,"",-(UpdateHashtag!R255-L$1)/L$2)</f>
        <v>0.9410095407</v>
      </c>
      <c r="N257" s="5">
        <v>237.0</v>
      </c>
      <c r="O257" s="170" t="str">
        <f t="array" ref="O257">INDIRECT("Update"&amp;Projections!$AG$17&amp;"!B"&amp;ROW(B238))</f>
        <v/>
      </c>
      <c r="P257" s="172" t="str">
        <f t="array" ref="P257">INDIRECT("Update"&amp;Projections!$AG$17&amp;"!C"&amp;ROW(B238))</f>
        <v>Isaac Okoro</v>
      </c>
      <c r="Q257" s="170">
        <f>UpdateHashtag!F295</f>
        <v>50</v>
      </c>
      <c r="R257" s="177" t="str">
        <f>IF(UpdateHashtag!D295="",ROW(UpdateHashtag!D295),UpdateHashtag!D295)</f>
        <v>PG,SG</v>
      </c>
      <c r="S257" s="124">
        <f t="shared" si="1"/>
        <v>-6.121848577</v>
      </c>
      <c r="T257" s="124">
        <f>SUM(AE257:AM257)-IFERROR(IFS(Projections!$I$17,AN257,Projections!$J$17,AO257),"")</f>
        <v>-6.383224012</v>
      </c>
      <c r="U257" s="124">
        <f t="shared" si="2"/>
        <v>-0.2613754347</v>
      </c>
      <c r="V257" s="124">
        <f t="array" ref="V257">INDIRECT("Update"&amp;Projections!$AG$17&amp;"!M"&amp;ROW(B238))</f>
        <v>9.274109589</v>
      </c>
      <c r="W257" s="124">
        <f t="array" ref="W257">INDIRECT("Update"&amp;Projections!$AG$17&amp;"!L"&amp;ROW(B238))</f>
        <v>1.243150685</v>
      </c>
      <c r="X257" s="124">
        <f t="array" ref="X257">INDIRECT("Update"&amp;Projections!$AG$17&amp;"!N"&amp;ROW(B238))</f>
        <v>2.753972603</v>
      </c>
      <c r="Y257" s="124">
        <f t="array" ref="Y257">INDIRECT("Update"&amp;Projections!$AG$17&amp;"!O"&amp;ROW(B238))</f>
        <v>1.763287671</v>
      </c>
      <c r="Z257" s="124">
        <f t="array" ref="Z257">INDIRECT("Update"&amp;Projections!$AG$17&amp;"!P"&amp;ROW(B238))</f>
        <v>0.8032876712</v>
      </c>
      <c r="AA257" s="124">
        <f t="array" ref="AA257">INDIRECT("Update"&amp;Projections!$AG$17&amp;"!Q"&amp;ROW(B238))</f>
        <v>0.3442465753</v>
      </c>
      <c r="AB257" s="180">
        <f t="array" ref="AB257">INDIRECT("Update"&amp;Projections!$AG$17&amp;"!I"&amp;ROW(B238))</f>
        <v>0.4824420072</v>
      </c>
      <c r="AC257" s="180">
        <f t="array" ref="AC257">INDIRECT("Update"&amp;Projections!$AG$17&amp;"!K"&amp;ROW(B238))</f>
        <v>0.683996626</v>
      </c>
      <c r="AD257" s="124">
        <f t="array" ref="AD257">INDIRECT("Update"&amp;Projections!$AG$17&amp;"!R"&amp;ROW(B238))</f>
        <v>0.6946575342</v>
      </c>
      <c r="AE257" s="124">
        <f t="shared" si="3"/>
        <v>-1.480720233</v>
      </c>
      <c r="AF257" s="124">
        <f t="shared" si="4"/>
        <v>-0.5014357292</v>
      </c>
      <c r="AG257" s="124">
        <f t="shared" si="5"/>
        <v>-1.304799764</v>
      </c>
      <c r="AH257" s="124">
        <f t="shared" si="6"/>
        <v>-0.9855010856</v>
      </c>
      <c r="AI257" s="124">
        <f t="shared" si="7"/>
        <v>-0.5713865081</v>
      </c>
      <c r="AJ257" s="124">
        <f t="shared" si="8"/>
        <v>-0.7213430159</v>
      </c>
      <c r="AK257" s="124">
        <f t="shared" si="9"/>
        <v>-0.1215204279</v>
      </c>
      <c r="AL257" s="124">
        <f t="shared" si="10"/>
        <v>-0.6965172484</v>
      </c>
      <c r="AM257" s="124">
        <f t="shared" si="11"/>
        <v>0</v>
      </c>
      <c r="AN257" s="183">
        <f t="shared" si="12"/>
        <v>-1.480720233</v>
      </c>
      <c r="AO257" s="183">
        <f t="shared" si="13"/>
        <v>-2.785519997</v>
      </c>
      <c r="AP257" s="183">
        <f t="array" ref="AP257">INDIRECT("Update"&amp;Projections!$AG$17&amp;"!S"&amp;ROW(B238))</f>
        <v>7.056849315</v>
      </c>
      <c r="AQ257" s="183">
        <f t="array" ref="AQ257">INDIRECT("Update"&amp;Projections!$AG$17&amp;"!T"&amp;ROW(B238))</f>
        <v>1.786438356</v>
      </c>
    </row>
    <row r="258">
      <c r="A258" s="40" t="str">
        <f>IF(UpdateHashtag!C256="",ROW(UpdateHashtag!C256),UpdateHashtag!C256)</f>
        <v>Isaiah Stewart</v>
      </c>
      <c r="B258" s="41">
        <f>IF(TYPE($A258)=1,"",(UpdateHashtag!M256-B$1)/B$2)</f>
        <v>-1.638283415</v>
      </c>
      <c r="C258" s="41">
        <f>IF(TYPE($A258)=1,"",(UpdateHashtag!L256-C$1)/C$2)</f>
        <v>-0.643430979</v>
      </c>
      <c r="D258" s="41">
        <f>IF(TYPE($A258)=1,"",(UpdateHashtag!N256-D$1)/D$2)</f>
        <v>-0.1894217149</v>
      </c>
      <c r="E258" s="41">
        <f>IF(TYPE($A258)=1,"",(UpdateHashtag!O256-E$1)/E$2)</f>
        <v>-1.286725494</v>
      </c>
      <c r="F258" s="41">
        <f>IF(TYPE($A258)=1,"",(UpdateHashtag!P256-F$1)/F$2)</f>
        <v>-2.236419844</v>
      </c>
      <c r="G258" s="41">
        <f>IF(TYPE($A258)=1,"",(UpdateHashtag!Q256-G$1)/G$2)</f>
        <v>-0.2651689765</v>
      </c>
      <c r="H258" s="41">
        <f>IF(TYPE($A258)=1,"",(UpdateHashtag!I256-H$1)/H$2*I258/$I$1)</f>
        <v>-0.2664841799</v>
      </c>
      <c r="I258" s="41">
        <f>UpdateHashtag!S256</f>
        <v>6.5</v>
      </c>
      <c r="J258" s="53">
        <f>IF(TYPE($A258)=1,"",(UpdateHashtag!K256-J$1)/J$2*K258/$K$1)</f>
        <v>-0.3286962108</v>
      </c>
      <c r="K258" s="55">
        <f>UpdateHashtag!T256</f>
        <v>1.8</v>
      </c>
      <c r="L258" s="41">
        <f>IF(TYPE($A258)=1,"",-(UpdateHashtag!R256-L$1)/L$2)</f>
        <v>0.643430979</v>
      </c>
      <c r="N258" s="112">
        <v>238.0</v>
      </c>
      <c r="O258" s="170" t="str">
        <f t="array" ref="O258">INDIRECT("Update"&amp;Projections!$AG$17&amp;"!B"&amp;ROW(B239))</f>
        <v/>
      </c>
      <c r="P258" s="172" t="str">
        <f t="array" ref="P258">INDIRECT("Update"&amp;Projections!$AG$17&amp;"!C"&amp;ROW(B239))</f>
        <v>Quentin Grimes</v>
      </c>
      <c r="Q258" s="170">
        <f>UpdateHashtag!F302</f>
        <v>40</v>
      </c>
      <c r="R258" s="177" t="str">
        <f>IF(UpdateHashtag!D302="",ROW(UpdateHashtag!D302),UpdateHashtag!D302)</f>
        <v>C</v>
      </c>
      <c r="S258" s="124">
        <f t="shared" si="1"/>
        <v>-5.936682073</v>
      </c>
      <c r="T258" s="124">
        <f>SUM(AE258:AM258)-IFERROR(IFS(Projections!$I$17,AN258,Projections!$J$17,AO258),"")</f>
        <v>-6.214771372</v>
      </c>
      <c r="U258" s="124">
        <f t="shared" si="2"/>
        <v>-0.2780892991</v>
      </c>
      <c r="V258" s="124">
        <f t="array" ref="V258">INDIRECT("Update"&amp;Projections!$AG$17&amp;"!M"&amp;ROW(B239))</f>
        <v>8.60483871</v>
      </c>
      <c r="W258" s="124">
        <f t="array" ref="W258">INDIRECT("Update"&amp;Projections!$AG$17&amp;"!L"&amp;ROW(B239))</f>
        <v>1.889516129</v>
      </c>
      <c r="X258" s="124">
        <f t="array" ref="X258">INDIRECT("Update"&amp;Projections!$AG$17&amp;"!N"&amp;ROW(B239))</f>
        <v>2.758548387</v>
      </c>
      <c r="Y258" s="124">
        <f t="array" ref="Y258">INDIRECT("Update"&amp;Projections!$AG$17&amp;"!O"&amp;ROW(B239))</f>
        <v>1.451935484</v>
      </c>
      <c r="Z258" s="124">
        <f t="array" ref="Z258">INDIRECT("Update"&amp;Projections!$AG$17&amp;"!P"&amp;ROW(B239))</f>
        <v>0.8227419355</v>
      </c>
      <c r="AA258" s="124">
        <f t="array" ref="AA258">INDIRECT("Update"&amp;Projections!$AG$17&amp;"!Q"&amp;ROW(B239))</f>
        <v>0.1929032258</v>
      </c>
      <c r="AB258" s="180">
        <f t="array" ref="AB258">INDIRECT("Update"&amp;Projections!$AG$17&amp;"!I"&amp;ROW(B239))</f>
        <v>0.4076559063</v>
      </c>
      <c r="AC258" s="180">
        <f t="array" ref="AC258">INDIRECT("Update"&amp;Projections!$AG$17&amp;"!K"&amp;ROW(B239))</f>
        <v>0.7760138321</v>
      </c>
      <c r="AD258" s="124">
        <f t="array" ref="AD258">INDIRECT("Update"&amp;Projections!$AG$17&amp;"!R"&amp;ROW(B239))</f>
        <v>0.6272580645</v>
      </c>
      <c r="AE258" s="124">
        <f t="shared" si="3"/>
        <v>-1.601360083</v>
      </c>
      <c r="AF258" s="124">
        <f t="shared" si="4"/>
        <v>0.1397126014</v>
      </c>
      <c r="AG258" s="124">
        <f t="shared" si="5"/>
        <v>-1.303006482</v>
      </c>
      <c r="AH258" s="124">
        <f t="shared" si="6"/>
        <v>-1.126898073</v>
      </c>
      <c r="AI258" s="124">
        <f t="shared" si="7"/>
        <v>-0.5070257053</v>
      </c>
      <c r="AJ258" s="124">
        <f t="shared" si="8"/>
        <v>-0.9912862519</v>
      </c>
      <c r="AK258" s="124">
        <f t="shared" si="9"/>
        <v>-0.7565370794</v>
      </c>
      <c r="AL258" s="124">
        <f t="shared" si="10"/>
        <v>-0.06837029966</v>
      </c>
      <c r="AM258" s="124">
        <f t="shared" si="11"/>
        <v>0</v>
      </c>
      <c r="AN258" s="183">
        <f t="shared" si="12"/>
        <v>-1.601360083</v>
      </c>
      <c r="AO258" s="183">
        <f t="shared" si="13"/>
        <v>-2.904366565</v>
      </c>
      <c r="AP258" s="183">
        <f t="array" ref="AP258">INDIRECT("Update"&amp;Projections!$AG$17&amp;"!S"&amp;ROW(B239))</f>
        <v>7.25983871</v>
      </c>
      <c r="AQ258" s="183">
        <f t="array" ref="AQ258">INDIRECT("Update"&amp;Projections!$AG$17&amp;"!T"&amp;ROW(B239))</f>
        <v>1.026129032</v>
      </c>
    </row>
    <row r="259">
      <c r="A259" s="40" t="str">
        <f>IF(UpdateHashtag!C257="",ROW(UpdateHashtag!C257),UpdateHashtag!C257)</f>
        <v>Georges Niang</v>
      </c>
      <c r="B259" s="41">
        <f>IF(TYPE($A259)=1,"",(UpdateHashtag!M257-B$1)/B$2)</f>
        <v>-1.512104468</v>
      </c>
      <c r="C259" s="41">
        <f>IF(TYPE($A259)=1,"",(UpdateHashtag!L257-C$1)/C$2)</f>
        <v>0.2493047061</v>
      </c>
      <c r="D259" s="41">
        <f>IF(TYPE($A259)=1,"",(UpdateHashtag!N257-D$1)/D$2)</f>
        <v>-1.208379905</v>
      </c>
      <c r="E259" s="41">
        <f>IF(TYPE($A259)=1,"",(UpdateHashtag!O257-E$1)/E$2)</f>
        <v>-1.286725494</v>
      </c>
      <c r="F259" s="41">
        <f>IF(TYPE($A259)=1,"",(UpdateHashtag!P257-F$1)/F$2)</f>
        <v>-1.905588506</v>
      </c>
      <c r="G259" s="41">
        <f>IF(TYPE($A259)=1,"",(UpdateHashtag!Q257-G$1)/G$2)</f>
        <v>-0.978628106</v>
      </c>
      <c r="H259" s="41">
        <f>IF(TYPE($A259)=1,"",(UpdateHashtag!I257-H$1)/H$2*I259/$I$1)</f>
        <v>-0.4351394976</v>
      </c>
      <c r="I259" s="41">
        <f>UpdateHashtag!S257</f>
        <v>7.3</v>
      </c>
      <c r="J259" s="53">
        <f>IF(TYPE($A259)=1,"",(UpdateHashtag!K257-J$1)/J$2*K259/$K$1)</f>
        <v>0.1426795339</v>
      </c>
      <c r="K259" s="55">
        <f>UpdateHashtag!T257</f>
        <v>0.7</v>
      </c>
      <c r="L259" s="41">
        <f>IF(TYPE($A259)=1,"",-(UpdateHashtag!R257-L$1)/L$2)</f>
        <v>0.9410095407</v>
      </c>
      <c r="N259" s="112">
        <v>239.0</v>
      </c>
      <c r="O259" s="170" t="str">
        <f t="array" ref="O259">INDIRECT("Update"&amp;Projections!$AG$17&amp;"!B"&amp;ROW(B240))</f>
        <v/>
      </c>
      <c r="P259" s="172" t="str">
        <f t="array" ref="P259">INDIRECT("Update"&amp;Projections!$AG$17&amp;"!C"&amp;ROW(B240))</f>
        <v>Josh Minott</v>
      </c>
      <c r="Q259" s="170">
        <f>UpdateHashtag!F301</f>
        <v>69</v>
      </c>
      <c r="R259" s="177" t="str">
        <f>IF(UpdateHashtag!D301="",ROW(UpdateHashtag!D301),UpdateHashtag!D301)</f>
        <v>PF,C</v>
      </c>
      <c r="S259" s="124">
        <f t="shared" si="1"/>
        <v>-6.170271921</v>
      </c>
      <c r="T259" s="124">
        <f>SUM(AE259:AM259)-IFERROR(IFS(Projections!$I$17,AN259,Projections!$J$17,AO259),"")</f>
        <v>-6.458110107</v>
      </c>
      <c r="U259" s="124">
        <f t="shared" si="2"/>
        <v>-0.2878381858</v>
      </c>
      <c r="V259" s="124">
        <f t="array" ref="V259">INDIRECT("Update"&amp;Projections!$AG$17&amp;"!M"&amp;ROW(B240))</f>
        <v>6.522054795</v>
      </c>
      <c r="W259" s="124">
        <f t="array" ref="W259">INDIRECT("Update"&amp;Projections!$AG$17&amp;"!L"&amp;ROW(B240))</f>
        <v>0.4575342466</v>
      </c>
      <c r="X259" s="124">
        <f t="array" ref="X259">INDIRECT("Update"&amp;Projections!$AG$17&amp;"!N"&amp;ROW(B240))</f>
        <v>2.743972603</v>
      </c>
      <c r="Y259" s="124">
        <f t="array" ref="Y259">INDIRECT("Update"&amp;Projections!$AG$17&amp;"!O"&amp;ROW(B240))</f>
        <v>1.47</v>
      </c>
      <c r="Z259" s="124">
        <f t="array" ref="Z259">INDIRECT("Update"&amp;Projections!$AG$17&amp;"!P"&amp;ROW(B240))</f>
        <v>0.8167123288</v>
      </c>
      <c r="AA259" s="124">
        <f t="array" ref="AA259">INDIRECT("Update"&amp;Projections!$AG$17&amp;"!Q"&amp;ROW(B240))</f>
        <v>0.718630137</v>
      </c>
      <c r="AB259" s="180">
        <f t="array" ref="AB259">INDIRECT("Update"&amp;Projections!$AG$17&amp;"!I"&amp;ROW(B240))</f>
        <v>0.4726937456</v>
      </c>
      <c r="AC259" s="180">
        <f t="array" ref="AC259">INDIRECT("Update"&amp;Projections!$AG$17&amp;"!K"&amp;ROW(B240))</f>
        <v>0.7859685383</v>
      </c>
      <c r="AD259" s="124">
        <f t="array" ref="AD259">INDIRECT("Update"&amp;Projections!$AG$17&amp;"!R"&amp;ROW(B240))</f>
        <v>0.5879452055</v>
      </c>
      <c r="AE259" s="124">
        <f t="shared" si="3"/>
        <v>-1.976793628</v>
      </c>
      <c r="AF259" s="124">
        <f t="shared" si="4"/>
        <v>-1.280711095</v>
      </c>
      <c r="AG259" s="124">
        <f t="shared" si="5"/>
        <v>-1.308718834</v>
      </c>
      <c r="AH259" s="124">
        <f t="shared" si="6"/>
        <v>-1.118694282</v>
      </c>
      <c r="AI259" s="124">
        <f t="shared" si="7"/>
        <v>-0.5269735338</v>
      </c>
      <c r="AJ259" s="124">
        <f t="shared" si="8"/>
        <v>-0.05357459078</v>
      </c>
      <c r="AK259" s="124">
        <f t="shared" si="9"/>
        <v>-0.1548759178</v>
      </c>
      <c r="AL259" s="124">
        <f t="shared" si="10"/>
        <v>-0.03776822625</v>
      </c>
      <c r="AM259" s="124">
        <f t="shared" si="11"/>
        <v>0</v>
      </c>
      <c r="AN259" s="183">
        <f t="shared" si="12"/>
        <v>-1.976793628</v>
      </c>
      <c r="AO259" s="183">
        <f t="shared" si="13"/>
        <v>-3.285512461</v>
      </c>
      <c r="AP259" s="183">
        <f t="array" ref="AP259">INDIRECT("Update"&amp;Projections!$AG$17&amp;"!S"&amp;ROW(B240))</f>
        <v>5.423013699</v>
      </c>
      <c r="AQ259" s="183">
        <f t="array" ref="AQ259">INDIRECT("Update"&amp;Projections!$AG$17&amp;"!T"&amp;ROW(B240))</f>
        <v>1.193013699</v>
      </c>
    </row>
    <row r="260">
      <c r="A260" s="40" t="str">
        <f>IF(UpdateHashtag!C258="",ROW(UpdateHashtag!C258),UpdateHashtag!C258)</f>
        <v>Jose Alvarado</v>
      </c>
      <c r="B260" s="41">
        <f>IF(TYPE($A260)=1,"",(UpdateHashtag!M258-B$1)/B$2)</f>
        <v>-1.818539054</v>
      </c>
      <c r="C260" s="41">
        <f>IF(TYPE($A260)=1,"",(UpdateHashtag!L258-C$1)/C$2)</f>
        <v>-0.4450452712</v>
      </c>
      <c r="D260" s="41">
        <f>IF(TYPE($A260)=1,"",(UpdateHashtag!N258-D$1)/D$2)</f>
        <v>-1.561096202</v>
      </c>
      <c r="E260" s="41">
        <f>IF(TYPE($A260)=1,"",(UpdateHashtag!O258-E$1)/E$2)</f>
        <v>-0.6963455612</v>
      </c>
      <c r="F260" s="41">
        <f>IF(TYPE($A260)=1,"",(UpdateHashtag!P258-F$1)/F$2)</f>
        <v>0.0793995211</v>
      </c>
      <c r="G260" s="41">
        <f>IF(TYPE($A260)=1,"",(UpdateHashtag!Q258-G$1)/G$2)</f>
        <v>-0.978628106</v>
      </c>
      <c r="H260" s="41">
        <f>IF(TYPE($A260)=1,"",(UpdateHashtag!I258-H$1)/H$2*I260/$I$1)</f>
        <v>-0.6520722215</v>
      </c>
      <c r="I260" s="41">
        <f>UpdateHashtag!S258</f>
        <v>6.5</v>
      </c>
      <c r="J260" s="53">
        <f>IF(TYPE($A260)=1,"",(UpdateHashtag!K258-J$1)/J$2*K260/$K$1)</f>
        <v>-0.1334261264</v>
      </c>
      <c r="K260" s="55">
        <f>UpdateHashtag!T258</f>
        <v>1</v>
      </c>
      <c r="L260" s="41">
        <f>IF(TYPE($A260)=1,"",-(UpdateHashtag!R258-L$1)/L$2)</f>
        <v>0.8418166868</v>
      </c>
      <c r="N260" s="5">
        <v>240.0</v>
      </c>
      <c r="O260" s="170">
        <f t="array" ref="O260">INDIRECT("Update"&amp;Projections!$AG$17&amp;"!B"&amp;ROW(B241))</f>
        <v>140</v>
      </c>
      <c r="P260" s="172" t="str">
        <f t="array" ref="P260">INDIRECT("Update"&amp;Projections!$AG$17&amp;"!C"&amp;ROW(B241))</f>
        <v>Moritz Wagner</v>
      </c>
      <c r="Q260" s="170">
        <f>UpdateHashtag!F294</f>
        <v>58</v>
      </c>
      <c r="R260" s="177" t="str">
        <f>IF(UpdateHashtag!D294="",ROW(UpdateHashtag!D294),UpdateHashtag!D294)</f>
        <v>C</v>
      </c>
      <c r="S260" s="124">
        <f t="shared" si="1"/>
        <v>-6.628357987</v>
      </c>
      <c r="T260" s="124">
        <f>SUM(AE260:AM260)-IFERROR(IFS(Projections!$I$17,AN260,Projections!$J$17,AO260),"")</f>
        <v>-6.80620081</v>
      </c>
      <c r="U260" s="124">
        <f t="shared" si="2"/>
        <v>-0.1778428225</v>
      </c>
      <c r="V260" s="124">
        <f t="array" ref="V260">INDIRECT("Update"&amp;Projections!$AG$17&amp;"!M"&amp;ROW(B241))</f>
        <v>9.274109589</v>
      </c>
      <c r="W260" s="124">
        <f t="array" ref="W260">INDIRECT("Update"&amp;Projections!$AG$17&amp;"!L"&amp;ROW(B241))</f>
        <v>0.4224657534</v>
      </c>
      <c r="X260" s="124">
        <f t="array" ref="X260">INDIRECT("Update"&amp;Projections!$AG$17&amp;"!N"&amp;ROW(B241))</f>
        <v>3.976986301</v>
      </c>
      <c r="Y260" s="124">
        <f t="array" ref="Y260">INDIRECT("Update"&amp;Projections!$AG$17&amp;"!O"&amp;ROW(B241))</f>
        <v>1.084794521</v>
      </c>
      <c r="Z260" s="124">
        <f t="array" ref="Z260">INDIRECT("Update"&amp;Projections!$AG$17&amp;"!P"&amp;ROW(B241))</f>
        <v>0.4553424658</v>
      </c>
      <c r="AA260" s="124">
        <f t="array" ref="AA260">INDIRECT("Update"&amp;Projections!$AG$17&amp;"!Q"&amp;ROW(B241))</f>
        <v>0.1932876712</v>
      </c>
      <c r="AB260" s="180">
        <f t="array" ref="AB260">INDIRECT("Update"&amp;Projections!$AG$17&amp;"!I"&amp;ROW(B241))</f>
        <v>0.5902420725</v>
      </c>
      <c r="AC260" s="180">
        <f t="array" ref="AC260">INDIRECT("Update"&amp;Projections!$AG$17&amp;"!K"&amp;ROW(B241))</f>
        <v>0.8180213314</v>
      </c>
      <c r="AD260" s="124">
        <f t="array" ref="AD260">INDIRECT("Update"&amp;Projections!$AG$17&amp;"!R"&amp;ROW(B241))</f>
        <v>1.031506849</v>
      </c>
      <c r="AE260" s="124">
        <f t="shared" si="3"/>
        <v>-1.480720233</v>
      </c>
      <c r="AF260" s="124">
        <f t="shared" si="4"/>
        <v>-1.315496534</v>
      </c>
      <c r="AG260" s="124">
        <f t="shared" si="5"/>
        <v>-0.8254921387</v>
      </c>
      <c r="AH260" s="124">
        <f t="shared" si="6"/>
        <v>-1.293630886</v>
      </c>
      <c r="AI260" s="124">
        <f t="shared" si="7"/>
        <v>-1.722498286</v>
      </c>
      <c r="AJ260" s="124">
        <f t="shared" si="8"/>
        <v>-0.9906005367</v>
      </c>
      <c r="AK260" s="124">
        <f t="shared" si="9"/>
        <v>0.671490402</v>
      </c>
      <c r="AL260" s="124">
        <f t="shared" si="10"/>
        <v>0.1507474031</v>
      </c>
      <c r="AM260" s="124">
        <f t="shared" si="11"/>
        <v>0</v>
      </c>
      <c r="AN260" s="183">
        <f t="shared" si="12"/>
        <v>-1.722498286</v>
      </c>
      <c r="AO260" s="183">
        <f t="shared" si="13"/>
        <v>-3.203218519</v>
      </c>
      <c r="AP260" s="183">
        <f t="array" ref="AP260">INDIRECT("Update"&amp;Projections!$AG$17&amp;"!S"&amp;ROW(B241))</f>
        <v>6.207808219</v>
      </c>
      <c r="AQ260" s="183">
        <f t="array" ref="AQ260">INDIRECT("Update"&amp;Projections!$AG$17&amp;"!T"&amp;ROW(B241))</f>
        <v>1.862328767</v>
      </c>
    </row>
    <row r="261">
      <c r="A261" s="40" t="str">
        <f>IF(UpdateHashtag!C259="",ROW(UpdateHashtag!C259),UpdateHashtag!C259)</f>
        <v>Saddiq Bey</v>
      </c>
      <c r="B261" s="41">
        <f>IF(TYPE($A261)=1,"",(UpdateHashtag!M259-B$1)/B$2)</f>
        <v>-1.47605334</v>
      </c>
      <c r="C261" s="41">
        <f>IF(TYPE($A261)=1,"",(UpdateHashtag!L259-C$1)/C$2)</f>
        <v>-0.4450452712</v>
      </c>
      <c r="D261" s="41">
        <f>IF(TYPE($A261)=1,"",(UpdateHashtag!N259-D$1)/D$2)</f>
        <v>-0.9340450079</v>
      </c>
      <c r="E261" s="41">
        <f>IF(TYPE($A261)=1,"",(UpdateHashtag!O259-E$1)/E$2)</f>
        <v>-1.332139334</v>
      </c>
      <c r="F261" s="41">
        <f>IF(TYPE($A261)=1,"",(UpdateHashtag!P259-F$1)/F$2)</f>
        <v>-1.243925831</v>
      </c>
      <c r="G261" s="41">
        <f>IF(TYPE($A261)=1,"",(UpdateHashtag!Q259-G$1)/G$2)</f>
        <v>-1.156992888</v>
      </c>
      <c r="H261" s="41">
        <f>IF(TYPE($A261)=1,"",(UpdateHashtag!I259-H$1)/H$2*I261/$I$1)</f>
        <v>-0.6734999829</v>
      </c>
      <c r="I261" s="41">
        <f>UpdateHashtag!S259</f>
        <v>7.4</v>
      </c>
      <c r="J261" s="53">
        <f>IF(TYPE($A261)=1,"",(UpdateHashtag!K259-J$1)/J$2*K261/$K$1)</f>
        <v>0.4354160335</v>
      </c>
      <c r="K261" s="55">
        <f>UpdateHashtag!T259</f>
        <v>2.1</v>
      </c>
      <c r="L261" s="41">
        <f>IF(TYPE($A261)=1,"",-(UpdateHashtag!R259-L$1)/L$2)</f>
        <v>1.139395249</v>
      </c>
      <c r="N261" s="5">
        <v>241.0</v>
      </c>
      <c r="O261" s="170">
        <f t="array" ref="O261">INDIRECT("Update"&amp;Projections!$AG$17&amp;"!B"&amp;ROW(B242))</f>
        <v>144.6</v>
      </c>
      <c r="P261" s="172" t="str">
        <f t="array" ref="P261">INDIRECT("Update"&amp;Projections!$AG$17&amp;"!C"&amp;ROW(B242))</f>
        <v>Duncan Robinson</v>
      </c>
      <c r="Q261" s="170">
        <f>UpdateHashtag!F309</f>
        <v>62</v>
      </c>
      <c r="R261" s="177" t="str">
        <f>IF(UpdateHashtag!D309="",ROW(UpdateHashtag!D309),UpdateHashtag!D309)</f>
        <v>SG,SF</v>
      </c>
      <c r="S261" s="124">
        <f t="shared" si="1"/>
        <v>-6.227845516</v>
      </c>
      <c r="T261" s="124">
        <f>SUM(AE261:AM261)-IFERROR(IFS(Projections!$I$17,AN261,Projections!$J$17,AO261),"")</f>
        <v>-6.407896398</v>
      </c>
      <c r="U261" s="124">
        <f t="shared" si="2"/>
        <v>-0.1800508825</v>
      </c>
      <c r="V261" s="124">
        <f t="array" ref="V261">INDIRECT("Update"&amp;Projections!$AG$17&amp;"!M"&amp;ROW(B242))</f>
        <v>8.728493151</v>
      </c>
      <c r="W261" s="124">
        <f t="array" ref="W261">INDIRECT("Update"&amp;Projections!$AG$17&amp;"!L"&amp;ROW(B242))</f>
        <v>2.018219178</v>
      </c>
      <c r="X261" s="124">
        <f t="array" ref="X261">INDIRECT("Update"&amp;Projections!$AG$17&amp;"!N"&amp;ROW(B242))</f>
        <v>1.998630137</v>
      </c>
      <c r="Y261" s="124">
        <f t="array" ref="Y261">INDIRECT("Update"&amp;Projections!$AG$17&amp;"!O"&amp;ROW(B242))</f>
        <v>1.905616438</v>
      </c>
      <c r="Z261" s="124">
        <f t="array" ref="Z261">INDIRECT("Update"&amp;Projections!$AG$17&amp;"!P"&amp;ROW(B242))</f>
        <v>0.5805479452</v>
      </c>
      <c r="AA261" s="124">
        <f t="array" ref="AA261">INDIRECT("Update"&amp;Projections!$AG$17&amp;"!Q"&amp;ROW(B242))</f>
        <v>0.1906849315</v>
      </c>
      <c r="AB261" s="180">
        <f t="array" ref="AB261">INDIRECT("Update"&amp;Projections!$AG$17&amp;"!I"&amp;ROW(B242))</f>
        <v>0.4190727347</v>
      </c>
      <c r="AC261" s="180">
        <f t="array" ref="AC261">INDIRECT("Update"&amp;Projections!$AG$17&amp;"!K"&amp;ROW(B242))</f>
        <v>0.9179413639</v>
      </c>
      <c r="AD261" s="124">
        <f t="array" ref="AD261">INDIRECT("Update"&amp;Projections!$AG$17&amp;"!R"&amp;ROW(B242))</f>
        <v>1.02260274</v>
      </c>
      <c r="AE261" s="124">
        <f t="shared" si="3"/>
        <v>-1.579070673</v>
      </c>
      <c r="AF261" s="124">
        <f t="shared" si="4"/>
        <v>0.2673768288</v>
      </c>
      <c r="AG261" s="124">
        <f t="shared" si="5"/>
        <v>-1.600823761</v>
      </c>
      <c r="AH261" s="124">
        <f t="shared" si="6"/>
        <v>-0.9208641257</v>
      </c>
      <c r="AI261" s="124">
        <f t="shared" si="7"/>
        <v>-1.308279324</v>
      </c>
      <c r="AJ261" s="124">
        <f t="shared" si="8"/>
        <v>-0.9952429077</v>
      </c>
      <c r="AK261" s="124">
        <f t="shared" si="9"/>
        <v>-0.6423691461</v>
      </c>
      <c r="AL261" s="124">
        <f t="shared" si="10"/>
        <v>0.3713767094</v>
      </c>
      <c r="AM261" s="124">
        <f t="shared" si="11"/>
        <v>0</v>
      </c>
      <c r="AN261" s="183">
        <f t="shared" si="12"/>
        <v>-1.600823761</v>
      </c>
      <c r="AO261" s="183">
        <f t="shared" si="13"/>
        <v>-3.179894433</v>
      </c>
      <c r="AP261" s="183">
        <f t="array" ref="AP261">INDIRECT("Update"&amp;Projections!$AG$17&amp;"!S"&amp;ROW(B242))</f>
        <v>7.064520548</v>
      </c>
      <c r="AQ261" s="183">
        <f t="array" ref="AQ261">INDIRECT("Update"&amp;Projections!$AG$17&amp;"!T"&amp;ROW(B242))</f>
        <v>0.8597260274</v>
      </c>
    </row>
    <row r="262">
      <c r="A262" s="40" t="str">
        <f>IF(UpdateHashtag!C260="",ROW(UpdateHashtag!C260),UpdateHashtag!C260)</f>
        <v>Reggie Jackson</v>
      </c>
      <c r="B262" s="41">
        <f>IF(TYPE($A262)=1,"",(UpdateHashtag!M260-B$1)/B$2)</f>
        <v>-1.367899957</v>
      </c>
      <c r="C262" s="41">
        <f>IF(TYPE($A262)=1,"",(UpdateHashtag!L260-C$1)/C$2)</f>
        <v>-0.4450452712</v>
      </c>
      <c r="D262" s="41">
        <f>IF(TYPE($A262)=1,"",(UpdateHashtag!N260-D$1)/D$2)</f>
        <v>-1.600286902</v>
      </c>
      <c r="E262" s="41">
        <f>IF(TYPE($A262)=1,"",(UpdateHashtag!O260-E$1)/E$2)</f>
        <v>-0.1967933108</v>
      </c>
      <c r="F262" s="41">
        <f>IF(TYPE($A262)=1,"",(UpdateHashtag!P260-F$1)/F$2)</f>
        <v>-1.243925831</v>
      </c>
      <c r="G262" s="41">
        <f>IF(TYPE($A262)=1,"",(UpdateHashtag!Q260-G$1)/G$2)</f>
        <v>-1.156992888</v>
      </c>
      <c r="H262" s="41">
        <f>IF(TYPE($A262)=1,"",(UpdateHashtag!I260-H$1)/H$2*I262/$I$1)</f>
        <v>-0.7964686427</v>
      </c>
      <c r="I262" s="41">
        <f>UpdateHashtag!S260</f>
        <v>9.1</v>
      </c>
      <c r="J262" s="53">
        <f>IF(TYPE($A262)=1,"",(UpdateHashtag!K260-J$1)/J$2*K262/$K$1)</f>
        <v>0.2403778112</v>
      </c>
      <c r="K262" s="55">
        <f>UpdateHashtag!T260</f>
        <v>1.2</v>
      </c>
      <c r="L262" s="41">
        <f>IF(TYPE($A262)=1,"",-(UpdateHashtag!R260-L$1)/L$2)</f>
        <v>0.3458524173</v>
      </c>
      <c r="N262" s="112">
        <v>242.0</v>
      </c>
      <c r="O262" s="170">
        <f t="array" ref="O262">INDIRECT("Update"&amp;Projections!$AG$17&amp;"!B"&amp;ROW(B243))</f>
        <v>138.6</v>
      </c>
      <c r="P262" s="172" t="str">
        <f t="array" ref="P262">INDIRECT("Update"&amp;Projections!$AG$17&amp;"!C"&amp;ROW(B243))</f>
        <v>Dillon Brooks</v>
      </c>
      <c r="Q262" s="170">
        <f>UpdateHashtag!F297</f>
        <v>44</v>
      </c>
      <c r="R262" s="177" t="str">
        <f>IF(UpdateHashtag!D297="",ROW(UpdateHashtag!D297),UpdateHashtag!D297)</f>
        <v>PF</v>
      </c>
      <c r="S262" s="124">
        <f t="shared" si="1"/>
        <v>-6.050228174</v>
      </c>
      <c r="T262" s="124">
        <f>SUM(AE262:AM262)-IFERROR(IFS(Projections!$I$17,AN262,Projections!$J$17,AO262),"")</f>
        <v>-6.264724794</v>
      </c>
      <c r="U262" s="124">
        <f t="shared" si="2"/>
        <v>-0.2144966202</v>
      </c>
      <c r="V262" s="124">
        <f t="array" ref="V262">INDIRECT("Update"&amp;Projections!$AG$17&amp;"!M"&amp;ROW(B243))</f>
        <v>10.7169863</v>
      </c>
      <c r="W262" s="124">
        <f t="array" ref="W262">INDIRECT("Update"&amp;Projections!$AG$17&amp;"!L"&amp;ROW(B243))</f>
        <v>1.703561644</v>
      </c>
      <c r="X262" s="124">
        <f t="array" ref="X262">INDIRECT("Update"&amp;Projections!$AG$17&amp;"!N"&amp;ROW(B243))</f>
        <v>2.945890411</v>
      </c>
      <c r="Y262" s="124">
        <f t="array" ref="Y262">INDIRECT("Update"&amp;Projections!$AG$17&amp;"!O"&amp;ROW(B243))</f>
        <v>1.413972603</v>
      </c>
      <c r="Z262" s="124">
        <f t="array" ref="Z262">INDIRECT("Update"&amp;Projections!$AG$17&amp;"!P"&amp;ROW(B243))</f>
        <v>0.754109589</v>
      </c>
      <c r="AA262" s="124">
        <f t="array" ref="AA262">INDIRECT("Update"&amp;Projections!$AG$17&amp;"!Q"&amp;ROW(B243))</f>
        <v>0.178630137</v>
      </c>
      <c r="AB262" s="180">
        <f t="array" ref="AB262">INDIRECT("Update"&amp;Projections!$AG$17&amp;"!I"&amp;ROW(B243))</f>
        <v>0.4008342493</v>
      </c>
      <c r="AC262" s="180">
        <f t="array" ref="AC262">INDIRECT("Update"&amp;Projections!$AG$17&amp;"!K"&amp;ROW(B243))</f>
        <v>0.837012682</v>
      </c>
      <c r="AD262" s="124">
        <f t="array" ref="AD262">INDIRECT("Update"&amp;Projections!$AG$17&amp;"!R"&amp;ROW(B243))</f>
        <v>0.8836986301</v>
      </c>
      <c r="AE262" s="124">
        <f t="shared" si="3"/>
        <v>-1.22063357</v>
      </c>
      <c r="AF262" s="124">
        <f t="shared" si="4"/>
        <v>-0.04474095924</v>
      </c>
      <c r="AG262" s="124">
        <f t="shared" si="5"/>
        <v>-1.229585832</v>
      </c>
      <c r="AH262" s="124">
        <f t="shared" si="6"/>
        <v>-1.144138475</v>
      </c>
      <c r="AI262" s="124">
        <f t="shared" si="7"/>
        <v>-0.7340830154</v>
      </c>
      <c r="AJ262" s="124">
        <f t="shared" si="8"/>
        <v>-1.016744416</v>
      </c>
      <c r="AK262" s="124">
        <f t="shared" si="9"/>
        <v>-1.090124206</v>
      </c>
      <c r="AL262" s="124">
        <f t="shared" si="10"/>
        <v>0.2153256788</v>
      </c>
      <c r="AM262" s="124">
        <f t="shared" si="11"/>
        <v>0</v>
      </c>
      <c r="AN262" s="183">
        <f t="shared" si="12"/>
        <v>-1.229585832</v>
      </c>
      <c r="AO262" s="183">
        <f t="shared" si="13"/>
        <v>-2.450219402</v>
      </c>
      <c r="AP262" s="183">
        <f t="array" ref="AP262">INDIRECT("Update"&amp;Projections!$AG$17&amp;"!S"&amp;ROW(B243))</f>
        <v>9.720821918</v>
      </c>
      <c r="AQ262" s="183">
        <f t="array" ref="AQ262">INDIRECT("Update"&amp;Projections!$AG$17&amp;"!T"&amp;ROW(B243))</f>
        <v>1.458219178</v>
      </c>
    </row>
    <row r="263">
      <c r="A263" s="40" t="str">
        <f>IF(UpdateHashtag!C261="",ROW(UpdateHashtag!C261),UpdateHashtag!C261)</f>
        <v>Goga Bitadze</v>
      </c>
      <c r="B263" s="41">
        <f>IF(TYPE($A263)=1,"",(UpdateHashtag!M261-B$1)/B$2)</f>
        <v>-2.269178151</v>
      </c>
      <c r="C263" s="41">
        <f>IF(TYPE($A263)=1,"",(UpdateHashtag!L261-C$1)/C$2)</f>
        <v>-1.635359518</v>
      </c>
      <c r="D263" s="41">
        <f>IF(TYPE($A263)=1,"",(UpdateHashtag!N261-D$1)/D$2)</f>
        <v>-0.6597101105</v>
      </c>
      <c r="E263" s="41">
        <f>IF(TYPE($A263)=1,"",(UpdateHashtag!O261-E$1)/E$2)</f>
        <v>-1.241311653</v>
      </c>
      <c r="F263" s="41">
        <f>IF(TYPE($A263)=1,"",(UpdateHashtag!P261-F$1)/F$2)</f>
        <v>-1.574757169</v>
      </c>
      <c r="G263" s="41">
        <f>IF(TYPE($A263)=1,"",(UpdateHashtag!Q261-G$1)/G$2)</f>
        <v>0.4482901531</v>
      </c>
      <c r="H263" s="41">
        <f>IF(TYPE($A263)=1,"",(UpdateHashtag!I261-H$1)/H$2*I263/$I$1)</f>
        <v>0.3391329217</v>
      </c>
      <c r="I263" s="41">
        <f>UpdateHashtag!S261</f>
        <v>3.4</v>
      </c>
      <c r="J263" s="53">
        <f>IF(TYPE($A263)=1,"",(UpdateHashtag!K261-J$1)/J$2*K263/$K$1)</f>
        <v>-0.8128313996</v>
      </c>
      <c r="K263" s="55">
        <f>UpdateHashtag!T261</f>
        <v>1.3</v>
      </c>
      <c r="L263" s="41">
        <f>IF(TYPE($A263)=1,"",-(UpdateHashtag!R261-L$1)/L$2)</f>
        <v>1.040202395</v>
      </c>
      <c r="N263" s="112">
        <v>243.0</v>
      </c>
      <c r="O263" s="170" t="str">
        <f t="array" ref="O263">INDIRECT("Update"&amp;Projections!$AG$17&amp;"!B"&amp;ROW(B244))</f>
        <v/>
      </c>
      <c r="P263" s="172" t="str">
        <f t="array" ref="P263">INDIRECT("Update"&amp;Projections!$AG$17&amp;"!C"&amp;ROW(B244))</f>
        <v>Dario Saric</v>
      </c>
      <c r="Q263" s="170">
        <f>UpdateHashtag!F304</f>
        <v>30</v>
      </c>
      <c r="R263" s="177" t="str">
        <f>IF(UpdateHashtag!D304="",ROW(UpdateHashtag!D304),UpdateHashtag!D304)</f>
        <v>PG</v>
      </c>
      <c r="S263" s="124">
        <f t="shared" si="1"/>
        <v>-6.44577679</v>
      </c>
      <c r="T263" s="124">
        <f>SUM(AE263:AM263)-IFERROR(IFS(Projections!$I$17,AN263,Projections!$J$17,AO263),"")</f>
        <v>-6.565528343</v>
      </c>
      <c r="U263" s="124">
        <f t="shared" si="2"/>
        <v>-0.1197515536</v>
      </c>
      <c r="V263" s="124">
        <f t="array" ref="V263">INDIRECT("Update"&amp;Projections!$AG$17&amp;"!M"&amp;ROW(B244))</f>
        <v>7.574915254</v>
      </c>
      <c r="W263" s="124">
        <f t="array" ref="W263">INDIRECT("Update"&amp;Projections!$AG$17&amp;"!L"&amp;ROW(B244))</f>
        <v>1.094237288</v>
      </c>
      <c r="X263" s="124">
        <f t="array" ref="X263">INDIRECT("Update"&amp;Projections!$AG$17&amp;"!N"&amp;ROW(B244))</f>
        <v>4.042542373</v>
      </c>
      <c r="Y263" s="124">
        <f t="array" ref="Y263">INDIRECT("Update"&amp;Projections!$AG$17&amp;"!O"&amp;ROW(B244))</f>
        <v>2.368305085</v>
      </c>
      <c r="Z263" s="124">
        <f t="array" ref="Z263">INDIRECT("Update"&amp;Projections!$AG$17&amp;"!P"&amp;ROW(B244))</f>
        <v>0.5455932203</v>
      </c>
      <c r="AA263" s="124">
        <f t="array" ref="AA263">INDIRECT("Update"&amp;Projections!$AG$17&amp;"!Q"&amp;ROW(B244))</f>
        <v>0.1606779661</v>
      </c>
      <c r="AB263" s="180">
        <f t="array" ref="AB263">INDIRECT("Update"&amp;Projections!$AG$17&amp;"!I"&amp;ROW(B244))</f>
        <v>0.4542930195</v>
      </c>
      <c r="AC263" s="180">
        <f t="array" ref="AC263">INDIRECT("Update"&amp;Projections!$AG$17&amp;"!K"&amp;ROW(B244))</f>
        <v>0.8389391979</v>
      </c>
      <c r="AD263" s="124">
        <f t="array" ref="AD263">INDIRECT("Update"&amp;Projections!$AG$17&amp;"!R"&amp;ROW(B244))</f>
        <v>1.265762712</v>
      </c>
      <c r="AE263" s="124">
        <f t="shared" si="3"/>
        <v>-1.787009593</v>
      </c>
      <c r="AF263" s="124">
        <f t="shared" si="4"/>
        <v>-0.6491471775</v>
      </c>
      <c r="AG263" s="124">
        <f t="shared" si="5"/>
        <v>-0.7998002554</v>
      </c>
      <c r="AH263" s="124">
        <f t="shared" si="6"/>
        <v>-0.7107394395</v>
      </c>
      <c r="AI263" s="124">
        <f t="shared" si="7"/>
        <v>-1.423920508</v>
      </c>
      <c r="AJ263" s="124">
        <f t="shared" si="8"/>
        <v>-1.048764766</v>
      </c>
      <c r="AK263" s="124">
        <f t="shared" si="9"/>
        <v>-0.3080116762</v>
      </c>
      <c r="AL263" s="124">
        <f t="shared" si="10"/>
        <v>0.1618650724</v>
      </c>
      <c r="AM263" s="124">
        <f t="shared" si="11"/>
        <v>0</v>
      </c>
      <c r="AN263" s="183">
        <f t="shared" si="12"/>
        <v>-1.787009593</v>
      </c>
      <c r="AO263" s="183">
        <f t="shared" si="13"/>
        <v>-3.210930101</v>
      </c>
      <c r="AP263" s="183">
        <f t="array" ref="AP263">INDIRECT("Update"&amp;Projections!$AG$17&amp;"!S"&amp;ROW(B244))</f>
        <v>6.164915254</v>
      </c>
      <c r="AQ263" s="183">
        <f t="array" ref="AQ263">INDIRECT("Update"&amp;Projections!$AG$17&amp;"!T"&amp;ROW(B244))</f>
        <v>1.048135593</v>
      </c>
    </row>
    <row r="264">
      <c r="A264" s="40" t="str">
        <f>IF(UpdateHashtag!C262="",ROW(UpdateHashtag!C262),UpdateHashtag!C262)</f>
        <v>Stephon Castle</v>
      </c>
      <c r="B264" s="41">
        <f>IF(TYPE($A264)=1,"",(UpdateHashtag!M262-B$1)/B$2)</f>
        <v>-1.80051349</v>
      </c>
      <c r="C264" s="41">
        <f>IF(TYPE($A264)=1,"",(UpdateHashtag!L262-C$1)/C$2)</f>
        <v>-1.337780956</v>
      </c>
      <c r="D264" s="41">
        <f>IF(TYPE($A264)=1,"",(UpdateHashtag!N262-D$1)/D$2)</f>
        <v>-1.169189206</v>
      </c>
      <c r="E264" s="41">
        <f>IF(TYPE($A264)=1,"",(UpdateHashtag!O262-E$1)/E$2)</f>
        <v>-0.6055178793</v>
      </c>
      <c r="F264" s="41">
        <f>IF(TYPE($A264)=1,"",(UpdateHashtag!P262-F$1)/F$2)</f>
        <v>-0.5822631548</v>
      </c>
      <c r="G264" s="41">
        <f>IF(TYPE($A264)=1,"",(UpdateHashtag!Q262-G$1)/G$2)</f>
        <v>-0.6218985413</v>
      </c>
      <c r="H264" s="41">
        <f>IF(TYPE($A264)=1,"",(UpdateHashtag!I262-H$1)/H$2*I264/$I$1)</f>
        <v>-0.2175468733</v>
      </c>
      <c r="I264" s="41">
        <f>UpdateHashtag!S262</f>
        <v>5.8</v>
      </c>
      <c r="J264" s="53">
        <f>IF(TYPE($A264)=1,"",(UpdateHashtag!K262-J$1)/J$2*K264/$K$1)</f>
        <v>-0.3089949544</v>
      </c>
      <c r="K264" s="55">
        <f>UpdateHashtag!T262</f>
        <v>2.2</v>
      </c>
      <c r="L264" s="41">
        <f>IF(TYPE($A264)=1,"",-(UpdateHashtag!R262-L$1)/L$2)</f>
        <v>0.7426238329</v>
      </c>
      <c r="N264" s="5">
        <v>244.0</v>
      </c>
      <c r="O264" s="170">
        <f t="array" ref="O264">INDIRECT("Update"&amp;Projections!$AG$17&amp;"!B"&amp;ROW(B245))</f>
        <v>142.6</v>
      </c>
      <c r="P264" s="172" t="str">
        <f t="array" ref="P264">INDIRECT("Update"&amp;Projections!$AG$17&amp;"!C"&amp;ROW(B245))</f>
        <v>Cam Whitmore</v>
      </c>
      <c r="Q264" s="170">
        <f>UpdateHashtag!F288</f>
        <v>67</v>
      </c>
      <c r="R264" s="177" t="str">
        <f>IF(UpdateHashtag!D288="",ROW(UpdateHashtag!D288),UpdateHashtag!D288)</f>
        <v>SG,SF</v>
      </c>
      <c r="S264" s="124">
        <f t="shared" si="1"/>
        <v>-6.299028424</v>
      </c>
      <c r="T264" s="124">
        <f>SUM(AE264:AM264)-IFERROR(IFS(Projections!$I$17,AN264,Projections!$J$17,AO264),"")</f>
        <v>-6.473051102</v>
      </c>
      <c r="U264" s="124">
        <f t="shared" si="2"/>
        <v>-0.1740226786</v>
      </c>
      <c r="V264" s="124">
        <f t="array" ref="V264">INDIRECT("Update"&amp;Projections!$AG$17&amp;"!M"&amp;ROW(B245))</f>
        <v>12.60455882</v>
      </c>
      <c r="W264" s="124">
        <f t="array" ref="W264">INDIRECT("Update"&amp;Projections!$AG$17&amp;"!L"&amp;ROW(B245))</f>
        <v>1.704264706</v>
      </c>
      <c r="X264" s="124">
        <f t="array" ref="X264">INDIRECT("Update"&amp;Projections!$AG$17&amp;"!N"&amp;ROW(B245))</f>
        <v>3.198382353</v>
      </c>
      <c r="Y264" s="124">
        <f t="array" ref="Y264">INDIRECT("Update"&amp;Projections!$AG$17&amp;"!O"&amp;ROW(B245))</f>
        <v>0.8416176471</v>
      </c>
      <c r="Z264" s="124">
        <f t="array" ref="Z264">INDIRECT("Update"&amp;Projections!$AG$17&amp;"!P"&amp;ROW(B245))</f>
        <v>0.6798529412</v>
      </c>
      <c r="AA264" s="124">
        <f t="array" ref="AA264">INDIRECT("Update"&amp;Projections!$AG$17&amp;"!Q"&amp;ROW(B245))</f>
        <v>0.3766176471</v>
      </c>
      <c r="AB264" s="180">
        <f t="array" ref="AB264">INDIRECT("Update"&amp;Projections!$AG$17&amp;"!I"&amp;ROW(B245))</f>
        <v>0.4587010602</v>
      </c>
      <c r="AC264" s="180">
        <f t="array" ref="AC264">INDIRECT("Update"&amp;Projections!$AG$17&amp;"!K"&amp;ROW(B245))</f>
        <v>0.69297796</v>
      </c>
      <c r="AD264" s="124">
        <f t="array" ref="AD264">INDIRECT("Update"&amp;Projections!$AG$17&amp;"!R"&amp;ROW(B245))</f>
        <v>1.046911765</v>
      </c>
      <c r="AE264" s="124">
        <f t="shared" si="3"/>
        <v>-0.8803879796</v>
      </c>
      <c r="AF264" s="124">
        <f t="shared" si="4"/>
        <v>-0.04404357197</v>
      </c>
      <c r="AG264" s="124">
        <f t="shared" si="5"/>
        <v>-1.130632473</v>
      </c>
      <c r="AH264" s="124">
        <f t="shared" si="6"/>
        <v>-1.404066844</v>
      </c>
      <c r="AI264" s="124">
        <f t="shared" si="7"/>
        <v>-0.9797472769</v>
      </c>
      <c r="AJ264" s="124">
        <f t="shared" si="8"/>
        <v>-0.6636044241</v>
      </c>
      <c r="AK264" s="124">
        <f t="shared" si="9"/>
        <v>-0.4452619727</v>
      </c>
      <c r="AL264" s="124">
        <f t="shared" si="10"/>
        <v>-0.9253065596</v>
      </c>
      <c r="AM264" s="124">
        <f t="shared" si="11"/>
        <v>0</v>
      </c>
      <c r="AN264" s="183">
        <f t="shared" si="12"/>
        <v>-1.404066844</v>
      </c>
      <c r="AO264" s="183">
        <f t="shared" si="13"/>
        <v>-2.534699318</v>
      </c>
      <c r="AP264" s="183">
        <f t="array" ref="AP264">INDIRECT("Update"&amp;Projections!$AG$17&amp;"!S"&amp;ROW(B245))</f>
        <v>9.931176471</v>
      </c>
      <c r="AQ264" s="183">
        <f t="array" ref="AQ264">INDIRECT("Update"&amp;Projections!$AG$17&amp;"!T"&amp;ROW(B245))</f>
        <v>2.582205882</v>
      </c>
    </row>
    <row r="265">
      <c r="A265" s="40" t="str">
        <f>IF(UpdateHashtag!C263="",ROW(UpdateHashtag!C263),UpdateHashtag!C263)</f>
        <v>Gary Payton II</v>
      </c>
      <c r="B265" s="41">
        <f>IF(TYPE($A265)=1,"",(UpdateHashtag!M263-B$1)/B$2)</f>
        <v>-2.269178151</v>
      </c>
      <c r="C265" s="41">
        <f>IF(TYPE($A265)=1,"",(UpdateHashtag!L263-C$1)/C$2)</f>
        <v>-1.238588102</v>
      </c>
      <c r="D265" s="41">
        <f>IF(TYPE($A265)=1,"",(UpdateHashtag!N263-D$1)/D$2)</f>
        <v>-1.365142704</v>
      </c>
      <c r="E265" s="41">
        <f>IF(TYPE($A265)=1,"",(UpdateHashtag!O263-E$1)/E$2)</f>
        <v>-1.286725494</v>
      </c>
      <c r="F265" s="41">
        <f>IF(TYPE($A265)=1,"",(UpdateHashtag!P263-F$1)/F$2)</f>
        <v>-0.2514318168</v>
      </c>
      <c r="G265" s="41">
        <f>IF(TYPE($A265)=1,"",(UpdateHashtag!Q263-G$1)/G$2)</f>
        <v>-0.8002633236</v>
      </c>
      <c r="H265" s="41">
        <f>IF(TYPE($A265)=1,"",(UpdateHashtag!I263-H$1)/H$2*I265/$I$1)</f>
        <v>0.3130207212</v>
      </c>
      <c r="I265" s="41">
        <f>UpdateHashtag!S263</f>
        <v>3.6</v>
      </c>
      <c r="J265" s="53">
        <f>IF(TYPE($A265)=1,"",(UpdateHashtag!K263-J$1)/J$2*K265/$K$1)</f>
        <v>-0.1700041366</v>
      </c>
      <c r="K265" s="55">
        <f>UpdateHashtag!T263</f>
        <v>0.4</v>
      </c>
      <c r="L265" s="41">
        <f>IF(TYPE($A265)=1,"",-(UpdateHashtag!R263-L$1)/L$2)</f>
        <v>1.139395249</v>
      </c>
      <c r="N265" s="5">
        <v>245.0</v>
      </c>
      <c r="O265" s="170" t="str">
        <f t="array" ref="O265">INDIRECT("Update"&amp;Projections!$AG$17&amp;"!B"&amp;ROW(B246))</f>
        <v>#N/A</v>
      </c>
      <c r="P265" s="172" t="str">
        <f t="array" ref="P265">INDIRECT("Update"&amp;Projections!$AG$17&amp;"!C"&amp;ROW(B246))</f>
        <v>Xavier Tillman</v>
      </c>
      <c r="Q265" s="170">
        <f>UpdateHashtag!F308</f>
        <v>70</v>
      </c>
      <c r="R265" s="177" t="str">
        <f>IF(UpdateHashtag!D308="",ROW(UpdateHashtag!D308),UpdateHashtag!D308)</f>
        <v>PG,SG</v>
      </c>
      <c r="S265" s="124">
        <f t="shared" si="1"/>
        <v>-6.402638617</v>
      </c>
      <c r="T265" s="124">
        <f>SUM(AE265:AM265)-IFERROR(IFS(Projections!$I$17,AN265,Projections!$J$17,AO265),"")</f>
        <v>-6.691972988</v>
      </c>
      <c r="U265" s="124">
        <f t="shared" si="2"/>
        <v>-0.2893343713</v>
      </c>
      <c r="V265" s="124">
        <f t="array" ref="V265">INDIRECT("Update"&amp;Projections!$AG$17&amp;"!M"&amp;ROW(B246))</f>
        <v>5.938970588</v>
      </c>
      <c r="W265" s="124">
        <f t="array" ref="W265">INDIRECT("Update"&amp;Projections!$AG$17&amp;"!L"&amp;ROW(B246))</f>
        <v>0.4273529412</v>
      </c>
      <c r="X265" s="124">
        <f t="array" ref="X265">INDIRECT("Update"&amp;Projections!$AG$17&amp;"!N"&amp;ROW(B246))</f>
        <v>3.879117647</v>
      </c>
      <c r="Y265" s="124">
        <f t="array" ref="Y265">INDIRECT("Update"&amp;Projections!$AG$17&amp;"!O"&amp;ROW(B246))</f>
        <v>1.512941176</v>
      </c>
      <c r="Z265" s="124">
        <f t="array" ref="Z265">INDIRECT("Update"&amp;Projections!$AG$17&amp;"!P"&amp;ROW(B246))</f>
        <v>0.7758823529</v>
      </c>
      <c r="AA265" s="124">
        <f t="array" ref="AA265">INDIRECT("Update"&amp;Projections!$AG$17&amp;"!Q"&amp;ROW(B246))</f>
        <v>0.6927941176</v>
      </c>
      <c r="AB265" s="180">
        <f t="array" ref="AB265">INDIRECT("Update"&amp;Projections!$AG$17&amp;"!I"&amp;ROW(B246))</f>
        <v>0.4988223805</v>
      </c>
      <c r="AC265" s="180">
        <f t="array" ref="AC265">INDIRECT("Update"&amp;Projections!$AG$17&amp;"!K"&amp;ROW(B246))</f>
        <v>0.5630769231</v>
      </c>
      <c r="AD265" s="124">
        <f t="array" ref="AD265">INDIRECT("Update"&amp;Projections!$AG$17&amp;"!R"&amp;ROW(B246))</f>
        <v>0.5819117647</v>
      </c>
      <c r="AE265" s="124">
        <f t="shared" si="3"/>
        <v>-2.081897844</v>
      </c>
      <c r="AF265" s="124">
        <f t="shared" si="4"/>
        <v>-1.310648793</v>
      </c>
      <c r="AG265" s="124">
        <f t="shared" si="5"/>
        <v>-0.8638475489</v>
      </c>
      <c r="AH265" s="124">
        <f t="shared" si="6"/>
        <v>-1.099193045</v>
      </c>
      <c r="AI265" s="124">
        <f t="shared" si="7"/>
        <v>-0.6620518893</v>
      </c>
      <c r="AJ265" s="124">
        <f t="shared" si="8"/>
        <v>-0.09965695056</v>
      </c>
      <c r="AK265" s="124">
        <f t="shared" si="9"/>
        <v>0.009383985597</v>
      </c>
      <c r="AL265" s="124">
        <f t="shared" si="10"/>
        <v>-0.584060903</v>
      </c>
      <c r="AM265" s="124">
        <f t="shared" si="11"/>
        <v>0</v>
      </c>
      <c r="AN265" s="183">
        <f t="shared" si="12"/>
        <v>-2.081897844</v>
      </c>
      <c r="AO265" s="183">
        <f t="shared" si="13"/>
        <v>-3.392546637</v>
      </c>
      <c r="AP265" s="183">
        <f t="array" ref="AP265">INDIRECT("Update"&amp;Projections!$AG$17&amp;"!S"&amp;ROW(B246))</f>
        <v>5.12</v>
      </c>
      <c r="AQ265" s="183">
        <f t="array" ref="AQ265">INDIRECT("Update"&amp;Projections!$AG$17&amp;"!T"&amp;ROW(B246))</f>
        <v>0.7169117647</v>
      </c>
    </row>
    <row r="266">
      <c r="A266" s="40" t="str">
        <f>IF(UpdateHashtag!C264="",ROW(UpdateHashtag!C264),UpdateHashtag!C264)</f>
        <v>Matas Buzelis</v>
      </c>
      <c r="B266" s="41">
        <f>IF(TYPE($A266)=1,"",(UpdateHashtag!M264-B$1)/B$2)</f>
        <v>-1.818539054</v>
      </c>
      <c r="C266" s="41">
        <f>IF(TYPE($A266)=1,"",(UpdateHashtag!L264-C$1)/C$2)</f>
        <v>-1.238588102</v>
      </c>
      <c r="D266" s="41">
        <f>IF(TYPE($A266)=1,"",(UpdateHashtag!N264-D$1)/D$2)</f>
        <v>-0.8556636087</v>
      </c>
      <c r="E266" s="41">
        <f>IF(TYPE($A266)=1,"",(UpdateHashtag!O264-E$1)/E$2)</f>
        <v>-1.286725494</v>
      </c>
      <c r="F266" s="41">
        <f>IF(TYPE($A266)=1,"",(UpdateHashtag!P264-F$1)/F$2)</f>
        <v>-1.574757169</v>
      </c>
      <c r="G266" s="41">
        <f>IF(TYPE($A266)=1,"",(UpdateHashtag!Q264-G$1)/G$2)</f>
        <v>0.8050197178</v>
      </c>
      <c r="H266" s="41">
        <f>IF(TYPE($A266)=1,"",(UpdateHashtag!I264-H$1)/H$2*I266/$I$1)</f>
        <v>-0.3974259241</v>
      </c>
      <c r="I266" s="41">
        <f>UpdateHashtag!S264</f>
        <v>6.8</v>
      </c>
      <c r="J266" s="53">
        <f>IF(TYPE($A266)=1,"",(UpdateHashtag!K264-J$1)/J$2*K266/$K$1)</f>
        <v>-0.4931497081</v>
      </c>
      <c r="K266" s="55">
        <f>UpdateHashtag!T264</f>
        <v>1.2</v>
      </c>
      <c r="L266" s="41">
        <f>IF(TYPE($A266)=1,"",-(UpdateHashtag!R264-L$1)/L$2)</f>
        <v>0.4450452712</v>
      </c>
      <c r="N266" s="112">
        <v>246.0</v>
      </c>
      <c r="O266" s="170" t="str">
        <f t="array" ref="O266">INDIRECT("Update"&amp;Projections!$AG$17&amp;"!B"&amp;ROW(B247))</f>
        <v/>
      </c>
      <c r="P266" s="172" t="str">
        <f t="array" ref="P266">INDIRECT("Update"&amp;Projections!$AG$17&amp;"!C"&amp;ROW(B247))</f>
        <v>Eric Gordon</v>
      </c>
      <c r="Q266" s="170">
        <f>UpdateHashtag!F307</f>
        <v>62</v>
      </c>
      <c r="R266" s="177" t="str">
        <f>IF(UpdateHashtag!D307="",ROW(UpdateHashtag!D307),UpdateHashtag!D307)</f>
        <v>PG,SG</v>
      </c>
      <c r="S266" s="124">
        <f t="shared" si="1"/>
        <v>-6.456777954</v>
      </c>
      <c r="T266" s="124">
        <f>SUM(AE266:AM266)-IFERROR(IFS(Projections!$I$17,AN266,Projections!$J$17,AO266),"")</f>
        <v>-6.613988903</v>
      </c>
      <c r="U266" s="124">
        <f t="shared" si="2"/>
        <v>-0.1572109487</v>
      </c>
      <c r="V266" s="124">
        <f t="array" ref="V266">INDIRECT("Update"&amp;Projections!$AG$17&amp;"!M"&amp;ROW(B247))</f>
        <v>8.140441176</v>
      </c>
      <c r="W266" s="124">
        <f t="array" ref="W266">INDIRECT("Update"&amp;Projections!$AG$17&amp;"!L"&amp;ROW(B247))</f>
        <v>1.685882353</v>
      </c>
      <c r="X266" s="124">
        <f t="array" ref="X266">INDIRECT("Update"&amp;Projections!$AG$17&amp;"!N"&amp;ROW(B247))</f>
        <v>1.645588235</v>
      </c>
      <c r="Y266" s="124">
        <f t="array" ref="Y266">INDIRECT("Update"&amp;Projections!$AG$17&amp;"!O"&amp;ROW(B247))</f>
        <v>2.123382353</v>
      </c>
      <c r="Z266" s="124">
        <f t="array" ref="Z266">INDIRECT("Update"&amp;Projections!$AG$17&amp;"!P"&amp;ROW(B247))</f>
        <v>0.6370588235</v>
      </c>
      <c r="AA266" s="124">
        <f t="array" ref="AA266">INDIRECT("Update"&amp;Projections!$AG$17&amp;"!Q"&amp;ROW(B247))</f>
        <v>0.3701470588</v>
      </c>
      <c r="AB266" s="180">
        <f t="array" ref="AB266">INDIRECT("Update"&amp;Projections!$AG$17&amp;"!I"&amp;ROW(B247))</f>
        <v>0.4312099996</v>
      </c>
      <c r="AC266" s="180">
        <f t="array" ref="AC266">INDIRECT("Update"&amp;Projections!$AG$17&amp;"!K"&amp;ROW(B247))</f>
        <v>0.8020184668</v>
      </c>
      <c r="AD266" s="124">
        <f t="array" ref="AD266">INDIRECT("Update"&amp;Projections!$AG$17&amp;"!R"&amp;ROW(B247))</f>
        <v>1.114705882</v>
      </c>
      <c r="AE266" s="124">
        <f t="shared" si="3"/>
        <v>-1.685070357</v>
      </c>
      <c r="AF266" s="124">
        <f t="shared" si="4"/>
        <v>-0.06227755253</v>
      </c>
      <c r="AG266" s="124">
        <f t="shared" si="5"/>
        <v>-1.739183352</v>
      </c>
      <c r="AH266" s="124">
        <f t="shared" si="6"/>
        <v>-0.8219682594</v>
      </c>
      <c r="AI266" s="124">
        <f t="shared" si="7"/>
        <v>-1.121323629</v>
      </c>
      <c r="AJ266" s="124">
        <f t="shared" si="8"/>
        <v>-0.6751456749</v>
      </c>
      <c r="AK266" s="124">
        <f t="shared" si="9"/>
        <v>-0.5259541467</v>
      </c>
      <c r="AL266" s="124">
        <f t="shared" si="10"/>
        <v>0.01693406837</v>
      </c>
      <c r="AM266" s="124">
        <f t="shared" si="11"/>
        <v>0</v>
      </c>
      <c r="AN266" s="183">
        <f t="shared" si="12"/>
        <v>-1.739183352</v>
      </c>
      <c r="AO266" s="183">
        <f t="shared" si="13"/>
        <v>-3.424253709</v>
      </c>
      <c r="AP266" s="183">
        <f t="array" ref="AP266">INDIRECT("Update"&amp;Projections!$AG$17&amp;"!S"&amp;ROW(B247))</f>
        <v>6.847352941</v>
      </c>
      <c r="AQ266" s="183">
        <f t="array" ref="AQ266">INDIRECT("Update"&amp;Projections!$AG$17&amp;"!T"&amp;ROW(B247))</f>
        <v>0.6848529412</v>
      </c>
    </row>
    <row r="267">
      <c r="A267" s="40" t="str">
        <f>IF(UpdateHashtag!C265="",ROW(UpdateHashtag!C265),UpdateHashtag!C265)</f>
        <v>Jonathan Mogbo</v>
      </c>
      <c r="B267" s="41">
        <f>IF(TYPE($A267)=1,"",(UpdateHashtag!M265-B$1)/B$2)</f>
        <v>-2.12497364</v>
      </c>
      <c r="C267" s="41">
        <f>IF(TYPE($A267)=1,"",(UpdateHashtag!L265-C$1)/C$2)</f>
        <v>-1.734552372</v>
      </c>
      <c r="D267" s="41">
        <f>IF(TYPE($A267)=1,"",(UpdateHashtag!N265-D$1)/D$2)</f>
        <v>-0.7772822094</v>
      </c>
      <c r="E267" s="41">
        <f>IF(TYPE($A267)=1,"",(UpdateHashtag!O265-E$1)/E$2)</f>
        <v>-1.10507013</v>
      </c>
      <c r="F267" s="41">
        <f>IF(TYPE($A267)=1,"",(UpdateHashtag!P265-F$1)/F$2)</f>
        <v>-1.243925831</v>
      </c>
      <c r="G267" s="41">
        <f>IF(TYPE($A267)=1,"",(UpdateHashtag!Q265-G$1)/G$2)</f>
        <v>-0.8002633236</v>
      </c>
      <c r="H267" s="41">
        <f>IF(TYPE($A267)=1,"",(UpdateHashtag!I265-H$1)/H$2*I267/$I$1)</f>
        <v>0.6088716275</v>
      </c>
      <c r="I267" s="41">
        <f>UpdateHashtag!S265</f>
        <v>3.8</v>
      </c>
      <c r="J267" s="53">
        <f>IF(TYPE($A267)=1,"",(UpdateHashtag!K265-J$1)/J$2*K267/$K$1)</f>
        <v>-0.4130518755</v>
      </c>
      <c r="K267" s="55">
        <f>UpdateHashtag!T265</f>
        <v>1.2</v>
      </c>
      <c r="L267" s="41">
        <f>IF(TYPE($A267)=1,"",-(UpdateHashtag!R265-L$1)/L$2)</f>
        <v>1.040202395</v>
      </c>
      <c r="N267" s="112">
        <v>247.0</v>
      </c>
      <c r="O267" s="170" t="str">
        <f t="array" ref="O267">INDIRECT("Update"&amp;Projections!$AG$17&amp;"!B"&amp;ROW(B248))</f>
        <v/>
      </c>
      <c r="P267" s="172" t="str">
        <f t="array" ref="P267">INDIRECT("Update"&amp;Projections!$AG$17&amp;"!C"&amp;ROW(B248))</f>
        <v>Santi Aldama</v>
      </c>
      <c r="Q267" s="170">
        <f>UpdateHashtag!F305</f>
        <v>50</v>
      </c>
      <c r="R267" s="177" t="str">
        <f>IF(UpdateHashtag!D305="",ROW(UpdateHashtag!D305),UpdateHashtag!D305)</f>
        <v>SG,SF</v>
      </c>
      <c r="S267" s="124">
        <f t="shared" si="1"/>
        <v>-6.489791328</v>
      </c>
      <c r="T267" s="124">
        <f>SUM(AE267:AM267)-IFERROR(IFS(Projections!$I$17,AN267,Projections!$J$17,AO267),"")</f>
        <v>-6.706428951</v>
      </c>
      <c r="U267" s="124">
        <f t="shared" si="2"/>
        <v>-0.2166376223</v>
      </c>
      <c r="V267" s="124">
        <f t="array" ref="V267">INDIRECT("Update"&amp;Projections!$AG$17&amp;"!M"&amp;ROW(B248))</f>
        <v>7.151688312</v>
      </c>
      <c r="W267" s="124">
        <f t="array" ref="W267">INDIRECT("Update"&amp;Projections!$AG$17&amp;"!L"&amp;ROW(B248))</f>
        <v>1.213376623</v>
      </c>
      <c r="X267" s="124">
        <f t="array" ref="X267">INDIRECT("Update"&amp;Projections!$AG$17&amp;"!N"&amp;ROW(B248))</f>
        <v>4.55</v>
      </c>
      <c r="Y267" s="124">
        <f t="array" ref="Y267">INDIRECT("Update"&amp;Projections!$AG$17&amp;"!O"&amp;ROW(B248))</f>
        <v>1.312467532</v>
      </c>
      <c r="Z267" s="124">
        <f t="array" ref="Z267">INDIRECT("Update"&amp;Projections!$AG$17&amp;"!P"&amp;ROW(B248))</f>
        <v>0.5457142857</v>
      </c>
      <c r="AA267" s="124">
        <f t="array" ref="AA267">INDIRECT("Update"&amp;Projections!$AG$17&amp;"!Q"&amp;ROW(B248))</f>
        <v>0.6124675325</v>
      </c>
      <c r="AB267" s="180">
        <f t="array" ref="AB267">INDIRECT("Update"&amp;Projections!$AG$17&amp;"!I"&amp;ROW(B248))</f>
        <v>0.4389374106</v>
      </c>
      <c r="AC267" s="180">
        <f t="array" ref="AC267">INDIRECT("Update"&amp;Projections!$AG$17&amp;"!K"&amp;ROW(B248))</f>
        <v>0.6570330296</v>
      </c>
      <c r="AD267" s="124">
        <f t="array" ref="AD267">INDIRECT("Update"&amp;Projections!$AG$17&amp;"!R"&amp;ROW(B248))</f>
        <v>0.8750649351</v>
      </c>
      <c r="AE267" s="124">
        <f t="shared" si="3"/>
        <v>-1.863298636</v>
      </c>
      <c r="AF267" s="124">
        <f t="shared" si="4"/>
        <v>-0.530969471</v>
      </c>
      <c r="AG267" s="124">
        <f t="shared" si="5"/>
        <v>-0.6009240611</v>
      </c>
      <c r="AH267" s="124">
        <f t="shared" si="6"/>
        <v>-1.190235826</v>
      </c>
      <c r="AI267" s="124">
        <f t="shared" si="7"/>
        <v>-1.423519986</v>
      </c>
      <c r="AJ267" s="124">
        <f t="shared" si="8"/>
        <v>-0.2429312893</v>
      </c>
      <c r="AK267" s="124">
        <f t="shared" si="9"/>
        <v>-0.4124788483</v>
      </c>
      <c r="AL267" s="124">
        <f t="shared" si="10"/>
        <v>-0.442070833</v>
      </c>
      <c r="AM267" s="124">
        <f t="shared" si="11"/>
        <v>0</v>
      </c>
      <c r="AN267" s="183">
        <f t="shared" si="12"/>
        <v>-1.863298636</v>
      </c>
      <c r="AO267" s="183">
        <f t="shared" si="13"/>
        <v>-3.286818622</v>
      </c>
      <c r="AP267" s="183">
        <f t="array" ref="AP267">INDIRECT("Update"&amp;Projections!$AG$17&amp;"!S"&amp;ROW(B248))</f>
        <v>6.081688312</v>
      </c>
      <c r="AQ267" s="183">
        <f t="array" ref="AQ267">INDIRECT("Update"&amp;Projections!$AG$17&amp;"!T"&amp;ROW(B248))</f>
        <v>0.9122077922</v>
      </c>
    </row>
    <row r="268">
      <c r="A268" s="40" t="str">
        <f>IF(UpdateHashtag!C266="",ROW(UpdateHashtag!C266),UpdateHashtag!C266)</f>
        <v>Moses Moody</v>
      </c>
      <c r="B268" s="41">
        <f>IF(TYPE($A268)=1,"",(UpdateHashtag!M266-B$1)/B$2)</f>
        <v>-1.620257851</v>
      </c>
      <c r="C268" s="41">
        <f>IF(TYPE($A268)=1,"",(UpdateHashtag!L266-C$1)/C$2)</f>
        <v>-0.5442381251</v>
      </c>
      <c r="D268" s="41">
        <f>IF(TYPE($A268)=1,"",(UpdateHashtag!N266-D$1)/D$2)</f>
        <v>-1.169189206</v>
      </c>
      <c r="E268" s="41">
        <f>IF(TYPE($A268)=1,"",(UpdateHashtag!O266-E$1)/E$2)</f>
        <v>-1.286725494</v>
      </c>
      <c r="F268" s="41">
        <f>IF(TYPE($A268)=1,"",(UpdateHashtag!P266-F$1)/F$2)</f>
        <v>-1.243925831</v>
      </c>
      <c r="G268" s="41">
        <f>IF(TYPE($A268)=1,"",(UpdateHashtag!Q266-G$1)/G$2)</f>
        <v>-0.8002633236</v>
      </c>
      <c r="H268" s="41">
        <f>IF(TYPE($A268)=1,"",(UpdateHashtag!I266-H$1)/H$2*I268/$I$1)</f>
        <v>-0.2398764726</v>
      </c>
      <c r="I268" s="41">
        <f>UpdateHashtag!S266</f>
        <v>6.6</v>
      </c>
      <c r="J268" s="53">
        <f>IF(TYPE($A268)=1,"",(UpdateHashtag!K266-J$1)/J$2*K268/$K$1)</f>
        <v>-0.2001391895</v>
      </c>
      <c r="K268" s="55">
        <f>UpdateHashtag!T266</f>
        <v>1.5</v>
      </c>
      <c r="L268" s="41">
        <f>IF(TYPE($A268)=1,"",-(UpdateHashtag!R266-L$1)/L$2)</f>
        <v>0.9410095407</v>
      </c>
      <c r="N268" s="5">
        <v>248.0</v>
      </c>
      <c r="O268" s="170" t="str">
        <f t="array" ref="O268">INDIRECT("Update"&amp;Projections!$AG$17&amp;"!B"&amp;ROW(B249))</f>
        <v/>
      </c>
      <c r="P268" s="172" t="str">
        <f t="array" ref="P268">INDIRECT("Update"&amp;Projections!$AG$17&amp;"!C"&amp;ROW(B249))</f>
        <v>Larry Nance Jr.</v>
      </c>
      <c r="Q268" s="170">
        <f>UpdateHashtag!F298</f>
        <v>60</v>
      </c>
      <c r="R268" s="177" t="str">
        <f>IF(UpdateHashtag!D298="",ROW(UpdateHashtag!D298),UpdateHashtag!D298)</f>
        <v>C</v>
      </c>
      <c r="S268" s="124">
        <f t="shared" si="1"/>
        <v>-6.604765579</v>
      </c>
      <c r="T268" s="124">
        <f>SUM(AE268:AM268)-IFERROR(IFS(Projections!$I$17,AN268,Projections!$J$17,AO268),"")</f>
        <v>-6.897880462</v>
      </c>
      <c r="U268" s="124">
        <f t="shared" si="2"/>
        <v>-0.2931148833</v>
      </c>
      <c r="V268" s="124">
        <f t="array" ref="V268">INDIRECT("Update"&amp;Projections!$AG$17&amp;"!M"&amp;ROW(B249))</f>
        <v>4.757368421</v>
      </c>
      <c r="W268" s="124">
        <f t="array" ref="W268">INDIRECT("Update"&amp;Projections!$AG$17&amp;"!L"&amp;ROW(B249))</f>
        <v>0.2954385965</v>
      </c>
      <c r="X268" s="124">
        <f t="array" ref="X268">INDIRECT("Update"&amp;Projections!$AG$17&amp;"!N"&amp;ROW(B249))</f>
        <v>3.895789474</v>
      </c>
      <c r="Y268" s="124">
        <f t="array" ref="Y268">INDIRECT("Update"&amp;Projections!$AG$17&amp;"!O"&amp;ROW(B249))</f>
        <v>1.558421053</v>
      </c>
      <c r="Z268" s="124">
        <f t="array" ref="Z268">INDIRECT("Update"&amp;Projections!$AG$17&amp;"!P"&amp;ROW(B249))</f>
        <v>0.779122807</v>
      </c>
      <c r="AA268" s="124">
        <f t="array" ref="AA268">INDIRECT("Update"&amp;Projections!$AG$17&amp;"!Q"&amp;ROW(B249))</f>
        <v>0.3233333333</v>
      </c>
      <c r="AB268" s="180">
        <f t="array" ref="AB268">INDIRECT("Update"&amp;Projections!$AG$17&amp;"!I"&amp;ROW(B249))</f>
        <v>0.569119928</v>
      </c>
      <c r="AC268" s="180">
        <f t="array" ref="AC268">INDIRECT("Update"&amp;Projections!$AG$17&amp;"!K"&amp;ROW(B249))</f>
        <v>0.7458993606</v>
      </c>
      <c r="AD268" s="124">
        <f t="array" ref="AD268">INDIRECT("Update"&amp;Projections!$AG$17&amp;"!R"&amp;ROW(B249))</f>
        <v>0.5666666667</v>
      </c>
      <c r="AE268" s="124">
        <f t="shared" si="3"/>
        <v>-2.294888297</v>
      </c>
      <c r="AF268" s="124">
        <f t="shared" si="4"/>
        <v>-1.441498397</v>
      </c>
      <c r="AG268" s="124">
        <f t="shared" si="5"/>
        <v>-0.8573137433</v>
      </c>
      <c r="AH268" s="124">
        <f t="shared" si="6"/>
        <v>-1.078538886</v>
      </c>
      <c r="AI268" s="124">
        <f t="shared" si="7"/>
        <v>-0.6513314517</v>
      </c>
      <c r="AJ268" s="124">
        <f t="shared" si="8"/>
        <v>-0.7586448745</v>
      </c>
      <c r="AK268" s="124">
        <f t="shared" si="9"/>
        <v>0.293143408</v>
      </c>
      <c r="AL268" s="124">
        <f t="shared" si="10"/>
        <v>-0.1088082214</v>
      </c>
      <c r="AM268" s="124">
        <f t="shared" si="11"/>
        <v>0</v>
      </c>
      <c r="AN268" s="183">
        <f t="shared" si="12"/>
        <v>-2.294888297</v>
      </c>
      <c r="AO268" s="183">
        <f t="shared" si="13"/>
        <v>-3.736386694</v>
      </c>
      <c r="AP268" s="183">
        <f t="array" ref="AP268">INDIRECT("Update"&amp;Projections!$AG$17&amp;"!S"&amp;ROW(B249))</f>
        <v>3.506491228</v>
      </c>
      <c r="AQ268" s="183">
        <f t="array" ref="AQ268">INDIRECT("Update"&amp;Projections!$AG$17&amp;"!T"&amp;ROW(B249))</f>
        <v>0.6310526316</v>
      </c>
    </row>
    <row r="269">
      <c r="A269" s="40" t="str">
        <f>IF(UpdateHashtag!C267="",ROW(UpdateHashtag!C267),UpdateHashtag!C267)</f>
        <v>Killian Hayes</v>
      </c>
      <c r="B269" s="41">
        <f>IF(TYPE($A269)=1,"",(UpdateHashtag!M267-B$1)/B$2)</f>
        <v>-1.89064131</v>
      </c>
      <c r="C269" s="41">
        <f>IF(TYPE($A269)=1,"",(UpdateHashtag!L267-C$1)/C$2)</f>
        <v>-1.040202395</v>
      </c>
      <c r="D269" s="41">
        <f>IF(TYPE($A269)=1,"",(UpdateHashtag!N267-D$1)/D$2)</f>
        <v>-1.521905502</v>
      </c>
      <c r="E269" s="41">
        <f>IF(TYPE($A269)=1,"",(UpdateHashtag!O267-E$1)/E$2)</f>
        <v>0.2119312578</v>
      </c>
      <c r="F269" s="41">
        <f>IF(TYPE($A269)=1,"",(UpdateHashtag!P267-F$1)/F$2)</f>
        <v>-0.2514318168</v>
      </c>
      <c r="G269" s="41">
        <f>IF(TYPE($A269)=1,"",(UpdateHashtag!Q267-G$1)/G$2)</f>
        <v>-0.8002633236</v>
      </c>
      <c r="H269" s="41">
        <f>IF(TYPE($A269)=1,"",(UpdateHashtag!I267-H$1)/H$2*I269/$I$1)</f>
        <v>-0.9400392191</v>
      </c>
      <c r="I269" s="41">
        <f>UpdateHashtag!S267</f>
        <v>7.2</v>
      </c>
      <c r="J269" s="53">
        <f>IF(TYPE($A269)=1,"",(UpdateHashtag!K267-J$1)/J$2*K269/$K$1)</f>
        <v>-0.1197181552</v>
      </c>
      <c r="K269" s="55">
        <f>UpdateHashtag!T267</f>
        <v>1.1</v>
      </c>
      <c r="L269" s="41">
        <f>IF(TYPE($A269)=1,"",-(UpdateHashtag!R267-L$1)/L$2)</f>
        <v>0.2466595634</v>
      </c>
      <c r="N269" s="5">
        <v>249.0</v>
      </c>
      <c r="O269" s="170">
        <f t="array" ref="O269">INDIRECT("Update"&amp;Projections!$AG$17&amp;"!B"&amp;ROW(B250))</f>
        <v>140.3</v>
      </c>
      <c r="P269" s="172" t="str">
        <f t="array" ref="P269">INDIRECT("Update"&amp;Projections!$AG$17&amp;"!C"&amp;ROW(B250))</f>
        <v>Dorian Finney-Smith</v>
      </c>
      <c r="Q269" s="170">
        <f>UpdateHashtag!F303</f>
        <v>38</v>
      </c>
      <c r="R269" s="177" t="str">
        <f>IF(UpdateHashtag!D303="",ROW(UpdateHashtag!D303),UpdateHashtag!D303)</f>
        <v>C</v>
      </c>
      <c r="S269" s="124">
        <f t="shared" si="1"/>
        <v>-6.435554572</v>
      </c>
      <c r="T269" s="124">
        <f>SUM(AE269:AM269)-IFERROR(IFS(Projections!$I$17,AN269,Projections!$J$17,AO269),"")</f>
        <v>-6.675418555</v>
      </c>
      <c r="U269" s="124">
        <f t="shared" si="2"/>
        <v>-0.2398639828</v>
      </c>
      <c r="V269" s="124">
        <f t="array" ref="V269">INDIRECT("Update"&amp;Projections!$AG$17&amp;"!M"&amp;ROW(B250))</f>
        <v>6.371754386</v>
      </c>
      <c r="W269" s="124">
        <f t="array" ref="W269">INDIRECT("Update"&amp;Projections!$AG$17&amp;"!L"&amp;ROW(B250))</f>
        <v>1.106140351</v>
      </c>
      <c r="X269" s="124">
        <f t="array" ref="X269">INDIRECT("Update"&amp;Projections!$AG$17&amp;"!N"&amp;ROW(B250))</f>
        <v>3.823333333</v>
      </c>
      <c r="Y269" s="124">
        <f t="array" ref="Y269">INDIRECT("Update"&amp;Projections!$AG$17&amp;"!O"&amp;ROW(B250))</f>
        <v>1.393684211</v>
      </c>
      <c r="Z269" s="124">
        <f t="array" ref="Z269">INDIRECT("Update"&amp;Projections!$AG$17&amp;"!P"&amp;ROW(B250))</f>
        <v>0.7140350877</v>
      </c>
      <c r="AA269" s="124">
        <f t="array" ref="AA269">INDIRECT("Update"&amp;Projections!$AG$17&amp;"!Q"&amp;ROW(B250))</f>
        <v>0.489122807</v>
      </c>
      <c r="AB269" s="180">
        <f t="array" ref="AB269">INDIRECT("Update"&amp;Projections!$AG$17&amp;"!I"&amp;ROW(B250))</f>
        <v>0.4216694272</v>
      </c>
      <c r="AC269" s="180">
        <f t="array" ref="AC269">INDIRECT("Update"&amp;Projections!$AG$17&amp;"!K"&amp;ROW(B250))</f>
        <v>0.7278846154</v>
      </c>
      <c r="AD269" s="124">
        <f t="array" ref="AD269">INDIRECT("Update"&amp;Projections!$AG$17&amp;"!R"&amp;ROW(B250))</f>
        <v>0.7814035088</v>
      </c>
      <c r="AE269" s="124">
        <f t="shared" si="3"/>
        <v>-2.003886124</v>
      </c>
      <c r="AF269" s="124">
        <f t="shared" si="4"/>
        <v>-0.6373401896</v>
      </c>
      <c r="AG269" s="124">
        <f t="shared" si="5"/>
        <v>-0.8857098119</v>
      </c>
      <c r="AH269" s="124">
        <f t="shared" si="6"/>
        <v>-1.153352213</v>
      </c>
      <c r="AI269" s="124">
        <f t="shared" si="7"/>
        <v>-0.8666620243</v>
      </c>
      <c r="AJ269" s="124">
        <f t="shared" si="8"/>
        <v>-0.4629348405</v>
      </c>
      <c r="AK269" s="124">
        <f t="shared" si="9"/>
        <v>-0.4935061843</v>
      </c>
      <c r="AL269" s="124">
        <f t="shared" si="10"/>
        <v>-0.1720271676</v>
      </c>
      <c r="AM269" s="124">
        <f t="shared" si="11"/>
        <v>0</v>
      </c>
      <c r="AN269" s="183">
        <f t="shared" si="12"/>
        <v>-2.003886124</v>
      </c>
      <c r="AO269" s="183">
        <f t="shared" si="13"/>
        <v>-3.157238337</v>
      </c>
      <c r="AP269" s="183">
        <f t="array" ref="AP269">INDIRECT("Update"&amp;Projections!$AG$17&amp;"!S"&amp;ROW(B250))</f>
        <v>5.613859649</v>
      </c>
      <c r="AQ269" s="183">
        <f t="array" ref="AQ269">INDIRECT("Update"&amp;Projections!$AG$17&amp;"!T"&amp;ROW(B250))</f>
        <v>0.7298245614</v>
      </c>
    </row>
    <row r="270">
      <c r="A270" s="40" t="str">
        <f>IF(UpdateHashtag!C268="",ROW(UpdateHashtag!C268),UpdateHashtag!C268)</f>
        <v>Quentin Grimes</v>
      </c>
      <c r="B270" s="41">
        <f>IF(TYPE($A270)=1,"",(UpdateHashtag!M268-B$1)/B$2)</f>
        <v>-1.674334543</v>
      </c>
      <c r="C270" s="41">
        <f>IF(TYPE($A270)=1,"",(UpdateHashtag!L268-C$1)/C$2)</f>
        <v>-0.04827385557</v>
      </c>
      <c r="D270" s="41">
        <f>IF(TYPE($A270)=1,"",(UpdateHashtag!N268-D$1)/D$2)</f>
        <v>-1.482714803</v>
      </c>
      <c r="E270" s="41">
        <f>IF(TYPE($A270)=1,"",(UpdateHashtag!O268-E$1)/E$2)</f>
        <v>-1.10507013</v>
      </c>
      <c r="F270" s="41">
        <f>IF(TYPE($A270)=1,"",(UpdateHashtag!P268-F$1)/F$2)</f>
        <v>-1.243925831</v>
      </c>
      <c r="G270" s="41">
        <f>IF(TYPE($A270)=1,"",(UpdateHashtag!Q268-G$1)/G$2)</f>
        <v>-0.978628106</v>
      </c>
      <c r="H270" s="41">
        <f>IF(TYPE($A270)=1,"",(UpdateHashtag!I268-H$1)/H$2*I270/$I$1)</f>
        <v>-0.4778593182</v>
      </c>
      <c r="I270" s="41">
        <f>UpdateHashtag!S268</f>
        <v>6.6</v>
      </c>
      <c r="J270" s="53">
        <f>IF(TYPE($A270)=1,"",(UpdateHashtag!K268-J$1)/J$2*K270/$K$1)</f>
        <v>-0.01046892724</v>
      </c>
      <c r="K270" s="55">
        <f>UpdateHashtag!T268</f>
        <v>1</v>
      </c>
      <c r="L270" s="41">
        <f>IF(TYPE($A270)=1,"",-(UpdateHashtag!R268-L$1)/L$2)</f>
        <v>1.040202395</v>
      </c>
      <c r="N270" s="112">
        <v>250.0</v>
      </c>
      <c r="O270" s="170" t="str">
        <f t="array" ref="O270">INDIRECT("Update"&amp;Projections!$AG$17&amp;"!B"&amp;ROW(B251))</f>
        <v/>
      </c>
      <c r="P270" s="172" t="str">
        <f t="array" ref="P270">INDIRECT("Update"&amp;Projections!$AG$17&amp;"!C"&amp;ROW(B251))</f>
        <v>Nickeil Alexander-Walker</v>
      </c>
      <c r="Q270" s="170">
        <f>UpdateHashtag!F310</f>
        <v>40</v>
      </c>
      <c r="R270" s="177" t="str">
        <f>IF(UpdateHashtag!D310="",ROW(UpdateHashtag!D310),UpdateHashtag!D310)</f>
        <v>SG</v>
      </c>
      <c r="S270" s="124">
        <f t="shared" si="1"/>
        <v>-6.546228075</v>
      </c>
      <c r="T270" s="124">
        <f>SUM(AE270:AM270)-IFERROR(IFS(Projections!$I$17,AN270,Projections!$J$17,AO270),"")</f>
        <v>-6.726731157</v>
      </c>
      <c r="U270" s="124">
        <f t="shared" si="2"/>
        <v>-0.1805030826</v>
      </c>
      <c r="V270" s="124">
        <f t="array" ref="V270">INDIRECT("Update"&amp;Projections!$AG$17&amp;"!M"&amp;ROW(B251))</f>
        <v>6.888831169</v>
      </c>
      <c r="W270" s="124">
        <f t="array" ref="W270">INDIRECT("Update"&amp;Projections!$AG$17&amp;"!L"&amp;ROW(B251))</f>
        <v>1.327142857</v>
      </c>
      <c r="X270" s="124">
        <f t="array" ref="X270">INDIRECT("Update"&amp;Projections!$AG$17&amp;"!N"&amp;ROW(B251))</f>
        <v>1.796623377</v>
      </c>
      <c r="Y270" s="124">
        <f t="array" ref="Y270">INDIRECT("Update"&amp;Projections!$AG$17&amp;"!O"&amp;ROW(B251))</f>
        <v>2.45</v>
      </c>
      <c r="Z270" s="124">
        <f t="array" ref="Z270">INDIRECT("Update"&amp;Projections!$AG$17&amp;"!P"&amp;ROW(B251))</f>
        <v>0.6122077922</v>
      </c>
      <c r="AA270" s="124">
        <f t="array" ref="AA270">INDIRECT("Update"&amp;Projections!$AG$17&amp;"!Q"&amp;ROW(B251))</f>
        <v>0.4084415584</v>
      </c>
      <c r="AB270" s="180">
        <f t="array" ref="AB270">INDIRECT("Update"&amp;Projections!$AG$17&amp;"!I"&amp;ROW(B251))</f>
        <v>0.4420018709</v>
      </c>
      <c r="AC270" s="180">
        <f t="array" ref="AC270">INDIRECT("Update"&amp;Projections!$AG$17&amp;"!K"&amp;ROW(B251))</f>
        <v>0.8400200602</v>
      </c>
      <c r="AD270" s="124">
        <f t="array" ref="AD270">INDIRECT("Update"&amp;Projections!$AG$17&amp;"!R"&amp;ROW(B251))</f>
        <v>1.020779221</v>
      </c>
      <c r="AE270" s="124">
        <f t="shared" si="3"/>
        <v>-1.910680118</v>
      </c>
      <c r="AF270" s="124">
        <f t="shared" si="4"/>
        <v>-0.4181214967</v>
      </c>
      <c r="AG270" s="124">
        <f t="shared" si="5"/>
        <v>-1.679991623</v>
      </c>
      <c r="AH270" s="124">
        <f t="shared" si="6"/>
        <v>-0.6736386407</v>
      </c>
      <c r="AI270" s="124">
        <f t="shared" si="7"/>
        <v>-1.203538628</v>
      </c>
      <c r="AJ270" s="124">
        <f t="shared" si="8"/>
        <v>-0.606841774</v>
      </c>
      <c r="AK270" s="124">
        <f t="shared" si="9"/>
        <v>-0.3568439742</v>
      </c>
      <c r="AL270" s="124">
        <f t="shared" si="10"/>
        <v>0.122925098</v>
      </c>
      <c r="AM270" s="124">
        <f t="shared" si="11"/>
        <v>0</v>
      </c>
      <c r="AN270" s="183">
        <f t="shared" si="12"/>
        <v>-1.910680118</v>
      </c>
      <c r="AO270" s="183">
        <f t="shared" si="13"/>
        <v>-3.590671741</v>
      </c>
      <c r="AP270" s="183">
        <f t="array" ref="AP270">INDIRECT("Update"&amp;Projections!$AG$17&amp;"!S"&amp;ROW(B251))</f>
        <v>5.553246753</v>
      </c>
      <c r="AQ270" s="183">
        <f t="array" ref="AQ270">INDIRECT("Update"&amp;Projections!$AG$17&amp;"!T"&amp;ROW(B251))</f>
        <v>0.7768831169</v>
      </c>
    </row>
    <row r="271">
      <c r="A271" s="40" t="str">
        <f>IF(UpdateHashtag!C269="",ROW(UpdateHashtag!C269),UpdateHashtag!C269)</f>
        <v>Torrey Craig</v>
      </c>
      <c r="B271" s="41">
        <f>IF(TYPE($A271)=1,"",(UpdateHashtag!M269-B$1)/B$2)</f>
        <v>-2.12497364</v>
      </c>
      <c r="C271" s="41">
        <f>IF(TYPE($A271)=1,"",(UpdateHashtag!L269-C$1)/C$2)</f>
        <v>-0.7426238329</v>
      </c>
      <c r="D271" s="41">
        <f>IF(TYPE($A271)=1,"",(UpdateHashtag!N269-D$1)/D$2)</f>
        <v>-0.7772822094</v>
      </c>
      <c r="E271" s="41">
        <f>IF(TYPE($A271)=1,"",(UpdateHashtag!O269-E$1)/E$2)</f>
        <v>-1.286725494</v>
      </c>
      <c r="F271" s="41">
        <f>IF(TYPE($A271)=1,"",(UpdateHashtag!P269-F$1)/F$2)</f>
        <v>-1.574757169</v>
      </c>
      <c r="G271" s="41">
        <f>IF(TYPE($A271)=1,"",(UpdateHashtag!Q269-G$1)/G$2)</f>
        <v>-0.4435337589</v>
      </c>
      <c r="H271" s="41">
        <f>IF(TYPE($A271)=1,"",(UpdateHashtag!I269-H$1)/H$2*I271/$I$1)</f>
        <v>-0.2805359464</v>
      </c>
      <c r="I271" s="41">
        <f>UpdateHashtag!S269</f>
        <v>4.8</v>
      </c>
      <c r="J271" s="53">
        <f>IF(TYPE($A271)=1,"",(UpdateHashtag!K269-J$1)/J$2*K271/$K$1)</f>
        <v>-0.11238288</v>
      </c>
      <c r="K271" s="55">
        <f>UpdateHashtag!T269</f>
        <v>0.5</v>
      </c>
      <c r="L271" s="41">
        <f>IF(TYPE($A271)=1,"",-(UpdateHashtag!R269-L$1)/L$2)</f>
        <v>1.040202395</v>
      </c>
      <c r="N271" s="112">
        <v>251.0</v>
      </c>
      <c r="O271" s="170" t="str">
        <f t="array" ref="O271">INDIRECT("Update"&amp;Projections!$AG$17&amp;"!B"&amp;ROW(B252))</f>
        <v/>
      </c>
      <c r="P271" s="172" t="str">
        <f t="array" ref="P271">INDIRECT("Update"&amp;Projections!$AG$17&amp;"!C"&amp;ROW(B252))</f>
        <v>Ziaire Williams</v>
      </c>
      <c r="Q271" s="170">
        <f>UpdateHashtag!F312</f>
        <v>50</v>
      </c>
      <c r="R271" s="177" t="str">
        <f>IF(UpdateHashtag!D312="",ROW(UpdateHashtag!D312),UpdateHashtag!D312)</f>
        <v>PG,SG</v>
      </c>
      <c r="S271" s="124">
        <f t="shared" si="1"/>
        <v>-6.473815773</v>
      </c>
      <c r="T271" s="124">
        <f>SUM(AE271:AM271)-IFERROR(IFS(Projections!$I$17,AN271,Projections!$J$17,AO271),"")</f>
        <v>-6.600466571</v>
      </c>
      <c r="U271" s="124">
        <f t="shared" si="2"/>
        <v>-0.1266507975</v>
      </c>
      <c r="V271" s="124">
        <f t="array" ref="V271">INDIRECT("Update"&amp;Projections!$AG$17&amp;"!M"&amp;ROW(B252))</f>
        <v>9.384411765</v>
      </c>
      <c r="W271" s="124">
        <f t="array" ref="W271">INDIRECT("Update"&amp;Projections!$AG$17&amp;"!L"&amp;ROW(B252))</f>
        <v>1.28</v>
      </c>
      <c r="X271" s="124">
        <f t="array" ref="X271">INDIRECT("Update"&amp;Projections!$AG$17&amp;"!N"&amp;ROW(B252))</f>
        <v>3.240441176</v>
      </c>
      <c r="Y271" s="124">
        <f t="array" ref="Y271">INDIRECT("Update"&amp;Projections!$AG$17&amp;"!O"&amp;ROW(B252))</f>
        <v>1.851617647</v>
      </c>
      <c r="Z271" s="124">
        <f t="array" ref="Z271">INDIRECT("Update"&amp;Projections!$AG$17&amp;"!P"&amp;ROW(B252))</f>
        <v>0.6944117647</v>
      </c>
      <c r="AA271" s="124">
        <f t="array" ref="AA271">INDIRECT("Update"&amp;Projections!$AG$17&amp;"!Q"&amp;ROW(B252))</f>
        <v>0.1830882353</v>
      </c>
      <c r="AB271" s="180">
        <f t="array" ref="AB271">INDIRECT("Update"&amp;Projections!$AG$17&amp;"!I"&amp;ROW(B252))</f>
        <v>0.4161729012</v>
      </c>
      <c r="AC271" s="180">
        <f t="array" ref="AC271">INDIRECT("Update"&amp;Projections!$AG$17&amp;"!K"&amp;ROW(B252))</f>
        <v>0.813989239</v>
      </c>
      <c r="AD271" s="124">
        <f t="array" ref="AD271">INDIRECT("Update"&amp;Projections!$AG$17&amp;"!R"&amp;ROW(B252))</f>
        <v>1.237941176</v>
      </c>
      <c r="AE271" s="124">
        <f t="shared" si="3"/>
        <v>-1.460837644</v>
      </c>
      <c r="AF271" s="124">
        <f t="shared" si="4"/>
        <v>-0.464883842</v>
      </c>
      <c r="AG271" s="124">
        <f t="shared" si="5"/>
        <v>-1.114149326</v>
      </c>
      <c r="AH271" s="124">
        <f t="shared" si="6"/>
        <v>-0.9453870508</v>
      </c>
      <c r="AI271" s="124">
        <f t="shared" si="7"/>
        <v>-0.9315821263</v>
      </c>
      <c r="AJ271" s="124">
        <f t="shared" si="8"/>
        <v>-1.008792738</v>
      </c>
      <c r="AK271" s="124">
        <f t="shared" si="9"/>
        <v>-0.7770475219</v>
      </c>
      <c r="AL271" s="124">
        <f t="shared" si="10"/>
        <v>0.1022136787</v>
      </c>
      <c r="AM271" s="124">
        <f t="shared" si="11"/>
        <v>0</v>
      </c>
      <c r="AN271" s="183">
        <f t="shared" si="12"/>
        <v>-1.460837644</v>
      </c>
      <c r="AO271" s="183">
        <f t="shared" si="13"/>
        <v>-2.57498697</v>
      </c>
      <c r="AP271" s="183">
        <f t="array" ref="AP271">INDIRECT("Update"&amp;Projections!$AG$17&amp;"!S"&amp;ROW(B252))</f>
        <v>8.24</v>
      </c>
      <c r="AQ271" s="183">
        <f t="array" ref="AQ271">INDIRECT("Update"&amp;Projections!$AG$17&amp;"!T"&amp;ROW(B252))</f>
        <v>1.530588235</v>
      </c>
    </row>
    <row r="272">
      <c r="A272" s="40" t="str">
        <f>IF(UpdateHashtag!C270="",ROW(UpdateHashtag!C270),UpdateHashtag!C270)</f>
        <v>Gabe Vincent</v>
      </c>
      <c r="B272" s="41">
        <f>IF(TYPE($A272)=1,"",(UpdateHashtag!M270-B$1)/B$2)</f>
        <v>-1.638283415</v>
      </c>
      <c r="C272" s="41">
        <f>IF(TYPE($A272)=1,"",(UpdateHashtag!L270-C$1)/C$2)</f>
        <v>-0.2466595634</v>
      </c>
      <c r="D272" s="41">
        <f>IF(TYPE($A272)=1,"",(UpdateHashtag!N270-D$1)/D$2)</f>
        <v>-1.639477601</v>
      </c>
      <c r="E272" s="41">
        <f>IF(TYPE($A272)=1,"",(UpdateHashtag!O270-E$1)/E$2)</f>
        <v>-0.7417594022</v>
      </c>
      <c r="F272" s="41">
        <f>IF(TYPE($A272)=1,"",(UpdateHashtag!P270-F$1)/F$2)</f>
        <v>-0.2514318168</v>
      </c>
      <c r="G272" s="41">
        <f>IF(TYPE($A272)=1,"",(UpdateHashtag!Q270-G$1)/G$2)</f>
        <v>-1.156992888</v>
      </c>
      <c r="H272" s="41">
        <f>IF(TYPE($A272)=1,"",(UpdateHashtag!I270-H$1)/H$2*I272/$I$1)</f>
        <v>-0.915756284</v>
      </c>
      <c r="I272" s="41">
        <f>UpdateHashtag!S270</f>
        <v>7.7</v>
      </c>
      <c r="J272" s="53">
        <f>IF(TYPE($A272)=1,"",(UpdateHashtag!K270-J$1)/J$2*K272/$K$1)</f>
        <v>0.2284193453</v>
      </c>
      <c r="K272" s="55">
        <f>UpdateHashtag!T270</f>
        <v>1</v>
      </c>
      <c r="L272" s="41">
        <f>IF(TYPE($A272)=1,"",-(UpdateHashtag!R270-L$1)/L$2)</f>
        <v>0.5442381251</v>
      </c>
      <c r="N272" s="5">
        <v>252.0</v>
      </c>
      <c r="O272" s="170" t="str">
        <f t="array" ref="O272">INDIRECT("Update"&amp;Projections!$AG$17&amp;"!B"&amp;ROW(B253))</f>
        <v/>
      </c>
      <c r="P272" s="172" t="str">
        <f t="array" ref="P272">INDIRECT("Update"&amp;Projections!$AG$17&amp;"!C"&amp;ROW(B253))</f>
        <v>Josh Richardson</v>
      </c>
      <c r="Q272" s="170">
        <f>UpdateHashtag!F315</f>
        <v>70</v>
      </c>
      <c r="R272" s="177" t="str">
        <f>IF(UpdateHashtag!D315="",ROW(UpdateHashtag!D315),UpdateHashtag!D315)</f>
        <v>PG,SG</v>
      </c>
      <c r="S272" s="124">
        <f t="shared" si="1"/>
        <v>-6.549392122</v>
      </c>
      <c r="T272" s="124">
        <f>SUM(AE272:AM272)-IFERROR(IFS(Projections!$I$17,AN272,Projections!$J$17,AO272),"")</f>
        <v>-6.771661913</v>
      </c>
      <c r="U272" s="124">
        <f t="shared" si="2"/>
        <v>-0.2222697911</v>
      </c>
      <c r="V272" s="124">
        <f t="array" ref="V272">INDIRECT("Update"&amp;Projections!$AG$17&amp;"!M"&amp;ROW(B253))</f>
        <v>7.872352941</v>
      </c>
      <c r="W272" s="124">
        <f t="array" ref="W272">INDIRECT("Update"&amp;Projections!$AG$17&amp;"!L"&amp;ROW(B253))</f>
        <v>1.335735294</v>
      </c>
      <c r="X272" s="124">
        <f t="array" ref="X272">INDIRECT("Update"&amp;Projections!$AG$17&amp;"!N"&amp;ROW(B253))</f>
        <v>2.400735294</v>
      </c>
      <c r="Y272" s="124">
        <f t="array" ref="Y272">INDIRECT("Update"&amp;Projections!$AG$17&amp;"!O"&amp;ROW(B253))</f>
        <v>2.0425</v>
      </c>
      <c r="Z272" s="124">
        <f t="array" ref="Z272">INDIRECT("Update"&amp;Projections!$AG$17&amp;"!P"&amp;ROW(B253))</f>
        <v>0.6119117647</v>
      </c>
      <c r="AA272" s="124">
        <f t="array" ref="AA272">INDIRECT("Update"&amp;Projections!$AG$17&amp;"!Q"&amp;ROW(B253))</f>
        <v>0.2695588235</v>
      </c>
      <c r="AB272" s="180">
        <f t="array" ref="AB272">INDIRECT("Update"&amp;Projections!$AG$17&amp;"!I"&amp;ROW(B253))</f>
        <v>0.4353020543</v>
      </c>
      <c r="AC272" s="180">
        <f t="array" ref="AC272">INDIRECT("Update"&amp;Projections!$AG$17&amp;"!K"&amp;ROW(B253))</f>
        <v>0.8789317507</v>
      </c>
      <c r="AD272" s="124">
        <f t="array" ref="AD272">INDIRECT("Update"&amp;Projections!$AG$17&amp;"!R"&amp;ROW(B253))</f>
        <v>0.8523529412</v>
      </c>
      <c r="AE272" s="124">
        <f t="shared" si="3"/>
        <v>-1.733394773</v>
      </c>
      <c r="AF272" s="124">
        <f t="shared" si="4"/>
        <v>-0.4095984132</v>
      </c>
      <c r="AG272" s="124">
        <f t="shared" si="5"/>
        <v>-1.443235936</v>
      </c>
      <c r="AH272" s="124">
        <f t="shared" si="6"/>
        <v>-0.8587000426</v>
      </c>
      <c r="AI272" s="124">
        <f t="shared" si="7"/>
        <v>-1.20451798</v>
      </c>
      <c r="AJ272" s="124">
        <f t="shared" si="8"/>
        <v>-0.8545596619</v>
      </c>
      <c r="AK272" s="124">
        <f t="shared" si="9"/>
        <v>-0.4868992089</v>
      </c>
      <c r="AL272" s="124">
        <f t="shared" si="10"/>
        <v>0.2192441034</v>
      </c>
      <c r="AM272" s="124">
        <f t="shared" si="11"/>
        <v>0</v>
      </c>
      <c r="AN272" s="183">
        <f t="shared" si="12"/>
        <v>-1.733394773</v>
      </c>
      <c r="AO272" s="183">
        <f t="shared" si="13"/>
        <v>-3.176630709</v>
      </c>
      <c r="AP272" s="183">
        <f t="array" ref="AP272">INDIRECT("Update"&amp;Projections!$AG$17&amp;"!S"&amp;ROW(B253))</f>
        <v>6.757647059</v>
      </c>
      <c r="AQ272" s="183">
        <f t="array" ref="AQ272">INDIRECT("Update"&amp;Projections!$AG$17&amp;"!T"&amp;ROW(B253))</f>
        <v>0.7433823529</v>
      </c>
    </row>
    <row r="273">
      <c r="A273" s="40" t="str">
        <f>IF(UpdateHashtag!C271="",ROW(UpdateHashtag!C271),UpdateHashtag!C271)</f>
        <v>Julian Champagnie</v>
      </c>
      <c r="B273" s="41">
        <f>IF(TYPE($A273)=1,"",(UpdateHashtag!M271-B$1)/B$2)</f>
        <v>-1.926692437</v>
      </c>
      <c r="C273" s="41">
        <f>IF(TYPE($A273)=1,"",(UpdateHashtag!L271-C$1)/C$2)</f>
        <v>-0.3458524173</v>
      </c>
      <c r="D273" s="41">
        <f>IF(TYPE($A273)=1,"",(UpdateHashtag!N271-D$1)/D$2)</f>
        <v>-1.325952004</v>
      </c>
      <c r="E273" s="41">
        <f>IF(TYPE($A273)=1,"",(UpdateHashtag!O271-E$1)/E$2)</f>
        <v>-1.241311653</v>
      </c>
      <c r="F273" s="41">
        <f>IF(TYPE($A273)=1,"",(UpdateHashtag!P271-F$1)/F$2)</f>
        <v>-1.243925831</v>
      </c>
      <c r="G273" s="41">
        <f>IF(TYPE($A273)=1,"",(UpdateHashtag!Q271-G$1)/G$2)</f>
        <v>-0.4435337589</v>
      </c>
      <c r="H273" s="41">
        <f>IF(TYPE($A273)=1,"",(UpdateHashtag!I271-H$1)/H$2*I273/$I$1)</f>
        <v>-0.4851918884</v>
      </c>
      <c r="I273" s="41">
        <f>UpdateHashtag!S271</f>
        <v>5.4</v>
      </c>
      <c r="J273" s="53">
        <f>IF(TYPE($A273)=1,"",(UpdateHashtag!K271-J$1)/J$2*K273/$K$1)</f>
        <v>0.06190719322</v>
      </c>
      <c r="K273" s="55">
        <f>UpdateHashtag!T271</f>
        <v>1.1</v>
      </c>
      <c r="L273" s="41">
        <f>IF(TYPE($A273)=1,"",-(UpdateHashtag!R271-L$1)/L$2)</f>
        <v>1.040202395</v>
      </c>
      <c r="N273" s="5">
        <v>253.0</v>
      </c>
      <c r="O273" s="170" t="str">
        <f t="array" ref="O273">INDIRECT("Update"&amp;Projections!$AG$17&amp;"!B"&amp;ROW(B254))</f>
        <v>#N/A</v>
      </c>
      <c r="P273" s="172" t="str">
        <f t="array" ref="P273">INDIRECT("Update"&amp;Projections!$AG$17&amp;"!C"&amp;ROW(B254))</f>
        <v>Javonte Green</v>
      </c>
      <c r="Q273" s="170">
        <f>UpdateHashtag!F293</f>
        <v>65</v>
      </c>
      <c r="R273" s="177" t="str">
        <f>IF(UpdateHashtag!D293="",ROW(UpdateHashtag!D293),UpdateHashtag!D293)</f>
        <v>PF,C</v>
      </c>
      <c r="S273" s="124">
        <f t="shared" si="1"/>
        <v>-6.610041641</v>
      </c>
      <c r="T273" s="124">
        <f>SUM(AE273:AM273)-IFERROR(IFS(Projections!$I$17,AN273,Projections!$J$17,AO273),"")</f>
        <v>-6.914778621</v>
      </c>
      <c r="U273" s="124">
        <f t="shared" si="2"/>
        <v>-0.3047369793</v>
      </c>
      <c r="V273" s="124">
        <f t="array" ref="V273">INDIRECT("Update"&amp;Projections!$AG$17&amp;"!M"&amp;ROW(B254))</f>
        <v>5.3758</v>
      </c>
      <c r="W273" s="124">
        <f t="array" ref="W273">INDIRECT("Update"&amp;Projections!$AG$17&amp;"!L"&amp;ROW(B254))</f>
        <v>0.4928</v>
      </c>
      <c r="X273" s="124">
        <f t="array" ref="X273">INDIRECT("Update"&amp;Projections!$AG$17&amp;"!N"&amp;ROW(B254))</f>
        <v>3.1556</v>
      </c>
      <c r="Y273" s="124">
        <f t="array" ref="Y273">INDIRECT("Update"&amp;Projections!$AG$17&amp;"!O"&amp;ROW(B254))</f>
        <v>0.6682</v>
      </c>
      <c r="Z273" s="124">
        <f t="array" ref="Z273">INDIRECT("Update"&amp;Projections!$AG$17&amp;"!P"&amp;ROW(B254))</f>
        <v>0.891</v>
      </c>
      <c r="AA273" s="124">
        <f t="array" ref="AA273">INDIRECT("Update"&amp;Projections!$AG$17&amp;"!Q"&amp;ROW(B254))</f>
        <v>0.4084</v>
      </c>
      <c r="AB273" s="180">
        <f t="array" ref="AB273">INDIRECT("Update"&amp;Projections!$AG$17&amp;"!I"&amp;ROW(B254))</f>
        <v>0.5261300782</v>
      </c>
      <c r="AC273" s="180">
        <f t="array" ref="AC273">INDIRECT("Update"&amp;Projections!$AG$17&amp;"!K"&amp;ROW(B254))</f>
        <v>0.7460267006</v>
      </c>
      <c r="AD273" s="124">
        <f t="array" ref="AD273">INDIRECT("Update"&amp;Projections!$AG$17&amp;"!R"&amp;ROW(B254))</f>
        <v>0.5198</v>
      </c>
      <c r="AE273" s="124">
        <f t="shared" si="3"/>
        <v>-2.183412518</v>
      </c>
      <c r="AF273" s="124">
        <f t="shared" si="4"/>
        <v>-1.245729988</v>
      </c>
      <c r="AG273" s="124">
        <f t="shared" si="5"/>
        <v>-1.147399177</v>
      </c>
      <c r="AH273" s="124">
        <f t="shared" si="6"/>
        <v>-1.482822459</v>
      </c>
      <c r="AI273" s="124">
        <f t="shared" si="7"/>
        <v>-0.2812066372</v>
      </c>
      <c r="AJ273" s="124">
        <f t="shared" si="8"/>
        <v>-0.6069158995</v>
      </c>
      <c r="AK273" s="124">
        <f t="shared" si="9"/>
        <v>0.1409153672</v>
      </c>
      <c r="AL273" s="124">
        <f t="shared" si="10"/>
        <v>-0.1082073097</v>
      </c>
      <c r="AM273" s="124">
        <f t="shared" si="11"/>
        <v>0</v>
      </c>
      <c r="AN273" s="183">
        <f t="shared" si="12"/>
        <v>-2.183412518</v>
      </c>
      <c r="AO273" s="183">
        <f t="shared" si="13"/>
        <v>-3.666234977</v>
      </c>
      <c r="AP273" s="183">
        <f t="array" ref="AP273">INDIRECT("Update"&amp;Projections!$AG$17&amp;"!S"&amp;ROW(B254))</f>
        <v>4.1944</v>
      </c>
      <c r="AQ273" s="183">
        <f t="array" ref="AQ273">INDIRECT("Update"&amp;Projections!$AG$17&amp;"!T"&amp;ROW(B254))</f>
        <v>0.6292</v>
      </c>
    </row>
    <row r="274">
      <c r="A274" s="40" t="str">
        <f>IF(UpdateHashtag!C272="",ROW(UpdateHashtag!C272),UpdateHashtag!C272)</f>
        <v>Drew Eubanks</v>
      </c>
      <c r="B274" s="41">
        <f>IF(TYPE($A274)=1,"",(UpdateHashtag!M272-B$1)/B$2)</f>
        <v>-2.287203715</v>
      </c>
      <c r="C274" s="41">
        <f>IF(TYPE($A274)=1,"",(UpdateHashtag!L272-C$1)/C$2)</f>
        <v>-1.635359518</v>
      </c>
      <c r="D274" s="41">
        <f>IF(TYPE($A274)=1,"",(UpdateHashtag!N272-D$1)/D$2)</f>
        <v>-0.816472909</v>
      </c>
      <c r="E274" s="41">
        <f>IF(TYPE($A274)=1,"",(UpdateHashtag!O272-E$1)/E$2)</f>
        <v>-1.377553175</v>
      </c>
      <c r="F274" s="41">
        <f>IF(TYPE($A274)=1,"",(UpdateHashtag!P272-F$1)/F$2)</f>
        <v>-1.905588506</v>
      </c>
      <c r="G274" s="41">
        <f>IF(TYPE($A274)=1,"",(UpdateHashtag!Q272-G$1)/G$2)</f>
        <v>0.2699253707</v>
      </c>
      <c r="H274" s="41">
        <f>IF(TYPE($A274)=1,"",(UpdateHashtag!I272-H$1)/H$2*I274/$I$1)</f>
        <v>0.4643464832</v>
      </c>
      <c r="I274" s="41">
        <f>UpdateHashtag!S272</f>
        <v>3.2</v>
      </c>
      <c r="J274" s="53">
        <f>IF(TYPE($A274)=1,"",(UpdateHashtag!K272-J$1)/J$2*K274/$K$1)</f>
        <v>-0.3624637707</v>
      </c>
      <c r="K274" s="55">
        <f>UpdateHashtag!T272</f>
        <v>1.2</v>
      </c>
      <c r="L274" s="41">
        <f>IF(TYPE($A274)=1,"",-(UpdateHashtag!R272-L$1)/L$2)</f>
        <v>1.040202395</v>
      </c>
      <c r="N274" s="112">
        <v>254.0</v>
      </c>
      <c r="O274" s="170" t="str">
        <f t="array" ref="O274">INDIRECT("Update"&amp;Projections!$AG$17&amp;"!B"&amp;ROW(B255))</f>
        <v/>
      </c>
      <c r="P274" s="172" t="str">
        <f t="array" ref="P274">INDIRECT("Update"&amp;Projections!$AG$17&amp;"!C"&amp;ROW(B255))</f>
        <v>Julian Champagnie</v>
      </c>
      <c r="Q274" s="170">
        <f>UpdateHashtag!F323</f>
        <v>60</v>
      </c>
      <c r="R274" s="177">
        <f>IF(UpdateHashtag!D323="",ROW(UpdateHashtag!D323),UpdateHashtag!D323)</f>
        <v>323</v>
      </c>
      <c r="S274" s="124">
        <f t="shared" si="1"/>
        <v>-6.544671361</v>
      </c>
      <c r="T274" s="124">
        <f>SUM(AE274:AM274)-IFERROR(IFS(Projections!$I$17,AN274,Projections!$J$17,AO274),"")</f>
        <v>-6.771668998</v>
      </c>
      <c r="U274" s="124">
        <f t="shared" si="2"/>
        <v>-0.2269976374</v>
      </c>
      <c r="V274" s="124">
        <f t="array" ref="V274">INDIRECT("Update"&amp;Projections!$AG$17&amp;"!M"&amp;ROW(B255))</f>
        <v>7.77260274</v>
      </c>
      <c r="W274" s="124">
        <f t="array" ref="W274">INDIRECT("Update"&amp;Projections!$AG$17&amp;"!L"&amp;ROW(B255))</f>
        <v>1.368356164</v>
      </c>
      <c r="X274" s="124">
        <f t="array" ref="X274">INDIRECT("Update"&amp;Projections!$AG$17&amp;"!N"&amp;ROW(B255))</f>
        <v>2.666712329</v>
      </c>
      <c r="Y274" s="124">
        <f t="array" ref="Y274">INDIRECT("Update"&amp;Projections!$AG$17&amp;"!O"&amp;ROW(B255))</f>
        <v>1.416712329</v>
      </c>
      <c r="Z274" s="124">
        <f t="array" ref="Z274">INDIRECT("Update"&amp;Projections!$AG$17&amp;"!P"&amp;ROW(B255))</f>
        <v>0.561369863</v>
      </c>
      <c r="AA274" s="124">
        <f t="array" ref="AA274">INDIRECT("Update"&amp;Projections!$AG$17&amp;"!Q"&amp;ROW(B255))</f>
        <v>0.5116438356</v>
      </c>
      <c r="AB274" s="180">
        <f t="array" ref="AB274">INDIRECT("Update"&amp;Projections!$AG$17&amp;"!I"&amp;ROW(B255))</f>
        <v>0.4226782942</v>
      </c>
      <c r="AC274" s="180">
        <f t="array" ref="AC274">INDIRECT("Update"&amp;Projections!$AG$17&amp;"!K"&amp;ROW(B255))</f>
        <v>0.8220023677</v>
      </c>
      <c r="AD274" s="124">
        <f t="array" ref="AD274">INDIRECT("Update"&amp;Projections!$AG$17&amp;"!R"&amp;ROW(B255))</f>
        <v>0.8332876712</v>
      </c>
      <c r="AE274" s="124">
        <f t="shared" si="3"/>
        <v>-1.751375309</v>
      </c>
      <c r="AF274" s="124">
        <f t="shared" si="4"/>
        <v>-0.3772408413</v>
      </c>
      <c r="AG274" s="124">
        <f t="shared" si="5"/>
        <v>-1.338997675</v>
      </c>
      <c r="AH274" s="124">
        <f t="shared" si="6"/>
        <v>-1.14289426</v>
      </c>
      <c r="AI274" s="124">
        <f t="shared" si="7"/>
        <v>-1.37172643</v>
      </c>
      <c r="AJ274" s="124">
        <f t="shared" si="8"/>
        <v>-0.4227652568</v>
      </c>
      <c r="AK274" s="124">
        <f t="shared" si="9"/>
        <v>-0.5204578918</v>
      </c>
      <c r="AL274" s="124">
        <f t="shared" si="10"/>
        <v>0.1537886665</v>
      </c>
      <c r="AM274" s="124">
        <f t="shared" si="11"/>
        <v>0</v>
      </c>
      <c r="AN274" s="183">
        <f t="shared" si="12"/>
        <v>-1.751375309</v>
      </c>
      <c r="AO274" s="183">
        <f t="shared" si="13"/>
        <v>-3.123101739</v>
      </c>
      <c r="AP274" s="183">
        <f t="array" ref="AP274">INDIRECT("Update"&amp;Projections!$AG$17&amp;"!S"&amp;ROW(B255))</f>
        <v>6.000547945</v>
      </c>
      <c r="AQ274" s="183">
        <f t="array" ref="AQ274">INDIRECT("Update"&amp;Projections!$AG$17&amp;"!T"&amp;ROW(B255))</f>
        <v>1.62</v>
      </c>
    </row>
    <row r="275">
      <c r="A275" s="40" t="str">
        <f>IF(UpdateHashtag!C273="",ROW(UpdateHashtag!C273),UpdateHashtag!C273)</f>
        <v>Pat Connaughton</v>
      </c>
      <c r="B275" s="41">
        <f>IF(TYPE($A275)=1,"",(UpdateHashtag!M273-B$1)/B$2)</f>
        <v>-1.944718001</v>
      </c>
      <c r="C275" s="41">
        <f>IF(TYPE($A275)=1,"",(UpdateHashtag!L273-C$1)/C$2)</f>
        <v>-0.4450452712</v>
      </c>
      <c r="D275" s="41">
        <f>IF(TYPE($A275)=1,"",(UpdateHashtag!N273-D$1)/D$2)</f>
        <v>-0.816472909</v>
      </c>
      <c r="E275" s="41">
        <f>IF(TYPE($A275)=1,"",(UpdateHashtag!O273-E$1)/E$2)</f>
        <v>-0.9688286069</v>
      </c>
      <c r="F275" s="41">
        <f>IF(TYPE($A275)=1,"",(UpdateHashtag!P273-F$1)/F$2)</f>
        <v>-1.243925831</v>
      </c>
      <c r="G275" s="41">
        <f>IF(TYPE($A275)=1,"",(UpdateHashtag!Q273-G$1)/G$2)</f>
        <v>-0.978628106</v>
      </c>
      <c r="H275" s="41">
        <f>IF(TYPE($A275)=1,"",(UpdateHashtag!I273-H$1)/H$2*I275/$I$1)</f>
        <v>-0.5413710386</v>
      </c>
      <c r="I275" s="41">
        <f>UpdateHashtag!S273</f>
        <v>5.8</v>
      </c>
      <c r="J275" s="53">
        <f>IF(TYPE($A275)=1,"",(UpdateHashtag!K273-J$1)/J$2*K275/$K$1)</f>
        <v>-0.1352037361</v>
      </c>
      <c r="K275" s="55">
        <f>UpdateHashtag!T273</f>
        <v>0.7</v>
      </c>
      <c r="L275" s="41">
        <f>IF(TYPE($A275)=1,"",-(UpdateHashtag!R273-L$1)/L$2)</f>
        <v>1.139395249</v>
      </c>
      <c r="N275" s="112">
        <v>255.0</v>
      </c>
      <c r="O275" s="170">
        <f t="array" ref="O275">INDIRECT("Update"&amp;Projections!$AG$17&amp;"!B"&amp;ROW(B256))</f>
        <v>143.1</v>
      </c>
      <c r="P275" s="172" t="str">
        <f t="array" ref="P275">INDIRECT("Update"&amp;Projections!$AG$17&amp;"!C"&amp;ROW(B256))</f>
        <v>Marvin Bagley III</v>
      </c>
      <c r="Q275" s="170">
        <f>UpdateHashtag!F317</f>
        <v>58</v>
      </c>
      <c r="R275" s="177" t="str">
        <f>IF(UpdateHashtag!D317="",ROW(UpdateHashtag!D317),UpdateHashtag!D317)</f>
        <v>SG</v>
      </c>
      <c r="S275" s="124">
        <f t="shared" si="1"/>
        <v>-6.900505419</v>
      </c>
      <c r="T275" s="124">
        <f>SUM(AE275:AM275)-IFERROR(IFS(Projections!$I$17,AN275,Projections!$J$17,AO275),"")</f>
        <v>-7.142322037</v>
      </c>
      <c r="U275" s="124">
        <f t="shared" si="2"/>
        <v>-0.2418166181</v>
      </c>
      <c r="V275" s="124">
        <f t="array" ref="V275">INDIRECT("Update"&amp;Projections!$AG$17&amp;"!M"&amp;ROW(B256))</f>
        <v>8.063676471</v>
      </c>
      <c r="W275" s="124">
        <f t="array" ref="W275">INDIRECT("Update"&amp;Projections!$AG$17&amp;"!L"&amp;ROW(B256))</f>
        <v>0.1485294118</v>
      </c>
      <c r="X275" s="124">
        <f t="array" ref="X275">INDIRECT("Update"&amp;Projections!$AG$17&amp;"!N"&amp;ROW(B256))</f>
        <v>5.414558824</v>
      </c>
      <c r="Y275" s="124">
        <f t="array" ref="Y275">INDIRECT("Update"&amp;Projections!$AG$17&amp;"!O"&amp;ROW(B256))</f>
        <v>0.7366176471</v>
      </c>
      <c r="Z275" s="124">
        <f t="array" ref="Z275">INDIRECT("Update"&amp;Projections!$AG$17&amp;"!P"&amp;ROW(B256))</f>
        <v>0.325</v>
      </c>
      <c r="AA275" s="124">
        <f t="array" ref="AA275">INDIRECT("Update"&amp;Projections!$AG$17&amp;"!Q"&amp;ROW(B256))</f>
        <v>0.5892647059</v>
      </c>
      <c r="AB275" s="180">
        <f t="array" ref="AB275">INDIRECT("Update"&amp;Projections!$AG$17&amp;"!I"&amp;ROW(B256))</f>
        <v>0.5689190538</v>
      </c>
      <c r="AC275" s="180">
        <f t="array" ref="AC275">INDIRECT("Update"&amp;Projections!$AG$17&amp;"!K"&amp;ROW(B256))</f>
        <v>0.7599815157</v>
      </c>
      <c r="AD275" s="124">
        <f t="array" ref="AD275">INDIRECT("Update"&amp;Projections!$AG$17&amp;"!R"&amp;ROW(B256))</f>
        <v>0.7735294118</v>
      </c>
      <c r="AE275" s="124">
        <f t="shared" si="3"/>
        <v>-1.698907628</v>
      </c>
      <c r="AF275" s="124">
        <f t="shared" si="4"/>
        <v>-1.587221809</v>
      </c>
      <c r="AG275" s="124">
        <f t="shared" si="5"/>
        <v>-0.2620974092</v>
      </c>
      <c r="AH275" s="124">
        <f t="shared" si="6"/>
        <v>-1.451751377</v>
      </c>
      <c r="AI275" s="124">
        <f t="shared" si="7"/>
        <v>-2.15371201</v>
      </c>
      <c r="AJ275" s="124">
        <f t="shared" si="8"/>
        <v>-0.2843169604</v>
      </c>
      <c r="AK275" s="124">
        <f t="shared" si="9"/>
        <v>0.4913232868</v>
      </c>
      <c r="AL275" s="124">
        <f t="shared" si="10"/>
        <v>-0.1956381296</v>
      </c>
      <c r="AM275" s="124">
        <f t="shared" si="11"/>
        <v>0</v>
      </c>
      <c r="AN275" s="183">
        <f t="shared" si="12"/>
        <v>-2.15371201</v>
      </c>
      <c r="AO275" s="183">
        <f t="shared" si="13"/>
        <v>-3.852619638</v>
      </c>
      <c r="AP275" s="183">
        <f t="array" ref="AP275">INDIRECT("Update"&amp;Projections!$AG$17&amp;"!S"&amp;ROW(B256))</f>
        <v>5.893529412</v>
      </c>
      <c r="AQ275" s="183">
        <f t="array" ref="AQ275">INDIRECT("Update"&amp;Projections!$AG$17&amp;"!T"&amp;ROW(B256))</f>
        <v>1.591176471</v>
      </c>
    </row>
    <row r="276">
      <c r="A276" s="40" t="str">
        <f>IF(UpdateHashtag!C274="",ROW(UpdateHashtag!C274),UpdateHashtag!C274)</f>
        <v>Toumani Camara</v>
      </c>
      <c r="B276" s="41">
        <f>IF(TYPE($A276)=1,"",(UpdateHashtag!M274-B$1)/B$2)</f>
        <v>-2.034845821</v>
      </c>
      <c r="C276" s="41">
        <f>IF(TYPE($A276)=1,"",(UpdateHashtag!L274-C$1)/C$2)</f>
        <v>-1.040202395</v>
      </c>
      <c r="D276" s="41">
        <f>IF(TYPE($A276)=1,"",(UpdateHashtag!N274-D$1)/D$2)</f>
        <v>-0.816472909</v>
      </c>
      <c r="E276" s="41">
        <f>IF(TYPE($A276)=1,"",(UpdateHashtag!O274-E$1)/E$2)</f>
        <v>-1.332139334</v>
      </c>
      <c r="F276" s="41">
        <f>IF(TYPE($A276)=1,"",(UpdateHashtag!P274-F$1)/F$2)</f>
        <v>-0.5822631548</v>
      </c>
      <c r="G276" s="41">
        <f>IF(TYPE($A276)=1,"",(UpdateHashtag!Q274-G$1)/G$2)</f>
        <v>-0.6218985413</v>
      </c>
      <c r="H276" s="41">
        <f>IF(TYPE($A276)=1,"",(UpdateHashtag!I274-H$1)/H$2*I276/$I$1)</f>
        <v>-0.2862051956</v>
      </c>
      <c r="I276" s="41">
        <f>UpdateHashtag!S274</f>
        <v>5.1</v>
      </c>
      <c r="J276" s="53">
        <f>IF(TYPE($A276)=1,"",(UpdateHashtag!K274-J$1)/J$2*K276/$K$1)</f>
        <v>-0.1516800008</v>
      </c>
      <c r="K276" s="55">
        <f>UpdateHashtag!T274</f>
        <v>1.2</v>
      </c>
      <c r="L276" s="41">
        <f>IF(TYPE($A276)=1,"",-(UpdateHashtag!R274-L$1)/L$2)</f>
        <v>0.7426238329</v>
      </c>
      <c r="N276" s="5">
        <v>256.0</v>
      </c>
      <c r="O276" s="170" t="str">
        <f t="array" ref="O276">INDIRECT("Update"&amp;Projections!$AG$17&amp;"!B"&amp;ROW(B257))</f>
        <v/>
      </c>
      <c r="P276" s="172" t="str">
        <f t="array" ref="P276">INDIRECT("Update"&amp;Projections!$AG$17&amp;"!C"&amp;ROW(B257))</f>
        <v>Drew Eubanks</v>
      </c>
      <c r="Q276" s="170">
        <f>UpdateHashtag!F319</f>
        <v>60</v>
      </c>
      <c r="R276" s="177" t="str">
        <f>IF(UpdateHashtag!D319="",ROW(UpdateHashtag!D319),UpdateHashtag!D319)</f>
        <v>SF,PF</v>
      </c>
      <c r="S276" s="124">
        <f t="shared" si="1"/>
        <v>-6.855114403</v>
      </c>
      <c r="T276" s="124">
        <f>SUM(AE276:AM276)-IFERROR(IFS(Projections!$I$17,AN276,Projections!$J$17,AO276),"")</f>
        <v>-7.111326374</v>
      </c>
      <c r="U276" s="124">
        <f t="shared" si="2"/>
        <v>-0.2562119711</v>
      </c>
      <c r="V276" s="124">
        <f t="array" ref="V276">INDIRECT("Update"&amp;Projections!$AG$17&amp;"!M"&amp;ROW(B257))</f>
        <v>4.770821918</v>
      </c>
      <c r="W276" s="124">
        <f t="array" ref="W276">INDIRECT("Update"&amp;Projections!$AG$17&amp;"!L"&amp;ROW(B257))</f>
        <v>0.004931506849</v>
      </c>
      <c r="X276" s="124">
        <f t="array" ref="X276">INDIRECT("Update"&amp;Projections!$AG$17&amp;"!N"&amp;ROW(B257))</f>
        <v>5.22260274</v>
      </c>
      <c r="Y276" s="124">
        <f t="array" ref="Y276">INDIRECT("Update"&amp;Projections!$AG$17&amp;"!O"&amp;ROW(B257))</f>
        <v>0.977260274</v>
      </c>
      <c r="Z276" s="124">
        <f t="array" ref="Z276">INDIRECT("Update"&amp;Projections!$AG$17&amp;"!P"&amp;ROW(B257))</f>
        <v>0.4310958904</v>
      </c>
      <c r="AA276" s="124">
        <f t="array" ref="AA276">INDIRECT("Update"&amp;Projections!$AG$17&amp;"!Q"&amp;ROW(B257))</f>
        <v>0.8920547945</v>
      </c>
      <c r="AB276" s="180">
        <f t="array" ref="AB276">INDIRECT("Update"&amp;Projections!$AG$17&amp;"!I"&amp;ROW(B257))</f>
        <v>0.5785358069</v>
      </c>
      <c r="AC276" s="180">
        <f t="array" ref="AC276">INDIRECT("Update"&amp;Projections!$AG$17&amp;"!K"&amp;ROW(B257))</f>
        <v>0.74494917</v>
      </c>
      <c r="AD276" s="124">
        <f t="array" ref="AD276">INDIRECT("Update"&amp;Projections!$AG$17&amp;"!R"&amp;ROW(B257))</f>
        <v>0.7154794521</v>
      </c>
      <c r="AE276" s="124">
        <f t="shared" si="3"/>
        <v>-2.292463229</v>
      </c>
      <c r="AF276" s="124">
        <f t="shared" si="4"/>
        <v>-1.72966067</v>
      </c>
      <c r="AG276" s="124">
        <f t="shared" si="5"/>
        <v>-0.3373263415</v>
      </c>
      <c r="AH276" s="124">
        <f t="shared" si="6"/>
        <v>-1.342466317</v>
      </c>
      <c r="AI276" s="124">
        <f t="shared" si="7"/>
        <v>-1.802713556</v>
      </c>
      <c r="AJ276" s="124">
        <f t="shared" si="8"/>
        <v>0.2557539222</v>
      </c>
      <c r="AK276" s="124">
        <f t="shared" si="9"/>
        <v>0.3246514918</v>
      </c>
      <c r="AL276" s="124">
        <f t="shared" si="10"/>
        <v>-0.1871016743</v>
      </c>
      <c r="AM276" s="124">
        <f t="shared" si="11"/>
        <v>0</v>
      </c>
      <c r="AN276" s="183">
        <f t="shared" si="12"/>
        <v>-2.292463229</v>
      </c>
      <c r="AO276" s="183">
        <f t="shared" si="13"/>
        <v>-4.095176785</v>
      </c>
      <c r="AP276" s="183">
        <f t="array" ref="AP276">INDIRECT("Update"&amp;Projections!$AG$17&amp;"!S"&amp;ROW(B257))</f>
        <v>3.433561644</v>
      </c>
      <c r="AQ276" s="183">
        <f t="array" ref="AQ276">INDIRECT("Update"&amp;Projections!$AG$17&amp;"!T"&amp;ROW(B257))</f>
        <v>1.064520548</v>
      </c>
    </row>
    <row r="277">
      <c r="A277" s="40" t="str">
        <f>IF(UpdateHashtag!C275="",ROW(UpdateHashtag!C275),UpdateHashtag!C275)</f>
        <v>Cody Martin</v>
      </c>
      <c r="B277" s="41">
        <f>IF(TYPE($A277)=1,"",(UpdateHashtag!M275-B$1)/B$2)</f>
        <v>-1.962743565</v>
      </c>
      <c r="C277" s="41">
        <f>IF(TYPE($A277)=1,"",(UpdateHashtag!L275-C$1)/C$2)</f>
        <v>-0.9410095407</v>
      </c>
      <c r="D277" s="41">
        <f>IF(TYPE($A277)=1,"",(UpdateHashtag!N275-D$1)/D$2)</f>
        <v>-0.9732357076</v>
      </c>
      <c r="E277" s="41">
        <f>IF(TYPE($A277)=1,"",(UpdateHashtag!O275-E$1)/E$2)</f>
        <v>-0.3784486746</v>
      </c>
      <c r="F277" s="41">
        <f>IF(TYPE($A277)=1,"",(UpdateHashtag!P275-F$1)/F$2)</f>
        <v>0.0793995211</v>
      </c>
      <c r="G277" s="41">
        <f>IF(TYPE($A277)=1,"",(UpdateHashtag!Q275-G$1)/G$2)</f>
        <v>-0.4435337589</v>
      </c>
      <c r="H277" s="41">
        <f>IF(TYPE($A277)=1,"",(UpdateHashtag!I275-H$1)/H$2*I277/$I$1)</f>
        <v>-0.8903450821</v>
      </c>
      <c r="I277" s="41">
        <f>UpdateHashtag!S275</f>
        <v>6.7</v>
      </c>
      <c r="J277" s="53">
        <f>IF(TYPE($A277)=1,"",(UpdateHashtag!K275-J$1)/J$2*K277/$K$1)</f>
        <v>-0.7612034283</v>
      </c>
      <c r="K277" s="55">
        <f>UpdateHashtag!T275</f>
        <v>1.1</v>
      </c>
      <c r="L277" s="41">
        <f>IF(TYPE($A277)=1,"",-(UpdateHashtag!R275-L$1)/L$2)</f>
        <v>0.5442381251</v>
      </c>
      <c r="N277" s="5">
        <v>257.0</v>
      </c>
      <c r="O277" s="170" t="str">
        <f t="array" ref="O277">INDIRECT("Update"&amp;Projections!$AG$17&amp;"!B"&amp;ROW(B258))</f>
        <v/>
      </c>
      <c r="P277" s="172" t="str">
        <f t="array" ref="P277">INDIRECT("Update"&amp;Projections!$AG$17&amp;"!C"&amp;ROW(B258))</f>
        <v>Ben Sheppard</v>
      </c>
      <c r="Q277" s="170">
        <f>UpdateHashtag!F306</f>
        <v>65</v>
      </c>
      <c r="R277" s="177" t="str">
        <f>IF(UpdateHashtag!D306="",ROW(UpdateHashtag!D306),UpdateHashtag!D306)</f>
        <v>SG,SF</v>
      </c>
      <c r="S277" s="124">
        <f t="shared" si="1"/>
        <v>-6.437848619</v>
      </c>
      <c r="T277" s="124">
        <f>SUM(AE277:AM277)-IFERROR(IFS(Projections!$I$17,AN277,Projections!$J$17,AO277),"")</f>
        <v>-6.726230327</v>
      </c>
      <c r="U277" s="124">
        <f t="shared" si="2"/>
        <v>-0.2883817083</v>
      </c>
      <c r="V277" s="124">
        <f t="array" ref="V277">INDIRECT("Update"&amp;Projections!$AG$17&amp;"!M"&amp;ROW(B258))</f>
        <v>7.377808219</v>
      </c>
      <c r="W277" s="124">
        <f t="array" ref="W277">INDIRECT("Update"&amp;Projections!$AG$17&amp;"!L"&amp;ROW(B258))</f>
        <v>1.523150685</v>
      </c>
      <c r="X277" s="124">
        <f t="array" ref="X277">INDIRECT("Update"&amp;Projections!$AG$17&amp;"!N"&amp;ROW(B258))</f>
        <v>2.298219178</v>
      </c>
      <c r="Y277" s="124">
        <f t="array" ref="Y277">INDIRECT("Update"&amp;Projections!$AG$17&amp;"!O"&amp;ROW(B258))</f>
        <v>1.470273973</v>
      </c>
      <c r="Z277" s="124">
        <f t="array" ref="Z277">INDIRECT("Update"&amp;Projections!$AG$17&amp;"!P"&amp;ROW(B258))</f>
        <v>0.8828767123</v>
      </c>
      <c r="AA277" s="124">
        <f t="array" ref="AA277">INDIRECT("Update"&amp;Projections!$AG$17&amp;"!Q"&amp;ROW(B258))</f>
        <v>0.04424657534</v>
      </c>
      <c r="AB277" s="180">
        <f t="array" ref="AB277">INDIRECT("Update"&amp;Projections!$AG$17&amp;"!I"&amp;ROW(B258))</f>
        <v>0.4119904284</v>
      </c>
      <c r="AC277" s="180">
        <f t="array" ref="AC277">INDIRECT("Update"&amp;Projections!$AG$17&amp;"!K"&amp;ROW(B258))</f>
        <v>0.8400595127</v>
      </c>
      <c r="AD277" s="124">
        <f t="array" ref="AD277">INDIRECT("Update"&amp;Projections!$AG$17&amp;"!R"&amp;ROW(B258))</f>
        <v>0.5857534247</v>
      </c>
      <c r="AE277" s="124">
        <f t="shared" si="3"/>
        <v>-1.822539248</v>
      </c>
      <c r="AF277" s="124">
        <f t="shared" si="4"/>
        <v>-0.2236957382</v>
      </c>
      <c r="AG277" s="124">
        <f t="shared" si="5"/>
        <v>-1.483412719</v>
      </c>
      <c r="AH277" s="124">
        <f t="shared" si="6"/>
        <v>-1.11856986</v>
      </c>
      <c r="AI277" s="124">
        <f t="shared" si="7"/>
        <v>-0.3080810186</v>
      </c>
      <c r="AJ277" s="124">
        <f t="shared" si="8"/>
        <v>-1.256437363</v>
      </c>
      <c r="AK277" s="124">
        <f t="shared" si="9"/>
        <v>-0.6301437257</v>
      </c>
      <c r="AL277" s="124">
        <f t="shared" si="10"/>
        <v>0.1166493455</v>
      </c>
      <c r="AM277" s="124">
        <f t="shared" si="11"/>
        <v>0</v>
      </c>
      <c r="AN277" s="183">
        <f t="shared" si="12"/>
        <v>-1.822539248</v>
      </c>
      <c r="AO277" s="183">
        <f t="shared" si="13"/>
        <v>-3.305951967</v>
      </c>
      <c r="AP277" s="183">
        <f t="array" ref="AP277">INDIRECT("Update"&amp;Projections!$AG$17&amp;"!S"&amp;ROW(B258))</f>
        <v>6.354383562</v>
      </c>
      <c r="AQ277" s="183">
        <f t="array" ref="AQ277">INDIRECT("Update"&amp;Projections!$AG$17&amp;"!T"&amp;ROW(B258))</f>
        <v>0.7365753425</v>
      </c>
    </row>
    <row r="278">
      <c r="A278" s="40" t="str">
        <f>IF(UpdateHashtag!C276="",ROW(UpdateHashtag!C276),UpdateHashtag!C276)</f>
        <v>Alec Burks</v>
      </c>
      <c r="B278" s="41">
        <f>IF(TYPE($A278)=1,"",(UpdateHashtag!M276-B$1)/B$2)</f>
        <v>-1.349874393</v>
      </c>
      <c r="C278" s="41">
        <f>IF(TYPE($A278)=1,"",(UpdateHashtag!L276-C$1)/C$2)</f>
        <v>-0.04827385557</v>
      </c>
      <c r="D278" s="41">
        <f>IF(TYPE($A278)=1,"",(UpdateHashtag!N276-D$1)/D$2)</f>
        <v>-1.482714803</v>
      </c>
      <c r="E278" s="41">
        <f>IF(TYPE($A278)=1,"",(UpdateHashtag!O276-E$1)/E$2)</f>
        <v>-1.10507013</v>
      </c>
      <c r="F278" s="41">
        <f>IF(TYPE($A278)=1,"",(UpdateHashtag!P276-F$1)/F$2)</f>
        <v>-1.574757169</v>
      </c>
      <c r="G278" s="41">
        <f>IF(TYPE($A278)=1,"",(UpdateHashtag!Q276-G$1)/G$2)</f>
        <v>-0.978628106</v>
      </c>
      <c r="H278" s="41">
        <f>IF(TYPE($A278)=1,"",(UpdateHashtag!I276-H$1)/H$2*I278/$I$1)</f>
        <v>-0.8799309093</v>
      </c>
      <c r="I278" s="41">
        <f>UpdateHashtag!S276</f>
        <v>7.7</v>
      </c>
      <c r="J278" s="53">
        <f>IF(TYPE($A278)=1,"",(UpdateHashtag!K276-J$1)/J$2*K278/$K$1)</f>
        <v>0.420344994</v>
      </c>
      <c r="K278" s="55">
        <f>UpdateHashtag!T276</f>
        <v>2.6</v>
      </c>
      <c r="L278" s="41">
        <f>IF(TYPE($A278)=1,"",-(UpdateHashtag!R276-L$1)/L$2)</f>
        <v>0.9410095407</v>
      </c>
      <c r="N278" s="112">
        <v>258.0</v>
      </c>
      <c r="O278" s="170" t="str">
        <f t="array" ref="O278">INDIRECT("Update"&amp;Projections!$AG$17&amp;"!B"&amp;ROW(B259))</f>
        <v/>
      </c>
      <c r="P278" s="172" t="str">
        <f t="array" ref="P278">INDIRECT("Update"&amp;Projections!$AG$17&amp;"!C"&amp;ROW(B259))</f>
        <v>Mo Bamba</v>
      </c>
      <c r="Q278" s="170">
        <f>UpdateHashtag!F318</f>
        <v>68</v>
      </c>
      <c r="R278" s="177" t="str">
        <f>IF(UpdateHashtag!D318="",ROW(UpdateHashtag!D318),UpdateHashtag!D318)</f>
        <v>SG,SF</v>
      </c>
      <c r="S278" s="124">
        <f t="shared" si="1"/>
        <v>-6.755959408</v>
      </c>
      <c r="T278" s="124">
        <f>SUM(AE278:AM278)-IFERROR(IFS(Projections!$I$17,AN278,Projections!$J$17,AO278),"")</f>
        <v>-7.030123108</v>
      </c>
      <c r="U278" s="124">
        <f t="shared" si="2"/>
        <v>-0.2741636996</v>
      </c>
      <c r="V278" s="124">
        <f t="array" ref="V278">INDIRECT("Update"&amp;Projections!$AG$17&amp;"!M"&amp;ROW(B259))</f>
        <v>6.155735294</v>
      </c>
      <c r="W278" s="124">
        <f t="array" ref="W278">INDIRECT("Update"&amp;Projections!$AG$17&amp;"!L"&amp;ROW(B259))</f>
        <v>0.7216176471</v>
      </c>
      <c r="X278" s="124">
        <f t="array" ref="X278">INDIRECT("Update"&amp;Projections!$AG$17&amp;"!N"&amp;ROW(B259))</f>
        <v>4.624411765</v>
      </c>
      <c r="Y278" s="124">
        <f t="array" ref="Y278">INDIRECT("Update"&amp;Projections!$AG$17&amp;"!O"&amp;ROW(B259))</f>
        <v>0.875</v>
      </c>
      <c r="Z278" s="124">
        <f t="array" ref="Z278">INDIRECT("Update"&amp;Projections!$AG$17&amp;"!P"&amp;ROW(B259))</f>
        <v>0.3369117647</v>
      </c>
      <c r="AA278" s="124">
        <f t="array" ref="AA278">INDIRECT("Update"&amp;Projections!$AG$17&amp;"!Q"&amp;ROW(B259))</f>
        <v>1.041323529</v>
      </c>
      <c r="AB278" s="180">
        <f t="array" ref="AB278">INDIRECT("Update"&amp;Projections!$AG$17&amp;"!I"&amp;ROW(B259))</f>
        <v>0.4910166656</v>
      </c>
      <c r="AC278" s="180">
        <f t="array" ref="AC278">INDIRECT("Update"&amp;Projections!$AG$17&amp;"!K"&amp;ROW(B259))</f>
        <v>0.6970260223</v>
      </c>
      <c r="AD278" s="124">
        <f t="array" ref="AD278">INDIRECT("Update"&amp;Projections!$AG$17&amp;"!R"&amp;ROW(B259))</f>
        <v>0.6430882353</v>
      </c>
      <c r="AE278" s="124">
        <f t="shared" si="3"/>
        <v>-2.042824783</v>
      </c>
      <c r="AF278" s="124">
        <f t="shared" si="4"/>
        <v>-1.018759234</v>
      </c>
      <c r="AG278" s="124">
        <f t="shared" si="5"/>
        <v>-0.5717615697</v>
      </c>
      <c r="AH278" s="124">
        <f t="shared" si="6"/>
        <v>-1.388906636</v>
      </c>
      <c r="AI278" s="124">
        <f t="shared" si="7"/>
        <v>-2.114304159</v>
      </c>
      <c r="AJ278" s="124">
        <f t="shared" si="8"/>
        <v>0.5219967756</v>
      </c>
      <c r="AK278" s="124">
        <f t="shared" si="9"/>
        <v>-0.03440168107</v>
      </c>
      <c r="AL278" s="124">
        <f t="shared" si="10"/>
        <v>-0.3811618204</v>
      </c>
      <c r="AM278" s="124">
        <f t="shared" si="11"/>
        <v>0</v>
      </c>
      <c r="AN278" s="183">
        <f t="shared" si="12"/>
        <v>-2.114304159</v>
      </c>
      <c r="AO278" s="183">
        <f t="shared" si="13"/>
        <v>-4.157128943</v>
      </c>
      <c r="AP278" s="183">
        <f t="array" ref="AP278">INDIRECT("Update"&amp;Projections!$AG$17&amp;"!S"&amp;ROW(B259))</f>
        <v>4.747352941</v>
      </c>
      <c r="AQ278" s="183">
        <f t="array" ref="AQ278">INDIRECT("Update"&amp;Projections!$AG$17&amp;"!T"&amp;ROW(B259))</f>
        <v>1.107647059</v>
      </c>
    </row>
    <row r="279">
      <c r="A279" s="40" t="str">
        <f>IF(UpdateHashtag!C277="",ROW(UpdateHashtag!C277),UpdateHashtag!C277)</f>
        <v>Dean Wade</v>
      </c>
      <c r="B279" s="41">
        <f>IF(TYPE($A279)=1,"",(UpdateHashtag!M277-B$1)/B$2)</f>
        <v>-2.269178151</v>
      </c>
      <c r="C279" s="41">
        <f>IF(TYPE($A279)=1,"",(UpdateHashtag!L277-C$1)/C$2)</f>
        <v>-0.5442381251</v>
      </c>
      <c r="D279" s="41">
        <f>IF(TYPE($A279)=1,"",(UpdateHashtag!N277-D$1)/D$2)</f>
        <v>-0.9732357076</v>
      </c>
      <c r="E279" s="41">
        <f>IF(TYPE($A279)=1,"",(UpdateHashtag!O277-E$1)/E$2)</f>
        <v>-1.422967016</v>
      </c>
      <c r="F279" s="41">
        <f>IF(TYPE($A279)=1,"",(UpdateHashtag!P277-F$1)/F$2)</f>
        <v>-0.9130944927</v>
      </c>
      <c r="G279" s="41">
        <f>IF(TYPE($A279)=1,"",(UpdateHashtag!Q277-G$1)/G$2)</f>
        <v>-0.4435337589</v>
      </c>
      <c r="H279" s="41">
        <f>IF(TYPE($A279)=1,"",(UpdateHashtag!I277-H$1)/H$2*I279/$I$1)</f>
        <v>-0.3873172751</v>
      </c>
      <c r="I279" s="41">
        <f>UpdateHashtag!S277</f>
        <v>4</v>
      </c>
      <c r="J279" s="53">
        <f>IF(TYPE($A279)=1,"",(UpdateHashtag!K277-J$1)/J$2*K279/$K$1)</f>
        <v>-0.1527831026</v>
      </c>
      <c r="K279" s="55">
        <f>UpdateHashtag!T277</f>
        <v>0.5</v>
      </c>
      <c r="L279" s="41">
        <f>IF(TYPE($A279)=1,"",-(UpdateHashtag!R277-L$1)/L$2)</f>
        <v>1.337780956</v>
      </c>
      <c r="N279" s="112">
        <v>259.0</v>
      </c>
      <c r="O279" s="170" t="str">
        <f t="array" ref="O279">INDIRECT("Update"&amp;Projections!$AG$17&amp;"!B"&amp;ROW(B260))</f>
        <v/>
      </c>
      <c r="P279" s="172" t="str">
        <f t="array" ref="P279">INDIRECT("Update"&amp;Projections!$AG$17&amp;"!C"&amp;ROW(B260))</f>
        <v>Matisse Thybulle</v>
      </c>
      <c r="Q279" s="170">
        <f>UpdateHashtag!F311</f>
        <v>34</v>
      </c>
      <c r="R279" s="177" t="str">
        <f>IF(UpdateHashtag!D311="",ROW(UpdateHashtag!D311),UpdateHashtag!D311)</f>
        <v>PF,C</v>
      </c>
      <c r="S279" s="124">
        <f t="shared" si="1"/>
        <v>-6.490103589</v>
      </c>
      <c r="T279" s="124">
        <f>SUM(AE279:AM279)-IFERROR(IFS(Projections!$I$17,AN279,Projections!$J$17,AO279),"")</f>
        <v>-6.824466167</v>
      </c>
      <c r="U279" s="124">
        <f t="shared" si="2"/>
        <v>-0.3343625784</v>
      </c>
      <c r="V279" s="124">
        <f t="array" ref="V279">INDIRECT("Update"&amp;Projections!$AG$17&amp;"!M"&amp;ROW(B260))</f>
        <v>3.458666667</v>
      </c>
      <c r="W279" s="124">
        <f t="array" ref="W279">INDIRECT("Update"&amp;Projections!$AG$17&amp;"!L"&amp;ROW(B260))</f>
        <v>0.7516666667</v>
      </c>
      <c r="X279" s="124">
        <f t="array" ref="X279">INDIRECT("Update"&amp;Projections!$AG$17&amp;"!N"&amp;ROW(B260))</f>
        <v>1.617</v>
      </c>
      <c r="Y279" s="124">
        <f t="array" ref="Y279">INDIRECT("Update"&amp;Projections!$AG$17&amp;"!O"&amp;ROW(B260))</f>
        <v>0.9056666667</v>
      </c>
      <c r="Z279" s="124">
        <f t="array" ref="Z279">INDIRECT("Update"&amp;Projections!$AG$17&amp;"!P"&amp;ROW(B260))</f>
        <v>1.1955</v>
      </c>
      <c r="AA279" s="124">
        <f t="array" ref="AA279">INDIRECT("Update"&amp;Projections!$AG$17&amp;"!Q"&amp;ROW(B260))</f>
        <v>0.5015</v>
      </c>
      <c r="AB279" s="180">
        <f t="array" ref="AB279">INDIRECT("Update"&amp;Projections!$AG$17&amp;"!I"&amp;ROW(B260))</f>
        <v>0.387022861</v>
      </c>
      <c r="AC279" s="180">
        <f t="array" ref="AC279">INDIRECT("Update"&amp;Projections!$AG$17&amp;"!K"&amp;ROW(B260))</f>
        <v>0.7432578209</v>
      </c>
      <c r="AD279" s="124">
        <f t="array" ref="AD279">INDIRECT("Update"&amp;Projections!$AG$17&amp;"!R"&amp;ROW(B260))</f>
        <v>0.4003333333</v>
      </c>
      <c r="AE279" s="124">
        <f t="shared" si="3"/>
        <v>-2.528986611</v>
      </c>
      <c r="AF279" s="124">
        <f t="shared" si="4"/>
        <v>-0.9889527534</v>
      </c>
      <c r="AG279" s="124">
        <f t="shared" si="5"/>
        <v>-1.750387281</v>
      </c>
      <c r="AH279" s="124">
        <f t="shared" si="6"/>
        <v>-1.374979724</v>
      </c>
      <c r="AI279" s="124">
        <f t="shared" si="7"/>
        <v>0.7261747868</v>
      </c>
      <c r="AJ279" s="124">
        <f t="shared" si="8"/>
        <v>-0.4408582871</v>
      </c>
      <c r="AK279" s="124">
        <f t="shared" si="9"/>
        <v>-0.4103299876</v>
      </c>
      <c r="AL279" s="124">
        <f t="shared" si="10"/>
        <v>-0.05614630888</v>
      </c>
      <c r="AM279" s="124">
        <f t="shared" si="11"/>
        <v>0</v>
      </c>
      <c r="AN279" s="183">
        <f t="shared" si="12"/>
        <v>-2.528986611</v>
      </c>
      <c r="AO279" s="183">
        <f t="shared" si="13"/>
        <v>-4.279373893</v>
      </c>
      <c r="AP279" s="183">
        <f t="array" ref="AP279">INDIRECT("Update"&amp;Projections!$AG$17&amp;"!S"&amp;ROW(B260))</f>
        <v>3.2005</v>
      </c>
      <c r="AQ279" s="183">
        <f t="array" ref="AQ279">INDIRECT("Update"&amp;Projections!$AG$17&amp;"!T"&amp;ROW(B260))</f>
        <v>0.309</v>
      </c>
    </row>
    <row r="280">
      <c r="A280" s="40" t="str">
        <f>IF(UpdateHashtag!C278="",ROW(UpdateHashtag!C278),UpdateHashtag!C278)</f>
        <v>Aaron Wiggins</v>
      </c>
      <c r="B280" s="41">
        <f>IF(TYPE($A280)=1,"",(UpdateHashtag!M278-B$1)/B$2)</f>
        <v>-1.980769129</v>
      </c>
      <c r="C280" s="41">
        <f>IF(TYPE($A280)=1,"",(UpdateHashtag!L278-C$1)/C$2)</f>
        <v>-1.040202395</v>
      </c>
      <c r="D280" s="41">
        <f>IF(TYPE($A280)=1,"",(UpdateHashtag!N278-D$1)/D$2)</f>
        <v>-1.404333404</v>
      </c>
      <c r="E280" s="41">
        <f>IF(TYPE($A280)=1,"",(UpdateHashtag!O278-E$1)/E$2)</f>
        <v>-1.286725494</v>
      </c>
      <c r="F280" s="41">
        <f>IF(TYPE($A280)=1,"",(UpdateHashtag!P278-F$1)/F$2)</f>
        <v>-1.243925831</v>
      </c>
      <c r="G280" s="41">
        <f>IF(TYPE($A280)=1,"",(UpdateHashtag!Q278-G$1)/G$2)</f>
        <v>-0.978628106</v>
      </c>
      <c r="H280" s="41">
        <f>IF(TYPE($A280)=1,"",(UpdateHashtag!I278-H$1)/H$2*I280/$I$1)</f>
        <v>0.2227927317</v>
      </c>
      <c r="I280" s="41">
        <f>UpdateHashtag!S278</f>
        <v>4.7</v>
      </c>
      <c r="J280" s="53">
        <f>IF(TYPE($A280)=1,"",(UpdateHashtag!K278-J$1)/J$2*K280/$K$1)</f>
        <v>0.05065133991</v>
      </c>
      <c r="K280" s="55">
        <f>UpdateHashtag!T278</f>
        <v>0.9</v>
      </c>
      <c r="L280" s="41">
        <f>IF(TYPE($A280)=1,"",-(UpdateHashtag!R278-L$1)/L$2)</f>
        <v>1.040202395</v>
      </c>
      <c r="N280" s="5">
        <v>260.0</v>
      </c>
      <c r="O280" s="170" t="str">
        <f t="array" ref="O280">INDIRECT("Update"&amp;Projections!$AG$17&amp;"!B"&amp;ROW(B261))</f>
        <v/>
      </c>
      <c r="P280" s="172" t="str">
        <f t="array" ref="P280">INDIRECT("Update"&amp;Projections!$AG$17&amp;"!C"&amp;ROW(B261))</f>
        <v>Georges Niang</v>
      </c>
      <c r="Q280" s="170">
        <f>UpdateHashtag!F324</f>
        <v>54</v>
      </c>
      <c r="R280" s="177" t="str">
        <f>IF(UpdateHashtag!D324="",ROW(UpdateHashtag!D324),UpdateHashtag!D324)</f>
        <v>PF</v>
      </c>
      <c r="S280" s="124">
        <f t="shared" si="1"/>
        <v>-6.76053738</v>
      </c>
      <c r="T280" s="124">
        <f>SUM(AE280:AM280)-IFERROR(IFS(Projections!$I$17,AN280,Projections!$J$17,AO280),"")</f>
        <v>-6.983390659</v>
      </c>
      <c r="U280" s="124">
        <f t="shared" si="2"/>
        <v>-0.2228532784</v>
      </c>
      <c r="V280" s="124">
        <f t="array" ref="V280">INDIRECT("Update"&amp;Projections!$AG$17&amp;"!M"&amp;ROW(B261))</f>
        <v>9.572467532</v>
      </c>
      <c r="W280" s="124">
        <f t="array" ref="W280">INDIRECT("Update"&amp;Projections!$AG$17&amp;"!L"&amp;ROW(B261))</f>
        <v>2.019350649</v>
      </c>
      <c r="X280" s="124">
        <f t="array" ref="X280">INDIRECT("Update"&amp;Projections!$AG$17&amp;"!N"&amp;ROW(B261))</f>
        <v>2.55</v>
      </c>
      <c r="Y280" s="124">
        <f t="array" ref="Y280">INDIRECT("Update"&amp;Projections!$AG$17&amp;"!O"&amp;ROW(B261))</f>
        <v>1.051428571</v>
      </c>
      <c r="Z280" s="124">
        <f t="array" ref="Z280">INDIRECT("Update"&amp;Projections!$AG$17&amp;"!P"&amp;ROW(B261))</f>
        <v>0.3753246753</v>
      </c>
      <c r="AA280" s="124">
        <f t="array" ref="AA280">INDIRECT("Update"&amp;Projections!$AG$17&amp;"!Q"&amp;ROW(B261))</f>
        <v>0.2149350649</v>
      </c>
      <c r="AB280" s="180">
        <f t="array" ref="AB280">INDIRECT("Update"&amp;Projections!$AG$17&amp;"!I"&amp;ROW(B261))</f>
        <v>0.460039934</v>
      </c>
      <c r="AC280" s="180">
        <f t="array" ref="AC280">INDIRECT("Update"&amp;Projections!$AG$17&amp;"!K"&amp;ROW(B261))</f>
        <v>0.8419423171</v>
      </c>
      <c r="AD280" s="124">
        <f t="array" ref="AD280">INDIRECT("Update"&amp;Projections!$AG$17&amp;"!R"&amp;ROW(B261))</f>
        <v>0.85</v>
      </c>
      <c r="AE280" s="124">
        <f t="shared" si="3"/>
        <v>-1.426939531</v>
      </c>
      <c r="AF280" s="124">
        <f t="shared" si="4"/>
        <v>0.2684991671</v>
      </c>
      <c r="AG280" s="124">
        <f t="shared" si="5"/>
        <v>-1.384738054</v>
      </c>
      <c r="AH280" s="124">
        <f t="shared" si="6"/>
        <v>-1.308783645</v>
      </c>
      <c r="AI280" s="124">
        <f t="shared" si="7"/>
        <v>-1.987222213</v>
      </c>
      <c r="AJ280" s="124">
        <f t="shared" si="8"/>
        <v>-0.95198921</v>
      </c>
      <c r="AK280" s="124">
        <f t="shared" si="9"/>
        <v>-0.3237096268</v>
      </c>
      <c r="AL280" s="124">
        <f t="shared" si="10"/>
        <v>0.1314924545</v>
      </c>
      <c r="AM280" s="124">
        <f t="shared" si="11"/>
        <v>0</v>
      </c>
      <c r="AN280" s="183">
        <f t="shared" si="12"/>
        <v>-1.987222213</v>
      </c>
      <c r="AO280" s="183">
        <f t="shared" si="13"/>
        <v>-3.414161745</v>
      </c>
      <c r="AP280" s="183">
        <f t="array" ref="AP280">INDIRECT("Update"&amp;Projections!$AG$17&amp;"!S"&amp;ROW(B261))</f>
        <v>7.47987013</v>
      </c>
      <c r="AQ280" s="183">
        <f t="array" ref="AQ280">INDIRECT("Update"&amp;Projections!$AG$17&amp;"!T"&amp;ROW(B261))</f>
        <v>0.797012987</v>
      </c>
    </row>
    <row r="281">
      <c r="A281" s="40" t="str">
        <f>IF(UpdateHashtag!C279="",ROW(UpdateHashtag!C279),UpdateHashtag!C279)</f>
        <v>Shake Milton</v>
      </c>
      <c r="B281" s="41">
        <f>IF(TYPE($A281)=1,"",(UpdateHashtag!M279-B$1)/B$2)</f>
        <v>-1.692360107</v>
      </c>
      <c r="C281" s="41">
        <f>IF(TYPE($A281)=1,"",(UpdateHashtag!L279-C$1)/C$2)</f>
        <v>-1.040202395</v>
      </c>
      <c r="D281" s="41">
        <f>IF(TYPE($A281)=1,"",(UpdateHashtag!N279-D$1)/D$2)</f>
        <v>-1.404333404</v>
      </c>
      <c r="E281" s="41">
        <f>IF(TYPE($A281)=1,"",(UpdateHashtag!O279-E$1)/E$2)</f>
        <v>-0.4692763565</v>
      </c>
      <c r="F281" s="41">
        <f>IF(TYPE($A281)=1,"",(UpdateHashtag!P279-F$1)/F$2)</f>
        <v>-1.905588506</v>
      </c>
      <c r="G281" s="41">
        <f>IF(TYPE($A281)=1,"",(UpdateHashtag!Q279-G$1)/G$2)</f>
        <v>-0.978628106</v>
      </c>
      <c r="H281" s="41">
        <f>IF(TYPE($A281)=1,"",(UpdateHashtag!I279-H$1)/H$2*I281/$I$1)</f>
        <v>-0.3136496038</v>
      </c>
      <c r="I281" s="41">
        <f>UpdateHashtag!S279</f>
        <v>6.7</v>
      </c>
      <c r="J281" s="53">
        <f>IF(TYPE($A281)=1,"",(UpdateHashtag!K279-J$1)/J$2*K281/$K$1)</f>
        <v>0.2923992456</v>
      </c>
      <c r="K281" s="55">
        <f>UpdateHashtag!T279</f>
        <v>1.6</v>
      </c>
      <c r="L281" s="41">
        <f>IF(TYPE($A281)=1,"",-(UpdateHashtag!R279-L$1)/L$2)</f>
        <v>0.5442381251</v>
      </c>
      <c r="N281" s="5">
        <v>261.0</v>
      </c>
      <c r="O281" s="170" t="str">
        <f t="array" ref="O281">INDIRECT("Update"&amp;Projections!$AG$17&amp;"!B"&amp;ROW(B262))</f>
        <v/>
      </c>
      <c r="P281" s="172" t="str">
        <f t="array" ref="P281">INDIRECT("Update"&amp;Projections!$AG$17&amp;"!C"&amp;ROW(B262))</f>
        <v>Jose Alvarado</v>
      </c>
      <c r="Q281" s="170">
        <f>UpdateHashtag!F316</f>
        <v>40</v>
      </c>
      <c r="R281" s="177" t="str">
        <f>IF(UpdateHashtag!D316="",ROW(UpdateHashtag!D316),UpdateHashtag!D316)</f>
        <v>SG,SF</v>
      </c>
      <c r="S281" s="124">
        <f t="shared" si="1"/>
        <v>-6.615983076</v>
      </c>
      <c r="T281" s="124">
        <f>SUM(AE281:AM281)-IFERROR(IFS(Projections!$I$17,AN281,Projections!$J$17,AO281),"")</f>
        <v>-6.901816523</v>
      </c>
      <c r="U281" s="124">
        <f t="shared" si="2"/>
        <v>-0.2858334471</v>
      </c>
      <c r="V281" s="124">
        <f t="array" ref="V281">INDIRECT("Update"&amp;Projections!$AG$17&amp;"!M"&amp;ROW(B262))</f>
        <v>5.638970588</v>
      </c>
      <c r="W281" s="124">
        <f t="array" ref="W281">INDIRECT("Update"&amp;Projections!$AG$17&amp;"!L"&amp;ROW(B262))</f>
        <v>1.127647059</v>
      </c>
      <c r="X281" s="124">
        <f t="array" ref="X281">INDIRECT("Update"&amp;Projections!$AG$17&amp;"!N"&amp;ROW(B262))</f>
        <v>2.208970588</v>
      </c>
      <c r="Y281" s="124">
        <f t="array" ref="Y281">INDIRECT("Update"&amp;Projections!$AG$17&amp;"!O"&amp;ROW(B262))</f>
        <v>1.858382353</v>
      </c>
      <c r="Z281" s="124">
        <f t="array" ref="Z281">INDIRECT("Update"&amp;Projections!$AG$17&amp;"!P"&amp;ROW(B262))</f>
        <v>0.9666176471</v>
      </c>
      <c r="AA281" s="124">
        <f t="array" ref="AA281">INDIRECT("Update"&amp;Projections!$AG$17&amp;"!Q"&amp;ROW(B262))</f>
        <v>0.2123529412</v>
      </c>
      <c r="AB281" s="180">
        <f t="array" ref="AB281">INDIRECT("Update"&amp;Projections!$AG$17&amp;"!I"&amp;ROW(B262))</f>
        <v>0.4024933998</v>
      </c>
      <c r="AC281" s="180">
        <f t="array" ref="AC281">INDIRECT("Update"&amp;Projections!$AG$17&amp;"!K"&amp;ROW(B262))</f>
        <v>0.7299187726</v>
      </c>
      <c r="AD281" s="124">
        <f t="array" ref="AD281">INDIRECT("Update"&amp;Projections!$AG$17&amp;"!R"&amp;ROW(B262))</f>
        <v>0.5960294118</v>
      </c>
      <c r="AE281" s="124">
        <f t="shared" si="3"/>
        <v>-2.135974536</v>
      </c>
      <c r="AF281" s="124">
        <f t="shared" si="4"/>
        <v>-0.6160070721</v>
      </c>
      <c r="AG281" s="124">
        <f t="shared" si="5"/>
        <v>-1.518389866</v>
      </c>
      <c r="AH281" s="124">
        <f t="shared" si="6"/>
        <v>-0.942314938</v>
      </c>
      <c r="AI281" s="124">
        <f t="shared" si="7"/>
        <v>-0.03103976363</v>
      </c>
      <c r="AJ281" s="124">
        <f t="shared" si="8"/>
        <v>-0.9565948093</v>
      </c>
      <c r="AK281" s="124">
        <f t="shared" si="9"/>
        <v>-0.5525254725</v>
      </c>
      <c r="AL281" s="124">
        <f t="shared" si="10"/>
        <v>-0.1489700654</v>
      </c>
      <c r="AM281" s="124">
        <f t="shared" si="11"/>
        <v>0</v>
      </c>
      <c r="AN281" s="183">
        <f t="shared" si="12"/>
        <v>-2.135974536</v>
      </c>
      <c r="AO281" s="183">
        <f t="shared" si="13"/>
        <v>-3.654364402</v>
      </c>
      <c r="AP281" s="183">
        <f t="array" ref="AP281">INDIRECT("Update"&amp;Projections!$AG$17&amp;"!S"&amp;ROW(B262))</f>
        <v>5.013235294</v>
      </c>
      <c r="AQ281" s="183">
        <f t="array" ref="AQ281">INDIRECT("Update"&amp;Projections!$AG$17&amp;"!T"&amp;ROW(B262))</f>
        <v>0.6517647059</v>
      </c>
    </row>
    <row r="282">
      <c r="A282" s="40" t="str">
        <f>IF(UpdateHashtag!C280="",ROW(UpdateHashtag!C280),UpdateHashtag!C280)</f>
        <v>Kevin Love</v>
      </c>
      <c r="B282" s="41">
        <f>IF(TYPE($A282)=1,"",(UpdateHashtag!M280-B$1)/B$2)</f>
        <v>-1.854590182</v>
      </c>
      <c r="C282" s="41">
        <f>IF(TYPE($A282)=1,"",(UpdateHashtag!L280-C$1)/C$2)</f>
        <v>-0.4450452712</v>
      </c>
      <c r="D282" s="41">
        <f>IF(TYPE($A282)=1,"",(UpdateHashtag!N280-D$1)/D$2)</f>
        <v>-0.3069938138</v>
      </c>
      <c r="E282" s="41">
        <f>IF(TYPE($A282)=1,"",(UpdateHashtag!O280-E$1)/E$2)</f>
        <v>-1.014242448</v>
      </c>
      <c r="F282" s="41">
        <f>IF(TYPE($A282)=1,"",(UpdateHashtag!P280-F$1)/F$2)</f>
        <v>-2.236419844</v>
      </c>
      <c r="G282" s="41">
        <f>IF(TYPE($A282)=1,"",(UpdateHashtag!Q280-G$1)/G$2)</f>
        <v>-0.978628106</v>
      </c>
      <c r="H282" s="41">
        <f>IF(TYPE($A282)=1,"",(UpdateHashtag!I280-H$1)/H$2*I282/$I$1)</f>
        <v>-0.5651871583</v>
      </c>
      <c r="I282" s="41">
        <f>UpdateHashtag!S280</f>
        <v>5.7</v>
      </c>
      <c r="J282" s="53">
        <f>IF(TYPE($A282)=1,"",(UpdateHashtag!K280-J$1)/J$2*K282/$K$1)</f>
        <v>0.1525652927</v>
      </c>
      <c r="K282" s="55">
        <f>UpdateHashtag!T280</f>
        <v>1.4</v>
      </c>
      <c r="L282" s="41">
        <f>IF(TYPE($A282)=1,"",-(UpdateHashtag!R280-L$1)/L$2)</f>
        <v>0.8418166868</v>
      </c>
      <c r="N282" s="112">
        <v>262.0</v>
      </c>
      <c r="O282" s="170" t="str">
        <f t="array" ref="O282">INDIRECT("Update"&amp;Projections!$AG$17&amp;"!B"&amp;ROW(B263))</f>
        <v/>
      </c>
      <c r="P282" s="172" t="str">
        <f t="array" ref="P282">INDIRECT("Update"&amp;Projections!$AG$17&amp;"!C"&amp;ROW(B263))</f>
        <v>Mason Plumlee</v>
      </c>
      <c r="Q282" s="170">
        <f>UpdateHashtag!F325</f>
        <v>70</v>
      </c>
      <c r="R282" s="177" t="str">
        <f>IF(UpdateHashtag!D325="",ROW(UpdateHashtag!D325),UpdateHashtag!D325)</f>
        <v>PF,C</v>
      </c>
      <c r="S282" s="124">
        <f t="shared" si="1"/>
        <v>-7.114953913</v>
      </c>
      <c r="T282" s="124">
        <f>SUM(AE282:AM282)-IFERROR(IFS(Projections!$I$17,AN282,Projections!$J$17,AO282),"")</f>
        <v>-7.2982999</v>
      </c>
      <c r="U282" s="124">
        <f t="shared" si="2"/>
        <v>-0.1833459878</v>
      </c>
      <c r="V282" s="124">
        <f t="array" ref="V282">INDIRECT("Update"&amp;Projections!$AG$17&amp;"!M"&amp;ROW(B263))</f>
        <v>6.822465753</v>
      </c>
      <c r="W282" s="124">
        <f t="array" ref="W282">INDIRECT("Update"&amp;Projections!$AG$17&amp;"!L"&amp;ROW(B263))</f>
        <v>0.04465753425</v>
      </c>
      <c r="X282" s="124">
        <f t="array" ref="X282">INDIRECT("Update"&amp;Projections!$AG$17&amp;"!N"&amp;ROW(B263))</f>
        <v>6.15</v>
      </c>
      <c r="Y282" s="124">
        <f t="array" ref="Y282">INDIRECT("Update"&amp;Projections!$AG$17&amp;"!O"&amp;ROW(B263))</f>
        <v>1.640821918</v>
      </c>
      <c r="Z282" s="124">
        <f t="array" ref="Z282">INDIRECT("Update"&amp;Projections!$AG$17&amp;"!P"&amp;ROW(B263))</f>
        <v>0.3773972603</v>
      </c>
      <c r="AA282" s="124">
        <f t="array" ref="AA282">INDIRECT("Update"&amp;Projections!$AG$17&amp;"!Q"&amp;ROW(B263))</f>
        <v>0.4483561644</v>
      </c>
      <c r="AB282" s="180">
        <f t="array" ref="AB282">INDIRECT("Update"&amp;Projections!$AG$17&amp;"!I"&amp;ROW(B263))</f>
        <v>0.5695693545</v>
      </c>
      <c r="AC282" s="180">
        <f t="array" ref="AC282">INDIRECT("Update"&amp;Projections!$AG$17&amp;"!K"&amp;ROW(B263))</f>
        <v>0.7299881936</v>
      </c>
      <c r="AD282" s="124">
        <f t="array" ref="AD282">INDIRECT("Update"&amp;Projections!$AG$17&amp;"!R"&amp;ROW(B263))</f>
        <v>1.009315068</v>
      </c>
      <c r="AE282" s="124">
        <f t="shared" si="3"/>
        <v>-1.922642859</v>
      </c>
      <c r="AF282" s="124">
        <f t="shared" si="4"/>
        <v>-1.690255289</v>
      </c>
      <c r="AG282" s="124">
        <f t="shared" si="5"/>
        <v>0.02612713309</v>
      </c>
      <c r="AH282" s="124">
        <f t="shared" si="6"/>
        <v>-1.041117488</v>
      </c>
      <c r="AI282" s="124">
        <f t="shared" si="7"/>
        <v>-1.980365453</v>
      </c>
      <c r="AJ282" s="124">
        <f t="shared" si="8"/>
        <v>-0.5356481739</v>
      </c>
      <c r="AK282" s="124">
        <f t="shared" si="9"/>
        <v>0.3754304305</v>
      </c>
      <c r="AL282" s="124">
        <f t="shared" si="10"/>
        <v>-0.5298282017</v>
      </c>
      <c r="AM282" s="124">
        <f t="shared" si="11"/>
        <v>0</v>
      </c>
      <c r="AN282" s="183">
        <f t="shared" si="12"/>
        <v>-1.980365453</v>
      </c>
      <c r="AO282" s="183">
        <f t="shared" si="13"/>
        <v>-3.903008311</v>
      </c>
      <c r="AP282" s="183">
        <f t="array" ref="AP282">INDIRECT("Update"&amp;Projections!$AG$17&amp;"!S"&amp;ROW(B263))</f>
        <v>4.462876712</v>
      </c>
      <c r="AQ282" s="183">
        <f t="array" ref="AQ282">INDIRECT("Update"&amp;Projections!$AG$17&amp;"!T"&amp;ROW(B263))</f>
        <v>2.320547945</v>
      </c>
    </row>
    <row r="283">
      <c r="A283" s="40" t="str">
        <f>IF(UpdateHashtag!C281="",ROW(UpdateHashtag!C281),UpdateHashtag!C281)</f>
        <v>Jarace Walker</v>
      </c>
      <c r="B283" s="41">
        <f>IF(TYPE($A283)=1,"",(UpdateHashtag!M281-B$1)/B$2)</f>
        <v>-2.233127023</v>
      </c>
      <c r="C283" s="41">
        <f>IF(TYPE($A283)=1,"",(UpdateHashtag!L281-C$1)/C$2)</f>
        <v>-0.8418166868</v>
      </c>
      <c r="D283" s="41">
        <f>IF(TYPE($A283)=1,"",(UpdateHashtag!N281-D$1)/D$2)</f>
        <v>-1.325952004</v>
      </c>
      <c r="E283" s="41">
        <f>IF(TYPE($A283)=1,"",(UpdateHashtag!O281-E$1)/E$2)</f>
        <v>-1.014242448</v>
      </c>
      <c r="F283" s="41">
        <f>IF(TYPE($A283)=1,"",(UpdateHashtag!P281-F$1)/F$2)</f>
        <v>-1.243925831</v>
      </c>
      <c r="G283" s="41">
        <f>IF(TYPE($A283)=1,"",(UpdateHashtag!Q281-G$1)/G$2)</f>
        <v>-0.4435337589</v>
      </c>
      <c r="H283" s="41">
        <f>IF(TYPE($A283)=1,"",(UpdateHashtag!I281-H$1)/H$2*I283/$I$1)</f>
        <v>-0.4721675812</v>
      </c>
      <c r="I283" s="41">
        <f>UpdateHashtag!S281</f>
        <v>4.6</v>
      </c>
      <c r="J283" s="53">
        <f>IF(TYPE($A283)=1,"",(UpdateHashtag!K281-J$1)/J$2*K283/$K$1)</f>
        <v>0.1405506178</v>
      </c>
      <c r="K283" s="55">
        <f>UpdateHashtag!T281</f>
        <v>0.4</v>
      </c>
      <c r="L283" s="41">
        <f>IF(TYPE($A283)=1,"",-(UpdateHashtag!R281-L$1)/L$2)</f>
        <v>1.040202395</v>
      </c>
      <c r="N283" s="112">
        <v>263.0</v>
      </c>
      <c r="O283" s="170" t="str">
        <f t="array" ref="O283">INDIRECT("Update"&amp;Projections!$AG$17&amp;"!B"&amp;ROW(B264))</f>
        <v/>
      </c>
      <c r="P283" s="172" t="str">
        <f t="array" ref="P283">INDIRECT("Update"&amp;Projections!$AG$17&amp;"!C"&amp;ROW(B264))</f>
        <v>Goga Bitadze</v>
      </c>
      <c r="Q283" s="170">
        <f>UpdateHashtag!F314</f>
        <v>65</v>
      </c>
      <c r="R283" s="177" t="str">
        <f>IF(UpdateHashtag!D314="",ROW(UpdateHashtag!D314),UpdateHashtag!D314)</f>
        <v>SF,PF</v>
      </c>
      <c r="S283" s="124">
        <f t="shared" si="1"/>
        <v>-7.085825463</v>
      </c>
      <c r="T283" s="124">
        <f>SUM(AE283:AM283)-IFERROR(IFS(Projections!$I$17,AN283,Projections!$J$17,AO283),"")</f>
        <v>-7.346702669</v>
      </c>
      <c r="U283" s="124">
        <f t="shared" si="2"/>
        <v>-0.2608772058</v>
      </c>
      <c r="V283" s="124">
        <f t="array" ref="V283">INDIRECT("Update"&amp;Projections!$AG$17&amp;"!M"&amp;ROW(B264))</f>
        <v>4.935263158</v>
      </c>
      <c r="W283" s="124">
        <f t="array" ref="W283">INDIRECT("Update"&amp;Projections!$AG$17&amp;"!L"&amp;ROW(B264))</f>
        <v>0.08070175439</v>
      </c>
      <c r="X283" s="124">
        <f t="array" ref="X283">INDIRECT("Update"&amp;Projections!$AG$17&amp;"!N"&amp;ROW(B264))</f>
        <v>4.243684211</v>
      </c>
      <c r="Y283" s="124">
        <f t="array" ref="Y283">INDIRECT("Update"&amp;Projections!$AG$17&amp;"!O"&amp;ROW(B264))</f>
        <v>1.18754386</v>
      </c>
      <c r="Z283" s="124">
        <f t="array" ref="Z283">INDIRECT("Update"&amp;Projections!$AG$17&amp;"!P"&amp;ROW(B264))</f>
        <v>0.4554385965</v>
      </c>
      <c r="AA283" s="124">
        <f t="array" ref="AA283">INDIRECT("Update"&amp;Projections!$AG$17&amp;"!Q"&amp;ROW(B264))</f>
        <v>1.06</v>
      </c>
      <c r="AB283" s="180">
        <f t="array" ref="AB283">INDIRECT("Update"&amp;Projections!$AG$17&amp;"!I"&amp;ROW(B264))</f>
        <v>0.5854230749</v>
      </c>
      <c r="AC283" s="180">
        <f t="array" ref="AC283">INDIRECT("Update"&amp;Projections!$AG$17&amp;"!K"&amp;ROW(B264))</f>
        <v>0.6629785069</v>
      </c>
      <c r="AD283" s="124">
        <f t="array" ref="AD283">INDIRECT("Update"&amp;Projections!$AG$17&amp;"!R"&amp;ROW(B264))</f>
        <v>0.6966666667</v>
      </c>
      <c r="AE283" s="124">
        <f t="shared" si="3"/>
        <v>-2.262821768</v>
      </c>
      <c r="AF283" s="124">
        <f t="shared" si="4"/>
        <v>-1.654501999</v>
      </c>
      <c r="AG283" s="124">
        <f t="shared" si="5"/>
        <v>-0.7209713618</v>
      </c>
      <c r="AH283" s="124">
        <f t="shared" si="6"/>
        <v>-1.246968464</v>
      </c>
      <c r="AI283" s="124">
        <f t="shared" si="7"/>
        <v>-1.722180256</v>
      </c>
      <c r="AJ283" s="124">
        <f t="shared" si="8"/>
        <v>0.5553090225</v>
      </c>
      <c r="AK283" s="124">
        <f t="shared" si="9"/>
        <v>0.3451348527</v>
      </c>
      <c r="AL283" s="124">
        <f t="shared" si="10"/>
        <v>-0.6397026958</v>
      </c>
      <c r="AM283" s="124">
        <f t="shared" si="11"/>
        <v>0</v>
      </c>
      <c r="AN283" s="183">
        <f t="shared" si="12"/>
        <v>-2.262821768</v>
      </c>
      <c r="AO283" s="183">
        <f t="shared" si="13"/>
        <v>-3.985002024</v>
      </c>
      <c r="AP283" s="183">
        <f t="array" ref="AP283">INDIRECT("Update"&amp;Projections!$AG$17&amp;"!S"&amp;ROW(B264))</f>
        <v>3.365087719</v>
      </c>
      <c r="AQ283" s="183">
        <f t="array" ref="AQ283">INDIRECT("Update"&amp;Projections!$AG$17&amp;"!T"&amp;ROW(B264))</f>
        <v>1.379473684</v>
      </c>
    </row>
    <row r="284">
      <c r="A284" s="40" t="str">
        <f>IF(UpdateHashtag!C282="",ROW(UpdateHashtag!C282),UpdateHashtag!C282)</f>
        <v>Kyshawn George</v>
      </c>
      <c r="B284" s="41">
        <f>IF(TYPE($A284)=1,"",(UpdateHashtag!M282-B$1)/B$2)</f>
        <v>-2.070896948</v>
      </c>
      <c r="C284" s="41">
        <f>IF(TYPE($A284)=1,"",(UpdateHashtag!L282-C$1)/C$2)</f>
        <v>-0.4450452712</v>
      </c>
      <c r="D284" s="41">
        <f>IF(TYPE($A284)=1,"",(UpdateHashtag!N282-D$1)/D$2)</f>
        <v>-1.443524103</v>
      </c>
      <c r="E284" s="41">
        <f>IF(TYPE($A284)=1,"",(UpdateHashtag!O282-E$1)/E$2)</f>
        <v>-1.014242448</v>
      </c>
      <c r="F284" s="41">
        <f>IF(TYPE($A284)=1,"",(UpdateHashtag!P282-F$1)/F$2)</f>
        <v>-0.9130944927</v>
      </c>
      <c r="G284" s="41">
        <f>IF(TYPE($A284)=1,"",(UpdateHashtag!Q282-G$1)/G$2)</f>
        <v>-0.8002633236</v>
      </c>
      <c r="H284" s="41">
        <f>IF(TYPE($A284)=1,"",(UpdateHashtag!I282-H$1)/H$2*I284/$I$1)</f>
        <v>-0.4033658022</v>
      </c>
      <c r="I284" s="41">
        <f>UpdateHashtag!S282</f>
        <v>4.8</v>
      </c>
      <c r="J284" s="53">
        <f>IF(TYPE($A284)=1,"",(UpdateHashtag!K282-J$1)/J$2*K284/$K$1)</f>
        <v>-0.06634770464</v>
      </c>
      <c r="K284" s="55">
        <f>UpdateHashtag!T282</f>
        <v>0.7</v>
      </c>
      <c r="L284" s="41">
        <f>IF(TYPE($A284)=1,"",-(UpdateHashtag!R282-L$1)/L$2)</f>
        <v>0.5442381251</v>
      </c>
      <c r="N284" s="5">
        <v>264.0</v>
      </c>
      <c r="O284" s="170">
        <f t="array" ref="O284">INDIRECT("Update"&amp;Projections!$AG$17&amp;"!B"&amp;ROW(B265))</f>
        <v>145.1</v>
      </c>
      <c r="P284" s="172" t="str">
        <f t="array" ref="P284">INDIRECT("Update"&amp;Projections!$AG$17&amp;"!C"&amp;ROW(B265))</f>
        <v>Isaiah Stewart</v>
      </c>
      <c r="Q284" s="170">
        <f>UpdateHashtag!F326</f>
        <v>54</v>
      </c>
      <c r="R284" s="177" t="str">
        <f>IF(UpdateHashtag!D326="",ROW(UpdateHashtag!D326),UpdateHashtag!D326)</f>
        <v>C</v>
      </c>
      <c r="S284" s="124">
        <f t="shared" si="1"/>
        <v>-7.058448021</v>
      </c>
      <c r="T284" s="124">
        <f>SUM(AE284:AM284)-IFERROR(IFS(Projections!$I$17,AN284,Projections!$J$17,AO284),"")</f>
        <v>-7.289543059</v>
      </c>
      <c r="U284" s="124">
        <f t="shared" si="2"/>
        <v>-0.2310950376</v>
      </c>
      <c r="V284" s="124">
        <f t="array" ref="V284">INDIRECT("Update"&amp;Projections!$AG$17&amp;"!M"&amp;ROW(B265))</f>
        <v>6.189411765</v>
      </c>
      <c r="W284" s="124">
        <f t="array" ref="W284">INDIRECT("Update"&amp;Projections!$AG$17&amp;"!L"&amp;ROW(B265))</f>
        <v>0.8367647059</v>
      </c>
      <c r="X284" s="124">
        <f t="array" ref="X284">INDIRECT("Update"&amp;Projections!$AG$17&amp;"!N"&amp;ROW(B265))</f>
        <v>5.445</v>
      </c>
      <c r="Y284" s="124">
        <f t="array" ref="Y284">INDIRECT("Update"&amp;Projections!$AG$17&amp;"!O"&amp;ROW(B265))</f>
        <v>0.9529411765</v>
      </c>
      <c r="Z284" s="124">
        <f t="array" ref="Z284">INDIRECT("Update"&amp;Projections!$AG$17&amp;"!P"&amp;ROW(B265))</f>
        <v>0.2594117647</v>
      </c>
      <c r="AA284" s="124">
        <f t="array" ref="AA284">INDIRECT("Update"&amp;Projections!$AG$17&amp;"!Q"&amp;ROW(B265))</f>
        <v>0.6085294118</v>
      </c>
      <c r="AB284" s="180">
        <f t="array" ref="AB284">INDIRECT("Update"&amp;Projections!$AG$17&amp;"!I"&amp;ROW(B265))</f>
        <v>0.4967752084</v>
      </c>
      <c r="AC284" s="180">
        <f t="array" ref="AC284">INDIRECT("Update"&amp;Projections!$AG$17&amp;"!K"&amp;ROW(B265))</f>
        <v>0.7580239144</v>
      </c>
      <c r="AD284" s="124">
        <f t="array" ref="AD284">INDIRECT("Update"&amp;Projections!$AG$17&amp;"!R"&amp;ROW(B265))</f>
        <v>0.8167647059</v>
      </c>
      <c r="AE284" s="124">
        <f t="shared" si="3"/>
        <v>-2.03675441</v>
      </c>
      <c r="AF284" s="124">
        <f t="shared" si="4"/>
        <v>-0.9045415797</v>
      </c>
      <c r="AG284" s="124">
        <f t="shared" si="5"/>
        <v>-0.2501672993</v>
      </c>
      <c r="AH284" s="124">
        <f t="shared" si="6"/>
        <v>-1.353510554</v>
      </c>
      <c r="AI284" s="124">
        <f t="shared" si="7"/>
        <v>-2.370698446</v>
      </c>
      <c r="AJ284" s="124">
        <f t="shared" si="8"/>
        <v>-0.2499555097</v>
      </c>
      <c r="AK284" s="124">
        <f t="shared" si="9"/>
        <v>-0.002563283146</v>
      </c>
      <c r="AL284" s="124">
        <f t="shared" si="10"/>
        <v>-0.1213519774</v>
      </c>
      <c r="AM284" s="124">
        <f t="shared" si="11"/>
        <v>0</v>
      </c>
      <c r="AN284" s="183">
        <f t="shared" si="12"/>
        <v>-2.370698446</v>
      </c>
      <c r="AO284" s="183">
        <f t="shared" si="13"/>
        <v>-4.407452856</v>
      </c>
      <c r="AP284" s="183">
        <f t="array" ref="AP284">INDIRECT("Update"&amp;Projections!$AG$17&amp;"!S"&amp;ROW(B265))</f>
        <v>4.674264706</v>
      </c>
      <c r="AQ284" s="183">
        <f t="array" ref="AQ284">INDIRECT("Update"&amp;Projections!$AG$17&amp;"!T"&amp;ROW(B265))</f>
        <v>0.9347058824</v>
      </c>
    </row>
    <row r="285">
      <c r="A285" s="40" t="str">
        <f>IF(UpdateHashtag!C283="",ROW(UpdateHashtag!C283),UpdateHashtag!C283)</f>
        <v>Josh Minott</v>
      </c>
      <c r="B285" s="41">
        <f>IF(TYPE($A285)=1,"",(UpdateHashtag!M283-B$1)/B$2)</f>
        <v>-2.215101459</v>
      </c>
      <c r="C285" s="41">
        <f>IF(TYPE($A285)=1,"",(UpdateHashtag!L283-C$1)/C$2)</f>
        <v>-1.43697381</v>
      </c>
      <c r="D285" s="41">
        <f>IF(TYPE($A285)=1,"",(UpdateHashtag!N283-D$1)/D$2)</f>
        <v>-1.482714803</v>
      </c>
      <c r="E285" s="41">
        <f>IF(TYPE($A285)=1,"",(UpdateHashtag!O283-E$1)/E$2)</f>
        <v>-1.468380857</v>
      </c>
      <c r="F285" s="41">
        <f>IF(TYPE($A285)=1,"",(UpdateHashtag!P283-F$1)/F$2)</f>
        <v>-1.574757169</v>
      </c>
      <c r="G285" s="41">
        <f>IF(TYPE($A285)=1,"",(UpdateHashtag!Q283-G$1)/G$2)</f>
        <v>-0.2651689765</v>
      </c>
      <c r="H285" s="41">
        <f>IF(TYPE($A285)=1,"",(UpdateHashtag!I283-H$1)/H$2*I285/$I$1)</f>
        <v>-0.04648226039</v>
      </c>
      <c r="I285" s="41">
        <f>UpdateHashtag!S283</f>
        <v>3.9</v>
      </c>
      <c r="J285" s="53">
        <f>IF(TYPE($A285)=1,"",(UpdateHashtag!K283-J$1)/J$2*K285/$K$1)</f>
        <v>0.5059653613</v>
      </c>
      <c r="K285" s="55">
        <f>UpdateHashtag!T283</f>
        <v>1.2</v>
      </c>
      <c r="L285" s="41">
        <f>IF(TYPE($A285)=1,"",-(UpdateHashtag!R283-L$1)/L$2)</f>
        <v>1.43697381</v>
      </c>
      <c r="N285" s="5">
        <v>265.0</v>
      </c>
      <c r="O285" s="170" t="str">
        <f t="array" ref="O285">INDIRECT("Update"&amp;Projections!$AG$17&amp;"!B"&amp;ROW(B266))</f>
        <v/>
      </c>
      <c r="P285" s="172" t="str">
        <f t="array" ref="P285">INDIRECT("Update"&amp;Projections!$AG$17&amp;"!C"&amp;ROW(B266))</f>
        <v>Tidjane Salaun</v>
      </c>
      <c r="Q285" s="170">
        <f>UpdateHashtag!F313</f>
        <v>60</v>
      </c>
      <c r="R285" s="177" t="str">
        <f>IF(UpdateHashtag!D313="",ROW(UpdateHashtag!D313),UpdateHashtag!D313)</f>
        <v>PG,SG</v>
      </c>
      <c r="S285" s="124">
        <f t="shared" si="1"/>
        <v>-6.891837829</v>
      </c>
      <c r="T285" s="124">
        <f>SUM(AE285:AM285)-IFERROR(IFS(Projections!$I$17,AN285,Projections!$J$17,AO285),"")</f>
        <v>-7.001400639</v>
      </c>
      <c r="U285" s="124">
        <f t="shared" si="2"/>
        <v>-0.10956281</v>
      </c>
      <c r="V285" s="124">
        <f t="array" ref="V285">INDIRECT("Update"&amp;Projections!$AG$17&amp;"!M"&amp;ROW(B266))</f>
        <v>8.039726027</v>
      </c>
      <c r="W285" s="124">
        <f t="array" ref="W285">INDIRECT("Update"&amp;Projections!$AG$17&amp;"!L"&amp;ROW(B266))</f>
        <v>1.169726027</v>
      </c>
      <c r="X285" s="124">
        <f t="array" ref="X285">INDIRECT("Update"&amp;Projections!$AG$17&amp;"!N"&amp;ROW(B266))</f>
        <v>3.965479452</v>
      </c>
      <c r="Y285" s="124">
        <f t="array" ref="Y285">INDIRECT("Update"&amp;Projections!$AG$17&amp;"!O"&amp;ROW(B266))</f>
        <v>0.9012328767</v>
      </c>
      <c r="Z285" s="124">
        <f t="array" ref="Z285">INDIRECT("Update"&amp;Projections!$AG$17&amp;"!P"&amp;ROW(B266))</f>
        <v>0.7660273973</v>
      </c>
      <c r="AA285" s="124">
        <f t="array" ref="AA285">INDIRECT("Update"&amp;Projections!$AG$17&amp;"!Q"&amp;ROW(B266))</f>
        <v>0.1802739726</v>
      </c>
      <c r="AB285" s="180">
        <f t="array" ref="AB285">INDIRECT("Update"&amp;Projections!$AG$17&amp;"!I"&amp;ROW(B266))</f>
        <v>0.4255870603</v>
      </c>
      <c r="AC285" s="180">
        <f t="array" ref="AC285">INDIRECT("Update"&amp;Projections!$AG$17&amp;"!K"&amp;ROW(B266))</f>
        <v>0.7419761577</v>
      </c>
      <c r="AD285" s="124">
        <f t="array" ref="AD285">INDIRECT("Update"&amp;Projections!$AG$17&amp;"!R"&amp;ROW(B266))</f>
        <v>1.306849315</v>
      </c>
      <c r="AE285" s="124">
        <f t="shared" si="3"/>
        <v>-1.70322483</v>
      </c>
      <c r="AF285" s="124">
        <f t="shared" si="4"/>
        <v>-0.5742677429</v>
      </c>
      <c r="AG285" s="124">
        <f t="shared" si="5"/>
        <v>-0.8300017533</v>
      </c>
      <c r="AH285" s="124">
        <f t="shared" si="6"/>
        <v>-1.376993279</v>
      </c>
      <c r="AI285" s="124">
        <f t="shared" si="7"/>
        <v>-0.6946551708</v>
      </c>
      <c r="AJ285" s="124">
        <f t="shared" si="8"/>
        <v>-1.013812392</v>
      </c>
      <c r="AK285" s="124">
        <f t="shared" si="9"/>
        <v>-0.585916752</v>
      </c>
      <c r="AL285" s="124">
        <f t="shared" si="10"/>
        <v>-0.2225287186</v>
      </c>
      <c r="AM285" s="124">
        <f t="shared" si="11"/>
        <v>0</v>
      </c>
      <c r="AN285" s="183">
        <f t="shared" si="12"/>
        <v>-1.70322483</v>
      </c>
      <c r="AO285" s="183">
        <f t="shared" si="13"/>
        <v>-3.080218109</v>
      </c>
      <c r="AP285" s="183">
        <f t="array" ref="AP285">INDIRECT("Update"&amp;Projections!$AG$17&amp;"!S"&amp;ROW(B266))</f>
        <v>7.029452055</v>
      </c>
      <c r="AQ285" s="183">
        <f t="array" ref="AQ285">INDIRECT("Update"&amp;Projections!$AG$17&amp;"!T"&amp;ROW(B266))</f>
        <v>1.195068493</v>
      </c>
    </row>
    <row r="286">
      <c r="A286" s="40" t="str">
        <f>IF(UpdateHashtag!C284="",ROW(UpdateHashtag!C284),UpdateHashtag!C284)</f>
        <v>Cam Whitmore</v>
      </c>
      <c r="B286" s="41">
        <f>IF(TYPE($A286)=1,"",(UpdateHashtag!M284-B$1)/B$2)</f>
        <v>-1.097516499</v>
      </c>
      <c r="C286" s="41">
        <f>IF(TYPE($A286)=1,"",(UpdateHashtag!L284-C$1)/C$2)</f>
        <v>-0.1474667095</v>
      </c>
      <c r="D286" s="41">
        <f>IF(TYPE($A286)=1,"",(UpdateHashtag!N284-D$1)/D$2)</f>
        <v>-1.012426407</v>
      </c>
      <c r="E286" s="41">
        <f>IF(TYPE($A286)=1,"",(UpdateHashtag!O284-E$1)/E$2)</f>
        <v>-1.468380857</v>
      </c>
      <c r="F286" s="41">
        <f>IF(TYPE($A286)=1,"",(UpdateHashtag!P284-F$1)/F$2)</f>
        <v>-1.243925831</v>
      </c>
      <c r="G286" s="41">
        <f>IF(TYPE($A286)=1,"",(UpdateHashtag!Q284-G$1)/G$2)</f>
        <v>-0.8002633236</v>
      </c>
      <c r="H286" s="41">
        <f>IF(TYPE($A286)=1,"",(UpdateHashtag!I284-H$1)/H$2*I286/$I$1)</f>
        <v>-0.4627862958</v>
      </c>
      <c r="I286" s="41">
        <f>UpdateHashtag!S284</f>
        <v>9.2</v>
      </c>
      <c r="J286" s="53">
        <f>IF(TYPE($A286)=1,"",(UpdateHashtag!K284-J$1)/J$2*K286/$K$1)</f>
        <v>-0.9118365364</v>
      </c>
      <c r="K286" s="55">
        <f>UpdateHashtag!T284</f>
        <v>2.2</v>
      </c>
      <c r="L286" s="41">
        <f>IF(TYPE($A286)=1,"",-(UpdateHashtag!R284-L$1)/L$2)</f>
        <v>0.8418166868</v>
      </c>
      <c r="N286" s="112">
        <v>266.0</v>
      </c>
      <c r="O286" s="170" t="str">
        <f t="array" ref="O286">INDIRECT("Update"&amp;Projections!$AG$17&amp;"!B"&amp;ROW(B267))</f>
        <v/>
      </c>
      <c r="P286" s="172" t="str">
        <f t="array" ref="P286">INDIRECT("Update"&amp;Projections!$AG$17&amp;"!C"&amp;ROW(B267))</f>
        <v>Cody Martin</v>
      </c>
      <c r="Q286" s="170">
        <f>UpdateHashtag!F320</f>
        <v>65</v>
      </c>
      <c r="R286" s="177" t="str">
        <f>IF(UpdateHashtag!D320="",ROW(UpdateHashtag!D320),UpdateHashtag!D320)</f>
        <v>PG,SG</v>
      </c>
      <c r="S286" s="124">
        <f t="shared" si="1"/>
        <v>-6.802401072</v>
      </c>
      <c r="T286" s="124">
        <f>SUM(AE286:AM286)-IFERROR(IFS(Projections!$I$17,AN286,Projections!$J$17,AO286),"")</f>
        <v>-7.043923194</v>
      </c>
      <c r="U286" s="124">
        <f t="shared" si="2"/>
        <v>-0.2415221222</v>
      </c>
      <c r="V286" s="124">
        <f t="array" ref="V286">INDIRECT("Update"&amp;Projections!$AG$17&amp;"!M"&amp;ROW(B267))</f>
        <v>6.427169811</v>
      </c>
      <c r="W286" s="124">
        <f t="array" ref="W286">INDIRECT("Update"&amp;Projections!$AG$17&amp;"!L"&amp;ROW(B267))</f>
        <v>0.7503773585</v>
      </c>
      <c r="X286" s="124">
        <f t="array" ref="X286">INDIRECT("Update"&amp;Projections!$AG$17&amp;"!N"&amp;ROW(B267))</f>
        <v>2.77245283</v>
      </c>
      <c r="Y286" s="124">
        <f t="array" ref="Y286">INDIRECT("Update"&amp;Projections!$AG$17&amp;"!O"&amp;ROW(B267))</f>
        <v>1.916226415</v>
      </c>
      <c r="Z286" s="124">
        <f t="array" ref="Z286">INDIRECT("Update"&amp;Projections!$AG$17&amp;"!P"&amp;ROW(B267))</f>
        <v>0.8741509434</v>
      </c>
      <c r="AA286" s="124">
        <f t="array" ref="AA286">INDIRECT("Update"&amp;Projections!$AG$17&amp;"!Q"&amp;ROW(B267))</f>
        <v>0.3730188679</v>
      </c>
      <c r="AB286" s="180">
        <f t="array" ref="AB286">INDIRECT("Update"&amp;Projections!$AG$17&amp;"!I"&amp;ROW(B267))</f>
        <v>0.4355778009</v>
      </c>
      <c r="AC286" s="180">
        <f t="array" ref="AC286">INDIRECT("Update"&amp;Projections!$AG$17&amp;"!K"&amp;ROW(B267))</f>
        <v>0.6330010493</v>
      </c>
      <c r="AD286" s="124">
        <f t="array" ref="AD286">INDIRECT("Update"&amp;Projections!$AG$17&amp;"!R"&amp;ROW(B267))</f>
        <v>0.7747169811</v>
      </c>
      <c r="AE286" s="124">
        <f t="shared" si="3"/>
        <v>-1.993897181</v>
      </c>
      <c r="AF286" s="124">
        <f t="shared" si="4"/>
        <v>-0.990231655</v>
      </c>
      <c r="AG286" s="124">
        <f t="shared" si="5"/>
        <v>-1.297557233</v>
      </c>
      <c r="AH286" s="124">
        <f t="shared" si="6"/>
        <v>-0.9160457276</v>
      </c>
      <c r="AI286" s="124">
        <f t="shared" si="7"/>
        <v>-0.3369485966</v>
      </c>
      <c r="AJ286" s="124">
        <f t="shared" si="8"/>
        <v>-0.6700233788</v>
      </c>
      <c r="AK286" s="124">
        <f t="shared" si="9"/>
        <v>-0.4299384813</v>
      </c>
      <c r="AL286" s="124">
        <f t="shared" si="10"/>
        <v>-0.4092809406</v>
      </c>
      <c r="AM286" s="124">
        <f t="shared" si="11"/>
        <v>0</v>
      </c>
      <c r="AN286" s="183">
        <f t="shared" si="12"/>
        <v>-1.993897181</v>
      </c>
      <c r="AO286" s="183">
        <f t="shared" si="13"/>
        <v>-3.291454414</v>
      </c>
      <c r="AP286" s="183">
        <f t="array" ref="AP286">INDIRECT("Update"&amp;Projections!$AG$17&amp;"!S"&amp;ROW(B267))</f>
        <v>5.993773585</v>
      </c>
      <c r="AQ286" s="183">
        <f t="array" ref="AQ286">INDIRECT("Update"&amp;Projections!$AG$17&amp;"!T"&amp;ROW(B267))</f>
        <v>0.719245283</v>
      </c>
    </row>
    <row r="287">
      <c r="A287" s="40" t="str">
        <f>IF(UpdateHashtag!C285="",ROW(UpdateHashtag!C285),UpdateHashtag!C285)</f>
        <v>Mason Plumlee</v>
      </c>
      <c r="B287" s="41">
        <f>IF(TYPE($A287)=1,"",(UpdateHashtag!M285-B$1)/B$2)</f>
        <v>-1.944718001</v>
      </c>
      <c r="C287" s="41">
        <f>IF(TYPE($A287)=1,"",(UpdateHashtag!L285-C$1)/C$2)</f>
        <v>-1.734552372</v>
      </c>
      <c r="D287" s="41">
        <f>IF(TYPE($A287)=1,"",(UpdateHashtag!N285-D$1)/D$2)</f>
        <v>-0.1502310153</v>
      </c>
      <c r="E287" s="41">
        <f>IF(TYPE($A287)=1,"",(UpdateHashtag!O285-E$1)/E$2)</f>
        <v>-0.9688286069</v>
      </c>
      <c r="F287" s="41">
        <f>IF(TYPE($A287)=1,"",(UpdateHashtag!P285-F$1)/F$2)</f>
        <v>-1.905588506</v>
      </c>
      <c r="G287" s="41">
        <f>IF(TYPE($A287)=1,"",(UpdateHashtag!Q285-G$1)/G$2)</f>
        <v>-0.6218985413</v>
      </c>
      <c r="H287" s="41">
        <f>IF(TYPE($A287)=1,"",(UpdateHashtag!I285-H$1)/H$2*I287/$I$1)</f>
        <v>0.7110848332</v>
      </c>
      <c r="I287" s="41">
        <f>UpdateHashtag!S285</f>
        <v>3.9</v>
      </c>
      <c r="J287" s="53">
        <f>IF(TYPE($A287)=1,"",(UpdateHashtag!K285-J$1)/J$2*K287/$K$1)</f>
        <v>-1.255744309</v>
      </c>
      <c r="K287" s="55">
        <f>UpdateHashtag!T285</f>
        <v>2.5</v>
      </c>
      <c r="L287" s="41">
        <f>IF(TYPE($A287)=1,"",-(UpdateHashtag!R285-L$1)/L$2)</f>
        <v>0.8418166868</v>
      </c>
      <c r="N287" s="112">
        <v>267.0</v>
      </c>
      <c r="O287" s="170">
        <f t="array" ref="O287">INDIRECT("Update"&amp;Projections!$AG$17&amp;"!B"&amp;ROW(B268))</f>
        <v>143.8</v>
      </c>
      <c r="P287" s="172" t="str">
        <f t="array" ref="P287">INDIRECT("Update"&amp;Projections!$AG$17&amp;"!C"&amp;ROW(B268))</f>
        <v>Malik Beasley</v>
      </c>
      <c r="Q287" s="170">
        <f>UpdateHashtag!F332</f>
        <v>58</v>
      </c>
      <c r="R287" s="177" t="str">
        <f>IF(UpdateHashtag!D332="",ROW(UpdateHashtag!D332),UpdateHashtag!D332)</f>
        <v>PF</v>
      </c>
      <c r="S287" s="124">
        <f t="shared" si="1"/>
        <v>-6.74184405</v>
      </c>
      <c r="T287" s="124">
        <f>SUM(AE287:AM287)-IFERROR(IFS(Projections!$I$17,AN287,Projections!$J$17,AO287),"")</f>
        <v>-7.034325559</v>
      </c>
      <c r="U287" s="124">
        <f t="shared" si="2"/>
        <v>-0.292481509</v>
      </c>
      <c r="V287" s="124">
        <f t="array" ref="V287">INDIRECT("Update"&amp;Projections!$AG$17&amp;"!M"&amp;ROW(B268))</f>
        <v>8.724675325</v>
      </c>
      <c r="W287" s="124">
        <f t="array" ref="W287">INDIRECT("Update"&amp;Projections!$AG$17&amp;"!L"&amp;ROW(B268))</f>
        <v>2.101298701</v>
      </c>
      <c r="X287" s="124">
        <f t="array" ref="X287">INDIRECT("Update"&amp;Projections!$AG$17&amp;"!N"&amp;ROW(B268))</f>
        <v>2.656493506</v>
      </c>
      <c r="Y287" s="124">
        <f t="array" ref="Y287">INDIRECT("Update"&amp;Projections!$AG$17&amp;"!O"&amp;ROW(B268))</f>
        <v>1.185974026</v>
      </c>
      <c r="Z287" s="124">
        <f t="array" ref="Z287">INDIRECT("Update"&amp;Projections!$AG$17&amp;"!P"&amp;ROW(B268))</f>
        <v>0.6022077922</v>
      </c>
      <c r="AA287" s="124">
        <f t="array" ref="AA287">INDIRECT("Update"&amp;Projections!$AG$17&amp;"!Q"&amp;ROW(B268))</f>
        <v>0.09636363636</v>
      </c>
      <c r="AB287" s="180">
        <f t="array" ref="AB287">INDIRECT("Update"&amp;Projections!$AG$17&amp;"!I"&amp;ROW(B268))</f>
        <v>0.4064440735</v>
      </c>
      <c r="AC287" s="180">
        <f t="array" ref="AC287">INDIRECT("Update"&amp;Projections!$AG$17&amp;"!K"&amp;ROW(B268))</f>
        <v>0.8011107254</v>
      </c>
      <c r="AD287" s="124">
        <f t="array" ref="AD287">INDIRECT("Update"&amp;Projections!$AG$17&amp;"!R"&amp;ROW(B268))</f>
        <v>0.5692207792</v>
      </c>
      <c r="AE287" s="124">
        <f t="shared" si="3"/>
        <v>-1.579758857</v>
      </c>
      <c r="AF287" s="124">
        <f t="shared" si="4"/>
        <v>0.3497857786</v>
      </c>
      <c r="AG287" s="124">
        <f t="shared" si="5"/>
        <v>-1.343002504</v>
      </c>
      <c r="AH287" s="124">
        <f t="shared" si="6"/>
        <v>-1.247681386</v>
      </c>
      <c r="AI287" s="124">
        <f t="shared" si="7"/>
        <v>-1.236621762</v>
      </c>
      <c r="AJ287" s="124">
        <f t="shared" si="8"/>
        <v>-1.163478881</v>
      </c>
      <c r="AK287" s="124">
        <f t="shared" si="9"/>
        <v>-0.8216263756</v>
      </c>
      <c r="AL287" s="124">
        <f t="shared" si="10"/>
        <v>0.008058427716</v>
      </c>
      <c r="AM287" s="124">
        <f t="shared" si="11"/>
        <v>0</v>
      </c>
      <c r="AN287" s="183">
        <f t="shared" si="12"/>
        <v>-1.579758857</v>
      </c>
      <c r="AO287" s="183">
        <f t="shared" si="13"/>
        <v>-2.922761361</v>
      </c>
      <c r="AP287" s="183">
        <f t="array" ref="AP287">INDIRECT("Update"&amp;Projections!$AG$17&amp;"!S"&amp;ROW(B268))</f>
        <v>7.779220779</v>
      </c>
      <c r="AQ287" s="183">
        <f t="array" ref="AQ287">INDIRECT("Update"&amp;Projections!$AG$17&amp;"!T"&amp;ROW(B268))</f>
        <v>0.3741558442</v>
      </c>
    </row>
    <row r="288">
      <c r="A288" s="40" t="str">
        <f>IF(UpdateHashtag!C286="",ROW(UpdateHashtag!C286),UpdateHashtag!C286)</f>
        <v>Ziaire Williams</v>
      </c>
      <c r="B288" s="41">
        <f>IF(TYPE($A288)=1,"",(UpdateHashtag!M286-B$1)/B$2)</f>
        <v>-1.602232288</v>
      </c>
      <c r="C288" s="41">
        <f>IF(TYPE($A288)=1,"",(UpdateHashtag!L286-C$1)/C$2)</f>
        <v>-0.643430979</v>
      </c>
      <c r="D288" s="41">
        <f>IF(TYPE($A288)=1,"",(UpdateHashtag!N286-D$1)/D$2)</f>
        <v>-1.012426407</v>
      </c>
      <c r="E288" s="41">
        <f>IF(TYPE($A288)=1,"",(UpdateHashtag!O286-E$1)/E$2)</f>
        <v>-1.10507013</v>
      </c>
      <c r="F288" s="41">
        <f>IF(TYPE($A288)=1,"",(UpdateHashtag!P286-F$1)/F$2)</f>
        <v>-0.9130944927</v>
      </c>
      <c r="G288" s="41">
        <f>IF(TYPE($A288)=1,"",(UpdateHashtag!Q286-G$1)/G$2)</f>
        <v>-0.978628106</v>
      </c>
      <c r="H288" s="41">
        <f>IF(TYPE($A288)=1,"",(UpdateHashtag!I286-H$1)/H$2*I288/$I$1)</f>
        <v>-0.8097046453</v>
      </c>
      <c r="I288" s="41">
        <f>UpdateHashtag!S286</f>
        <v>7.8</v>
      </c>
      <c r="J288" s="53">
        <f>IF(TYPE($A288)=1,"",(UpdateHashtag!K286-J$1)/J$2*K288/$K$1)</f>
        <v>0.07316304654</v>
      </c>
      <c r="K288" s="55">
        <f>UpdateHashtag!T286</f>
        <v>1.3</v>
      </c>
      <c r="L288" s="41">
        <f>IF(TYPE($A288)=1,"",-(UpdateHashtag!R286-L$1)/L$2)</f>
        <v>0.3458524173</v>
      </c>
      <c r="N288" s="5">
        <v>268.0</v>
      </c>
      <c r="O288" s="170" t="str">
        <f t="array" ref="O288">INDIRECT("Update"&amp;Projections!$AG$17&amp;"!B"&amp;ROW(B269))</f>
        <v>#N/A</v>
      </c>
      <c r="P288" s="172" t="str">
        <f t="array" ref="P288">INDIRECT("Update"&amp;Projections!$AG$17&amp;"!C"&amp;ROW(B269))</f>
        <v>Cam Payne</v>
      </c>
      <c r="Q288" s="170">
        <f>UpdateHashtag!F330</f>
        <v>65</v>
      </c>
      <c r="R288" s="177" t="str">
        <f>IF(UpdateHashtag!D330="",ROW(UpdateHashtag!D330),UpdateHashtag!D330)</f>
        <v>SF,PF</v>
      </c>
      <c r="S288" s="124">
        <f t="shared" si="1"/>
        <v>-7.008399388</v>
      </c>
      <c r="T288" s="124">
        <f>SUM(AE288:AM288)-IFERROR(IFS(Projections!$I$17,AN288,Projections!$J$17,AO288),"")</f>
        <v>-7.19062436</v>
      </c>
      <c r="U288" s="124">
        <f t="shared" si="2"/>
        <v>-0.1822249726</v>
      </c>
      <c r="V288" s="124">
        <f t="array" ref="V288">INDIRECT("Update"&amp;Projections!$AG$17&amp;"!M"&amp;ROW(B269))</f>
        <v>7.257945205</v>
      </c>
      <c r="W288" s="124">
        <f t="array" ref="W288">INDIRECT("Update"&amp;Projections!$AG$17&amp;"!L"&amp;ROW(B269))</f>
        <v>1.418493151</v>
      </c>
      <c r="X288" s="124">
        <f t="array" ref="X288">INDIRECT("Update"&amp;Projections!$AG$17&amp;"!N"&amp;ROW(B269))</f>
        <v>1.8</v>
      </c>
      <c r="Y288" s="124">
        <f t="array" ref="Y288">INDIRECT("Update"&amp;Projections!$AG$17&amp;"!O"&amp;ROW(B269))</f>
        <v>2.929452055</v>
      </c>
      <c r="Z288" s="124">
        <f t="array" ref="Z288">INDIRECT("Update"&amp;Projections!$AG$17&amp;"!P"&amp;ROW(B269))</f>
        <v>0.5694520548</v>
      </c>
      <c r="AA288" s="124">
        <f t="array" ref="AA288">INDIRECT("Update"&amp;Projections!$AG$17&amp;"!Q"&amp;ROW(B269))</f>
        <v>0.1449315068</v>
      </c>
      <c r="AB288" s="180">
        <f t="array" ref="AB288">INDIRECT("Update"&amp;Projections!$AG$17&amp;"!I"&amp;ROW(B269))</f>
        <v>0.4184613389</v>
      </c>
      <c r="AC288" s="180">
        <f t="array" ref="AC288">INDIRECT("Update"&amp;Projections!$AG$17&amp;"!K"&amp;ROW(B269))</f>
        <v>0.848</v>
      </c>
      <c r="AD288" s="124">
        <f t="array" ref="AD288">INDIRECT("Update"&amp;Projections!$AG$17&amp;"!R"&amp;ROW(B269))</f>
        <v>1.013835616</v>
      </c>
      <c r="AE288" s="124">
        <f t="shared" si="3"/>
        <v>-1.844145232</v>
      </c>
      <c r="AF288" s="124">
        <f t="shared" si="4"/>
        <v>-0.327508533</v>
      </c>
      <c r="AG288" s="124">
        <f t="shared" si="5"/>
        <v>-1.678668301</v>
      </c>
      <c r="AH288" s="124">
        <f t="shared" si="6"/>
        <v>-0.455901047</v>
      </c>
      <c r="AI288" s="124">
        <f t="shared" si="7"/>
        <v>-1.344988006</v>
      </c>
      <c r="AJ288" s="124">
        <f t="shared" si="8"/>
        <v>-1.076850904</v>
      </c>
      <c r="AK288" s="124">
        <f t="shared" si="9"/>
        <v>-0.5805711705</v>
      </c>
      <c r="AL288" s="124">
        <f t="shared" si="10"/>
        <v>0.1180088335</v>
      </c>
      <c r="AM288" s="124">
        <f t="shared" si="11"/>
        <v>0</v>
      </c>
      <c r="AN288" s="183">
        <f t="shared" si="12"/>
        <v>-1.844145232</v>
      </c>
      <c r="AO288" s="183">
        <f t="shared" si="13"/>
        <v>-3.522813533</v>
      </c>
      <c r="AP288" s="183">
        <f t="array" ref="AP288">INDIRECT("Update"&amp;Projections!$AG$17&amp;"!S"&amp;ROW(B269))</f>
        <v>6.335342466</v>
      </c>
      <c r="AQ288" s="183">
        <f t="array" ref="AQ288">INDIRECT("Update"&amp;Projections!$AG$17&amp;"!T"&amp;ROW(B269))</f>
        <v>0.6335616438</v>
      </c>
    </row>
    <row r="289">
      <c r="A289" s="40" t="str">
        <f>IF(UpdateHashtag!C287="",ROW(UpdateHashtag!C287),UpdateHashtag!C287)</f>
        <v>Jay Huff</v>
      </c>
      <c r="B289" s="41">
        <f>IF(TYPE($A289)=1,"",(UpdateHashtag!M287-B$1)/B$2)</f>
        <v>-2.323254843</v>
      </c>
      <c r="C289" s="41">
        <f>IF(TYPE($A289)=1,"",(UpdateHashtag!L287-C$1)/C$2)</f>
        <v>-1.139395249</v>
      </c>
      <c r="D289" s="41">
        <f>IF(TYPE($A289)=1,"",(UpdateHashtag!N287-D$1)/D$2)</f>
        <v>-1.600286902</v>
      </c>
      <c r="E289" s="41">
        <f>IF(TYPE($A289)=1,"",(UpdateHashtag!O287-E$1)/E$2)</f>
        <v>-1.468380857</v>
      </c>
      <c r="F289" s="41">
        <f>IF(TYPE($A289)=1,"",(UpdateHashtag!P287-F$1)/F$2)</f>
        <v>-2.236419844</v>
      </c>
      <c r="G289" s="41">
        <f>IF(TYPE($A289)=1,"",(UpdateHashtag!Q287-G$1)/G$2)</f>
        <v>-0.6218985413</v>
      </c>
      <c r="H289" s="41">
        <f>IF(TYPE($A289)=1,"",(UpdateHashtag!I287-H$1)/H$2*I289/$I$1)</f>
        <v>0.2958889029</v>
      </c>
      <c r="I289" s="41">
        <f>UpdateHashtag!S287</f>
        <v>2.5</v>
      </c>
      <c r="J289" s="53">
        <f>IF(TYPE($A289)=1,"",(UpdateHashtag!K287-J$1)/J$2*K289/$K$1)</f>
        <v>0.5835970237</v>
      </c>
      <c r="K289" s="55">
        <f>UpdateHashtag!T287</f>
        <v>1.1</v>
      </c>
      <c r="L289" s="41">
        <f>IF(TYPE($A289)=1,"",-(UpdateHashtag!R287-L$1)/L$2)</f>
        <v>1.337780956</v>
      </c>
      <c r="N289" s="5">
        <v>269.0</v>
      </c>
      <c r="O289" s="170" t="str">
        <f t="array" ref="O289">INDIRECT("Update"&amp;Projections!$AG$17&amp;"!B"&amp;ROW(B270))</f>
        <v/>
      </c>
      <c r="P289" s="172" t="str">
        <f t="array" ref="P289">INDIRECT("Update"&amp;Projections!$AG$17&amp;"!C"&amp;ROW(B270))</f>
        <v>Kevin Love</v>
      </c>
      <c r="Q289" s="170">
        <f>UpdateHashtag!F322</f>
        <v>40</v>
      </c>
      <c r="R289" s="177" t="str">
        <f>IF(UpdateHashtag!D322="",ROW(UpdateHashtag!D322),UpdateHashtag!D322)</f>
        <v>PF,C</v>
      </c>
      <c r="S289" s="124">
        <f t="shared" si="1"/>
        <v>-7.155037705</v>
      </c>
      <c r="T289" s="124">
        <f>SUM(AE289:AM289)-IFERROR(IFS(Projections!$I$17,AN289,Projections!$J$17,AO289),"")</f>
        <v>-7.363177377</v>
      </c>
      <c r="U289" s="124">
        <f t="shared" si="2"/>
        <v>-0.2081396718</v>
      </c>
      <c r="V289" s="124">
        <f t="array" ref="V289">INDIRECT("Update"&amp;Projections!$AG$17&amp;"!M"&amp;ROW(B270))</f>
        <v>7.061777778</v>
      </c>
      <c r="W289" s="124">
        <f t="array" ref="W289">INDIRECT("Update"&amp;Projections!$AG$17&amp;"!L"&amp;ROW(B270))</f>
        <v>1.347333333</v>
      </c>
      <c r="X289" s="124">
        <f t="array" ref="X289">INDIRECT("Update"&amp;Projections!$AG$17&amp;"!N"&amp;ROW(B270))</f>
        <v>5.456222222</v>
      </c>
      <c r="Y289" s="124">
        <f t="array" ref="Y289">INDIRECT("Update"&amp;Projections!$AG$17&amp;"!O"&amp;ROW(B270))</f>
        <v>1.636888889</v>
      </c>
      <c r="Z289" s="124">
        <f t="array" ref="Z289">INDIRECT("Update"&amp;Projections!$AG$17&amp;"!P"&amp;ROW(B270))</f>
        <v>0.2688888889</v>
      </c>
      <c r="AA289" s="124">
        <f t="array" ref="AA289">INDIRECT("Update"&amp;Projections!$AG$17&amp;"!Q"&amp;ROW(B270))</f>
        <v>0.1528888889</v>
      </c>
      <c r="AB289" s="180">
        <f t="array" ref="AB289">INDIRECT("Update"&amp;Projections!$AG$17&amp;"!I"&amp;ROW(B270))</f>
        <v>0.424567056</v>
      </c>
      <c r="AC289" s="180">
        <f t="array" ref="AC289">INDIRECT("Update"&amp;Projections!$AG$17&amp;"!K"&amp;ROW(B270))</f>
        <v>0.811033275</v>
      </c>
      <c r="AD289" s="124">
        <f t="array" ref="AD289">INDIRECT("Update"&amp;Projections!$AG$17&amp;"!R"&amp;ROW(B270))</f>
        <v>0.9093333333</v>
      </c>
      <c r="AE289" s="124">
        <f t="shared" si="3"/>
        <v>-1.879505517</v>
      </c>
      <c r="AF289" s="124">
        <f t="shared" si="4"/>
        <v>-0.3980939873</v>
      </c>
      <c r="AG289" s="124">
        <f t="shared" si="5"/>
        <v>-0.245769232</v>
      </c>
      <c r="AH289" s="124">
        <f t="shared" si="6"/>
        <v>-1.042903627</v>
      </c>
      <c r="AI289" s="124">
        <f t="shared" si="7"/>
        <v>-2.339345149</v>
      </c>
      <c r="AJ289" s="124">
        <f t="shared" si="8"/>
        <v>-1.062657737</v>
      </c>
      <c r="AK289" s="124">
        <f t="shared" si="9"/>
        <v>-0.4664625926</v>
      </c>
      <c r="AL289" s="124">
        <f t="shared" si="10"/>
        <v>0.07156046554</v>
      </c>
      <c r="AM289" s="124">
        <f t="shared" si="11"/>
        <v>0</v>
      </c>
      <c r="AN289" s="183">
        <f t="shared" si="12"/>
        <v>-2.339345149</v>
      </c>
      <c r="AO289" s="183">
        <f t="shared" si="13"/>
        <v>-4.218850666</v>
      </c>
      <c r="AP289" s="183">
        <f t="array" ref="AP289">INDIRECT("Update"&amp;Projections!$AG$17&amp;"!S"&amp;ROW(B270))</f>
        <v>5.517777778</v>
      </c>
      <c r="AQ289" s="183">
        <f t="array" ref="AQ289">INDIRECT("Update"&amp;Projections!$AG$17&amp;"!T"&amp;ROW(B270))</f>
        <v>1.268888889</v>
      </c>
    </row>
    <row r="290">
      <c r="A290" s="40" t="str">
        <f>IF(UpdateHashtag!C288="",ROW(UpdateHashtag!C288),UpdateHashtag!C288)</f>
        <v>Max Christie</v>
      </c>
      <c r="B290" s="41">
        <f>IF(TYPE($A290)=1,"",(UpdateHashtag!M288-B$1)/B$2)</f>
        <v>-1.980769129</v>
      </c>
      <c r="C290" s="41">
        <f>IF(TYPE($A290)=1,"",(UpdateHashtag!L288-C$1)/C$2)</f>
        <v>-0.7426238329</v>
      </c>
      <c r="D290" s="41">
        <f>IF(TYPE($A290)=1,"",(UpdateHashtag!N288-D$1)/D$2)</f>
        <v>-1.090807806</v>
      </c>
      <c r="E290" s="41">
        <f>IF(TYPE($A290)=1,"",(UpdateHashtag!O288-E$1)/E$2)</f>
        <v>-1.241311653</v>
      </c>
      <c r="F290" s="41">
        <f>IF(TYPE($A290)=1,"",(UpdateHashtag!P288-F$1)/F$2)</f>
        <v>-1.905588506</v>
      </c>
      <c r="G290" s="41">
        <f>IF(TYPE($A290)=1,"",(UpdateHashtag!Q288-G$1)/G$2)</f>
        <v>-0.6218985413</v>
      </c>
      <c r="H290" s="41">
        <f>IF(TYPE($A290)=1,"",(UpdateHashtag!I288-H$1)/H$2*I290/$I$1)</f>
        <v>-0.359076489</v>
      </c>
      <c r="I290" s="41">
        <f>UpdateHashtag!S288</f>
        <v>5.3</v>
      </c>
      <c r="J290" s="53">
        <f>IF(TYPE($A290)=1,"",(UpdateHashtag!K288-J$1)/J$2*K290/$K$1)</f>
        <v>0.04432782681</v>
      </c>
      <c r="K290" s="55">
        <f>UpdateHashtag!T288</f>
        <v>0.9</v>
      </c>
      <c r="L290" s="41">
        <f>IF(TYPE($A290)=1,"",-(UpdateHashtag!R288-L$1)/L$2)</f>
        <v>1.040202395</v>
      </c>
      <c r="N290" s="112">
        <v>270.0</v>
      </c>
      <c r="O290" s="170" t="str">
        <f t="array" ref="O290">INDIRECT("Update"&amp;Projections!$AG$17&amp;"!B"&amp;ROW(B271))</f>
        <v/>
      </c>
      <c r="P290" s="172" t="str">
        <f t="array" ref="P290">INDIRECT("Update"&amp;Projections!$AG$17&amp;"!C"&amp;ROW(B271))</f>
        <v>Max Christie</v>
      </c>
      <c r="Q290" s="170">
        <f>UpdateHashtag!F336</f>
        <v>44</v>
      </c>
      <c r="R290" s="177" t="str">
        <f>IF(UpdateHashtag!D336="",ROW(UpdateHashtag!D336),UpdateHashtag!D336)</f>
        <v>SF,PF</v>
      </c>
      <c r="S290" s="124">
        <f t="shared" si="1"/>
        <v>-7.126201769</v>
      </c>
      <c r="T290" s="124">
        <f>SUM(AE290:AM290)-IFERROR(IFS(Projections!$I$17,AN290,Projections!$J$17,AO290),"")</f>
        <v>-7.36063887</v>
      </c>
      <c r="U290" s="124">
        <f t="shared" si="2"/>
        <v>-0.2344371015</v>
      </c>
      <c r="V290" s="124">
        <f t="array" ref="V290">INDIRECT("Update"&amp;Projections!$AG$17&amp;"!M"&amp;ROW(B271))</f>
        <v>7.474794521</v>
      </c>
      <c r="W290" s="124">
        <f t="array" ref="W290">INDIRECT("Update"&amp;Projections!$AG$17&amp;"!L"&amp;ROW(B271))</f>
        <v>1.160410959</v>
      </c>
      <c r="X290" s="124">
        <f t="array" ref="X290">INDIRECT("Update"&amp;Projections!$AG$17&amp;"!N"&amp;ROW(B271))</f>
        <v>3.079178082</v>
      </c>
      <c r="Y290" s="124">
        <f t="array" ref="Y290">INDIRECT("Update"&amp;Projections!$AG$17&amp;"!O"&amp;ROW(B271))</f>
        <v>1.313013699</v>
      </c>
      <c r="Z290" s="124">
        <f t="array" ref="Z290">INDIRECT("Update"&amp;Projections!$AG$17&amp;"!P"&amp;ROW(B271))</f>
        <v>0.4908219178</v>
      </c>
      <c r="AA290" s="124">
        <f t="array" ref="AA290">INDIRECT("Update"&amp;Projections!$AG$17&amp;"!Q"&amp;ROW(B271))</f>
        <v>0.3569863014</v>
      </c>
      <c r="AB290" s="180">
        <f t="array" ref="AB290">INDIRECT("Update"&amp;Projections!$AG$17&amp;"!I"&amp;ROW(B271))</f>
        <v>0.443426022</v>
      </c>
      <c r="AC290" s="180">
        <f t="array" ref="AC290">INDIRECT("Update"&amp;Projections!$AG$17&amp;"!K"&amp;ROW(B271))</f>
        <v>0.8200138026</v>
      </c>
      <c r="AD290" s="124">
        <f t="array" ref="AD290">INDIRECT("Update"&amp;Projections!$AG$17&amp;"!R"&amp;ROW(B271))</f>
        <v>0.8032876712</v>
      </c>
      <c r="AE290" s="124">
        <f t="shared" si="3"/>
        <v>-1.80505692</v>
      </c>
      <c r="AF290" s="124">
        <f t="shared" si="4"/>
        <v>-0.5835076247</v>
      </c>
      <c r="AG290" s="124">
        <f t="shared" si="5"/>
        <v>-1.177349461</v>
      </c>
      <c r="AH290" s="124">
        <f t="shared" si="6"/>
        <v>-1.189987791</v>
      </c>
      <c r="AI290" s="124">
        <f t="shared" si="7"/>
        <v>-1.605121141</v>
      </c>
      <c r="AJ290" s="124">
        <f t="shared" si="8"/>
        <v>-0.6986198312</v>
      </c>
      <c r="AK290" s="124">
        <f t="shared" si="9"/>
        <v>-0.3882788212</v>
      </c>
      <c r="AL290" s="124">
        <f t="shared" si="10"/>
        <v>0.08728271971</v>
      </c>
      <c r="AM290" s="124">
        <f t="shared" si="11"/>
        <v>0</v>
      </c>
      <c r="AN290" s="183">
        <f t="shared" si="12"/>
        <v>-1.80505692</v>
      </c>
      <c r="AO290" s="183">
        <f t="shared" si="13"/>
        <v>-3.410178061</v>
      </c>
      <c r="AP290" s="183">
        <f t="array" ref="AP290">INDIRECT("Update"&amp;Projections!$AG$17&amp;"!S"&amp;ROW(B271))</f>
        <v>6.202328767</v>
      </c>
      <c r="AQ290" s="183">
        <f t="array" ref="AQ290">INDIRECT("Update"&amp;Projections!$AG$17&amp;"!T"&amp;ROW(B271))</f>
        <v>0.9924657534</v>
      </c>
    </row>
    <row r="291">
      <c r="A291" s="40" t="str">
        <f>IF(UpdateHashtag!C289="",ROW(UpdateHashtag!C289),UpdateHashtag!C289)</f>
        <v>Ryan Dunn</v>
      </c>
      <c r="B291" s="41">
        <f>IF(TYPE($A291)=1,"",(UpdateHashtag!M289-B$1)/B$2)</f>
        <v>-2.413382662</v>
      </c>
      <c r="C291" s="41">
        <f>IF(TYPE($A291)=1,"",(UpdateHashtag!L289-C$1)/C$2)</f>
        <v>-1.635359518</v>
      </c>
      <c r="D291" s="41">
        <f>IF(TYPE($A291)=1,"",(UpdateHashtag!N289-D$1)/D$2)</f>
        <v>-1.051617107</v>
      </c>
      <c r="E291" s="41">
        <f>IF(TYPE($A291)=1,"",(UpdateHashtag!O289-E$1)/E$2)</f>
        <v>-1.60462238</v>
      </c>
      <c r="F291" s="41">
        <f>IF(TYPE($A291)=1,"",(UpdateHashtag!P289-F$1)/F$2)</f>
        <v>-1.243925831</v>
      </c>
      <c r="G291" s="41">
        <f>IF(TYPE($A291)=1,"",(UpdateHashtag!Q289-G$1)/G$2)</f>
        <v>0.6266549355</v>
      </c>
      <c r="H291" s="41">
        <f>IF(TYPE($A291)=1,"",(UpdateHashtag!I289-H$1)/H$2*I291/$I$1)</f>
        <v>0.002891619522</v>
      </c>
      <c r="I291" s="41">
        <f>UpdateHashtag!S289</f>
        <v>3.3</v>
      </c>
      <c r="J291" s="53">
        <f>IF(TYPE($A291)=1,"",(UpdateHashtag!K289-J$1)/J$2*K291/$K$1)</f>
        <v>-0.7959827503</v>
      </c>
      <c r="K291" s="55">
        <f>UpdateHashtag!T289</f>
        <v>1.1</v>
      </c>
      <c r="L291" s="41">
        <f>IF(TYPE($A291)=1,"",-(UpdateHashtag!R289-L$1)/L$2)</f>
        <v>1.337780956</v>
      </c>
      <c r="N291" s="112">
        <v>271.0</v>
      </c>
      <c r="O291" s="170">
        <f t="array" ref="O291">INDIRECT("Update"&amp;Projections!$AG$17&amp;"!B"&amp;ROW(B272))</f>
        <v>139.8</v>
      </c>
      <c r="P291" s="172" t="str">
        <f t="array" ref="P291">INDIRECT("Update"&amp;Projections!$AG$17&amp;"!C"&amp;ROW(B272))</f>
        <v>Steven Adams</v>
      </c>
      <c r="Q291" s="170">
        <f>UpdateHashtag!F327</f>
        <v>44</v>
      </c>
      <c r="R291" s="177" t="str">
        <f>IF(UpdateHashtag!D327="",ROW(UpdateHashtag!D327),UpdateHashtag!D327)</f>
        <v>C</v>
      </c>
      <c r="S291" s="124">
        <f t="shared" si="1"/>
        <v>-7.380506856</v>
      </c>
      <c r="T291" s="124">
        <f>SUM(AE291:AM291)-IFERROR(IFS(Projections!$I$17,AN291,Projections!$J$17,AO291),"")</f>
        <v>-7.542811163</v>
      </c>
      <c r="U291" s="124">
        <f t="shared" si="2"/>
        <v>-0.1623043071</v>
      </c>
      <c r="V291" s="124">
        <f t="array" ref="V291">INDIRECT("Update"&amp;Projections!$AG$17&amp;"!M"&amp;ROW(B272))</f>
        <v>5.395333333</v>
      </c>
      <c r="W291" s="124">
        <f t="array" ref="W291">INDIRECT("Update"&amp;Projections!$AG$17&amp;"!L"&amp;ROW(B272))</f>
        <v>0</v>
      </c>
      <c r="X291" s="124">
        <f t="array" ref="X291">INDIRECT("Update"&amp;Projections!$AG$17&amp;"!N"&amp;ROW(B272))</f>
        <v>7.3645</v>
      </c>
      <c r="Y291" s="124">
        <f t="array" ref="Y291">INDIRECT("Update"&amp;Projections!$AG$17&amp;"!O"&amp;ROW(B272))</f>
        <v>1.599166667</v>
      </c>
      <c r="Z291" s="124">
        <f t="array" ref="Z291">INDIRECT("Update"&amp;Projections!$AG$17&amp;"!P"&amp;ROW(B272))</f>
        <v>0.6118333333</v>
      </c>
      <c r="AA291" s="124">
        <f t="array" ref="AA291">INDIRECT("Update"&amp;Projections!$AG$17&amp;"!Q"&amp;ROW(B272))</f>
        <v>0.6733333333</v>
      </c>
      <c r="AB291" s="180">
        <f t="array" ref="AB291">INDIRECT("Update"&amp;Projections!$AG$17&amp;"!I"&amp;ROW(B272))</f>
        <v>0.5839862247</v>
      </c>
      <c r="AC291" s="180">
        <f t="array" ref="AC291">INDIRECT("Update"&amp;Projections!$AG$17&amp;"!K"&amp;ROW(B272))</f>
        <v>0.469955157</v>
      </c>
      <c r="AD291" s="124">
        <f t="array" ref="AD291">INDIRECT("Update"&amp;Projections!$AG$17&amp;"!R"&amp;ROW(B272))</f>
        <v>1.094166667</v>
      </c>
      <c r="AE291" s="124">
        <f t="shared" si="3"/>
        <v>-2.179891525</v>
      </c>
      <c r="AF291" s="124">
        <f t="shared" si="4"/>
        <v>-1.734552372</v>
      </c>
      <c r="AG291" s="124">
        <f t="shared" si="5"/>
        <v>0.5020981801</v>
      </c>
      <c r="AH291" s="124">
        <f t="shared" si="6"/>
        <v>-1.060034737</v>
      </c>
      <c r="AI291" s="124">
        <f t="shared" si="7"/>
        <v>-1.204777456</v>
      </c>
      <c r="AJ291" s="124">
        <f t="shared" si="8"/>
        <v>-0.1343681361</v>
      </c>
      <c r="AK291" s="124">
        <f t="shared" si="9"/>
        <v>0.3906206409</v>
      </c>
      <c r="AL291" s="124">
        <f t="shared" si="10"/>
        <v>-2.121905758</v>
      </c>
      <c r="AM291" s="124">
        <f t="shared" si="11"/>
        <v>0</v>
      </c>
      <c r="AN291" s="183">
        <f t="shared" si="12"/>
        <v>-2.179891525</v>
      </c>
      <c r="AO291" s="183">
        <f t="shared" si="13"/>
        <v>-4.301797283</v>
      </c>
      <c r="AP291" s="183">
        <f t="array" ref="AP291">INDIRECT("Update"&amp;Projections!$AG$17&amp;"!S"&amp;ROW(B272))</f>
        <v>3.871666667</v>
      </c>
      <c r="AQ291" s="183">
        <f t="array" ref="AQ291">INDIRECT("Update"&amp;Projections!$AG$17&amp;"!T"&amp;ROW(B272))</f>
        <v>1.858333333</v>
      </c>
    </row>
    <row r="292">
      <c r="A292" s="40" t="str">
        <f>IF(UpdateHashtag!C290="",ROW(UpdateHashtag!C290),UpdateHashtag!C290)</f>
        <v>Jericho Sims</v>
      </c>
      <c r="B292" s="41">
        <f>IF(TYPE($A292)=1,"",(UpdateHashtag!M290-B$1)/B$2)</f>
        <v>-2.557587173</v>
      </c>
      <c r="C292" s="41">
        <f>IF(TYPE($A292)=1,"",(UpdateHashtag!L290-C$1)/C$2)</f>
        <v>-1.734552372</v>
      </c>
      <c r="D292" s="41">
        <f>IF(TYPE($A292)=1,"",(UpdateHashtag!N290-D$1)/D$2)</f>
        <v>-0.502947312</v>
      </c>
      <c r="E292" s="41">
        <f>IF(TYPE($A292)=1,"",(UpdateHashtag!O290-E$1)/E$2)</f>
        <v>-1.513794698</v>
      </c>
      <c r="F292" s="41">
        <f>IF(TYPE($A292)=1,"",(UpdateHashtag!P290-F$1)/F$2)</f>
        <v>-2.236419844</v>
      </c>
      <c r="G292" s="41">
        <f>IF(TYPE($A292)=1,"",(UpdateHashtag!Q290-G$1)/G$2)</f>
        <v>-0.2651689765</v>
      </c>
      <c r="H292" s="41">
        <f>IF(TYPE($A292)=1,"",(UpdateHashtag!I290-H$1)/H$2*I292/$I$1)</f>
        <v>0.5740279612</v>
      </c>
      <c r="I292" s="41">
        <f>UpdateHashtag!S290</f>
        <v>2</v>
      </c>
      <c r="J292" s="53">
        <f>IF(TYPE($A292)=1,"",(UpdateHashtag!K290-J$1)/J$2*K292/$K$1)</f>
        <v>-0.1773745424</v>
      </c>
      <c r="K292" s="55">
        <f>UpdateHashtag!T290</f>
        <v>0.5</v>
      </c>
      <c r="L292" s="41">
        <f>IF(TYPE($A292)=1,"",-(UpdateHashtag!R290-L$1)/L$2)</f>
        <v>1.238588102</v>
      </c>
      <c r="N292" s="5">
        <v>272.0</v>
      </c>
      <c r="O292" s="170" t="str">
        <f t="array" ref="O292">INDIRECT("Update"&amp;Projections!$AG$17&amp;"!B"&amp;ROW(B273))</f>
        <v/>
      </c>
      <c r="P292" s="172" t="str">
        <f t="array" ref="P292">INDIRECT("Update"&amp;Projections!$AG$17&amp;"!C"&amp;ROW(B273))</f>
        <v>Vasilije Micic</v>
      </c>
      <c r="Q292" s="170">
        <f>UpdateHashtag!F328</f>
        <v>55</v>
      </c>
      <c r="R292" s="177" t="str">
        <f>IF(UpdateHashtag!D328="",ROW(UpdateHashtag!D328),UpdateHashtag!D328)</f>
        <v>PG,SG</v>
      </c>
      <c r="S292" s="124">
        <f t="shared" si="1"/>
        <v>-7.389314778</v>
      </c>
      <c r="T292" s="124">
        <f>SUM(AE292:AM292)-IFERROR(IFS(Projections!$I$17,AN292,Projections!$J$17,AO292),"")</f>
        <v>-7.445910623</v>
      </c>
      <c r="U292" s="124">
        <f t="shared" si="2"/>
        <v>-0.05659584438</v>
      </c>
      <c r="V292" s="124">
        <f t="array" ref="V292">INDIRECT("Update"&amp;Projections!$AG$17&amp;"!M"&amp;ROW(B273))</f>
        <v>7.56</v>
      </c>
      <c r="W292" s="124">
        <f t="array" ref="W292">INDIRECT("Update"&amp;Projections!$AG$17&amp;"!L"&amp;ROW(B273))</f>
        <v>0.8729411765</v>
      </c>
      <c r="X292" s="124">
        <f t="array" ref="X292">INDIRECT("Update"&amp;Projections!$AG$17&amp;"!N"&amp;ROW(B273))</f>
        <v>1.386176471</v>
      </c>
      <c r="Y292" s="124">
        <f t="array" ref="Y292">INDIRECT("Update"&amp;Projections!$AG$17&amp;"!O"&amp;ROW(B273))</f>
        <v>4.012647059</v>
      </c>
      <c r="Z292" s="124">
        <f t="array" ref="Z292">INDIRECT("Update"&amp;Projections!$AG$17&amp;"!P"&amp;ROW(B273))</f>
        <v>0.4594117647</v>
      </c>
      <c r="AA292" s="124">
        <f t="array" ref="AA292">INDIRECT("Update"&amp;Projections!$AG$17&amp;"!Q"&amp;ROW(B273))</f>
        <v>0.1116176471</v>
      </c>
      <c r="AB292" s="180">
        <f t="array" ref="AB292">INDIRECT("Update"&amp;Projections!$AG$17&amp;"!I"&amp;ROW(B273))</f>
        <v>0.4610221748</v>
      </c>
      <c r="AC292" s="180">
        <f t="array" ref="AC292">INDIRECT("Update"&amp;Projections!$AG$17&amp;"!K"&amp;ROW(B273))</f>
        <v>0.8249718504</v>
      </c>
      <c r="AD292" s="124">
        <f t="array" ref="AD292">INDIRECT("Update"&amp;Projections!$AG$17&amp;"!R"&amp;ROW(B273))</f>
        <v>1.520441176</v>
      </c>
      <c r="AE292" s="124">
        <f t="shared" si="3"/>
        <v>-1.789698152</v>
      </c>
      <c r="AF292" s="124">
        <f t="shared" si="4"/>
        <v>-0.8686571061</v>
      </c>
      <c r="AG292" s="124">
        <f t="shared" si="5"/>
        <v>-1.840848637</v>
      </c>
      <c r="AH292" s="124">
        <f t="shared" si="6"/>
        <v>0.03601940922</v>
      </c>
      <c r="AI292" s="124">
        <f t="shared" si="7"/>
        <v>-1.70903577</v>
      </c>
      <c r="AJ292" s="124">
        <f t="shared" si="8"/>
        <v>-1.136271097</v>
      </c>
      <c r="AK292" s="124">
        <f t="shared" si="9"/>
        <v>-0.2612675772</v>
      </c>
      <c r="AL292" s="124">
        <f t="shared" si="10"/>
        <v>0.1238483082</v>
      </c>
      <c r="AM292" s="124">
        <f t="shared" si="11"/>
        <v>0</v>
      </c>
      <c r="AN292" s="183">
        <f t="shared" si="12"/>
        <v>-1.840848637</v>
      </c>
      <c r="AO292" s="183">
        <f t="shared" si="13"/>
        <v>-3.630546789</v>
      </c>
      <c r="AP292" s="183">
        <f t="array" ref="AP292">INDIRECT("Update"&amp;Projections!$AG$17&amp;"!S"&amp;ROW(B273))</f>
        <v>6.200735294</v>
      </c>
      <c r="AQ292" s="183">
        <f t="array" ref="AQ292">INDIRECT("Update"&amp;Projections!$AG$17&amp;"!T"&amp;ROW(B273))</f>
        <v>1.175441176</v>
      </c>
    </row>
    <row r="293">
      <c r="A293" s="40" t="str">
        <f>IF(UpdateHashtag!C291="",ROW(UpdateHashtag!C291),UpdateHashtag!C291)</f>
        <v>Dalton Knecht</v>
      </c>
      <c r="B293" s="41">
        <f>IF(TYPE($A293)=1,"",(UpdateHashtag!M291-B$1)/B$2)</f>
        <v>-1.530130032</v>
      </c>
      <c r="C293" s="41">
        <f>IF(TYPE($A293)=1,"",(UpdateHashtag!L291-C$1)/C$2)</f>
        <v>-0.643430979</v>
      </c>
      <c r="D293" s="41">
        <f>IF(TYPE($A293)=1,"",(UpdateHashtag!N291-D$1)/D$2)</f>
        <v>-1.090807806</v>
      </c>
      <c r="E293" s="41">
        <f>IF(TYPE($A293)=1,"",(UpdateHashtag!O291-E$1)/E$2)</f>
        <v>-1.286725494</v>
      </c>
      <c r="F293" s="41">
        <f>IF(TYPE($A293)=1,"",(UpdateHashtag!P291-F$1)/F$2)</f>
        <v>-2.236419844</v>
      </c>
      <c r="G293" s="41">
        <f>IF(TYPE($A293)=1,"",(UpdateHashtag!Q291-G$1)/G$2)</f>
        <v>-0.6218985413</v>
      </c>
      <c r="H293" s="41">
        <f>IF(TYPE($A293)=1,"",(UpdateHashtag!I291-H$1)/H$2*I293/$I$1)</f>
        <v>-0.421154419</v>
      </c>
      <c r="I293" s="41">
        <f>UpdateHashtag!S291</f>
        <v>6.8</v>
      </c>
      <c r="J293" s="53">
        <f>IF(TYPE($A293)=1,"",(UpdateHashtag!K291-J$1)/J$2*K293/$K$1)</f>
        <v>-0.2106151429</v>
      </c>
      <c r="K293" s="55">
        <f>UpdateHashtag!T291</f>
        <v>2.4</v>
      </c>
      <c r="L293" s="41">
        <f>IF(TYPE($A293)=1,"",-(UpdateHashtag!R291-L$1)/L$2)</f>
        <v>1.040202395</v>
      </c>
      <c r="N293" s="5">
        <v>273.0</v>
      </c>
      <c r="O293" s="170">
        <f t="array" ref="O293">INDIRECT("Update"&amp;Projections!$AG$17&amp;"!B"&amp;ROW(B274))</f>
        <v>146.9</v>
      </c>
      <c r="P293" s="172" t="str">
        <f t="array" ref="P293">INDIRECT("Update"&amp;Projections!$AG$17&amp;"!C"&amp;ROW(B274))</f>
        <v>Karlo Matkovic</v>
      </c>
      <c r="Q293" s="170">
        <f>UpdateHashtag!F321</f>
        <v>20</v>
      </c>
      <c r="R293" s="177" t="str">
        <f>IF(UpdateHashtag!D321="",ROW(UpdateHashtag!D321),UpdateHashtag!D321)</f>
        <v>C</v>
      </c>
      <c r="S293" s="124">
        <f t="shared" si="1"/>
        <v>-7.425342467</v>
      </c>
      <c r="T293" s="124">
        <f>SUM(AE293:AM293)-IFERROR(IFS(Projections!$I$17,AN293,Projections!$J$17,AO293),"")</f>
        <v>-7.687134217</v>
      </c>
      <c r="U293" s="124">
        <f t="shared" si="2"/>
        <v>-0.2617917498</v>
      </c>
      <c r="V293" s="124">
        <f t="array" ref="V293">INDIRECT("Update"&amp;Projections!$AG$17&amp;"!M"&amp;ROW(B274))</f>
        <v>5.894042553</v>
      </c>
      <c r="W293" s="124">
        <f t="array" ref="W293">INDIRECT("Update"&amp;Projections!$AG$17&amp;"!L"&amp;ROW(B274))</f>
        <v>0.2636170213</v>
      </c>
      <c r="X293" s="124">
        <f t="array" ref="X293">INDIRECT("Update"&amp;Projections!$AG$17&amp;"!N"&amp;ROW(B274))</f>
        <v>3.724893617</v>
      </c>
      <c r="Y293" s="124">
        <f t="array" ref="Y293">INDIRECT("Update"&amp;Projections!$AG$17&amp;"!O"&amp;ROW(B274))</f>
        <v>0.4908510638</v>
      </c>
      <c r="Z293" s="124">
        <f t="array" ref="Z293">INDIRECT("Update"&amp;Projections!$AG$17&amp;"!P"&amp;ROW(B274))</f>
        <v>0.4331914894</v>
      </c>
      <c r="AA293" s="124">
        <f t="array" ref="AA293">INDIRECT("Update"&amp;Projections!$AG$17&amp;"!Q"&amp;ROW(B274))</f>
        <v>0.8085106383</v>
      </c>
      <c r="AB293" s="180">
        <f t="array" ref="AB293">INDIRECT("Update"&amp;Projections!$AG$17&amp;"!I"&amp;ROW(B274))</f>
        <v>0.5579757463</v>
      </c>
      <c r="AC293" s="180">
        <f t="array" ref="AC293">INDIRECT("Update"&amp;Projections!$AG$17&amp;"!K"&amp;ROW(B274))</f>
        <v>0.6960219479</v>
      </c>
      <c r="AD293" s="124">
        <f t="array" ref="AD293">INDIRECT("Update"&amp;Projections!$AG$17&amp;"!R"&amp;ROW(B274))</f>
        <v>0.6929787234</v>
      </c>
      <c r="AE293" s="124">
        <f t="shared" si="3"/>
        <v>-2.089996376</v>
      </c>
      <c r="AF293" s="124">
        <f t="shared" si="4"/>
        <v>-1.473063125</v>
      </c>
      <c r="AG293" s="124">
        <f t="shared" si="5"/>
        <v>-0.9242890253</v>
      </c>
      <c r="AH293" s="124">
        <f t="shared" si="6"/>
        <v>-1.563363423</v>
      </c>
      <c r="AI293" s="124">
        <f t="shared" si="7"/>
        <v>-1.795780658</v>
      </c>
      <c r="AJ293" s="124">
        <f t="shared" si="8"/>
        <v>0.1067405698</v>
      </c>
      <c r="AK293" s="124">
        <f t="shared" si="9"/>
        <v>0.3222282749</v>
      </c>
      <c r="AL293" s="124">
        <f t="shared" si="10"/>
        <v>-0.2696104554</v>
      </c>
      <c r="AM293" s="124">
        <f t="shared" si="11"/>
        <v>0</v>
      </c>
      <c r="AN293" s="183">
        <f t="shared" si="12"/>
        <v>-2.089996376</v>
      </c>
      <c r="AO293" s="183">
        <f t="shared" si="13"/>
        <v>-3.885777034</v>
      </c>
      <c r="AP293" s="183">
        <f t="array" ref="AP293">INDIRECT("Update"&amp;Projections!$AG$17&amp;"!S"&amp;ROW(B274))</f>
        <v>4.561702128</v>
      </c>
      <c r="AQ293" s="183">
        <f t="array" ref="AQ293">INDIRECT("Update"&amp;Projections!$AG$17&amp;"!T"&amp;ROW(B274))</f>
        <v>0.7755319149</v>
      </c>
    </row>
    <row r="294">
      <c r="A294" s="40" t="str">
        <f>IF(UpdateHashtag!C292="",ROW(UpdateHashtag!C292),UpdateHashtag!C292)</f>
        <v>Damion Lee</v>
      </c>
      <c r="B294" s="41">
        <f>IF(TYPE($A294)=1,"",(UpdateHashtag!M292-B$1)/B$2)</f>
        <v>-1.854590182</v>
      </c>
      <c r="C294" s="41">
        <f>IF(TYPE($A294)=1,"",(UpdateHashtag!L292-C$1)/C$2)</f>
        <v>-0.4450452712</v>
      </c>
      <c r="D294" s="41">
        <f>IF(TYPE($A294)=1,"",(UpdateHashtag!N292-D$1)/D$2)</f>
        <v>-1.325952004</v>
      </c>
      <c r="E294" s="41">
        <f>IF(TYPE($A294)=1,"",(UpdateHashtag!O292-E$1)/E$2)</f>
        <v>-1.241311653</v>
      </c>
      <c r="F294" s="41">
        <f>IF(TYPE($A294)=1,"",(UpdateHashtag!P292-F$1)/F$2)</f>
        <v>-1.905588506</v>
      </c>
      <c r="G294" s="41">
        <f>IF(TYPE($A294)=1,"",(UpdateHashtag!Q292-G$1)/G$2)</f>
        <v>-1.156992888</v>
      </c>
      <c r="H294" s="41">
        <f>IF(TYPE($A294)=1,"",(UpdateHashtag!I292-H$1)/H$2*I294/$I$1)</f>
        <v>-0.3407272284</v>
      </c>
      <c r="I294" s="41">
        <f>UpdateHashtag!S292</f>
        <v>5.4</v>
      </c>
      <c r="J294" s="53">
        <f>IF(TYPE($A294)=1,"",(UpdateHashtag!K292-J$1)/J$2*K294/$K$1)</f>
        <v>0.4553772565</v>
      </c>
      <c r="K294" s="55">
        <f>UpdateHashtag!T292</f>
        <v>1.2</v>
      </c>
      <c r="L294" s="41">
        <f>IF(TYPE($A294)=1,"",-(UpdateHashtag!R292-L$1)/L$2)</f>
        <v>0.8418166868</v>
      </c>
      <c r="N294" s="112">
        <v>274.0</v>
      </c>
      <c r="O294" s="170" t="str">
        <f t="array" ref="O294">INDIRECT("Update"&amp;Projections!$AG$17&amp;"!B"&amp;ROW(B275))</f>
        <v/>
      </c>
      <c r="P294" s="172" t="str">
        <f t="array" ref="P294">INDIRECT("Update"&amp;Projections!$AG$17&amp;"!C"&amp;ROW(B275))</f>
        <v>Kyshawn George</v>
      </c>
      <c r="Q294" s="170">
        <f>UpdateHashtag!F334</f>
        <v>60</v>
      </c>
      <c r="R294" s="177" t="str">
        <f>IF(UpdateHashtag!D334="",ROW(UpdateHashtag!D334),UpdateHashtag!D334)</f>
        <v>SG</v>
      </c>
      <c r="S294" s="124">
        <f t="shared" si="1"/>
        <v>-7.101142407</v>
      </c>
      <c r="T294" s="124">
        <f>SUM(AE294:AM294)-IFERROR(IFS(Projections!$I$17,AN294,Projections!$J$17,AO294),"")</f>
        <v>-7.298382188</v>
      </c>
      <c r="U294" s="124">
        <f t="shared" si="2"/>
        <v>-0.1972397812</v>
      </c>
      <c r="V294" s="124">
        <f t="array" ref="V294">INDIRECT("Update"&amp;Projections!$AG$17&amp;"!M"&amp;ROW(B275))</f>
        <v>6.775205479</v>
      </c>
      <c r="W294" s="124">
        <f t="array" ref="W294">INDIRECT("Update"&amp;Projections!$AG$17&amp;"!L"&amp;ROW(B275))</f>
        <v>1.680684932</v>
      </c>
      <c r="X294" s="124">
        <f t="array" ref="X294">INDIRECT("Update"&amp;Projections!$AG$17&amp;"!N"&amp;ROW(B275))</f>
        <v>2.6</v>
      </c>
      <c r="Y294" s="124">
        <f t="array" ref="Y294">INDIRECT("Update"&amp;Projections!$AG$17&amp;"!O"&amp;ROW(B275))</f>
        <v>1.603287671</v>
      </c>
      <c r="Z294" s="124">
        <f t="array" ref="Z294">INDIRECT("Update"&amp;Projections!$AG$17&amp;"!P"&amp;ROW(B275))</f>
        <v>0.65</v>
      </c>
      <c r="AA294" s="124">
        <f t="array" ref="AA294">INDIRECT("Update"&amp;Projections!$AG$17&amp;"!Q"&amp;ROW(B275))</f>
        <v>0.26</v>
      </c>
      <c r="AB294" s="180">
        <f t="array" ref="AB294">INDIRECT("Update"&amp;Projections!$AG$17&amp;"!I"&amp;ROW(B275))</f>
        <v>0.3781613124</v>
      </c>
      <c r="AC294" s="180">
        <f t="array" ref="AC294">INDIRECT("Update"&amp;Projections!$AG$17&amp;"!K"&amp;ROW(B275))</f>
        <v>0.7612131568</v>
      </c>
      <c r="AD294" s="124">
        <f t="array" ref="AD294">INDIRECT("Update"&amp;Projections!$AG$17&amp;"!R"&amp;ROW(B275))</f>
        <v>0.9532876712</v>
      </c>
      <c r="AE294" s="124">
        <f t="shared" si="3"/>
        <v>-1.93116179</v>
      </c>
      <c r="AF294" s="124">
        <f t="shared" si="4"/>
        <v>-0.06743302275</v>
      </c>
      <c r="AG294" s="124">
        <f t="shared" si="5"/>
        <v>-1.365142704</v>
      </c>
      <c r="AH294" s="124">
        <f t="shared" si="6"/>
        <v>-1.058163231</v>
      </c>
      <c r="AI294" s="124">
        <f t="shared" si="7"/>
        <v>-1.078510162</v>
      </c>
      <c r="AJ294" s="124">
        <f t="shared" si="8"/>
        <v>-0.8716092366</v>
      </c>
      <c r="AK294" s="124">
        <f t="shared" si="9"/>
        <v>-0.8883207793</v>
      </c>
      <c r="AL294" s="124">
        <f t="shared" si="10"/>
        <v>-0.0380412634</v>
      </c>
      <c r="AM294" s="124">
        <f t="shared" si="11"/>
        <v>0</v>
      </c>
      <c r="AN294" s="183">
        <f t="shared" si="12"/>
        <v>-1.93116179</v>
      </c>
      <c r="AO294" s="183">
        <f t="shared" si="13"/>
        <v>-3.296304493</v>
      </c>
      <c r="AP294" s="183">
        <f t="array" ref="AP294">INDIRECT("Update"&amp;Projections!$AG$17&amp;"!S"&amp;ROW(B275))</f>
        <v>6.413150685</v>
      </c>
      <c r="AQ294" s="183">
        <f t="array" ref="AQ294">INDIRECT("Update"&amp;Projections!$AG$17&amp;"!T"&amp;ROW(B275))</f>
        <v>0.3206849315</v>
      </c>
    </row>
    <row r="295">
      <c r="A295" s="40" t="str">
        <f>IF(UpdateHashtag!C293="",ROW(UpdateHashtag!C293),UpdateHashtag!C293)</f>
        <v>Chris Boucher</v>
      </c>
      <c r="B295" s="41">
        <f>IF(TYPE($A295)=1,"",(UpdateHashtag!M293-B$1)/B$2)</f>
        <v>-2.016820257</v>
      </c>
      <c r="C295" s="41">
        <f>IF(TYPE($A295)=1,"",(UpdateHashtag!L293-C$1)/C$2)</f>
        <v>-1.139395249</v>
      </c>
      <c r="D295" s="41">
        <f>IF(TYPE($A295)=1,"",(UpdateHashtag!N293-D$1)/D$2)</f>
        <v>-0.8948543083</v>
      </c>
      <c r="E295" s="41">
        <f>IF(TYPE($A295)=1,"",(UpdateHashtag!O293-E$1)/E$2)</f>
        <v>-1.650036221</v>
      </c>
      <c r="F295" s="41">
        <f>IF(TYPE($A295)=1,"",(UpdateHashtag!P293-F$1)/F$2)</f>
        <v>-1.905588506</v>
      </c>
      <c r="G295" s="41">
        <f>IF(TYPE($A295)=1,"",(UpdateHashtag!Q293-G$1)/G$2)</f>
        <v>-0.4435337589</v>
      </c>
      <c r="H295" s="41">
        <f>IF(TYPE($A295)=1,"",(UpdateHashtag!I293-H$1)/H$2*I295/$I$1)</f>
        <v>-0.00129110928</v>
      </c>
      <c r="I295" s="41">
        <f>UpdateHashtag!S293</f>
        <v>4.5</v>
      </c>
      <c r="J295" s="53">
        <f>IF(TYPE($A295)=1,"",(UpdateHashtag!K293-J$1)/J$2*K295/$K$1)</f>
        <v>-0.1628936974</v>
      </c>
      <c r="K295" s="55">
        <f>UpdateHashtag!T293</f>
        <v>1.6</v>
      </c>
      <c r="L295" s="41">
        <f>IF(TYPE($A295)=1,"",-(UpdateHashtag!R293-L$1)/L$2)</f>
        <v>1.337780956</v>
      </c>
      <c r="N295" s="112">
        <v>275.0</v>
      </c>
      <c r="O295" s="170" t="str">
        <f t="array" ref="O295">INDIRECT("Update"&amp;Projections!$AG$17&amp;"!B"&amp;ROW(B276))</f>
        <v/>
      </c>
      <c r="P295" s="172" t="str">
        <f t="array" ref="P295">INDIRECT("Update"&amp;Projections!$AG$17&amp;"!C"&amp;ROW(B276))</f>
        <v>Trendon Watford</v>
      </c>
      <c r="Q295" s="170">
        <f>UpdateHashtag!F339</f>
        <v>35</v>
      </c>
      <c r="R295" s="177" t="str">
        <f>IF(UpdateHashtag!D339="",ROW(UpdateHashtag!D339),UpdateHashtag!D339)</f>
        <v>SF,PF</v>
      </c>
      <c r="S295" s="124">
        <f t="shared" si="1"/>
        <v>-7.543760021</v>
      </c>
      <c r="T295" s="124">
        <f>SUM(AE295:AM295)-IFERROR(IFS(Projections!$I$17,AN295,Projections!$J$17,AO295),"")</f>
        <v>-7.668507491</v>
      </c>
      <c r="U295" s="124">
        <f t="shared" si="2"/>
        <v>-0.1247474696</v>
      </c>
      <c r="V295" s="124">
        <f t="array" ref="V295">INDIRECT("Update"&amp;Projections!$AG$17&amp;"!M"&amp;ROW(B276))</f>
        <v>7.12109589</v>
      </c>
      <c r="W295" s="124">
        <f t="array" ref="W295">INDIRECT("Update"&amp;Projections!$AG$17&amp;"!L"&amp;ROW(B276))</f>
        <v>0.4187671233</v>
      </c>
      <c r="X295" s="124">
        <f t="array" ref="X295">INDIRECT("Update"&amp;Projections!$AG$17&amp;"!N"&amp;ROW(B276))</f>
        <v>3.501369863</v>
      </c>
      <c r="Y295" s="124">
        <f t="array" ref="Y295">INDIRECT("Update"&amp;Projections!$AG$17&amp;"!O"&amp;ROW(B276))</f>
        <v>1.645753425</v>
      </c>
      <c r="Z295" s="124">
        <f t="array" ref="Z295">INDIRECT("Update"&amp;Projections!$AG$17&amp;"!P"&amp;ROW(B276))</f>
        <v>0.4405479452</v>
      </c>
      <c r="AA295" s="124">
        <f t="array" ref="AA295">INDIRECT("Update"&amp;Projections!$AG$17&amp;"!Q"&amp;ROW(B276))</f>
        <v>0.3689041096</v>
      </c>
      <c r="AB295" s="180">
        <f t="array" ref="AB295">INDIRECT("Update"&amp;Projections!$AG$17&amp;"!I"&amp;ROW(B276))</f>
        <v>0.5259584137</v>
      </c>
      <c r="AC295" s="180">
        <f t="array" ref="AC295">INDIRECT("Update"&amp;Projections!$AG$17&amp;"!K"&amp;ROW(B276))</f>
        <v>0.7679925839</v>
      </c>
      <c r="AD295" s="124">
        <f t="array" ref="AD295">INDIRECT("Update"&amp;Projections!$AG$17&amp;"!R"&amp;ROW(B276))</f>
        <v>1.245616438</v>
      </c>
      <c r="AE295" s="124">
        <f t="shared" si="3"/>
        <v>-1.868813093</v>
      </c>
      <c r="AF295" s="124">
        <f t="shared" si="4"/>
        <v>-1.319165311</v>
      </c>
      <c r="AG295" s="124">
        <f t="shared" si="5"/>
        <v>-1.011889548</v>
      </c>
      <c r="AH295" s="124">
        <f t="shared" si="6"/>
        <v>-1.038877901</v>
      </c>
      <c r="AI295" s="124">
        <f t="shared" si="7"/>
        <v>-1.771443197</v>
      </c>
      <c r="AJ295" s="124">
        <f t="shared" si="8"/>
        <v>-0.6773626585</v>
      </c>
      <c r="AK295" s="124">
        <f t="shared" si="9"/>
        <v>0.1731534672</v>
      </c>
      <c r="AL295" s="124">
        <f t="shared" si="10"/>
        <v>-0.1541092498</v>
      </c>
      <c r="AM295" s="124">
        <f t="shared" si="11"/>
        <v>0</v>
      </c>
      <c r="AN295" s="183">
        <f t="shared" si="12"/>
        <v>-1.868813093</v>
      </c>
      <c r="AO295" s="183">
        <f t="shared" si="13"/>
        <v>-3.640256289</v>
      </c>
      <c r="AP295" s="183">
        <f t="array" ref="AP295">INDIRECT("Update"&amp;Projections!$AG$17&amp;"!S"&amp;ROW(B276))</f>
        <v>5.184794521</v>
      </c>
      <c r="AQ295" s="183">
        <f t="array" ref="AQ295">INDIRECT("Update"&amp;Projections!$AG$17&amp;"!T"&amp;ROW(B276))</f>
        <v>1.625479452</v>
      </c>
    </row>
    <row r="296">
      <c r="A296" s="40" t="str">
        <f>IF(UpdateHashtag!C294="",ROW(UpdateHashtag!C294),UpdateHashtag!C294)</f>
        <v>Duop Reath</v>
      </c>
      <c r="B296" s="41">
        <f>IF(TYPE($A296)=1,"",(UpdateHashtag!M294-B$1)/B$2)</f>
        <v>-1.836564618</v>
      </c>
      <c r="C296" s="41">
        <f>IF(TYPE($A296)=1,"",(UpdateHashtag!L294-C$1)/C$2)</f>
        <v>-0.643430979</v>
      </c>
      <c r="D296" s="41">
        <f>IF(TYPE($A296)=1,"",(UpdateHashtag!N294-D$1)/D$2)</f>
        <v>-1.208379905</v>
      </c>
      <c r="E296" s="41">
        <f>IF(TYPE($A296)=1,"",(UpdateHashtag!O294-E$1)/E$2)</f>
        <v>-1.422967016</v>
      </c>
      <c r="F296" s="41">
        <f>IF(TYPE($A296)=1,"",(UpdateHashtag!P294-F$1)/F$2)</f>
        <v>-1.905588506</v>
      </c>
      <c r="G296" s="41">
        <f>IF(TYPE($A296)=1,"",(UpdateHashtag!Q294-G$1)/G$2)</f>
        <v>-0.4435337589</v>
      </c>
      <c r="H296" s="41">
        <f>IF(TYPE($A296)=1,"",(UpdateHashtag!I294-H$1)/H$2*I296/$I$1)</f>
        <v>-0.2487482931</v>
      </c>
      <c r="I296" s="41">
        <f>UpdateHashtag!S294</f>
        <v>5.9</v>
      </c>
      <c r="J296" s="53">
        <f>IF(TYPE($A296)=1,"",(UpdateHashtag!K294-J$1)/J$2*K296/$K$1)</f>
        <v>-0.2163273831</v>
      </c>
      <c r="K296" s="55">
        <f>UpdateHashtag!T294</f>
        <v>1.1</v>
      </c>
      <c r="L296" s="41">
        <f>IF(TYPE($A296)=1,"",-(UpdateHashtag!R294-L$1)/L$2)</f>
        <v>1.139395249</v>
      </c>
      <c r="N296" s="5">
        <v>276.0</v>
      </c>
      <c r="O296" s="170" t="str">
        <f t="array" ref="O296">INDIRECT("Update"&amp;Projections!$AG$17&amp;"!B"&amp;ROW(B277))</f>
        <v/>
      </c>
      <c r="P296" s="172" t="str">
        <f t="array" ref="P296">INDIRECT("Update"&amp;Projections!$AG$17&amp;"!C"&amp;ROW(B277))</f>
        <v>Davion Mitchell</v>
      </c>
      <c r="Q296" s="170">
        <f>UpdateHashtag!F329</f>
        <v>64</v>
      </c>
      <c r="R296" s="177" t="str">
        <f>IF(UpdateHashtag!D329="",ROW(UpdateHashtag!D329),UpdateHashtag!D329)</f>
        <v>SG</v>
      </c>
      <c r="S296" s="124">
        <f t="shared" si="1"/>
        <v>-7.315563302</v>
      </c>
      <c r="T296" s="124">
        <f>SUM(AE296:AM296)-IFERROR(IFS(Projections!$I$17,AN296,Projections!$J$17,AO296),"")</f>
        <v>-7.497176812</v>
      </c>
      <c r="U296" s="124">
        <f t="shared" si="2"/>
        <v>-0.1816135097</v>
      </c>
      <c r="V296" s="124">
        <f t="array" ref="V296">INDIRECT("Update"&amp;Projections!$AG$17&amp;"!M"&amp;ROW(B277))</f>
        <v>7.74369863</v>
      </c>
      <c r="W296" s="124">
        <f t="array" ref="W296">INDIRECT("Update"&amp;Projections!$AG$17&amp;"!L"&amp;ROW(B277))</f>
        <v>1.104794521</v>
      </c>
      <c r="X296" s="124">
        <f t="array" ref="X296">INDIRECT("Update"&amp;Projections!$AG$17&amp;"!N"&amp;ROW(B277))</f>
        <v>1.9</v>
      </c>
      <c r="Y296" s="124">
        <f t="array" ref="Y296">INDIRECT("Update"&amp;Projections!$AG$17&amp;"!O"&amp;ROW(B277))</f>
        <v>2.767671233</v>
      </c>
      <c r="Z296" s="124">
        <f t="array" ref="Z296">INDIRECT("Update"&amp;Projections!$AG$17&amp;"!P"&amp;ROW(B277))</f>
        <v>0.618630137</v>
      </c>
      <c r="AA296" s="124">
        <f t="array" ref="AA296">INDIRECT("Update"&amp;Projections!$AG$17&amp;"!Q"&amp;ROW(B277))</f>
        <v>0.1308219178</v>
      </c>
      <c r="AB296" s="180">
        <f t="array" ref="AB296">INDIRECT("Update"&amp;Projections!$AG$17&amp;"!I"&amp;ROW(B277))</f>
        <v>0.4507076722</v>
      </c>
      <c r="AC296" s="180">
        <f t="array" ref="AC296">INDIRECT("Update"&amp;Projections!$AG$17&amp;"!K"&amp;ROW(B277))</f>
        <v>0.6979865772</v>
      </c>
      <c r="AD296" s="124">
        <f t="array" ref="AD296">INDIRECT("Update"&amp;Projections!$AG$17&amp;"!R"&amp;ROW(B277))</f>
        <v>1.01630137</v>
      </c>
      <c r="AE296" s="124">
        <f t="shared" si="3"/>
        <v>-1.756585438</v>
      </c>
      <c r="AF296" s="124">
        <f t="shared" si="4"/>
        <v>-0.6386751568</v>
      </c>
      <c r="AG296" s="124">
        <f t="shared" si="5"/>
        <v>-1.639477601</v>
      </c>
      <c r="AH296" s="124">
        <f t="shared" si="6"/>
        <v>-0.5293719322</v>
      </c>
      <c r="AI296" s="124">
        <f t="shared" si="7"/>
        <v>-1.182291499</v>
      </c>
      <c r="AJ296" s="124">
        <f t="shared" si="8"/>
        <v>-1.102017442</v>
      </c>
      <c r="AK296" s="124">
        <f t="shared" si="9"/>
        <v>-0.3636063691</v>
      </c>
      <c r="AL296" s="124">
        <f t="shared" si="10"/>
        <v>-0.2851513735</v>
      </c>
      <c r="AM296" s="124">
        <f t="shared" si="11"/>
        <v>0</v>
      </c>
      <c r="AN296" s="183">
        <f t="shared" si="12"/>
        <v>-1.756585438</v>
      </c>
      <c r="AO296" s="183">
        <f t="shared" si="13"/>
        <v>-3.396063039</v>
      </c>
      <c r="AP296" s="183">
        <f t="array" ref="AP296">INDIRECT("Update"&amp;Projections!$AG$17&amp;"!S"&amp;ROW(B277))</f>
        <v>6.716986301</v>
      </c>
      <c r="AQ296" s="183">
        <f t="array" ref="AQ296">INDIRECT("Update"&amp;Projections!$AG$17&amp;"!T"&amp;ROW(B277))</f>
        <v>0.8368493151</v>
      </c>
    </row>
    <row r="297">
      <c r="A297" s="40" t="str">
        <f>IF(UpdateHashtag!C295="",ROW(UpdateHashtag!C295),UpdateHashtag!C295)</f>
        <v>Gary Harris</v>
      </c>
      <c r="B297" s="41">
        <f>IF(TYPE($A297)=1,"",(UpdateHashtag!M295-B$1)/B$2)</f>
        <v>-2.142999204</v>
      </c>
      <c r="C297" s="41">
        <f>IF(TYPE($A297)=1,"",(UpdateHashtag!L295-C$1)/C$2)</f>
        <v>-0.4450452712</v>
      </c>
      <c r="D297" s="41">
        <f>IF(TYPE($A297)=1,"",(UpdateHashtag!N295-D$1)/D$2)</f>
        <v>-1.8354311</v>
      </c>
      <c r="E297" s="41">
        <f>IF(TYPE($A297)=1,"",(UpdateHashtag!O295-E$1)/E$2)</f>
        <v>-1.286725494</v>
      </c>
      <c r="F297" s="41">
        <f>IF(TYPE($A297)=1,"",(UpdateHashtag!P295-F$1)/F$2)</f>
        <v>-0.9130944927</v>
      </c>
      <c r="G297" s="41">
        <f>IF(TYPE($A297)=1,"",(UpdateHashtag!Q295-G$1)/G$2)</f>
        <v>-0.978628106</v>
      </c>
      <c r="H297" s="41">
        <f>IF(TYPE($A297)=1,"",(UpdateHashtag!I295-H$1)/H$2*I297/$I$1)</f>
        <v>-0.2673937722</v>
      </c>
      <c r="I297" s="41">
        <f>UpdateHashtag!S295</f>
        <v>4.4</v>
      </c>
      <c r="J297" s="53">
        <f>IF(TYPE($A297)=1,"",(UpdateHashtag!K295-J$1)/J$2*K297/$K$1)</f>
        <v>0.04852242383</v>
      </c>
      <c r="K297" s="55">
        <f>UpdateHashtag!T295</f>
        <v>0.6</v>
      </c>
      <c r="L297" s="41">
        <f>IF(TYPE($A297)=1,"",-(UpdateHashtag!R295-L$1)/L$2)</f>
        <v>1.337780956</v>
      </c>
      <c r="N297" s="5">
        <v>277.0</v>
      </c>
      <c r="O297" s="170" t="str">
        <f t="array" ref="O297">INDIRECT("Update"&amp;Projections!$AG$17&amp;"!B"&amp;ROW(B278))</f>
        <v/>
      </c>
      <c r="P297" s="172" t="str">
        <f t="array" ref="P297">INDIRECT("Update"&amp;Projections!$AG$17&amp;"!C"&amp;ROW(B278))</f>
        <v>Luke Kennard</v>
      </c>
      <c r="Q297" s="170">
        <f>UpdateHashtag!F343</f>
        <v>71</v>
      </c>
      <c r="R297" s="177" t="str">
        <f>IF(UpdateHashtag!D343="",ROW(UpdateHashtag!D343),UpdateHashtag!D343)</f>
        <v>PG,SG</v>
      </c>
      <c r="S297" s="124">
        <f t="shared" si="1"/>
        <v>-7.309814577</v>
      </c>
      <c r="T297" s="124">
        <f>SUM(AE297:AM297)-IFERROR(IFS(Projections!$I$17,AN297,Projections!$J$17,AO297),"")</f>
        <v>-7.53678688</v>
      </c>
      <c r="U297" s="124">
        <f t="shared" si="2"/>
        <v>-0.2269723037</v>
      </c>
      <c r="V297" s="124">
        <f t="array" ref="V297">INDIRECT("Update"&amp;Projections!$AG$17&amp;"!M"&amp;ROW(B278))</f>
        <v>7.33</v>
      </c>
      <c r="W297" s="124">
        <f t="array" ref="W297">INDIRECT("Update"&amp;Projections!$AG$17&amp;"!L"&amp;ROW(B278))</f>
        <v>1.823559322</v>
      </c>
      <c r="X297" s="124">
        <f t="array" ref="X297">INDIRECT("Update"&amp;Projections!$AG$17&amp;"!N"&amp;ROW(B278))</f>
        <v>2.291694915</v>
      </c>
      <c r="Y297" s="124">
        <f t="array" ref="Y297">INDIRECT("Update"&amp;Projections!$AG$17&amp;"!O"&amp;ROW(B278))</f>
        <v>1.666610169</v>
      </c>
      <c r="Z297" s="124">
        <f t="array" ref="Z297">INDIRECT("Update"&amp;Projections!$AG$17&amp;"!P"&amp;ROW(B278))</f>
        <v>0.4011864407</v>
      </c>
      <c r="AA297" s="124">
        <f t="array" ref="AA297">INDIRECT("Update"&amp;Projections!$AG$17&amp;"!Q"&amp;ROW(B278))</f>
        <v>0.04271186441</v>
      </c>
      <c r="AB297" s="180">
        <f t="array" ref="AB297">INDIRECT("Update"&amp;Projections!$AG$17&amp;"!I"&amp;ROW(B278))</f>
        <v>0.4426911315</v>
      </c>
      <c r="AC297" s="180">
        <f t="array" ref="AC297">INDIRECT("Update"&amp;Projections!$AG$17&amp;"!K"&amp;ROW(B278))</f>
        <v>0.9011213048</v>
      </c>
      <c r="AD297" s="124">
        <f t="array" ref="AD297">INDIRECT("Update"&amp;Projections!$AG$17&amp;"!R"&amp;ROW(B278))</f>
        <v>0.8333898305</v>
      </c>
      <c r="AE297" s="124">
        <f t="shared" si="3"/>
        <v>-1.831156949</v>
      </c>
      <c r="AF297" s="124">
        <f t="shared" si="4"/>
        <v>0.07428816219</v>
      </c>
      <c r="AG297" s="124">
        <f t="shared" si="5"/>
        <v>-1.485969624</v>
      </c>
      <c r="AH297" s="124">
        <f t="shared" si="6"/>
        <v>-1.029406053</v>
      </c>
      <c r="AI297" s="124">
        <f t="shared" si="7"/>
        <v>-1.901663389</v>
      </c>
      <c r="AJ297" s="124">
        <f t="shared" si="8"/>
        <v>-1.259174747</v>
      </c>
      <c r="AK297" s="124">
        <f t="shared" si="9"/>
        <v>-0.3517017953</v>
      </c>
      <c r="AL297" s="124">
        <f t="shared" si="10"/>
        <v>0.2479975135</v>
      </c>
      <c r="AM297" s="124">
        <f t="shared" si="11"/>
        <v>0</v>
      </c>
      <c r="AN297" s="183">
        <f t="shared" si="12"/>
        <v>-1.901663389</v>
      </c>
      <c r="AO297" s="183">
        <f t="shared" si="13"/>
        <v>-3.732820338</v>
      </c>
      <c r="AP297" s="183">
        <f t="array" ref="AP297">INDIRECT("Update"&amp;Projections!$AG$17&amp;"!S"&amp;ROW(B278))</f>
        <v>5.542372881</v>
      </c>
      <c r="AQ297" s="183">
        <f t="array" ref="AQ297">INDIRECT("Update"&amp;Projections!$AG$17&amp;"!T"&amp;ROW(B278))</f>
        <v>0.6650847458</v>
      </c>
    </row>
    <row r="298">
      <c r="A298" s="40" t="str">
        <f>IF(UpdateHashtag!C296="",ROW(UpdateHashtag!C296),UpdateHashtag!C296)</f>
        <v>Dante Exum</v>
      </c>
      <c r="B298" s="41">
        <f>IF(TYPE($A298)=1,"",(UpdateHashtag!M296-B$1)/B$2)</f>
        <v>-1.998794693</v>
      </c>
      <c r="C298" s="41">
        <f>IF(TYPE($A298)=1,"",(UpdateHashtag!L296-C$1)/C$2)</f>
        <v>-0.9410095407</v>
      </c>
      <c r="D298" s="41">
        <f>IF(TYPE($A298)=1,"",(UpdateHashtag!N296-D$1)/D$2)</f>
        <v>-1.521905502</v>
      </c>
      <c r="E298" s="41">
        <f>IF(TYPE($A298)=1,"",(UpdateHashtag!O296-E$1)/E$2)</f>
        <v>-0.7417594022</v>
      </c>
      <c r="F298" s="41">
        <f>IF(TYPE($A298)=1,"",(UpdateHashtag!P296-F$1)/F$2)</f>
        <v>-2.236419844</v>
      </c>
      <c r="G298" s="41">
        <f>IF(TYPE($A298)=1,"",(UpdateHashtag!Q296-G$1)/G$2)</f>
        <v>-1.156992888</v>
      </c>
      <c r="H298" s="41">
        <f>IF(TYPE($A298)=1,"",(UpdateHashtag!I296-H$1)/H$2*I298/$I$1)</f>
        <v>0.1976095095</v>
      </c>
      <c r="I298" s="41">
        <f>UpdateHashtag!S296</f>
        <v>4.5</v>
      </c>
      <c r="J298" s="53">
        <f>IF(TYPE($A298)=1,"",(UpdateHashtag!K296-J$1)/J$2*K298/$K$1)</f>
        <v>-0.04559955556</v>
      </c>
      <c r="K298" s="55">
        <f>UpdateHashtag!T296</f>
        <v>1</v>
      </c>
      <c r="L298" s="41">
        <f>IF(TYPE($A298)=1,"",-(UpdateHashtag!R296-L$1)/L$2)</f>
        <v>1.040202395</v>
      </c>
      <c r="N298" s="112">
        <v>278.0</v>
      </c>
      <c r="O298" s="170" t="str">
        <f t="array" ref="O298">INDIRECT("Update"&amp;Projections!$AG$17&amp;"!B"&amp;ROW(B279))</f>
        <v/>
      </c>
      <c r="P298" s="172" t="str">
        <f t="array" ref="P298">INDIRECT("Update"&amp;Projections!$AG$17&amp;"!C"&amp;ROW(B279))</f>
        <v>Dalton Knecht</v>
      </c>
      <c r="Q298" s="170">
        <f>UpdateHashtag!F335</f>
        <v>56</v>
      </c>
      <c r="R298" s="177" t="str">
        <f>IF(UpdateHashtag!D335="",ROW(UpdateHashtag!D335),UpdateHashtag!D335)</f>
        <v>SG,SF</v>
      </c>
      <c r="S298" s="124">
        <f t="shared" si="1"/>
        <v>-7.249495963</v>
      </c>
      <c r="T298" s="124">
        <f>SUM(AE298:AM298)-IFERROR(IFS(Projections!$I$17,AN298,Projections!$J$17,AO298),"")</f>
        <v>-7.388035316</v>
      </c>
      <c r="U298" s="124">
        <f t="shared" si="2"/>
        <v>-0.1385393526</v>
      </c>
      <c r="V298" s="124">
        <f t="array" ref="V298">INDIRECT("Update"&amp;Projections!$AG$17&amp;"!M"&amp;ROW(B279))</f>
        <v>9.055890411</v>
      </c>
      <c r="W298" s="124">
        <f t="array" ref="W298">INDIRECT("Update"&amp;Projections!$AG$17&amp;"!L"&amp;ROW(B279))</f>
        <v>1.75739726</v>
      </c>
      <c r="X298" s="124">
        <f t="array" ref="X298">INDIRECT("Update"&amp;Projections!$AG$17&amp;"!N"&amp;ROW(B279))</f>
        <v>3.357534247</v>
      </c>
      <c r="Y298" s="124">
        <f t="array" ref="Y298">INDIRECT("Update"&amp;Projections!$AG$17&amp;"!O"&amp;ROW(B279))</f>
        <v>0.9350684932</v>
      </c>
      <c r="Z298" s="124">
        <f t="array" ref="Z298">INDIRECT("Update"&amp;Projections!$AG$17&amp;"!P"&amp;ROW(B279))</f>
        <v>0.5524657534</v>
      </c>
      <c r="AA298" s="124">
        <f t="array" ref="AA298">INDIRECT("Update"&amp;Projections!$AG$17&amp;"!Q"&amp;ROW(B279))</f>
        <v>0.2124657534</v>
      </c>
      <c r="AB298" s="180">
        <f t="array" ref="AB298">INDIRECT("Update"&amp;Projections!$AG$17&amp;"!I"&amp;ROW(B279))</f>
        <v>0.3987349408</v>
      </c>
      <c r="AC298" s="180">
        <f t="array" ref="AC298">INDIRECT("Update"&amp;Projections!$AG$17&amp;"!K"&amp;ROW(B279))</f>
        <v>0.7550360875</v>
      </c>
      <c r="AD298" s="124">
        <f t="array" ref="AD298">INDIRECT("Update"&amp;Projections!$AG$17&amp;"!R"&amp;ROW(B279))</f>
        <v>1.19</v>
      </c>
      <c r="AE298" s="124">
        <f t="shared" si="3"/>
        <v>-1.52005547</v>
      </c>
      <c r="AF298" s="124">
        <f t="shared" si="4"/>
        <v>0.00866012469</v>
      </c>
      <c r="AG298" s="124">
        <f t="shared" si="5"/>
        <v>-1.068259733</v>
      </c>
      <c r="AH298" s="124">
        <f t="shared" si="6"/>
        <v>-1.361627226</v>
      </c>
      <c r="AI298" s="124">
        <f t="shared" si="7"/>
        <v>-1.401184015</v>
      </c>
      <c r="AJ298" s="124">
        <f t="shared" si="8"/>
        <v>-0.9563935921</v>
      </c>
      <c r="AK298" s="124">
        <f t="shared" si="9"/>
        <v>-0.9107313805</v>
      </c>
      <c r="AL298" s="124">
        <f t="shared" si="10"/>
        <v>-0.1784440245</v>
      </c>
      <c r="AM298" s="124">
        <f t="shared" si="11"/>
        <v>0</v>
      </c>
      <c r="AN298" s="183">
        <f t="shared" si="12"/>
        <v>-1.52005547</v>
      </c>
      <c r="AO298" s="183">
        <f t="shared" si="13"/>
        <v>-2.921239485</v>
      </c>
      <c r="AP298" s="183">
        <f t="array" ref="AP298">INDIRECT("Update"&amp;Projections!$AG$17&amp;"!S"&amp;ROW(B279))</f>
        <v>7.948082192</v>
      </c>
      <c r="AQ298" s="183">
        <f t="array" ref="AQ298">INDIRECT("Update"&amp;Projections!$AG$17&amp;"!T"&amp;ROW(B279))</f>
        <v>1.271643836</v>
      </c>
    </row>
    <row r="299">
      <c r="A299" s="40" t="str">
        <f>IF(UpdateHashtag!C297="",ROW(UpdateHashtag!C297),UpdateHashtag!C297)</f>
        <v>Leonard Miller</v>
      </c>
      <c r="B299" s="41">
        <f>IF(TYPE($A299)=1,"",(UpdateHashtag!M297-B$1)/B$2)</f>
        <v>-2.269178151</v>
      </c>
      <c r="C299" s="41">
        <f>IF(TYPE($A299)=1,"",(UpdateHashtag!L297-C$1)/C$2)</f>
        <v>-1.43697381</v>
      </c>
      <c r="D299" s="41">
        <f>IF(TYPE($A299)=1,"",(UpdateHashtag!N297-D$1)/D$2)</f>
        <v>-1.051617107</v>
      </c>
      <c r="E299" s="41">
        <f>IF(TYPE($A299)=1,"",(UpdateHashtag!O297-E$1)/E$2)</f>
        <v>-1.150483971</v>
      </c>
      <c r="F299" s="41">
        <f>IF(TYPE($A299)=1,"",(UpdateHashtag!P297-F$1)/F$2)</f>
        <v>-2.236419844</v>
      </c>
      <c r="G299" s="41">
        <f>IF(TYPE($A299)=1,"",(UpdateHashtag!Q297-G$1)/G$2)</f>
        <v>-0.978628106</v>
      </c>
      <c r="H299" s="41">
        <f>IF(TYPE($A299)=1,"",(UpdateHashtag!I297-H$1)/H$2*I299/$I$1)</f>
        <v>0.6120106127</v>
      </c>
      <c r="I299" s="41">
        <f>UpdateHashtag!S297</f>
        <v>3.4</v>
      </c>
      <c r="J299" s="53">
        <f>IF(TYPE($A299)=1,"",(UpdateHashtag!K297-J$1)/J$2*K299/$K$1)</f>
        <v>-0.3108849822</v>
      </c>
      <c r="K299" s="55">
        <f>UpdateHashtag!T297</f>
        <v>0.3</v>
      </c>
      <c r="L299" s="41">
        <f>IF(TYPE($A299)=1,"",-(UpdateHashtag!R297-L$1)/L$2)</f>
        <v>1.536166664</v>
      </c>
      <c r="N299" s="112">
        <v>279.0</v>
      </c>
      <c r="O299" s="170" t="str">
        <f t="array" ref="O299">INDIRECT("Update"&amp;Projections!$AG$17&amp;"!B"&amp;ROW(B280))</f>
        <v/>
      </c>
      <c r="P299" s="172" t="str">
        <f t="array" ref="P299">INDIRECT("Update"&amp;Projections!$AG$17&amp;"!C"&amp;ROW(B280))</f>
        <v>Jaylin Williams</v>
      </c>
      <c r="Q299" s="170">
        <f>UpdateHashtag!F333</f>
        <v>50</v>
      </c>
      <c r="R299" s="177" t="str">
        <f>IF(UpdateHashtag!D333="",ROW(UpdateHashtag!D333),UpdateHashtag!D333)</f>
        <v>PG,SG</v>
      </c>
      <c r="S299" s="124">
        <f t="shared" si="1"/>
        <v>-7.388767755</v>
      </c>
      <c r="T299" s="124">
        <f>SUM(AE299:AM299)-IFERROR(IFS(Projections!$I$17,AN299,Projections!$J$17,AO299),"")</f>
        <v>-7.665871372</v>
      </c>
      <c r="U299" s="124">
        <f t="shared" si="2"/>
        <v>-0.2771036167</v>
      </c>
      <c r="V299" s="124">
        <f t="array" ref="V299">INDIRECT("Update"&amp;Projections!$AG$17&amp;"!M"&amp;ROW(B280))</f>
        <v>4.75890411</v>
      </c>
      <c r="W299" s="124">
        <f t="array" ref="W299">INDIRECT("Update"&amp;Projections!$AG$17&amp;"!L"&amp;ROW(B280))</f>
        <v>0.8264383562</v>
      </c>
      <c r="X299" s="124">
        <f t="array" ref="X299">INDIRECT("Update"&amp;Projections!$AG$17&amp;"!N"&amp;ROW(B280))</f>
        <v>3.661232877</v>
      </c>
      <c r="Y299" s="124">
        <f t="array" ref="Y299">INDIRECT("Update"&amp;Projections!$AG$17&amp;"!O"&amp;ROW(B280))</f>
        <v>1.799041096</v>
      </c>
      <c r="Z299" s="124">
        <f t="array" ref="Z299">INDIRECT("Update"&amp;Projections!$AG$17&amp;"!P"&amp;ROW(B280))</f>
        <v>0.4750684932</v>
      </c>
      <c r="AA299" s="124">
        <f t="array" ref="AA299">INDIRECT("Update"&amp;Projections!$AG$17&amp;"!Q"&amp;ROW(B280))</f>
        <v>0.4102739726</v>
      </c>
      <c r="AB299" s="180">
        <f t="array" ref="AB299">INDIRECT("Update"&amp;Projections!$AG$17&amp;"!I"&amp;ROW(B280))</f>
        <v>0.4563596573</v>
      </c>
      <c r="AC299" s="180">
        <f t="array" ref="AC299">INDIRECT("Update"&amp;Projections!$AG$17&amp;"!K"&amp;ROW(B280))</f>
        <v>0.7560840708</v>
      </c>
      <c r="AD299" s="124">
        <f t="array" ref="AD299">INDIRECT("Update"&amp;Projections!$AG$17&amp;"!R"&amp;ROW(B280))</f>
        <v>0.6312328767</v>
      </c>
      <c r="AE299" s="124">
        <f t="shared" si="3"/>
        <v>-2.294611481</v>
      </c>
      <c r="AF299" s="124">
        <f t="shared" si="4"/>
        <v>-0.9147845807</v>
      </c>
      <c r="AG299" s="124">
        <f t="shared" si="5"/>
        <v>-0.9492381147</v>
      </c>
      <c r="AH299" s="124">
        <f t="shared" si="6"/>
        <v>-0.969264082</v>
      </c>
      <c r="AI299" s="124">
        <f t="shared" si="7"/>
        <v>-1.657238406</v>
      </c>
      <c r="AJ299" s="124">
        <f t="shared" si="8"/>
        <v>-0.6035733924</v>
      </c>
      <c r="AK299" s="124">
        <f t="shared" si="9"/>
        <v>-0.1756330682</v>
      </c>
      <c r="AL299" s="124">
        <f t="shared" si="10"/>
        <v>-0.1015282473</v>
      </c>
      <c r="AM299" s="124">
        <f t="shared" si="11"/>
        <v>0</v>
      </c>
      <c r="AN299" s="183">
        <f t="shared" si="12"/>
        <v>-2.294611481</v>
      </c>
      <c r="AO299" s="183">
        <f t="shared" si="13"/>
        <v>-3.951849887</v>
      </c>
      <c r="AP299" s="183">
        <f t="array" ref="AP299">INDIRECT("Update"&amp;Projections!$AG$17&amp;"!S"&amp;ROW(B280))</f>
        <v>3.693013699</v>
      </c>
      <c r="AQ299" s="183">
        <f t="array" ref="AQ299">INDIRECT("Update"&amp;Projections!$AG$17&amp;"!T"&amp;ROW(B280))</f>
        <v>0.7430136986</v>
      </c>
    </row>
    <row r="300">
      <c r="A300" s="40" t="str">
        <f>IF(UpdateHashtag!C298="",ROW(UpdateHashtag!C298),UpdateHashtag!C298)</f>
        <v>Steven Adams</v>
      </c>
      <c r="B300" s="41">
        <f>IF(TYPE($A300)=1,"",(UpdateHashtag!M298-B$1)/B$2)</f>
        <v>-2.12497364</v>
      </c>
      <c r="C300" s="41">
        <f>IF(TYPE($A300)=1,"",(UpdateHashtag!L298-C$1)/C$2)</f>
        <v>-1.734552372</v>
      </c>
      <c r="D300" s="41">
        <f>IF(TYPE($A300)=1,"",(UpdateHashtag!N298-D$1)/D$2)</f>
        <v>0.6335829774</v>
      </c>
      <c r="E300" s="41">
        <f>IF(TYPE($A300)=1,"",(UpdateHashtag!O298-E$1)/E$2)</f>
        <v>-1.10507013</v>
      </c>
      <c r="F300" s="41">
        <f>IF(TYPE($A300)=1,"",(UpdateHashtag!P298-F$1)/F$2)</f>
        <v>-1.243925831</v>
      </c>
      <c r="G300" s="41">
        <f>IF(TYPE($A300)=1,"",(UpdateHashtag!Q298-G$1)/G$2)</f>
        <v>-0.08680419409</v>
      </c>
      <c r="H300" s="41">
        <f>IF(TYPE($A300)=1,"",(UpdateHashtag!I298-H$1)/H$2*I300/$I$1)</f>
        <v>0.4873228002</v>
      </c>
      <c r="I300" s="41">
        <f>UpdateHashtag!S298</f>
        <v>4.2</v>
      </c>
      <c r="J300" s="53">
        <f>IF(TYPE($A300)=1,"",(UpdateHashtag!K298-J$1)/J$2*K300/$K$1)</f>
        <v>-3.164770757</v>
      </c>
      <c r="K300" s="55">
        <f>UpdateHashtag!T298</f>
        <v>2.1</v>
      </c>
      <c r="L300" s="41">
        <f>IF(TYPE($A300)=1,"",-(UpdateHashtag!R298-L$1)/L$2)</f>
        <v>0.4450452712</v>
      </c>
      <c r="N300" s="5">
        <v>280.0</v>
      </c>
      <c r="O300" s="170" t="str">
        <f t="array" ref="O300">INDIRECT("Update"&amp;Projections!$AG$17&amp;"!B"&amp;ROW(B281))</f>
        <v/>
      </c>
      <c r="P300" s="172" t="str">
        <f t="array" ref="P300">INDIRECT("Update"&amp;Projections!$AG$17&amp;"!C"&amp;ROW(B281))</f>
        <v>Nicolas Batum</v>
      </c>
      <c r="Q300" s="170">
        <f>UpdateHashtag!F344</f>
        <v>44</v>
      </c>
      <c r="R300" s="177" t="str">
        <f>IF(UpdateHashtag!D344="",ROW(UpdateHashtag!D344),UpdateHashtag!D344)</f>
        <v>PF</v>
      </c>
      <c r="S300" s="124">
        <f t="shared" si="1"/>
        <v>-7.285717488</v>
      </c>
      <c r="T300" s="124">
        <f>SUM(AE300:AM300)-IFERROR(IFS(Projections!$I$17,AN300,Projections!$J$17,AO300),"")</f>
        <v>-7.600276468</v>
      </c>
      <c r="U300" s="124">
        <f t="shared" si="2"/>
        <v>-0.3145589794</v>
      </c>
      <c r="V300" s="124">
        <f t="array" ref="V300">INDIRECT("Update"&amp;Projections!$AG$17&amp;"!M"&amp;ROW(B281))</f>
        <v>4.845384615</v>
      </c>
      <c r="W300" s="124">
        <f t="array" ref="W300">INDIRECT("Update"&amp;Projections!$AG$17&amp;"!L"&amp;ROW(B281))</f>
        <v>1.132307692</v>
      </c>
      <c r="X300" s="124">
        <f t="array" ref="X300">INDIRECT("Update"&amp;Projections!$AG$17&amp;"!N"&amp;ROW(B281))</f>
        <v>3.013461538</v>
      </c>
      <c r="Y300" s="124">
        <f t="array" ref="Y300">INDIRECT("Update"&amp;Projections!$AG$17&amp;"!O"&amp;ROW(B281))</f>
        <v>1.4</v>
      </c>
      <c r="Z300" s="124">
        <f t="array" ref="Z300">INDIRECT("Update"&amp;Projections!$AG$17&amp;"!P"&amp;ROW(B281))</f>
        <v>0.5825</v>
      </c>
      <c r="AA300" s="124">
        <f t="array" ref="AA300">INDIRECT("Update"&amp;Projections!$AG$17&amp;"!Q"&amp;ROW(B281))</f>
        <v>0.4067307692</v>
      </c>
      <c r="AB300" s="180">
        <f t="array" ref="AB300">INDIRECT("Update"&amp;Projections!$AG$17&amp;"!I"&amp;ROW(B281))</f>
        <v>0.4277013846</v>
      </c>
      <c r="AC300" s="180">
        <f t="array" ref="AC300">INDIRECT("Update"&amp;Projections!$AG$17&amp;"!K"&amp;ROW(B281))</f>
        <v>0.7029598309</v>
      </c>
      <c r="AD300" s="124">
        <f t="array" ref="AD300">INDIRECT("Update"&amp;Projections!$AG$17&amp;"!R"&amp;ROW(B281))</f>
        <v>0.4801923077</v>
      </c>
      <c r="AE300" s="124">
        <f t="shared" si="3"/>
        <v>-2.279022882</v>
      </c>
      <c r="AF300" s="124">
        <f t="shared" si="4"/>
        <v>-0.6113840573</v>
      </c>
      <c r="AG300" s="124">
        <f t="shared" si="5"/>
        <v>-1.203104234</v>
      </c>
      <c r="AH300" s="124">
        <f t="shared" si="6"/>
        <v>-1.150483971</v>
      </c>
      <c r="AI300" s="124">
        <f t="shared" si="7"/>
        <v>-1.301821315</v>
      </c>
      <c r="AJ300" s="124">
        <f t="shared" si="8"/>
        <v>-0.6098932194</v>
      </c>
      <c r="AK300" s="124">
        <f t="shared" si="9"/>
        <v>-0.326945284</v>
      </c>
      <c r="AL300" s="124">
        <f t="shared" si="10"/>
        <v>-0.1176215052</v>
      </c>
      <c r="AM300" s="124">
        <f t="shared" si="11"/>
        <v>0</v>
      </c>
      <c r="AN300" s="183">
        <f t="shared" si="12"/>
        <v>-2.279022882</v>
      </c>
      <c r="AO300" s="183">
        <f t="shared" si="13"/>
        <v>-3.580844197</v>
      </c>
      <c r="AP300" s="183">
        <f t="array" ref="AP300">INDIRECT("Update"&amp;Projections!$AG$17&amp;"!S"&amp;ROW(B281))</f>
        <v>4.041730769</v>
      </c>
      <c r="AQ300" s="183">
        <f t="array" ref="AQ300">INDIRECT("Update"&amp;Projections!$AG$17&amp;"!T"&amp;ROW(B281))</f>
        <v>0.3638461538</v>
      </c>
    </row>
    <row r="301">
      <c r="A301" s="40" t="str">
        <f>IF(UpdateHashtag!C299="",ROW(UpdateHashtag!C299),UpdateHashtag!C299)</f>
        <v>James Wiseman</v>
      </c>
      <c r="B301" s="41">
        <f>IF(TYPE($A301)=1,"",(UpdateHashtag!M299-B$1)/B$2)</f>
        <v>-1.872615746</v>
      </c>
      <c r="C301" s="41">
        <f>IF(TYPE($A301)=1,"",(UpdateHashtag!L299-C$1)/C$2)</f>
        <v>-1.734552372</v>
      </c>
      <c r="D301" s="41">
        <f>IF(TYPE($A301)=1,"",(UpdateHashtag!N299-D$1)/D$2)</f>
        <v>-0.502947312</v>
      </c>
      <c r="E301" s="41">
        <f>IF(TYPE($A301)=1,"",(UpdateHashtag!O299-E$1)/E$2)</f>
        <v>-1.468380857</v>
      </c>
      <c r="F301" s="41">
        <f>IF(TYPE($A301)=1,"",(UpdateHashtag!P299-F$1)/F$2)</f>
        <v>-2.567251182</v>
      </c>
      <c r="G301" s="41">
        <f>IF(TYPE($A301)=1,"",(UpdateHashtag!Q299-G$1)/G$2)</f>
        <v>-0.4435337589</v>
      </c>
      <c r="H301" s="41">
        <f>IF(TYPE($A301)=1,"",(UpdateHashtag!I299-H$1)/H$2*I301/$I$1)</f>
        <v>0.5146315063</v>
      </c>
      <c r="I301" s="41">
        <f>UpdateHashtag!S299</f>
        <v>5.1</v>
      </c>
      <c r="J301" s="53">
        <f>IF(TYPE($A301)=1,"",(UpdateHashtag!K299-J$1)/J$2*K301/$K$1)</f>
        <v>-0.5170104308</v>
      </c>
      <c r="K301" s="55">
        <f>UpdateHashtag!T299</f>
        <v>1.6</v>
      </c>
      <c r="L301" s="41">
        <f>IF(TYPE($A301)=1,"",-(UpdateHashtag!R299-L$1)/L$2)</f>
        <v>0.8418166868</v>
      </c>
      <c r="N301" s="5">
        <v>281.0</v>
      </c>
      <c r="O301" s="170" t="str">
        <f t="array" ref="O301">INDIRECT("Update"&amp;Projections!$AG$17&amp;"!B"&amp;ROW(B282))</f>
        <v/>
      </c>
      <c r="P301" s="172" t="str">
        <f t="array" ref="P301">INDIRECT("Update"&amp;Projections!$AG$17&amp;"!C"&amp;ROW(B282))</f>
        <v>Jaden Hardy</v>
      </c>
      <c r="Q301" s="170">
        <f>UpdateHashtag!F340</f>
        <v>50</v>
      </c>
      <c r="R301" s="177" t="str">
        <f>IF(UpdateHashtag!D340="",ROW(UpdateHashtag!D340),UpdateHashtag!D340)</f>
        <v>C</v>
      </c>
      <c r="S301" s="124">
        <f t="shared" si="1"/>
        <v>-7.474164115</v>
      </c>
      <c r="T301" s="124">
        <f>SUM(AE301:AM301)-IFERROR(IFS(Projections!$I$17,AN301,Projections!$J$17,AO301),"")</f>
        <v>-7.579073013</v>
      </c>
      <c r="U301" s="124">
        <f t="shared" si="2"/>
        <v>-0.1049088988</v>
      </c>
      <c r="V301" s="124">
        <f t="array" ref="V301">INDIRECT("Update"&amp;Projections!$AG$17&amp;"!M"&amp;ROW(B282))</f>
        <v>10.31520548</v>
      </c>
      <c r="W301" s="124">
        <f t="array" ref="W301">INDIRECT("Update"&amp;Projections!$AG$17&amp;"!L"&amp;ROW(B282))</f>
        <v>1.351780822</v>
      </c>
      <c r="X301" s="124">
        <f t="array" ref="X301">INDIRECT("Update"&amp;Projections!$AG$17&amp;"!N"&amp;ROW(B282))</f>
        <v>2.386164384</v>
      </c>
      <c r="Y301" s="124">
        <f t="array" ref="Y301">INDIRECT("Update"&amp;Projections!$AG$17&amp;"!O"&amp;ROW(B282))</f>
        <v>1.89369863</v>
      </c>
      <c r="Z301" s="124">
        <f t="array" ref="Z301">INDIRECT("Update"&amp;Projections!$AG$17&amp;"!P"&amp;ROW(B282))</f>
        <v>0.3816438356</v>
      </c>
      <c r="AA301" s="124">
        <f t="array" ref="AA301">INDIRECT("Update"&amp;Projections!$AG$17&amp;"!Q"&amp;ROW(B282))</f>
        <v>0.1131506849</v>
      </c>
      <c r="AB301" s="180">
        <f t="array" ref="AB301">INDIRECT("Update"&amp;Projections!$AG$17&amp;"!I"&amp;ROW(B282))</f>
        <v>0.4333652776</v>
      </c>
      <c r="AC301" s="180">
        <f t="array" ref="AC301">INDIRECT("Update"&amp;Projections!$AG$17&amp;"!K"&amp;ROW(B282))</f>
        <v>0.8399748699</v>
      </c>
      <c r="AD301" s="124">
        <f t="array" ref="AD301">INDIRECT("Update"&amp;Projections!$AG$17&amp;"!R"&amp;ROW(B282))</f>
        <v>1.325616438</v>
      </c>
      <c r="AE301" s="124">
        <f t="shared" si="3"/>
        <v>-1.293056828</v>
      </c>
      <c r="AF301" s="124">
        <f t="shared" si="4"/>
        <v>-0.3936823961</v>
      </c>
      <c r="AG301" s="124">
        <f t="shared" si="5"/>
        <v>-1.448946378</v>
      </c>
      <c r="AH301" s="124">
        <f t="shared" si="6"/>
        <v>-0.9262764601</v>
      </c>
      <c r="AI301" s="124">
        <f t="shared" si="7"/>
        <v>-1.966316451</v>
      </c>
      <c r="AJ301" s="124">
        <f t="shared" si="8"/>
        <v>-1.133536698</v>
      </c>
      <c r="AK301" s="124">
        <f t="shared" si="9"/>
        <v>-0.6585199626</v>
      </c>
      <c r="AL301" s="124">
        <f t="shared" si="10"/>
        <v>0.24126216</v>
      </c>
      <c r="AM301" s="124">
        <f t="shared" si="11"/>
        <v>0</v>
      </c>
      <c r="AN301" s="183">
        <f t="shared" si="12"/>
        <v>-1.966316451</v>
      </c>
      <c r="AO301" s="183">
        <f t="shared" si="13"/>
        <v>-3.415262829</v>
      </c>
      <c r="AP301" s="183">
        <f t="array" ref="AP301">INDIRECT("Update"&amp;Projections!$AG$17&amp;"!S"&amp;ROW(B282))</f>
        <v>8.862465753</v>
      </c>
      <c r="AQ301" s="183">
        <f t="array" ref="AQ301">INDIRECT("Update"&amp;Projections!$AG$17&amp;"!T"&amp;ROW(B282))</f>
        <v>1.52630137</v>
      </c>
    </row>
    <row r="302">
      <c r="A302" s="40" t="str">
        <f>IF(UpdateHashtag!C300="",ROW(UpdateHashtag!C300),UpdateHashtag!C300)</f>
        <v>Seth Curry</v>
      </c>
      <c r="B302" s="41">
        <f>IF(TYPE($A302)=1,"",(UpdateHashtag!M300-B$1)/B$2)</f>
        <v>-1.89064131</v>
      </c>
      <c r="C302" s="41">
        <f>IF(TYPE($A302)=1,"",(UpdateHashtag!L300-C$1)/C$2)</f>
        <v>-0.5442381251</v>
      </c>
      <c r="D302" s="41">
        <f>IF(TYPE($A302)=1,"",(UpdateHashtag!N300-D$1)/D$2)</f>
        <v>-1.7962404</v>
      </c>
      <c r="E302" s="41">
        <f>IF(TYPE($A302)=1,"",(UpdateHashtag!O300-E$1)/E$2)</f>
        <v>-1.195897812</v>
      </c>
      <c r="F302" s="41">
        <f>IF(TYPE($A302)=1,"",(UpdateHashtag!P300-F$1)/F$2)</f>
        <v>-1.574757169</v>
      </c>
      <c r="G302" s="41">
        <f>IF(TYPE($A302)=1,"",(UpdateHashtag!Q300-G$1)/G$2)</f>
        <v>-1.156992888</v>
      </c>
      <c r="H302" s="41">
        <f>IF(TYPE($A302)=1,"",(UpdateHashtag!I300-H$1)/H$2*I302/$I$1)</f>
        <v>-0.3794589559</v>
      </c>
      <c r="I302" s="41">
        <f>UpdateHashtag!S300</f>
        <v>5.8</v>
      </c>
      <c r="J302" s="53">
        <f>IF(TYPE($A302)=1,"",(UpdateHashtag!K300-J$1)/J$2*K302/$K$1)</f>
        <v>0.3541729425</v>
      </c>
      <c r="K302" s="55">
        <f>UpdateHashtag!T300</f>
        <v>0.8</v>
      </c>
      <c r="L302" s="41">
        <f>IF(TYPE($A302)=1,"",-(UpdateHashtag!R300-L$1)/L$2)</f>
        <v>1.139395249</v>
      </c>
      <c r="N302" s="112">
        <v>282.0</v>
      </c>
      <c r="O302" s="170" t="str">
        <f t="array" ref="O302">INDIRECT("Update"&amp;Projections!$AG$17&amp;"!B"&amp;ROW(B283))</f>
        <v/>
      </c>
      <c r="P302" s="172" t="str">
        <f t="array" ref="P302">INDIRECT("Update"&amp;Projections!$AG$17&amp;"!C"&amp;ROW(B283))</f>
        <v>Jaden Springer</v>
      </c>
      <c r="Q302" s="170">
        <f>UpdateHashtag!F351</f>
        <v>50</v>
      </c>
      <c r="R302" s="177" t="str">
        <f>IF(UpdateHashtag!D351="",ROW(UpdateHashtag!D351),UpdateHashtag!D351)</f>
        <v>SG</v>
      </c>
      <c r="S302" s="124">
        <f t="shared" si="1"/>
        <v>-7.444716314</v>
      </c>
      <c r="T302" s="124">
        <f>SUM(AE302:AM302)-IFERROR(IFS(Projections!$I$17,AN302,Projections!$J$17,AO302),"")</f>
        <v>-7.662891748</v>
      </c>
      <c r="U302" s="124">
        <f t="shared" si="2"/>
        <v>-0.2181754336</v>
      </c>
      <c r="V302" s="124">
        <f t="array" ref="V302">INDIRECT("Update"&amp;Projections!$AG$17&amp;"!M"&amp;ROW(B283))</f>
        <v>4.407272727</v>
      </c>
      <c r="W302" s="124">
        <f t="array" ref="W302">INDIRECT("Update"&amp;Projections!$AG$17&amp;"!L"&amp;ROW(B283))</f>
        <v>0.3211363636</v>
      </c>
      <c r="X302" s="124">
        <f t="array" ref="X302">INDIRECT("Update"&amp;Projections!$AG$17&amp;"!N"&amp;ROW(B283))</f>
        <v>2.041818182</v>
      </c>
      <c r="Y302" s="124">
        <f t="array" ref="Y302">INDIRECT("Update"&amp;Projections!$AG$17&amp;"!O"&amp;ROW(B283))</f>
        <v>1.143409091</v>
      </c>
      <c r="Z302" s="124">
        <f t="array" ref="Z302">INDIRECT("Update"&amp;Projections!$AG$17&amp;"!P"&amp;ROW(B283))</f>
        <v>0.8759090909</v>
      </c>
      <c r="AA302" s="124">
        <f t="array" ref="AA302">INDIRECT("Update"&amp;Projections!$AG$17&amp;"!Q"&amp;ROW(B283))</f>
        <v>0.4009090909</v>
      </c>
      <c r="AB302" s="180">
        <f t="array" ref="AB302">INDIRECT("Update"&amp;Projections!$AG$17&amp;"!I"&amp;ROW(B283))</f>
        <v>0.4449136753</v>
      </c>
      <c r="AC302" s="180">
        <f t="array" ref="AC302">INDIRECT("Update"&amp;Projections!$AG$17&amp;"!K"&amp;ROW(B283))</f>
        <v>0.8339424395</v>
      </c>
      <c r="AD302" s="124">
        <f t="array" ref="AD302">INDIRECT("Update"&amp;Projections!$AG$17&amp;"!R"&amp;ROW(B283))</f>
        <v>0.8688636364</v>
      </c>
      <c r="AE302" s="124">
        <f t="shared" si="3"/>
        <v>-2.35799502</v>
      </c>
      <c r="AF302" s="124">
        <f t="shared" si="4"/>
        <v>-1.416008048</v>
      </c>
      <c r="AG302" s="124">
        <f t="shared" si="5"/>
        <v>-1.583898064</v>
      </c>
      <c r="AH302" s="124">
        <f t="shared" si="6"/>
        <v>-1.267011758</v>
      </c>
      <c r="AI302" s="124">
        <f t="shared" si="7"/>
        <v>-0.3311320937</v>
      </c>
      <c r="AJ302" s="124">
        <f t="shared" si="8"/>
        <v>-0.6202770432</v>
      </c>
      <c r="AK302" s="124">
        <f t="shared" si="9"/>
        <v>-0.2227628315</v>
      </c>
      <c r="AL302" s="124">
        <f t="shared" si="10"/>
        <v>0.1361931106</v>
      </c>
      <c r="AM302" s="124">
        <f t="shared" si="11"/>
        <v>0</v>
      </c>
      <c r="AN302" s="183">
        <f t="shared" si="12"/>
        <v>-2.35799502</v>
      </c>
      <c r="AO302" s="183">
        <f t="shared" si="13"/>
        <v>-3.941893084</v>
      </c>
      <c r="AP302" s="183">
        <f t="array" ref="AP302">INDIRECT("Update"&amp;Projections!$AG$17&amp;"!S"&amp;ROW(B283))</f>
        <v>3.659545455</v>
      </c>
      <c r="AQ302" s="183">
        <f t="array" ref="AQ302">INDIRECT("Update"&amp;Projections!$AG$17&amp;"!T"&amp;ROW(B283))</f>
        <v>0.995</v>
      </c>
    </row>
    <row r="303">
      <c r="A303" s="40" t="str">
        <f>IF(UpdateHashtag!C301="",ROW(UpdateHashtag!C301),UpdateHashtag!C301)</f>
        <v>Jaylin Williams</v>
      </c>
      <c r="B303" s="41">
        <f>IF(TYPE($A303)=1,"",(UpdateHashtag!M301-B$1)/B$2)</f>
        <v>-2.323254843</v>
      </c>
      <c r="C303" s="41">
        <f>IF(TYPE($A303)=1,"",(UpdateHashtag!L301-C$1)/C$2)</f>
        <v>-0.9410095407</v>
      </c>
      <c r="D303" s="41">
        <f>IF(TYPE($A303)=1,"",(UpdateHashtag!N301-D$1)/D$2)</f>
        <v>-0.8948543083</v>
      </c>
      <c r="E303" s="41">
        <f>IF(TYPE($A303)=1,"",(UpdateHashtag!O301-E$1)/E$2)</f>
        <v>-1.10507013</v>
      </c>
      <c r="F303" s="41">
        <f>IF(TYPE($A303)=1,"",(UpdateHashtag!P301-F$1)/F$2)</f>
        <v>-1.574757169</v>
      </c>
      <c r="G303" s="41">
        <f>IF(TYPE($A303)=1,"",(UpdateHashtag!Q301-G$1)/G$2)</f>
        <v>-0.8002633236</v>
      </c>
      <c r="H303" s="41">
        <f>IF(TYPE($A303)=1,"",(UpdateHashtag!I301-H$1)/H$2*I303/$I$1)</f>
        <v>-0.3066241083</v>
      </c>
      <c r="I303" s="41">
        <f>UpdateHashtag!S301</f>
        <v>3.7</v>
      </c>
      <c r="J303" s="53">
        <f>IF(TYPE($A303)=1,"",(UpdateHashtag!K301-J$1)/J$2*K303/$K$1)</f>
        <v>-0.1545185556</v>
      </c>
      <c r="K303" s="55">
        <f>UpdateHashtag!T301</f>
        <v>0.8</v>
      </c>
      <c r="L303" s="41">
        <f>IF(TYPE($A303)=1,"",-(UpdateHashtag!R301-L$1)/L$2)</f>
        <v>1.139395249</v>
      </c>
      <c r="N303" s="112">
        <v>283.0</v>
      </c>
      <c r="O303" s="170" t="str">
        <f t="array" ref="O303">INDIRECT("Update"&amp;Projections!$AG$17&amp;"!B"&amp;ROW(B284))</f>
        <v/>
      </c>
      <c r="P303" s="172" t="str">
        <f t="array" ref="P303">INDIRECT("Update"&amp;Projections!$AG$17&amp;"!C"&amp;ROW(B284))</f>
        <v>Sam Merrill</v>
      </c>
      <c r="Q303" s="170">
        <f>UpdateHashtag!F354</f>
        <v>36</v>
      </c>
      <c r="R303" s="177" t="str">
        <f>IF(UpdateHashtag!D354="",ROW(UpdateHashtag!D354),UpdateHashtag!D354)</f>
        <v>PF,C</v>
      </c>
      <c r="S303" s="124">
        <f t="shared" si="1"/>
        <v>-7.229132736</v>
      </c>
      <c r="T303" s="124">
        <f>SUM(AE303:AM303)-IFERROR(IFS(Projections!$I$17,AN303,Projections!$J$17,AO303),"")</f>
        <v>-7.574286295</v>
      </c>
      <c r="U303" s="124">
        <f t="shared" si="2"/>
        <v>-0.3451535585</v>
      </c>
      <c r="V303" s="124">
        <f t="array" ref="V303">INDIRECT("Update"&amp;Projections!$AG$17&amp;"!M"&amp;ROW(B284))</f>
        <v>8.395151515</v>
      </c>
      <c r="W303" s="124">
        <f t="array" ref="W303">INDIRECT("Update"&amp;Projections!$AG$17&amp;"!L"&amp;ROW(B284))</f>
        <v>2.512121212</v>
      </c>
      <c r="X303" s="124">
        <f t="array" ref="X303">INDIRECT("Update"&amp;Projections!$AG$17&amp;"!N"&amp;ROW(B284))</f>
        <v>2.023030303</v>
      </c>
      <c r="Y303" s="124">
        <f t="array" ref="Y303">INDIRECT("Update"&amp;Projections!$AG$17&amp;"!O"&amp;ROW(B284))</f>
        <v>1.853333333</v>
      </c>
      <c r="Z303" s="124">
        <f t="array" ref="Z303">INDIRECT("Update"&amp;Projections!$AG$17&amp;"!P"&amp;ROW(B284))</f>
        <v>0.2528787879</v>
      </c>
      <c r="AA303" s="124">
        <f t="array" ref="AA303">INDIRECT("Update"&amp;Projections!$AG$17&amp;"!Q"&amp;ROW(B284))</f>
        <v>0.07121212121</v>
      </c>
      <c r="AB303" s="180">
        <f t="array" ref="AB303">INDIRECT("Update"&amp;Projections!$AG$17&amp;"!I"&amp;ROW(B284))</f>
        <v>0.4053627405</v>
      </c>
      <c r="AC303" s="180">
        <f t="array" ref="AC303">INDIRECT("Update"&amp;Projections!$AG$17&amp;"!K"&amp;ROW(B284))</f>
        <v>0.8890948409</v>
      </c>
      <c r="AD303" s="124">
        <f t="array" ref="AD303">INDIRECT("Update"&amp;Projections!$AG$17&amp;"!R"&amp;ROW(B284))</f>
        <v>0.3568181818</v>
      </c>
      <c r="AE303" s="124">
        <f t="shared" si="3"/>
        <v>-1.639157382</v>
      </c>
      <c r="AF303" s="124">
        <f t="shared" si="4"/>
        <v>0.7572923518</v>
      </c>
      <c r="AG303" s="124">
        <f t="shared" si="5"/>
        <v>-1.591261165</v>
      </c>
      <c r="AH303" s="124">
        <f t="shared" si="6"/>
        <v>-0.9446078919</v>
      </c>
      <c r="AI303" s="124">
        <f t="shared" si="7"/>
        <v>-2.392311581</v>
      </c>
      <c r="AJ303" s="124">
        <f t="shared" si="8"/>
        <v>-1.208340326</v>
      </c>
      <c r="AK303" s="124">
        <f t="shared" si="9"/>
        <v>-0.7180599494</v>
      </c>
      <c r="AL303" s="124">
        <f t="shared" si="10"/>
        <v>0.1621596482</v>
      </c>
      <c r="AM303" s="124">
        <f t="shared" si="11"/>
        <v>0</v>
      </c>
      <c r="AN303" s="183">
        <f t="shared" si="12"/>
        <v>-2.392311581</v>
      </c>
      <c r="AO303" s="183">
        <f t="shared" si="13"/>
        <v>-4.031468963</v>
      </c>
      <c r="AP303" s="183">
        <f t="array" ref="AP303">INDIRECT("Update"&amp;Projections!$AG$17&amp;"!S"&amp;ROW(B284))</f>
        <v>6.718636364</v>
      </c>
      <c r="AQ303" s="183">
        <f t="array" ref="AQ303">INDIRECT("Update"&amp;Projections!$AG$17&amp;"!T"&amp;ROW(B284))</f>
        <v>0.4904545455</v>
      </c>
    </row>
    <row r="304">
      <c r="A304" s="40" t="str">
        <f>IF(UpdateHashtag!C302="",ROW(UpdateHashtag!C302),UpdateHashtag!C302)</f>
        <v>Trey Jemison</v>
      </c>
      <c r="B304" s="41">
        <f>IF(TYPE($A304)=1,"",(UpdateHashtag!M302-B$1)/B$2)</f>
        <v>-2.395357098</v>
      </c>
      <c r="C304" s="41">
        <f>IF(TYPE($A304)=1,"",(UpdateHashtag!L302-C$1)/C$2)</f>
        <v>-1.734552372</v>
      </c>
      <c r="D304" s="41">
        <f>IF(TYPE($A304)=1,"",(UpdateHashtag!N302-D$1)/D$2)</f>
        <v>-1.090807806</v>
      </c>
      <c r="E304" s="41">
        <f>IF(TYPE($A304)=1,"",(UpdateHashtag!O302-E$1)/E$2)</f>
        <v>-1.468380857</v>
      </c>
      <c r="F304" s="41">
        <f>IF(TYPE($A304)=1,"",(UpdateHashtag!P302-F$1)/F$2)</f>
        <v>-2.236419844</v>
      </c>
      <c r="G304" s="41">
        <f>IF(TYPE($A304)=1,"",(UpdateHashtag!Q302-G$1)/G$2)</f>
        <v>-0.08680419409</v>
      </c>
      <c r="H304" s="41">
        <f>IF(TYPE($A304)=1,"",(UpdateHashtag!I302-H$1)/H$2*I304/$I$1)</f>
        <v>0.2165356982</v>
      </c>
      <c r="I304" s="41">
        <f>UpdateHashtag!S302</f>
        <v>3.4</v>
      </c>
      <c r="J304" s="53">
        <f>IF(TYPE($A304)=1,"",(UpdateHashtag!K302-J$1)/J$2*K304/$K$1)</f>
        <v>0.09278701551</v>
      </c>
      <c r="K304" s="55">
        <f>UpdateHashtag!T302</f>
        <v>0.6</v>
      </c>
      <c r="L304" s="41">
        <f>IF(TYPE($A304)=1,"",-(UpdateHashtag!R302-L$1)/L$2)</f>
        <v>0.9410095407</v>
      </c>
      <c r="N304" s="5">
        <v>284.0</v>
      </c>
      <c r="O304" s="170">
        <f t="array" ref="O304">INDIRECT("Update"&amp;Projections!$AG$17&amp;"!B"&amp;ROW(B285))</f>
        <v>140.1</v>
      </c>
      <c r="P304" s="172" t="str">
        <f t="array" ref="P304">INDIRECT("Update"&amp;Projections!$AG$17&amp;"!C"&amp;ROW(B285))</f>
        <v>Mitchell Robinson</v>
      </c>
      <c r="Q304" s="170">
        <f>UpdateHashtag!F338</f>
        <v>60</v>
      </c>
      <c r="R304" s="177" t="str">
        <f>IF(UpdateHashtag!D338="",ROW(UpdateHashtag!D338),UpdateHashtag!D338)</f>
        <v>C</v>
      </c>
      <c r="S304" s="124">
        <f t="shared" si="1"/>
        <v>-7.580506502</v>
      </c>
      <c r="T304" s="124">
        <f>SUM(AE304:AM304)-IFERROR(IFS(Projections!$I$17,AN304,Projections!$J$17,AO304),"")</f>
        <v>-7.867689263</v>
      </c>
      <c r="U304" s="124">
        <f t="shared" si="2"/>
        <v>-0.2871827616</v>
      </c>
      <c r="V304" s="124">
        <f t="array" ref="V304">INDIRECT("Update"&amp;Projections!$AG$17&amp;"!M"&amp;ROW(B285))</f>
        <v>4.655294118</v>
      </c>
      <c r="W304" s="124">
        <f t="array" ref="W304">INDIRECT("Update"&amp;Projections!$AG$17&amp;"!L"&amp;ROW(B285))</f>
        <v>0</v>
      </c>
      <c r="X304" s="124">
        <f t="array" ref="X304">INDIRECT("Update"&amp;Projections!$AG$17&amp;"!N"&amp;ROW(B285))</f>
        <v>5.94</v>
      </c>
      <c r="Y304" s="124">
        <f t="array" ref="Y304">INDIRECT("Update"&amp;Projections!$AG$17&amp;"!O"&amp;ROW(B285))</f>
        <v>0.4320588235</v>
      </c>
      <c r="Z304" s="124">
        <f t="array" ref="Z304">INDIRECT("Update"&amp;Projections!$AG$17&amp;"!P"&amp;ROW(B285))</f>
        <v>0.6479411765</v>
      </c>
      <c r="AA304" s="124">
        <f t="array" ref="AA304">INDIRECT("Update"&amp;Projections!$AG$17&amp;"!Q"&amp;ROW(B285))</f>
        <v>0.9</v>
      </c>
      <c r="AB304" s="180">
        <f t="array" ref="AB304">INDIRECT("Update"&amp;Projections!$AG$17&amp;"!I"&amp;ROW(B285))</f>
        <v>0.6179673321</v>
      </c>
      <c r="AC304" s="180">
        <f t="array" ref="AC304">INDIRECT("Update"&amp;Projections!$AG$17&amp;"!K"&amp;ROW(B285))</f>
        <v>0.4429287864</v>
      </c>
      <c r="AD304" s="124">
        <f t="array" ref="AD304">INDIRECT("Update"&amp;Projections!$AG$17&amp;"!R"&amp;ROW(B285))</f>
        <v>0.5905882353</v>
      </c>
      <c r="AE304" s="124">
        <f t="shared" si="3"/>
        <v>-2.313287766</v>
      </c>
      <c r="AF304" s="124">
        <f t="shared" si="4"/>
        <v>-1.734552372</v>
      </c>
      <c r="AG304" s="124">
        <f t="shared" si="5"/>
        <v>-0.05617333614</v>
      </c>
      <c r="AH304" s="124">
        <f t="shared" si="6"/>
        <v>-1.590063237</v>
      </c>
      <c r="AI304" s="124">
        <f t="shared" si="7"/>
        <v>-1.085321395</v>
      </c>
      <c r="AJ304" s="124">
        <f t="shared" si="8"/>
        <v>0.2699253707</v>
      </c>
      <c r="AK304" s="124">
        <f t="shared" si="9"/>
        <v>0.4551183246</v>
      </c>
      <c r="AL304" s="124">
        <f t="shared" si="10"/>
        <v>-1.813334852</v>
      </c>
      <c r="AM304" s="124">
        <f t="shared" si="11"/>
        <v>0</v>
      </c>
      <c r="AN304" s="183">
        <f t="shared" si="12"/>
        <v>-2.313287766</v>
      </c>
      <c r="AO304" s="183">
        <f t="shared" si="13"/>
        <v>-4.126622618</v>
      </c>
      <c r="AP304" s="183">
        <f t="array" ref="AP304">INDIRECT("Update"&amp;Projections!$AG$17&amp;"!S"&amp;ROW(B285))</f>
        <v>3.241176471</v>
      </c>
      <c r="AQ304" s="183">
        <f t="array" ref="AQ304">INDIRECT("Update"&amp;Projections!$AG$17&amp;"!T"&amp;ROW(B285))</f>
        <v>1.466176471</v>
      </c>
    </row>
    <row r="305">
      <c r="A305" s="40" t="str">
        <f>IF(UpdateHashtag!C303="",ROW(UpdateHashtag!C303),UpdateHashtag!C303)</f>
        <v>Thomas Bryant</v>
      </c>
      <c r="B305" s="41">
        <f>IF(TYPE($A305)=1,"",(UpdateHashtag!M303-B$1)/B$2)</f>
        <v>-2.070896948</v>
      </c>
      <c r="C305" s="41">
        <f>IF(TYPE($A305)=1,"",(UpdateHashtag!L303-C$1)/C$2)</f>
        <v>-1.536166664</v>
      </c>
      <c r="D305" s="41">
        <f>IF(TYPE($A305)=1,"",(UpdateHashtag!N303-D$1)/D$2)</f>
        <v>-0.9732357076</v>
      </c>
      <c r="E305" s="41">
        <f>IF(TYPE($A305)=1,"",(UpdateHashtag!O303-E$1)/E$2)</f>
        <v>-1.60462238</v>
      </c>
      <c r="F305" s="41">
        <f>IF(TYPE($A305)=1,"",(UpdateHashtag!P303-F$1)/F$2)</f>
        <v>-2.567251182</v>
      </c>
      <c r="G305" s="41">
        <f>IF(TYPE($A305)=1,"",(UpdateHashtag!Q303-G$1)/G$2)</f>
        <v>-0.6218985413</v>
      </c>
      <c r="H305" s="41">
        <f>IF(TYPE($A305)=1,"",(UpdateHashtag!I303-H$1)/H$2*I305/$I$1)</f>
        <v>0.5114863175</v>
      </c>
      <c r="I305" s="41">
        <f>UpdateHashtag!S303</f>
        <v>3.9</v>
      </c>
      <c r="J305" s="53">
        <f>IF(TYPE($A305)=1,"",(UpdateHashtag!K303-J$1)/J$2*K305/$K$1)</f>
        <v>-0.1095162207</v>
      </c>
      <c r="K305" s="55">
        <f>UpdateHashtag!T303</f>
        <v>1.3</v>
      </c>
      <c r="L305" s="41">
        <f>IF(TYPE($A305)=1,"",-(UpdateHashtag!R303-L$1)/L$2)</f>
        <v>1.238588102</v>
      </c>
      <c r="N305" s="5">
        <v>285.0</v>
      </c>
      <c r="O305" s="170" t="str">
        <f t="array" ref="O305">INDIRECT("Update"&amp;Projections!$AG$17&amp;"!B"&amp;ROW(B286))</f>
        <v/>
      </c>
      <c r="P305" s="172" t="str">
        <f t="array" ref="P305">INDIRECT("Update"&amp;Projections!$AG$17&amp;"!C"&amp;ROW(B286))</f>
        <v>Dalano Banton</v>
      </c>
      <c r="Q305" s="170">
        <f>UpdateHashtag!F341</f>
        <v>52</v>
      </c>
      <c r="R305" s="177" t="str">
        <f>IF(UpdateHashtag!D341="",ROW(UpdateHashtag!D341),UpdateHashtag!D341)</f>
        <v>SF</v>
      </c>
      <c r="S305" s="124">
        <f t="shared" si="1"/>
        <v>-7.507635824</v>
      </c>
      <c r="T305" s="124">
        <f>SUM(AE305:AM305)-IFERROR(IFS(Projections!$I$17,AN305,Projections!$J$17,AO305),"")</f>
        <v>-7.623710912</v>
      </c>
      <c r="U305" s="124">
        <f t="shared" si="2"/>
        <v>-0.1160750887</v>
      </c>
      <c r="V305" s="124">
        <f t="array" ref="V305">INDIRECT("Update"&amp;Projections!$AG$17&amp;"!M"&amp;ROW(B286))</f>
        <v>7.091911765</v>
      </c>
      <c r="W305" s="124">
        <f t="array" ref="W305">INDIRECT("Update"&amp;Projections!$AG$17&amp;"!L"&amp;ROW(B286))</f>
        <v>0.8182352941</v>
      </c>
      <c r="X305" s="124">
        <f t="array" ref="X305">INDIRECT("Update"&amp;Projections!$AG$17&amp;"!N"&amp;ROW(B286))</f>
        <v>2.910147059</v>
      </c>
      <c r="Y305" s="124">
        <f t="array" ref="Y305">INDIRECT("Update"&amp;Projections!$AG$17&amp;"!O"&amp;ROW(B286))</f>
        <v>2.173823529</v>
      </c>
      <c r="Z305" s="124">
        <f t="array" ref="Z305">INDIRECT("Update"&amp;Projections!$AG$17&amp;"!P"&amp;ROW(B286))</f>
        <v>0.5452941176</v>
      </c>
      <c r="AA305" s="124">
        <f t="array" ref="AA305">INDIRECT("Update"&amp;Projections!$AG$17&amp;"!Q"&amp;ROW(B286))</f>
        <v>0.3566176471</v>
      </c>
      <c r="AB305" s="180">
        <f t="array" ref="AB305">INDIRECT("Update"&amp;Projections!$AG$17&amp;"!I"&amp;ROW(B286))</f>
        <v>0.4110338539</v>
      </c>
      <c r="AC305" s="180">
        <f t="array" ref="AC305">INDIRECT("Update"&amp;Projections!$AG$17&amp;"!K"&amp;ROW(B286))</f>
        <v>0.7919616077</v>
      </c>
      <c r="AD305" s="124">
        <f t="array" ref="AD305">INDIRECT("Update"&amp;Projections!$AG$17&amp;"!R"&amp;ROW(B286))</f>
        <v>1.280588235</v>
      </c>
      <c r="AE305" s="124">
        <f t="shared" si="3"/>
        <v>-1.874073696</v>
      </c>
      <c r="AF305" s="124">
        <f t="shared" si="4"/>
        <v>-0.9229214321</v>
      </c>
      <c r="AG305" s="124">
        <f t="shared" si="5"/>
        <v>-1.243593902</v>
      </c>
      <c r="AH305" s="124">
        <f t="shared" si="6"/>
        <v>-0.799060984</v>
      </c>
      <c r="AI305" s="124">
        <f t="shared" si="7"/>
        <v>-1.424910033</v>
      </c>
      <c r="AJ305" s="124">
        <f t="shared" si="8"/>
        <v>-0.6992773806</v>
      </c>
      <c r="AK305" s="124">
        <f t="shared" si="9"/>
        <v>-0.646876031</v>
      </c>
      <c r="AL305" s="124">
        <f t="shared" si="10"/>
        <v>-0.01299745412</v>
      </c>
      <c r="AM305" s="124">
        <f t="shared" si="11"/>
        <v>0</v>
      </c>
      <c r="AN305" s="183">
        <f t="shared" si="12"/>
        <v>-1.874073696</v>
      </c>
      <c r="AO305" s="183">
        <f t="shared" si="13"/>
        <v>-3.298983729</v>
      </c>
      <c r="AP305" s="183">
        <f t="array" ref="AP305">INDIRECT("Update"&amp;Projections!$AG$17&amp;"!S"&amp;ROW(B286))</f>
        <v>6.450735294</v>
      </c>
      <c r="AQ305" s="183">
        <f t="array" ref="AQ305">INDIRECT("Update"&amp;Projections!$AG$17&amp;"!T"&amp;ROW(B286))</f>
        <v>1.225735294</v>
      </c>
    </row>
    <row r="306">
      <c r="A306" s="40" t="str">
        <f>IF(UpdateHashtag!C304="",ROW(UpdateHashtag!C304),UpdateHashtag!C304)</f>
        <v>Devin Carter</v>
      </c>
      <c r="B306" s="41">
        <f>IF(TYPE($A306)=1,"",(UpdateHashtag!M304-B$1)/B$2)</f>
        <v>-2.052871384</v>
      </c>
      <c r="C306" s="41">
        <f>IF(TYPE($A306)=1,"",(UpdateHashtag!L304-C$1)/C$2)</f>
        <v>-0.9410095407</v>
      </c>
      <c r="D306" s="41">
        <f>IF(TYPE($A306)=1,"",(UpdateHashtag!N304-D$1)/D$2)</f>
        <v>-1.325952004</v>
      </c>
      <c r="E306" s="41">
        <f>IF(TYPE($A306)=1,"",(UpdateHashtag!O304-E$1)/E$2)</f>
        <v>-1.286725494</v>
      </c>
      <c r="F306" s="41">
        <f>IF(TYPE($A306)=1,"",(UpdateHashtag!P304-F$1)/F$2)</f>
        <v>-1.574757169</v>
      </c>
      <c r="G306" s="41">
        <f>IF(TYPE($A306)=1,"",(UpdateHashtag!Q304-G$1)/G$2)</f>
        <v>-0.8002633236</v>
      </c>
      <c r="H306" s="41">
        <f>IF(TYPE($A306)=1,"",(UpdateHashtag!I304-H$1)/H$2*I306/$I$1)</f>
        <v>-0.1262735893</v>
      </c>
      <c r="I306" s="41">
        <f>UpdateHashtag!S304</f>
        <v>4.3</v>
      </c>
      <c r="J306" s="53">
        <f>IF(TYPE($A306)=1,"",(UpdateHashtag!K304-J$1)/J$2*K306/$K$1)</f>
        <v>-0.2640699069</v>
      </c>
      <c r="K306" s="55">
        <f>UpdateHashtag!T304</f>
        <v>1.6</v>
      </c>
      <c r="L306" s="41">
        <f>IF(TYPE($A306)=1,"",-(UpdateHashtag!R304-L$1)/L$2)</f>
        <v>0.9410095407</v>
      </c>
      <c r="N306" s="112">
        <v>286.0</v>
      </c>
      <c r="O306" s="170" t="str">
        <f t="array" ref="O306">INDIRECT("Update"&amp;Projections!$AG$17&amp;"!B"&amp;ROW(B287))</f>
        <v/>
      </c>
      <c r="P306" s="172" t="str">
        <f t="array" ref="P306">INDIRECT("Update"&amp;Projections!$AG$17&amp;"!C"&amp;ROW(B287))</f>
        <v>Spencer Dinwiddie</v>
      </c>
      <c r="Q306" s="170">
        <f>UpdateHashtag!F337</f>
        <v>64</v>
      </c>
      <c r="R306" s="177" t="str">
        <f>IF(UpdateHashtag!D337="",ROW(UpdateHashtag!D337),UpdateHashtag!D337)</f>
        <v>C</v>
      </c>
      <c r="S306" s="124">
        <f t="shared" si="1"/>
        <v>-7.362324062</v>
      </c>
      <c r="T306" s="124">
        <f>SUM(AE306:AM306)-IFERROR(IFS(Projections!$I$17,AN306,Projections!$J$17,AO306),"")</f>
        <v>-7.603555194</v>
      </c>
      <c r="U306" s="124">
        <f t="shared" si="2"/>
        <v>-0.2412311325</v>
      </c>
      <c r="V306" s="124">
        <f t="array" ref="V306">INDIRECT("Update"&amp;Projections!$AG$17&amp;"!M"&amp;ROW(B287))</f>
        <v>7.675205479</v>
      </c>
      <c r="W306" s="124">
        <f t="array" ref="W306">INDIRECT("Update"&amp;Projections!$AG$17&amp;"!L"&amp;ROW(B287))</f>
        <v>1.502328767</v>
      </c>
      <c r="X306" s="124">
        <f t="array" ref="X306">INDIRECT("Update"&amp;Projections!$AG$17&amp;"!N"&amp;ROW(B287))</f>
        <v>1.683287671</v>
      </c>
      <c r="Y306" s="124">
        <f t="array" ref="Y306">INDIRECT("Update"&amp;Projections!$AG$17&amp;"!O"&amp;ROW(B287))</f>
        <v>2.314520548</v>
      </c>
      <c r="Z306" s="124">
        <f t="array" ref="Z306">INDIRECT("Update"&amp;Projections!$AG$17&amp;"!P"&amp;ROW(B287))</f>
        <v>0.4423287671</v>
      </c>
      <c r="AA306" s="124">
        <f t="array" ref="AA306">INDIRECT("Update"&amp;Projections!$AG$17&amp;"!Q"&amp;ROW(B287))</f>
        <v>0.2597260274</v>
      </c>
      <c r="AB306" s="180">
        <f t="array" ref="AB306">INDIRECT("Update"&amp;Projections!$AG$17&amp;"!I"&amp;ROW(B287))</f>
        <v>0.3931502453</v>
      </c>
      <c r="AC306" s="180">
        <f t="array" ref="AC306">INDIRECT("Update"&amp;Projections!$AG$17&amp;"!K"&amp;ROW(B287))</f>
        <v>0.8320061848</v>
      </c>
      <c r="AD306" s="124">
        <f t="array" ref="AD306">INDIRECT("Update"&amp;Projections!$AG$17&amp;"!R"&amp;ROW(B287))</f>
        <v>0.775890411</v>
      </c>
      <c r="AE306" s="124">
        <f t="shared" si="3"/>
        <v>-1.768931715</v>
      </c>
      <c r="AF306" s="124">
        <f t="shared" si="4"/>
        <v>-0.2443495929</v>
      </c>
      <c r="AG306" s="124">
        <f t="shared" si="5"/>
        <v>-1.724408679</v>
      </c>
      <c r="AH306" s="124">
        <f t="shared" si="6"/>
        <v>-0.7351650636</v>
      </c>
      <c r="AI306" s="124">
        <f t="shared" si="7"/>
        <v>-1.76555168</v>
      </c>
      <c r="AJ306" s="124">
        <f t="shared" si="8"/>
        <v>-0.8720979072</v>
      </c>
      <c r="AK306" s="124">
        <f t="shared" si="9"/>
        <v>-0.7235333211</v>
      </c>
      <c r="AL306" s="124">
        <f t="shared" si="10"/>
        <v>0.2304827646</v>
      </c>
      <c r="AM306" s="124">
        <f t="shared" si="11"/>
        <v>0</v>
      </c>
      <c r="AN306" s="183">
        <f t="shared" si="12"/>
        <v>-1.768931715</v>
      </c>
      <c r="AO306" s="183">
        <f t="shared" si="13"/>
        <v>-3.534483395</v>
      </c>
      <c r="AP306" s="183">
        <f t="array" ref="AP306">INDIRECT("Update"&amp;Projections!$AG$17&amp;"!S"&amp;ROW(B287))</f>
        <v>5.975616438</v>
      </c>
      <c r="AQ306" s="183">
        <f t="array" ref="AQ306">INDIRECT("Update"&amp;Projections!$AG$17&amp;"!T"&amp;ROW(B287))</f>
        <v>1.771917808</v>
      </c>
    </row>
    <row r="307">
      <c r="A307" s="40" t="str">
        <f>IF(UpdateHashtag!C305="",ROW(UpdateHashtag!C305),UpdateHashtag!C305)</f>
        <v>Joe Ingles</v>
      </c>
      <c r="B307" s="41">
        <f>IF(TYPE($A307)=1,"",(UpdateHashtag!M305-B$1)/B$2)</f>
        <v>-2.395357098</v>
      </c>
      <c r="C307" s="41">
        <f>IF(TYPE($A307)=1,"",(UpdateHashtag!L305-C$1)/C$2)</f>
        <v>-0.643430979</v>
      </c>
      <c r="D307" s="41">
        <f>IF(TYPE($A307)=1,"",(UpdateHashtag!N305-D$1)/D$2)</f>
        <v>-1.639477601</v>
      </c>
      <c r="E307" s="41">
        <f>IF(TYPE($A307)=1,"",(UpdateHashtag!O305-E$1)/E$2)</f>
        <v>-0.6963455612</v>
      </c>
      <c r="F307" s="41">
        <f>IF(TYPE($A307)=1,"",(UpdateHashtag!P305-F$1)/F$2)</f>
        <v>-1.574757169</v>
      </c>
      <c r="G307" s="41">
        <f>IF(TYPE($A307)=1,"",(UpdateHashtag!Q305-G$1)/G$2)</f>
        <v>-1.156992888</v>
      </c>
      <c r="H307" s="41">
        <f>IF(TYPE($A307)=1,"",(UpdateHashtag!I305-H$1)/H$2*I307/$I$1)</f>
        <v>-0.2312527931</v>
      </c>
      <c r="I307" s="41">
        <f>UpdateHashtag!S305</f>
        <v>3.3</v>
      </c>
      <c r="J307" s="53">
        <f>IF(TYPE($A307)=1,"",(UpdateHashtag!K305-J$1)/J$2*K307/$K$1)</f>
        <v>0.06607368574</v>
      </c>
      <c r="K307" s="55">
        <f>UpdateHashtag!T305</f>
        <v>0.4</v>
      </c>
      <c r="L307" s="41">
        <f>IF(TYPE($A307)=1,"",-(UpdateHashtag!R305-L$1)/L$2)</f>
        <v>0.9410095407</v>
      </c>
      <c r="N307" s="112">
        <v>287.0</v>
      </c>
      <c r="O307" s="170">
        <f t="array" ref="O307">INDIRECT("Update"&amp;Projections!$AG$17&amp;"!B"&amp;ROW(B288))</f>
        <v>135.6</v>
      </c>
      <c r="P307" s="172" t="str">
        <f t="array" ref="P307">INDIRECT("Update"&amp;Projections!$AG$17&amp;"!C"&amp;ROW(B288))</f>
        <v>Kevon Looney</v>
      </c>
      <c r="Q307" s="170">
        <f>UpdateHashtag!F331</f>
        <v>58</v>
      </c>
      <c r="R307" s="177" t="str">
        <f>IF(UpdateHashtag!D331="",ROW(UpdateHashtag!D331),UpdateHashtag!D331)</f>
        <v>PG,SG</v>
      </c>
      <c r="S307" s="124">
        <f t="shared" si="1"/>
        <v>-7.746003926</v>
      </c>
      <c r="T307" s="124">
        <f>SUM(AE307:AM307)-IFERROR(IFS(Projections!$I$17,AN307,Projections!$J$17,AO307),"")</f>
        <v>-8.014309273</v>
      </c>
      <c r="U307" s="124">
        <f t="shared" si="2"/>
        <v>-0.2683053464</v>
      </c>
      <c r="V307" s="124">
        <f t="array" ref="V307">INDIRECT("Update"&amp;Projections!$AG$17&amp;"!M"&amp;ROW(B288))</f>
        <v>4.969315068</v>
      </c>
      <c r="W307" s="124">
        <f t="array" ref="W307">INDIRECT("Update"&amp;Projections!$AG$17&amp;"!L"&amp;ROW(B288))</f>
        <v>0</v>
      </c>
      <c r="X307" s="124">
        <f t="array" ref="X307">INDIRECT("Update"&amp;Projections!$AG$17&amp;"!N"&amp;ROW(B288))</f>
        <v>5.8</v>
      </c>
      <c r="Y307" s="124">
        <f t="array" ref="Y307">INDIRECT("Update"&amp;Projections!$AG$17&amp;"!O"&amp;ROW(B288))</f>
        <v>1.4</v>
      </c>
      <c r="Z307" s="124">
        <f t="array" ref="Z307">INDIRECT("Update"&amp;Projections!$AG$17&amp;"!P"&amp;ROW(B288))</f>
        <v>0.3669863014</v>
      </c>
      <c r="AA307" s="124">
        <f t="array" ref="AA307">INDIRECT("Update"&amp;Projections!$AG$17&amp;"!Q"&amp;ROW(B288))</f>
        <v>0.4667123288</v>
      </c>
      <c r="AB307" s="180">
        <f t="array" ref="AB307">INDIRECT("Update"&amp;Projections!$AG$17&amp;"!I"&amp;ROW(B288))</f>
        <v>0.6080177276</v>
      </c>
      <c r="AC307" s="180">
        <f t="array" ref="AC307">INDIRECT("Update"&amp;Projections!$AG$17&amp;"!K"&amp;ROW(B288))</f>
        <v>0.6450042337</v>
      </c>
      <c r="AD307" s="124">
        <f t="array" ref="AD307">INDIRECT("Update"&amp;Projections!$AG$17&amp;"!R"&amp;ROW(B288))</f>
        <v>0.6667123288</v>
      </c>
      <c r="AE307" s="124">
        <f t="shared" si="3"/>
        <v>-2.256683719</v>
      </c>
      <c r="AF307" s="124">
        <f t="shared" si="4"/>
        <v>-1.734552372</v>
      </c>
      <c r="AG307" s="124">
        <f t="shared" si="5"/>
        <v>-0.1110403156</v>
      </c>
      <c r="AH307" s="124">
        <f t="shared" si="6"/>
        <v>-1.150483971</v>
      </c>
      <c r="AI307" s="124">
        <f t="shared" si="7"/>
        <v>-2.014808167</v>
      </c>
      <c r="AJ307" s="124">
        <f t="shared" si="8"/>
        <v>-0.5029072412</v>
      </c>
      <c r="AK307" s="124">
        <f t="shared" si="9"/>
        <v>0.4380717585</v>
      </c>
      <c r="AL307" s="124">
        <f t="shared" si="10"/>
        <v>-0.6819052456</v>
      </c>
      <c r="AM307" s="124">
        <f t="shared" si="11"/>
        <v>0</v>
      </c>
      <c r="AN307" s="183">
        <f t="shared" si="12"/>
        <v>-2.256683719</v>
      </c>
      <c r="AO307" s="183">
        <f t="shared" si="13"/>
        <v>-4.271491886</v>
      </c>
      <c r="AP307" s="183">
        <f t="array" ref="AP307">INDIRECT("Update"&amp;Projections!$AG$17&amp;"!S"&amp;ROW(B288))</f>
        <v>3.4</v>
      </c>
      <c r="AQ307" s="183">
        <f t="array" ref="AQ307">INDIRECT("Update"&amp;Projections!$AG$17&amp;"!T"&amp;ROW(B288))</f>
        <v>1.294246575</v>
      </c>
    </row>
    <row r="308">
      <c r="A308" s="40" t="str">
        <f>IF(UpdateHashtag!C306="",ROW(UpdateHashtag!C306),UpdateHashtag!C306)</f>
        <v>Tim Hardaway Jr.</v>
      </c>
      <c r="B308" s="41">
        <f>IF(TYPE($A308)=1,"",(UpdateHashtag!M306-B$1)/B$2)</f>
        <v>-1.47605334</v>
      </c>
      <c r="C308" s="41">
        <f>IF(TYPE($A308)=1,"",(UpdateHashtag!L306-C$1)/C$2)</f>
        <v>0.05091899834</v>
      </c>
      <c r="D308" s="41">
        <f>IF(TYPE($A308)=1,"",(UpdateHashtag!N306-D$1)/D$2)</f>
        <v>-1.521905502</v>
      </c>
      <c r="E308" s="41">
        <f>IF(TYPE($A308)=1,"",(UpdateHashtag!O306-E$1)/E$2)</f>
        <v>-1.241311653</v>
      </c>
      <c r="F308" s="41">
        <f>IF(TYPE($A308)=1,"",(UpdateHashtag!P306-F$1)/F$2)</f>
        <v>-1.905588506</v>
      </c>
      <c r="G308" s="41">
        <f>IF(TYPE($A308)=1,"",(UpdateHashtag!Q306-G$1)/G$2)</f>
        <v>-1.156992888</v>
      </c>
      <c r="H308" s="41">
        <f>IF(TYPE($A308)=1,"",(UpdateHashtag!I306-H$1)/H$2*I308/$I$1)</f>
        <v>-0.8752193298</v>
      </c>
      <c r="I308" s="41">
        <f>UpdateHashtag!S306</f>
        <v>7.9</v>
      </c>
      <c r="J308" s="53">
        <f>IF(TYPE($A308)=1,"",(UpdateHashtag!K306-J$1)/J$2*K308/$K$1)</f>
        <v>0.08862754912</v>
      </c>
      <c r="K308" s="55">
        <f>UpdateHashtag!T306</f>
        <v>1.4</v>
      </c>
      <c r="L308" s="41">
        <f>IF(TYPE($A308)=1,"",-(UpdateHashtag!R306-L$1)/L$2)</f>
        <v>1.139395249</v>
      </c>
      <c r="N308" s="5">
        <v>288.0</v>
      </c>
      <c r="O308" s="170" t="str">
        <f t="array" ref="O308">INDIRECT("Update"&amp;Projections!$AG$17&amp;"!B"&amp;ROW(B289))</f>
        <v/>
      </c>
      <c r="P308" s="172" t="str">
        <f t="array" ref="P308">INDIRECT("Update"&amp;Projections!$AG$17&amp;"!C"&amp;ROW(B289))</f>
        <v>Guerschon Yabusele</v>
      </c>
      <c r="Q308" s="170">
        <f>UpdateHashtag!F346</f>
        <v>60</v>
      </c>
      <c r="R308" s="177" t="str">
        <f>IF(UpdateHashtag!D346="",ROW(UpdateHashtag!D346),UpdateHashtag!D346)</f>
        <v>PF</v>
      </c>
      <c r="S308" s="124">
        <f t="shared" si="1"/>
        <v>-7.620342369</v>
      </c>
      <c r="T308" s="124">
        <f>SUM(AE308:AM308)-IFERROR(IFS(Projections!$I$17,AN308,Projections!$J$17,AO308),"")</f>
        <v>-7.811180044</v>
      </c>
      <c r="U308" s="124">
        <f t="shared" si="2"/>
        <v>-0.1908376745</v>
      </c>
      <c r="V308" s="124">
        <f t="array" ref="V308">INDIRECT("Update"&amp;Projections!$AG$17&amp;"!M"&amp;ROW(B289))</f>
        <v>6.889104478</v>
      </c>
      <c r="W308" s="124">
        <f t="array" ref="W308">INDIRECT("Update"&amp;Projections!$AG$17&amp;"!L"&amp;ROW(B289))</f>
        <v>0.8210447761</v>
      </c>
      <c r="X308" s="124">
        <f t="array" ref="X308">INDIRECT("Update"&amp;Projections!$AG$17&amp;"!N"&amp;ROW(B289))</f>
        <v>3.103283582</v>
      </c>
      <c r="Y308" s="124">
        <f t="array" ref="Y308">INDIRECT("Update"&amp;Projections!$AG$17&amp;"!O"&amp;ROW(B289))</f>
        <v>1.052238806</v>
      </c>
      <c r="Z308" s="124">
        <f t="array" ref="Z308">INDIRECT("Update"&amp;Projections!$AG$17&amp;"!P"&amp;ROW(B289))</f>
        <v>0.5064179104</v>
      </c>
      <c r="AA308" s="124">
        <f t="array" ref="AA308">INDIRECT("Update"&amp;Projections!$AG$17&amp;"!Q"&amp;ROW(B289))</f>
        <v>0.3491044776</v>
      </c>
      <c r="AB308" s="180">
        <f t="array" ref="AB308">INDIRECT("Update"&amp;Projections!$AG$17&amp;"!I"&amp;ROW(B289))</f>
        <v>0.4640430119</v>
      </c>
      <c r="AC308" s="180">
        <f t="array" ref="AC308">INDIRECT("Update"&amp;Projections!$AG$17&amp;"!K"&amp;ROW(B289))</f>
        <v>0.7889429351</v>
      </c>
      <c r="AD308" s="124">
        <f t="array" ref="AD308">INDIRECT("Update"&amp;Projections!$AG$17&amp;"!R"&amp;ROW(B289))</f>
        <v>0.9791044776</v>
      </c>
      <c r="AE308" s="124">
        <f t="shared" si="3"/>
        <v>-1.910630853</v>
      </c>
      <c r="AF308" s="124">
        <f t="shared" si="4"/>
        <v>-0.9201346267</v>
      </c>
      <c r="AG308" s="124">
        <f t="shared" si="5"/>
        <v>-1.167902347</v>
      </c>
      <c r="AH308" s="124">
        <f t="shared" si="6"/>
        <v>-1.308415686</v>
      </c>
      <c r="AI308" s="124">
        <f t="shared" si="7"/>
        <v>-1.55352471</v>
      </c>
      <c r="AJ308" s="124">
        <f t="shared" si="8"/>
        <v>-0.712678229</v>
      </c>
      <c r="AK308" s="124">
        <f t="shared" si="9"/>
        <v>-0.211211922</v>
      </c>
      <c r="AL308" s="124">
        <f t="shared" si="10"/>
        <v>-0.02668167027</v>
      </c>
      <c r="AM308" s="124">
        <f t="shared" si="11"/>
        <v>0</v>
      </c>
      <c r="AN308" s="183">
        <f t="shared" si="12"/>
        <v>-1.910630853</v>
      </c>
      <c r="AO308" s="183">
        <f t="shared" si="13"/>
        <v>-3.464155562</v>
      </c>
      <c r="AP308" s="183">
        <f t="array" ref="AP308">INDIRECT("Update"&amp;Projections!$AG$17&amp;"!S"&amp;ROW(B289))</f>
        <v>5.46880597</v>
      </c>
      <c r="AQ308" s="183">
        <f t="array" ref="AQ308">INDIRECT("Update"&amp;Projections!$AG$17&amp;"!T"&amp;ROW(B289))</f>
        <v>1.258059701</v>
      </c>
    </row>
    <row r="309">
      <c r="A309" s="40" t="str">
        <f>IF(UpdateHashtag!C307="",ROW(UpdateHashtag!C307),UpdateHashtag!C307)</f>
        <v>Tre Mann</v>
      </c>
      <c r="B309" s="41">
        <f>IF(TYPE($A309)=1,"",(UpdateHashtag!M307-B$1)/B$2)</f>
        <v>-1.962743565</v>
      </c>
      <c r="C309" s="41">
        <f>IF(TYPE($A309)=1,"",(UpdateHashtag!L307-C$1)/C$2)</f>
        <v>-0.8418166868</v>
      </c>
      <c r="D309" s="41">
        <f>IF(TYPE($A309)=1,"",(UpdateHashtag!N307-D$1)/D$2)</f>
        <v>-1.521905502</v>
      </c>
      <c r="E309" s="41">
        <f>IF(TYPE($A309)=1,"",(UpdateHashtag!O307-E$1)/E$2)</f>
        <v>-0.832587084</v>
      </c>
      <c r="F309" s="41">
        <f>IF(TYPE($A309)=1,"",(UpdateHashtag!P307-F$1)/F$2)</f>
        <v>-0.9130944927</v>
      </c>
      <c r="G309" s="41">
        <f>IF(TYPE($A309)=1,"",(UpdateHashtag!Q307-G$1)/G$2)</f>
        <v>-1.156992888</v>
      </c>
      <c r="H309" s="41">
        <f>IF(TYPE($A309)=1,"",(UpdateHashtag!I307-H$1)/H$2*I309/$I$1)</f>
        <v>-0.5460810672</v>
      </c>
      <c r="I309" s="41">
        <f>UpdateHashtag!S307</f>
        <v>6</v>
      </c>
      <c r="J309" s="53">
        <f>IF(TYPE($A309)=1,"",(UpdateHashtag!K307-J$1)/J$2*K309/$K$1)</f>
        <v>-0.06739459737</v>
      </c>
      <c r="K309" s="55">
        <f>UpdateHashtag!T307</f>
        <v>0.8</v>
      </c>
      <c r="L309" s="41">
        <f>IF(TYPE($A309)=1,"",-(UpdateHashtag!R307-L$1)/L$2)</f>
        <v>0.8418166868</v>
      </c>
      <c r="N309" s="5">
        <v>289.0</v>
      </c>
      <c r="O309" s="170" t="str">
        <f t="array" ref="O309">INDIRECT("Update"&amp;Projections!$AG$17&amp;"!B"&amp;ROW(B290))</f>
        <v/>
      </c>
      <c r="P309" s="172" t="str">
        <f t="array" ref="P309">INDIRECT("Update"&amp;Projections!$AG$17&amp;"!C"&amp;ROW(B290))</f>
        <v>Trey Lyles</v>
      </c>
      <c r="Q309" s="170">
        <f>UpdateHashtag!F347</f>
        <v>50</v>
      </c>
      <c r="R309" s="177" t="str">
        <f>IF(UpdateHashtag!D347="",ROW(UpdateHashtag!D347),UpdateHashtag!D347)</f>
        <v>PF</v>
      </c>
      <c r="S309" s="124">
        <f t="shared" si="1"/>
        <v>-7.518341012</v>
      </c>
      <c r="T309" s="124">
        <f>SUM(AE309:AM309)-IFERROR(IFS(Projections!$I$17,AN309,Projections!$J$17,AO309),"")</f>
        <v>-7.784200507</v>
      </c>
      <c r="U309" s="124">
        <f t="shared" si="2"/>
        <v>-0.2658594952</v>
      </c>
      <c r="V309" s="124">
        <f t="array" ref="V309">INDIRECT("Update"&amp;Projections!$AG$17&amp;"!M"&amp;ROW(B290))</f>
        <v>7.080136986</v>
      </c>
      <c r="W309" s="124">
        <f t="array" ref="W309">INDIRECT("Update"&amp;Projections!$AG$17&amp;"!L"&amp;ROW(B290))</f>
        <v>1.33630137</v>
      </c>
      <c r="X309" s="124">
        <f t="array" ref="X309">INDIRECT("Update"&amp;Projections!$AG$17&amp;"!N"&amp;ROW(B290))</f>
        <v>4.237808219</v>
      </c>
      <c r="Y309" s="124">
        <f t="array" ref="Y309">INDIRECT("Update"&amp;Projections!$AG$17&amp;"!O"&amp;ROW(B290))</f>
        <v>1.039452055</v>
      </c>
      <c r="Z309" s="124">
        <f t="array" ref="Z309">INDIRECT("Update"&amp;Projections!$AG$17&amp;"!P"&amp;ROW(B290))</f>
        <v>0.3226027397</v>
      </c>
      <c r="AA309" s="124">
        <f t="array" ref="AA309">INDIRECT("Update"&amp;Projections!$AG$17&amp;"!Q"&amp;ROW(B290))</f>
        <v>0.3579452055</v>
      </c>
      <c r="AB309" s="180">
        <f t="array" ref="AB309">INDIRECT("Update"&amp;Projections!$AG$17&amp;"!I"&amp;ROW(B290))</f>
        <v>0.434851283</v>
      </c>
      <c r="AC309" s="180">
        <f t="array" ref="AC309">INDIRECT("Update"&amp;Projections!$AG$17&amp;"!K"&amp;ROW(B290))</f>
        <v>0.7460510328</v>
      </c>
      <c r="AD309" s="124">
        <f t="array" ref="AD309">INDIRECT("Update"&amp;Projections!$AG$17&amp;"!R"&amp;ROW(B290))</f>
        <v>0.6765753425</v>
      </c>
      <c r="AE309" s="124">
        <f t="shared" si="3"/>
        <v>-1.876196166</v>
      </c>
      <c r="AF309" s="124">
        <f t="shared" si="4"/>
        <v>-0.4090369063</v>
      </c>
      <c r="AG309" s="124">
        <f t="shared" si="5"/>
        <v>-0.7232742042</v>
      </c>
      <c r="AH309" s="124">
        <f t="shared" si="6"/>
        <v>-1.314222641</v>
      </c>
      <c r="AI309" s="124">
        <f t="shared" si="7"/>
        <v>-2.161642898</v>
      </c>
      <c r="AJ309" s="124">
        <f t="shared" si="8"/>
        <v>-0.6969094839</v>
      </c>
      <c r="AK309" s="124">
        <f t="shared" si="9"/>
        <v>-0.409129288</v>
      </c>
      <c r="AL309" s="124">
        <f t="shared" si="10"/>
        <v>-0.1937889194</v>
      </c>
      <c r="AM309" s="124">
        <f t="shared" si="11"/>
        <v>0</v>
      </c>
      <c r="AN309" s="183">
        <f t="shared" si="12"/>
        <v>-2.161642898</v>
      </c>
      <c r="AO309" s="183">
        <f t="shared" si="13"/>
        <v>-4.037839064</v>
      </c>
      <c r="AP309" s="183">
        <f t="array" ref="AP309">INDIRECT("Update"&amp;Projections!$AG$17&amp;"!S"&amp;ROW(B290))</f>
        <v>5.637260274</v>
      </c>
      <c r="AQ309" s="183">
        <f t="array" ref="AQ309">INDIRECT("Update"&amp;Projections!$AG$17&amp;"!T"&amp;ROW(B290))</f>
        <v>1.12739726</v>
      </c>
    </row>
    <row r="310">
      <c r="A310" s="40" t="str">
        <f>IF(UpdateHashtag!C308="",ROW(UpdateHashtag!C308),UpdateHashtag!C308)</f>
        <v>Davion Mitchell</v>
      </c>
      <c r="B310" s="41">
        <f>IF(TYPE($A310)=1,"",(UpdateHashtag!M308-B$1)/B$2)</f>
        <v>-1.962743565</v>
      </c>
      <c r="C310" s="41">
        <f>IF(TYPE($A310)=1,"",(UpdateHashtag!L308-C$1)/C$2)</f>
        <v>-0.7426238329</v>
      </c>
      <c r="D310" s="41">
        <f>IF(TYPE($A310)=1,"",(UpdateHashtag!N308-D$1)/D$2)</f>
        <v>-1.7570497</v>
      </c>
      <c r="E310" s="41">
        <f>IF(TYPE($A310)=1,"",(UpdateHashtag!O308-E$1)/E$2)</f>
        <v>-0.6509317203</v>
      </c>
      <c r="F310" s="41">
        <f>IF(TYPE($A310)=1,"",(UpdateHashtag!P308-F$1)/F$2)</f>
        <v>-1.574757169</v>
      </c>
      <c r="G310" s="41">
        <f>IF(TYPE($A310)=1,"",(UpdateHashtag!Q308-G$1)/G$2)</f>
        <v>-1.156992888</v>
      </c>
      <c r="H310" s="41">
        <f>IF(TYPE($A310)=1,"",(UpdateHashtag!I308-H$1)/H$2*I310/$I$1)</f>
        <v>-0.2933563126</v>
      </c>
      <c r="I310" s="41">
        <f>UpdateHashtag!S308</f>
        <v>5.7</v>
      </c>
      <c r="J310" s="53">
        <f>IF(TYPE($A310)=1,"",(UpdateHashtag!K308-J$1)/J$2*K310/$K$1)</f>
        <v>-0.113781079</v>
      </c>
      <c r="K310" s="55">
        <f>UpdateHashtag!T308</f>
        <v>0.6</v>
      </c>
      <c r="L310" s="41">
        <f>IF(TYPE($A310)=1,"",-(UpdateHashtag!R308-L$1)/L$2)</f>
        <v>0.9410095407</v>
      </c>
      <c r="N310" s="112">
        <v>290.0</v>
      </c>
      <c r="O310" s="170">
        <f t="array" ref="O310">INDIRECT("Update"&amp;Projections!$AG$17&amp;"!B"&amp;ROW(B291))</f>
        <v>142.7</v>
      </c>
      <c r="P310" s="172" t="str">
        <f t="array" ref="P310">INDIRECT("Update"&amp;Projections!$AG$17&amp;"!C"&amp;ROW(B291))</f>
        <v>Kel'El Ware</v>
      </c>
      <c r="Q310" s="170">
        <f>UpdateHashtag!F349</f>
        <v>30</v>
      </c>
      <c r="R310" s="177" t="str">
        <f>IF(UpdateHashtag!D349="",ROW(UpdateHashtag!D349),UpdateHashtag!D349)</f>
        <v>SG</v>
      </c>
      <c r="S310" s="124">
        <f t="shared" si="1"/>
        <v>-7.72250105</v>
      </c>
      <c r="T310" s="124">
        <f>SUM(AE310:AM310)-IFERROR(IFS(Projections!$I$17,AN310,Projections!$J$17,AO310),"")</f>
        <v>-7.943146269</v>
      </c>
      <c r="U310" s="124">
        <f t="shared" si="2"/>
        <v>-0.2206452183</v>
      </c>
      <c r="V310" s="124">
        <f t="array" ref="V310">INDIRECT("Update"&amp;Projections!$AG$17&amp;"!M"&amp;ROW(B291))</f>
        <v>6.108356164</v>
      </c>
      <c r="W310" s="124">
        <f t="array" ref="W310">INDIRECT("Update"&amp;Projections!$AG$17&amp;"!L"&amp;ROW(B291))</f>
        <v>0.3224657534</v>
      </c>
      <c r="X310" s="124">
        <f t="array" ref="X310">INDIRECT("Update"&amp;Projections!$AG$17&amp;"!N"&amp;ROW(B291))</f>
        <v>4.466027397</v>
      </c>
      <c r="Y310" s="124">
        <f t="array" ref="Y310">INDIRECT("Update"&amp;Projections!$AG$17&amp;"!O"&amp;ROW(B291))</f>
        <v>0.721369863</v>
      </c>
      <c r="Z310" s="124">
        <f t="array" ref="Z310">INDIRECT("Update"&amp;Projections!$AG$17&amp;"!P"&amp;ROW(B291))</f>
        <v>0.3435616438</v>
      </c>
      <c r="AA310" s="124">
        <f t="array" ref="AA310">INDIRECT("Update"&amp;Projections!$AG$17&amp;"!Q"&amp;ROW(B291))</f>
        <v>0.8245205479</v>
      </c>
      <c r="AB310" s="180">
        <f t="array" ref="AB310">INDIRECT("Update"&amp;Projections!$AG$17&amp;"!I"&amp;ROW(B291))</f>
        <v>0.4975584613</v>
      </c>
      <c r="AC310" s="180">
        <f t="array" ref="AC310">INDIRECT("Update"&amp;Projections!$AG$17&amp;"!K"&amp;ROW(B291))</f>
        <v>0.6849568434</v>
      </c>
      <c r="AD310" s="124">
        <f t="array" ref="AD310">INDIRECT("Update"&amp;Projections!$AG$17&amp;"!R"&amp;ROW(B291))</f>
        <v>0.8589041096</v>
      </c>
      <c r="AE310" s="124">
        <f t="shared" si="3"/>
        <v>-2.051365139</v>
      </c>
      <c r="AF310" s="124">
        <f t="shared" si="4"/>
        <v>-1.414689388</v>
      </c>
      <c r="AG310" s="124">
        <f t="shared" si="5"/>
        <v>-0.6338335117</v>
      </c>
      <c r="AH310" s="124">
        <f t="shared" si="6"/>
        <v>-1.458675982</v>
      </c>
      <c r="AI310" s="124">
        <f t="shared" si="7"/>
        <v>-2.092304275</v>
      </c>
      <c r="AJ310" s="124">
        <f t="shared" si="8"/>
        <v>0.1352966102</v>
      </c>
      <c r="AK310" s="124">
        <f t="shared" si="9"/>
        <v>0.001831321922</v>
      </c>
      <c r="AL310" s="124">
        <f t="shared" si="10"/>
        <v>-0.4294059048</v>
      </c>
      <c r="AM310" s="124">
        <f t="shared" si="11"/>
        <v>0</v>
      </c>
      <c r="AN310" s="183">
        <f t="shared" si="12"/>
        <v>-2.092304275</v>
      </c>
      <c r="AO310" s="183">
        <f t="shared" si="13"/>
        <v>-4.143669414</v>
      </c>
      <c r="AP310" s="183">
        <f t="array" ref="AP310">INDIRECT("Update"&amp;Projections!$AG$17&amp;"!S"&amp;ROW(B291))</f>
        <v>5.049589041</v>
      </c>
      <c r="AQ310" s="183">
        <f t="array" ref="AQ310">INDIRECT("Update"&amp;Projections!$AG$17&amp;"!T"&amp;ROW(B291))</f>
        <v>1.110958904</v>
      </c>
    </row>
    <row r="311">
      <c r="A311" s="40" t="str">
        <f>IF(UpdateHashtag!C309="",ROW(UpdateHashtag!C309),UpdateHashtag!C309)</f>
        <v>Josh Okogie</v>
      </c>
      <c r="B311" s="41">
        <f>IF(TYPE($A311)=1,"",(UpdateHashtag!M309-B$1)/B$2)</f>
        <v>-2.106948076</v>
      </c>
      <c r="C311" s="41">
        <f>IF(TYPE($A311)=1,"",(UpdateHashtag!L309-C$1)/C$2)</f>
        <v>-1.040202395</v>
      </c>
      <c r="D311" s="41">
        <f>IF(TYPE($A311)=1,"",(UpdateHashtag!N309-D$1)/D$2)</f>
        <v>-1.247570605</v>
      </c>
      <c r="E311" s="41">
        <f>IF(TYPE($A311)=1,"",(UpdateHashtag!O309-E$1)/E$2)</f>
        <v>-1.241311653</v>
      </c>
      <c r="F311" s="41">
        <f>IF(TYPE($A311)=1,"",(UpdateHashtag!P309-F$1)/F$2)</f>
        <v>-0.5822631548</v>
      </c>
      <c r="G311" s="41">
        <f>IF(TYPE($A311)=1,"",(UpdateHashtag!Q309-G$1)/G$2)</f>
        <v>-0.6218985413</v>
      </c>
      <c r="H311" s="41">
        <f>IF(TYPE($A311)=1,"",(UpdateHashtag!I309-H$1)/H$2*I311/$I$1)</f>
        <v>-0.5090111098</v>
      </c>
      <c r="I311" s="41">
        <f>UpdateHashtag!S309</f>
        <v>4.5</v>
      </c>
      <c r="J311" s="53">
        <f>IF(TYPE($A311)=1,"",(UpdateHashtag!K309-J$1)/J$2*K311/$K$1)</f>
        <v>-0.4793855279</v>
      </c>
      <c r="K311" s="55">
        <f>UpdateHashtag!T309</f>
        <v>2.1</v>
      </c>
      <c r="L311" s="41">
        <f>IF(TYPE($A311)=1,"",-(UpdateHashtag!R309-L$1)/L$2)</f>
        <v>1.040202395</v>
      </c>
      <c r="N311" s="112">
        <v>291.0</v>
      </c>
      <c r="O311" s="170" t="str">
        <f t="array" ref="O311">INDIRECT("Update"&amp;Projections!$AG$17&amp;"!B"&amp;ROW(B292))</f>
        <v/>
      </c>
      <c r="P311" s="172" t="str">
        <f t="array" ref="P311">INDIRECT("Update"&amp;Projections!$AG$17&amp;"!C"&amp;ROW(B292))</f>
        <v>Pat Connaughton</v>
      </c>
      <c r="Q311" s="170">
        <f>UpdateHashtag!F355</f>
        <v>22</v>
      </c>
      <c r="R311" s="177" t="str">
        <f>IF(UpdateHashtag!D355="",ROW(UpdateHashtag!D355),UpdateHashtag!D355)</f>
        <v>SF,PF</v>
      </c>
      <c r="S311" s="124">
        <f t="shared" si="1"/>
        <v>-7.519090926</v>
      </c>
      <c r="T311" s="124">
        <f>SUM(AE311:AM311)-IFERROR(IFS(Projections!$I$17,AN311,Projections!$J$17,AO311),"")</f>
        <v>-7.801663738</v>
      </c>
      <c r="U311" s="124">
        <f t="shared" si="2"/>
        <v>-0.2825728117</v>
      </c>
      <c r="V311" s="124">
        <f t="array" ref="V311">INDIRECT("Update"&amp;Projections!$AG$17&amp;"!M"&amp;ROW(B292))</f>
        <v>5.657808219</v>
      </c>
      <c r="W311" s="124">
        <f t="array" ref="W311">INDIRECT("Update"&amp;Projections!$AG$17&amp;"!L"&amp;ROW(B292))</f>
        <v>1.109863014</v>
      </c>
      <c r="X311" s="124">
        <f t="array" ref="X311">INDIRECT("Update"&amp;Projections!$AG$17&amp;"!N"&amp;ROW(B292))</f>
        <v>2.728630137</v>
      </c>
      <c r="Y311" s="124">
        <f t="array" ref="Y311">INDIRECT("Update"&amp;Projections!$AG$17&amp;"!O"&amp;ROW(B292))</f>
        <v>1.861780822</v>
      </c>
      <c r="Z311" s="124">
        <f t="array" ref="Z311">INDIRECT("Update"&amp;Projections!$AG$17&amp;"!P"&amp;ROW(B292))</f>
        <v>0.5152054795</v>
      </c>
      <c r="AA311" s="124">
        <f t="array" ref="AA311">INDIRECT("Update"&amp;Projections!$AG$17&amp;"!Q"&amp;ROW(B292))</f>
        <v>0.2612328767</v>
      </c>
      <c r="AB311" s="180">
        <f t="array" ref="AB311">INDIRECT("Update"&amp;Projections!$AG$17&amp;"!I"&amp;ROW(B292))</f>
        <v>0.4360979324</v>
      </c>
      <c r="AC311" s="180">
        <f t="array" ref="AC311">INDIRECT("Update"&amp;Projections!$AG$17&amp;"!K"&amp;ROW(B292))</f>
        <v>0.7699932417</v>
      </c>
      <c r="AD311" s="124">
        <f t="array" ref="AD311">INDIRECT("Update"&amp;Projections!$AG$17&amp;"!R"&amp;ROW(B292))</f>
        <v>0.6091780822</v>
      </c>
      <c r="AE311" s="124">
        <f t="shared" si="3"/>
        <v>-2.132578946</v>
      </c>
      <c r="AF311" s="124">
        <f t="shared" si="4"/>
        <v>-0.6336475739</v>
      </c>
      <c r="AG311" s="124">
        <f t="shared" si="5"/>
        <v>-1.314731653</v>
      </c>
      <c r="AH311" s="124">
        <f t="shared" si="6"/>
        <v>-0.9407715627</v>
      </c>
      <c r="AI311" s="124">
        <f t="shared" si="7"/>
        <v>-1.524452677</v>
      </c>
      <c r="AJ311" s="124">
        <f t="shared" si="8"/>
        <v>-0.8694102188</v>
      </c>
      <c r="AK311" s="124">
        <f t="shared" si="9"/>
        <v>-0.3326936193</v>
      </c>
      <c r="AL311" s="124">
        <f t="shared" si="10"/>
        <v>-0.05337748634</v>
      </c>
      <c r="AM311" s="124">
        <f t="shared" si="11"/>
        <v>0</v>
      </c>
      <c r="AN311" s="183">
        <f t="shared" si="12"/>
        <v>-2.132578946</v>
      </c>
      <c r="AO311" s="183">
        <f t="shared" si="13"/>
        <v>-3.657031624</v>
      </c>
      <c r="AP311" s="183">
        <f t="array" ref="AP311">INDIRECT("Update"&amp;Projections!$AG$17&amp;"!S"&amp;ROW(B292))</f>
        <v>4.677534247</v>
      </c>
      <c r="AQ311" s="183">
        <f t="array" ref="AQ311">INDIRECT("Update"&amp;Projections!$AG$17&amp;"!T"&amp;ROW(B292))</f>
        <v>0.6080821918</v>
      </c>
    </row>
    <row r="312">
      <c r="A312" s="40" t="str">
        <f>IF(UpdateHashtag!C310="",ROW(UpdateHashtag!C310),UpdateHashtag!C310)</f>
        <v>Jaden Springer</v>
      </c>
      <c r="B312" s="41">
        <f>IF(TYPE($A312)=1,"",(UpdateHashtag!M310-B$1)/B$2)</f>
        <v>-2.395357098</v>
      </c>
      <c r="C312" s="41">
        <f>IF(TYPE($A312)=1,"",(UpdateHashtag!L310-C$1)/C$2)</f>
        <v>-1.43697381</v>
      </c>
      <c r="D312" s="41">
        <f>IF(TYPE($A312)=1,"",(UpdateHashtag!N310-D$1)/D$2)</f>
        <v>-1.639477601</v>
      </c>
      <c r="E312" s="41">
        <f>IF(TYPE($A312)=1,"",(UpdateHashtag!O310-E$1)/E$2)</f>
        <v>-1.286725494</v>
      </c>
      <c r="F312" s="41">
        <f>IF(TYPE($A312)=1,"",(UpdateHashtag!P310-F$1)/F$2)</f>
        <v>-0.2514318168</v>
      </c>
      <c r="G312" s="41">
        <f>IF(TYPE($A312)=1,"",(UpdateHashtag!Q310-G$1)/G$2)</f>
        <v>-0.6218985413</v>
      </c>
      <c r="H312" s="41">
        <f>IF(TYPE($A312)=1,"",(UpdateHashtag!I310-H$1)/H$2*I312/$I$1)</f>
        <v>-0.3591113838</v>
      </c>
      <c r="I312" s="41">
        <f>UpdateHashtag!S310</f>
        <v>3.8</v>
      </c>
      <c r="J312" s="53">
        <f>IF(TYPE($A312)=1,"",(UpdateHashtag!K310-J$1)/J$2*K312/$K$1)</f>
        <v>0.1019490834</v>
      </c>
      <c r="K312" s="55">
        <f>UpdateHashtag!T310</f>
        <v>1</v>
      </c>
      <c r="L312" s="41">
        <f>IF(TYPE($A312)=1,"",-(UpdateHashtag!R310-L$1)/L$2)</f>
        <v>0.9410095407</v>
      </c>
      <c r="N312" s="5">
        <v>292.0</v>
      </c>
      <c r="O312" s="170" t="str">
        <f t="array" ref="O312">INDIRECT("Update"&amp;Projections!$AG$17&amp;"!B"&amp;ROW(B293))</f>
        <v/>
      </c>
      <c r="P312" s="172" t="str">
        <f t="array" ref="P312">INDIRECT("Update"&amp;Projections!$AG$17&amp;"!C"&amp;ROW(B293))</f>
        <v>Christian Wood</v>
      </c>
      <c r="Q312" s="170">
        <f>UpdateHashtag!F364</f>
        <v>54</v>
      </c>
      <c r="R312" s="177" t="str">
        <f>IF(UpdateHashtag!D364="",ROW(UpdateHashtag!D364),UpdateHashtag!D364)</f>
        <v>SG,SF</v>
      </c>
      <c r="S312" s="124">
        <f t="shared" si="1"/>
        <v>-7.668114912</v>
      </c>
      <c r="T312" s="124">
        <f>SUM(AE312:AM312)-IFERROR(IFS(Projections!$I$17,AN312,Projections!$J$17,AO312),"")</f>
        <v>-7.927882102</v>
      </c>
      <c r="U312" s="124">
        <f t="shared" si="2"/>
        <v>-0.2597671905</v>
      </c>
      <c r="V312" s="124">
        <f t="array" ref="V312">INDIRECT("Update"&amp;Projections!$AG$17&amp;"!M"&amp;ROW(B293))</f>
        <v>6.757714286</v>
      </c>
      <c r="W312" s="124">
        <f t="array" ref="W312">INDIRECT("Update"&amp;Projections!$AG$17&amp;"!L"&amp;ROW(B293))</f>
        <v>0.6865714286</v>
      </c>
      <c r="X312" s="124">
        <f t="array" ref="X312">INDIRECT("Update"&amp;Projections!$AG$17&amp;"!N"&amp;ROW(B293))</f>
        <v>4.271142857</v>
      </c>
      <c r="Y312" s="124">
        <f t="array" ref="Y312">INDIRECT("Update"&amp;Projections!$AG$17&amp;"!O"&amp;ROW(B293))</f>
        <v>0.7968571429</v>
      </c>
      <c r="Z312" s="124">
        <f t="array" ref="Z312">INDIRECT("Update"&amp;Projections!$AG$17&amp;"!P"&amp;ROW(B293))</f>
        <v>0.2802857143</v>
      </c>
      <c r="AA312" s="124">
        <f t="array" ref="AA312">INDIRECT("Update"&amp;Projections!$AG$17&amp;"!Q"&amp;ROW(B293))</f>
        <v>0.6137142857</v>
      </c>
      <c r="AB312" s="180">
        <f t="array" ref="AB312">INDIRECT("Update"&amp;Projections!$AG$17&amp;"!I"&amp;ROW(B293))</f>
        <v>0.4850204267</v>
      </c>
      <c r="AC312" s="180">
        <f t="array" ref="AC312">INDIRECT("Update"&amp;Projections!$AG$17&amp;"!K"&amp;ROW(B293))</f>
        <v>0.7600658858</v>
      </c>
      <c r="AD312" s="124">
        <f t="array" ref="AD312">INDIRECT("Update"&amp;Projections!$AG$17&amp;"!R"&amp;ROW(B293))</f>
        <v>0.7011428571</v>
      </c>
      <c r="AE312" s="124">
        <f t="shared" si="3"/>
        <v>-1.934314676</v>
      </c>
      <c r="AF312" s="124">
        <f t="shared" si="4"/>
        <v>-1.053522578</v>
      </c>
      <c r="AG312" s="124">
        <f t="shared" si="5"/>
        <v>-0.7102101264</v>
      </c>
      <c r="AH312" s="124">
        <f t="shared" si="6"/>
        <v>-1.424394308</v>
      </c>
      <c r="AI312" s="124">
        <f t="shared" si="7"/>
        <v>-2.30164088</v>
      </c>
      <c r="AJ312" s="124">
        <f t="shared" si="8"/>
        <v>-0.2407075206</v>
      </c>
      <c r="AK312" s="124">
        <f t="shared" si="9"/>
        <v>-0.07160929187</v>
      </c>
      <c r="AL312" s="124">
        <f t="shared" si="10"/>
        <v>-0.1914827216</v>
      </c>
      <c r="AM312" s="124">
        <f t="shared" si="11"/>
        <v>0</v>
      </c>
      <c r="AN312" s="183">
        <f t="shared" si="12"/>
        <v>-2.30164088</v>
      </c>
      <c r="AO312" s="183">
        <f t="shared" si="13"/>
        <v>-4.235955555</v>
      </c>
      <c r="AP312" s="183">
        <f t="array" ref="AP312">INDIRECT("Update"&amp;Projections!$AG$17&amp;"!S"&amp;ROW(B293))</f>
        <v>5.035428571</v>
      </c>
      <c r="AQ312" s="183">
        <f t="array" ref="AQ312">INDIRECT("Update"&amp;Projections!$AG$17&amp;"!T"&amp;ROW(B293))</f>
        <v>1.561142857</v>
      </c>
    </row>
    <row r="313">
      <c r="A313" s="40" t="str">
        <f>IF(UpdateHashtag!C311="",ROW(UpdateHashtag!C311),UpdateHashtag!C311)</f>
        <v>Bol Bol</v>
      </c>
      <c r="B313" s="41">
        <f>IF(TYPE($A313)=1,"",(UpdateHashtag!M311-B$1)/B$2)</f>
        <v>-2.269178151</v>
      </c>
      <c r="C313" s="41">
        <f>IF(TYPE($A313)=1,"",(UpdateHashtag!L311-C$1)/C$2)</f>
        <v>-1.43697381</v>
      </c>
      <c r="D313" s="41">
        <f>IF(TYPE($A313)=1,"",(UpdateHashtag!N311-D$1)/D$2)</f>
        <v>-1.169189206</v>
      </c>
      <c r="E313" s="41">
        <f>IF(TYPE($A313)=1,"",(UpdateHashtag!O311-E$1)/E$2)</f>
        <v>-1.559208539</v>
      </c>
      <c r="F313" s="41">
        <f>IF(TYPE($A313)=1,"",(UpdateHashtag!P311-F$1)/F$2)</f>
        <v>-2.567251182</v>
      </c>
      <c r="G313" s="41">
        <f>IF(TYPE($A313)=1,"",(UpdateHashtag!Q311-G$1)/G$2)</f>
        <v>-0.2651689765</v>
      </c>
      <c r="H313" s="41">
        <f>IF(TYPE($A313)=1,"",(UpdateHashtag!I311-H$1)/H$2*I313/$I$1)</f>
        <v>0.2753342881</v>
      </c>
      <c r="I313" s="41">
        <f>UpdateHashtag!S311</f>
        <v>3.6</v>
      </c>
      <c r="J313" s="53">
        <f>IF(TYPE($A313)=1,"",(UpdateHashtag!K311-J$1)/J$2*K313/$K$1)</f>
        <v>-0.07618428057</v>
      </c>
      <c r="K313" s="55">
        <f>UpdateHashtag!T311</f>
        <v>0.7</v>
      </c>
      <c r="L313" s="41">
        <f>IF(TYPE($A313)=1,"",-(UpdateHashtag!R311-L$1)/L$2)</f>
        <v>1.040202395</v>
      </c>
      <c r="N313" s="5">
        <v>293.0</v>
      </c>
      <c r="O313" s="170">
        <f t="array" ref="O313">INDIRECT("Update"&amp;Projections!$AG$17&amp;"!B"&amp;ROW(B294))</f>
        <v>140.6</v>
      </c>
      <c r="P313" s="172" t="str">
        <f t="array" ref="P313">INDIRECT("Update"&amp;Projections!$AG$17&amp;"!C"&amp;ROW(B294))</f>
        <v>Tim Hardaway Jr.</v>
      </c>
      <c r="Q313" s="170">
        <f>UpdateHashtag!F342</f>
        <v>40</v>
      </c>
      <c r="R313" s="177" t="str">
        <f>IF(UpdateHashtag!D342="",ROW(UpdateHashtag!D342),UpdateHashtag!D342)</f>
        <v>SF,PF</v>
      </c>
      <c r="S313" s="124">
        <f t="shared" si="1"/>
        <v>-7.378315728</v>
      </c>
      <c r="T313" s="124">
        <f>SUM(AE313:AM313)-IFERROR(IFS(Projections!$I$17,AN313,Projections!$J$17,AO313),"")</f>
        <v>-7.639215581</v>
      </c>
      <c r="U313" s="124">
        <f t="shared" si="2"/>
        <v>-0.2608998525</v>
      </c>
      <c r="V313" s="124">
        <f t="array" ref="V313">INDIRECT("Update"&amp;Projections!$AG$17&amp;"!M"&amp;ROW(B294))</f>
        <v>9.585205479</v>
      </c>
      <c r="W313" s="124">
        <f t="array" ref="W313">INDIRECT("Update"&amp;Projections!$AG$17&amp;"!L"&amp;ROW(B294))</f>
        <v>1.84109589</v>
      </c>
      <c r="X313" s="124">
        <f t="array" ref="X313">INDIRECT("Update"&amp;Projections!$AG$17&amp;"!N"&amp;ROW(B294))</f>
        <v>2.382191781</v>
      </c>
      <c r="Y313" s="124">
        <f t="array" ref="Y313">INDIRECT("Update"&amp;Projections!$AG$17&amp;"!O"&amp;ROW(B294))</f>
        <v>1.352191781</v>
      </c>
      <c r="Z313" s="124">
        <f t="array" ref="Z313">INDIRECT("Update"&amp;Projections!$AG$17&amp;"!P"&amp;ROW(B294))</f>
        <v>0.4719178082</v>
      </c>
      <c r="AA313" s="124">
        <f t="array" ref="AA313">INDIRECT("Update"&amp;Projections!$AG$17&amp;"!Q"&amp;ROW(B294))</f>
        <v>0.08712328767</v>
      </c>
      <c r="AB313" s="180">
        <f t="array" ref="AB313">INDIRECT("Update"&amp;Projections!$AG$17&amp;"!I"&amp;ROW(B294))</f>
        <v>0.3951102781</v>
      </c>
      <c r="AC313" s="180">
        <f t="array" ref="AC313">INDIRECT("Update"&amp;Projections!$AG$17&amp;"!K"&amp;ROW(B294))</f>
        <v>0.8199753391</v>
      </c>
      <c r="AD313" s="124">
        <f t="array" ref="AD313">INDIRECT("Update"&amp;Projections!$AG$17&amp;"!R"&amp;ROW(B294))</f>
        <v>0.6965753425</v>
      </c>
      <c r="AE313" s="124">
        <f t="shared" si="3"/>
        <v>-1.424643445</v>
      </c>
      <c r="AF313" s="124">
        <f t="shared" si="4"/>
        <v>0.09168318447</v>
      </c>
      <c r="AG313" s="124">
        <f t="shared" si="5"/>
        <v>-1.450503269</v>
      </c>
      <c r="AH313" s="124">
        <f t="shared" si="6"/>
        <v>-1.172195519</v>
      </c>
      <c r="AI313" s="124">
        <f t="shared" si="7"/>
        <v>-1.667661859</v>
      </c>
      <c r="AJ313" s="124">
        <f t="shared" si="8"/>
        <v>-1.179960408</v>
      </c>
      <c r="AK313" s="124">
        <f t="shared" si="9"/>
        <v>-0.9725091927</v>
      </c>
      <c r="AL313" s="124">
        <f t="shared" si="10"/>
        <v>0.136574928</v>
      </c>
      <c r="AM313" s="124">
        <f t="shared" si="11"/>
        <v>0</v>
      </c>
      <c r="AN313" s="183">
        <f t="shared" si="12"/>
        <v>-1.667661859</v>
      </c>
      <c r="AO313" s="183">
        <f t="shared" si="13"/>
        <v>-3.118165128</v>
      </c>
      <c r="AP313" s="183">
        <f t="array" ref="AP313">INDIRECT("Update"&amp;Projections!$AG$17&amp;"!S"&amp;ROW(B294))</f>
        <v>8.186027397</v>
      </c>
      <c r="AQ313" s="183">
        <f t="array" ref="AQ313">INDIRECT("Update"&amp;Projections!$AG$17&amp;"!T"&amp;ROW(B294))</f>
        <v>1.555342466</v>
      </c>
    </row>
    <row r="314">
      <c r="A314" s="40" t="str">
        <f>IF(UpdateHashtag!C312="",ROW(UpdateHashtag!C312),UpdateHashtag!C312)</f>
        <v>Cameron Payne</v>
      </c>
      <c r="B314" s="41">
        <f>IF(TYPE($A314)=1,"",(UpdateHashtag!M312-B$1)/B$2)</f>
        <v>-1.944718001</v>
      </c>
      <c r="C314" s="41">
        <f>IF(TYPE($A314)=1,"",(UpdateHashtag!L312-C$1)/C$2)</f>
        <v>-0.643430979</v>
      </c>
      <c r="D314" s="41">
        <f>IF(TYPE($A314)=1,"",(UpdateHashtag!N312-D$1)/D$2)</f>
        <v>-1.8354311</v>
      </c>
      <c r="E314" s="41">
        <f>IF(TYPE($A314)=1,"",(UpdateHashtag!O312-E$1)/E$2)</f>
        <v>-0.6055178793</v>
      </c>
      <c r="F314" s="41">
        <f>IF(TYPE($A314)=1,"",(UpdateHashtag!P312-F$1)/F$2)</f>
        <v>-1.574757169</v>
      </c>
      <c r="G314" s="41">
        <f>IF(TYPE($A314)=1,"",(UpdateHashtag!Q312-G$1)/G$2)</f>
        <v>-1.156992888</v>
      </c>
      <c r="H314" s="41">
        <f>IF(TYPE($A314)=1,"",(UpdateHashtag!I312-H$1)/H$2*I314/$I$1)</f>
        <v>-0.5026664515</v>
      </c>
      <c r="I314" s="41">
        <f>UpdateHashtag!S312</f>
        <v>5.9</v>
      </c>
      <c r="J314" s="53">
        <f>IF(TYPE($A314)=1,"",(UpdateHashtag!K312-J$1)/J$2*K314/$K$1)</f>
        <v>0.06188611485</v>
      </c>
      <c r="K314" s="55">
        <f>UpdateHashtag!T312</f>
        <v>0.8</v>
      </c>
      <c r="L314" s="41">
        <f>IF(TYPE($A314)=1,"",-(UpdateHashtag!R312-L$1)/L$2)</f>
        <v>0.8418166868</v>
      </c>
      <c r="N314" s="112">
        <v>294.0</v>
      </c>
      <c r="O314" s="170" t="str">
        <f t="array" ref="O314">INDIRECT("Update"&amp;Projections!$AG$17&amp;"!B"&amp;ROW(B295))</f>
        <v>#N/A</v>
      </c>
      <c r="P314" s="172" t="str">
        <f t="array" ref="P314">INDIRECT("Update"&amp;Projections!$AG$17&amp;"!C"&amp;ROW(B295))</f>
        <v>Bruno Fernando</v>
      </c>
      <c r="Q314" s="170">
        <f>UpdateHashtag!F348</f>
        <v>50</v>
      </c>
      <c r="R314" s="177" t="str">
        <f>IF(UpdateHashtag!D348="",ROW(UpdateHashtag!D348),UpdateHashtag!D348)</f>
        <v>SG,SF</v>
      </c>
      <c r="S314" s="124">
        <f t="shared" si="1"/>
        <v>-7.929902063</v>
      </c>
      <c r="T314" s="124">
        <f>SUM(AE314:AM314)-IFERROR(IFS(Projections!$I$17,AN314,Projections!$J$17,AO314),"")</f>
        <v>-8.120893395</v>
      </c>
      <c r="U314" s="124">
        <f t="shared" si="2"/>
        <v>-0.1909913314</v>
      </c>
      <c r="V314" s="124">
        <f t="array" ref="V314">INDIRECT("Update"&amp;Projections!$AG$17&amp;"!M"&amp;ROW(B295))</f>
        <v>6.031212121</v>
      </c>
      <c r="W314" s="124">
        <f t="array" ref="W314">INDIRECT("Update"&amp;Projections!$AG$17&amp;"!L"&amp;ROW(B295))</f>
        <v>0.02424242424</v>
      </c>
      <c r="X314" s="124">
        <f t="array" ref="X314">INDIRECT("Update"&amp;Projections!$AG$17&amp;"!N"&amp;ROW(B295))</f>
        <v>4.166363636</v>
      </c>
      <c r="Y314" s="124">
        <f t="array" ref="Y314">INDIRECT("Update"&amp;Projections!$AG$17&amp;"!O"&amp;ROW(B295))</f>
        <v>1.005151515</v>
      </c>
      <c r="Z314" s="124">
        <f t="array" ref="Z314">INDIRECT("Update"&amp;Projections!$AG$17&amp;"!P"&amp;ROW(B295))</f>
        <v>0.3157575758</v>
      </c>
      <c r="AA314" s="124">
        <f t="array" ref="AA314">INDIRECT("Update"&amp;Projections!$AG$17&amp;"!Q"&amp;ROW(B295))</f>
        <v>0.8836363636</v>
      </c>
      <c r="AB314" s="180">
        <f t="array" ref="AB314">INDIRECT("Update"&amp;Projections!$AG$17&amp;"!I"&amp;ROW(B295))</f>
        <v>0.5879969992</v>
      </c>
      <c r="AC314" s="180">
        <f t="array" ref="AC314">INDIRECT("Update"&amp;Projections!$AG$17&amp;"!K"&amp;ROW(B295))</f>
        <v>0.6799475324</v>
      </c>
      <c r="AD314" s="124">
        <f t="array" ref="AD314">INDIRECT("Update"&amp;Projections!$AG$17&amp;"!R"&amp;ROW(B295))</f>
        <v>0.9784848485</v>
      </c>
      <c r="AE314" s="124">
        <f t="shared" si="3"/>
        <v>-2.065270787</v>
      </c>
      <c r="AF314" s="124">
        <f t="shared" si="4"/>
        <v>-1.710505619</v>
      </c>
      <c r="AG314" s="124">
        <f t="shared" si="5"/>
        <v>-0.7512738362</v>
      </c>
      <c r="AH314" s="124">
        <f t="shared" si="6"/>
        <v>-1.329799834</v>
      </c>
      <c r="AI314" s="124">
        <f t="shared" si="7"/>
        <v>-2.184288846</v>
      </c>
      <c r="AJ314" s="124">
        <f t="shared" si="8"/>
        <v>0.2407384062</v>
      </c>
      <c r="AK314" s="124">
        <f t="shared" si="9"/>
        <v>0.4263874941</v>
      </c>
      <c r="AL314" s="124">
        <f t="shared" si="10"/>
        <v>-0.7468803728</v>
      </c>
      <c r="AM314" s="124">
        <f t="shared" si="11"/>
        <v>0</v>
      </c>
      <c r="AN314" s="183">
        <f t="shared" si="12"/>
        <v>-2.184288846</v>
      </c>
      <c r="AO314" s="183">
        <f t="shared" si="13"/>
        <v>-4.249559633</v>
      </c>
      <c r="AP314" s="183">
        <f t="array" ref="AP314">INDIRECT("Update"&amp;Projections!$AG$17&amp;"!S"&amp;ROW(B295))</f>
        <v>4.039393939</v>
      </c>
      <c r="AQ314" s="183">
        <f t="array" ref="AQ314">INDIRECT("Update"&amp;Projections!$AG$17&amp;"!T"&amp;ROW(B295))</f>
        <v>1.848181818</v>
      </c>
    </row>
    <row r="315">
      <c r="A315" s="40" t="str">
        <f>IF(UpdateHashtag!C313="",ROW(UpdateHashtag!C313),UpdateHashtag!C313)</f>
        <v>Monte Morris</v>
      </c>
      <c r="B315" s="41">
        <f>IF(TYPE($A315)=1,"",(UpdateHashtag!M313-B$1)/B$2)</f>
        <v>-2.197075895</v>
      </c>
      <c r="C315" s="41">
        <f>IF(TYPE($A315)=1,"",(UpdateHashtag!L313-C$1)/C$2)</f>
        <v>-1.040202395</v>
      </c>
      <c r="D315" s="41">
        <f>IF(TYPE($A315)=1,"",(UpdateHashtag!N313-D$1)/D$2)</f>
        <v>-1.678668301</v>
      </c>
      <c r="E315" s="41">
        <f>IF(TYPE($A315)=1,"",(UpdateHashtag!O313-E$1)/E$2)</f>
        <v>-0.6055178793</v>
      </c>
      <c r="F315" s="41">
        <f>IF(TYPE($A315)=1,"",(UpdateHashtag!P313-F$1)/F$2)</f>
        <v>-1.905588506</v>
      </c>
      <c r="G315" s="41">
        <f>IF(TYPE($A315)=1,"",(UpdateHashtag!Q313-G$1)/G$2)</f>
        <v>-0.978628106</v>
      </c>
      <c r="H315" s="41">
        <f>IF(TYPE($A315)=1,"",(UpdateHashtag!I313-H$1)/H$2*I315/$I$1)</f>
        <v>-0.1752713803</v>
      </c>
      <c r="I315" s="41">
        <f>UpdateHashtag!S313</f>
        <v>4.4</v>
      </c>
      <c r="J315" s="53">
        <f>IF(TYPE($A315)=1,"",(UpdateHashtag!K313-J$1)/J$2*K315/$K$1)</f>
        <v>0.03165972224</v>
      </c>
      <c r="K315" s="55">
        <f>UpdateHashtag!T313</f>
        <v>0.6</v>
      </c>
      <c r="L315" s="41">
        <f>IF(TYPE($A315)=1,"",-(UpdateHashtag!R313-L$1)/L$2)</f>
        <v>1.337780956</v>
      </c>
      <c r="N315" s="112">
        <v>295.0</v>
      </c>
      <c r="O315" s="170" t="str">
        <f t="array" ref="O315">INDIRECT("Update"&amp;Projections!$AG$17&amp;"!B"&amp;ROW(B296))</f>
        <v/>
      </c>
      <c r="P315" s="172" t="str">
        <f t="array" ref="P315">INDIRECT("Update"&amp;Projections!$AG$17&amp;"!C"&amp;ROW(B296))</f>
        <v>John Konchar</v>
      </c>
      <c r="Q315" s="170">
        <f>UpdateHashtag!F350</f>
        <v>40</v>
      </c>
      <c r="R315" s="177" t="str">
        <f>IF(UpdateHashtag!D350="",ROW(UpdateHashtag!D350),UpdateHashtag!D350)</f>
        <v>PG,SG</v>
      </c>
      <c r="S315" s="124">
        <f t="shared" si="1"/>
        <v>-7.617771711</v>
      </c>
      <c r="T315" s="124">
        <f>SUM(AE315:AM315)-IFERROR(IFS(Projections!$I$17,AN315,Projections!$J$17,AO315),"")</f>
        <v>-7.935667939</v>
      </c>
      <c r="U315" s="124">
        <f t="shared" si="2"/>
        <v>-0.3178962272</v>
      </c>
      <c r="V315" s="124">
        <f t="array" ref="V315">INDIRECT("Update"&amp;Projections!$AG$17&amp;"!M"&amp;ROW(B296))</f>
        <v>2.847959184</v>
      </c>
      <c r="W315" s="124">
        <f t="array" ref="W315">INDIRECT("Update"&amp;Projections!$AG$17&amp;"!L"&amp;ROW(B296))</f>
        <v>0.4508163265</v>
      </c>
      <c r="X315" s="124">
        <f t="array" ref="X315">INDIRECT("Update"&amp;Projections!$AG$17&amp;"!N"&amp;ROW(B296))</f>
        <v>3.433265306</v>
      </c>
      <c r="Y315" s="124">
        <f t="array" ref="Y315">INDIRECT("Update"&amp;Projections!$AG$17&amp;"!O"&amp;ROW(B296))</f>
        <v>1.133265306</v>
      </c>
      <c r="Z315" s="124">
        <f t="array" ref="Z315">INDIRECT("Update"&amp;Projections!$AG$17&amp;"!P"&amp;ROW(B296))</f>
        <v>0.6687755102</v>
      </c>
      <c r="AA315" s="124">
        <f t="array" ref="AA315">INDIRECT("Update"&amp;Projections!$AG$17&amp;"!Q"&amp;ROW(B296))</f>
        <v>0.4667346939</v>
      </c>
      <c r="AB315" s="180">
        <f t="array" ref="AB315">INDIRECT("Update"&amp;Projections!$AG$17&amp;"!I"&amp;ROW(B296))</f>
        <v>0.4396431071</v>
      </c>
      <c r="AC315" s="180">
        <f t="array" ref="AC315">INDIRECT("Update"&amp;Projections!$AG$17&amp;"!K"&amp;ROW(B296))</f>
        <v>0.7799263352</v>
      </c>
      <c r="AD315" s="124">
        <f t="array" ref="AD315">INDIRECT("Update"&amp;Projections!$AG$17&amp;"!R"&amp;ROW(B296))</f>
        <v>0.4667346939</v>
      </c>
      <c r="AE315" s="124">
        <f t="shared" si="3"/>
        <v>-2.639070079</v>
      </c>
      <c r="AF315" s="124">
        <f t="shared" si="4"/>
        <v>-1.287374792</v>
      </c>
      <c r="AG315" s="124">
        <f t="shared" si="5"/>
        <v>-1.038580201</v>
      </c>
      <c r="AH315" s="124">
        <f t="shared" si="6"/>
        <v>-1.27161844</v>
      </c>
      <c r="AI315" s="124">
        <f t="shared" si="7"/>
        <v>-1.01639489</v>
      </c>
      <c r="AJ315" s="124">
        <f t="shared" si="8"/>
        <v>-0.5028673497</v>
      </c>
      <c r="AK315" s="124">
        <f t="shared" si="9"/>
        <v>-0.1563203363</v>
      </c>
      <c r="AL315" s="124">
        <f t="shared" si="10"/>
        <v>-0.02344185091</v>
      </c>
      <c r="AM315" s="124">
        <f t="shared" si="11"/>
        <v>0</v>
      </c>
      <c r="AN315" s="183">
        <f t="shared" si="12"/>
        <v>-2.639070079</v>
      </c>
      <c r="AO315" s="183">
        <f t="shared" si="13"/>
        <v>-3.926444871</v>
      </c>
      <c r="AP315" s="183">
        <f t="array" ref="AP315">INDIRECT("Update"&amp;Projections!$AG$17&amp;"!S"&amp;ROW(B296))</f>
        <v>2.333061224</v>
      </c>
      <c r="AQ315" s="183">
        <f t="array" ref="AQ315">INDIRECT("Update"&amp;Projections!$AG$17&amp;"!T"&amp;ROW(B296))</f>
        <v>0.4432653061</v>
      </c>
    </row>
    <row r="316">
      <c r="A316" s="40" t="str">
        <f>IF(UpdateHashtag!C314="",ROW(UpdateHashtag!C314),UpdateHashtag!C314)</f>
        <v>Amir Coffey</v>
      </c>
      <c r="B316" s="41">
        <f>IF(TYPE($A316)=1,"",(UpdateHashtag!M314-B$1)/B$2)</f>
        <v>-1.998794693</v>
      </c>
      <c r="C316" s="41">
        <f>IF(TYPE($A316)=1,"",(UpdateHashtag!L314-C$1)/C$2)</f>
        <v>-0.9410095407</v>
      </c>
      <c r="D316" s="41">
        <f>IF(TYPE($A316)=1,"",(UpdateHashtag!N314-D$1)/D$2)</f>
        <v>-1.600286902</v>
      </c>
      <c r="E316" s="41">
        <f>IF(TYPE($A316)=1,"",(UpdateHashtag!O314-E$1)/E$2)</f>
        <v>-1.195897812</v>
      </c>
      <c r="F316" s="41">
        <f>IF(TYPE($A316)=1,"",(UpdateHashtag!P314-F$1)/F$2)</f>
        <v>-1.574757169</v>
      </c>
      <c r="G316" s="41">
        <f>IF(TYPE($A316)=1,"",(UpdateHashtag!Q314-G$1)/G$2)</f>
        <v>-0.978628106</v>
      </c>
      <c r="H316" s="41">
        <f>IF(TYPE($A316)=1,"",(UpdateHashtag!I314-H$1)/H$2*I316/$I$1)</f>
        <v>-0.2922249442</v>
      </c>
      <c r="I316" s="41">
        <f>UpdateHashtag!S314</f>
        <v>5</v>
      </c>
      <c r="J316" s="53">
        <f>IF(TYPE($A316)=1,"",(UpdateHashtag!K314-J$1)/J$2*K316/$K$1)</f>
        <v>0.1328921408</v>
      </c>
      <c r="K316" s="55">
        <f>UpdateHashtag!T314</f>
        <v>1.4</v>
      </c>
      <c r="L316" s="41">
        <f>IF(TYPE($A316)=1,"",-(UpdateHashtag!R314-L$1)/L$2)</f>
        <v>1.238588102</v>
      </c>
      <c r="N316" s="5">
        <v>296.0</v>
      </c>
      <c r="O316" s="170">
        <f t="array" ref="O316">INDIRECT("Update"&amp;Projections!$AG$17&amp;"!B"&amp;ROW(B297))</f>
        <v>141.7</v>
      </c>
      <c r="P316" s="172" t="str">
        <f t="array" ref="P316">INDIRECT("Update"&amp;Projections!$AG$17&amp;"!C"&amp;ROW(B297))</f>
        <v>Stephon Castle</v>
      </c>
      <c r="Q316" s="170">
        <f>UpdateHashtag!F367</f>
        <v>22</v>
      </c>
      <c r="R316" s="177" t="str">
        <f>IF(UpdateHashtag!D367="",ROW(UpdateHashtag!D367),UpdateHashtag!D367)</f>
        <v>PG</v>
      </c>
      <c r="S316" s="124">
        <f t="shared" si="1"/>
        <v>-7.719638761</v>
      </c>
      <c r="T316" s="124">
        <f>SUM(AE316:AM316)-IFERROR(IFS(Projections!$I$17,AN316,Projections!$J$17,AO316),"")</f>
        <v>-7.812284434</v>
      </c>
      <c r="U316" s="124">
        <f t="shared" si="2"/>
        <v>-0.09264567265</v>
      </c>
      <c r="V316" s="124">
        <f t="array" ref="V316">INDIRECT("Update"&amp;Projections!$AG$17&amp;"!M"&amp;ROW(B297))</f>
        <v>7.142191781</v>
      </c>
      <c r="W316" s="124">
        <f t="array" ref="W316">INDIRECT("Update"&amp;Projections!$AG$17&amp;"!L"&amp;ROW(B297))</f>
        <v>0.6167123288</v>
      </c>
      <c r="X316" s="124">
        <f t="array" ref="X316">INDIRECT("Update"&amp;Projections!$AG$17&amp;"!N"&amp;ROW(B297))</f>
        <v>3.208356164</v>
      </c>
      <c r="Y316" s="124">
        <f t="array" ref="Y316">INDIRECT("Update"&amp;Projections!$AG$17&amp;"!O"&amp;ROW(B297))</f>
        <v>2.108356164</v>
      </c>
      <c r="Z316" s="124">
        <f t="array" ref="Z316">INDIRECT("Update"&amp;Projections!$AG$17&amp;"!P"&amp;ROW(B297))</f>
        <v>0.6416438356</v>
      </c>
      <c r="AA316" s="124">
        <f t="array" ref="AA316">INDIRECT("Update"&amp;Projections!$AG$17&amp;"!Q"&amp;ROW(B297))</f>
        <v>0.3208219178</v>
      </c>
      <c r="AB316" s="180">
        <f t="array" ref="AB316">INDIRECT("Update"&amp;Projections!$AG$17&amp;"!I"&amp;ROW(B297))</f>
        <v>0.4022121465</v>
      </c>
      <c r="AC316" s="180">
        <f t="array" ref="AC316">INDIRECT("Update"&amp;Projections!$AG$17&amp;"!K"&amp;ROW(B297))</f>
        <v>0.746025878</v>
      </c>
      <c r="AD316" s="124">
        <f t="array" ref="AD316">INDIRECT("Update"&amp;Projections!$AG$17&amp;"!R"&amp;ROW(B297))</f>
        <v>1.375068493</v>
      </c>
      <c r="AE316" s="124">
        <f t="shared" si="3"/>
        <v>-1.865010439</v>
      </c>
      <c r="AF316" s="124">
        <f t="shared" si="4"/>
        <v>-1.122817813</v>
      </c>
      <c r="AG316" s="124">
        <f t="shared" si="5"/>
        <v>-1.126723667</v>
      </c>
      <c r="AH316" s="124">
        <f t="shared" si="6"/>
        <v>-0.828792229</v>
      </c>
      <c r="AI316" s="124">
        <f t="shared" si="7"/>
        <v>-1.106154972</v>
      </c>
      <c r="AJ316" s="124">
        <f t="shared" si="8"/>
        <v>-0.7631243553</v>
      </c>
      <c r="AK316" s="124">
        <f t="shared" si="9"/>
        <v>-0.7447552368</v>
      </c>
      <c r="AL316" s="124">
        <f t="shared" si="10"/>
        <v>-0.2549057217</v>
      </c>
      <c r="AM316" s="124">
        <f t="shared" si="11"/>
        <v>0</v>
      </c>
      <c r="AN316" s="183">
        <f t="shared" si="12"/>
        <v>-1.865010439</v>
      </c>
      <c r="AO316" s="183">
        <f t="shared" si="13"/>
        <v>-2.991734106</v>
      </c>
      <c r="AP316" s="183">
        <f t="array" ref="AP316">INDIRECT("Update"&amp;Projections!$AG$17&amp;"!S"&amp;ROW(B297))</f>
        <v>6.73739726</v>
      </c>
      <c r="AQ316" s="183">
        <f t="array" ref="AQ316">INDIRECT("Update"&amp;Projections!$AG$17&amp;"!T"&amp;ROW(B297))</f>
        <v>1.482191781</v>
      </c>
    </row>
    <row r="317">
      <c r="A317" s="40" t="str">
        <f>IF(UpdateHashtag!C315="",ROW(UpdateHashtag!C315),UpdateHashtag!C315)</f>
        <v>Anthony Black</v>
      </c>
      <c r="B317" s="41">
        <f>IF(TYPE($A317)=1,"",(UpdateHashtag!M315-B$1)/B$2)</f>
        <v>-2.052871384</v>
      </c>
      <c r="C317" s="41">
        <f>IF(TYPE($A317)=1,"",(UpdateHashtag!L315-C$1)/C$2)</f>
        <v>-1.040202395</v>
      </c>
      <c r="D317" s="41">
        <f>IF(TYPE($A317)=1,"",(UpdateHashtag!N315-D$1)/D$2)</f>
        <v>-1.325952004</v>
      </c>
      <c r="E317" s="41">
        <f>IF(TYPE($A317)=1,"",(UpdateHashtag!O315-E$1)/E$2)</f>
        <v>-1.014242448</v>
      </c>
      <c r="F317" s="41">
        <f>IF(TYPE($A317)=1,"",(UpdateHashtag!P315-F$1)/F$2)</f>
        <v>-0.9130944927</v>
      </c>
      <c r="G317" s="41">
        <f>IF(TYPE($A317)=1,"",(UpdateHashtag!Q315-G$1)/G$2)</f>
        <v>-0.6218985413</v>
      </c>
      <c r="H317" s="41">
        <f>IF(TYPE($A317)=1,"",(UpdateHashtag!I315-H$1)/H$2*I317/$I$1)</f>
        <v>-0.1708211244</v>
      </c>
      <c r="I317" s="41">
        <f>UpdateHashtag!S315</f>
        <v>4.7</v>
      </c>
      <c r="J317" s="53">
        <f>IF(TYPE($A317)=1,"",(UpdateHashtag!K315-J$1)/J$2*K317/$K$1)</f>
        <v>-0.848299282</v>
      </c>
      <c r="K317" s="55">
        <f>UpdateHashtag!T315</f>
        <v>1.5</v>
      </c>
      <c r="L317" s="41">
        <f>IF(TYPE($A317)=1,"",-(UpdateHashtag!R315-L$1)/L$2)</f>
        <v>0.643430979</v>
      </c>
      <c r="N317" s="5">
        <v>297.0</v>
      </c>
      <c r="O317" s="170" t="str">
        <f t="array" ref="O317">INDIRECT("Update"&amp;Projections!$AG$17&amp;"!B"&amp;ROW(B298))</f>
        <v/>
      </c>
      <c r="P317" s="172" t="str">
        <f t="array" ref="P317">INDIRECT("Update"&amp;Projections!$AG$17&amp;"!C"&amp;ROW(B298))</f>
        <v>Alec Burks</v>
      </c>
      <c r="Q317" s="170">
        <f>UpdateHashtag!F353</f>
        <v>68</v>
      </c>
      <c r="R317" s="177" t="str">
        <f>IF(UpdateHashtag!D353="",ROW(UpdateHashtag!D353),UpdateHashtag!D353)</f>
        <v>PF,C</v>
      </c>
      <c r="S317" s="124">
        <f t="shared" si="1"/>
        <v>-7.661323946</v>
      </c>
      <c r="T317" s="124">
        <f>SUM(AE317:AM317)-IFERROR(IFS(Projections!$I$17,AN317,Projections!$J$17,AO317),"")</f>
        <v>-7.890486182</v>
      </c>
      <c r="U317" s="124">
        <f t="shared" si="2"/>
        <v>-0.2291622357</v>
      </c>
      <c r="V317" s="124">
        <f t="array" ref="V317">INDIRECT("Update"&amp;Projections!$AG$17&amp;"!M"&amp;ROW(B298))</f>
        <v>7.602794118</v>
      </c>
      <c r="W317" s="124">
        <f t="array" ref="W317">INDIRECT("Update"&amp;Projections!$AG$17&amp;"!L"&amp;ROW(B298))</f>
        <v>1.285294118</v>
      </c>
      <c r="X317" s="124">
        <f t="array" ref="X317">INDIRECT("Update"&amp;Projections!$AG$17&amp;"!N"&amp;ROW(B298))</f>
        <v>2.13</v>
      </c>
      <c r="Y317" s="124">
        <f t="array" ref="Y317">INDIRECT("Update"&amp;Projections!$AG$17&amp;"!O"&amp;ROW(B298))</f>
        <v>1.786470588</v>
      </c>
      <c r="Z317" s="124">
        <f t="array" ref="Z317">INDIRECT("Update"&amp;Projections!$AG$17&amp;"!P"&amp;ROW(B298))</f>
        <v>0.4422058824</v>
      </c>
      <c r="AA317" s="124">
        <f t="array" ref="AA317">INDIRECT("Update"&amp;Projections!$AG$17&amp;"!Q"&amp;ROW(B298))</f>
        <v>0.1382352941</v>
      </c>
      <c r="AB317" s="180">
        <f t="array" ref="AB317">INDIRECT("Update"&amp;Projections!$AG$17&amp;"!I"&amp;ROW(B298))</f>
        <v>0.4045592554</v>
      </c>
      <c r="AC317" s="180">
        <f t="array" ref="AC317">INDIRECT("Update"&amp;Projections!$AG$17&amp;"!K"&amp;ROW(B298))</f>
        <v>0.8530252307</v>
      </c>
      <c r="AD317" s="124">
        <f t="array" ref="AD317">INDIRECT("Update"&amp;Projections!$AG$17&amp;"!R"&amp;ROW(B298))</f>
        <v>0.8245588235</v>
      </c>
      <c r="AE317" s="124">
        <f t="shared" si="3"/>
        <v>-1.781984271</v>
      </c>
      <c r="AF317" s="124">
        <f t="shared" si="4"/>
        <v>-0.4596324552</v>
      </c>
      <c r="AG317" s="124">
        <f t="shared" si="5"/>
        <v>-1.549338992</v>
      </c>
      <c r="AH317" s="124">
        <f t="shared" si="6"/>
        <v>-0.9749728325</v>
      </c>
      <c r="AI317" s="124">
        <f t="shared" si="7"/>
        <v>-1.765958221</v>
      </c>
      <c r="AJ317" s="124">
        <f t="shared" si="8"/>
        <v>-1.088794589</v>
      </c>
      <c r="AK317" s="124">
        <f t="shared" si="9"/>
        <v>-0.6370645118</v>
      </c>
      <c r="AL317" s="124">
        <f t="shared" si="10"/>
        <v>0.3672596907</v>
      </c>
      <c r="AM317" s="124">
        <f t="shared" si="11"/>
        <v>0</v>
      </c>
      <c r="AN317" s="183">
        <f t="shared" si="12"/>
        <v>-1.781984271</v>
      </c>
      <c r="AO317" s="183">
        <f t="shared" si="13"/>
        <v>-3.547942492</v>
      </c>
      <c r="AP317" s="183">
        <f t="array" ref="AP317">INDIRECT("Update"&amp;Projections!$AG$17&amp;"!S"&amp;ROW(B298))</f>
        <v>5.909117647</v>
      </c>
      <c r="AQ317" s="183">
        <f t="array" ref="AQ317">INDIRECT("Update"&amp;Projections!$AG$17&amp;"!T"&amp;ROW(B298))</f>
        <v>1.801029412</v>
      </c>
    </row>
    <row r="318">
      <c r="A318" s="40" t="str">
        <f>IF(UpdateHashtag!C316="",ROW(UpdateHashtag!C316),UpdateHashtag!C316)</f>
        <v>Cam Reddish</v>
      </c>
      <c r="B318" s="41">
        <f>IF(TYPE($A318)=1,"",(UpdateHashtag!M316-B$1)/B$2)</f>
        <v>-2.106948076</v>
      </c>
      <c r="C318" s="41">
        <f>IF(TYPE($A318)=1,"",(UpdateHashtag!L316-C$1)/C$2)</f>
        <v>-1.040202395</v>
      </c>
      <c r="D318" s="41">
        <f>IF(TYPE($A318)=1,"",(UpdateHashtag!N316-D$1)/D$2)</f>
        <v>-1.717859001</v>
      </c>
      <c r="E318" s="41">
        <f>IF(TYPE($A318)=1,"",(UpdateHashtag!O316-E$1)/E$2)</f>
        <v>-1.377553175</v>
      </c>
      <c r="F318" s="41">
        <f>IF(TYPE($A318)=1,"",(UpdateHashtag!P316-F$1)/F$2)</f>
        <v>-0.5822631548</v>
      </c>
      <c r="G318" s="41">
        <f>IF(TYPE($A318)=1,"",(UpdateHashtag!Q316-G$1)/G$2)</f>
        <v>-0.8002633236</v>
      </c>
      <c r="H318" s="41">
        <f>IF(TYPE($A318)=1,"",(UpdateHashtag!I316-H$1)/H$2*I318/$I$1)</f>
        <v>-0.4345672221</v>
      </c>
      <c r="I318" s="41">
        <f>UpdateHashtag!S316</f>
        <v>4.9</v>
      </c>
      <c r="J318" s="53">
        <f>IF(TYPE($A318)=1,"",(UpdateHashtag!K316-J$1)/J$2*K318/$K$1)</f>
        <v>0.06331944448</v>
      </c>
      <c r="K318" s="55">
        <f>UpdateHashtag!T316</f>
        <v>1.2</v>
      </c>
      <c r="L318" s="41">
        <f>IF(TYPE($A318)=1,"",-(UpdateHashtag!R316-L$1)/L$2)</f>
        <v>1.040202395</v>
      </c>
      <c r="N318" s="112">
        <v>298.0</v>
      </c>
      <c r="O318" s="170" t="str">
        <f t="array" ref="O318">INDIRECT("Update"&amp;Projections!$AG$17&amp;"!B"&amp;ROW(B299))</f>
        <v/>
      </c>
      <c r="P318" s="172" t="str">
        <f t="array" ref="P318">INDIRECT("Update"&amp;Projections!$AG$17&amp;"!C"&amp;ROW(B299))</f>
        <v>Charles Bassey</v>
      </c>
      <c r="Q318" s="170">
        <f>UpdateHashtag!F345</f>
        <v>64</v>
      </c>
      <c r="R318" s="177" t="str">
        <f>IF(UpdateHashtag!D345="",ROW(UpdateHashtag!D345),UpdateHashtag!D345)</f>
        <v>PG,SG</v>
      </c>
      <c r="S318" s="124">
        <f t="shared" si="1"/>
        <v>-8.024712178</v>
      </c>
      <c r="T318" s="124">
        <f>SUM(AE318:AM318)-IFERROR(IFS(Projections!$I$17,AN318,Projections!$J$17,AO318),"")</f>
        <v>-8.281647103</v>
      </c>
      <c r="U318" s="124">
        <f t="shared" si="2"/>
        <v>-0.2569349257</v>
      </c>
      <c r="V318" s="124">
        <f t="array" ref="V318">INDIRECT("Update"&amp;Projections!$AG$17&amp;"!M"&amp;ROW(B299))</f>
        <v>3.291794872</v>
      </c>
      <c r="W318" s="124">
        <f t="array" ref="W318">INDIRECT("Update"&amp;Projections!$AG$17&amp;"!L"&amp;ROW(B299))</f>
        <v>0.01487179487</v>
      </c>
      <c r="X318" s="124">
        <f t="array" ref="X318">INDIRECT("Update"&amp;Projections!$AG$17&amp;"!N"&amp;ROW(B299))</f>
        <v>3.687435897</v>
      </c>
      <c r="Y318" s="124">
        <f t="array" ref="Y318">INDIRECT("Update"&amp;Projections!$AG$17&amp;"!O"&amp;ROW(B299))</f>
        <v>0.8220512821</v>
      </c>
      <c r="Z318" s="124">
        <f t="array" ref="Z318">INDIRECT("Update"&amp;Projections!$AG$17&amp;"!P"&amp;ROW(B299))</f>
        <v>0.3084615385</v>
      </c>
      <c r="AA318" s="124">
        <f t="array" ref="AA318">INDIRECT("Update"&amp;Projections!$AG$17&amp;"!Q"&amp;ROW(B299))</f>
        <v>0.8541025641</v>
      </c>
      <c r="AB318" s="180">
        <f t="array" ref="AB318">INDIRECT("Update"&amp;Projections!$AG$17&amp;"!I"&amp;ROW(B299))</f>
        <v>0.6704097479</v>
      </c>
      <c r="AC318" s="180">
        <f t="array" ref="AC318">INDIRECT("Update"&amp;Projections!$AG$17&amp;"!K"&amp;ROW(B299))</f>
        <v>0.7608801956</v>
      </c>
      <c r="AD318" s="124">
        <f t="array" ref="AD318">INDIRECT("Update"&amp;Projections!$AG$17&amp;"!R"&amp;ROW(B299))</f>
        <v>0.7125641026</v>
      </c>
      <c r="AE318" s="124">
        <f t="shared" si="3"/>
        <v>-2.559066193</v>
      </c>
      <c r="AF318" s="124">
        <f t="shared" si="4"/>
        <v>-1.719800614</v>
      </c>
      <c r="AG318" s="124">
        <f t="shared" si="5"/>
        <v>-0.9389689678</v>
      </c>
      <c r="AH318" s="124">
        <f t="shared" si="6"/>
        <v>-1.412952682</v>
      </c>
      <c r="AI318" s="124">
        <f t="shared" si="7"/>
        <v>-2.208426423</v>
      </c>
      <c r="AJ318" s="124">
        <f t="shared" si="8"/>
        <v>0.188060509</v>
      </c>
      <c r="AK318" s="124">
        <f t="shared" si="9"/>
        <v>0.4323227238</v>
      </c>
      <c r="AL318" s="124">
        <f t="shared" si="10"/>
        <v>-0.06281545509</v>
      </c>
      <c r="AM318" s="124">
        <f t="shared" si="11"/>
        <v>0</v>
      </c>
      <c r="AN318" s="183">
        <f t="shared" si="12"/>
        <v>-2.559066193</v>
      </c>
      <c r="AO318" s="183">
        <f t="shared" si="13"/>
        <v>-4.767492617</v>
      </c>
      <c r="AP318" s="183">
        <f t="array" ref="AP318">INDIRECT("Update"&amp;Projections!$AG$17&amp;"!S"&amp;ROW(B299))</f>
        <v>2.146410256</v>
      </c>
      <c r="AQ318" s="183">
        <f t="array" ref="AQ318">INDIRECT("Update"&amp;Projections!$AG$17&amp;"!T"&amp;ROW(B299))</f>
        <v>0.5243589744</v>
      </c>
    </row>
    <row r="319">
      <c r="A319" s="40" t="str">
        <f>IF(UpdateHashtag!C317="",ROW(UpdateHashtag!C317),UpdateHashtag!C317)</f>
        <v>Sam Merrill</v>
      </c>
      <c r="B319" s="41">
        <f>IF(TYPE($A319)=1,"",(UpdateHashtag!M317-B$1)/B$2)</f>
        <v>-1.962743565</v>
      </c>
      <c r="C319" s="41">
        <f>IF(TYPE($A319)=1,"",(UpdateHashtag!L317-C$1)/C$2)</f>
        <v>0.1501118522</v>
      </c>
      <c r="D319" s="41">
        <f>IF(TYPE($A319)=1,"",(UpdateHashtag!N317-D$1)/D$2)</f>
        <v>-1.717859001</v>
      </c>
      <c r="E319" s="41">
        <f>IF(TYPE($A319)=1,"",(UpdateHashtag!O317-E$1)/E$2)</f>
        <v>-1.10507013</v>
      </c>
      <c r="F319" s="41">
        <f>IF(TYPE($A319)=1,"",(UpdateHashtag!P317-F$1)/F$2)</f>
        <v>-2.236419844</v>
      </c>
      <c r="G319" s="41">
        <f>IF(TYPE($A319)=1,"",(UpdateHashtag!Q317-G$1)/G$2)</f>
        <v>-1.156992888</v>
      </c>
      <c r="H319" s="41">
        <f>IF(TYPE($A319)=1,"",(UpdateHashtag!I317-H$1)/H$2*I319/$I$1)</f>
        <v>-0.5982511874</v>
      </c>
      <c r="I319" s="41">
        <f>UpdateHashtag!S317</f>
        <v>5.4</v>
      </c>
      <c r="J319" s="53">
        <f>IF(TYPE($A319)=1,"",(UpdateHashtag!K317-J$1)/J$2*K319/$K$1)</f>
        <v>0.1798969215</v>
      </c>
      <c r="K319" s="55">
        <f>UpdateHashtag!T317</f>
        <v>0.4</v>
      </c>
      <c r="L319" s="41">
        <f>IF(TYPE($A319)=1,"",-(UpdateHashtag!R317-L$1)/L$2)</f>
        <v>1.43697381</v>
      </c>
      <c r="N319" s="112">
        <v>299.0</v>
      </c>
      <c r="O319" s="170" t="str">
        <f t="array" ref="O319">INDIRECT("Update"&amp;Projections!$AG$17&amp;"!B"&amp;ROW(B300))</f>
        <v/>
      </c>
      <c r="P319" s="172" t="str">
        <f t="array" ref="P319">INDIRECT("Update"&amp;Projections!$AG$17&amp;"!C"&amp;ROW(B300))</f>
        <v>Tristan Vukcevic</v>
      </c>
      <c r="Q319" s="170">
        <f>UpdateHashtag!F357</f>
        <v>58</v>
      </c>
      <c r="R319" s="177" t="str">
        <f>IF(UpdateHashtag!D357="",ROW(UpdateHashtag!D357),UpdateHashtag!D357)</f>
        <v>PF,C</v>
      </c>
      <c r="S319" s="124">
        <f t="shared" si="1"/>
        <v>-7.813481656</v>
      </c>
      <c r="T319" s="124">
        <f>SUM(AE319:AM319)-IFERROR(IFS(Projections!$I$17,AN319,Projections!$J$17,AO319),"")</f>
        <v>-8.051359735</v>
      </c>
      <c r="U319" s="124">
        <f t="shared" si="2"/>
        <v>-0.2378780784</v>
      </c>
      <c r="V319" s="124">
        <f t="array" ref="V319">INDIRECT("Update"&amp;Projections!$AG$17&amp;"!M"&amp;ROW(B300))</f>
        <v>5.617058824</v>
      </c>
      <c r="W319" s="124">
        <f t="array" ref="W319">INDIRECT("Update"&amp;Projections!$AG$17&amp;"!L"&amp;ROW(B300))</f>
        <v>0.7805882353</v>
      </c>
      <c r="X319" s="124">
        <f t="array" ref="X319">INDIRECT("Update"&amp;Projections!$AG$17&amp;"!N"&amp;ROW(B300))</f>
        <v>2.972647059</v>
      </c>
      <c r="Y319" s="124">
        <f t="array" ref="Y319">INDIRECT("Update"&amp;Projections!$AG$17&amp;"!O"&amp;ROW(B300))</f>
        <v>1.031470588</v>
      </c>
      <c r="Z319" s="124">
        <f t="array" ref="Z319">INDIRECT("Update"&amp;Projections!$AG$17&amp;"!P"&amp;ROW(B300))</f>
        <v>0.455</v>
      </c>
      <c r="AA319" s="124">
        <f t="array" ref="AA319">INDIRECT("Update"&amp;Projections!$AG$17&amp;"!Q"&amp;ROW(B300))</f>
        <v>0.5458823529</v>
      </c>
      <c r="AB319" s="180">
        <f t="array" ref="AB319">INDIRECT("Update"&amp;Projections!$AG$17&amp;"!I"&amp;ROW(B300))</f>
        <v>0.4491514009</v>
      </c>
      <c r="AC319" s="180">
        <f t="array" ref="AC319">INDIRECT("Update"&amp;Projections!$AG$17&amp;"!K"&amp;ROW(B300))</f>
        <v>0.774563591</v>
      </c>
      <c r="AD319" s="124">
        <f t="array" ref="AD319">INDIRECT("Update"&amp;Projections!$AG$17&amp;"!R"&amp;ROW(B300))</f>
        <v>0.7894117647</v>
      </c>
      <c r="AE319" s="124">
        <f t="shared" si="3"/>
        <v>-2.139924255</v>
      </c>
      <c r="AF319" s="124">
        <f t="shared" si="4"/>
        <v>-0.9602646241</v>
      </c>
      <c r="AG319" s="124">
        <f t="shared" si="5"/>
        <v>-1.219099714</v>
      </c>
      <c r="AH319" s="124">
        <f t="shared" si="6"/>
        <v>-1.317847332</v>
      </c>
      <c r="AI319" s="124">
        <f t="shared" si="7"/>
        <v>-1.723631271</v>
      </c>
      <c r="AJ319" s="124">
        <f t="shared" si="8"/>
        <v>-0.3616958</v>
      </c>
      <c r="AK319" s="124">
        <f t="shared" si="9"/>
        <v>-0.2443044595</v>
      </c>
      <c r="AL319" s="124">
        <f t="shared" si="10"/>
        <v>-0.08459227995</v>
      </c>
      <c r="AM319" s="124">
        <f t="shared" si="11"/>
        <v>0</v>
      </c>
      <c r="AN319" s="183">
        <f t="shared" si="12"/>
        <v>-2.139924255</v>
      </c>
      <c r="AO319" s="183">
        <f t="shared" si="13"/>
        <v>-3.863555525</v>
      </c>
      <c r="AP319" s="183">
        <f t="array" ref="AP319">INDIRECT("Update"&amp;Projections!$AG$17&amp;"!S"&amp;ROW(B300))</f>
        <v>4.367058824</v>
      </c>
      <c r="AQ319" s="183">
        <f t="array" ref="AQ319">INDIRECT("Update"&amp;Projections!$AG$17&amp;"!T"&amp;ROW(B300))</f>
        <v>1.179411765</v>
      </c>
    </row>
    <row r="320">
      <c r="A320" s="40" t="str">
        <f>IF(UpdateHashtag!C318="",ROW(UpdateHashtag!C318),UpdateHashtag!C318)</f>
        <v>Ochai Agbaji</v>
      </c>
      <c r="B320" s="41">
        <f>IF(TYPE($A320)=1,"",(UpdateHashtag!M318-B$1)/B$2)</f>
        <v>-1.944718001</v>
      </c>
      <c r="C320" s="41">
        <f>IF(TYPE($A320)=1,"",(UpdateHashtag!L318-C$1)/C$2)</f>
        <v>-0.7426238329</v>
      </c>
      <c r="D320" s="41">
        <f>IF(TYPE($A320)=1,"",(UpdateHashtag!N318-D$1)/D$2)</f>
        <v>-1.404333404</v>
      </c>
      <c r="E320" s="41">
        <f>IF(TYPE($A320)=1,"",(UpdateHashtag!O318-E$1)/E$2)</f>
        <v>-1.286725494</v>
      </c>
      <c r="F320" s="41">
        <f>IF(TYPE($A320)=1,"",(UpdateHashtag!P318-F$1)/F$2)</f>
        <v>-1.574757169</v>
      </c>
      <c r="G320" s="41">
        <f>IF(TYPE($A320)=1,"",(UpdateHashtag!Q318-G$1)/G$2)</f>
        <v>-0.6218985413</v>
      </c>
      <c r="H320" s="41">
        <f>IF(TYPE($A320)=1,"",(UpdateHashtag!I318-H$1)/H$2*I320/$I$1)</f>
        <v>-0.5530600363</v>
      </c>
      <c r="I320" s="41">
        <f>UpdateHashtag!S318</f>
        <v>6</v>
      </c>
      <c r="J320" s="53">
        <f>IF(TYPE($A320)=1,"",(UpdateHashtag!K318-J$1)/J$2*K320/$K$1)</f>
        <v>-0.1517010792</v>
      </c>
      <c r="K320" s="55">
        <f>UpdateHashtag!T318</f>
        <v>0.9</v>
      </c>
      <c r="L320" s="41">
        <f>IF(TYPE($A320)=1,"",-(UpdateHashtag!R318-L$1)/L$2)</f>
        <v>0.9410095407</v>
      </c>
      <c r="N320" s="5">
        <v>300.0</v>
      </c>
      <c r="O320" s="170" t="str">
        <f t="array" ref="O320">INDIRECT("Update"&amp;Projections!$AG$17&amp;"!B"&amp;ROW(B301))</f>
        <v/>
      </c>
      <c r="P320" s="172" t="str">
        <f t="array" ref="P320">INDIRECT("Update"&amp;Projections!$AG$17&amp;"!C"&amp;ROW(B301))</f>
        <v>Jaxson Hayes</v>
      </c>
      <c r="Q320" s="170">
        <f>UpdateHashtag!F352</f>
        <v>54</v>
      </c>
      <c r="R320" s="177" t="str">
        <f>IF(UpdateHashtag!D352="",ROW(UpdateHashtag!D352),UpdateHashtag!D352)</f>
        <v>C</v>
      </c>
      <c r="S320" s="124">
        <f t="shared" si="1"/>
        <v>-7.999624016</v>
      </c>
      <c r="T320" s="124">
        <f>SUM(AE320:AM320)-IFERROR(IFS(Projections!$I$17,AN320,Projections!$J$17,AO320),"")</f>
        <v>-8.258044047</v>
      </c>
      <c r="U320" s="124">
        <f t="shared" si="2"/>
        <v>-0.2584200312</v>
      </c>
      <c r="V320" s="124">
        <f t="array" ref="V320">INDIRECT("Update"&amp;Projections!$AG$17&amp;"!M"&amp;ROW(B301))</f>
        <v>4.800684932</v>
      </c>
      <c r="W320" s="124">
        <f t="array" ref="W320">INDIRECT("Update"&amp;Projections!$AG$17&amp;"!L"&amp;ROW(B301))</f>
        <v>0.05808219178</v>
      </c>
      <c r="X320" s="124">
        <f t="array" ref="X320">INDIRECT("Update"&amp;Projections!$AG$17&amp;"!N"&amp;ROW(B301))</f>
        <v>3.50630137</v>
      </c>
      <c r="Y320" s="124">
        <f t="array" ref="Y320">INDIRECT("Update"&amp;Projections!$AG$17&amp;"!O"&amp;ROW(B301))</f>
        <v>0.5780821918</v>
      </c>
      <c r="Z320" s="124">
        <f t="array" ref="Z320">INDIRECT("Update"&amp;Projections!$AG$17&amp;"!P"&amp;ROW(B301))</f>
        <v>0.5419178082</v>
      </c>
      <c r="AA320" s="124">
        <f t="array" ref="AA320">INDIRECT("Update"&amp;Projections!$AG$17&amp;"!Q"&amp;ROW(B301))</f>
        <v>0.5467123288</v>
      </c>
      <c r="AB320" s="180">
        <f t="array" ref="AB320">INDIRECT("Update"&amp;Projections!$AG$17&amp;"!I"&amp;ROW(B301))</f>
        <v>0.6401737443</v>
      </c>
      <c r="AC320" s="180">
        <f t="array" ref="AC320">INDIRECT("Update"&amp;Projections!$AG$17&amp;"!K"&amp;ROW(B301))</f>
        <v>0.6989888777</v>
      </c>
      <c r="AD320" s="124">
        <f t="array" ref="AD320">INDIRECT("Update"&amp;Projections!$AG$17&amp;"!R"&amp;ROW(B301))</f>
        <v>0.7065753425</v>
      </c>
      <c r="AE320" s="124">
        <f t="shared" si="3"/>
        <v>-2.287080252</v>
      </c>
      <c r="AF320" s="124">
        <f t="shared" si="4"/>
        <v>-1.676938988</v>
      </c>
      <c r="AG320" s="124">
        <f t="shared" si="5"/>
        <v>-1.009956856</v>
      </c>
      <c r="AH320" s="124">
        <f t="shared" si="6"/>
        <v>-1.523748417</v>
      </c>
      <c r="AI320" s="124">
        <f t="shared" si="7"/>
        <v>-1.436079923</v>
      </c>
      <c r="AJ320" s="124">
        <f t="shared" si="8"/>
        <v>-0.3602154153</v>
      </c>
      <c r="AK320" s="124">
        <f t="shared" si="9"/>
        <v>0.4928434655</v>
      </c>
      <c r="AL320" s="124">
        <f t="shared" si="10"/>
        <v>-0.4568676613</v>
      </c>
      <c r="AM320" s="124">
        <f t="shared" si="11"/>
        <v>0</v>
      </c>
      <c r="AN320" s="183">
        <f t="shared" si="12"/>
        <v>-2.287080252</v>
      </c>
      <c r="AO320" s="183">
        <f t="shared" si="13"/>
        <v>-3.96401924</v>
      </c>
      <c r="AP320" s="183">
        <f t="array" ref="AP320">INDIRECT("Update"&amp;Projections!$AG$17&amp;"!S"&amp;ROW(B301))</f>
        <v>2.964520548</v>
      </c>
      <c r="AQ320" s="183">
        <f t="array" ref="AQ320">INDIRECT("Update"&amp;Projections!$AG$17&amp;"!T"&amp;ROW(B301))</f>
        <v>1.354794521</v>
      </c>
    </row>
    <row r="321">
      <c r="A321" s="40" t="str">
        <f>IF(UpdateHashtag!C319="",ROW(UpdateHashtag!C319),UpdateHashtag!C319)</f>
        <v>Haywood Highsmith</v>
      </c>
      <c r="B321" s="41">
        <f>IF(TYPE($A321)=1,"",(UpdateHashtag!M319-B$1)/B$2)</f>
        <v>-2.323254843</v>
      </c>
      <c r="C321" s="41">
        <f>IF(TYPE($A321)=1,"",(UpdateHashtag!L319-C$1)/C$2)</f>
        <v>-0.9410095407</v>
      </c>
      <c r="D321" s="41">
        <f>IF(TYPE($A321)=1,"",(UpdateHashtag!N319-D$1)/D$2)</f>
        <v>-1.247570605</v>
      </c>
      <c r="E321" s="41">
        <f>IF(TYPE($A321)=1,"",(UpdateHashtag!O319-E$1)/E$2)</f>
        <v>-1.422967016</v>
      </c>
      <c r="F321" s="41">
        <f>IF(TYPE($A321)=1,"",(UpdateHashtag!P319-F$1)/F$2)</f>
        <v>-1.243925831</v>
      </c>
      <c r="G321" s="41">
        <f>IF(TYPE($A321)=1,"",(UpdateHashtag!Q319-G$1)/G$2)</f>
        <v>-0.8002633236</v>
      </c>
      <c r="H321" s="41">
        <f>IF(TYPE($A321)=1,"",(UpdateHashtag!I319-H$1)/H$2*I321/$I$1)</f>
        <v>-0.2007174771</v>
      </c>
      <c r="I321" s="41">
        <f>UpdateHashtag!S319</f>
        <v>3.9</v>
      </c>
      <c r="J321" s="53">
        <f>IF(TYPE($A321)=1,"",(UpdateHashtag!K319-J$1)/J$2*K321/$K$1)</f>
        <v>-0.403967095</v>
      </c>
      <c r="K321" s="55">
        <f>UpdateHashtag!T319</f>
        <v>0.5</v>
      </c>
      <c r="L321" s="41">
        <f>IF(TYPE($A321)=1,"",-(UpdateHashtag!R319-L$1)/L$2)</f>
        <v>1.139395249</v>
      </c>
      <c r="N321" s="5">
        <v>301.0</v>
      </c>
      <c r="O321" s="170" t="str">
        <f t="array" ref="O321">INDIRECT("Update"&amp;Projections!$AG$17&amp;"!B"&amp;ROW(B302))</f>
        <v/>
      </c>
      <c r="P321" s="172" t="str">
        <f t="array" ref="P321">INDIRECT("Update"&amp;Projections!$AG$17&amp;"!C"&amp;ROW(B302))</f>
        <v>Haywood Highsmith</v>
      </c>
      <c r="Q321" s="170">
        <f>UpdateHashtag!F363</f>
        <v>64</v>
      </c>
      <c r="R321" s="177" t="str">
        <f>IF(UpdateHashtag!D363="",ROW(UpdateHashtag!D363),UpdateHashtag!D363)</f>
        <v>SF</v>
      </c>
      <c r="S321" s="124">
        <f t="shared" si="1"/>
        <v>-7.788587252</v>
      </c>
      <c r="T321" s="124">
        <f>SUM(AE321:AM321)-IFERROR(IFS(Projections!$I$17,AN321,Projections!$J$17,AO321),"")</f>
        <v>-8.104145085</v>
      </c>
      <c r="U321" s="124">
        <f t="shared" si="2"/>
        <v>-0.3155578326</v>
      </c>
      <c r="V321" s="124">
        <f t="array" ref="V321">INDIRECT("Update"&amp;Projections!$AG$17&amp;"!M"&amp;ROW(B302))</f>
        <v>4.893150685</v>
      </c>
      <c r="W321" s="124">
        <f t="array" ref="W321">INDIRECT("Update"&amp;Projections!$AG$17&amp;"!L"&amp;ROW(B302))</f>
        <v>0.8756164384</v>
      </c>
      <c r="X321" s="124">
        <f t="array" ref="X321">INDIRECT("Update"&amp;Projections!$AG$17&amp;"!N"&amp;ROW(B302))</f>
        <v>3.27369863</v>
      </c>
      <c r="Y321" s="124">
        <f t="array" ref="Y321">INDIRECT("Update"&amp;Projections!$AG$17&amp;"!O"&amp;ROW(B302))</f>
        <v>0.8061643836</v>
      </c>
      <c r="Z321" s="124">
        <f t="array" ref="Z321">INDIRECT("Update"&amp;Projections!$AG$17&amp;"!P"&amp;ROW(B302))</f>
        <v>0.6098630137</v>
      </c>
      <c r="AA321" s="124">
        <f t="array" ref="AA321">INDIRECT("Update"&amp;Projections!$AG$17&amp;"!Q"&amp;ROW(B302))</f>
        <v>0.3301369863</v>
      </c>
      <c r="AB321" s="180">
        <f t="array" ref="AB321">INDIRECT("Update"&amp;Projections!$AG$17&amp;"!I"&amp;ROW(B302))</f>
        <v>0.4534653465</v>
      </c>
      <c r="AC321" s="180">
        <f t="array" ref="AC321">INDIRECT("Update"&amp;Projections!$AG$17&amp;"!K"&amp;ROW(B302))</f>
        <v>0.5641233766</v>
      </c>
      <c r="AD321" s="124">
        <f t="array" ref="AD321">INDIRECT("Update"&amp;Projections!$AG$17&amp;"!R"&amp;ROW(B302))</f>
        <v>0.4761643836</v>
      </c>
      <c r="AE321" s="124">
        <f t="shared" si="3"/>
        <v>-2.270412779</v>
      </c>
      <c r="AF321" s="124">
        <f t="shared" si="4"/>
        <v>-0.8660034374</v>
      </c>
      <c r="AG321" s="124">
        <f t="shared" si="5"/>
        <v>-1.101115497</v>
      </c>
      <c r="AH321" s="124">
        <f t="shared" si="6"/>
        <v>-1.420167533</v>
      </c>
      <c r="AI321" s="124">
        <f t="shared" si="7"/>
        <v>-1.21129589</v>
      </c>
      <c r="AJ321" s="124">
        <f t="shared" si="8"/>
        <v>-0.7465095536</v>
      </c>
      <c r="AK321" s="124">
        <f t="shared" si="9"/>
        <v>-0.2148954547</v>
      </c>
      <c r="AL321" s="124">
        <f t="shared" si="10"/>
        <v>-0.2737449398</v>
      </c>
      <c r="AM321" s="124">
        <f t="shared" si="11"/>
        <v>0</v>
      </c>
      <c r="AN321" s="183">
        <f t="shared" si="12"/>
        <v>-2.270412779</v>
      </c>
      <c r="AO321" s="183">
        <f t="shared" si="13"/>
        <v>-3.690580312</v>
      </c>
      <c r="AP321" s="183">
        <f t="array" ref="AP321">INDIRECT("Update"&amp;Projections!$AG$17&amp;"!S"&amp;ROW(B302))</f>
        <v>4.219863014</v>
      </c>
      <c r="AQ321" s="183">
        <f t="array" ref="AQ321">INDIRECT("Update"&amp;Projections!$AG$17&amp;"!T"&amp;ROW(B302))</f>
        <v>0.3375342466</v>
      </c>
    </row>
    <row r="322">
      <c r="A322" s="40" t="str">
        <f>IF(UpdateHashtag!C320="",ROW(UpdateHashtag!C320),UpdateHashtag!C320)</f>
        <v>Malaki Branham</v>
      </c>
      <c r="B322" s="41">
        <f>IF(TYPE($A322)=1,"",(UpdateHashtag!M320-B$1)/B$2)</f>
        <v>-1.602232288</v>
      </c>
      <c r="C322" s="41">
        <f>IF(TYPE($A322)=1,"",(UpdateHashtag!L320-C$1)/C$2)</f>
        <v>-0.643430979</v>
      </c>
      <c r="D322" s="41">
        <f>IF(TYPE($A322)=1,"",(UpdateHashtag!N320-D$1)/D$2)</f>
        <v>-1.561096202</v>
      </c>
      <c r="E322" s="41">
        <f>IF(TYPE($A322)=1,"",(UpdateHashtag!O320-E$1)/E$2)</f>
        <v>-0.9688286069</v>
      </c>
      <c r="F322" s="41">
        <f>IF(TYPE($A322)=1,"",(UpdateHashtag!P320-F$1)/F$2)</f>
        <v>-1.905588506</v>
      </c>
      <c r="G322" s="41">
        <f>IF(TYPE($A322)=1,"",(UpdateHashtag!Q320-G$1)/G$2)</f>
        <v>-1.156992888</v>
      </c>
      <c r="H322" s="41">
        <f>IF(TYPE($A322)=1,"",(UpdateHashtag!I320-H$1)/H$2*I322/$I$1)</f>
        <v>-0.5556701708</v>
      </c>
      <c r="I322" s="41">
        <f>UpdateHashtag!S320</f>
        <v>7.8</v>
      </c>
      <c r="J322" s="53">
        <f>IF(TYPE($A322)=1,"",(UpdateHashtag!K320-J$1)/J$2*K322/$K$1)</f>
        <v>0.1743041255</v>
      </c>
      <c r="K322" s="55">
        <f>UpdateHashtag!T320</f>
        <v>0.8</v>
      </c>
      <c r="L322" s="41">
        <f>IF(TYPE($A322)=1,"",-(UpdateHashtag!R320-L$1)/L$2)</f>
        <v>0.643430979</v>
      </c>
      <c r="N322" s="112">
        <v>302.0</v>
      </c>
      <c r="O322" s="170" t="str">
        <f t="array" ref="O322">INDIRECT("Update"&amp;Projections!$AG$17&amp;"!B"&amp;ROW(B303))</f>
        <v/>
      </c>
      <c r="P322" s="172" t="str">
        <f t="array" ref="P322">INDIRECT("Update"&amp;Projections!$AG$17&amp;"!C"&amp;ROW(B303))</f>
        <v>Jalen Wilson</v>
      </c>
      <c r="Q322" s="170">
        <f>UpdateHashtag!F360</f>
        <v>54</v>
      </c>
      <c r="R322" s="177" t="str">
        <f>IF(UpdateHashtag!D360="",ROW(UpdateHashtag!D360),UpdateHashtag!D360)</f>
        <v>SG,SF</v>
      </c>
      <c r="S322" s="124">
        <f t="shared" si="1"/>
        <v>-7.843972826</v>
      </c>
      <c r="T322" s="124">
        <f>SUM(AE322:AM322)-IFERROR(IFS(Projections!$I$17,AN322,Projections!$J$17,AO322),"")</f>
        <v>-8.100184797</v>
      </c>
      <c r="U322" s="124">
        <f t="shared" si="2"/>
        <v>-0.2562119711</v>
      </c>
      <c r="V322" s="124">
        <f t="array" ref="V322">INDIRECT("Update"&amp;Projections!$AG$17&amp;"!M"&amp;ROW(B303))</f>
        <v>7.524794521</v>
      </c>
      <c r="W322" s="124">
        <f t="array" ref="W322">INDIRECT("Update"&amp;Projections!$AG$17&amp;"!L"&amp;ROW(B303))</f>
        <v>0.9263013699</v>
      </c>
      <c r="X322" s="124">
        <f t="array" ref="X322">INDIRECT("Update"&amp;Projections!$AG$17&amp;"!N"&amp;ROW(B303))</f>
        <v>4.208356164</v>
      </c>
      <c r="Y322" s="124">
        <f t="array" ref="Y322">INDIRECT("Update"&amp;Projections!$AG$17&amp;"!O"&amp;ROW(B303))</f>
        <v>1.683287671</v>
      </c>
      <c r="Z322" s="124">
        <f t="array" ref="Z322">INDIRECT("Update"&amp;Projections!$AG$17&amp;"!P"&amp;ROW(B303))</f>
        <v>0.3367123288</v>
      </c>
      <c r="AA322" s="124">
        <f t="array" ref="AA322">INDIRECT("Update"&amp;Projections!$AG$17&amp;"!Q"&amp;ROW(B303))</f>
        <v>0.1683561644</v>
      </c>
      <c r="AB322" s="180">
        <f t="array" ref="AB322">INDIRECT("Update"&amp;Projections!$AG$17&amp;"!I"&amp;ROW(B303))</f>
        <v>0.4379434216</v>
      </c>
      <c r="AC322" s="180">
        <f t="array" ref="AC322">INDIRECT("Update"&amp;Projections!$AG$17&amp;"!K"&amp;ROW(B303))</f>
        <v>0.7669821593</v>
      </c>
      <c r="AD322" s="124">
        <f t="array" ref="AD322">INDIRECT("Update"&amp;Projections!$AG$17&amp;"!R"&amp;ROW(B303))</f>
        <v>0.7154794521</v>
      </c>
      <c r="AE322" s="124">
        <f t="shared" si="3"/>
        <v>-1.796044138</v>
      </c>
      <c r="AF322" s="124">
        <f t="shared" si="4"/>
        <v>-0.8157276074</v>
      </c>
      <c r="AG322" s="124">
        <f t="shared" si="5"/>
        <v>-0.7348166706</v>
      </c>
      <c r="AH322" s="124">
        <f t="shared" si="6"/>
        <v>-1.021832158</v>
      </c>
      <c r="AI322" s="124">
        <f t="shared" si="7"/>
        <v>-2.114963956</v>
      </c>
      <c r="AJ322" s="124">
        <f t="shared" si="8"/>
        <v>-1.035069565</v>
      </c>
      <c r="AK322" s="124">
        <f t="shared" si="9"/>
        <v>-0.420867931</v>
      </c>
      <c r="AL322" s="124">
        <f t="shared" si="10"/>
        <v>-0.1608627718</v>
      </c>
      <c r="AM322" s="124">
        <f t="shared" si="11"/>
        <v>0</v>
      </c>
      <c r="AN322" s="183">
        <f t="shared" si="12"/>
        <v>-2.114963956</v>
      </c>
      <c r="AO322" s="183">
        <f t="shared" si="13"/>
        <v>-3.911008094</v>
      </c>
      <c r="AP322" s="183">
        <f t="array" ref="AP322">INDIRECT("Update"&amp;Projections!$AG$17&amp;"!S"&amp;ROW(B303))</f>
        <v>6.101369863</v>
      </c>
      <c r="AQ322" s="183">
        <f t="array" ref="AQ322">INDIRECT("Update"&amp;Projections!$AG$17&amp;"!T"&amp;ROW(B303))</f>
        <v>1.635479452</v>
      </c>
    </row>
    <row r="323">
      <c r="A323" s="40" t="str">
        <f>IF(UpdateHashtag!C321="",ROW(UpdateHashtag!C321),UpdateHashtag!C321)</f>
        <v>Charles Bassey</v>
      </c>
      <c r="B323" s="41">
        <f>IF(TYPE($A323)=1,"",(UpdateHashtag!M321-B$1)/B$2)</f>
        <v>-2.557587173</v>
      </c>
      <c r="C323" s="41">
        <f>IF(TYPE($A323)=1,"",(UpdateHashtag!L321-C$1)/C$2)</f>
        <v>-1.734552372</v>
      </c>
      <c r="D323" s="41">
        <f>IF(TYPE($A323)=1,"",(UpdateHashtag!N321-D$1)/D$2)</f>
        <v>-1.051617107</v>
      </c>
      <c r="E323" s="41">
        <f>IF(TYPE($A323)=1,"",(UpdateHashtag!O321-E$1)/E$2)</f>
        <v>-1.377553175</v>
      </c>
      <c r="F323" s="41">
        <f>IF(TYPE($A323)=1,"",(UpdateHashtag!P321-F$1)/F$2)</f>
        <v>-2.236419844</v>
      </c>
      <c r="G323" s="41">
        <f>IF(TYPE($A323)=1,"",(UpdateHashtag!Q321-G$1)/G$2)</f>
        <v>-0.2651689765</v>
      </c>
      <c r="H323" s="41">
        <f>IF(TYPE($A323)=1,"",(UpdateHashtag!I321-H$1)/H$2*I323/$I$1)</f>
        <v>0.4292732863</v>
      </c>
      <c r="I323" s="41">
        <f>UpdateHashtag!S321</f>
        <v>2.2</v>
      </c>
      <c r="J323" s="53">
        <f>IF(TYPE($A323)=1,"",(UpdateHashtag!K321-J$1)/J$2*K323/$K$1)</f>
        <v>-0.289792553</v>
      </c>
      <c r="K323" s="55">
        <f>UpdateHashtag!T321</f>
        <v>0.5</v>
      </c>
      <c r="L323" s="41">
        <f>IF(TYPE($A323)=1,"",-(UpdateHashtag!R321-L$1)/L$2)</f>
        <v>1.040202395</v>
      </c>
      <c r="N323" s="112">
        <v>303.0</v>
      </c>
      <c r="O323" s="170" t="str">
        <f t="array" ref="O323">INDIRECT("Update"&amp;Projections!$AG$17&amp;"!B"&amp;ROW(B304))</f>
        <v/>
      </c>
      <c r="P323" s="172" t="str">
        <f t="array" ref="P323">INDIRECT("Update"&amp;Projections!$AG$17&amp;"!C"&amp;ROW(B304))</f>
        <v>Jabari Walker</v>
      </c>
      <c r="Q323" s="170">
        <f>UpdateHashtag!F359</f>
        <v>44</v>
      </c>
      <c r="R323" s="177" t="str">
        <f>IF(UpdateHashtag!D359="",ROW(UpdateHashtag!D359),UpdateHashtag!D359)</f>
        <v>PF,C</v>
      </c>
      <c r="S323" s="124">
        <f t="shared" si="1"/>
        <v>-7.871988637</v>
      </c>
      <c r="T323" s="124">
        <f>SUM(AE323:AM323)-IFERROR(IFS(Projections!$I$17,AN323,Projections!$J$17,AO323),"")</f>
        <v>-8.150145328</v>
      </c>
      <c r="U323" s="124">
        <f t="shared" si="2"/>
        <v>-0.2781566915</v>
      </c>
      <c r="V323" s="124">
        <f t="array" ref="V323">INDIRECT("Update"&amp;Projections!$AG$17&amp;"!M"&amp;ROW(B304))</f>
        <v>6.96</v>
      </c>
      <c r="W323" s="124">
        <f t="array" ref="W323">INDIRECT("Update"&amp;Projections!$AG$17&amp;"!L"&amp;ROW(B304))</f>
        <v>0.5345205479</v>
      </c>
      <c r="X323" s="124">
        <f t="array" ref="X323">INDIRECT("Update"&amp;Projections!$AG$17&amp;"!N"&amp;ROW(B304))</f>
        <v>5.83890411</v>
      </c>
      <c r="Y323" s="124">
        <f t="array" ref="Y323">INDIRECT("Update"&amp;Projections!$AG$17&amp;"!O"&amp;ROW(B304))</f>
        <v>0.7084931507</v>
      </c>
      <c r="Z323" s="124">
        <f t="array" ref="Z323">INDIRECT("Update"&amp;Projections!$AG$17&amp;"!P"&amp;ROW(B304))</f>
        <v>0.3701369863</v>
      </c>
      <c r="AA323" s="124">
        <f t="array" ref="AA323">INDIRECT("Update"&amp;Projections!$AG$17&amp;"!Q"&amp;ROW(B304))</f>
        <v>0.2028767123</v>
      </c>
      <c r="AB323" s="180">
        <f t="array" ref="AB323">INDIRECT("Update"&amp;Projections!$AG$17&amp;"!I"&amp;ROW(B304))</f>
        <v>0.454904292</v>
      </c>
      <c r="AC323" s="180">
        <f t="array" ref="AC323">INDIRECT("Update"&amp;Projections!$AG$17&amp;"!K"&amp;ROW(B304))</f>
        <v>0.7540125611</v>
      </c>
      <c r="AD323" s="124">
        <f t="array" ref="AD323">INDIRECT("Update"&amp;Projections!$AG$17&amp;"!R"&amp;ROW(B304))</f>
        <v>0.6269863014</v>
      </c>
      <c r="AE323" s="124">
        <f t="shared" si="3"/>
        <v>-1.897851535</v>
      </c>
      <c r="AF323" s="124">
        <f t="shared" si="4"/>
        <v>-1.204346186</v>
      </c>
      <c r="AG323" s="124">
        <f t="shared" si="5"/>
        <v>-0.09579352273</v>
      </c>
      <c r="AH323" s="124">
        <f t="shared" si="6"/>
        <v>-1.464523791</v>
      </c>
      <c r="AI323" s="124">
        <f t="shared" si="7"/>
        <v>-2.004384714</v>
      </c>
      <c r="AJ323" s="124">
        <f t="shared" si="8"/>
        <v>-0.9734970644</v>
      </c>
      <c r="AK323" s="124">
        <f t="shared" si="9"/>
        <v>-0.2837331056</v>
      </c>
      <c r="AL323" s="124">
        <f t="shared" si="10"/>
        <v>-0.2260154092</v>
      </c>
      <c r="AM323" s="124">
        <f t="shared" si="11"/>
        <v>0</v>
      </c>
      <c r="AN323" s="183">
        <f t="shared" si="12"/>
        <v>-2.004384714</v>
      </c>
      <c r="AO323" s="183">
        <f t="shared" si="13"/>
        <v>-3.902236249</v>
      </c>
      <c r="AP323" s="183">
        <f t="array" ref="AP323">INDIRECT("Update"&amp;Projections!$AG$17&amp;"!S"&amp;ROW(B304))</f>
        <v>5.760958904</v>
      </c>
      <c r="AQ323" s="183">
        <f t="array" ref="AQ323">INDIRECT("Update"&amp;Projections!$AG$17&amp;"!T"&amp;ROW(B304))</f>
        <v>1.570410959</v>
      </c>
    </row>
    <row r="324">
      <c r="A324" s="40" t="str">
        <f>IF(UpdateHashtag!C322="",ROW(UpdateHashtag!C322),UpdateHashtag!C322)</f>
        <v>Maxi Kleber</v>
      </c>
      <c r="B324" s="41">
        <f>IF(TYPE($A324)=1,"",(UpdateHashtag!M322-B$1)/B$2)</f>
        <v>-2.377331534</v>
      </c>
      <c r="C324" s="41">
        <f>IF(TYPE($A324)=1,"",(UpdateHashtag!L322-C$1)/C$2)</f>
        <v>-1.040202395</v>
      </c>
      <c r="D324" s="41">
        <f>IF(TYPE($A324)=1,"",(UpdateHashtag!N322-D$1)/D$2)</f>
        <v>-1.247570605</v>
      </c>
      <c r="E324" s="41">
        <f>IF(TYPE($A324)=1,"",(UpdateHashtag!O322-E$1)/E$2)</f>
        <v>-1.241311653</v>
      </c>
      <c r="F324" s="41">
        <f>IF(TYPE($A324)=1,"",(UpdateHashtag!P322-F$1)/F$2)</f>
        <v>-2.236419844</v>
      </c>
      <c r="G324" s="41">
        <f>IF(TYPE($A324)=1,"",(UpdateHashtag!Q322-G$1)/G$2)</f>
        <v>-0.2651689765</v>
      </c>
      <c r="H324" s="41">
        <f>IF(TYPE($A324)=1,"",(UpdateHashtag!I322-H$1)/H$2*I324/$I$1)</f>
        <v>-0.2082221951</v>
      </c>
      <c r="I324" s="41">
        <f>UpdateHashtag!S322</f>
        <v>3.3</v>
      </c>
      <c r="J324" s="53">
        <f>IF(TYPE($A324)=1,"",(UpdateHashtag!K322-J$1)/J$2*K324/$K$1)</f>
        <v>-0.2844948542</v>
      </c>
      <c r="K324" s="55">
        <f>UpdateHashtag!T322</f>
        <v>0.9</v>
      </c>
      <c r="L324" s="41">
        <f>IF(TYPE($A324)=1,"",-(UpdateHashtag!R322-L$1)/L$2)</f>
        <v>1.139395249</v>
      </c>
      <c r="N324" s="5">
        <v>304.0</v>
      </c>
      <c r="O324" s="170" t="str">
        <f t="array" ref="O324">INDIRECT("Update"&amp;Projections!$AG$17&amp;"!B"&amp;ROW(B305))</f>
        <v/>
      </c>
      <c r="P324" s="172" t="str">
        <f t="array" ref="P324">INDIRECT("Update"&amp;Projections!$AG$17&amp;"!C"&amp;ROW(B305))</f>
        <v>Chris Boucher</v>
      </c>
      <c r="Q324" s="170">
        <f>UpdateHashtag!F361</f>
        <v>52</v>
      </c>
      <c r="R324" s="177" t="str">
        <f>IF(UpdateHashtag!D361="",ROW(UpdateHashtag!D361),UpdateHashtag!D361)</f>
        <v>SF</v>
      </c>
      <c r="S324" s="124">
        <f t="shared" si="1"/>
        <v>-8.062781288</v>
      </c>
      <c r="T324" s="124">
        <f>SUM(AE324:AM324)-IFERROR(IFS(Projections!$I$17,AN324,Projections!$J$17,AO324),"")</f>
        <v>-8.328411485</v>
      </c>
      <c r="U324" s="124">
        <f t="shared" si="2"/>
        <v>-0.2656301967</v>
      </c>
      <c r="V324" s="124">
        <f t="array" ref="V324">INDIRECT("Update"&amp;Projections!$AG$17&amp;"!M"&amp;ROW(B305))</f>
        <v>5.510681818</v>
      </c>
      <c r="W324" s="124">
        <f t="array" ref="W324">INDIRECT("Update"&amp;Projections!$AG$17&amp;"!L"&amp;ROW(B305))</f>
        <v>0.5381818182</v>
      </c>
      <c r="X324" s="124">
        <f t="array" ref="X324">INDIRECT("Update"&amp;Projections!$AG$17&amp;"!N"&amp;ROW(B305))</f>
        <v>4.418636364</v>
      </c>
      <c r="Y324" s="124">
        <f t="array" ref="Y324">INDIRECT("Update"&amp;Projections!$AG$17&amp;"!O"&amp;ROW(B305))</f>
        <v>0.5302272727</v>
      </c>
      <c r="Z324" s="124">
        <f t="array" ref="Z324">INDIRECT("Update"&amp;Projections!$AG$17&amp;"!P"&amp;ROW(B305))</f>
        <v>0.2945454545</v>
      </c>
      <c r="AA324" s="124">
        <f t="array" ref="AA324">INDIRECT("Update"&amp;Projections!$AG$17&amp;"!Q"&amp;ROW(B305))</f>
        <v>0.4713636364</v>
      </c>
      <c r="AB324" s="180">
        <f t="array" ref="AB324">INDIRECT("Update"&amp;Projections!$AG$17&amp;"!I"&amp;ROW(B305))</f>
        <v>0.5018681451</v>
      </c>
      <c r="AC324" s="180">
        <f t="array" ref="AC324">INDIRECT("Update"&amp;Projections!$AG$17&amp;"!K"&amp;ROW(B305))</f>
        <v>0.7870705244</v>
      </c>
      <c r="AD324" s="124">
        <f t="array" ref="AD324">INDIRECT("Update"&amp;Projections!$AG$17&amp;"!R"&amp;ROW(B305))</f>
        <v>0.6775</v>
      </c>
      <c r="AE324" s="124">
        <f t="shared" si="3"/>
        <v>-2.15909931</v>
      </c>
      <c r="AF324" s="124">
        <f t="shared" si="4"/>
        <v>-1.200714467</v>
      </c>
      <c r="AG324" s="124">
        <f t="shared" si="5"/>
        <v>-0.6524063891</v>
      </c>
      <c r="AH324" s="124">
        <f t="shared" si="6"/>
        <v>-1.545481174</v>
      </c>
      <c r="AI324" s="124">
        <f t="shared" si="7"/>
        <v>-2.25446519</v>
      </c>
      <c r="AJ324" s="124">
        <f t="shared" si="8"/>
        <v>-0.4946109465</v>
      </c>
      <c r="AK324" s="124">
        <f t="shared" si="9"/>
        <v>0.02027306271</v>
      </c>
      <c r="AL324" s="124">
        <f t="shared" si="10"/>
        <v>-0.04190707109</v>
      </c>
      <c r="AM324" s="124">
        <f t="shared" si="11"/>
        <v>0</v>
      </c>
      <c r="AN324" s="183">
        <f t="shared" si="12"/>
        <v>-2.25446519</v>
      </c>
      <c r="AO324" s="183">
        <f t="shared" si="13"/>
        <v>-4.4135645</v>
      </c>
      <c r="AP324" s="183">
        <f t="array" ref="AP324">INDIRECT("Update"&amp;Projections!$AG$17&amp;"!S"&amp;ROW(B305))</f>
        <v>3.771363636</v>
      </c>
      <c r="AQ324" s="183">
        <f t="array" ref="AQ324">INDIRECT("Update"&amp;Projections!$AG$17&amp;"!T"&amp;ROW(B305))</f>
        <v>1.508181818</v>
      </c>
    </row>
    <row r="325">
      <c r="A325" s="40" t="str">
        <f>IF(UpdateHashtag!C323="",ROW(UpdateHashtag!C323),UpdateHashtag!C323)</f>
        <v>Guerschon Yabusele</v>
      </c>
      <c r="B325" s="41">
        <f>IF(TYPE($A325)=1,"",(UpdateHashtag!M323-B$1)/B$2)</f>
        <v>-2.12497364</v>
      </c>
      <c r="C325" s="41">
        <f>IF(TYPE($A325)=1,"",(UpdateHashtag!L323-C$1)/C$2)</f>
        <v>-0.8418166868</v>
      </c>
      <c r="D325" s="41">
        <f>IF(TYPE($A325)=1,"",(UpdateHashtag!N323-D$1)/D$2)</f>
        <v>-1.325952004</v>
      </c>
      <c r="E325" s="41">
        <f>IF(TYPE($A325)=1,"",(UpdateHashtag!O323-E$1)/E$2)</f>
        <v>-1.422967016</v>
      </c>
      <c r="F325" s="41">
        <f>IF(TYPE($A325)=1,"",(UpdateHashtag!P323-F$1)/F$2)</f>
        <v>-1.905588506</v>
      </c>
      <c r="G325" s="41">
        <f>IF(TYPE($A325)=1,"",(UpdateHashtag!Q323-G$1)/G$2)</f>
        <v>-0.6218985413</v>
      </c>
      <c r="H325" s="41">
        <f>IF(TYPE($A325)=1,"",(UpdateHashtag!I323-H$1)/H$2*I325/$I$1)</f>
        <v>-0.1562831564</v>
      </c>
      <c r="I325" s="41">
        <f>UpdateHashtag!S323</f>
        <v>4.3</v>
      </c>
      <c r="J325" s="53">
        <f>IF(TYPE($A325)=1,"",(UpdateHashtag!K323-J$1)/J$2*K325/$K$1)</f>
        <v>-0.09653194049</v>
      </c>
      <c r="K325" s="55">
        <f>UpdateHashtag!T323</f>
        <v>1.1</v>
      </c>
      <c r="L325" s="41">
        <f>IF(TYPE($A325)=1,"",-(UpdateHashtag!R323-L$1)/L$2)</f>
        <v>0.9410095407</v>
      </c>
      <c r="N325" s="5">
        <v>305.0</v>
      </c>
      <c r="O325" s="170" t="str">
        <f t="array" ref="O325">INDIRECT("Update"&amp;Projections!$AG$17&amp;"!B"&amp;ROW(B306))</f>
        <v>#N/A</v>
      </c>
      <c r="P325" s="172" t="str">
        <f t="array" ref="P325">INDIRECT("Update"&amp;Projections!$AG$17&amp;"!C"&amp;ROW(B306))</f>
        <v>G.G. Jackson</v>
      </c>
      <c r="Q325" s="170">
        <f>UpdateHashtag!F368</f>
        <v>20</v>
      </c>
      <c r="R325" s="177" t="str">
        <f>IF(UpdateHashtag!D368="",ROW(UpdateHashtag!D368),UpdateHashtag!D368)</f>
        <v>SG,SF</v>
      </c>
      <c r="S325" s="124">
        <f t="shared" si="1"/>
        <v>-7.950241201</v>
      </c>
      <c r="T325" s="124">
        <f>SUM(AE325:AM325)-IFERROR(IFS(Projections!$I$17,AN325,Projections!$J$17,AO325),"")</f>
        <v>-8.132573143</v>
      </c>
      <c r="U325" s="124">
        <f t="shared" si="2"/>
        <v>-0.1823319425</v>
      </c>
      <c r="V325" s="124">
        <f t="array" ref="V325">INDIRECT("Update"&amp;Projections!$AG$17&amp;"!M"&amp;ROW(B306))</f>
        <v>8.618510638</v>
      </c>
      <c r="W325" s="124">
        <f t="array" ref="W325">INDIRECT("Update"&amp;Projections!$AG$17&amp;"!L"&amp;ROW(B306))</f>
        <v>1.257021277</v>
      </c>
      <c r="X325" s="124">
        <f t="array" ref="X325">INDIRECT("Update"&amp;Projections!$AG$17&amp;"!N"&amp;ROW(B306))</f>
        <v>2.85</v>
      </c>
      <c r="Y325" s="124">
        <f t="array" ref="Y325">INDIRECT("Update"&amp;Projections!$AG$17&amp;"!O"&amp;ROW(B306))</f>
        <v>0.8625531915</v>
      </c>
      <c r="Z325" s="124">
        <f t="array" ref="Z325">INDIRECT("Update"&amp;Projections!$AG$17&amp;"!P"&amp;ROW(B306))</f>
        <v>0.3836170213</v>
      </c>
      <c r="AA325" s="124">
        <f t="array" ref="AA325">INDIRECT("Update"&amp;Projections!$AG$17&amp;"!Q"&amp;ROW(B306))</f>
        <v>0.3531914894</v>
      </c>
      <c r="AB325" s="180">
        <f t="array" ref="AB325">INDIRECT("Update"&amp;Projections!$AG$17&amp;"!I"&amp;ROW(B306))</f>
        <v>0.4278547539</v>
      </c>
      <c r="AC325" s="180">
        <f t="array" ref="AC325">INDIRECT("Update"&amp;Projections!$AG$17&amp;"!K"&amp;ROW(B306))</f>
        <v>0.7700181394</v>
      </c>
      <c r="AD325" s="124">
        <f t="array" ref="AD325">INDIRECT("Update"&amp;Projections!$AG$17&amp;"!R"&amp;ROW(B306))</f>
        <v>1.013404255</v>
      </c>
      <c r="AE325" s="124">
        <f t="shared" si="3"/>
        <v>-1.598895641</v>
      </c>
      <c r="AF325" s="124">
        <f t="shared" si="4"/>
        <v>-0.4876770931</v>
      </c>
      <c r="AG325" s="124">
        <f t="shared" si="5"/>
        <v>-1.267165955</v>
      </c>
      <c r="AH325" s="124">
        <f t="shared" si="6"/>
        <v>-1.394559209</v>
      </c>
      <c r="AI325" s="124">
        <f t="shared" si="7"/>
        <v>-1.959788534</v>
      </c>
      <c r="AJ325" s="124">
        <f t="shared" si="8"/>
        <v>-0.7053884393</v>
      </c>
      <c r="AK325" s="124">
        <f t="shared" si="9"/>
        <v>-0.5750958527</v>
      </c>
      <c r="AL325" s="124">
        <f t="shared" si="10"/>
        <v>-0.1440024189</v>
      </c>
      <c r="AM325" s="124">
        <f t="shared" si="11"/>
        <v>0</v>
      </c>
      <c r="AN325" s="183">
        <f t="shared" si="12"/>
        <v>-1.959788534</v>
      </c>
      <c r="AO325" s="183">
        <f t="shared" si="13"/>
        <v>-3.558684175</v>
      </c>
      <c r="AP325" s="183">
        <f t="array" ref="AP325">INDIRECT("Update"&amp;Projections!$AG$17&amp;"!S"&amp;ROW(B306))</f>
        <v>7.125106383</v>
      </c>
      <c r="AQ325" s="183">
        <f t="array" ref="AQ325">INDIRECT("Update"&amp;Projections!$AG$17&amp;"!T"&amp;ROW(B306))</f>
        <v>1.64212766</v>
      </c>
    </row>
    <row r="326">
      <c r="A326" s="40" t="str">
        <f>IF(UpdateHashtag!C324="",ROW(UpdateHashtag!C324),UpdateHashtag!C324)</f>
        <v>Kyle Filipowski</v>
      </c>
      <c r="B326" s="41">
        <f>IF(TYPE($A326)=1,"",(UpdateHashtag!M324-B$1)/B$2)</f>
        <v>-2.034845821</v>
      </c>
      <c r="C326" s="41">
        <f>IF(TYPE($A326)=1,"",(UpdateHashtag!L324-C$1)/C$2)</f>
        <v>-1.337780956</v>
      </c>
      <c r="D326" s="41">
        <f>IF(TYPE($A326)=1,"",(UpdateHashtag!N324-D$1)/D$2)</f>
        <v>-1.169189206</v>
      </c>
      <c r="E326" s="41">
        <f>IF(TYPE($A326)=1,"",(UpdateHashtag!O324-E$1)/E$2)</f>
        <v>-1.332139334</v>
      </c>
      <c r="F326" s="41">
        <f>IF(TYPE($A326)=1,"",(UpdateHashtag!P324-F$1)/F$2)</f>
        <v>-1.905588506</v>
      </c>
      <c r="G326" s="41">
        <f>IF(TYPE($A326)=1,"",(UpdateHashtag!Q324-G$1)/G$2)</f>
        <v>-0.2651689765</v>
      </c>
      <c r="H326" s="41">
        <f>IF(TYPE($A326)=1,"",(UpdateHashtag!I324-H$1)/H$2*I326/$I$1)</f>
        <v>0.04581693201</v>
      </c>
      <c r="I326" s="41">
        <f>UpdateHashtag!S324</f>
        <v>4.5</v>
      </c>
      <c r="J326" s="53">
        <f>IF(TYPE($A326)=1,"",(UpdateHashtag!K324-J$1)/J$2*K326/$K$1)</f>
        <v>-0.734461994</v>
      </c>
      <c r="K326" s="55">
        <f>UpdateHashtag!T324</f>
        <v>1.7</v>
      </c>
      <c r="L326" s="41">
        <f>IF(TYPE($A326)=1,"",-(UpdateHashtag!R324-L$1)/L$2)</f>
        <v>0.9410095407</v>
      </c>
      <c r="N326" s="112">
        <v>306.0</v>
      </c>
      <c r="O326" s="170" t="str">
        <f t="array" ref="O326">INDIRECT("Update"&amp;Projections!$AG$17&amp;"!B"&amp;ROW(B307))</f>
        <v/>
      </c>
      <c r="P326" s="172" t="str">
        <f t="array" ref="P326">INDIRECT("Update"&amp;Projections!$AG$17&amp;"!C"&amp;ROW(B307))</f>
        <v>Rob Dillingham</v>
      </c>
      <c r="Q326" s="170">
        <f>UpdateHashtag!F358</f>
        <v>40</v>
      </c>
      <c r="R326" s="177" t="str">
        <f>IF(UpdateHashtag!D358="",ROW(UpdateHashtag!D358),UpdateHashtag!D358)</f>
        <v>PG,SG</v>
      </c>
      <c r="S326" s="124">
        <f t="shared" si="1"/>
        <v>-8.076993858</v>
      </c>
      <c r="T326" s="124">
        <f>SUM(AE326:AM326)-IFERROR(IFS(Projections!$I$17,AN326,Projections!$J$17,AO326),"")</f>
        <v>-8.105605787</v>
      </c>
      <c r="U326" s="124">
        <f t="shared" si="2"/>
        <v>-0.02861192965</v>
      </c>
      <c r="V326" s="124">
        <f t="array" ref="V326">INDIRECT("Update"&amp;Projections!$AG$17&amp;"!M"&amp;ROW(B307))</f>
        <v>6.816575342</v>
      </c>
      <c r="W326" s="124">
        <f t="array" ref="W326">INDIRECT("Update"&amp;Projections!$AG$17&amp;"!L"&amp;ROW(B307))</f>
        <v>1.042054795</v>
      </c>
      <c r="X326" s="124">
        <f t="array" ref="X326">INDIRECT("Update"&amp;Projections!$AG$17&amp;"!N"&amp;ROW(B307))</f>
        <v>1.47</v>
      </c>
      <c r="Y326" s="124">
        <f t="array" ref="Y326">INDIRECT("Update"&amp;Projections!$AG$17&amp;"!O"&amp;ROW(B307))</f>
        <v>2.94</v>
      </c>
      <c r="Z326" s="124">
        <f t="array" ref="Z326">INDIRECT("Update"&amp;Projections!$AG$17&amp;"!P"&amp;ROW(B307))</f>
        <v>0.5553424658</v>
      </c>
      <c r="AA326" s="124">
        <f t="array" ref="AA326">INDIRECT("Update"&amp;Projections!$AG$17&amp;"!Q"&amp;ROW(B307))</f>
        <v>0.09794520548</v>
      </c>
      <c r="AB326" s="180">
        <f t="array" ref="AB326">INDIRECT("Update"&amp;Projections!$AG$17&amp;"!I"&amp;ROW(B307))</f>
        <v>0.4086440907</v>
      </c>
      <c r="AC326" s="180">
        <f t="array" ref="AC326">INDIRECT("Update"&amp;Projections!$AG$17&amp;"!K"&amp;ROW(B307))</f>
        <v>0.7830238727</v>
      </c>
      <c r="AD326" s="124">
        <f t="array" ref="AD326">INDIRECT("Update"&amp;Projections!$AG$17&amp;"!R"&amp;ROW(B307))</f>
        <v>1.633287671</v>
      </c>
      <c r="AE326" s="124">
        <f t="shared" si="3"/>
        <v>-1.923704638</v>
      </c>
      <c r="AF326" s="124">
        <f t="shared" si="4"/>
        <v>-0.7009084815</v>
      </c>
      <c r="AG326" s="124">
        <f t="shared" si="5"/>
        <v>-1.80799761</v>
      </c>
      <c r="AH326" s="124">
        <f t="shared" si="6"/>
        <v>-0.4511108201</v>
      </c>
      <c r="AI326" s="124">
        <f t="shared" si="7"/>
        <v>-1.391666948</v>
      </c>
      <c r="AJ326" s="124">
        <f t="shared" si="8"/>
        <v>-1.160657918</v>
      </c>
      <c r="AK326" s="124">
        <f t="shared" si="9"/>
        <v>-0.626175836</v>
      </c>
      <c r="AL326" s="124">
        <f t="shared" si="10"/>
        <v>-0.04338353468</v>
      </c>
      <c r="AM326" s="124">
        <f t="shared" si="11"/>
        <v>0</v>
      </c>
      <c r="AN326" s="183">
        <f t="shared" si="12"/>
        <v>-1.923704638</v>
      </c>
      <c r="AO326" s="183">
        <f t="shared" si="13"/>
        <v>-3.731702248</v>
      </c>
      <c r="AP326" s="183">
        <f t="array" ref="AP326">INDIRECT("Update"&amp;Projections!$AG$17&amp;"!S"&amp;ROW(B307))</f>
        <v>6.075890411</v>
      </c>
      <c r="AQ326" s="183">
        <f t="array" ref="AQ326">INDIRECT("Update"&amp;Projections!$AG$17&amp;"!T"&amp;ROW(B307))</f>
        <v>1.032876712</v>
      </c>
    </row>
    <row r="327">
      <c r="A327" s="40" t="str">
        <f>IF(UpdateHashtag!C325="",ROW(UpdateHashtag!C325),UpdateHashtag!C325)</f>
        <v>Jaxson Hayes</v>
      </c>
      <c r="B327" s="41">
        <f>IF(TYPE($A327)=1,"",(UpdateHashtag!M325-B$1)/B$2)</f>
        <v>-2.251152587</v>
      </c>
      <c r="C327" s="41">
        <f>IF(TYPE($A327)=1,"",(UpdateHashtag!L325-C$1)/C$2)</f>
        <v>-1.734552372</v>
      </c>
      <c r="D327" s="41">
        <f>IF(TYPE($A327)=1,"",(UpdateHashtag!N325-D$1)/D$2)</f>
        <v>-1.129998506</v>
      </c>
      <c r="E327" s="41">
        <f>IF(TYPE($A327)=1,"",(UpdateHashtag!O325-E$1)/E$2)</f>
        <v>-1.513794698</v>
      </c>
      <c r="F327" s="41">
        <f>IF(TYPE($A327)=1,"",(UpdateHashtag!P325-F$1)/F$2)</f>
        <v>-1.574757169</v>
      </c>
      <c r="G327" s="41">
        <f>IF(TYPE($A327)=1,"",(UpdateHashtag!Q325-G$1)/G$2)</f>
        <v>-0.6218985413</v>
      </c>
      <c r="H327" s="41">
        <f>IF(TYPE($A327)=1,"",(UpdateHashtag!I325-H$1)/H$2*I327/$I$1)</f>
        <v>0.5183458687</v>
      </c>
      <c r="I327" s="41">
        <f>UpdateHashtag!S325</f>
        <v>3.1</v>
      </c>
      <c r="J327" s="53">
        <f>IF(TYPE($A327)=1,"",(UpdateHashtag!K325-J$1)/J$2*K327/$K$1)</f>
        <v>-0.6902114546</v>
      </c>
      <c r="K327" s="55">
        <f>UpdateHashtag!T325</f>
        <v>1.5</v>
      </c>
      <c r="L327" s="41">
        <f>IF(TYPE($A327)=1,"",-(UpdateHashtag!R325-L$1)/L$2)</f>
        <v>1.040202395</v>
      </c>
      <c r="N327" s="112">
        <v>307.0</v>
      </c>
      <c r="O327" s="170" t="str">
        <f t="array" ref="O327">INDIRECT("Update"&amp;Projections!$AG$17&amp;"!B"&amp;ROW(B308))</f>
        <v/>
      </c>
      <c r="P327" s="172" t="str">
        <f t="array" ref="P327">INDIRECT("Update"&amp;Projections!$AG$17&amp;"!C"&amp;ROW(B308))</f>
        <v>Kenrich Williams</v>
      </c>
      <c r="Q327" s="170">
        <f>UpdateHashtag!F356</f>
        <v>10</v>
      </c>
      <c r="R327" s="177" t="str">
        <f>IF(UpdateHashtag!D356="",ROW(UpdateHashtag!D356),UpdateHashtag!D356)</f>
        <v>PG,SG</v>
      </c>
      <c r="S327" s="124">
        <f t="shared" si="1"/>
        <v>-7.998334804</v>
      </c>
      <c r="T327" s="124">
        <f>SUM(AE327:AM327)-IFERROR(IFS(Projections!$I$17,AN327,Projections!$J$17,AO327),"")</f>
        <v>-8.29110424</v>
      </c>
      <c r="U327" s="124">
        <f t="shared" si="2"/>
        <v>-0.2927694355</v>
      </c>
      <c r="V327" s="124">
        <f t="array" ref="V327">INDIRECT("Update"&amp;Projections!$AG$17&amp;"!M"&amp;ROW(B308))</f>
        <v>4.634179104</v>
      </c>
      <c r="W327" s="124">
        <f t="array" ref="W327">INDIRECT("Update"&amp;Projections!$AG$17&amp;"!L"&amp;ROW(B308))</f>
        <v>0.7253731343</v>
      </c>
      <c r="X327" s="124">
        <f t="array" ref="X327">INDIRECT("Update"&amp;Projections!$AG$17&amp;"!N"&amp;ROW(B308))</f>
        <v>3.156268657</v>
      </c>
      <c r="Y327" s="124">
        <f t="array" ref="Y327">INDIRECT("Update"&amp;Projections!$AG$17&amp;"!O"&amp;ROW(B308))</f>
        <v>1.328656716</v>
      </c>
      <c r="Z327" s="124">
        <f t="array" ref="Z327">INDIRECT("Update"&amp;Projections!$AG$17&amp;"!P"&amp;ROW(B308))</f>
        <v>0.5952238806</v>
      </c>
      <c r="AA327" s="124">
        <f t="array" ref="AA327">INDIRECT("Update"&amp;Projections!$AG$17&amp;"!Q"&amp;ROW(B308))</f>
        <v>0.1268656716</v>
      </c>
      <c r="AB327" s="180">
        <f t="array" ref="AB327">INDIRECT("Update"&amp;Projections!$AG$17&amp;"!I"&amp;ROW(B308))</f>
        <v>0.4777492273</v>
      </c>
      <c r="AC327" s="180">
        <f t="array" ref="AC327">INDIRECT("Update"&amp;Projections!$AG$17&amp;"!K"&amp;ROW(B308))</f>
        <v>0.4944134078</v>
      </c>
      <c r="AD327" s="124">
        <f t="array" ref="AD327">INDIRECT("Update"&amp;Projections!$AG$17&amp;"!R"&amp;ROW(B308))</f>
        <v>0.5680597015</v>
      </c>
      <c r="AE327" s="124">
        <f t="shared" si="3"/>
        <v>-2.317093866</v>
      </c>
      <c r="AF327" s="124">
        <f t="shared" si="4"/>
        <v>-1.015034059</v>
      </c>
      <c r="AG327" s="124">
        <f t="shared" si="5"/>
        <v>-1.147137125</v>
      </c>
      <c r="AH327" s="124">
        <f t="shared" si="6"/>
        <v>-1.182883696</v>
      </c>
      <c r="AI327" s="124">
        <f t="shared" si="7"/>
        <v>-1.25972673</v>
      </c>
      <c r="AJ327" s="124">
        <f t="shared" si="8"/>
        <v>-1.109073992</v>
      </c>
      <c r="AK327" s="124">
        <f t="shared" si="9"/>
        <v>-0.09089408276</v>
      </c>
      <c r="AL327" s="124">
        <f t="shared" si="10"/>
        <v>-0.1692606886</v>
      </c>
      <c r="AM327" s="124">
        <f t="shared" si="11"/>
        <v>0</v>
      </c>
      <c r="AN327" s="183">
        <f t="shared" si="12"/>
        <v>-2.317093866</v>
      </c>
      <c r="AO327" s="183">
        <f t="shared" si="13"/>
        <v>-3.576820597</v>
      </c>
      <c r="AP327" s="183">
        <f t="array" ref="AP327">INDIRECT("Update"&amp;Projections!$AG$17&amp;"!S"&amp;ROW(B308))</f>
        <v>4.007910448</v>
      </c>
      <c r="AQ327" s="183">
        <f t="array" ref="AQ327">INDIRECT("Update"&amp;Projections!$AG$17&amp;"!T"&amp;ROW(B308))</f>
        <v>0.1602985075</v>
      </c>
    </row>
    <row r="328">
      <c r="A328" s="40" t="str">
        <f>IF(UpdateHashtag!C326="",ROW(UpdateHashtag!C326),UpdateHashtag!C326)</f>
        <v>Richaun Holmes</v>
      </c>
      <c r="B328" s="41">
        <f>IF(TYPE($A328)=1,"",(UpdateHashtag!M326-B$1)/B$2)</f>
        <v>-2.269178151</v>
      </c>
      <c r="C328" s="41">
        <f>IF(TYPE($A328)=1,"",(UpdateHashtag!L326-C$1)/C$2)</f>
        <v>-1.635359518</v>
      </c>
      <c r="D328" s="41">
        <f>IF(TYPE($A328)=1,"",(UpdateHashtag!N326-D$1)/D$2)</f>
        <v>-0.8556636087</v>
      </c>
      <c r="E328" s="41">
        <f>IF(TYPE($A328)=1,"",(UpdateHashtag!O326-E$1)/E$2)</f>
        <v>-1.559208539</v>
      </c>
      <c r="F328" s="41">
        <f>IF(TYPE($A328)=1,"",(UpdateHashtag!P326-F$1)/F$2)</f>
        <v>-2.567251182</v>
      </c>
      <c r="G328" s="41">
        <f>IF(TYPE($A328)=1,"",(UpdateHashtag!Q326-G$1)/G$2)</f>
        <v>-0.4435337589</v>
      </c>
      <c r="H328" s="41">
        <f>IF(TYPE($A328)=1,"",(UpdateHashtag!I326-H$1)/H$2*I328/$I$1)</f>
        <v>0.3450363541</v>
      </c>
      <c r="I328" s="41">
        <f>UpdateHashtag!S326</f>
        <v>3.5</v>
      </c>
      <c r="J328" s="53">
        <f>IF(TYPE($A328)=1,"",(UpdateHashtag!K326-J$1)/J$2*K328/$K$1)</f>
        <v>-0.1685567547</v>
      </c>
      <c r="K328" s="55">
        <f>UpdateHashtag!T326</f>
        <v>1</v>
      </c>
      <c r="L328" s="41">
        <f>IF(TYPE($A328)=1,"",-(UpdateHashtag!R326-L$1)/L$2)</f>
        <v>1.139395249</v>
      </c>
      <c r="N328" s="5">
        <v>308.0</v>
      </c>
      <c r="O328" s="170" t="str">
        <f t="array" ref="O328">INDIRECT("Update"&amp;Projections!$AG$17&amp;"!B"&amp;ROW(B309))</f>
        <v/>
      </c>
      <c r="P328" s="172" t="str">
        <f t="array" ref="P328">INDIRECT("Update"&amp;Projections!$AG$17&amp;"!C"&amp;ROW(B309))</f>
        <v>Monte Morris</v>
      </c>
      <c r="Q328" s="170">
        <f>UpdateHashtag!F365</f>
        <v>30</v>
      </c>
      <c r="R328" s="177" t="str">
        <f>IF(UpdateHashtag!D365="",ROW(UpdateHashtag!D365),UpdateHashtag!D365)</f>
        <v>C</v>
      </c>
      <c r="S328" s="124">
        <f t="shared" si="1"/>
        <v>-8.078220922</v>
      </c>
      <c r="T328" s="124">
        <f>SUM(AE328:AM328)-IFERROR(IFS(Projections!$I$17,AN328,Projections!$J$17,AO328),"")</f>
        <v>-8.411134507</v>
      </c>
      <c r="U328" s="124">
        <f t="shared" si="2"/>
        <v>-0.3329135847</v>
      </c>
      <c r="V328" s="124">
        <f t="array" ref="V328">INDIRECT("Update"&amp;Projections!$AG$17&amp;"!M"&amp;ROW(B309))</f>
        <v>5.736617647</v>
      </c>
      <c r="W328" s="124">
        <f t="array" ref="W328">INDIRECT("Update"&amp;Projections!$AG$17&amp;"!L"&amp;ROW(B309))</f>
        <v>0.9442647059</v>
      </c>
      <c r="X328" s="124">
        <f t="array" ref="X328">INDIRECT("Update"&amp;Projections!$AG$17&amp;"!N"&amp;ROW(B309))</f>
        <v>1.718823529</v>
      </c>
      <c r="Y328" s="124">
        <f t="array" ref="Y328">INDIRECT("Update"&amp;Projections!$AG$17&amp;"!O"&amp;ROW(B309))</f>
        <v>2.281323529</v>
      </c>
      <c r="Z328" s="124">
        <f t="array" ref="Z328">INDIRECT("Update"&amp;Projections!$AG$17&amp;"!P"&amp;ROW(B309))</f>
        <v>0.4255882353</v>
      </c>
      <c r="AA328" s="124">
        <f t="array" ref="AA328">INDIRECT("Update"&amp;Projections!$AG$17&amp;"!Q"&amp;ROW(B309))</f>
        <v>0.1905882353</v>
      </c>
      <c r="AB328" s="180">
        <f t="array" ref="AB328">INDIRECT("Update"&amp;Projections!$AG$17&amp;"!I"&amp;ROW(B309))</f>
        <v>0.4422101339</v>
      </c>
      <c r="AC328" s="180">
        <f t="array" ref="AC328">INDIRECT("Update"&amp;Projections!$AG$17&amp;"!K"&amp;ROW(B309))</f>
        <v>0.8349736782</v>
      </c>
      <c r="AD328" s="124">
        <f t="array" ref="AD328">INDIRECT("Update"&amp;Projections!$AG$17&amp;"!R"&amp;ROW(B309))</f>
        <v>0.4061764706</v>
      </c>
      <c r="AE328" s="124">
        <f t="shared" si="3"/>
        <v>-2.118373103</v>
      </c>
      <c r="AF328" s="124">
        <f t="shared" si="4"/>
        <v>-0.7979092617</v>
      </c>
      <c r="AG328" s="124">
        <f t="shared" si="5"/>
        <v>-1.710481928</v>
      </c>
      <c r="AH328" s="124">
        <f t="shared" si="6"/>
        <v>-0.750241105</v>
      </c>
      <c r="AI328" s="124">
        <f t="shared" si="7"/>
        <v>-1.820934605</v>
      </c>
      <c r="AJ328" s="124">
        <f t="shared" si="8"/>
        <v>-0.9954153797</v>
      </c>
      <c r="AK328" s="124">
        <f t="shared" si="9"/>
        <v>-0.3080505706</v>
      </c>
      <c r="AL328" s="124">
        <f t="shared" si="10"/>
        <v>0.09027144557</v>
      </c>
      <c r="AM328" s="124">
        <f t="shared" si="11"/>
        <v>0</v>
      </c>
      <c r="AN328" s="183">
        <f t="shared" si="12"/>
        <v>-2.118373103</v>
      </c>
      <c r="AO328" s="183">
        <f t="shared" si="13"/>
        <v>-3.939307708</v>
      </c>
      <c r="AP328" s="183">
        <f t="array" ref="AP328">INDIRECT("Update"&amp;Projections!$AG$17&amp;"!S"&amp;ROW(B309))</f>
        <v>4.812058824</v>
      </c>
      <c r="AQ328" s="183">
        <f t="array" ref="AQ328">INDIRECT("Update"&amp;Projections!$AG$17&amp;"!T"&amp;ROW(B309))</f>
        <v>0.6425</v>
      </c>
    </row>
    <row r="329">
      <c r="A329" s="40" t="str">
        <f>IF(UpdateHashtag!C327="",ROW(UpdateHashtag!C327),UpdateHashtag!C327)</f>
        <v>Jock Landale</v>
      </c>
      <c r="B329" s="41">
        <f>IF(TYPE($A329)=1,"",(UpdateHashtag!M327-B$1)/B$2)</f>
        <v>-2.197075895</v>
      </c>
      <c r="C329" s="41">
        <f>IF(TYPE($A329)=1,"",(UpdateHashtag!L327-C$1)/C$2)</f>
        <v>-1.536166664</v>
      </c>
      <c r="D329" s="41">
        <f>IF(TYPE($A329)=1,"",(UpdateHashtag!N327-D$1)/D$2)</f>
        <v>-1.090807806</v>
      </c>
      <c r="E329" s="41">
        <f>IF(TYPE($A329)=1,"",(UpdateHashtag!O327-E$1)/E$2)</f>
        <v>-1.332139334</v>
      </c>
      <c r="F329" s="41">
        <f>IF(TYPE($A329)=1,"",(UpdateHashtag!P327-F$1)/F$2)</f>
        <v>-2.236419844</v>
      </c>
      <c r="G329" s="41">
        <f>IF(TYPE($A329)=1,"",(UpdateHashtag!Q327-G$1)/G$2)</f>
        <v>-0.4435337589</v>
      </c>
      <c r="H329" s="41">
        <f>IF(TYPE($A329)=1,"",(UpdateHashtag!I327-H$1)/H$2*I329/$I$1)</f>
        <v>0.1168256161</v>
      </c>
      <c r="I329" s="41">
        <f>UpdateHashtag!S327</f>
        <v>3.9</v>
      </c>
      <c r="J329" s="53">
        <f>IF(TYPE($A329)=1,"",(UpdateHashtag!K327-J$1)/J$2*K329/$K$1)</f>
        <v>-0.1053075714</v>
      </c>
      <c r="K329" s="55">
        <f>UpdateHashtag!T327</f>
        <v>1.2</v>
      </c>
      <c r="L329" s="41">
        <f>IF(TYPE($A329)=1,"",-(UpdateHashtag!R327-L$1)/L$2)</f>
        <v>1.040202395</v>
      </c>
      <c r="N329" s="5">
        <v>309.0</v>
      </c>
      <c r="O329" s="170" t="str">
        <f t="array" ref="O329">INDIRECT("Update"&amp;Projections!$AG$17&amp;"!B"&amp;ROW(B310))</f>
        <v/>
      </c>
      <c r="P329" s="172" t="str">
        <f t="array" ref="P329">INDIRECT("Update"&amp;Projections!$AG$17&amp;"!C"&amp;ROW(B310))</f>
        <v>Isaiah Collier</v>
      </c>
      <c r="Q329" s="170">
        <f>UpdateHashtag!F362</f>
        <v>44</v>
      </c>
      <c r="R329" s="177" t="str">
        <f>IF(UpdateHashtag!D362="",ROW(UpdateHashtag!D362),UpdateHashtag!D362)</f>
        <v>C</v>
      </c>
      <c r="S329" s="124">
        <f t="shared" si="1"/>
        <v>-8.317083118</v>
      </c>
      <c r="T329" s="124">
        <f>SUM(AE329:AM329)-IFERROR(IFS(Projections!$I$17,AN329,Projections!$J$17,AO329),"")</f>
        <v>-8.270678113</v>
      </c>
      <c r="U329" s="124">
        <f t="shared" si="2"/>
        <v>0.04640500458</v>
      </c>
      <c r="V329" s="124">
        <f t="array" ref="V329">INDIRECT("Update"&amp;Projections!$AG$17&amp;"!M"&amp;ROW(B310))</f>
        <v>7.312463768</v>
      </c>
      <c r="W329" s="124">
        <f t="array" ref="W329">INDIRECT("Update"&amp;Projections!$AG$17&amp;"!L"&amp;ROW(B310))</f>
        <v>0.5008695652</v>
      </c>
      <c r="X329" s="124">
        <f t="array" ref="X329">INDIRECT("Update"&amp;Projections!$AG$17&amp;"!N"&amp;ROW(B310))</f>
        <v>1.935797101</v>
      </c>
      <c r="Y329" s="124">
        <f t="array" ref="Y329">INDIRECT("Update"&amp;Projections!$AG$17&amp;"!O"&amp;ROW(B310))</f>
        <v>2.777536232</v>
      </c>
      <c r="Z329" s="124">
        <f t="array" ref="Z329">INDIRECT("Update"&amp;Projections!$AG$17&amp;"!P"&amp;ROW(B310))</f>
        <v>0.7575362319</v>
      </c>
      <c r="AA329" s="124">
        <f t="array" ref="AA329">INDIRECT("Update"&amp;Projections!$AG$17&amp;"!Q"&amp;ROW(B310))</f>
        <v>0.1684057971</v>
      </c>
      <c r="AB329" s="180">
        <f t="array" ref="AB329">INDIRECT("Update"&amp;Projections!$AG$17&amp;"!I"&amp;ROW(B310))</f>
        <v>0.4213924825</v>
      </c>
      <c r="AC329" s="180">
        <f t="array" ref="AC329">INDIRECT("Update"&amp;Projections!$AG$17&amp;"!K"&amp;ROW(B310))</f>
        <v>0.6939960351</v>
      </c>
      <c r="AD329" s="124">
        <f t="array" ref="AD329">INDIRECT("Update"&amp;Projections!$AG$17&amp;"!R"&amp;ROW(B310))</f>
        <v>1.935797101</v>
      </c>
      <c r="AE329" s="124">
        <f t="shared" si="3"/>
        <v>-1.834317953</v>
      </c>
      <c r="AF329" s="124">
        <f t="shared" si="4"/>
        <v>-1.237725556</v>
      </c>
      <c r="AG329" s="124">
        <f t="shared" si="5"/>
        <v>-1.625448467</v>
      </c>
      <c r="AH329" s="124">
        <f t="shared" si="6"/>
        <v>-0.5248918573</v>
      </c>
      <c r="AI329" s="124">
        <f t="shared" si="7"/>
        <v>-0.7227466069</v>
      </c>
      <c r="AJ329" s="124">
        <f t="shared" si="8"/>
        <v>-1.034981037</v>
      </c>
      <c r="AK329" s="124">
        <f t="shared" si="9"/>
        <v>-0.5643821707</v>
      </c>
      <c r="AL329" s="124">
        <f t="shared" si="10"/>
        <v>-0.7261844647</v>
      </c>
      <c r="AM329" s="124">
        <f t="shared" si="11"/>
        <v>0</v>
      </c>
      <c r="AN329" s="183">
        <f t="shared" si="12"/>
        <v>-1.834317953</v>
      </c>
      <c r="AO329" s="183">
        <f t="shared" si="13"/>
        <v>-3.45976642</v>
      </c>
      <c r="AP329" s="183">
        <f t="array" ref="AP329">INDIRECT("Update"&amp;Projections!$AG$17&amp;"!S"&amp;ROW(B310))</f>
        <v>6.396666667</v>
      </c>
      <c r="AQ329" s="183">
        <f t="array" ref="AQ329">INDIRECT("Update"&amp;Projections!$AG$17&amp;"!T"&amp;ROW(B310))</f>
        <v>2.046956522</v>
      </c>
    </row>
    <row r="330">
      <c r="A330" s="40" t="str">
        <f>IF(UpdateHashtag!C328="",ROW(UpdateHashtag!C328),UpdateHashtag!C328)</f>
        <v>Craig Porter Jr.</v>
      </c>
      <c r="B330" s="41">
        <f>IF(TYPE($A330)=1,"",(UpdateHashtag!M328-B$1)/B$2)</f>
        <v>-2.161024768</v>
      </c>
      <c r="C330" s="41">
        <f>IF(TYPE($A330)=1,"",(UpdateHashtag!L328-C$1)/C$2)</f>
        <v>-1.536166664</v>
      </c>
      <c r="D330" s="41">
        <f>IF(TYPE($A330)=1,"",(UpdateHashtag!N328-D$1)/D$2)</f>
        <v>-1.561096202</v>
      </c>
      <c r="E330" s="41">
        <f>IF(TYPE($A330)=1,"",(UpdateHashtag!O328-E$1)/E$2)</f>
        <v>-0.7417594022</v>
      </c>
      <c r="F330" s="41">
        <f>IF(TYPE($A330)=1,"",(UpdateHashtag!P328-F$1)/F$2)</f>
        <v>-1.905588506</v>
      </c>
      <c r="G330" s="41">
        <f>IF(TYPE($A330)=1,"",(UpdateHashtag!Q328-G$1)/G$2)</f>
        <v>-0.8002633236</v>
      </c>
      <c r="H330" s="41">
        <f>IF(TYPE($A330)=1,"",(UpdateHashtag!I328-H$1)/H$2*I330/$I$1)</f>
        <v>0.06015250994</v>
      </c>
      <c r="I330" s="41">
        <f>UpdateHashtag!S328</f>
        <v>4.4</v>
      </c>
      <c r="J330" s="53">
        <f>IF(TYPE($A330)=1,"",(UpdateHashtag!K328-J$1)/J$2*K330/$K$1)</f>
        <v>-0.247242336</v>
      </c>
      <c r="K330" s="55">
        <f>UpdateHashtag!T328</f>
        <v>1.1</v>
      </c>
      <c r="L330" s="41">
        <f>IF(TYPE($A330)=1,"",-(UpdateHashtag!R328-L$1)/L$2)</f>
        <v>0.8418166868</v>
      </c>
      <c r="N330" s="112">
        <v>310.0</v>
      </c>
      <c r="O330" s="170" t="str">
        <f t="array" ref="O330">INDIRECT("Update"&amp;Projections!$AG$17&amp;"!B"&amp;ROW(B311))</f>
        <v>#N/A</v>
      </c>
      <c r="P330" s="172" t="str">
        <f t="array" ref="P330">INDIRECT("Update"&amp;Projections!$AG$17&amp;"!C"&amp;ROW(B311))</f>
        <v>Talen Horton-Tucker</v>
      </c>
      <c r="Q330" s="170">
        <f>UpdateHashtag!F372</f>
        <v>40</v>
      </c>
      <c r="R330" s="177" t="str">
        <f>IF(UpdateHashtag!D372="",ROW(UpdateHashtag!D372),UpdateHashtag!D372)</f>
        <v>PG,SG</v>
      </c>
      <c r="S330" s="124">
        <f t="shared" si="1"/>
        <v>-8.11063069</v>
      </c>
      <c r="T330" s="124">
        <f>SUM(AE330:AM330)-IFERROR(IFS(Projections!$I$17,AN330,Projections!$J$17,AO330),"")</f>
        <v>-8.303279744</v>
      </c>
      <c r="U330" s="124">
        <f t="shared" si="2"/>
        <v>-0.1926490544</v>
      </c>
      <c r="V330" s="124">
        <f t="array" ref="V330">INDIRECT("Update"&amp;Projections!$AG$17&amp;"!M"&amp;ROW(B311))</f>
        <v>6.8316</v>
      </c>
      <c r="W330" s="124">
        <f t="array" ref="W330">INDIRECT("Update"&amp;Projections!$AG$17&amp;"!L"&amp;ROW(B311))</f>
        <v>0.6934</v>
      </c>
      <c r="X330" s="124">
        <f t="array" ref="X330">INDIRECT("Update"&amp;Projections!$AG$17&amp;"!N"&amp;ROW(B311))</f>
        <v>1.7722</v>
      </c>
      <c r="Y330" s="124">
        <f t="array" ref="Y330">INDIRECT("Update"&amp;Projections!$AG$17&amp;"!O"&amp;ROW(B311))</f>
        <v>2.4296</v>
      </c>
      <c r="Z330" s="124">
        <f t="array" ref="Z330">INDIRECT("Update"&amp;Projections!$AG$17&amp;"!P"&amp;ROW(B311))</f>
        <v>0.5716</v>
      </c>
      <c r="AA330" s="124">
        <f t="array" ref="AA330">INDIRECT("Update"&amp;Projections!$AG$17&amp;"!Q"&amp;ROW(B311))</f>
        <v>0.2572</v>
      </c>
      <c r="AB330" s="180">
        <f t="array" ref="AB330">INDIRECT("Update"&amp;Projections!$AG$17&amp;"!I"&amp;ROW(B311))</f>
        <v>0.4015622457</v>
      </c>
      <c r="AC330" s="180">
        <f t="array" ref="AC330">INDIRECT("Update"&amp;Projections!$AG$17&amp;"!K"&amp;ROW(B311))</f>
        <v>0.782999219</v>
      </c>
      <c r="AD330" s="124">
        <f t="array" ref="AD330">INDIRECT("Update"&amp;Projections!$AG$17&amp;"!R"&amp;ROW(B311))</f>
        <v>0.9718</v>
      </c>
      <c r="AE330" s="124">
        <f t="shared" si="3"/>
        <v>-1.920996359</v>
      </c>
      <c r="AF330" s="124">
        <f t="shared" si="4"/>
        <v>-1.046749123</v>
      </c>
      <c r="AG330" s="124">
        <f t="shared" si="5"/>
        <v>-1.689563315</v>
      </c>
      <c r="AH330" s="124">
        <f t="shared" si="6"/>
        <v>-0.6829030643</v>
      </c>
      <c r="AI330" s="124">
        <f t="shared" si="7"/>
        <v>-1.337881931</v>
      </c>
      <c r="AJ330" s="124">
        <f t="shared" si="8"/>
        <v>-0.8766034505</v>
      </c>
      <c r="AK330" s="124">
        <f t="shared" si="9"/>
        <v>-0.6839165985</v>
      </c>
      <c r="AL330" s="124">
        <f t="shared" si="10"/>
        <v>-0.06466590285</v>
      </c>
      <c r="AM330" s="124">
        <f t="shared" si="11"/>
        <v>0</v>
      </c>
      <c r="AN330" s="183">
        <f t="shared" si="12"/>
        <v>-1.920996359</v>
      </c>
      <c r="AO330" s="183">
        <f t="shared" si="13"/>
        <v>-3.610559675</v>
      </c>
      <c r="AP330" s="183">
        <f t="array" ref="AP330">INDIRECT("Update"&amp;Projections!$AG$17&amp;"!S"&amp;ROW(B311))</f>
        <v>6.145</v>
      </c>
      <c r="AQ330" s="183">
        <f t="array" ref="AQ330">INDIRECT("Update"&amp;Projections!$AG$17&amp;"!T"&amp;ROW(B311))</f>
        <v>1.5364</v>
      </c>
    </row>
    <row r="331">
      <c r="A331" s="40" t="str">
        <f>IF(UpdateHashtag!C329="",ROW(UpdateHashtag!C329),UpdateHashtag!C329)</f>
        <v>Jordan Hawkins</v>
      </c>
      <c r="B331" s="41">
        <f>IF(TYPE($A331)=1,"",(UpdateHashtag!M329-B$1)/B$2)</f>
        <v>-1.602232288</v>
      </c>
      <c r="C331" s="41">
        <f>IF(TYPE($A331)=1,"",(UpdateHashtag!L329-C$1)/C$2)</f>
        <v>0.05091899834</v>
      </c>
      <c r="D331" s="41">
        <f>IF(TYPE($A331)=1,"",(UpdateHashtag!N329-D$1)/D$2)</f>
        <v>-1.443524103</v>
      </c>
      <c r="E331" s="41">
        <f>IF(TYPE($A331)=1,"",(UpdateHashtag!O329-E$1)/E$2)</f>
        <v>-1.241311653</v>
      </c>
      <c r="F331" s="41">
        <f>IF(TYPE($A331)=1,"",(UpdateHashtag!P329-F$1)/F$2)</f>
        <v>-2.236419844</v>
      </c>
      <c r="G331" s="41">
        <f>IF(TYPE($A331)=1,"",(UpdateHashtag!Q329-G$1)/G$2)</f>
        <v>-1.156992888</v>
      </c>
      <c r="H331" s="41">
        <f>IF(TYPE($A331)=1,"",(UpdateHashtag!I329-H$1)/H$2*I331/$I$1)</f>
        <v>-1.005378654</v>
      </c>
      <c r="I331" s="41">
        <f>UpdateHashtag!S329</f>
        <v>7.5</v>
      </c>
      <c r="J331" s="53">
        <f>IF(TYPE($A331)=1,"",(UpdateHashtag!K329-J$1)/J$2*K331/$K$1)</f>
        <v>0.2056055153</v>
      </c>
      <c r="K331" s="55">
        <f>UpdateHashtag!T329</f>
        <v>1.3</v>
      </c>
      <c r="L331" s="41">
        <f>IF(TYPE($A331)=1,"",-(UpdateHashtag!R329-L$1)/L$2)</f>
        <v>1.040202395</v>
      </c>
      <c r="N331" s="112">
        <v>311.0</v>
      </c>
      <c r="O331" s="170" t="str">
        <f t="array" ref="O331">INDIRECT("Update"&amp;Projections!$AG$17&amp;"!B"&amp;ROW(B312))</f>
        <v/>
      </c>
      <c r="P331" s="172" t="str">
        <f t="array" ref="P331">INDIRECT("Update"&amp;Projections!$AG$17&amp;"!C"&amp;ROW(B312))</f>
        <v>Bol Bol</v>
      </c>
      <c r="Q331" s="170">
        <f>UpdateHashtag!F376</f>
        <v>58</v>
      </c>
      <c r="R331" s="177" t="str">
        <f>IF(UpdateHashtag!D376="",ROW(UpdateHashtag!D376),UpdateHashtag!D376)</f>
        <v>PG,SG</v>
      </c>
      <c r="S331" s="124">
        <f t="shared" si="1"/>
        <v>-8.331555372</v>
      </c>
      <c r="T331" s="124">
        <f>SUM(AE331:AM331)-IFERROR(IFS(Projections!$I$17,AN331,Projections!$J$17,AO331),"")</f>
        <v>-8.641202397</v>
      </c>
      <c r="U331" s="124">
        <f t="shared" si="2"/>
        <v>-0.3096470256</v>
      </c>
      <c r="V331" s="124">
        <f t="array" ref="V331">INDIRECT("Update"&amp;Projections!$AG$17&amp;"!M"&amp;ROW(B312))</f>
        <v>5.373235294</v>
      </c>
      <c r="W331" s="124">
        <f t="array" ref="W331">INDIRECT("Update"&amp;Projections!$AG$17&amp;"!L"&amp;ROW(B312))</f>
        <v>0.5380882353</v>
      </c>
      <c r="X331" s="124">
        <f t="array" ref="X331">INDIRECT("Update"&amp;Projections!$AG$17&amp;"!N"&amp;ROW(B312))</f>
        <v>3.375</v>
      </c>
      <c r="Y331" s="124">
        <f t="array" ref="Y331">INDIRECT("Update"&amp;Projections!$AG$17&amp;"!O"&amp;ROW(B312))</f>
        <v>0.45</v>
      </c>
      <c r="Z331" s="124">
        <f t="array" ref="Z331">INDIRECT("Update"&amp;Projections!$AG$17&amp;"!P"&amp;ROW(B312))</f>
        <v>0.2455882353</v>
      </c>
      <c r="AA331" s="124">
        <f t="array" ref="AA331">INDIRECT("Update"&amp;Projections!$AG$17&amp;"!Q"&amp;ROW(B312))</f>
        <v>0.55</v>
      </c>
      <c r="AB331" s="180">
        <f t="array" ref="AB331">INDIRECT("Update"&amp;Projections!$AG$17&amp;"!I"&amp;ROW(B312))</f>
        <v>0.5370584322</v>
      </c>
      <c r="AC331" s="180">
        <f t="array" ref="AC331">INDIRECT("Update"&amp;Projections!$AG$17&amp;"!K"&amp;ROW(B312))</f>
        <v>0.7699579832</v>
      </c>
      <c r="AD331" s="124">
        <f t="array" ref="AD331">INDIRECT("Update"&amp;Projections!$AG$17&amp;"!R"&amp;ROW(B312))</f>
        <v>0.5</v>
      </c>
      <c r="AE331" s="124">
        <f t="shared" si="3"/>
        <v>-2.183874821</v>
      </c>
      <c r="AF331" s="124">
        <f t="shared" si="4"/>
        <v>-1.200807295</v>
      </c>
      <c r="AG331" s="124">
        <f t="shared" si="5"/>
        <v>-1.061414782</v>
      </c>
      <c r="AH331" s="124">
        <f t="shared" si="6"/>
        <v>-1.58191546</v>
      </c>
      <c r="AI331" s="124">
        <f t="shared" si="7"/>
        <v>-2.416431014</v>
      </c>
      <c r="AJ331" s="124">
        <f t="shared" si="8"/>
        <v>-0.3543513677</v>
      </c>
      <c r="AK331" s="124">
        <f t="shared" si="9"/>
        <v>0.1945119862</v>
      </c>
      <c r="AL331" s="124">
        <f t="shared" si="10"/>
        <v>-0.03691964522</v>
      </c>
      <c r="AM331" s="124">
        <f t="shared" si="11"/>
        <v>0</v>
      </c>
      <c r="AN331" s="183">
        <f t="shared" si="12"/>
        <v>-2.416431014</v>
      </c>
      <c r="AO331" s="183">
        <f t="shared" si="13"/>
        <v>-4.600305834</v>
      </c>
      <c r="AP331" s="183">
        <f t="array" ref="AP331">INDIRECT("Update"&amp;Projections!$AG$17&amp;"!S"&amp;ROW(B312))</f>
        <v>4.200441176</v>
      </c>
      <c r="AQ331" s="183">
        <f t="array" ref="AQ331">INDIRECT("Update"&amp;Projections!$AG$17&amp;"!T"&amp;ROW(B312))</f>
        <v>0.42</v>
      </c>
    </row>
    <row r="332">
      <c r="A332" s="40" t="str">
        <f>IF(UpdateHashtag!C330="",ROW(UpdateHashtag!C330),UpdateHashtag!C330)</f>
        <v>Jabari Walker</v>
      </c>
      <c r="B332" s="41">
        <f>IF(TYPE($A332)=1,"",(UpdateHashtag!M330-B$1)/B$2)</f>
        <v>-1.998794693</v>
      </c>
      <c r="C332" s="41">
        <f>IF(TYPE($A332)=1,"",(UpdateHashtag!L330-C$1)/C$2)</f>
        <v>-1.337780956</v>
      </c>
      <c r="D332" s="41">
        <f>IF(TYPE($A332)=1,"",(UpdateHashtag!N330-D$1)/D$2)</f>
        <v>-0.502947312</v>
      </c>
      <c r="E332" s="41">
        <f>IF(TYPE($A332)=1,"",(UpdateHashtag!O330-E$1)/E$2)</f>
        <v>-1.422967016</v>
      </c>
      <c r="F332" s="41">
        <f>IF(TYPE($A332)=1,"",(UpdateHashtag!P330-F$1)/F$2)</f>
        <v>-1.905588506</v>
      </c>
      <c r="G332" s="41">
        <f>IF(TYPE($A332)=1,"",(UpdateHashtag!Q330-G$1)/G$2)</f>
        <v>-0.8002633236</v>
      </c>
      <c r="H332" s="41">
        <f>IF(TYPE($A332)=1,"",(UpdateHashtag!I330-H$1)/H$2*I332/$I$1)</f>
        <v>-0.2974289288</v>
      </c>
      <c r="I332" s="41">
        <f>UpdateHashtag!S330</f>
        <v>5.3</v>
      </c>
      <c r="J332" s="53">
        <f>IF(TYPE($A332)=1,"",(UpdateHashtag!K330-J$1)/J$2*K332/$K$1)</f>
        <v>-0.2415863048</v>
      </c>
      <c r="K332" s="55">
        <f>UpdateHashtag!T330</f>
        <v>1.6</v>
      </c>
      <c r="L332" s="41">
        <f>IF(TYPE($A332)=1,"",-(UpdateHashtag!R330-L$1)/L$2)</f>
        <v>1.040202395</v>
      </c>
      <c r="N332" s="5">
        <v>312.0</v>
      </c>
      <c r="O332" s="170" t="str">
        <f t="array" ref="O332">INDIRECT("Update"&amp;Projections!$AG$17&amp;"!B"&amp;ROW(B313))</f>
        <v/>
      </c>
      <c r="P332" s="172" t="str">
        <f t="array" ref="P332">INDIRECT("Update"&amp;Projections!$AG$17&amp;"!C"&amp;ROW(B313))</f>
        <v>Moses Moody</v>
      </c>
      <c r="Q332" s="170">
        <f>UpdateHashtag!F380</f>
        <v>40</v>
      </c>
      <c r="R332" s="177" t="str">
        <f>IF(UpdateHashtag!D380="",ROW(UpdateHashtag!D380),UpdateHashtag!D380)</f>
        <v>SG</v>
      </c>
      <c r="S332" s="124">
        <f t="shared" si="1"/>
        <v>-8.238453594</v>
      </c>
      <c r="T332" s="124">
        <f>SUM(AE332:AM332)-IFERROR(IFS(Projections!$I$17,AN332,Projections!$J$17,AO332),"")</f>
        <v>-8.532309993</v>
      </c>
      <c r="U332" s="124">
        <f t="shared" si="2"/>
        <v>-0.2938563985</v>
      </c>
      <c r="V332" s="124">
        <f t="array" ref="V332">INDIRECT("Update"&amp;Projections!$AG$17&amp;"!M"&amp;ROW(B313))</f>
        <v>7.377941176</v>
      </c>
      <c r="W332" s="124">
        <f t="array" ref="W332">INDIRECT("Update"&amp;Projections!$AG$17&amp;"!L"&amp;ROW(B313))</f>
        <v>1.025294118</v>
      </c>
      <c r="X332" s="124">
        <f t="array" ref="X332">INDIRECT("Update"&amp;Projections!$AG$17&amp;"!N"&amp;ROW(B313))</f>
        <v>2.343823529</v>
      </c>
      <c r="Y332" s="124">
        <f t="array" ref="Y332">INDIRECT("Update"&amp;Projections!$AG$17&amp;"!O"&amp;ROW(B313))</f>
        <v>0.7105882353</v>
      </c>
      <c r="Z332" s="124">
        <f t="array" ref="Z332">INDIRECT("Update"&amp;Projections!$AG$17&amp;"!P"&amp;ROW(B313))</f>
        <v>0.4375</v>
      </c>
      <c r="AA332" s="124">
        <f t="array" ref="AA332">INDIRECT("Update"&amp;Projections!$AG$17&amp;"!Q"&amp;ROW(B313))</f>
        <v>0.2186764706</v>
      </c>
      <c r="AB332" s="180">
        <f t="array" ref="AB332">INDIRECT("Update"&amp;Projections!$AG$17&amp;"!I"&amp;ROW(B313))</f>
        <v>0.4620133074</v>
      </c>
      <c r="AC332" s="180">
        <f t="array" ref="AC332">INDIRECT("Update"&amp;Projections!$AG$17&amp;"!K"&amp;ROW(B313))</f>
        <v>0.7729905027</v>
      </c>
      <c r="AD332" s="124">
        <f t="array" ref="AD332">INDIRECT("Update"&amp;Projections!$AG$17&amp;"!R"&amp;ROW(B313))</f>
        <v>0.5636764706</v>
      </c>
      <c r="AE332" s="124">
        <f t="shared" si="3"/>
        <v>-1.822515281</v>
      </c>
      <c r="AF332" s="124">
        <f t="shared" si="4"/>
        <v>-0.7175338754</v>
      </c>
      <c r="AG332" s="124">
        <f t="shared" si="5"/>
        <v>-1.465540055</v>
      </c>
      <c r="AH332" s="124">
        <f t="shared" si="6"/>
        <v>-1.463572333</v>
      </c>
      <c r="AI332" s="124">
        <f t="shared" si="7"/>
        <v>-1.781526755</v>
      </c>
      <c r="AJ332" s="124">
        <f t="shared" si="8"/>
        <v>-0.9453158599</v>
      </c>
      <c r="AK332" s="124">
        <f t="shared" si="9"/>
        <v>-0.2382204371</v>
      </c>
      <c r="AL332" s="124">
        <f t="shared" si="10"/>
        <v>-0.09808539602</v>
      </c>
      <c r="AM332" s="124">
        <f t="shared" si="11"/>
        <v>0</v>
      </c>
      <c r="AN332" s="183">
        <f t="shared" si="12"/>
        <v>-1.822515281</v>
      </c>
      <c r="AO332" s="183">
        <f t="shared" si="13"/>
        <v>-3.604042036</v>
      </c>
      <c r="AP332" s="183">
        <f t="array" ref="AP332">INDIRECT("Update"&amp;Projections!$AG$17&amp;"!S"&amp;ROW(B313))</f>
        <v>5.812794118</v>
      </c>
      <c r="AQ332" s="183">
        <f t="array" ref="AQ332">INDIRECT("Update"&amp;Projections!$AG$17&amp;"!T"&amp;ROW(B313))</f>
        <v>1.269705882</v>
      </c>
    </row>
    <row r="333">
      <c r="A333" s="40" t="str">
        <f>IF(UpdateHashtag!C331="",ROW(UpdateHashtag!C331),UpdateHashtag!C331)</f>
        <v>Vasilije Micic</v>
      </c>
      <c r="B333" s="41">
        <f>IF(TYPE($A333)=1,"",(UpdateHashtag!M331-B$1)/B$2)</f>
        <v>-2.070896948</v>
      </c>
      <c r="C333" s="41">
        <f>IF(TYPE($A333)=1,"",(UpdateHashtag!L331-C$1)/C$2)</f>
        <v>-1.139395249</v>
      </c>
      <c r="D333" s="41">
        <f>IF(TYPE($A333)=1,"",(UpdateHashtag!N331-D$1)/D$2)</f>
        <v>-1.874621799</v>
      </c>
      <c r="E333" s="41">
        <f>IF(TYPE($A333)=1,"",(UpdateHashtag!O331-E$1)/E$2)</f>
        <v>-0.1059656289</v>
      </c>
      <c r="F333" s="41">
        <f>IF(TYPE($A333)=1,"",(UpdateHashtag!P331-F$1)/F$2)</f>
        <v>-1.905588506</v>
      </c>
      <c r="G333" s="41">
        <f>IF(TYPE($A333)=1,"",(UpdateHashtag!Q331-G$1)/G$2)</f>
        <v>-1.156992888</v>
      </c>
      <c r="H333" s="41">
        <f>IF(TYPE($A333)=1,"",(UpdateHashtag!I331-H$1)/H$2*I333/$I$1)</f>
        <v>-0.4127858596</v>
      </c>
      <c r="I333" s="41">
        <f>UpdateHashtag!S331</f>
        <v>5.2</v>
      </c>
      <c r="J333" s="53">
        <f>IF(TYPE($A333)=1,"",(UpdateHashtag!K331-J$1)/J$2*K333/$K$1)</f>
        <v>0.06190719322</v>
      </c>
      <c r="K333" s="55">
        <f>UpdateHashtag!T331</f>
        <v>1.1</v>
      </c>
      <c r="L333" s="41">
        <f>IF(TYPE($A333)=1,"",-(UpdateHashtag!R331-L$1)/L$2)</f>
        <v>0.3458524173</v>
      </c>
      <c r="N333" s="5">
        <v>313.0</v>
      </c>
      <c r="O333" s="170" t="str">
        <f t="array" ref="O333">INDIRECT("Update"&amp;Projections!$AG$17&amp;"!B"&amp;ROW(B314))</f>
        <v/>
      </c>
      <c r="P333" s="172" t="str">
        <f t="array" ref="P333">INDIRECT("Update"&amp;Projections!$AG$17&amp;"!C"&amp;ROW(B314))</f>
        <v>Dalen Terry</v>
      </c>
      <c r="Q333" s="170">
        <f>UpdateHashtag!F366</f>
        <v>40</v>
      </c>
      <c r="R333" s="177" t="str">
        <f>IF(UpdateHashtag!D366="",ROW(UpdateHashtag!D366),UpdateHashtag!D366)</f>
        <v>PG,SG</v>
      </c>
      <c r="S333" s="124">
        <f t="shared" si="1"/>
        <v>-8.283778369</v>
      </c>
      <c r="T333" s="124">
        <f>SUM(AE333:AM333)-IFERROR(IFS(Projections!$I$17,AN333,Projections!$J$17,AO333),"")</f>
        <v>-8.553347106</v>
      </c>
      <c r="U333" s="124">
        <f t="shared" si="2"/>
        <v>-0.2695687365</v>
      </c>
      <c r="V333" s="124">
        <f t="array" ref="V333">INDIRECT("Update"&amp;Projections!$AG$17&amp;"!M"&amp;ROW(B314))</f>
        <v>4.071323529</v>
      </c>
      <c r="W333" s="124">
        <f t="array" ref="W333">INDIRECT("Update"&amp;Projections!$AG$17&amp;"!L"&amp;ROW(B314))</f>
        <v>0.3241176471</v>
      </c>
      <c r="X333" s="124">
        <f t="array" ref="X333">INDIRECT("Update"&amp;Projections!$AG$17&amp;"!N"&amp;ROW(B314))</f>
        <v>2.388823529</v>
      </c>
      <c r="Y333" s="124">
        <f t="array" ref="Y333">INDIRECT("Update"&amp;Projections!$AG$17&amp;"!O"&amp;ROW(B314))</f>
        <v>1.912647059</v>
      </c>
      <c r="Z333" s="124">
        <f t="array" ref="Z333">INDIRECT("Update"&amp;Projections!$AG$17&amp;"!P"&amp;ROW(B314))</f>
        <v>0.6679411765</v>
      </c>
      <c r="AA333" s="124">
        <f t="array" ref="AA333">INDIRECT("Update"&amp;Projections!$AG$17&amp;"!Q"&amp;ROW(B314))</f>
        <v>0.3897058824</v>
      </c>
      <c r="AB333" s="180">
        <f t="array" ref="AB333">INDIRECT("Update"&amp;Projections!$AG$17&amp;"!I"&amp;ROW(B314))</f>
        <v>0.4562764168</v>
      </c>
      <c r="AC333" s="180">
        <f t="array" ref="AC333">INDIRECT("Update"&amp;Projections!$AG$17&amp;"!K"&amp;ROW(B314))</f>
        <v>0.6050373134</v>
      </c>
      <c r="AD333" s="124">
        <f t="array" ref="AD333">INDIRECT("Update"&amp;Projections!$AG$17&amp;"!R"&amp;ROW(B314))</f>
        <v>0.6616176471</v>
      </c>
      <c r="AE333" s="124">
        <f t="shared" si="3"/>
        <v>-2.418551758</v>
      </c>
      <c r="AF333" s="124">
        <f t="shared" si="4"/>
        <v>-1.413050828</v>
      </c>
      <c r="AG333" s="124">
        <f t="shared" si="5"/>
        <v>-1.44790424</v>
      </c>
      <c r="AH333" s="124">
        <f t="shared" si="6"/>
        <v>-0.9176712507</v>
      </c>
      <c r="AI333" s="124">
        <f t="shared" si="7"/>
        <v>-1.019155127</v>
      </c>
      <c r="AJ333" s="124">
        <f t="shared" si="8"/>
        <v>-0.6402596217</v>
      </c>
      <c r="AK333" s="124">
        <f t="shared" si="9"/>
        <v>-0.1707801661</v>
      </c>
      <c r="AL333" s="124">
        <f t="shared" si="10"/>
        <v>-0.5259741141</v>
      </c>
      <c r="AM333" s="124">
        <f t="shared" si="11"/>
        <v>0</v>
      </c>
      <c r="AN333" s="183">
        <f t="shared" si="12"/>
        <v>-2.418551758</v>
      </c>
      <c r="AO333" s="183">
        <f t="shared" si="13"/>
        <v>-3.866455998</v>
      </c>
      <c r="AP333" s="183">
        <f t="array" ref="AP333">INDIRECT("Update"&amp;Projections!$AG$17&amp;"!S"&amp;ROW(B314))</f>
        <v>3.583676471</v>
      </c>
      <c r="AQ333" s="183">
        <f t="array" ref="AQ333">INDIRECT("Update"&amp;Projections!$AG$17&amp;"!T"&amp;ROW(B314))</f>
        <v>0.7882352941</v>
      </c>
    </row>
    <row r="334">
      <c r="A334" s="40" t="str">
        <f>IF(UpdateHashtag!C332="",ROW(UpdateHashtag!C332),UpdateHashtag!C332)</f>
        <v>Kenrich Williams</v>
      </c>
      <c r="B334" s="41">
        <f>IF(TYPE($A334)=1,"",(UpdateHashtag!M332-B$1)/B$2)</f>
        <v>-2.287203715</v>
      </c>
      <c r="C334" s="41">
        <f>IF(TYPE($A334)=1,"",(UpdateHashtag!L332-C$1)/C$2)</f>
        <v>-1.040202395</v>
      </c>
      <c r="D334" s="41">
        <f>IF(TYPE($A334)=1,"",(UpdateHashtag!N332-D$1)/D$2)</f>
        <v>-1.208379905</v>
      </c>
      <c r="E334" s="41">
        <f>IF(TYPE($A334)=1,"",(UpdateHashtag!O332-E$1)/E$2)</f>
        <v>-1.195897812</v>
      </c>
      <c r="F334" s="41">
        <f>IF(TYPE($A334)=1,"",(UpdateHashtag!P332-F$1)/F$2)</f>
        <v>-1.574757169</v>
      </c>
      <c r="G334" s="41">
        <f>IF(TYPE($A334)=1,"",(UpdateHashtag!Q332-G$1)/G$2)</f>
        <v>-0.978628106</v>
      </c>
      <c r="H334" s="41">
        <f>IF(TYPE($A334)=1,"",(UpdateHashtag!I332-H$1)/H$2*I334/$I$1)</f>
        <v>-0.0104529448</v>
      </c>
      <c r="I334" s="41">
        <f>UpdateHashtag!S332</f>
        <v>4</v>
      </c>
      <c r="J334" s="53">
        <f>IF(TYPE($A334)=1,"",(UpdateHashtag!K332-J$1)/J$2*K334/$K$1)</f>
        <v>-0.3730661944</v>
      </c>
      <c r="K334" s="55">
        <f>UpdateHashtag!T332</f>
        <v>0.3</v>
      </c>
      <c r="L334" s="41">
        <f>IF(TYPE($A334)=1,"",-(UpdateHashtag!R332-L$1)/L$2)</f>
        <v>1.337780956</v>
      </c>
      <c r="N334" s="112">
        <v>314.0</v>
      </c>
      <c r="O334" s="170" t="str">
        <f t="array" ref="O334">INDIRECT("Update"&amp;Projections!$AG$17&amp;"!B"&amp;ROW(B315))</f>
        <v/>
      </c>
      <c r="P334" s="172" t="str">
        <f t="array" ref="P334">INDIRECT("Update"&amp;Projections!$AG$17&amp;"!C"&amp;ROW(B315))</f>
        <v>Bones Hyland</v>
      </c>
      <c r="Q334" s="170">
        <f>UpdateHashtag!F381</f>
        <v>20</v>
      </c>
      <c r="R334" s="177" t="str">
        <f>IF(UpdateHashtag!D381="",ROW(UpdateHashtag!D381),UpdateHashtag!D381)</f>
        <v>SF,PF</v>
      </c>
      <c r="S334" s="124">
        <f t="shared" si="1"/>
        <v>-8.249540283</v>
      </c>
      <c r="T334" s="124">
        <f>SUM(AE334:AM334)-IFERROR(IFS(Projections!$I$17,AN334,Projections!$J$17,AO334),"")</f>
        <v>-8.443537458</v>
      </c>
      <c r="U334" s="124">
        <f t="shared" si="2"/>
        <v>-0.1939971755</v>
      </c>
      <c r="V334" s="124">
        <f t="array" ref="V334">INDIRECT("Update"&amp;Projections!$AG$17&amp;"!M"&amp;ROW(B315))</f>
        <v>6.949545455</v>
      </c>
      <c r="W334" s="124">
        <f t="array" ref="W334">INDIRECT("Update"&amp;Projections!$AG$17&amp;"!L"&amp;ROW(B315))</f>
        <v>1.203409091</v>
      </c>
      <c r="X334" s="124">
        <f t="array" ref="X334">INDIRECT("Update"&amp;Projections!$AG$17&amp;"!N"&amp;ROW(B315))</f>
        <v>1.619090909</v>
      </c>
      <c r="Y334" s="124">
        <f t="array" ref="Y334">INDIRECT("Update"&amp;Projections!$AG$17&amp;"!O"&amp;ROW(B315))</f>
        <v>1.964318182</v>
      </c>
      <c r="Z334" s="124">
        <f t="array" ref="Z334">INDIRECT("Update"&amp;Projections!$AG$17&amp;"!P"&amp;ROW(B315))</f>
        <v>0.4777272727</v>
      </c>
      <c r="AA334" s="124">
        <f t="array" ref="AA334">INDIRECT("Update"&amp;Projections!$AG$17&amp;"!Q"&amp;ROW(B315))</f>
        <v>0.1345454545</v>
      </c>
      <c r="AB334" s="180">
        <f t="array" ref="AB334">INDIRECT("Update"&amp;Projections!$AG$17&amp;"!I"&amp;ROW(B315))</f>
        <v>0.3939241957</v>
      </c>
      <c r="AC334" s="180">
        <f t="array" ref="AC334">INDIRECT("Update"&amp;Projections!$AG$17&amp;"!K"&amp;ROW(B315))</f>
        <v>0.8421187308</v>
      </c>
      <c r="AD334" s="124">
        <f t="array" ref="AD334">INDIRECT("Update"&amp;Projections!$AG$17&amp;"!R"&amp;ROW(B315))</f>
        <v>0.9663636364</v>
      </c>
      <c r="AE334" s="124">
        <f t="shared" si="3"/>
        <v>-1.899736026</v>
      </c>
      <c r="AF334" s="124">
        <f t="shared" si="4"/>
        <v>-0.5408565504</v>
      </c>
      <c r="AG334" s="124">
        <f t="shared" si="5"/>
        <v>-1.749567839</v>
      </c>
      <c r="AH334" s="124">
        <f t="shared" si="6"/>
        <v>-0.8942054091</v>
      </c>
      <c r="AI334" s="124">
        <f t="shared" si="7"/>
        <v>-1.64844233</v>
      </c>
      <c r="AJ334" s="124">
        <f t="shared" si="8"/>
        <v>-1.095375964</v>
      </c>
      <c r="AK334" s="124">
        <f t="shared" si="9"/>
        <v>-0.7624374239</v>
      </c>
      <c r="AL334" s="124">
        <f t="shared" si="10"/>
        <v>0.1470840843</v>
      </c>
      <c r="AM334" s="124">
        <f t="shared" si="11"/>
        <v>0</v>
      </c>
      <c r="AN334" s="183">
        <f t="shared" si="12"/>
        <v>-1.899736026</v>
      </c>
      <c r="AO334" s="183">
        <f t="shared" si="13"/>
        <v>-3.649303865</v>
      </c>
      <c r="AP334" s="183">
        <f t="array" ref="AP334">INDIRECT("Update"&amp;Projections!$AG$17&amp;"!S"&amp;ROW(B315))</f>
        <v>6.344090909</v>
      </c>
      <c r="AQ334" s="183">
        <f t="array" ref="AQ334">INDIRECT("Update"&amp;Projections!$AG$17&amp;"!T"&amp;ROW(B315))</f>
        <v>0.8881818182</v>
      </c>
    </row>
    <row r="335">
      <c r="A335" s="40" t="str">
        <f>IF(UpdateHashtag!C333="",ROW(UpdateHashtag!C333),UpdateHashtag!C333)</f>
        <v>Jordan McLaughlin</v>
      </c>
      <c r="B335" s="41">
        <f>IF(TYPE($A335)=1,"",(UpdateHashtag!M333-B$1)/B$2)</f>
        <v>-2.539561609</v>
      </c>
      <c r="C335" s="41">
        <f>IF(TYPE($A335)=1,"",(UpdateHashtag!L333-C$1)/C$2)</f>
        <v>-1.139395249</v>
      </c>
      <c r="D335" s="41">
        <f>IF(TYPE($A335)=1,"",(UpdateHashtag!N333-D$1)/D$2)</f>
        <v>-1.874621799</v>
      </c>
      <c r="E335" s="41">
        <f>IF(TYPE($A335)=1,"",(UpdateHashtag!O333-E$1)/E$2)</f>
        <v>-0.6963455612</v>
      </c>
      <c r="F335" s="41">
        <f>IF(TYPE($A335)=1,"",(UpdateHashtag!P333-F$1)/F$2)</f>
        <v>-1.243925831</v>
      </c>
      <c r="G335" s="41">
        <f>IF(TYPE($A335)=1,"",(UpdateHashtag!Q333-G$1)/G$2)</f>
        <v>-1.156992888</v>
      </c>
      <c r="H335" s="41">
        <f>IF(TYPE($A335)=1,"",(UpdateHashtag!I333-H$1)/H$2*I335/$I$1)</f>
        <v>-0.1389582533</v>
      </c>
      <c r="I335" s="41">
        <f>UpdateHashtag!S333</f>
        <v>2.7</v>
      </c>
      <c r="J335" s="53">
        <f>IF(TYPE($A335)=1,"",(UpdateHashtag!K333-J$1)/J$2*K335/$K$1)</f>
        <v>-0.03159648711</v>
      </c>
      <c r="K335" s="55">
        <f>UpdateHashtag!T333</f>
        <v>0.3</v>
      </c>
      <c r="L335" s="41">
        <f>IF(TYPE($A335)=1,"",-(UpdateHashtag!R333-L$1)/L$2)</f>
        <v>1.238588102</v>
      </c>
      <c r="N335" s="112">
        <v>315.0</v>
      </c>
      <c r="O335" s="170" t="str">
        <f t="array" ref="O335">INDIRECT("Update"&amp;Projections!$AG$17&amp;"!B"&amp;ROW(B316))</f>
        <v/>
      </c>
      <c r="P335" s="172" t="str">
        <f t="array" ref="P335">INDIRECT("Update"&amp;Projections!$AG$17&amp;"!C"&amp;ROW(B316))</f>
        <v>Alex Len</v>
      </c>
      <c r="Q335" s="170">
        <f>UpdateHashtag!F378</f>
        <v>20</v>
      </c>
      <c r="R335" s="177" t="str">
        <f>IF(UpdateHashtag!D378="",ROW(UpdateHashtag!D378),UpdateHashtag!D378)</f>
        <v>PG</v>
      </c>
      <c r="S335" s="124">
        <f t="shared" si="1"/>
        <v>-8.548984311</v>
      </c>
      <c r="T335" s="124">
        <f>SUM(AE335:AM335)-IFERROR(IFS(Projections!$I$17,AN335,Projections!$J$17,AO335),"")</f>
        <v>-8.806249356</v>
      </c>
      <c r="U335" s="124">
        <f t="shared" si="2"/>
        <v>-0.2572650459</v>
      </c>
      <c r="V335" s="124">
        <f t="array" ref="V335">INDIRECT("Update"&amp;Projections!$AG$17&amp;"!M"&amp;ROW(B316))</f>
        <v>3.480273973</v>
      </c>
      <c r="W335" s="124">
        <f t="array" ref="W335">INDIRECT("Update"&amp;Projections!$AG$17&amp;"!L"&amp;ROW(B316))</f>
        <v>0.03219178082</v>
      </c>
      <c r="X335" s="124">
        <f t="array" ref="X335">INDIRECT("Update"&amp;Projections!$AG$17&amp;"!N"&amp;ROW(B316))</f>
        <v>3.556027397</v>
      </c>
      <c r="Y335" s="124">
        <f t="array" ref="Y335">INDIRECT("Update"&amp;Projections!$AG$17&amp;"!O"&amp;ROW(B316))</f>
        <v>1.003561644</v>
      </c>
      <c r="Z335" s="124">
        <f t="array" ref="Z335">INDIRECT("Update"&amp;Projections!$AG$17&amp;"!P"&amp;ROW(B316))</f>
        <v>0.3</v>
      </c>
      <c r="AA335" s="124">
        <f t="array" ref="AA335">INDIRECT("Update"&amp;Projections!$AG$17&amp;"!Q"&amp;ROW(B316))</f>
        <v>0.8753424658</v>
      </c>
      <c r="AB335" s="180">
        <f t="array" ref="AB335">INDIRECT("Update"&amp;Projections!$AG$17&amp;"!I"&amp;ROW(B316))</f>
        <v>0.6025102194</v>
      </c>
      <c r="AC335" s="180">
        <f t="array" ref="AC335">INDIRECT("Update"&amp;Projections!$AG$17&amp;"!K"&amp;ROW(B316))</f>
        <v>0.6290418274</v>
      </c>
      <c r="AD335" s="124">
        <f t="array" ref="AD335">INDIRECT("Update"&amp;Projections!$AG$17&amp;"!R"&amp;ROW(B316))</f>
        <v>0.7112328767</v>
      </c>
      <c r="AE335" s="124">
        <f t="shared" si="3"/>
        <v>-2.525091773</v>
      </c>
      <c r="AF335" s="124">
        <f t="shared" si="4"/>
        <v>-1.702620426</v>
      </c>
      <c r="AG335" s="124">
        <f t="shared" si="5"/>
        <v>-0.9904688783</v>
      </c>
      <c r="AH335" s="124">
        <f t="shared" si="6"/>
        <v>-1.330521855</v>
      </c>
      <c r="AI335" s="124">
        <f t="shared" si="7"/>
        <v>-2.236419844</v>
      </c>
      <c r="AJ335" s="124">
        <f t="shared" si="8"/>
        <v>0.2259450135</v>
      </c>
      <c r="AK335" s="124">
        <f t="shared" si="9"/>
        <v>0.2913197996</v>
      </c>
      <c r="AL335" s="124">
        <f t="shared" si="10"/>
        <v>-0.538391393</v>
      </c>
      <c r="AM335" s="124">
        <f t="shared" si="11"/>
        <v>0</v>
      </c>
      <c r="AN335" s="183">
        <f t="shared" si="12"/>
        <v>-2.525091773</v>
      </c>
      <c r="AO335" s="183">
        <f t="shared" si="13"/>
        <v>-4.761511617</v>
      </c>
      <c r="AP335" s="183">
        <f t="array" ref="AP335">INDIRECT("Update"&amp;Projections!$AG$17&amp;"!S"&amp;ROW(B316))</f>
        <v>2.379315068</v>
      </c>
      <c r="AQ335" s="183">
        <f t="array" ref="AQ335">INDIRECT("Update"&amp;Projections!$AG$17&amp;"!T"&amp;ROW(B316))</f>
        <v>0.9235616438</v>
      </c>
    </row>
    <row r="336">
      <c r="A336" s="40" t="str">
        <f>IF(UpdateHashtag!C334="",ROW(UpdateHashtag!C334),UpdateHashtag!C334)</f>
        <v>Johnny Furphy</v>
      </c>
      <c r="B336" s="41">
        <f>IF(TYPE($A336)=1,"",(UpdateHashtag!M334-B$1)/B$2)</f>
        <v>-2.233127023</v>
      </c>
      <c r="C336" s="41">
        <f>IF(TYPE($A336)=1,"",(UpdateHashtag!L334-C$1)/C$2)</f>
        <v>-0.9410095407</v>
      </c>
      <c r="D336" s="41">
        <f>IF(TYPE($A336)=1,"",(UpdateHashtag!N334-D$1)/D$2)</f>
        <v>-1.286761305</v>
      </c>
      <c r="E336" s="41">
        <f>IF(TYPE($A336)=1,"",(UpdateHashtag!O334-E$1)/E$2)</f>
        <v>-1.513794698</v>
      </c>
      <c r="F336" s="41">
        <f>IF(TYPE($A336)=1,"",(UpdateHashtag!P334-F$1)/F$2)</f>
        <v>-1.574757169</v>
      </c>
      <c r="G336" s="41">
        <f>IF(TYPE($A336)=1,"",(UpdateHashtag!Q334-G$1)/G$2)</f>
        <v>-0.978628106</v>
      </c>
      <c r="H336" s="41">
        <f>IF(TYPE($A336)=1,"",(UpdateHashtag!I334-H$1)/H$2*I336/$I$1)</f>
        <v>-0.1685281453</v>
      </c>
      <c r="I336" s="41">
        <f>UpdateHashtag!S334</f>
        <v>3.6</v>
      </c>
      <c r="J336" s="53">
        <f>IF(TYPE($A336)=1,"",(UpdateHashtag!K334-J$1)/J$2*K336/$K$1)</f>
        <v>-0.167123425</v>
      </c>
      <c r="K336" s="55">
        <f>UpdateHashtag!T334</f>
        <v>1.4</v>
      </c>
      <c r="L336" s="41">
        <f>IF(TYPE($A336)=1,"",-(UpdateHashtag!R334-L$1)/L$2)</f>
        <v>1.238588102</v>
      </c>
      <c r="N336" s="5">
        <v>316.0</v>
      </c>
      <c r="O336" s="170" t="str">
        <f t="array" ref="O336">INDIRECT("Update"&amp;Projections!$AG$17&amp;"!B"&amp;ROW(B317))</f>
        <v/>
      </c>
      <c r="P336" s="172" t="str">
        <f t="array" ref="P336">INDIRECT("Update"&amp;Projections!$AG$17&amp;"!C"&amp;ROW(B317))</f>
        <v>Amir Coffey</v>
      </c>
      <c r="Q336" s="170">
        <f>UpdateHashtag!F371</f>
        <v>20</v>
      </c>
      <c r="R336" s="177" t="str">
        <f>IF(UpdateHashtag!D371="",ROW(UpdateHashtag!D371),UpdateHashtag!D371)</f>
        <v>SF</v>
      </c>
      <c r="S336" s="124">
        <f t="shared" si="1"/>
        <v>-8.290270685</v>
      </c>
      <c r="T336" s="124">
        <f>SUM(AE336:AM336)-IFERROR(IFS(Projections!$I$17,AN336,Projections!$J$17,AO336),"")</f>
        <v>-8.596316874</v>
      </c>
      <c r="U336" s="124">
        <f t="shared" si="2"/>
        <v>-0.3060461891</v>
      </c>
      <c r="V336" s="124">
        <f t="array" ref="V336">INDIRECT("Update"&amp;Projections!$AG$17&amp;"!M"&amp;ROW(B317))</f>
        <v>5.870273973</v>
      </c>
      <c r="W336" s="124">
        <f t="array" ref="W336">INDIRECT("Update"&amp;Projections!$AG$17&amp;"!L"&amp;ROW(B317))</f>
        <v>0.8897260274</v>
      </c>
      <c r="X336" s="124">
        <f t="array" ref="X336">INDIRECT("Update"&amp;Projections!$AG$17&amp;"!N"&amp;ROW(B317))</f>
        <v>1.800684932</v>
      </c>
      <c r="Y336" s="124">
        <f t="array" ref="Y336">INDIRECT("Update"&amp;Projections!$AG$17&amp;"!O"&amp;ROW(B317))</f>
        <v>1.102465753</v>
      </c>
      <c r="Z336" s="124">
        <f t="array" ref="Z336">INDIRECT("Update"&amp;Projections!$AG$17&amp;"!P"&amp;ROW(B317))</f>
        <v>0.5006849315</v>
      </c>
      <c r="AA336" s="124">
        <f t="array" ref="AA336">INDIRECT("Update"&amp;Projections!$AG$17&amp;"!Q"&amp;ROW(B317))</f>
        <v>0.1868493151</v>
      </c>
      <c r="AB336" s="180">
        <f t="array" ref="AB336">INDIRECT("Update"&amp;Projections!$AG$17&amp;"!I"&amp;ROW(B317))</f>
        <v>0.4538966105</v>
      </c>
      <c r="AC336" s="180">
        <f t="array" ref="AC336">INDIRECT("Update"&amp;Projections!$AG$17&amp;"!K"&amp;ROW(B317))</f>
        <v>0.8400475948</v>
      </c>
      <c r="AD336" s="124">
        <f t="array" ref="AD336">INDIRECT("Update"&amp;Projections!$AG$17&amp;"!R"&amp;ROW(B317))</f>
        <v>0.5145205479</v>
      </c>
      <c r="AE336" s="124">
        <f t="shared" si="3"/>
        <v>-2.094280796</v>
      </c>
      <c r="AF336" s="124">
        <f t="shared" si="4"/>
        <v>-0.8520077334</v>
      </c>
      <c r="AG336" s="124">
        <f t="shared" si="5"/>
        <v>-1.678399871</v>
      </c>
      <c r="AH336" s="124">
        <f t="shared" si="6"/>
        <v>-1.2856057</v>
      </c>
      <c r="AI336" s="124">
        <f t="shared" si="7"/>
        <v>-1.5724912</v>
      </c>
      <c r="AJ336" s="124">
        <f t="shared" si="8"/>
        <v>-1.002084297</v>
      </c>
      <c r="AK336" s="124">
        <f t="shared" si="9"/>
        <v>-0.2390401107</v>
      </c>
      <c r="AL336" s="124">
        <f t="shared" si="10"/>
        <v>0.1275928348</v>
      </c>
      <c r="AM336" s="124">
        <f t="shared" si="11"/>
        <v>0</v>
      </c>
      <c r="AN336" s="183">
        <f t="shared" si="12"/>
        <v>-2.094280796</v>
      </c>
      <c r="AO336" s="183">
        <f t="shared" si="13"/>
        <v>-3.772680667</v>
      </c>
      <c r="AP336" s="183">
        <f t="array" ref="AP336">INDIRECT("Update"&amp;Projections!$AG$17&amp;"!S"&amp;ROW(B317))</f>
        <v>4.740684932</v>
      </c>
      <c r="AQ336" s="183">
        <f t="array" ref="AQ336">INDIRECT("Update"&amp;Projections!$AG$17&amp;"!T"&amp;ROW(B317))</f>
        <v>0.805890411</v>
      </c>
    </row>
    <row r="337">
      <c r="A337" s="40" t="str">
        <f>IF(UpdateHashtag!C335="",ROW(UpdateHashtag!C335),UpdateHashtag!C335)</f>
        <v>Ben Sheppard</v>
      </c>
      <c r="B337" s="41">
        <f>IF(TYPE($A337)=1,"",(UpdateHashtag!M335-B$1)/B$2)</f>
        <v>-2.233127023</v>
      </c>
      <c r="C337" s="41">
        <f>IF(TYPE($A337)=1,"",(UpdateHashtag!L335-C$1)/C$2)</f>
        <v>-0.7426238329</v>
      </c>
      <c r="D337" s="41">
        <f>IF(TYPE($A337)=1,"",(UpdateHashtag!N335-D$1)/D$2)</f>
        <v>-1.678668301</v>
      </c>
      <c r="E337" s="41">
        <f>IF(TYPE($A337)=1,"",(UpdateHashtag!O335-E$1)/E$2)</f>
        <v>-1.286725494</v>
      </c>
      <c r="F337" s="41">
        <f>IF(TYPE($A337)=1,"",(UpdateHashtag!P335-F$1)/F$2)</f>
        <v>-0.9130944927</v>
      </c>
      <c r="G337" s="41">
        <f>IF(TYPE($A337)=1,"",(UpdateHashtag!Q335-G$1)/G$2)</f>
        <v>-1.335357671</v>
      </c>
      <c r="H337" s="41">
        <f>IF(TYPE($A337)=1,"",(UpdateHashtag!I335-H$1)/H$2*I337/$I$1)</f>
        <v>-0.5699018396</v>
      </c>
      <c r="I337" s="41">
        <f>UpdateHashtag!S335</f>
        <v>4.7</v>
      </c>
      <c r="J337" s="53">
        <f>IF(TYPE($A337)=1,"",(UpdateHashtag!K335-J$1)/J$2*K337/$K$1)</f>
        <v>0.1616360209</v>
      </c>
      <c r="K337" s="55">
        <f>UpdateHashtag!T335</f>
        <v>0.5</v>
      </c>
      <c r="L337" s="41">
        <f>IF(TYPE($A337)=1,"",-(UpdateHashtag!R335-L$1)/L$2)</f>
        <v>1.43697381</v>
      </c>
      <c r="N337" s="5">
        <v>317.0</v>
      </c>
      <c r="O337" s="170" t="str">
        <f t="array" ref="O337">INDIRECT("Update"&amp;Projections!$AG$17&amp;"!B"&amp;ROW(B318))</f>
        <v/>
      </c>
      <c r="P337" s="172" t="str">
        <f t="array" ref="P337">INDIRECT("Update"&amp;Projections!$AG$17&amp;"!C"&amp;ROW(B318))</f>
        <v>Richaun Holmes</v>
      </c>
      <c r="Q337" s="170">
        <f>UpdateHashtag!F370</f>
        <v>60</v>
      </c>
      <c r="R337" s="177" t="str">
        <f>IF(UpdateHashtag!D370="",ROW(UpdateHashtag!D370),UpdateHashtag!D370)</f>
        <v>SF,PF</v>
      </c>
      <c r="S337" s="124">
        <f t="shared" si="1"/>
        <v>-8.513556271</v>
      </c>
      <c r="T337" s="124">
        <f>SUM(AE337:AM337)-IFERROR(IFS(Projections!$I$17,AN337,Projections!$J$17,AO337),"")</f>
        <v>-8.807478975</v>
      </c>
      <c r="U337" s="124">
        <f t="shared" si="2"/>
        <v>-0.2939227039</v>
      </c>
      <c r="V337" s="124">
        <f t="array" ref="V337">INDIRECT("Update"&amp;Projections!$AG$17&amp;"!M"&amp;ROW(B318))</f>
        <v>4.388636364</v>
      </c>
      <c r="W337" s="124">
        <f t="array" ref="W337">INDIRECT("Update"&amp;Projections!$AG$17&amp;"!L"&amp;ROW(B318))</f>
        <v>0.03295454545</v>
      </c>
      <c r="X337" s="124">
        <f t="array" ref="X337">INDIRECT("Update"&amp;Projections!$AG$17&amp;"!N"&amp;ROW(B318))</f>
        <v>3.943409091</v>
      </c>
      <c r="Y337" s="124">
        <f t="array" ref="Y337">INDIRECT("Update"&amp;Projections!$AG$17&amp;"!O"&amp;ROW(B318))</f>
        <v>0.5611363636</v>
      </c>
      <c r="Z337" s="124">
        <f t="array" ref="Z337">INDIRECT("Update"&amp;Projections!$AG$17&amp;"!P"&amp;ROW(B318))</f>
        <v>0.3379545455</v>
      </c>
      <c r="AA337" s="124">
        <f t="array" ref="AA337">INDIRECT("Update"&amp;Projections!$AG$17&amp;"!Q"&amp;ROW(B318))</f>
        <v>0.5075</v>
      </c>
      <c r="AB337" s="180">
        <f t="array" ref="AB337">INDIRECT("Update"&amp;Projections!$AG$17&amp;"!I"&amp;ROW(B318))</f>
        <v>0.5745394831</v>
      </c>
      <c r="AC337" s="180">
        <f t="array" ref="AC337">INDIRECT("Update"&amp;Projections!$AG$17&amp;"!K"&amp;ROW(B318))</f>
        <v>0.7580844236</v>
      </c>
      <c r="AD337" s="124">
        <f t="array" ref="AD337">INDIRECT("Update"&amp;Projections!$AG$17&amp;"!R"&amp;ROW(B318))</f>
        <v>0.5634090909</v>
      </c>
      <c r="AE337" s="124">
        <f t="shared" si="3"/>
        <v>-2.36135433</v>
      </c>
      <c r="AF337" s="124">
        <f t="shared" si="4"/>
        <v>-1.701863818</v>
      </c>
      <c r="AG337" s="124">
        <f t="shared" si="5"/>
        <v>-0.8386512822</v>
      </c>
      <c r="AH337" s="124">
        <f t="shared" si="6"/>
        <v>-1.531444168</v>
      </c>
      <c r="AI337" s="124">
        <f t="shared" si="7"/>
        <v>-2.110854314</v>
      </c>
      <c r="AJ337" s="124">
        <f t="shared" si="8"/>
        <v>-0.4301564002</v>
      </c>
      <c r="AK337" s="124">
        <f t="shared" si="9"/>
        <v>0.2861808715</v>
      </c>
      <c r="AL337" s="124">
        <f t="shared" si="10"/>
        <v>-0.1193355347</v>
      </c>
      <c r="AM337" s="124">
        <f t="shared" si="11"/>
        <v>0</v>
      </c>
      <c r="AN337" s="183">
        <f t="shared" si="12"/>
        <v>-2.36135433</v>
      </c>
      <c r="AO337" s="183">
        <f t="shared" si="13"/>
        <v>-4.472208643</v>
      </c>
      <c r="AP337" s="183">
        <f t="array" ref="AP337">INDIRECT("Update"&amp;Projections!$AG$17&amp;"!S"&amp;ROW(B318))</f>
        <v>3.183181818</v>
      </c>
      <c r="AQ337" s="183">
        <f t="array" ref="AQ337">INDIRECT("Update"&amp;Projections!$AG$17&amp;"!T"&amp;ROW(B318))</f>
        <v>0.9206818182</v>
      </c>
    </row>
    <row r="338">
      <c r="A338" s="40" t="str">
        <f>IF(UpdateHashtag!C336="",ROW(UpdateHashtag!C336),UpdateHashtag!C336)</f>
        <v>Kenyon Martin Jr.</v>
      </c>
      <c r="B338" s="41">
        <f>IF(TYPE($A338)=1,"",(UpdateHashtag!M336-B$1)/B$2)</f>
        <v>-1.944718001</v>
      </c>
      <c r="C338" s="41">
        <f>IF(TYPE($A338)=1,"",(UpdateHashtag!L336-C$1)/C$2)</f>
        <v>-1.337780956</v>
      </c>
      <c r="D338" s="41">
        <f>IF(TYPE($A338)=1,"",(UpdateHashtag!N336-D$1)/D$2)</f>
        <v>-1.169189206</v>
      </c>
      <c r="E338" s="41">
        <f>IF(TYPE($A338)=1,"",(UpdateHashtag!O336-E$1)/E$2)</f>
        <v>-1.377553175</v>
      </c>
      <c r="F338" s="41">
        <f>IF(TYPE($A338)=1,"",(UpdateHashtag!P336-F$1)/F$2)</f>
        <v>-2.236419844</v>
      </c>
      <c r="G338" s="41">
        <f>IF(TYPE($A338)=1,"",(UpdateHashtag!Q336-G$1)/G$2)</f>
        <v>-0.978628106</v>
      </c>
      <c r="H338" s="41">
        <f>IF(TYPE($A338)=1,"",(UpdateHashtag!I336-H$1)/H$2*I338/$I$1)</f>
        <v>0.3615292089</v>
      </c>
      <c r="I338" s="41">
        <f>UpdateHashtag!S336</f>
        <v>4.8</v>
      </c>
      <c r="J338" s="53">
        <f>IF(TYPE($A338)=1,"",(UpdateHashtag!K336-J$1)/J$2*K338/$K$1)</f>
        <v>-0.6786253733</v>
      </c>
      <c r="K338" s="55">
        <f>UpdateHashtag!T336</f>
        <v>1.4</v>
      </c>
      <c r="L338" s="41">
        <f>IF(TYPE($A338)=1,"",-(UpdateHashtag!R336-L$1)/L$2)</f>
        <v>1.040202395</v>
      </c>
      <c r="N338" s="112">
        <v>318.0</v>
      </c>
      <c r="O338" s="170" t="str">
        <f t="array" ref="O338">INDIRECT("Update"&amp;Projections!$AG$17&amp;"!B"&amp;ROW(B319))</f>
        <v/>
      </c>
      <c r="P338" s="172" t="str">
        <f t="array" ref="P338">INDIRECT("Update"&amp;Projections!$AG$17&amp;"!C"&amp;ROW(B319))</f>
        <v>Reggie Jackson</v>
      </c>
      <c r="Q338" s="170">
        <f>UpdateHashtag!F379</f>
        <v>30</v>
      </c>
      <c r="R338" s="177" t="str">
        <f>IF(UpdateHashtag!D379="",ROW(UpdateHashtag!D379),UpdateHashtag!D379)</f>
        <v>C</v>
      </c>
      <c r="S338" s="124">
        <f t="shared" si="1"/>
        <v>-8.310650758</v>
      </c>
      <c r="T338" s="124">
        <f>SUM(AE338:AM338)-IFERROR(IFS(Projections!$I$17,AN338,Projections!$J$17,AO338),"")</f>
        <v>-8.498243015</v>
      </c>
      <c r="U338" s="124">
        <f t="shared" si="2"/>
        <v>-0.1875922571</v>
      </c>
      <c r="V338" s="124">
        <f t="array" ref="V338">INDIRECT("Update"&amp;Projections!$AG$17&amp;"!M"&amp;ROW(B319))</f>
        <v>6.515205479</v>
      </c>
      <c r="W338" s="124">
        <f t="array" ref="W338">INDIRECT("Update"&amp;Projections!$AG$17&amp;"!L"&amp;ROW(B319))</f>
        <v>0.9132876712</v>
      </c>
      <c r="X338" s="124">
        <f t="array" ref="X338">INDIRECT("Update"&amp;Projections!$AG$17&amp;"!N"&amp;ROW(B319))</f>
        <v>1.837534247</v>
      </c>
      <c r="Y338" s="124">
        <f t="array" ref="Y338">INDIRECT("Update"&amp;Projections!$AG$17&amp;"!O"&amp;ROW(B319))</f>
        <v>2.646027397</v>
      </c>
      <c r="Z338" s="124">
        <f t="array" ref="Z338">INDIRECT("Update"&amp;Projections!$AG$17&amp;"!P"&amp;ROW(B319))</f>
        <v>0.4353424658</v>
      </c>
      <c r="AA338" s="124">
        <f t="array" ref="AA338">INDIRECT("Update"&amp;Projections!$AG$17&amp;"!Q"&amp;ROW(B319))</f>
        <v>0.1110958904</v>
      </c>
      <c r="AB338" s="180">
        <f t="array" ref="AB338">INDIRECT("Update"&amp;Projections!$AG$17&amp;"!I"&amp;ROW(B319))</f>
        <v>0.4001323481</v>
      </c>
      <c r="AC338" s="180">
        <f t="array" ref="AC338">INDIRECT("Update"&amp;Projections!$AG$17&amp;"!K"&amp;ROW(B319))</f>
        <v>0.8669673055</v>
      </c>
      <c r="AD338" s="124">
        <f t="array" ref="AD338">INDIRECT("Update"&amp;Projections!$AG$17&amp;"!R"&amp;ROW(B319))</f>
        <v>0.9921917808</v>
      </c>
      <c r="AE338" s="124">
        <f t="shared" si="3"/>
        <v>-1.978028256</v>
      </c>
      <c r="AF338" s="124">
        <f t="shared" si="4"/>
        <v>-0.8286362665</v>
      </c>
      <c r="AG338" s="124">
        <f t="shared" si="5"/>
        <v>-1.663958367</v>
      </c>
      <c r="AH338" s="124">
        <f t="shared" si="6"/>
        <v>-0.5846150704</v>
      </c>
      <c r="AI338" s="124">
        <f t="shared" si="7"/>
        <v>-1.788664554</v>
      </c>
      <c r="AJ338" s="124">
        <f t="shared" si="8"/>
        <v>-1.137201728</v>
      </c>
      <c r="AK338" s="124">
        <f t="shared" si="9"/>
        <v>-0.7015102983</v>
      </c>
      <c r="AL338" s="124">
        <f t="shared" si="10"/>
        <v>0.184371524</v>
      </c>
      <c r="AM338" s="124">
        <f t="shared" si="11"/>
        <v>0</v>
      </c>
      <c r="AN338" s="183">
        <f t="shared" si="12"/>
        <v>-1.978028256</v>
      </c>
      <c r="AO338" s="183">
        <f t="shared" si="13"/>
        <v>-3.76669281</v>
      </c>
      <c r="AP338" s="183">
        <f t="array" ref="AP338">INDIRECT("Update"&amp;Projections!$AG$17&amp;"!S"&amp;ROW(B319))</f>
        <v>6.210273973</v>
      </c>
      <c r="AQ338" s="183">
        <f t="array" ref="AQ338">INDIRECT("Update"&amp;Projections!$AG$17&amp;"!T"&amp;ROW(B319))</f>
        <v>0.7290410959</v>
      </c>
    </row>
    <row r="339">
      <c r="A339" s="40" t="str">
        <f>IF(UpdateHashtag!C337="",ROW(UpdateHashtag!C337),UpdateHashtag!C337)</f>
        <v>Dwight Powell</v>
      </c>
      <c r="B339" s="41">
        <f>IF(TYPE($A339)=1,"",(UpdateHashtag!M337-B$1)/B$2)</f>
        <v>-2.395357098</v>
      </c>
      <c r="C339" s="41">
        <f>IF(TYPE($A339)=1,"",(UpdateHashtag!L337-C$1)/C$2)</f>
        <v>-1.734552372</v>
      </c>
      <c r="D339" s="41">
        <f>IF(TYPE($A339)=1,"",(UpdateHashtag!N337-D$1)/D$2)</f>
        <v>-1.169189206</v>
      </c>
      <c r="E339" s="41">
        <f>IF(TYPE($A339)=1,"",(UpdateHashtag!O337-E$1)/E$2)</f>
        <v>-1.377553175</v>
      </c>
      <c r="F339" s="41">
        <f>IF(TYPE($A339)=1,"",(UpdateHashtag!P337-F$1)/F$2)</f>
        <v>-1.905588506</v>
      </c>
      <c r="G339" s="41">
        <f>IF(TYPE($A339)=1,"",(UpdateHashtag!Q337-G$1)/G$2)</f>
        <v>-0.8002633236</v>
      </c>
      <c r="H339" s="41">
        <f>IF(TYPE($A339)=1,"",(UpdateHashtag!I337-H$1)/H$2*I339/$I$1)</f>
        <v>0.5674568741</v>
      </c>
      <c r="I339" s="41">
        <f>UpdateHashtag!S337</f>
        <v>2.2</v>
      </c>
      <c r="J339" s="53">
        <f>IF(TYPE($A339)=1,"",(UpdateHashtag!K337-J$1)/J$2*K339/$K$1)</f>
        <v>-0.6164371351</v>
      </c>
      <c r="K339" s="55">
        <f>UpdateHashtag!T337</f>
        <v>1.5</v>
      </c>
      <c r="L339" s="41">
        <f>IF(TYPE($A339)=1,"",-(UpdateHashtag!R337-L$1)/L$2)</f>
        <v>1.139395249</v>
      </c>
      <c r="N339" s="112">
        <v>319.0</v>
      </c>
      <c r="O339" s="170" t="str">
        <f t="array" ref="O339">INDIRECT("Update"&amp;Projections!$AG$17&amp;"!B"&amp;ROW(B320))</f>
        <v/>
      </c>
      <c r="P339" s="172" t="str">
        <f t="array" ref="P339">INDIRECT("Update"&amp;Projections!$AG$17&amp;"!C"&amp;ROW(B320))</f>
        <v>Vlatko Cancar</v>
      </c>
      <c r="Q339" s="170">
        <f>UpdateHashtag!F384</f>
        <v>40</v>
      </c>
      <c r="R339" s="177" t="str">
        <f>IF(UpdateHashtag!D384="",ROW(UpdateHashtag!D384),UpdateHashtag!D384)</f>
        <v>PF</v>
      </c>
      <c r="S339" s="124">
        <f t="shared" si="1"/>
        <v>-8.454104845</v>
      </c>
      <c r="T339" s="124">
        <f>SUM(AE339:AM339)-IFERROR(IFS(Projections!$I$17,AN339,Projections!$J$17,AO339),"")</f>
        <v>-8.715618945</v>
      </c>
      <c r="U339" s="124">
        <f t="shared" si="2"/>
        <v>-0.2615140998</v>
      </c>
      <c r="V339" s="124">
        <f t="array" ref="V339">INDIRECT("Update"&amp;Projections!$AG$17&amp;"!M"&amp;ROW(B320))</f>
        <v>5.10704918</v>
      </c>
      <c r="W339" s="124">
        <f t="array" ref="W339">INDIRECT("Update"&amp;Projections!$AG$17&amp;"!L"&amp;ROW(B320))</f>
        <v>0.6795081967</v>
      </c>
      <c r="X339" s="124">
        <f t="array" ref="X339">INDIRECT("Update"&amp;Projections!$AG$17&amp;"!N"&amp;ROW(B320))</f>
        <v>2.568360656</v>
      </c>
      <c r="Y339" s="124">
        <f t="array" ref="Y339">INDIRECT("Update"&amp;Projections!$AG$17&amp;"!O"&amp;ROW(B320))</f>
        <v>1.180163934</v>
      </c>
      <c r="Z339" s="124">
        <f t="array" ref="Z339">INDIRECT("Update"&amp;Projections!$AG$17&amp;"!P"&amp;ROW(B320))</f>
        <v>0.4321311475</v>
      </c>
      <c r="AA339" s="124">
        <f t="array" ref="AA339">INDIRECT("Update"&amp;Projections!$AG$17&amp;"!Q"&amp;ROW(B320))</f>
        <v>0.2378688525</v>
      </c>
      <c r="AB339" s="180">
        <f t="array" ref="AB339">INDIRECT("Update"&amp;Projections!$AG$17&amp;"!I"&amp;ROW(B320))</f>
        <v>0.4716996237</v>
      </c>
      <c r="AC339" s="180">
        <f t="array" ref="AC339">INDIRECT("Update"&amp;Projections!$AG$17&amp;"!K"&amp;ROW(B320))</f>
        <v>0.8099835178</v>
      </c>
      <c r="AD339" s="124">
        <f t="array" ref="AD339">INDIRECT("Update"&amp;Projections!$AG$17&amp;"!R"&amp;ROW(B320))</f>
        <v>0.6940983607</v>
      </c>
      <c r="AE339" s="124">
        <f t="shared" si="3"/>
        <v>-2.231856369</v>
      </c>
      <c r="AF339" s="124">
        <f t="shared" si="4"/>
        <v>-1.060528799</v>
      </c>
      <c r="AG339" s="124">
        <f t="shared" si="5"/>
        <v>-1.377542384</v>
      </c>
      <c r="AH339" s="124">
        <f t="shared" si="6"/>
        <v>-1.250319972</v>
      </c>
      <c r="AI339" s="124">
        <f t="shared" si="7"/>
        <v>-1.799288601</v>
      </c>
      <c r="AJ339" s="124">
        <f t="shared" si="8"/>
        <v>-0.9110834097</v>
      </c>
      <c r="AK339" s="124">
        <f t="shared" si="9"/>
        <v>-0.1216964841</v>
      </c>
      <c r="AL339" s="124">
        <f t="shared" si="10"/>
        <v>0.0366970743</v>
      </c>
      <c r="AM339" s="124">
        <f t="shared" si="11"/>
        <v>0</v>
      </c>
      <c r="AN339" s="183">
        <f t="shared" si="12"/>
        <v>-2.231856369</v>
      </c>
      <c r="AO339" s="183">
        <f t="shared" si="13"/>
        <v>-4.03114497</v>
      </c>
      <c r="AP339" s="183">
        <f t="array" ref="AP339">INDIRECT("Update"&amp;Projections!$AG$17&amp;"!S"&amp;ROW(B320))</f>
        <v>4.095409836</v>
      </c>
      <c r="AQ339" s="183">
        <f t="array" ref="AQ339">INDIRECT("Update"&amp;Projections!$AG$17&amp;"!T"&amp;ROW(B320))</f>
        <v>0.6962295082</v>
      </c>
    </row>
    <row r="340">
      <c r="A340" s="40" t="str">
        <f>IF(UpdateHashtag!C338="",ROW(UpdateHashtag!C338),UpdateHashtag!C338)</f>
        <v>Yves Missi</v>
      </c>
      <c r="B340" s="41">
        <f>IF(TYPE($A340)=1,"",(UpdateHashtag!M338-B$1)/B$2)</f>
        <v>-2.016820257</v>
      </c>
      <c r="C340" s="41">
        <f>IF(TYPE($A340)=1,"",(UpdateHashtag!L338-C$1)/C$2)</f>
        <v>-1.734552372</v>
      </c>
      <c r="D340" s="41">
        <f>IF(TYPE($A340)=1,"",(UpdateHashtag!N338-D$1)/D$2)</f>
        <v>-1.090807806</v>
      </c>
      <c r="E340" s="41">
        <f>IF(TYPE($A340)=1,"",(UpdateHashtag!O338-E$1)/E$2)</f>
        <v>-1.695450062</v>
      </c>
      <c r="F340" s="41">
        <f>IF(TYPE($A340)=1,"",(UpdateHashtag!P338-F$1)/F$2)</f>
        <v>-1.905588506</v>
      </c>
      <c r="G340" s="41">
        <f>IF(TYPE($A340)=1,"",(UpdateHashtag!Q338-G$1)/G$2)</f>
        <v>0.2699253707</v>
      </c>
      <c r="H340" s="41">
        <f>IF(TYPE($A340)=1,"",(UpdateHashtag!I338-H$1)/H$2*I340/$I$1)</f>
        <v>0.5296316371</v>
      </c>
      <c r="I340" s="41">
        <f>UpdateHashtag!S338</f>
        <v>3.9</v>
      </c>
      <c r="J340" s="53">
        <f>IF(TYPE($A340)=1,"",(UpdateHashtag!K338-J$1)/J$2*K340/$K$1)</f>
        <v>-1.517474516</v>
      </c>
      <c r="K340" s="55">
        <f>UpdateHashtag!T338</f>
        <v>2.4</v>
      </c>
      <c r="L340" s="41">
        <f>IF(TYPE($A340)=1,"",-(UpdateHashtag!R338-L$1)/L$2)</f>
        <v>1.040202395</v>
      </c>
      <c r="N340" s="5">
        <v>320.0</v>
      </c>
      <c r="O340" s="170" t="str">
        <f t="array" ref="O340">INDIRECT("Update"&amp;Projections!$AG$17&amp;"!B"&amp;ROW(B321))</f>
        <v/>
      </c>
      <c r="P340" s="172" t="str">
        <f t="array" ref="P340">INDIRECT("Update"&amp;Projections!$AG$17&amp;"!C"&amp;ROW(B321))</f>
        <v>Gabe Vincent</v>
      </c>
      <c r="Q340" s="170">
        <f>UpdateHashtag!F374</f>
        <v>40</v>
      </c>
      <c r="R340" s="177" t="str">
        <f>IF(UpdateHashtag!D374="",ROW(UpdateHashtag!D374),UpdateHashtag!D374)</f>
        <v>C</v>
      </c>
      <c r="S340" s="124">
        <f t="shared" si="1"/>
        <v>-8.355865037</v>
      </c>
      <c r="T340" s="124">
        <f>SUM(AE340:AM340)-IFERROR(IFS(Projections!$I$17,AN340,Projections!$J$17,AO340),"")</f>
        <v>-8.570294216</v>
      </c>
      <c r="U340" s="124">
        <f t="shared" si="2"/>
        <v>-0.2144291795</v>
      </c>
      <c r="V340" s="124">
        <f t="array" ref="V340">INDIRECT("Update"&amp;Projections!$AG$17&amp;"!M"&amp;ROW(B321))</f>
        <v>5.543382353</v>
      </c>
      <c r="W340" s="124">
        <f t="array" ref="W340">INDIRECT("Update"&amp;Projections!$AG$17&amp;"!L"&amp;ROW(B321))</f>
        <v>1.019117647</v>
      </c>
      <c r="X340" s="124">
        <f t="array" ref="X340">INDIRECT("Update"&amp;Projections!$AG$17&amp;"!N"&amp;ROW(B321))</f>
        <v>1.156029412</v>
      </c>
      <c r="Y340" s="124">
        <f t="array" ref="Y340">INDIRECT("Update"&amp;Projections!$AG$17&amp;"!O"&amp;ROW(B321))</f>
        <v>2.04</v>
      </c>
      <c r="Z340" s="124">
        <f t="array" ref="Z340">INDIRECT("Update"&amp;Projections!$AG$17&amp;"!P"&amp;ROW(B321))</f>
        <v>0.6075</v>
      </c>
      <c r="AA340" s="124">
        <f t="array" ref="AA340">INDIRECT("Update"&amp;Projections!$AG$17&amp;"!Q"&amp;ROW(B321))</f>
        <v>0.03411764706</v>
      </c>
      <c r="AB340" s="180">
        <f t="array" ref="AB340">INDIRECT("Update"&amp;Projections!$AG$17&amp;"!I"&amp;ROW(B321))</f>
        <v>0.4110942249</v>
      </c>
      <c r="AC340" s="180">
        <f t="array" ref="AC340">INDIRECT("Update"&amp;Projections!$AG$17&amp;"!K"&amp;ROW(B321))</f>
        <v>0.8548701299</v>
      </c>
      <c r="AD340" s="124">
        <f t="array" ref="AD340">INDIRECT("Update"&amp;Projections!$AG$17&amp;"!R"&amp;ROW(B321))</f>
        <v>0.8839705882</v>
      </c>
      <c r="AE340" s="124">
        <f t="shared" si="3"/>
        <v>-2.153204854</v>
      </c>
      <c r="AF340" s="124">
        <f t="shared" si="4"/>
        <v>-0.7236604932</v>
      </c>
      <c r="AG340" s="124">
        <f t="shared" si="5"/>
        <v>-1.93104488</v>
      </c>
      <c r="AH340" s="124">
        <f t="shared" si="6"/>
        <v>-0.8598353886</v>
      </c>
      <c r="AI340" s="124">
        <f t="shared" si="7"/>
        <v>-1.21911348</v>
      </c>
      <c r="AJ340" s="124">
        <f t="shared" si="8"/>
        <v>-1.274503804</v>
      </c>
      <c r="AK340" s="124">
        <f t="shared" si="9"/>
        <v>-0.5042291386</v>
      </c>
      <c r="AL340" s="124">
        <f t="shared" si="10"/>
        <v>0.09529782224</v>
      </c>
      <c r="AM340" s="124">
        <f t="shared" si="11"/>
        <v>0</v>
      </c>
      <c r="AN340" s="183">
        <f t="shared" si="12"/>
        <v>-2.153204854</v>
      </c>
      <c r="AO340" s="183">
        <f t="shared" si="13"/>
        <v>-4.084249734</v>
      </c>
      <c r="AP340" s="183">
        <f t="array" ref="AP340">INDIRECT("Update"&amp;Projections!$AG$17&amp;"!S"&amp;ROW(B321))</f>
        <v>5.031764706</v>
      </c>
      <c r="AQ340" s="183">
        <f t="array" ref="AQ340">INDIRECT("Update"&amp;Projections!$AG$17&amp;"!T"&amp;ROW(B321))</f>
        <v>0.4529411765</v>
      </c>
    </row>
    <row r="341">
      <c r="A341" s="40" t="str">
        <f>IF(UpdateHashtag!C339="",ROW(UpdateHashtag!C339),UpdateHashtag!C339)</f>
        <v>Jake LaRavia</v>
      </c>
      <c r="B341" s="41">
        <f>IF(TYPE($A341)=1,"",(UpdateHashtag!M339-B$1)/B$2)</f>
        <v>-2.088922512</v>
      </c>
      <c r="C341" s="41">
        <f>IF(TYPE($A341)=1,"",(UpdateHashtag!L339-C$1)/C$2)</f>
        <v>-0.8418166868</v>
      </c>
      <c r="D341" s="41">
        <f>IF(TYPE($A341)=1,"",(UpdateHashtag!N339-D$1)/D$2)</f>
        <v>-1.482714803</v>
      </c>
      <c r="E341" s="41">
        <f>IF(TYPE($A341)=1,"",(UpdateHashtag!O339-E$1)/E$2)</f>
        <v>-1.332139334</v>
      </c>
      <c r="F341" s="41">
        <f>IF(TYPE($A341)=1,"",(UpdateHashtag!P339-F$1)/F$2)</f>
        <v>-1.574757169</v>
      </c>
      <c r="G341" s="41">
        <f>IF(TYPE($A341)=1,"",(UpdateHashtag!Q339-G$1)/G$2)</f>
        <v>-0.978628106</v>
      </c>
      <c r="H341" s="41">
        <f>IF(TYPE($A341)=1,"",(UpdateHashtag!I339-H$1)/H$2*I341/$I$1)</f>
        <v>-0.6169509474</v>
      </c>
      <c r="I341" s="41">
        <f>UpdateHashtag!S339</f>
        <v>4.9</v>
      </c>
      <c r="J341" s="53">
        <f>IF(TYPE($A341)=1,"",(UpdateHashtag!K339-J$1)/J$2*K341/$K$1)</f>
        <v>0.1371148423</v>
      </c>
      <c r="K341" s="55">
        <f>UpdateHashtag!T339</f>
        <v>1.5</v>
      </c>
      <c r="L341" s="41">
        <f>IF(TYPE($A341)=1,"",-(UpdateHashtag!R339-L$1)/L$2)</f>
        <v>0.9410095407</v>
      </c>
      <c r="N341" s="5">
        <v>321.0</v>
      </c>
      <c r="O341" s="170" t="str">
        <f t="array" ref="O341">INDIRECT("Update"&amp;Projections!$AG$17&amp;"!B"&amp;ROW(B322))</f>
        <v>#N/A</v>
      </c>
      <c r="P341" s="172" t="str">
        <f t="array" ref="P341">INDIRECT("Update"&amp;Projections!$AG$17&amp;"!C"&amp;ROW(B322))</f>
        <v>Jett Howard</v>
      </c>
      <c r="Q341" s="170">
        <f>UpdateHashtag!F386</f>
        <v>10</v>
      </c>
      <c r="R341" s="177" t="str">
        <f>IF(UpdateHashtag!D386="",ROW(UpdateHashtag!D386),UpdateHashtag!D386)</f>
        <v>PF</v>
      </c>
      <c r="S341" s="124">
        <f t="shared" si="1"/>
        <v>-8.28300827</v>
      </c>
      <c r="T341" s="124">
        <f>SUM(AE341:AM341)-IFERROR(IFS(Projections!$I$17,AN341,Projections!$J$17,AO341),"")</f>
        <v>-8.55627326</v>
      </c>
      <c r="U341" s="124">
        <f t="shared" si="2"/>
        <v>-0.2732649891</v>
      </c>
      <c r="V341" s="124">
        <f t="array" ref="V341">INDIRECT("Update"&amp;Projections!$AG$17&amp;"!M"&amp;ROW(B322))</f>
        <v>7.168630137</v>
      </c>
      <c r="W341" s="124">
        <f t="array" ref="W341">INDIRECT("Update"&amp;Projections!$AG$17&amp;"!L"&amp;ROW(B322))</f>
        <v>1.664383562</v>
      </c>
      <c r="X341" s="124">
        <f t="array" ref="X341">INDIRECT("Update"&amp;Projections!$AG$17&amp;"!N"&amp;ROW(B322))</f>
        <v>1.71369863</v>
      </c>
      <c r="Y341" s="124">
        <f t="array" ref="Y341">INDIRECT("Update"&amp;Projections!$AG$17&amp;"!O"&amp;ROW(B322))</f>
        <v>1.325616438</v>
      </c>
      <c r="Z341" s="124">
        <f t="array" ref="Z341">INDIRECT("Update"&amp;Projections!$AG$17&amp;"!P"&amp;ROW(B322))</f>
        <v>0.3082191781</v>
      </c>
      <c r="AA341" s="124">
        <f t="array" ref="AA341">INDIRECT("Update"&amp;Projections!$AG$17&amp;"!Q"&amp;ROW(B322))</f>
        <v>0.3232876712</v>
      </c>
      <c r="AB341" s="180">
        <f t="array" ref="AB341">INDIRECT("Update"&amp;Projections!$AG$17&amp;"!I"&amp;ROW(B322))</f>
        <v>0.3986073867</v>
      </c>
      <c r="AC341" s="180">
        <f t="array" ref="AC341">INDIRECT("Update"&amp;Projections!$AG$17&amp;"!K"&amp;ROW(B322))</f>
        <v>0.7780657703</v>
      </c>
      <c r="AD341" s="124">
        <f t="array" ref="AD341">INDIRECT("Update"&amp;Projections!$AG$17&amp;"!R"&amp;ROW(B322))</f>
        <v>0.6467123288</v>
      </c>
      <c r="AE341" s="124">
        <f t="shared" si="3"/>
        <v>-1.860244776</v>
      </c>
      <c r="AF341" s="124">
        <f t="shared" si="4"/>
        <v>-0.08360281688</v>
      </c>
      <c r="AG341" s="124">
        <f t="shared" si="5"/>
        <v>-1.712490412</v>
      </c>
      <c r="AH341" s="124">
        <f t="shared" si="6"/>
        <v>-1.184264403</v>
      </c>
      <c r="AI341" s="124">
        <f t="shared" si="7"/>
        <v>-2.209228228</v>
      </c>
      <c r="AJ341" s="124">
        <f t="shared" si="8"/>
        <v>-0.7587263196</v>
      </c>
      <c r="AK341" s="124">
        <f t="shared" si="9"/>
        <v>-0.6974691397</v>
      </c>
      <c r="AL341" s="124">
        <f t="shared" si="10"/>
        <v>-0.05024716441</v>
      </c>
      <c r="AM341" s="124">
        <f t="shared" si="11"/>
        <v>0</v>
      </c>
      <c r="AN341" s="183">
        <f t="shared" si="12"/>
        <v>-2.209228228</v>
      </c>
      <c r="AO341" s="183">
        <f t="shared" si="13"/>
        <v>-4.069473004</v>
      </c>
      <c r="AP341" s="183">
        <f t="array" ref="AP341">INDIRECT("Update"&amp;Projections!$AG$17&amp;"!S"&amp;ROW(B322))</f>
        <v>6.079041096</v>
      </c>
      <c r="AQ341" s="183">
        <f t="array" ref="AQ341">INDIRECT("Update"&amp;Projections!$AG$17&amp;"!T"&amp;ROW(B322))</f>
        <v>0.8456164384</v>
      </c>
    </row>
    <row r="342">
      <c r="A342" s="40" t="str">
        <f>IF(UpdateHashtag!C340="",ROW(UpdateHashtag!C340),UpdateHashtag!C340)</f>
        <v>Kel'el Ware</v>
      </c>
      <c r="B342" s="41">
        <f>IF(TYPE($A342)=1,"",(UpdateHashtag!M340-B$1)/B$2)</f>
        <v>-2.016820257</v>
      </c>
      <c r="C342" s="41">
        <f>IF(TYPE($A342)=1,"",(UpdateHashtag!L340-C$1)/C$2)</f>
        <v>-1.536166664</v>
      </c>
      <c r="D342" s="41">
        <f>IF(TYPE($A342)=1,"",(UpdateHashtag!N340-D$1)/D$2)</f>
        <v>-0.8556636087</v>
      </c>
      <c r="E342" s="41">
        <f>IF(TYPE($A342)=1,"",(UpdateHashtag!O340-E$1)/E$2)</f>
        <v>-1.513794698</v>
      </c>
      <c r="F342" s="41">
        <f>IF(TYPE($A342)=1,"",(UpdateHashtag!P340-F$1)/F$2)</f>
        <v>-2.567251182</v>
      </c>
      <c r="G342" s="41">
        <f>IF(TYPE($A342)=1,"",(UpdateHashtag!Q340-G$1)/G$2)</f>
        <v>-0.08680419409</v>
      </c>
      <c r="H342" s="41">
        <f>IF(TYPE($A342)=1,"",(UpdateHashtag!I340-H$1)/H$2*I342/$I$1)</f>
        <v>0.08237044572</v>
      </c>
      <c r="I342" s="41">
        <f>UpdateHashtag!S340</f>
        <v>4.8</v>
      </c>
      <c r="J342" s="53">
        <f>IF(TYPE($A342)=1,"",(UpdateHashtag!K340-J$1)/J$2*K342/$K$1)</f>
        <v>-1.024282651</v>
      </c>
      <c r="K342" s="55">
        <f>UpdateHashtag!T340</f>
        <v>1.8</v>
      </c>
      <c r="L342" s="41">
        <f>IF(TYPE($A342)=1,"",-(UpdateHashtag!R340-L$1)/L$2)</f>
        <v>1.139395249</v>
      </c>
      <c r="N342" s="112">
        <v>322.0</v>
      </c>
      <c r="O342" s="170" t="str">
        <f t="array" ref="O342">INDIRECT("Update"&amp;Projections!$AG$17&amp;"!B"&amp;ROW(B323))</f>
        <v>#N/A</v>
      </c>
      <c r="P342" s="172" t="str">
        <f t="array" ref="P342">INDIRECT("Update"&amp;Projections!$AG$17&amp;"!C"&amp;ROW(B323))</f>
        <v>Tyler Kolek</v>
      </c>
      <c r="Q342" s="170">
        <f>UpdateHashtag!F382</f>
        <v>30</v>
      </c>
      <c r="R342" s="177" t="str">
        <f>IF(UpdateHashtag!D382="",ROW(UpdateHashtag!D382),UpdateHashtag!D382)</f>
        <v>SG,SF</v>
      </c>
      <c r="S342" s="124">
        <f t="shared" si="1"/>
        <v>-8.407662075</v>
      </c>
      <c r="T342" s="124">
        <f>SUM(AE342:AM342)-IFERROR(IFS(Projections!$I$17,AN342,Projections!$J$17,AO342),"")</f>
        <v>-8.573479462</v>
      </c>
      <c r="U342" s="124">
        <f t="shared" si="2"/>
        <v>-0.1658173874</v>
      </c>
      <c r="V342" s="124">
        <f t="array" ref="V342">INDIRECT("Update"&amp;Projections!$AG$17&amp;"!M"&amp;ROW(B323))</f>
        <v>5.181369863</v>
      </c>
      <c r="W342" s="124">
        <f t="array" ref="W342">INDIRECT("Update"&amp;Projections!$AG$17&amp;"!L"&amp;ROW(B323))</f>
        <v>0.8401369863</v>
      </c>
      <c r="X342" s="124">
        <f t="array" ref="X342">INDIRECT("Update"&amp;Projections!$AG$17&amp;"!N"&amp;ROW(B323))</f>
        <v>1.77</v>
      </c>
      <c r="Y342" s="124">
        <f t="array" ref="Y342">INDIRECT("Update"&amp;Projections!$AG$17&amp;"!O"&amp;ROW(B323))</f>
        <v>2.7</v>
      </c>
      <c r="Z342" s="124">
        <f t="array" ref="Z342">INDIRECT("Update"&amp;Projections!$AG$17&amp;"!P"&amp;ROW(B323))</f>
        <v>0.54</v>
      </c>
      <c r="AA342" s="124">
        <f t="array" ref="AA342">INDIRECT("Update"&amp;Projections!$AG$17&amp;"!Q"&amp;ROW(B323))</f>
        <v>0.09</v>
      </c>
      <c r="AB342" s="180">
        <f t="array" ref="AB342">INDIRECT("Update"&amp;Projections!$AG$17&amp;"!I"&amp;ROW(B323))</f>
        <v>0.3879327568</v>
      </c>
      <c r="AC342" s="180">
        <f t="array" ref="AC342">INDIRECT("Update"&amp;Projections!$AG$17&amp;"!K"&amp;ROW(B323))</f>
        <v>0.8039600428</v>
      </c>
      <c r="AD342" s="124">
        <f t="array" ref="AD342">INDIRECT("Update"&amp;Projections!$AG$17&amp;"!R"&amp;ROW(B323))</f>
        <v>1.08</v>
      </c>
      <c r="AE342" s="124">
        <f t="shared" si="3"/>
        <v>-2.218459647</v>
      </c>
      <c r="AF342" s="124">
        <f t="shared" si="4"/>
        <v>-0.9011965185</v>
      </c>
      <c r="AG342" s="124">
        <f t="shared" si="5"/>
        <v>-1.690425511</v>
      </c>
      <c r="AH342" s="124">
        <f t="shared" si="6"/>
        <v>-0.5601040384</v>
      </c>
      <c r="AI342" s="124">
        <f t="shared" si="7"/>
        <v>-1.442424633</v>
      </c>
      <c r="AJ342" s="124">
        <f t="shared" si="8"/>
        <v>-1.174829367</v>
      </c>
      <c r="AK342" s="124">
        <f t="shared" si="9"/>
        <v>-0.6102664642</v>
      </c>
      <c r="AL342" s="124">
        <f t="shared" si="10"/>
        <v>0.0242267165</v>
      </c>
      <c r="AM342" s="124">
        <f t="shared" si="11"/>
        <v>0</v>
      </c>
      <c r="AN342" s="183">
        <f t="shared" si="12"/>
        <v>-2.218459647</v>
      </c>
      <c r="AO342" s="183">
        <f t="shared" si="13"/>
        <v>-3.908885157</v>
      </c>
      <c r="AP342" s="183">
        <f t="array" ref="AP342">INDIRECT("Update"&amp;Projections!$AG$17&amp;"!S"&amp;ROW(B323))</f>
        <v>4.799589041</v>
      </c>
      <c r="AQ342" s="183">
        <f t="array" ref="AQ342">INDIRECT("Update"&amp;Projections!$AG$17&amp;"!T"&amp;ROW(B323))</f>
        <v>0.7679452055</v>
      </c>
    </row>
    <row r="343">
      <c r="A343" s="40" t="str">
        <f>IF(UpdateHashtag!C341="",ROW(UpdateHashtag!C341),UpdateHashtag!C341)</f>
        <v>Tristan Da Silva</v>
      </c>
      <c r="B343" s="41">
        <f>IF(TYPE($A343)=1,"",(UpdateHashtag!M341-B$1)/B$2)</f>
        <v>-2.179050332</v>
      </c>
      <c r="C343" s="41">
        <f>IF(TYPE($A343)=1,"",(UpdateHashtag!L341-C$1)/C$2)</f>
        <v>-1.139395249</v>
      </c>
      <c r="D343" s="41">
        <f>IF(TYPE($A343)=1,"",(UpdateHashtag!N341-D$1)/D$2)</f>
        <v>-1.717859001</v>
      </c>
      <c r="E343" s="41">
        <f>IF(TYPE($A343)=1,"",(UpdateHashtag!O341-E$1)/E$2)</f>
        <v>-1.422967016</v>
      </c>
      <c r="F343" s="41">
        <f>IF(TYPE($A343)=1,"",(UpdateHashtag!P341-F$1)/F$2)</f>
        <v>-1.905588506</v>
      </c>
      <c r="G343" s="41">
        <f>IF(TYPE($A343)=1,"",(UpdateHashtag!Q341-G$1)/G$2)</f>
        <v>-0.978628106</v>
      </c>
      <c r="H343" s="41">
        <f>IF(TYPE($A343)=1,"",(UpdateHashtag!I341-H$1)/H$2*I343/$I$1)</f>
        <v>-0.02380061088</v>
      </c>
      <c r="I343" s="41">
        <f>UpdateHashtag!S341</f>
        <v>3.9</v>
      </c>
      <c r="J343" s="53">
        <f>IF(TYPE($A343)=1,"",(UpdateHashtag!K341-J$1)/J$2*K343/$K$1)</f>
        <v>0.1335666489</v>
      </c>
      <c r="K343" s="55">
        <f>UpdateHashtag!T341</f>
        <v>1</v>
      </c>
      <c r="L343" s="41">
        <f>IF(TYPE($A343)=1,"",-(UpdateHashtag!R341-L$1)/L$2)</f>
        <v>1.139395249</v>
      </c>
      <c r="N343" s="112">
        <v>323.0</v>
      </c>
      <c r="O343" s="170" t="str">
        <f t="array" ref="O343">INDIRECT("Update"&amp;Projections!$AG$17&amp;"!B"&amp;ROW(B324))</f>
        <v/>
      </c>
      <c r="P343" s="172" t="str">
        <f t="array" ref="P343">INDIRECT("Update"&amp;Projections!$AG$17&amp;"!C"&amp;ROW(B324))</f>
        <v>Devin Carter</v>
      </c>
      <c r="Q343" s="170">
        <f>UpdateHashtag!F369</f>
        <v>30</v>
      </c>
      <c r="R343" s="177" t="str">
        <f>IF(UpdateHashtag!D369="",ROW(UpdateHashtag!D369),UpdateHashtag!D369)</f>
        <v>SF</v>
      </c>
      <c r="S343" s="124">
        <f t="shared" si="1"/>
        <v>-8.424570672</v>
      </c>
      <c r="T343" s="124">
        <f>SUM(AE343:AM343)-IFERROR(IFS(Projections!$I$17,AN343,Projections!$J$17,AO343),"")</f>
        <v>-8.592063614</v>
      </c>
      <c r="U343" s="124">
        <f t="shared" si="2"/>
        <v>-0.1674929425</v>
      </c>
      <c r="V343" s="124">
        <f t="array" ref="V343">INDIRECT("Update"&amp;Projections!$AG$17&amp;"!M"&amp;ROW(B324))</f>
        <v>5.814054054</v>
      </c>
      <c r="W343" s="124">
        <f t="array" ref="W343">INDIRECT("Update"&amp;Projections!$AG$17&amp;"!L"&amp;ROW(B324))</f>
        <v>0.7205405405</v>
      </c>
      <c r="X343" s="124">
        <f t="array" ref="X343">INDIRECT("Update"&amp;Projections!$AG$17&amp;"!N"&amp;ROW(B324))</f>
        <v>2.714324324</v>
      </c>
      <c r="Y343" s="124">
        <f t="array" ref="Y343">INDIRECT("Update"&amp;Projections!$AG$17&amp;"!O"&amp;ROW(B324))</f>
        <v>1.388648649</v>
      </c>
      <c r="Z343" s="124">
        <f t="array" ref="Z343">INDIRECT("Update"&amp;Projections!$AG$17&amp;"!P"&amp;ROW(B324))</f>
        <v>0.5681081081</v>
      </c>
      <c r="AA343" s="124">
        <f t="array" ref="AA343">INDIRECT("Update"&amp;Projections!$AG$17&amp;"!Q"&amp;ROW(B324))</f>
        <v>0.2840540541</v>
      </c>
      <c r="AB343" s="180">
        <f t="array" ref="AB343">INDIRECT("Update"&amp;Projections!$AG$17&amp;"!I"&amp;ROW(B324))</f>
        <v>0.411176906</v>
      </c>
      <c r="AC343" s="180">
        <f t="array" ref="AC343">INDIRECT("Update"&amp;Projections!$AG$17&amp;"!K"&amp;ROW(B324))</f>
        <v>0.7249504514</v>
      </c>
      <c r="AD343" s="124">
        <f t="array" ref="AD343">INDIRECT("Update"&amp;Projections!$AG$17&amp;"!R"&amp;ROW(B324))</f>
        <v>1.073243243</v>
      </c>
      <c r="AE343" s="124">
        <f t="shared" si="3"/>
        <v>-2.104414754</v>
      </c>
      <c r="AF343" s="124">
        <f t="shared" si="4"/>
        <v>-1.019827646</v>
      </c>
      <c r="AG343" s="124">
        <f t="shared" si="5"/>
        <v>-1.320338201</v>
      </c>
      <c r="AH343" s="124">
        <f t="shared" si="6"/>
        <v>-1.155639055</v>
      </c>
      <c r="AI343" s="124">
        <f t="shared" si="7"/>
        <v>-1.349434203</v>
      </c>
      <c r="AJ343" s="124">
        <f t="shared" si="8"/>
        <v>-0.8287052753</v>
      </c>
      <c r="AK343" s="124">
        <f t="shared" si="9"/>
        <v>-0.511767002</v>
      </c>
      <c r="AL343" s="124">
        <f t="shared" si="10"/>
        <v>-0.3019374772</v>
      </c>
      <c r="AM343" s="124">
        <f t="shared" si="11"/>
        <v>0</v>
      </c>
      <c r="AN343" s="183">
        <f t="shared" si="12"/>
        <v>-2.104414754</v>
      </c>
      <c r="AO343" s="183">
        <f t="shared" si="13"/>
        <v>-3.453848957</v>
      </c>
      <c r="AP343" s="183">
        <f t="array" ref="AP343">INDIRECT("Update"&amp;Projections!$AG$17&amp;"!S"&amp;ROW(B324))</f>
        <v>5.111891892</v>
      </c>
      <c r="AQ343" s="183">
        <f t="array" ref="AQ343">INDIRECT("Update"&amp;Projections!$AG$17&amp;"!T"&amp;ROW(B324))</f>
        <v>1.227297297</v>
      </c>
    </row>
    <row r="344">
      <c r="A344" s="40" t="str">
        <f>IF(UpdateHashtag!C342="",ROW(UpdateHashtag!C342),UpdateHashtag!C342)</f>
        <v>Simone Fontecchio</v>
      </c>
      <c r="B344" s="41">
        <f>IF(TYPE($A344)=1,"",(UpdateHashtag!M342-B$1)/B$2)</f>
        <v>-2.034845821</v>
      </c>
      <c r="C344" s="41">
        <f>IF(TYPE($A344)=1,"",(UpdateHashtag!L342-C$1)/C$2)</f>
        <v>-0.5442381251</v>
      </c>
      <c r="D344" s="41">
        <f>IF(TYPE($A344)=1,"",(UpdateHashtag!N342-D$1)/D$2)</f>
        <v>-1.600286902</v>
      </c>
      <c r="E344" s="41">
        <f>IF(TYPE($A344)=1,"",(UpdateHashtag!O342-E$1)/E$2)</f>
        <v>-1.377553175</v>
      </c>
      <c r="F344" s="41">
        <f>IF(TYPE($A344)=1,"",(UpdateHashtag!P342-F$1)/F$2)</f>
        <v>-1.905588506</v>
      </c>
      <c r="G344" s="41">
        <f>IF(TYPE($A344)=1,"",(UpdateHashtag!Q342-G$1)/G$2)</f>
        <v>-0.978628106</v>
      </c>
      <c r="H344" s="41">
        <f>IF(TYPE($A344)=1,"",(UpdateHashtag!I342-H$1)/H$2*I344/$I$1)</f>
        <v>-0.4309311792</v>
      </c>
      <c r="I344" s="41">
        <f>UpdateHashtag!S342</f>
        <v>5.2</v>
      </c>
      <c r="J344" s="53">
        <f>IF(TYPE($A344)=1,"",(UpdateHashtag!K342-J$1)/J$2*K344/$K$1)</f>
        <v>0.05660949447</v>
      </c>
      <c r="K344" s="55">
        <f>UpdateHashtag!T342</f>
        <v>0.7</v>
      </c>
      <c r="L344" s="41">
        <f>IF(TYPE($A344)=1,"",-(UpdateHashtag!R342-L$1)/L$2)</f>
        <v>1.040202395</v>
      </c>
      <c r="N344" s="5">
        <v>324.0</v>
      </c>
      <c r="O344" s="170" t="str">
        <f t="array" ref="O344">INDIRECT("Update"&amp;Projections!$AG$17&amp;"!B"&amp;ROW(B325))</f>
        <v/>
      </c>
      <c r="P344" s="172" t="str">
        <f t="array" ref="P344">INDIRECT("Update"&amp;Projections!$AG$17&amp;"!C"&amp;ROW(B325))</f>
        <v>Johnny Furphy</v>
      </c>
      <c r="Q344" s="170">
        <f>UpdateHashtag!F387</f>
        <v>30</v>
      </c>
      <c r="R344" s="177" t="str">
        <f>IF(UpdateHashtag!D387="",ROW(UpdateHashtag!D387),UpdateHashtag!D387)</f>
        <v>PF,C</v>
      </c>
      <c r="S344" s="124">
        <f t="shared" si="1"/>
        <v>-8.41134318</v>
      </c>
      <c r="T344" s="124">
        <f>SUM(AE344:AM344)-IFERROR(IFS(Projections!$I$17,AN344,Projections!$J$17,AO344),"")</f>
        <v>-8.674717795</v>
      </c>
      <c r="U344" s="124">
        <f t="shared" si="2"/>
        <v>-0.2633746145</v>
      </c>
      <c r="V344" s="124">
        <f t="array" ref="V344">INDIRECT("Update"&amp;Projections!$AG$17&amp;"!M"&amp;ROW(B325))</f>
        <v>5.625319149</v>
      </c>
      <c r="W344" s="124">
        <f t="array" ref="W344">INDIRECT("Update"&amp;Projections!$AG$17&amp;"!L"&amp;ROW(B325))</f>
        <v>1.071914894</v>
      </c>
      <c r="X344" s="124">
        <f t="array" ref="X344">INDIRECT("Update"&amp;Projections!$AG$17&amp;"!N"&amp;ROW(B325))</f>
        <v>2.746595745</v>
      </c>
      <c r="Y344" s="124">
        <f t="array" ref="Y344">INDIRECT("Update"&amp;Projections!$AG$17&amp;"!O"&amp;ROW(B325))</f>
        <v>0.7210638298</v>
      </c>
      <c r="Z344" s="124">
        <f t="array" ref="Z344">INDIRECT("Update"&amp;Projections!$AG$17&amp;"!P"&amp;ROW(B325))</f>
        <v>0.514893617</v>
      </c>
      <c r="AA344" s="124">
        <f t="array" ref="AA344">INDIRECT("Update"&amp;Projections!$AG$17&amp;"!Q"&amp;ROW(B325))</f>
        <v>0.2059574468</v>
      </c>
      <c r="AB344" s="180">
        <f t="array" ref="AB344">INDIRECT("Update"&amp;Projections!$AG$17&amp;"!I"&amp;ROW(B325))</f>
        <v>0.4100738397</v>
      </c>
      <c r="AC344" s="180">
        <f t="array" ref="AC344">INDIRECT("Update"&amp;Projections!$AG$17&amp;"!K"&amp;ROW(B325))</f>
        <v>0.753021978</v>
      </c>
      <c r="AD344" s="124">
        <f t="array" ref="AD344">INDIRECT("Update"&amp;Projections!$AG$17&amp;"!R"&amp;ROW(B325))</f>
        <v>0.6865957447</v>
      </c>
      <c r="AE344" s="124">
        <f t="shared" si="3"/>
        <v>-2.138435284</v>
      </c>
      <c r="AF344" s="124">
        <f t="shared" si="4"/>
        <v>-0.6712893972</v>
      </c>
      <c r="AG344" s="124">
        <f t="shared" si="5"/>
        <v>-1.307690806</v>
      </c>
      <c r="AH344" s="124">
        <f t="shared" si="6"/>
        <v>-1.458814963</v>
      </c>
      <c r="AI344" s="124">
        <f t="shared" si="7"/>
        <v>-1.525484416</v>
      </c>
      <c r="AJ344" s="124">
        <f t="shared" si="8"/>
        <v>-0.968002119</v>
      </c>
      <c r="AK344" s="124">
        <f t="shared" si="9"/>
        <v>-0.4908433088</v>
      </c>
      <c r="AL344" s="124">
        <f t="shared" si="10"/>
        <v>-0.1141575</v>
      </c>
      <c r="AM344" s="124">
        <f t="shared" si="11"/>
        <v>0</v>
      </c>
      <c r="AN344" s="183">
        <f t="shared" si="12"/>
        <v>-2.138435284</v>
      </c>
      <c r="AO344" s="183">
        <f t="shared" si="13"/>
        <v>-3.663919701</v>
      </c>
      <c r="AP344" s="183">
        <f t="array" ref="AP344">INDIRECT("Update"&amp;Projections!$AG$17&amp;"!S"&amp;ROW(B325))</f>
        <v>4.840851064</v>
      </c>
      <c r="AQ344" s="183">
        <f t="array" ref="AQ344">INDIRECT("Update"&amp;Projections!$AG$17&amp;"!T"&amp;ROW(B325))</f>
        <v>0.7744680851</v>
      </c>
    </row>
    <row r="345">
      <c r="A345" s="40" t="str">
        <f>IF(UpdateHashtag!C343="",ROW(UpdateHashtag!C343),UpdateHashtag!C343)</f>
        <v>Jaden Hardy</v>
      </c>
      <c r="B345" s="41">
        <f>IF(TYPE($A345)=1,"",(UpdateHashtag!M343-B$1)/B$2)</f>
        <v>-1.710385671</v>
      </c>
      <c r="C345" s="41">
        <f>IF(TYPE($A345)=1,"",(UpdateHashtag!L343-C$1)/C$2)</f>
        <v>-0.5442381251</v>
      </c>
      <c r="D345" s="41">
        <f>IF(TYPE($A345)=1,"",(UpdateHashtag!N343-D$1)/D$2)</f>
        <v>-1.639477601</v>
      </c>
      <c r="E345" s="41">
        <f>IF(TYPE($A345)=1,"",(UpdateHashtag!O343-E$1)/E$2)</f>
        <v>-1.10507013</v>
      </c>
      <c r="F345" s="41">
        <f>IF(TYPE($A345)=1,"",(UpdateHashtag!P343-F$1)/F$2)</f>
        <v>-2.236419844</v>
      </c>
      <c r="G345" s="41">
        <f>IF(TYPE($A345)=1,"",(UpdateHashtag!Q343-G$1)/G$2)</f>
        <v>-1.156992888</v>
      </c>
      <c r="H345" s="41">
        <f>IF(TYPE($A345)=1,"",(UpdateHashtag!I343-H$1)/H$2*I345/$I$1)</f>
        <v>-0.6199674129</v>
      </c>
      <c r="I345" s="41">
        <f>UpdateHashtag!S343</f>
        <v>6.9</v>
      </c>
      <c r="J345" s="53">
        <f>IF(TYPE($A345)=1,"",(UpdateHashtag!K343-J$1)/J$2*K345/$K$1)</f>
        <v>0.0320602114</v>
      </c>
      <c r="K345" s="55">
        <f>UpdateHashtag!T343</f>
        <v>1.3</v>
      </c>
      <c r="L345" s="41">
        <f>IF(TYPE($A345)=1,"",-(UpdateHashtag!R343-L$1)/L$2)</f>
        <v>0.8418166868</v>
      </c>
      <c r="N345" s="5">
        <v>325.0</v>
      </c>
      <c r="O345" s="170" t="str">
        <f t="array" ref="O345">INDIRECT("Update"&amp;Projections!$AG$17&amp;"!B"&amp;ROW(B326))</f>
        <v>#N/A</v>
      </c>
      <c r="P345" s="172" t="str">
        <f t="array" ref="P345">INDIRECT("Update"&amp;Projections!$AG$17&amp;"!C"&amp;ROW(B326))</f>
        <v>Christian Koloko</v>
      </c>
      <c r="Q345" s="170">
        <f>UpdateHashtag!F385</f>
        <v>30</v>
      </c>
      <c r="R345" s="177" t="str">
        <f>IF(UpdateHashtag!D385="",ROW(UpdateHashtag!D385),UpdateHashtag!D385)</f>
        <v>PG</v>
      </c>
      <c r="S345" s="124">
        <f t="shared" si="1"/>
        <v>-8.637230665</v>
      </c>
      <c r="T345" s="124">
        <f>SUM(AE345:AM345)-IFERROR(IFS(Projections!$I$17,AN345,Projections!$J$17,AO345),"")</f>
        <v>-8.933883427</v>
      </c>
      <c r="U345" s="124">
        <f t="shared" si="2"/>
        <v>-0.2966527617</v>
      </c>
      <c r="V345" s="124">
        <f t="array" ref="V345">INDIRECT("Update"&amp;Projections!$AG$17&amp;"!M"&amp;ROW(B326))</f>
        <v>3.4224</v>
      </c>
      <c r="W345" s="124">
        <f t="array" ref="W345">INDIRECT("Update"&amp;Projections!$AG$17&amp;"!L"&amp;ROW(B326))</f>
        <v>0.005</v>
      </c>
      <c r="X345" s="124">
        <f t="array" ref="X345">INDIRECT("Update"&amp;Projections!$AG$17&amp;"!N"&amp;ROW(B326))</f>
        <v>3.0388</v>
      </c>
      <c r="Y345" s="124">
        <f t="array" ref="Y345">INDIRECT("Update"&amp;Projections!$AG$17&amp;"!O"&amp;ROW(B326))</f>
        <v>0.5248</v>
      </c>
      <c r="Z345" s="124">
        <f t="array" ref="Z345">INDIRECT("Update"&amp;Projections!$AG$17&amp;"!P"&amp;ROW(B326))</f>
        <v>0.3592</v>
      </c>
      <c r="AA345" s="124">
        <f t="array" ref="AA345">INDIRECT("Update"&amp;Projections!$AG$17&amp;"!Q"&amp;ROW(B326))</f>
        <v>0.9944</v>
      </c>
      <c r="AB345" s="180">
        <f t="array" ref="AB345">INDIRECT("Update"&amp;Projections!$AG$17&amp;"!I"&amp;ROW(B326))</f>
        <v>0.5613640019</v>
      </c>
      <c r="AC345" s="180">
        <f t="array" ref="AC345">INDIRECT("Update"&amp;Projections!$AG$17&amp;"!K"&amp;ROW(B326))</f>
        <v>0.6450082508</v>
      </c>
      <c r="AD345" s="124">
        <f t="array" ref="AD345">INDIRECT("Update"&amp;Projections!$AG$17&amp;"!R"&amp;ROW(B326))</f>
        <v>0.5524</v>
      </c>
      <c r="AE345" s="124">
        <f t="shared" si="3"/>
        <v>-2.535523883</v>
      </c>
      <c r="AF345" s="124">
        <f t="shared" si="4"/>
        <v>-1.729592729</v>
      </c>
      <c r="AG345" s="124">
        <f t="shared" si="5"/>
        <v>-1.193173914</v>
      </c>
      <c r="AH345" s="124">
        <f t="shared" si="6"/>
        <v>-1.547945907</v>
      </c>
      <c r="AI345" s="124">
        <f t="shared" si="7"/>
        <v>-2.040567692</v>
      </c>
      <c r="AJ345" s="124">
        <f t="shared" si="8"/>
        <v>0.4383017253</v>
      </c>
      <c r="AK345" s="124">
        <f t="shared" si="9"/>
        <v>0.1854626013</v>
      </c>
      <c r="AL345" s="124">
        <f t="shared" si="10"/>
        <v>-0.5108436285</v>
      </c>
      <c r="AM345" s="124">
        <f t="shared" si="11"/>
        <v>0</v>
      </c>
      <c r="AN345" s="183">
        <f t="shared" si="12"/>
        <v>-2.535523883</v>
      </c>
      <c r="AO345" s="183">
        <f t="shared" si="13"/>
        <v>-4.576091575</v>
      </c>
      <c r="AP345" s="183">
        <f t="array" ref="AP345">INDIRECT("Update"&amp;Projections!$AG$17&amp;"!S"&amp;ROW(B326))</f>
        <v>2.4868</v>
      </c>
      <c r="AQ345" s="183">
        <f t="array" ref="AQ345">INDIRECT("Update"&amp;Projections!$AG$17&amp;"!T"&amp;ROW(B326))</f>
        <v>0.9696</v>
      </c>
    </row>
    <row r="346">
      <c r="A346" s="40" t="str">
        <f>IF(UpdateHashtag!C344="",ROW(UpdateHashtag!C344),UpdateHashtag!C344)</f>
        <v>Bobi Klintman</v>
      </c>
      <c r="B346" s="41">
        <f>IF(TYPE($A346)=1,"",(UpdateHashtag!M344-B$1)/B$2)</f>
        <v>-2.197075895</v>
      </c>
      <c r="C346" s="41">
        <f>IF(TYPE($A346)=1,"",(UpdateHashtag!L344-C$1)/C$2)</f>
        <v>-1.040202395</v>
      </c>
      <c r="D346" s="41">
        <f>IF(TYPE($A346)=1,"",(UpdateHashtag!N344-D$1)/D$2)</f>
        <v>-1.325952004</v>
      </c>
      <c r="E346" s="41">
        <f>IF(TYPE($A346)=1,"",(UpdateHashtag!O344-E$1)/E$2)</f>
        <v>-1.60462238</v>
      </c>
      <c r="F346" s="41">
        <f>IF(TYPE($A346)=1,"",(UpdateHashtag!P344-F$1)/F$2)</f>
        <v>-1.905588506</v>
      </c>
      <c r="G346" s="41">
        <f>IF(TYPE($A346)=1,"",(UpdateHashtag!Q344-G$1)/G$2)</f>
        <v>-0.8002633236</v>
      </c>
      <c r="H346" s="41">
        <f>IF(TYPE($A346)=1,"",(UpdateHashtag!I344-H$1)/H$2*I346/$I$1)</f>
        <v>-0.2710011238</v>
      </c>
      <c r="I346" s="41">
        <f>UpdateHashtag!S344</f>
        <v>4</v>
      </c>
      <c r="J346" s="53">
        <f>IF(TYPE($A346)=1,"",(UpdateHashtag!K344-J$1)/J$2*K346/$K$1)</f>
        <v>-0.04416622592</v>
      </c>
      <c r="K346" s="55">
        <f>UpdateHashtag!T344</f>
        <v>1.4</v>
      </c>
      <c r="L346" s="41">
        <f>IF(TYPE($A346)=1,"",-(UpdateHashtag!R344-L$1)/L$2)</f>
        <v>0.8418166868</v>
      </c>
      <c r="N346" s="112">
        <v>326.0</v>
      </c>
      <c r="O346" s="170" t="str">
        <f t="array" ref="O346">INDIRECT("Update"&amp;Projections!$AG$17&amp;"!B"&amp;ROW(B327))</f>
        <v/>
      </c>
      <c r="P346" s="172" t="str">
        <f t="array" ref="P346">INDIRECT("Update"&amp;Projections!$AG$17&amp;"!C"&amp;ROW(B327))</f>
        <v>Cody Williams</v>
      </c>
      <c r="Q346" s="170">
        <f>UpdateHashtag!F396</f>
        <v>20</v>
      </c>
      <c r="R346" s="177" t="str">
        <f>IF(UpdateHashtag!D396="",ROW(UpdateHashtag!D396),UpdateHashtag!D396)</f>
        <v>PG</v>
      </c>
      <c r="S346" s="124">
        <f t="shared" si="1"/>
        <v>-8.652274822</v>
      </c>
      <c r="T346" s="124">
        <f>SUM(AE346:AM346)-IFERROR(IFS(Projections!$I$17,AN346,Projections!$J$17,AO346),"")</f>
        <v>-8.773863067</v>
      </c>
      <c r="U346" s="124">
        <f t="shared" si="2"/>
        <v>-0.1215882451</v>
      </c>
      <c r="V346" s="124">
        <f t="array" ref="V346">INDIRECT("Update"&amp;Projections!$AG$17&amp;"!M"&amp;ROW(B327))</f>
        <v>7.294794521</v>
      </c>
      <c r="W346" s="124">
        <f t="array" ref="W346">INDIRECT("Update"&amp;Projections!$AG$17&amp;"!L"&amp;ROW(B327))</f>
        <v>0.5221917808</v>
      </c>
      <c r="X346" s="124">
        <f t="array" ref="X346">INDIRECT("Update"&amp;Projections!$AG$17&amp;"!N"&amp;ROW(B327))</f>
        <v>2.419726027</v>
      </c>
      <c r="Y346" s="124">
        <f t="array" ref="Y346">INDIRECT("Update"&amp;Projections!$AG$17&amp;"!O"&amp;ROW(B327))</f>
        <v>1.113150685</v>
      </c>
      <c r="Z346" s="124">
        <f t="array" ref="Z346">INDIRECT("Update"&amp;Projections!$AG$17&amp;"!P"&amp;ROW(B327))</f>
        <v>0.4839726027</v>
      </c>
      <c r="AA346" s="124">
        <f t="array" ref="AA346">INDIRECT("Update"&amp;Projections!$AG$17&amp;"!Q"&amp;ROW(B327))</f>
        <v>0.2904109589</v>
      </c>
      <c r="AB346" s="180">
        <f t="array" ref="AB346">INDIRECT("Update"&amp;Projections!$AG$17&amp;"!I"&amp;ROW(B327))</f>
        <v>0.4662703597</v>
      </c>
      <c r="AC346" s="180">
        <f t="array" ref="AC346">INDIRECT("Update"&amp;Projections!$AG$17&amp;"!K"&amp;ROW(B327))</f>
        <v>0.7200087089</v>
      </c>
      <c r="AD346" s="124">
        <f t="array" ref="AD346">INDIRECT("Update"&amp;Projections!$AG$17&amp;"!R"&amp;ROW(B327))</f>
        <v>1.258356164</v>
      </c>
      <c r="AE346" s="124">
        <f t="shared" si="3"/>
        <v>-1.837502935</v>
      </c>
      <c r="AF346" s="124">
        <f t="shared" si="4"/>
        <v>-1.216575442</v>
      </c>
      <c r="AG346" s="124">
        <f t="shared" si="5"/>
        <v>-1.435793335</v>
      </c>
      <c r="AH346" s="124">
        <f t="shared" si="6"/>
        <v>-1.280753262</v>
      </c>
      <c r="AI346" s="124">
        <f t="shared" si="7"/>
        <v>-1.627780821</v>
      </c>
      <c r="AJ346" s="124">
        <f t="shared" si="8"/>
        <v>-0.8173667959</v>
      </c>
      <c r="AK346" s="124">
        <f t="shared" si="9"/>
        <v>-0.2266660682</v>
      </c>
      <c r="AL346" s="124">
        <f t="shared" si="10"/>
        <v>-0.3314244072</v>
      </c>
      <c r="AM346" s="124">
        <f t="shared" si="11"/>
        <v>0</v>
      </c>
      <c r="AN346" s="183">
        <f t="shared" si="12"/>
        <v>-1.837502935</v>
      </c>
      <c r="AO346" s="183">
        <f t="shared" si="13"/>
        <v>-3.465283756</v>
      </c>
      <c r="AP346" s="183">
        <f t="array" ref="AP346">INDIRECT("Update"&amp;Projections!$AG$17&amp;"!S"&amp;ROW(B327))</f>
        <v>6.290958904</v>
      </c>
      <c r="AQ346" s="183">
        <f t="array" ref="AQ346">INDIRECT("Update"&amp;Projections!$AG$17&amp;"!T"&amp;ROW(B327))</f>
        <v>1.258356164</v>
      </c>
    </row>
    <row r="347">
      <c r="A347" s="40" t="str">
        <f>IF(UpdateHashtag!C345="",ROW(UpdateHashtag!C345),UpdateHashtag!C345)</f>
        <v>Jevon Carter</v>
      </c>
      <c r="B347" s="41">
        <f>IF(TYPE($A347)=1,"",(UpdateHashtag!M345-B$1)/B$2)</f>
        <v>-2.287203715</v>
      </c>
      <c r="C347" s="41">
        <f>IF(TYPE($A347)=1,"",(UpdateHashtag!L345-C$1)/C$2)</f>
        <v>-0.7426238329</v>
      </c>
      <c r="D347" s="41">
        <f>IF(TYPE($A347)=1,"",(UpdateHashtag!N345-D$1)/D$2)</f>
        <v>-1.913812499</v>
      </c>
      <c r="E347" s="41">
        <f>IF(TYPE($A347)=1,"",(UpdateHashtag!O345-E$1)/E$2)</f>
        <v>-1.150483971</v>
      </c>
      <c r="F347" s="41">
        <f>IF(TYPE($A347)=1,"",(UpdateHashtag!P345-F$1)/F$2)</f>
        <v>-1.574757169</v>
      </c>
      <c r="G347" s="41">
        <f>IF(TYPE($A347)=1,"",(UpdateHashtag!Q345-G$1)/G$2)</f>
        <v>-0.978628106</v>
      </c>
      <c r="H347" s="41">
        <f>IF(TYPE($A347)=1,"",(UpdateHashtag!I345-H$1)/H$2*I347/$I$1)</f>
        <v>-0.4669922879</v>
      </c>
      <c r="I347" s="41">
        <f>UpdateHashtag!S345</f>
        <v>4.4</v>
      </c>
      <c r="J347" s="53">
        <f>IF(TYPE($A347)=1,"",(UpdateHashtag!K345-J$1)/J$2*K347/$K$1)</f>
        <v>0.01055324075</v>
      </c>
      <c r="K347" s="55">
        <f>UpdateHashtag!T345</f>
        <v>0.2</v>
      </c>
      <c r="L347" s="41">
        <f>IF(TYPE($A347)=1,"",-(UpdateHashtag!R345-L$1)/L$2)</f>
        <v>1.238588102</v>
      </c>
      <c r="N347" s="112">
        <v>327.0</v>
      </c>
      <c r="O347" s="170" t="str">
        <f t="array" ref="O347">INDIRECT("Update"&amp;Projections!$AG$17&amp;"!B"&amp;ROW(B328))</f>
        <v/>
      </c>
      <c r="P347" s="172" t="str">
        <f t="array" ref="P347">INDIRECT("Update"&amp;Projections!$AG$17&amp;"!C"&amp;ROW(B328))</f>
        <v>Joe Ingles</v>
      </c>
      <c r="Q347" s="170">
        <f>UpdateHashtag!F377</f>
        <v>50</v>
      </c>
      <c r="R347" s="177" t="str">
        <f>IF(UpdateHashtag!D377="",ROW(UpdateHashtag!D377),UpdateHashtag!D377)</f>
        <v>PG</v>
      </c>
      <c r="S347" s="124">
        <f t="shared" si="1"/>
        <v>-8.629577692</v>
      </c>
      <c r="T347" s="124">
        <f>SUM(AE347:AM347)-IFERROR(IFS(Projections!$I$17,AN347,Projections!$J$17,AO347),"")</f>
        <v>-8.795882913</v>
      </c>
      <c r="U347" s="124">
        <f t="shared" si="2"/>
        <v>-0.1663052211</v>
      </c>
      <c r="V347" s="124">
        <f t="array" ref="V347">INDIRECT("Update"&amp;Projections!$AG$17&amp;"!M"&amp;ROW(B328))</f>
        <v>2.672622951</v>
      </c>
      <c r="W347" s="124">
        <f t="array" ref="W347">INDIRECT("Update"&amp;Projections!$AG$17&amp;"!L"&amp;ROW(B328))</f>
        <v>0.6572131148</v>
      </c>
      <c r="X347" s="124">
        <f t="array" ref="X347">INDIRECT("Update"&amp;Projections!$AG$17&amp;"!N"&amp;ROW(B328))</f>
        <v>1.666065574</v>
      </c>
      <c r="Y347" s="124">
        <f t="array" ref="Y347">INDIRECT("Update"&amp;Projections!$AG$17&amp;"!O"&amp;ROW(B328))</f>
        <v>3.005409836</v>
      </c>
      <c r="Z347" s="124">
        <f t="array" ref="Z347">INDIRECT("Update"&amp;Projections!$AG$17&amp;"!P"&amp;ROW(B328))</f>
        <v>0.5244262295</v>
      </c>
      <c r="AA347" s="124">
        <f t="array" ref="AA347">INDIRECT("Update"&amp;Projections!$AG$17&amp;"!Q"&amp;ROW(B328))</f>
        <v>0.06524590164</v>
      </c>
      <c r="AB347" s="180">
        <f t="array" ref="AB347">INDIRECT("Update"&amp;Projections!$AG$17&amp;"!I"&amp;ROW(B328))</f>
        <v>0.4219871844</v>
      </c>
      <c r="AC347" s="180">
        <f t="array" ref="AC347">INDIRECT("Update"&amp;Projections!$AG$17&amp;"!K"&amp;ROW(B328))</f>
        <v>0.8040141677</v>
      </c>
      <c r="AD347" s="124">
        <f t="array" ref="AD347">INDIRECT("Update"&amp;Projections!$AG$17&amp;"!R"&amp;ROW(B328))</f>
        <v>1.078032787</v>
      </c>
      <c r="AE347" s="124">
        <f t="shared" si="3"/>
        <v>-2.670675424</v>
      </c>
      <c r="AF347" s="124">
        <f t="shared" si="4"/>
        <v>-1.082643927</v>
      </c>
      <c r="AG347" s="124">
        <f t="shared" si="5"/>
        <v>-1.73115814</v>
      </c>
      <c r="AH347" s="124">
        <f t="shared" si="6"/>
        <v>-0.4214057012</v>
      </c>
      <c r="AI347" s="124">
        <f t="shared" si="7"/>
        <v>-1.493947547</v>
      </c>
      <c r="AJ347" s="124">
        <f t="shared" si="8"/>
        <v>-1.21898196</v>
      </c>
      <c r="AK347" s="124">
        <f t="shared" si="9"/>
        <v>-0.1858839021</v>
      </c>
      <c r="AL347" s="124">
        <f t="shared" si="10"/>
        <v>0.008813687262</v>
      </c>
      <c r="AM347" s="124">
        <f t="shared" si="11"/>
        <v>0</v>
      </c>
      <c r="AN347" s="183">
        <f t="shared" si="12"/>
        <v>-2.670675424</v>
      </c>
      <c r="AO347" s="183">
        <f t="shared" si="13"/>
        <v>-4.401833563</v>
      </c>
      <c r="AP347" s="183">
        <f t="array" ref="AP347">INDIRECT("Update"&amp;Projections!$AG$17&amp;"!S"&amp;ROW(B328))</f>
        <v>2.123442623</v>
      </c>
      <c r="AQ347" s="183">
        <f t="array" ref="AQ347">INDIRECT("Update"&amp;Projections!$AG$17&amp;"!T"&amp;ROW(B328))</f>
        <v>0.277704918</v>
      </c>
    </row>
    <row r="348">
      <c r="A348" s="40" t="str">
        <f>IF(UpdateHashtag!C346="",ROW(UpdateHashtag!C346),UpdateHashtag!C346)</f>
        <v>Tidjane Salaun</v>
      </c>
      <c r="B348" s="41">
        <f>IF(TYPE($A348)=1,"",(UpdateHashtag!M346-B$1)/B$2)</f>
        <v>-2.088922512</v>
      </c>
      <c r="C348" s="41">
        <f>IF(TYPE($A348)=1,"",(UpdateHashtag!L346-C$1)/C$2)</f>
        <v>-0.9410095407</v>
      </c>
      <c r="D348" s="41">
        <f>IF(TYPE($A348)=1,"",(UpdateHashtag!N346-D$1)/D$2)</f>
        <v>-1.443524103</v>
      </c>
      <c r="E348" s="41">
        <f>IF(TYPE($A348)=1,"",(UpdateHashtag!O346-E$1)/E$2)</f>
        <v>-1.513794698</v>
      </c>
      <c r="F348" s="41">
        <f>IF(TYPE($A348)=1,"",(UpdateHashtag!P346-F$1)/F$2)</f>
        <v>-0.9130944927</v>
      </c>
      <c r="G348" s="41">
        <f>IF(TYPE($A348)=1,"",(UpdateHashtag!Q346-G$1)/G$2)</f>
        <v>-1.156992888</v>
      </c>
      <c r="H348" s="41">
        <f>IF(TYPE($A348)=1,"",(UpdateHashtag!I346-H$1)/H$2*I348/$I$1)</f>
        <v>-0.5423046695</v>
      </c>
      <c r="I348" s="41">
        <f>UpdateHashtag!S346</f>
        <v>5</v>
      </c>
      <c r="J348" s="53">
        <f>IF(TYPE($A348)=1,"",(UpdateHashtag!K346-J$1)/J$2*K348/$K$1)</f>
        <v>-0.08668131231</v>
      </c>
      <c r="K348" s="55">
        <f>UpdateHashtag!T346</f>
        <v>1.3</v>
      </c>
      <c r="L348" s="41">
        <f>IF(TYPE($A348)=1,"",-(UpdateHashtag!R346-L$1)/L$2)</f>
        <v>0.9410095407</v>
      </c>
      <c r="N348" s="5">
        <v>328.0</v>
      </c>
      <c r="O348" s="170" t="str">
        <f t="array" ref="O348">INDIRECT("Update"&amp;Projections!$AG$17&amp;"!B"&amp;ROW(B329))</f>
        <v/>
      </c>
      <c r="P348" s="172" t="str">
        <f t="array" ref="P348">INDIRECT("Update"&amp;Projections!$AG$17&amp;"!C"&amp;ROW(B329))</f>
        <v>Baylor Scheierman</v>
      </c>
      <c r="Q348" s="170">
        <f>UpdateHashtag!F389</f>
        <v>55</v>
      </c>
      <c r="R348" s="177" t="str">
        <f>IF(UpdateHashtag!D389="",ROW(UpdateHashtag!D389),UpdateHashtag!D389)</f>
        <v>SF,PF</v>
      </c>
      <c r="S348" s="124">
        <f t="shared" si="1"/>
        <v>-8.499072964</v>
      </c>
      <c r="T348" s="124">
        <f>SUM(AE348:AM348)-IFERROR(IFS(Projections!$I$17,AN348,Projections!$J$17,AO348),"")</f>
        <v>-8.712474848</v>
      </c>
      <c r="U348" s="124">
        <f t="shared" si="2"/>
        <v>-0.2134018839</v>
      </c>
      <c r="V348" s="124">
        <f t="array" ref="V348">INDIRECT("Update"&amp;Projections!$AG$17&amp;"!M"&amp;ROW(B329))</f>
        <v>5.635471698</v>
      </c>
      <c r="W348" s="124">
        <f t="array" ref="W348">INDIRECT("Update"&amp;Projections!$AG$17&amp;"!L"&amp;ROW(B329))</f>
        <v>1.038679245</v>
      </c>
      <c r="X348" s="124">
        <f t="array" ref="X348">INDIRECT("Update"&amp;Projections!$AG$17&amp;"!N"&amp;ROW(B329))</f>
        <v>3.276792453</v>
      </c>
      <c r="Y348" s="124">
        <f t="array" ref="Y348">INDIRECT("Update"&amp;Projections!$AG$17&amp;"!O"&amp;ROW(B329))</f>
        <v>1.378113208</v>
      </c>
      <c r="Z348" s="124">
        <f t="array" ref="Z348">INDIRECT("Update"&amp;Projections!$AG$17&amp;"!P"&amp;ROW(B329))</f>
        <v>0.3981132075</v>
      </c>
      <c r="AA348" s="124">
        <f t="array" ref="AA348">INDIRECT("Update"&amp;Projections!$AG$17&amp;"!Q"&amp;ROW(B329))</f>
        <v>0.09188679245</v>
      </c>
      <c r="AB348" s="180">
        <f t="array" ref="AB348">INDIRECT("Update"&amp;Projections!$AG$17&amp;"!I"&amp;ROW(B329))</f>
        <v>0.4009616468</v>
      </c>
      <c r="AC348" s="180">
        <f t="array" ref="AC348">INDIRECT("Update"&amp;Projections!$AG$17&amp;"!K"&amp;ROW(B329))</f>
        <v>0.8089616313</v>
      </c>
      <c r="AD348" s="124">
        <f t="array" ref="AD348">INDIRECT("Update"&amp;Projections!$AG$17&amp;"!R"&amp;ROW(B329))</f>
        <v>0.8881132075</v>
      </c>
      <c r="AE348" s="124">
        <f t="shared" si="3"/>
        <v>-2.13660523</v>
      </c>
      <c r="AF348" s="124">
        <f t="shared" si="4"/>
        <v>-0.7042567859</v>
      </c>
      <c r="AG348" s="124">
        <f t="shared" si="5"/>
        <v>-1.099903007</v>
      </c>
      <c r="AH348" s="124">
        <f t="shared" si="6"/>
        <v>-1.160423604</v>
      </c>
      <c r="AI348" s="124">
        <f t="shared" si="7"/>
        <v>-1.911830607</v>
      </c>
      <c r="AJ348" s="124">
        <f t="shared" si="8"/>
        <v>-1.171463993</v>
      </c>
      <c r="AK348" s="124">
        <f t="shared" si="9"/>
        <v>-0.5625320148</v>
      </c>
      <c r="AL348" s="124">
        <f t="shared" si="10"/>
        <v>0.0345403939</v>
      </c>
      <c r="AM348" s="124">
        <f t="shared" si="11"/>
        <v>0</v>
      </c>
      <c r="AN348" s="183">
        <f t="shared" si="12"/>
        <v>-2.13660523</v>
      </c>
      <c r="AO348" s="183">
        <f t="shared" si="13"/>
        <v>-4.048435838</v>
      </c>
      <c r="AP348" s="183">
        <f t="array" ref="AP348">INDIRECT("Update"&amp;Projections!$AG$17&amp;"!S"&amp;ROW(B329))</f>
        <v>5.022830189</v>
      </c>
      <c r="AQ348" s="183">
        <f t="array" ref="AQ348">INDIRECT("Update"&amp;Projections!$AG$17&amp;"!T"&amp;ROW(B329))</f>
        <v>0.7032075472</v>
      </c>
    </row>
    <row r="349">
      <c r="A349" s="40" t="str">
        <f>IF(UpdateHashtag!C347="",ROW(UpdateHashtag!C347),UpdateHashtag!C347)</f>
        <v>Tyler Smith</v>
      </c>
      <c r="B349" s="41">
        <f>IF(TYPE($A349)=1,"",(UpdateHashtag!M347-B$1)/B$2)</f>
        <v>-2.161024768</v>
      </c>
      <c r="C349" s="41">
        <f>IF(TYPE($A349)=1,"",(UpdateHashtag!L347-C$1)/C$2)</f>
        <v>-1.139395249</v>
      </c>
      <c r="D349" s="41">
        <f>IF(TYPE($A349)=1,"",(UpdateHashtag!N347-D$1)/D$2)</f>
        <v>-1.561096202</v>
      </c>
      <c r="E349" s="41">
        <f>IF(TYPE($A349)=1,"",(UpdateHashtag!O347-E$1)/E$2)</f>
        <v>-1.559208539</v>
      </c>
      <c r="F349" s="41">
        <f>IF(TYPE($A349)=1,"",(UpdateHashtag!P347-F$1)/F$2)</f>
        <v>-2.236419844</v>
      </c>
      <c r="G349" s="41">
        <f>IF(TYPE($A349)=1,"",(UpdateHashtag!Q347-G$1)/G$2)</f>
        <v>-0.6218985413</v>
      </c>
      <c r="H349" s="41">
        <f>IF(TYPE($A349)=1,"",(UpdateHashtag!I347-H$1)/H$2*I349/$I$1)</f>
        <v>-0.06794181487</v>
      </c>
      <c r="I349" s="41">
        <f>UpdateHashtag!S347</f>
        <v>4.1</v>
      </c>
      <c r="J349" s="53">
        <f>IF(TYPE($A349)=1,"",(UpdateHashtag!K347-J$1)/J$2*K349/$K$1)</f>
        <v>-0.179812608</v>
      </c>
      <c r="K349" s="55">
        <f>UpdateHashtag!T347</f>
        <v>0.8</v>
      </c>
      <c r="L349" s="41">
        <f>IF(TYPE($A349)=1,"",-(UpdateHashtag!R347-L$1)/L$2)</f>
        <v>1.238588102</v>
      </c>
      <c r="N349" s="5">
        <v>329.0</v>
      </c>
      <c r="O349" s="170" t="str">
        <f t="array" ref="O349">INDIRECT("Update"&amp;Projections!$AG$17&amp;"!B"&amp;ROW(B330))</f>
        <v/>
      </c>
      <c r="P349" s="172" t="str">
        <f t="array" ref="P349">INDIRECT("Update"&amp;Projections!$AG$17&amp;"!C"&amp;ROW(B330))</f>
        <v>Jake LaRavia</v>
      </c>
      <c r="Q349" s="170">
        <f>UpdateHashtag!F373</f>
        <v>20</v>
      </c>
      <c r="R349" s="177" t="str">
        <f>IF(UpdateHashtag!D373="",ROW(UpdateHashtag!D373),UpdateHashtag!D373)</f>
        <v>SF</v>
      </c>
      <c r="S349" s="124">
        <f t="shared" si="1"/>
        <v>-8.481502676</v>
      </c>
      <c r="T349" s="124">
        <f>SUM(AE349:AM349)-IFERROR(IFS(Projections!$I$17,AN349,Projections!$J$17,AO349),"")</f>
        <v>-8.719122164</v>
      </c>
      <c r="U349" s="124">
        <f t="shared" si="2"/>
        <v>-0.2376194874</v>
      </c>
      <c r="V349" s="124">
        <f t="array" ref="V349">INDIRECT("Update"&amp;Projections!$AG$17&amp;"!M"&amp;ROW(B330))</f>
        <v>5.689545455</v>
      </c>
      <c r="W349" s="124">
        <f t="array" ref="W349">INDIRECT("Update"&amp;Projections!$AG$17&amp;"!L"&amp;ROW(B330))</f>
        <v>0.9472727273</v>
      </c>
      <c r="X349" s="124">
        <f t="array" ref="X349">INDIRECT("Update"&amp;Projections!$AG$17&amp;"!N"&amp;ROW(B330))</f>
        <v>2.281363636</v>
      </c>
      <c r="Y349" s="124">
        <f t="array" ref="Y349">INDIRECT("Update"&amp;Projections!$AG$17&amp;"!O"&amp;ROW(B330))</f>
        <v>0.9413636364</v>
      </c>
      <c r="Z349" s="124">
        <f t="array" ref="Z349">INDIRECT("Update"&amp;Projections!$AG$17&amp;"!P"&amp;ROW(B330))</f>
        <v>0.4888636364</v>
      </c>
      <c r="AA349" s="124">
        <f t="array" ref="AA349">INDIRECT("Update"&amp;Projections!$AG$17&amp;"!Q"&amp;ROW(B330))</f>
        <v>0.19</v>
      </c>
      <c r="AB349" s="180">
        <f t="array" ref="AB349">INDIRECT("Update"&amp;Projections!$AG$17&amp;"!I"&amp;ROW(B330))</f>
        <v>0.4103956555</v>
      </c>
      <c r="AC349" s="180">
        <f t="array" ref="AC349">INDIRECT("Update"&amp;Projections!$AG$17&amp;"!K"&amp;ROW(B330))</f>
        <v>0.8301011804</v>
      </c>
      <c r="AD349" s="124">
        <f t="array" ref="AD349">INDIRECT("Update"&amp;Projections!$AG$17&amp;"!R"&amp;ROW(B330))</f>
        <v>0.7904545455</v>
      </c>
      <c r="AE349" s="124">
        <f t="shared" si="3"/>
        <v>-2.126858131</v>
      </c>
      <c r="AF349" s="124">
        <f t="shared" si="4"/>
        <v>-0.7949255195</v>
      </c>
      <c r="AG349" s="124">
        <f t="shared" si="5"/>
        <v>-1.490018524</v>
      </c>
      <c r="AH349" s="124">
        <f t="shared" si="6"/>
        <v>-1.358768359</v>
      </c>
      <c r="AI349" s="124">
        <f t="shared" si="7"/>
        <v>-1.611599749</v>
      </c>
      <c r="AJ349" s="124">
        <f t="shared" si="8"/>
        <v>-0.9964645843</v>
      </c>
      <c r="AK349" s="124">
        <f t="shared" si="9"/>
        <v>-0.4735165104</v>
      </c>
      <c r="AL349" s="124">
        <f t="shared" si="10"/>
        <v>0.133029214</v>
      </c>
      <c r="AM349" s="124">
        <f t="shared" si="11"/>
        <v>0</v>
      </c>
      <c r="AN349" s="183">
        <f t="shared" si="12"/>
        <v>-2.126858131</v>
      </c>
      <c r="AO349" s="183">
        <f t="shared" si="13"/>
        <v>-3.73845788</v>
      </c>
      <c r="AP349" s="183">
        <f t="array" ref="AP349">INDIRECT("Update"&amp;Projections!$AG$17&amp;"!S"&amp;ROW(B330))</f>
        <v>4.687272727</v>
      </c>
      <c r="AQ349" s="183">
        <f t="array" ref="AQ349">INDIRECT("Update"&amp;Projections!$AG$17&amp;"!T"&amp;ROW(B330))</f>
        <v>1.078181818</v>
      </c>
    </row>
    <row r="350">
      <c r="A350" s="40" t="str">
        <f>IF(UpdateHashtag!C348="",ROW(UpdateHashtag!C348),UpdateHashtag!C348)</f>
        <v>Andre Jackson Jr.</v>
      </c>
      <c r="B350" s="41">
        <f>IF(TYPE($A350)=1,"",(UpdateHashtag!M348-B$1)/B$2)</f>
        <v>-2.593638301</v>
      </c>
      <c r="C350" s="41">
        <f>IF(TYPE($A350)=1,"",(UpdateHashtag!L348-C$1)/C$2)</f>
        <v>-1.337780956</v>
      </c>
      <c r="D350" s="41">
        <f>IF(TYPE($A350)=1,"",(UpdateHashtag!N348-D$1)/D$2)</f>
        <v>-1.286761305</v>
      </c>
      <c r="E350" s="41">
        <f>IF(TYPE($A350)=1,"",(UpdateHashtag!O348-E$1)/E$2)</f>
        <v>-1.195897812</v>
      </c>
      <c r="F350" s="41">
        <f>IF(TYPE($A350)=1,"",(UpdateHashtag!P348-F$1)/F$2)</f>
        <v>-1.905588506</v>
      </c>
      <c r="G350" s="41">
        <f>IF(TYPE($A350)=1,"",(UpdateHashtag!Q348-G$1)/G$2)</f>
        <v>-0.978628106</v>
      </c>
      <c r="H350" s="41">
        <f>IF(TYPE($A350)=1,"",(UpdateHashtag!I348-H$1)/H$2*I350/$I$1)</f>
        <v>0.00219062085</v>
      </c>
      <c r="I350" s="41">
        <f>UpdateHashtag!S348</f>
        <v>2.5</v>
      </c>
      <c r="J350" s="53">
        <f>IF(TYPE($A350)=1,"",(UpdateHashtag!K348-J$1)/J$2*K350/$K$1)</f>
        <v>-0.08534634844</v>
      </c>
      <c r="K350" s="55">
        <f>UpdateHashtag!T348</f>
        <v>0.3</v>
      </c>
      <c r="L350" s="41">
        <f>IF(TYPE($A350)=1,"",-(UpdateHashtag!R348-L$1)/L$2)</f>
        <v>1.040202395</v>
      </c>
      <c r="N350" s="112">
        <v>330.0</v>
      </c>
      <c r="O350" s="170" t="str">
        <f t="array" ref="O350">INDIRECT("Update"&amp;Projections!$AG$17&amp;"!B"&amp;ROW(B331))</f>
        <v/>
      </c>
      <c r="P350" s="172" t="str">
        <f t="array" ref="P350">INDIRECT("Update"&amp;Projections!$AG$17&amp;"!C"&amp;ROW(B331))</f>
        <v>Craig Porter Jr.</v>
      </c>
      <c r="Q350" s="170">
        <f>UpdateHashtag!F375</f>
        <v>40</v>
      </c>
      <c r="R350" s="177" t="str">
        <f>IF(UpdateHashtag!D375="",ROW(UpdateHashtag!D375),UpdateHashtag!D375)</f>
        <v>SG</v>
      </c>
      <c r="S350" s="124">
        <f t="shared" si="1"/>
        <v>-8.70055263</v>
      </c>
      <c r="T350" s="124">
        <f>SUM(AE350:AM350)-IFERROR(IFS(Projections!$I$17,AN350,Projections!$J$17,AO350),"")</f>
        <v>-8.925463633</v>
      </c>
      <c r="U350" s="124">
        <f t="shared" si="2"/>
        <v>-0.2249110025</v>
      </c>
      <c r="V350" s="124">
        <f t="array" ref="V350">INDIRECT("Update"&amp;Projections!$AG$17&amp;"!M"&amp;ROW(B331))</f>
        <v>5.196382979</v>
      </c>
      <c r="W350" s="124">
        <f t="array" ref="W350">INDIRECT("Update"&amp;Projections!$AG$17&amp;"!L"&amp;ROW(B331))</f>
        <v>0.2544680851</v>
      </c>
      <c r="X350" s="124">
        <f t="array" ref="X350">INDIRECT("Update"&amp;Projections!$AG$17&amp;"!N"&amp;ROW(B331))</f>
        <v>2.04</v>
      </c>
      <c r="Y350" s="124">
        <f t="array" ref="Y350">INDIRECT("Update"&amp;Projections!$AG$17&amp;"!O"&amp;ROW(B331))</f>
        <v>2.149574468</v>
      </c>
      <c r="Z350" s="124">
        <f t="array" ref="Z350">INDIRECT("Update"&amp;Projections!$AG$17&amp;"!P"&amp;ROW(B331))</f>
        <v>0.4127659574</v>
      </c>
      <c r="AA350" s="124">
        <f t="array" ref="AA350">INDIRECT("Update"&amp;Projections!$AG$17&amp;"!Q"&amp;ROW(B331))</f>
        <v>0.2880851064</v>
      </c>
      <c r="AB350" s="180">
        <f t="array" ref="AB350">INDIRECT("Update"&amp;Projections!$AG$17&amp;"!I"&amp;ROW(B331))</f>
        <v>0.5146144279</v>
      </c>
      <c r="AC350" s="180">
        <f t="array" ref="AC350">INDIRECT("Update"&amp;Projections!$AG$17&amp;"!K"&amp;ROW(B331))</f>
        <v>0.7281574394</v>
      </c>
      <c r="AD350" s="124">
        <f t="array" ref="AD350">INDIRECT("Update"&amp;Projections!$AG$17&amp;"!R"&amp;ROW(B331))</f>
        <v>0.8417021277</v>
      </c>
      <c r="AE350" s="124">
        <f t="shared" si="3"/>
        <v>-2.215753448</v>
      </c>
      <c r="AF350" s="124">
        <f t="shared" si="4"/>
        <v>-1.482138216</v>
      </c>
      <c r="AG350" s="124">
        <f t="shared" si="5"/>
        <v>-1.584610622</v>
      </c>
      <c r="AH350" s="124">
        <f t="shared" si="6"/>
        <v>-0.810073414</v>
      </c>
      <c r="AI350" s="124">
        <f t="shared" si="7"/>
        <v>-1.863354719</v>
      </c>
      <c r="AJ350" s="124">
        <f t="shared" si="8"/>
        <v>-0.8215152977</v>
      </c>
      <c r="AK350" s="124">
        <f t="shared" si="9"/>
        <v>0.08293794994</v>
      </c>
      <c r="AL350" s="124">
        <f t="shared" si="10"/>
        <v>-0.2309558665</v>
      </c>
      <c r="AM350" s="124">
        <f t="shared" si="11"/>
        <v>0</v>
      </c>
      <c r="AN350" s="183">
        <f t="shared" si="12"/>
        <v>-2.215753448</v>
      </c>
      <c r="AO350" s="183">
        <f t="shared" si="13"/>
        <v>-4.079108167</v>
      </c>
      <c r="AP350" s="183">
        <f t="array" ref="AP350">INDIRECT("Update"&amp;Projections!$AG$17&amp;"!S"&amp;ROW(B331))</f>
        <v>4.105531915</v>
      </c>
      <c r="AQ350" s="183">
        <f t="array" ref="AQ350">INDIRECT("Update"&amp;Projections!$AG$17&amp;"!T"&amp;ROW(B331))</f>
        <v>0.9838297872</v>
      </c>
    </row>
    <row r="351">
      <c r="A351" s="40" t="str">
        <f>IF(UpdateHashtag!C349="",ROW(UpdateHashtag!C349),UpdateHashtag!C349)</f>
        <v>Jaylon Tyson</v>
      </c>
      <c r="B351" s="41">
        <f>IF(TYPE($A351)=1,"",(UpdateHashtag!M349-B$1)/B$2)</f>
        <v>-1.998794693</v>
      </c>
      <c r="C351" s="41">
        <f>IF(TYPE($A351)=1,"",(UpdateHashtag!L349-C$1)/C$2)</f>
        <v>-1.238588102</v>
      </c>
      <c r="D351" s="41">
        <f>IF(TYPE($A351)=1,"",(UpdateHashtag!N349-D$1)/D$2)</f>
        <v>-1.482714803</v>
      </c>
      <c r="E351" s="41">
        <f>IF(TYPE($A351)=1,"",(UpdateHashtag!O349-E$1)/E$2)</f>
        <v>-1.241311653</v>
      </c>
      <c r="F351" s="41">
        <f>IF(TYPE($A351)=1,"",(UpdateHashtag!P349-F$1)/F$2)</f>
        <v>-1.905588506</v>
      </c>
      <c r="G351" s="41">
        <f>IF(TYPE($A351)=1,"",(UpdateHashtag!Q349-G$1)/G$2)</f>
        <v>-0.978628106</v>
      </c>
      <c r="H351" s="41">
        <f>IF(TYPE($A351)=1,"",(UpdateHashtag!I349-H$1)/H$2*I351/$I$1)</f>
        <v>-0.2736717426</v>
      </c>
      <c r="I351" s="41">
        <f>UpdateHashtag!S349</f>
        <v>5.2</v>
      </c>
      <c r="J351" s="53">
        <f>IF(TYPE($A351)=1,"",(UpdateHashtag!K349-J$1)/J$2*K351/$K$1)</f>
        <v>-0.08420811608</v>
      </c>
      <c r="K351" s="55">
        <f>UpdateHashtag!T349</f>
        <v>1.5</v>
      </c>
      <c r="L351" s="41">
        <f>IF(TYPE($A351)=1,"",-(UpdateHashtag!R349-L$1)/L$2)</f>
        <v>0.7426238329</v>
      </c>
      <c r="N351" s="112">
        <v>331.0</v>
      </c>
      <c r="O351" s="170" t="str">
        <f t="array" ref="O351">INDIRECT("Update"&amp;Projections!$AG$17&amp;"!B"&amp;ROW(B332))</f>
        <v/>
      </c>
      <c r="P351" s="172" t="str">
        <f t="array" ref="P351">INDIRECT("Update"&amp;Projections!$AG$17&amp;"!C"&amp;ROW(B332))</f>
        <v>Ochai Agbaji</v>
      </c>
      <c r="Q351" s="170">
        <f>UpdateHashtag!F397</f>
        <v>58</v>
      </c>
      <c r="R351" s="177" t="str">
        <f>IF(UpdateHashtag!D397="",ROW(UpdateHashtag!D397),UpdateHashtag!D397)</f>
        <v>PG,SG</v>
      </c>
      <c r="S351" s="124">
        <f t="shared" si="1"/>
        <v>-8.552407154</v>
      </c>
      <c r="T351" s="124">
        <f>SUM(AE351:AM351)-IFERROR(IFS(Projections!$I$17,AN351,Projections!$J$17,AO351),"")</f>
        <v>-8.794937976</v>
      </c>
      <c r="U351" s="124">
        <f t="shared" si="2"/>
        <v>-0.2425308219</v>
      </c>
      <c r="V351" s="124">
        <f t="array" ref="V351">INDIRECT("Update"&amp;Projections!$AG$17&amp;"!M"&amp;ROW(B332))</f>
        <v>5.122987013</v>
      </c>
      <c r="W351" s="124">
        <f t="array" ref="W351">INDIRECT("Update"&amp;Projections!$AG$17&amp;"!L"&amp;ROW(B332))</f>
        <v>0.5963636364</v>
      </c>
      <c r="X351" s="124">
        <f t="array" ref="X351">INDIRECT("Update"&amp;Projections!$AG$17&amp;"!N"&amp;ROW(B332))</f>
        <v>2.398701299</v>
      </c>
      <c r="Y351" s="124">
        <f t="array" ref="Y351">INDIRECT("Update"&amp;Projections!$AG$17&amp;"!O"&amp;ROW(B332))</f>
        <v>0.9277922078</v>
      </c>
      <c r="Z351" s="124">
        <f t="array" ref="Z351">INDIRECT("Update"&amp;Projections!$AG$17&amp;"!P"&amp;ROW(B332))</f>
        <v>0.5997402597</v>
      </c>
      <c r="AA351" s="124">
        <f t="array" ref="AA351">INDIRECT("Update"&amp;Projections!$AG$17&amp;"!Q"&amp;ROW(B332))</f>
        <v>0.3598701299</v>
      </c>
      <c r="AB351" s="180">
        <f t="array" ref="AB351">INDIRECT("Update"&amp;Projections!$AG$17&amp;"!I"&amp;ROW(B332))</f>
        <v>0.4280129934</v>
      </c>
      <c r="AC351" s="180">
        <f t="array" ref="AC351">INDIRECT("Update"&amp;Projections!$AG$17&amp;"!K"&amp;ROW(B332))</f>
        <v>0.678030303</v>
      </c>
      <c r="AD351" s="124">
        <f t="array" ref="AD351">INDIRECT("Update"&amp;Projections!$AG$17&amp;"!R"&amp;ROW(B332))</f>
        <v>0.7706493506</v>
      </c>
      <c r="AE351" s="124">
        <f t="shared" si="3"/>
        <v>-2.228983484</v>
      </c>
      <c r="AF351" s="124">
        <f t="shared" si="4"/>
        <v>-1.143002261</v>
      </c>
      <c r="AG351" s="124">
        <f t="shared" si="5"/>
        <v>-1.444033073</v>
      </c>
      <c r="AH351" s="124">
        <f t="shared" si="6"/>
        <v>-1.364931666</v>
      </c>
      <c r="AI351" s="124">
        <f t="shared" si="7"/>
        <v>-1.244785133</v>
      </c>
      <c r="AJ351" s="124">
        <f t="shared" si="8"/>
        <v>-0.6934760967</v>
      </c>
      <c r="AK351" s="124">
        <f t="shared" si="9"/>
        <v>-0.3799130847</v>
      </c>
      <c r="AL351" s="124">
        <f t="shared" si="10"/>
        <v>-0.2958131763</v>
      </c>
      <c r="AM351" s="124">
        <f t="shared" si="11"/>
        <v>0</v>
      </c>
      <c r="AN351" s="183">
        <f t="shared" si="12"/>
        <v>-2.228983484</v>
      </c>
      <c r="AO351" s="183">
        <f t="shared" si="13"/>
        <v>-3.673016558</v>
      </c>
      <c r="AP351" s="183">
        <f t="array" ref="AP351">INDIRECT("Update"&amp;Projections!$AG$17&amp;"!S"&amp;ROW(B332))</f>
        <v>4.717662338</v>
      </c>
      <c r="AQ351" s="183">
        <f t="array" ref="AQ351">INDIRECT("Update"&amp;Projections!$AG$17&amp;"!T"&amp;ROW(B332))</f>
        <v>0.72</v>
      </c>
    </row>
    <row r="352">
      <c r="A352" s="40" t="str">
        <f>IF(UpdateHashtag!C350="",ROW(UpdateHashtag!C350),UpdateHashtag!C350)</f>
        <v>Keon Johnson</v>
      </c>
      <c r="B352" s="41">
        <f>IF(TYPE($A352)=1,"",(UpdateHashtag!M350-B$1)/B$2)</f>
        <v>-1.908666873</v>
      </c>
      <c r="C352" s="41">
        <f>IF(TYPE($A352)=1,"",(UpdateHashtag!L350-C$1)/C$2)</f>
        <v>-0.7426238329</v>
      </c>
      <c r="D352" s="41">
        <f>IF(TYPE($A352)=1,"",(UpdateHashtag!N350-D$1)/D$2)</f>
        <v>-1.7570497</v>
      </c>
      <c r="E352" s="41">
        <f>IF(TYPE($A352)=1,"",(UpdateHashtag!O350-E$1)/E$2)</f>
        <v>-0.878000925</v>
      </c>
      <c r="F352" s="41">
        <f>IF(TYPE($A352)=1,"",(UpdateHashtag!P350-F$1)/F$2)</f>
        <v>-0.9130944927</v>
      </c>
      <c r="G352" s="41">
        <f>IF(TYPE($A352)=1,"",(UpdateHashtag!Q350-G$1)/G$2)</f>
        <v>-0.978628106</v>
      </c>
      <c r="H352" s="41">
        <f>IF(TYPE($A352)=1,"",(UpdateHashtag!I350-H$1)/H$2*I352/$I$1)</f>
        <v>-0.8884855746</v>
      </c>
      <c r="I352" s="41">
        <f>UpdateHashtag!S350</f>
        <v>6.3</v>
      </c>
      <c r="J352" s="53">
        <f>IF(TYPE($A352)=1,"",(UpdateHashtag!K350-J$1)/J$2*K352/$K$1)</f>
        <v>-0.4537682737</v>
      </c>
      <c r="K352" s="55">
        <f>UpdateHashtag!T350</f>
        <v>1.7</v>
      </c>
      <c r="L352" s="41">
        <f>IF(TYPE($A352)=1,"",-(UpdateHashtag!R350-L$1)/L$2)</f>
        <v>0.2466595634</v>
      </c>
      <c r="N352" s="5">
        <v>332.0</v>
      </c>
      <c r="O352" s="170" t="str">
        <f t="array" ref="O352">INDIRECT("Update"&amp;Projections!$AG$17&amp;"!B"&amp;ROW(B333))</f>
        <v/>
      </c>
      <c r="P352" s="172" t="str">
        <f t="array" ref="P352">INDIRECT("Update"&amp;Projections!$AG$17&amp;"!C"&amp;ROW(B333))</f>
        <v>Jonathan Mogbo</v>
      </c>
      <c r="Q352" s="170">
        <f>UpdateHashtag!F388</f>
        <v>40</v>
      </c>
      <c r="R352" s="177" t="str">
        <f>IF(UpdateHashtag!D388="",ROW(UpdateHashtag!D388),UpdateHashtag!D388)</f>
        <v>SG,SF</v>
      </c>
      <c r="S352" s="124">
        <f t="shared" si="1"/>
        <v>-8.884051763</v>
      </c>
      <c r="T352" s="124">
        <f>SUM(AE352:AM352)-IFERROR(IFS(Projections!$I$17,AN352,Projections!$J$17,AO352),"")</f>
        <v>-9.025493034</v>
      </c>
      <c r="U352" s="124">
        <f t="shared" si="2"/>
        <v>-0.1414412713</v>
      </c>
      <c r="V352" s="124">
        <f t="array" ref="V352">INDIRECT("Update"&amp;Projections!$AG$17&amp;"!M"&amp;ROW(B333))</f>
        <v>5.025744681</v>
      </c>
      <c r="W352" s="124">
        <f t="array" ref="W352">INDIRECT("Update"&amp;Projections!$AG$17&amp;"!L"&amp;ROW(B333))</f>
        <v>0</v>
      </c>
      <c r="X352" s="124">
        <f t="array" ref="X352">INDIRECT("Update"&amp;Projections!$AG$17&amp;"!N"&amp;ROW(B333))</f>
        <v>3.85893617</v>
      </c>
      <c r="Y352" s="124">
        <f t="array" ref="Y352">INDIRECT("Update"&amp;Projections!$AG$17&amp;"!O"&amp;ROW(B333))</f>
        <v>1.03106383</v>
      </c>
      <c r="Z352" s="124">
        <f t="array" ref="Z352">INDIRECT("Update"&amp;Projections!$AG$17&amp;"!P"&amp;ROW(B333))</f>
        <v>0.4712765957</v>
      </c>
      <c r="AA352" s="124">
        <f t="array" ref="AA352">INDIRECT("Update"&amp;Projections!$AG$17&amp;"!Q"&amp;ROW(B333))</f>
        <v>0.4419148936</v>
      </c>
      <c r="AB352" s="180">
        <f t="array" ref="AB352">INDIRECT("Update"&amp;Projections!$AG$17&amp;"!I"&amp;ROW(B333))</f>
        <v>0.5543927581</v>
      </c>
      <c r="AC352" s="180">
        <f t="array" ref="AC352">INDIRECT("Update"&amp;Projections!$AG$17&amp;"!K"&amp;ROW(B333))</f>
        <v>0.5300915831</v>
      </c>
      <c r="AD352" s="124">
        <f t="array" ref="AD352">INDIRECT("Update"&amp;Projections!$AG$17&amp;"!R"&amp;ROW(B333))</f>
        <v>1.178297872</v>
      </c>
      <c r="AE352" s="124">
        <f t="shared" si="3"/>
        <v>-2.246511963</v>
      </c>
      <c r="AF352" s="124">
        <f t="shared" si="4"/>
        <v>-1.734552372</v>
      </c>
      <c r="AG352" s="124">
        <f t="shared" si="5"/>
        <v>-0.8717568109</v>
      </c>
      <c r="AH352" s="124">
        <f t="shared" si="6"/>
        <v>-1.318032056</v>
      </c>
      <c r="AI352" s="124">
        <f t="shared" si="7"/>
        <v>-1.669783191</v>
      </c>
      <c r="AJ352" s="124">
        <f t="shared" si="8"/>
        <v>-0.5471371325</v>
      </c>
      <c r="AK352" s="124">
        <f t="shared" si="9"/>
        <v>0.2702788797</v>
      </c>
      <c r="AL352" s="124">
        <f t="shared" si="10"/>
        <v>-0.9079983881</v>
      </c>
      <c r="AM352" s="124">
        <f t="shared" si="11"/>
        <v>0</v>
      </c>
      <c r="AN352" s="183">
        <f t="shared" si="12"/>
        <v>-2.246511963</v>
      </c>
      <c r="AO352" s="183">
        <f t="shared" si="13"/>
        <v>-3.981064335</v>
      </c>
      <c r="AP352" s="183">
        <f t="array" ref="AP352">INDIRECT("Update"&amp;Projections!$AG$17&amp;"!S"&amp;ROW(B333))</f>
        <v>4.066170213</v>
      </c>
      <c r="AQ352" s="183">
        <f t="array" ref="AQ352">INDIRECT("Update"&amp;Projections!$AG$17&amp;"!T"&amp;ROW(B333))</f>
        <v>0.9757446809</v>
      </c>
    </row>
    <row r="353">
      <c r="A353" s="40" t="str">
        <f>IF(UpdateHashtag!C351="",ROW(UpdateHashtag!C351),UpdateHashtag!C351)</f>
        <v>Chris Duarte</v>
      </c>
      <c r="B353" s="41">
        <f>IF(TYPE($A353)=1,"",(UpdateHashtag!M351-B$1)/B$2)</f>
        <v>-2.142999204</v>
      </c>
      <c r="C353" s="41">
        <f>IF(TYPE($A353)=1,"",(UpdateHashtag!L351-C$1)/C$2)</f>
        <v>-0.8418166868</v>
      </c>
      <c r="D353" s="41">
        <f>IF(TYPE($A353)=1,"",(UpdateHashtag!N351-D$1)/D$2)</f>
        <v>-1.561096202</v>
      </c>
      <c r="E353" s="41">
        <f>IF(TYPE($A353)=1,"",(UpdateHashtag!O351-E$1)/E$2)</f>
        <v>-1.332139334</v>
      </c>
      <c r="F353" s="41">
        <f>IF(TYPE($A353)=1,"",(UpdateHashtag!P351-F$1)/F$2)</f>
        <v>-1.574757169</v>
      </c>
      <c r="G353" s="41">
        <f>IF(TYPE($A353)=1,"",(UpdateHashtag!Q351-G$1)/G$2)</f>
        <v>-0.978628106</v>
      </c>
      <c r="H353" s="41">
        <f>IF(TYPE($A353)=1,"",(UpdateHashtag!I351-H$1)/H$2*I353/$I$1)</f>
        <v>-0.7370465982</v>
      </c>
      <c r="I353" s="41">
        <f>UpdateHashtag!S351</f>
        <v>5.1</v>
      </c>
      <c r="J353" s="53">
        <f>IF(TYPE($A353)=1,"",(UpdateHashtag!K351-J$1)/J$2*K353/$K$1)</f>
        <v>0.1476189002</v>
      </c>
      <c r="K353" s="55">
        <f>UpdateHashtag!T351</f>
        <v>1</v>
      </c>
      <c r="L353" s="41">
        <f>IF(TYPE($A353)=1,"",-(UpdateHashtag!R351-L$1)/L$2)</f>
        <v>1.139395249</v>
      </c>
      <c r="N353" s="5">
        <v>333.0</v>
      </c>
      <c r="O353" s="170" t="str">
        <f t="array" ref="O353">INDIRECT("Update"&amp;Projections!$AG$17&amp;"!B"&amp;ROW(B334))</f>
        <v/>
      </c>
      <c r="P353" s="172" t="str">
        <f t="array" ref="P353">INDIRECT("Update"&amp;Projections!$AG$17&amp;"!C"&amp;ROW(B334))</f>
        <v>Kyle Filipowski</v>
      </c>
      <c r="Q353" s="306" t="str">
        <f>UpdateHashtag!F407</f>
        <v/>
      </c>
      <c r="R353" s="177">
        <f>IF(UpdateHashtag!D407="",ROW(UpdateHashtag!D407),UpdateHashtag!D407)</f>
        <v>407</v>
      </c>
      <c r="S353" s="124">
        <f t="shared" si="1"/>
        <v>-8.700832825</v>
      </c>
      <c r="T353" s="124">
        <f>SUM(AE353:AM353)-IFERROR(IFS(Projections!$I$17,AN353,Projections!$J$17,AO353),"")</f>
        <v>-8.944527156</v>
      </c>
      <c r="U353" s="124">
        <f t="shared" si="2"/>
        <v>-0.2436943302</v>
      </c>
      <c r="V353" s="124">
        <f t="array" ref="V353">INDIRECT("Update"&amp;Projections!$AG$17&amp;"!M"&amp;ROW(B334))</f>
        <v>5.15</v>
      </c>
      <c r="W353" s="124">
        <f t="array" ref="W353">INDIRECT("Update"&amp;Projections!$AG$17&amp;"!L"&amp;ROW(B334))</f>
        <v>0.2887234043</v>
      </c>
      <c r="X353" s="124">
        <f t="array" ref="X353">INDIRECT("Update"&amp;Projections!$AG$17&amp;"!N"&amp;ROW(B334))</f>
        <v>3.555957447</v>
      </c>
      <c r="Y353" s="124">
        <f t="array" ref="Y353">INDIRECT("Update"&amp;Projections!$AG$17&amp;"!O"&amp;ROW(B334))</f>
        <v>0.8753191489</v>
      </c>
      <c r="Z353" s="124">
        <f t="array" ref="Z353">INDIRECT("Update"&amp;Projections!$AG$17&amp;"!P"&amp;ROW(B334))</f>
        <v>0.3829787234</v>
      </c>
      <c r="AA353" s="124">
        <f t="array" ref="AA353">INDIRECT("Update"&amp;Projections!$AG$17&amp;"!Q"&amp;ROW(B334))</f>
        <v>0.465106383</v>
      </c>
      <c r="AB353" s="180">
        <f t="array" ref="AB353">INDIRECT("Update"&amp;Projections!$AG$17&amp;"!I"&amp;ROW(B334))</f>
        <v>0.4654791627</v>
      </c>
      <c r="AC353" s="180">
        <f t="array" ref="AC353">INDIRECT("Update"&amp;Projections!$AG$17&amp;"!K"&amp;ROW(B334))</f>
        <v>0.7219206681</v>
      </c>
      <c r="AD353" s="124">
        <f t="array" ref="AD353">INDIRECT("Update"&amp;Projections!$AG$17&amp;"!R"&amp;ROW(B334))</f>
        <v>0.7659574468</v>
      </c>
      <c r="AE353" s="124">
        <f t="shared" si="3"/>
        <v>-2.224114241</v>
      </c>
      <c r="AF353" s="124">
        <f t="shared" si="4"/>
        <v>-1.448159387</v>
      </c>
      <c r="AG353" s="124">
        <f t="shared" si="5"/>
        <v>-0.9904962922</v>
      </c>
      <c r="AH353" s="124">
        <f t="shared" si="6"/>
        <v>-1.388761698</v>
      </c>
      <c r="AI353" s="124">
        <f t="shared" si="7"/>
        <v>-1.961900224</v>
      </c>
      <c r="AJ353" s="124">
        <f t="shared" si="8"/>
        <v>-0.5057716829</v>
      </c>
      <c r="AK353" s="124">
        <f t="shared" si="9"/>
        <v>-0.1637468023</v>
      </c>
      <c r="AL353" s="124">
        <f t="shared" si="10"/>
        <v>-0.2615768281</v>
      </c>
      <c r="AM353" s="124">
        <f t="shared" si="11"/>
        <v>0</v>
      </c>
      <c r="AN353" s="183">
        <f t="shared" si="12"/>
        <v>-2.224114241</v>
      </c>
      <c r="AO353" s="183">
        <f t="shared" si="13"/>
        <v>-4.186014465</v>
      </c>
      <c r="AP353" s="183">
        <f t="array" ref="AP353">INDIRECT("Update"&amp;Projections!$AG$17&amp;"!S"&amp;ROW(B334))</f>
        <v>4.431489362</v>
      </c>
      <c r="AQ353" s="183">
        <f t="array" ref="AQ353">INDIRECT("Update"&amp;Projections!$AG$17&amp;"!T"&amp;ROW(B334))</f>
        <v>1.019148936</v>
      </c>
    </row>
    <row r="354">
      <c r="A354" s="40" t="str">
        <f>IF(UpdateHashtag!C352="",ROW(UpdateHashtag!C352),UpdateHashtag!C352)</f>
        <v>Alex Len</v>
      </c>
      <c r="B354" s="41">
        <f>IF(TYPE($A354)=1,"",(UpdateHashtag!M352-B$1)/B$2)</f>
        <v>-2.68376612</v>
      </c>
      <c r="C354" s="41">
        <f>IF(TYPE($A354)=1,"",(UpdateHashtag!L352-C$1)/C$2)</f>
        <v>-1.734552372</v>
      </c>
      <c r="D354" s="41">
        <f>IF(TYPE($A354)=1,"",(UpdateHashtag!N352-D$1)/D$2)</f>
        <v>-1.208379905</v>
      </c>
      <c r="E354" s="41">
        <f>IF(TYPE($A354)=1,"",(UpdateHashtag!O352-E$1)/E$2)</f>
        <v>-1.332139334</v>
      </c>
      <c r="F354" s="41">
        <f>IF(TYPE($A354)=1,"",(UpdateHashtag!P352-F$1)/F$2)</f>
        <v>-2.567251182</v>
      </c>
      <c r="G354" s="41">
        <f>IF(TYPE($A354)=1,"",(UpdateHashtag!Q352-G$1)/G$2)</f>
        <v>-0.08680419409</v>
      </c>
      <c r="H354" s="41">
        <f>IF(TYPE($A354)=1,"",(UpdateHashtag!I352-H$1)/H$2*I354/$I$1)</f>
        <v>0.187362832</v>
      </c>
      <c r="I354" s="41">
        <f>UpdateHashtag!S352</f>
        <v>1.7</v>
      </c>
      <c r="J354" s="53">
        <f>IF(TYPE($A354)=1,"",(UpdateHashtag!K352-J$1)/J$2*K354/$K$1)</f>
        <v>-0.4692889853</v>
      </c>
      <c r="K354" s="55">
        <f>UpdateHashtag!T352</f>
        <v>0.8</v>
      </c>
      <c r="L354" s="41">
        <f>IF(TYPE($A354)=1,"",-(UpdateHashtag!R352-L$1)/L$2)</f>
        <v>1.040202395</v>
      </c>
      <c r="N354" s="112">
        <v>334.0</v>
      </c>
      <c r="O354" s="170" t="str">
        <f t="array" ref="O354">INDIRECT("Update"&amp;Projections!$AG$17&amp;"!B"&amp;ROW(B335))</f>
        <v>#N/A</v>
      </c>
      <c r="P354" s="172" t="str">
        <f t="array" ref="P354">INDIRECT("Update"&amp;Projections!$AG$17&amp;"!C"&amp;ROW(B335))</f>
        <v>Ty Jerome</v>
      </c>
      <c r="Q354" s="170">
        <f>UpdateHashtag!F390</f>
        <v>28</v>
      </c>
      <c r="R354" s="177" t="str">
        <f>IF(UpdateHashtag!D390="",ROW(UpdateHashtag!D390),UpdateHashtag!D390)</f>
        <v>C</v>
      </c>
      <c r="S354" s="124">
        <f t="shared" si="1"/>
        <v>-8.702473739</v>
      </c>
      <c r="T354" s="124">
        <f>SUM(AE354:AM354)-IFERROR(IFS(Projections!$I$17,AN354,Projections!$J$17,AO354),"")</f>
        <v>-8.946405499</v>
      </c>
      <c r="U354" s="124">
        <f t="shared" si="2"/>
        <v>-0.2439317599</v>
      </c>
      <c r="V354" s="124">
        <f t="array" ref="V354">INDIRECT("Update"&amp;Projections!$AG$17&amp;"!M"&amp;ROW(B335))</f>
        <v>4.999705882</v>
      </c>
      <c r="W354" s="124">
        <f t="array" ref="W354">INDIRECT("Update"&amp;Projections!$AG$17&amp;"!L"&amp;ROW(B335))</f>
        <v>0.7319117647</v>
      </c>
      <c r="X354" s="124">
        <f t="array" ref="X354">INDIRECT("Update"&amp;Projections!$AG$17&amp;"!N"&amp;ROW(B335))</f>
        <v>1.498088235</v>
      </c>
      <c r="Y354" s="124">
        <f t="array" ref="Y354">INDIRECT("Update"&amp;Projections!$AG$17&amp;"!O"&amp;ROW(B335))</f>
        <v>2.55</v>
      </c>
      <c r="Z354" s="124">
        <f t="array" ref="Z354">INDIRECT("Update"&amp;Projections!$AG$17&amp;"!P"&amp;ROW(B335))</f>
        <v>0.4223529412</v>
      </c>
      <c r="AA354" s="124">
        <f t="array" ref="AA354">INDIRECT("Update"&amp;Projections!$AG$17&amp;"!Q"&amp;ROW(B335))</f>
        <v>0.09867647059</v>
      </c>
      <c r="AB354" s="180">
        <f t="array" ref="AB354">INDIRECT("Update"&amp;Projections!$AG$17&amp;"!I"&amp;ROW(B335))</f>
        <v>0.4365084633</v>
      </c>
      <c r="AC354" s="180">
        <f t="array" ref="AC354">INDIRECT("Update"&amp;Projections!$AG$17&amp;"!K"&amp;ROW(B335))</f>
        <v>0.8198551599</v>
      </c>
      <c r="AD354" s="124">
        <f t="array" ref="AD354">INDIRECT("Update"&amp;Projections!$AG$17&amp;"!R"&amp;ROW(B335))</f>
        <v>0.765</v>
      </c>
      <c r="AE354" s="124">
        <f t="shared" si="3"/>
        <v>-2.251205603</v>
      </c>
      <c r="AF354" s="124">
        <f t="shared" si="4"/>
        <v>-1.008548204</v>
      </c>
      <c r="AG354" s="124">
        <f t="shared" si="5"/>
        <v>-1.796989634</v>
      </c>
      <c r="AH354" s="124">
        <f t="shared" si="6"/>
        <v>-0.6282247998</v>
      </c>
      <c r="AI354" s="124">
        <f t="shared" si="7"/>
        <v>-1.831637972</v>
      </c>
      <c r="AJ354" s="124">
        <f t="shared" si="8"/>
        <v>-1.159353599</v>
      </c>
      <c r="AK354" s="124">
        <f t="shared" si="9"/>
        <v>-0.3130344854</v>
      </c>
      <c r="AL354" s="124">
        <f t="shared" si="10"/>
        <v>0.04258879867</v>
      </c>
      <c r="AM354" s="124">
        <f t="shared" si="11"/>
        <v>0</v>
      </c>
      <c r="AN354" s="183">
        <f t="shared" si="12"/>
        <v>-2.251205603</v>
      </c>
      <c r="AO354" s="183">
        <f t="shared" si="13"/>
        <v>-4.082843575</v>
      </c>
      <c r="AP354" s="183">
        <f t="array" ref="AP354">INDIRECT("Update"&amp;Projections!$AG$17&amp;"!S"&amp;ROW(B335))</f>
        <v>4.430882353</v>
      </c>
      <c r="AQ354" s="183">
        <f t="array" ref="AQ354">INDIRECT("Update"&amp;Projections!$AG$17&amp;"!T"&amp;ROW(B335))</f>
        <v>0.4873529412</v>
      </c>
    </row>
    <row r="355">
      <c r="A355" s="40" t="str">
        <f>IF(UpdateHashtag!C353="",ROW(UpdateHashtag!C353),UpdateHashtag!C353)</f>
        <v>Kevon Looney</v>
      </c>
      <c r="B355" s="41">
        <f>IF(TYPE($A355)=1,"",(UpdateHashtag!M353-B$1)/B$2)</f>
        <v>-2.611663865</v>
      </c>
      <c r="C355" s="41">
        <f>IF(TYPE($A355)=1,"",(UpdateHashtag!L353-C$1)/C$2)</f>
        <v>-1.734552372</v>
      </c>
      <c r="D355" s="41">
        <f>IF(TYPE($A355)=1,"",(UpdateHashtag!N353-D$1)/D$2)</f>
        <v>-0.8556636087</v>
      </c>
      <c r="E355" s="41">
        <f>IF(TYPE($A355)=1,"",(UpdateHashtag!O353-E$1)/E$2)</f>
        <v>-1.286725494</v>
      </c>
      <c r="F355" s="41">
        <f>IF(TYPE($A355)=1,"",(UpdateHashtag!P353-F$1)/F$2)</f>
        <v>-2.236419844</v>
      </c>
      <c r="G355" s="41">
        <f>IF(TYPE($A355)=1,"",(UpdateHashtag!Q353-G$1)/G$2)</f>
        <v>-0.8002633236</v>
      </c>
      <c r="H355" s="41">
        <f>IF(TYPE($A355)=1,"",(UpdateHashtag!I353-H$1)/H$2*I355/$I$1)</f>
        <v>0.2925141837</v>
      </c>
      <c r="I355" s="41">
        <f>UpdateHashtag!S353</f>
        <v>2.1</v>
      </c>
      <c r="J355" s="53">
        <f>IF(TYPE($A355)=1,"",(UpdateHashtag!K353-J$1)/J$2*K355/$K$1)</f>
        <v>-0.455236734</v>
      </c>
      <c r="K355" s="55">
        <f>UpdateHashtag!T353</f>
        <v>0.8</v>
      </c>
      <c r="L355" s="41">
        <f>IF(TYPE($A355)=1,"",-(UpdateHashtag!R353-L$1)/L$2)</f>
        <v>1.43697381</v>
      </c>
      <c r="N355" s="112">
        <v>335.0</v>
      </c>
      <c r="O355" s="170" t="str">
        <f t="array" ref="O355">INDIRECT("Update"&amp;Projections!$AG$17&amp;"!B"&amp;ROW(B336))</f>
        <v/>
      </c>
      <c r="P355" s="172" t="str">
        <f t="array" ref="P355">INDIRECT("Update"&amp;Projections!$AG$17&amp;"!C"&amp;ROW(B336))</f>
        <v>Gary Harris</v>
      </c>
      <c r="Q355" s="170">
        <f>UpdateHashtag!F392</f>
        <v>30</v>
      </c>
      <c r="R355" s="177" t="str">
        <f>IF(UpdateHashtag!D392="",ROW(UpdateHashtag!D392),UpdateHashtag!D392)</f>
        <v>SF,PF</v>
      </c>
      <c r="S355" s="124">
        <f t="shared" si="1"/>
        <v>-8.571448219</v>
      </c>
      <c r="T355" s="124">
        <f>SUM(AE355:AM355)-IFERROR(IFS(Projections!$I$17,AN355,Projections!$J$17,AO355),"")</f>
        <v>-8.894320959</v>
      </c>
      <c r="U355" s="124">
        <f t="shared" si="2"/>
        <v>-0.3228727394</v>
      </c>
      <c r="V355" s="124">
        <f t="array" ref="V355">INDIRECT("Update"&amp;Projections!$AG$17&amp;"!M"&amp;ROW(B336))</f>
        <v>4.620526316</v>
      </c>
      <c r="W355" s="124">
        <f t="array" ref="W355">INDIRECT("Update"&amp;Projections!$AG$17&amp;"!L"&amp;ROW(B336))</f>
        <v>1.023508772</v>
      </c>
      <c r="X355" s="124">
        <f t="array" ref="X355">INDIRECT("Update"&amp;Projections!$AG$17&amp;"!N"&amp;ROW(B336))</f>
        <v>1.271052632</v>
      </c>
      <c r="Y355" s="124">
        <f t="array" ref="Y355">INDIRECT("Update"&amp;Projections!$AG$17&amp;"!O"&amp;ROW(B336))</f>
        <v>0.9796491228</v>
      </c>
      <c r="Z355" s="124">
        <f t="array" ref="Z355">INDIRECT("Update"&amp;Projections!$AG$17&amp;"!P"&amp;ROW(B336))</f>
        <v>0.5987719298</v>
      </c>
      <c r="AA355" s="124">
        <f t="array" ref="AA355">INDIRECT("Update"&amp;Projections!$AG$17&amp;"!Q"&amp;ROW(B336))</f>
        <v>0.1401754386</v>
      </c>
      <c r="AB355" s="180">
        <f t="array" ref="AB355">INDIRECT("Update"&amp;Projections!$AG$17&amp;"!I"&amp;ROW(B336))</f>
        <v>0.4210526316</v>
      </c>
      <c r="AC355" s="180">
        <f t="array" ref="AC355">INDIRECT("Update"&amp;Projections!$AG$17&amp;"!K"&amp;ROW(B336))</f>
        <v>0.8211351755</v>
      </c>
      <c r="AD355" s="124">
        <f t="array" ref="AD355">INDIRECT("Update"&amp;Projections!$AG$17&amp;"!R"&amp;ROW(B336))</f>
        <v>0.4466666667</v>
      </c>
      <c r="AE355" s="124">
        <f t="shared" si="3"/>
        <v>-2.319554858</v>
      </c>
      <c r="AF355" s="124">
        <f t="shared" si="4"/>
        <v>-0.719304811</v>
      </c>
      <c r="AG355" s="124">
        <f t="shared" si="5"/>
        <v>-1.885966475</v>
      </c>
      <c r="AH355" s="124">
        <f t="shared" si="6"/>
        <v>-1.341381449</v>
      </c>
      <c r="AI355" s="124">
        <f t="shared" si="7"/>
        <v>-1.247988672</v>
      </c>
      <c r="AJ355" s="124">
        <f t="shared" si="8"/>
        <v>-1.085334055</v>
      </c>
      <c r="AK355" s="124">
        <f t="shared" si="9"/>
        <v>-0.3379603623</v>
      </c>
      <c r="AL355" s="124">
        <f t="shared" si="10"/>
        <v>0.04316972407</v>
      </c>
      <c r="AM355" s="124">
        <f t="shared" si="11"/>
        <v>0</v>
      </c>
      <c r="AN355" s="183">
        <f t="shared" si="12"/>
        <v>-2.319554858</v>
      </c>
      <c r="AO355" s="183">
        <f t="shared" si="13"/>
        <v>-4.205521334</v>
      </c>
      <c r="AP355" s="183">
        <f t="array" ref="AP355">INDIRECT("Update"&amp;Projections!$AG$17&amp;"!S"&amp;ROW(B336))</f>
        <v>3.813333333</v>
      </c>
      <c r="AQ355" s="183">
        <f t="array" ref="AQ355">INDIRECT("Update"&amp;Projections!$AG$17&amp;"!T"&amp;ROW(B336))</f>
        <v>0.4698245614</v>
      </c>
    </row>
    <row r="356">
      <c r="A356" s="40" t="str">
        <f>IF(UpdateHashtag!C354="",ROW(UpdateHashtag!C354),UpdateHashtag!C354)</f>
        <v>Jeremiah Robinson-Earl</v>
      </c>
      <c r="B356" s="41">
        <f>IF(TYPE($A356)=1,"",(UpdateHashtag!M354-B$1)/B$2)</f>
        <v>-2.377331534</v>
      </c>
      <c r="C356" s="41">
        <f>IF(TYPE($A356)=1,"",(UpdateHashtag!L354-C$1)/C$2)</f>
        <v>-1.238588102</v>
      </c>
      <c r="D356" s="41">
        <f>IF(TYPE($A356)=1,"",(UpdateHashtag!N354-D$1)/D$2)</f>
        <v>-1.325952004</v>
      </c>
      <c r="E356" s="41">
        <f>IF(TYPE($A356)=1,"",(UpdateHashtag!O354-E$1)/E$2)</f>
        <v>-1.468380857</v>
      </c>
      <c r="F356" s="41">
        <f>IF(TYPE($A356)=1,"",(UpdateHashtag!P354-F$1)/F$2)</f>
        <v>-1.905588506</v>
      </c>
      <c r="G356" s="41">
        <f>IF(TYPE($A356)=1,"",(UpdateHashtag!Q354-G$1)/G$2)</f>
        <v>-0.978628106</v>
      </c>
      <c r="H356" s="41">
        <f>IF(TYPE($A356)=1,"",(UpdateHashtag!I354-H$1)/H$2*I356/$I$1)</f>
        <v>-0.1947279707</v>
      </c>
      <c r="I356" s="41">
        <f>UpdateHashtag!S354</f>
        <v>3.7</v>
      </c>
      <c r="J356" s="53">
        <f>IF(TYPE($A356)=1,"",(UpdateHashtag!K354-J$1)/J$2*K356/$K$1)</f>
        <v>0.02322837144</v>
      </c>
      <c r="K356" s="55">
        <f>UpdateHashtag!T354</f>
        <v>0.6</v>
      </c>
      <c r="L356" s="41">
        <f>IF(TYPE($A356)=1,"",-(UpdateHashtag!R354-L$1)/L$2)</f>
        <v>1.337780956</v>
      </c>
      <c r="N356" s="5">
        <v>336.0</v>
      </c>
      <c r="O356" s="170" t="str">
        <f t="array" ref="O356">INDIRECT("Update"&amp;Projections!$AG$17&amp;"!B"&amp;ROW(B337))</f>
        <v/>
      </c>
      <c r="P356" s="172" t="str">
        <f t="array" ref="P356">INDIRECT("Update"&amp;Projections!$AG$17&amp;"!C"&amp;ROW(B337))</f>
        <v>AJ Green</v>
      </c>
      <c r="Q356" s="170">
        <f>UpdateHashtag!F391</f>
        <v>30</v>
      </c>
      <c r="R356" s="177" t="str">
        <f>IF(UpdateHashtag!D391="",ROW(UpdateHashtag!D391),UpdateHashtag!D391)</f>
        <v>SF</v>
      </c>
      <c r="S356" s="124">
        <f t="shared" si="1"/>
        <v>-8.595498722</v>
      </c>
      <c r="T356" s="124">
        <f>SUM(AE356:AM356)-IFERROR(IFS(Projections!$I$17,AN356,Projections!$J$17,AO356),"")</f>
        <v>-8.916118108</v>
      </c>
      <c r="U356" s="124">
        <f t="shared" si="2"/>
        <v>-0.3206193858</v>
      </c>
      <c r="V356" s="124">
        <f t="array" ref="V356">INDIRECT("Update"&amp;Projections!$AG$17&amp;"!M"&amp;ROW(B337))</f>
        <v>6.09369863</v>
      </c>
      <c r="W356" s="124">
        <f t="array" ref="W356">INDIRECT("Update"&amp;Projections!$AG$17&amp;"!L"&amp;ROW(B337))</f>
        <v>1.656986301</v>
      </c>
      <c r="X356" s="124">
        <f t="array" ref="X356">INDIRECT("Update"&amp;Projections!$AG$17&amp;"!N"&amp;ROW(B337))</f>
        <v>1.647945205</v>
      </c>
      <c r="Y356" s="124">
        <f t="array" ref="Y356">INDIRECT("Update"&amp;Projections!$AG$17&amp;"!O"&amp;ROW(B337))</f>
        <v>0.7363013699</v>
      </c>
      <c r="Z356" s="124">
        <f t="array" ref="Z356">INDIRECT("Update"&amp;Projections!$AG$17&amp;"!P"&amp;ROW(B337))</f>
        <v>0.3156164384</v>
      </c>
      <c r="AA356" s="124">
        <f t="array" ref="AA356">INDIRECT("Update"&amp;Projections!$AG$17&amp;"!Q"&amp;ROW(B337))</f>
        <v>0.1402739726</v>
      </c>
      <c r="AB356" s="180">
        <f t="array" ref="AB356">INDIRECT("Update"&amp;Projections!$AG$17&amp;"!I"&amp;ROW(B337))</f>
        <v>0.4188251946</v>
      </c>
      <c r="AC356" s="180">
        <f t="array" ref="AC356">INDIRECT("Update"&amp;Projections!$AG$17&amp;"!K"&amp;ROW(B337))</f>
        <v>0.8801509909</v>
      </c>
      <c r="AD356" s="124">
        <f t="array" ref="AD356">INDIRECT("Update"&amp;Projections!$AG$17&amp;"!R"&amp;ROW(B337))</f>
        <v>0.4557534247</v>
      </c>
      <c r="AE356" s="124">
        <f t="shared" si="3"/>
        <v>-2.054007242</v>
      </c>
      <c r="AF356" s="124">
        <f t="shared" si="4"/>
        <v>-0.09094037117</v>
      </c>
      <c r="AG356" s="124">
        <f t="shared" si="5"/>
        <v>-1.738259639</v>
      </c>
      <c r="AH356" s="124">
        <f t="shared" si="6"/>
        <v>-1.451895011</v>
      </c>
      <c r="AI356" s="124">
        <f t="shared" si="7"/>
        <v>-2.184755772</v>
      </c>
      <c r="AJ356" s="124">
        <f t="shared" si="8"/>
        <v>-1.085158305</v>
      </c>
      <c r="AK356" s="124">
        <f t="shared" si="9"/>
        <v>-0.4414020283</v>
      </c>
      <c r="AL356" s="124">
        <f t="shared" si="10"/>
        <v>0.1303002608</v>
      </c>
      <c r="AM356" s="124">
        <f t="shared" si="11"/>
        <v>0</v>
      </c>
      <c r="AN356" s="183">
        <f t="shared" si="12"/>
        <v>-2.184755772</v>
      </c>
      <c r="AO356" s="183">
        <f t="shared" si="13"/>
        <v>-4.238763014</v>
      </c>
      <c r="AP356" s="183">
        <f t="array" ref="AP356">INDIRECT("Update"&amp;Projections!$AG$17&amp;"!S"&amp;ROW(B337))</f>
        <v>4.839041096</v>
      </c>
      <c r="AQ356" s="183">
        <f t="array" ref="AQ356">INDIRECT("Update"&amp;Projections!$AG$17&amp;"!T"&amp;ROW(B337))</f>
        <v>0.4354794521</v>
      </c>
    </row>
    <row r="357">
      <c r="A357" s="40" t="str">
        <f>IF(UpdateHashtag!C355="",ROW(UpdateHashtag!C355),UpdateHashtag!C355)</f>
        <v>Jamal Cain</v>
      </c>
      <c r="B357" s="41">
        <f>IF(TYPE($A357)=1,"",(UpdateHashtag!M355-B$1)/B$2)</f>
        <v>-2.35930597</v>
      </c>
      <c r="C357" s="41">
        <f>IF(TYPE($A357)=1,"",(UpdateHashtag!L355-C$1)/C$2)</f>
        <v>-1.337780956</v>
      </c>
      <c r="D357" s="41">
        <f>IF(TYPE($A357)=1,"",(UpdateHashtag!N355-D$1)/D$2)</f>
        <v>-1.600286902</v>
      </c>
      <c r="E357" s="41">
        <f>IF(TYPE($A357)=1,"",(UpdateHashtag!O355-E$1)/E$2)</f>
        <v>-1.559208539</v>
      </c>
      <c r="F357" s="41">
        <f>IF(TYPE($A357)=1,"",(UpdateHashtag!P355-F$1)/F$2)</f>
        <v>-1.574757169</v>
      </c>
      <c r="G357" s="41">
        <f>IF(TYPE($A357)=1,"",(UpdateHashtag!Q355-G$1)/G$2)</f>
        <v>-1.156992888</v>
      </c>
      <c r="H357" s="41">
        <f>IF(TYPE($A357)=1,"",(UpdateHashtag!I355-H$1)/H$2*I357/$I$1)</f>
        <v>-0.03549271042</v>
      </c>
      <c r="I357" s="41">
        <f>UpdateHashtag!S355</f>
        <v>3.3</v>
      </c>
      <c r="J357" s="53">
        <f>IF(TYPE($A357)=1,"",(UpdateHashtag!K355-J$1)/J$2*K357/$K$1)</f>
        <v>-0.04559955556</v>
      </c>
      <c r="K357" s="55">
        <f>UpdateHashtag!T355</f>
        <v>1</v>
      </c>
      <c r="L357" s="41">
        <f>IF(TYPE($A357)=1,"",-(UpdateHashtag!R355-L$1)/L$2)</f>
        <v>1.43697381</v>
      </c>
      <c r="N357" s="5">
        <v>337.0</v>
      </c>
      <c r="O357" s="170" t="str">
        <f t="array" ref="O357">INDIRECT("Update"&amp;Projections!$AG$17&amp;"!B"&amp;ROW(B338))</f>
        <v/>
      </c>
      <c r="P357" s="172" t="str">
        <f t="array" ref="P357">INDIRECT("Update"&amp;Projections!$AG$17&amp;"!C"&amp;ROW(B338))</f>
        <v>DeAndre Jordan</v>
      </c>
      <c r="Q357" s="170">
        <f>UpdateHashtag!F393</f>
        <v>48</v>
      </c>
      <c r="R357" s="177" t="str">
        <f>IF(UpdateHashtag!D393="",ROW(UpdateHashtag!D393),UpdateHashtag!D393)</f>
        <v>SF,PF</v>
      </c>
      <c r="S357" s="124">
        <f t="shared" si="1"/>
        <v>-9.041022152</v>
      </c>
      <c r="T357" s="124">
        <f>SUM(AE357:AM357)-IFERROR(IFS(Projections!$I$17,AN357,Projections!$J$17,AO357),"")</f>
        <v>-9.239932328</v>
      </c>
      <c r="U357" s="124">
        <f t="shared" si="2"/>
        <v>-0.1989101758</v>
      </c>
      <c r="V357" s="124">
        <f t="array" ref="V357">INDIRECT("Update"&amp;Projections!$AG$17&amp;"!M"&amp;ROW(B338))</f>
        <v>4.38137931</v>
      </c>
      <c r="W357" s="124">
        <f t="array" ref="W357">INDIRECT("Update"&amp;Projections!$AG$17&amp;"!L"&amp;ROW(B338))</f>
        <v>0</v>
      </c>
      <c r="X357" s="124">
        <f t="array" ref="X357">INDIRECT("Update"&amp;Projections!$AG$17&amp;"!N"&amp;ROW(B338))</f>
        <v>5.116551724</v>
      </c>
      <c r="Y357" s="124">
        <f t="array" ref="Y357">INDIRECT("Update"&amp;Projections!$AG$17&amp;"!O"&amp;ROW(B338))</f>
        <v>0.7844827586</v>
      </c>
      <c r="Z357" s="124">
        <f t="array" ref="Z357">INDIRECT("Update"&amp;Projections!$AG$17&amp;"!P"&amp;ROW(B338))</f>
        <v>0.2272413793</v>
      </c>
      <c r="AA357" s="124">
        <f t="array" ref="AA357">INDIRECT("Update"&amp;Projections!$AG$17&amp;"!Q"&amp;ROW(B338))</f>
        <v>0.6024137931</v>
      </c>
      <c r="AB357" s="180">
        <f t="array" ref="AB357">INDIRECT("Update"&amp;Projections!$AG$17&amp;"!I"&amp;ROW(B338))</f>
        <v>0.6340229885</v>
      </c>
      <c r="AC357" s="180">
        <f t="array" ref="AC357">INDIRECT("Update"&amp;Projections!$AG$17&amp;"!K"&amp;ROW(B338))</f>
        <v>0.5198757764</v>
      </c>
      <c r="AD357" s="124">
        <f t="array" ref="AD357">INDIRECT("Update"&amp;Projections!$AG$17&amp;"!R"&amp;ROW(B338))</f>
        <v>0.9465517241</v>
      </c>
      <c r="AE357" s="124">
        <f t="shared" si="3"/>
        <v>-2.362662455</v>
      </c>
      <c r="AF357" s="124">
        <f t="shared" si="4"/>
        <v>-1.734552372</v>
      </c>
      <c r="AG357" s="124">
        <f t="shared" si="5"/>
        <v>-0.3788884766</v>
      </c>
      <c r="AH357" s="124">
        <f t="shared" si="6"/>
        <v>-1.430013992</v>
      </c>
      <c r="AI357" s="124">
        <f t="shared" si="7"/>
        <v>-2.477128163</v>
      </c>
      <c r="AJ357" s="124">
        <f t="shared" si="8"/>
        <v>-0.2608636197</v>
      </c>
      <c r="AK357" s="124">
        <f t="shared" si="9"/>
        <v>0.4772788604</v>
      </c>
      <c r="AL357" s="124">
        <f t="shared" si="10"/>
        <v>-1.073102111</v>
      </c>
      <c r="AM357" s="124">
        <f t="shared" si="11"/>
        <v>0</v>
      </c>
      <c r="AN357" s="183">
        <f t="shared" si="12"/>
        <v>-2.477128163</v>
      </c>
      <c r="AO357" s="183">
        <f t="shared" si="13"/>
        <v>-4.839790617</v>
      </c>
      <c r="AP357" s="183">
        <f t="array" ref="AP357">INDIRECT("Update"&amp;Projections!$AG$17&amp;"!S"&amp;ROW(B338))</f>
        <v>3</v>
      </c>
      <c r="AQ357" s="183">
        <f t="array" ref="AQ357">INDIRECT("Update"&amp;Projections!$AG$17&amp;"!T"&amp;ROW(B338))</f>
        <v>1.110344828</v>
      </c>
    </row>
    <row r="358">
      <c r="A358" s="40" t="str">
        <f>IF(UpdateHashtag!C356="",ROW(UpdateHashtag!C356),UpdateHashtag!C356)</f>
        <v>Dru Smith</v>
      </c>
      <c r="B358" s="41">
        <f>IF(TYPE($A358)=1,"",(UpdateHashtag!M356-B$1)/B$2)</f>
        <v>-2.68376612</v>
      </c>
      <c r="C358" s="41">
        <f>IF(TYPE($A358)=1,"",(UpdateHashtag!L356-C$1)/C$2)</f>
        <v>-1.337780956</v>
      </c>
      <c r="D358" s="41">
        <f>IF(TYPE($A358)=1,"",(UpdateHashtag!N356-D$1)/D$2)</f>
        <v>-1.913812499</v>
      </c>
      <c r="E358" s="41">
        <f>IF(TYPE($A358)=1,"",(UpdateHashtag!O356-E$1)/E$2)</f>
        <v>-1.286725494</v>
      </c>
      <c r="F358" s="41">
        <f>IF(TYPE($A358)=1,"",(UpdateHashtag!P356-F$1)/F$2)</f>
        <v>-1.243925831</v>
      </c>
      <c r="G358" s="41">
        <f>IF(TYPE($A358)=1,"",(UpdateHashtag!Q356-G$1)/G$2)</f>
        <v>-0.978628106</v>
      </c>
      <c r="H358" s="41">
        <f>IF(TYPE($A358)=1,"",(UpdateHashtag!I356-H$1)/H$2*I358/$I$1)</f>
        <v>-0.2128492516</v>
      </c>
      <c r="I358" s="41">
        <f>UpdateHashtag!S356</f>
        <v>2.4</v>
      </c>
      <c r="J358" s="53">
        <f>IF(TYPE($A358)=1,"",(UpdateHashtag!K356-J$1)/J$2*K358/$K$1)</f>
        <v>0.1440496284</v>
      </c>
      <c r="K358" s="55">
        <f>UpdateHashtag!T356</f>
        <v>0.2</v>
      </c>
      <c r="L358" s="41">
        <f>IF(TYPE($A358)=1,"",-(UpdateHashtag!R356-L$1)/L$2)</f>
        <v>1.43697381</v>
      </c>
      <c r="N358" s="112">
        <v>338.0</v>
      </c>
      <c r="O358" s="170" t="str">
        <f t="array" ref="O358">INDIRECT("Update"&amp;Projections!$AG$17&amp;"!B"&amp;ROW(B339))</f>
        <v/>
      </c>
      <c r="P358" s="172" t="str">
        <f t="array" ref="P358">INDIRECT("Update"&amp;Projections!$AG$17&amp;"!C"&amp;ROW(B339))</f>
        <v>Keon Johnson</v>
      </c>
      <c r="Q358" s="170">
        <f>UpdateHashtag!F383</f>
        <v>30</v>
      </c>
      <c r="R358" s="177" t="str">
        <f>IF(UpdateHashtag!D383="",ROW(UpdateHashtag!D383),UpdateHashtag!D383)</f>
        <v>PG,SG</v>
      </c>
      <c r="S358" s="124">
        <f t="shared" si="1"/>
        <v>-8.67575175</v>
      </c>
      <c r="T358" s="124">
        <f>SUM(AE358:AM358)-IFERROR(IFS(Projections!$I$17,AN358,Projections!$J$17,AO358),"")</f>
        <v>-8.824790772</v>
      </c>
      <c r="U358" s="124">
        <f t="shared" si="2"/>
        <v>-0.1490390218</v>
      </c>
      <c r="V358" s="124">
        <f t="array" ref="V358">INDIRECT("Update"&amp;Projections!$AG$17&amp;"!M"&amp;ROW(B339))</f>
        <v>5.938723404</v>
      </c>
      <c r="W358" s="124">
        <f t="array" ref="W358">INDIRECT("Update"&amp;Projections!$AG$17&amp;"!L"&amp;ROW(B339))</f>
        <v>0.8885106383</v>
      </c>
      <c r="X358" s="124">
        <f t="array" ref="X358">INDIRECT("Update"&amp;Projections!$AG$17&amp;"!N"&amp;ROW(B339))</f>
        <v>1.531914894</v>
      </c>
      <c r="Y358" s="124">
        <f t="array" ref="Y358">INDIRECT("Update"&amp;Projections!$AG$17&amp;"!O"&amp;ROW(B339))</f>
        <v>1.659574468</v>
      </c>
      <c r="Z358" s="124">
        <f t="array" ref="Z358">INDIRECT("Update"&amp;Projections!$AG$17&amp;"!P"&amp;ROW(B339))</f>
        <v>0.5904255319</v>
      </c>
      <c r="AA358" s="124">
        <f t="array" ref="AA358">INDIRECT("Update"&amp;Projections!$AG$17&amp;"!Q"&amp;ROW(B339))</f>
        <v>0.2353191489</v>
      </c>
      <c r="AB358" s="180">
        <f t="array" ref="AB358">INDIRECT("Update"&amp;Projections!$AG$17&amp;"!I"&amp;ROW(B339))</f>
        <v>0.3810429853</v>
      </c>
      <c r="AC358" s="180">
        <f t="array" ref="AC358">INDIRECT("Update"&amp;Projections!$AG$17&amp;"!K"&amp;ROW(B339))</f>
        <v>0.7599852071</v>
      </c>
      <c r="AD358" s="124">
        <f t="array" ref="AD358">INDIRECT("Update"&amp;Projections!$AG$17&amp;"!R"&amp;ROW(B339))</f>
        <v>1.147659574</v>
      </c>
      <c r="AE358" s="124">
        <f t="shared" si="3"/>
        <v>-2.0819424</v>
      </c>
      <c r="AF358" s="124">
        <f t="shared" si="4"/>
        <v>-0.8532133126</v>
      </c>
      <c r="AG358" s="124">
        <f t="shared" si="5"/>
        <v>-1.78373273</v>
      </c>
      <c r="AH358" s="124">
        <f t="shared" si="6"/>
        <v>-1.032601235</v>
      </c>
      <c r="AI358" s="124">
        <f t="shared" si="7"/>
        <v>-1.275601172</v>
      </c>
      <c r="AJ358" s="124">
        <f t="shared" si="8"/>
        <v>-0.915631183</v>
      </c>
      <c r="AK358" s="124">
        <f t="shared" si="9"/>
        <v>-0.7406105266</v>
      </c>
      <c r="AL358" s="124">
        <f t="shared" si="10"/>
        <v>-0.1414582138</v>
      </c>
      <c r="AM358" s="124">
        <f t="shared" si="11"/>
        <v>0</v>
      </c>
      <c r="AN358" s="183">
        <f t="shared" si="12"/>
        <v>-2.0819424</v>
      </c>
      <c r="AO358" s="183">
        <f t="shared" si="13"/>
        <v>-3.86567513</v>
      </c>
      <c r="AP358" s="183">
        <f t="array" ref="AP358">INDIRECT("Update"&amp;Projections!$AG$17&amp;"!S"&amp;ROW(B339))</f>
        <v>5.479361702</v>
      </c>
      <c r="AQ358" s="183">
        <f t="array" ref="AQ358">INDIRECT("Update"&amp;Projections!$AG$17&amp;"!T"&amp;ROW(B339))</f>
        <v>1.150638298</v>
      </c>
    </row>
    <row r="359">
      <c r="A359" s="40" t="str">
        <f>IF(UpdateHashtag!C357="",ROW(UpdateHashtag!C357),UpdateHashtag!C357)</f>
        <v>Zeke Nnaji</v>
      </c>
      <c r="B359" s="41">
        <f>IF(TYPE($A359)=1,"",(UpdateHashtag!M357-B$1)/B$2)</f>
        <v>-2.377331534</v>
      </c>
      <c r="C359" s="41">
        <f>IF(TYPE($A359)=1,"",(UpdateHashtag!L357-C$1)/C$2)</f>
        <v>-1.536166664</v>
      </c>
      <c r="D359" s="41">
        <f>IF(TYPE($A359)=1,"",(UpdateHashtag!N357-D$1)/D$2)</f>
        <v>-1.404333404</v>
      </c>
      <c r="E359" s="41">
        <f>IF(TYPE($A359)=1,"",(UpdateHashtag!O357-E$1)/E$2)</f>
        <v>-1.559208539</v>
      </c>
      <c r="F359" s="41">
        <f>IF(TYPE($A359)=1,"",(UpdateHashtag!P357-F$1)/F$2)</f>
        <v>-2.236419844</v>
      </c>
      <c r="G359" s="41">
        <f>IF(TYPE($A359)=1,"",(UpdateHashtag!Q357-G$1)/G$2)</f>
        <v>-0.2651689765</v>
      </c>
      <c r="H359" s="41">
        <f>IF(TYPE($A359)=1,"",(UpdateHashtag!I357-H$1)/H$2*I359/$I$1)</f>
        <v>0.08096844838</v>
      </c>
      <c r="I359" s="41">
        <f>UpdateHashtag!S357</f>
        <v>3.2</v>
      </c>
      <c r="J359" s="53">
        <f>IF(TYPE($A359)=1,"",(UpdateHashtag!K357-J$1)/J$2*K359/$K$1)</f>
        <v>-0.5521691637</v>
      </c>
      <c r="K359" s="55">
        <f>UpdateHashtag!T357</f>
        <v>1.2</v>
      </c>
      <c r="L359" s="41">
        <f>IF(TYPE($A359)=1,"",-(UpdateHashtag!R357-L$1)/L$2)</f>
        <v>1.238588102</v>
      </c>
      <c r="N359" s="112">
        <v>339.0</v>
      </c>
      <c r="O359" s="170" t="str">
        <f t="array" ref="O359">INDIRECT("Update"&amp;Projections!$AG$17&amp;"!B"&amp;ROW(B340))</f>
        <v>#N/A</v>
      </c>
      <c r="P359" s="172" t="str">
        <f t="array" ref="P359">INDIRECT("Update"&amp;Projections!$AG$17&amp;"!C"&amp;ROW(B340))</f>
        <v>Dillon Jones</v>
      </c>
      <c r="Q359" s="170">
        <f>UpdateHashtag!F394</f>
        <v>57</v>
      </c>
      <c r="R359" s="177" t="str">
        <f>IF(UpdateHashtag!D394="",ROW(UpdateHashtag!D394),UpdateHashtag!D394)</f>
        <v>SG</v>
      </c>
      <c r="S359" s="124">
        <f t="shared" si="1"/>
        <v>-8.832219722</v>
      </c>
      <c r="T359" s="124">
        <f>SUM(AE359:AM359)-IFERROR(IFS(Projections!$I$17,AN359,Projections!$J$17,AO359),"")</f>
        <v>-8.984107901</v>
      </c>
      <c r="U359" s="124">
        <f t="shared" si="2"/>
        <v>-0.1518881781</v>
      </c>
      <c r="V359" s="124">
        <f t="array" ref="V359">INDIRECT("Update"&amp;Projections!$AG$17&amp;"!M"&amp;ROW(B340))</f>
        <v>5.033404255</v>
      </c>
      <c r="W359" s="124">
        <f t="array" ref="W359">INDIRECT("Update"&amp;Projections!$AG$17&amp;"!L"&amp;ROW(B340))</f>
        <v>0.3831914894</v>
      </c>
      <c r="X359" s="124">
        <f t="array" ref="X359">INDIRECT("Update"&amp;Projections!$AG$17&amp;"!N"&amp;ROW(B340))</f>
        <v>3.755957447</v>
      </c>
      <c r="Y359" s="124">
        <f t="array" ref="Y359">INDIRECT("Update"&amp;Projections!$AG$17&amp;"!O"&amp;ROW(B340))</f>
        <v>1.041489362</v>
      </c>
      <c r="Z359" s="124">
        <f t="array" ref="Z359">INDIRECT("Update"&amp;Projections!$AG$17&amp;"!P"&amp;ROW(B340))</f>
        <v>0.505106383</v>
      </c>
      <c r="AA359" s="124">
        <f t="array" ref="AA359">INDIRECT("Update"&amp;Projections!$AG$17&amp;"!Q"&amp;ROW(B340))</f>
        <v>0.06319148936</v>
      </c>
      <c r="AB359" s="180">
        <f t="array" ref="AB359">INDIRECT("Update"&amp;Projections!$AG$17&amp;"!I"&amp;ROW(B340))</f>
        <v>0.4276834808</v>
      </c>
      <c r="AC359" s="180">
        <f t="array" ref="AC359">INDIRECT("Update"&amp;Projections!$AG$17&amp;"!K"&amp;ROW(B340))</f>
        <v>0.7900398406</v>
      </c>
      <c r="AD359" s="124">
        <f t="array" ref="AD359">INDIRECT("Update"&amp;Projections!$AG$17&amp;"!R"&amp;ROW(B340))</f>
        <v>1.136170213</v>
      </c>
      <c r="AE359" s="124">
        <f t="shared" si="3"/>
        <v>-2.245131282</v>
      </c>
      <c r="AF359" s="124">
        <f t="shared" si="4"/>
        <v>-1.354453798</v>
      </c>
      <c r="AG359" s="124">
        <f t="shared" si="5"/>
        <v>-0.912114893</v>
      </c>
      <c r="AH359" s="124">
        <f t="shared" si="6"/>
        <v>-1.313297422</v>
      </c>
      <c r="AI359" s="124">
        <f t="shared" si="7"/>
        <v>-1.557863653</v>
      </c>
      <c r="AJ359" s="124">
        <f t="shared" si="8"/>
        <v>-1.222646308</v>
      </c>
      <c r="AK359" s="124">
        <f t="shared" si="9"/>
        <v>-0.3600638314</v>
      </c>
      <c r="AL359" s="124">
        <f t="shared" si="10"/>
        <v>-0.01853671354</v>
      </c>
      <c r="AM359" s="124">
        <f t="shared" si="11"/>
        <v>0</v>
      </c>
      <c r="AN359" s="183">
        <f t="shared" si="12"/>
        <v>-2.245131282</v>
      </c>
      <c r="AO359" s="183">
        <f t="shared" si="13"/>
        <v>-3.802994935</v>
      </c>
      <c r="AP359" s="183">
        <f t="array" ref="AP359">INDIRECT("Update"&amp;Projections!$AG$17&amp;"!S"&amp;ROW(B340))</f>
        <v>4.45</v>
      </c>
      <c r="AQ359" s="183">
        <f t="array" ref="AQ359">INDIRECT("Update"&amp;Projections!$AG$17&amp;"!T"&amp;ROW(B340))</f>
        <v>1.068085106</v>
      </c>
    </row>
    <row r="360">
      <c r="A360" s="40" t="str">
        <f>IF(UpdateHashtag!C358="",ROW(UpdateHashtag!C358),UpdateHashtag!C358)</f>
        <v>Kobe Bufkin</v>
      </c>
      <c r="B360" s="41">
        <f>IF(TYPE($A360)=1,"",(UpdateHashtag!M358-B$1)/B$2)</f>
        <v>-1.998794693</v>
      </c>
      <c r="C360" s="41">
        <f>IF(TYPE($A360)=1,"",(UpdateHashtag!L358-C$1)/C$2)</f>
        <v>-1.040202395</v>
      </c>
      <c r="D360" s="41">
        <f>IF(TYPE($A360)=1,"",(UpdateHashtag!N358-D$1)/D$2)</f>
        <v>-1.365142704</v>
      </c>
      <c r="E360" s="41">
        <f>IF(TYPE($A360)=1,"",(UpdateHashtag!O358-E$1)/E$2)</f>
        <v>-0.832587084</v>
      </c>
      <c r="F360" s="41">
        <f>IF(TYPE($A360)=1,"",(UpdateHashtag!P358-F$1)/F$2)</f>
        <v>-1.243925831</v>
      </c>
      <c r="G360" s="41">
        <f>IF(TYPE($A360)=1,"",(UpdateHashtag!Q358-G$1)/G$2)</f>
        <v>-0.6218985413</v>
      </c>
      <c r="H360" s="41">
        <f>IF(TYPE($A360)=1,"",(UpdateHashtag!I358-H$1)/H$2*I360/$I$1)</f>
        <v>-1.080461505</v>
      </c>
      <c r="I360" s="41">
        <f>UpdateHashtag!S358</f>
        <v>7.3</v>
      </c>
      <c r="J360" s="53">
        <f>IF(TYPE($A360)=1,"",(UpdateHashtag!K358-J$1)/J$2*K360/$K$1)</f>
        <v>-0.6049072629</v>
      </c>
      <c r="K360" s="55">
        <f>UpdateHashtag!T358</f>
        <v>0.6</v>
      </c>
      <c r="L360" s="41">
        <f>IF(TYPE($A360)=1,"",-(UpdateHashtag!R358-L$1)/L$2)</f>
        <v>0.9410095407</v>
      </c>
      <c r="N360" s="5">
        <v>340.0</v>
      </c>
      <c r="O360" s="170" t="str">
        <f t="array" ref="O360">INDIRECT("Update"&amp;Projections!$AG$17&amp;"!B"&amp;ROW(B341))</f>
        <v/>
      </c>
      <c r="P360" s="172" t="str">
        <f t="array" ref="P360">INDIRECT("Update"&amp;Projections!$AG$17&amp;"!C"&amp;ROW(B341))</f>
        <v>Dante Exum</v>
      </c>
      <c r="Q360" s="306" t="str">
        <f>UpdateHashtag!F402</f>
        <v/>
      </c>
      <c r="R360" s="177">
        <f>IF(UpdateHashtag!D402="",ROW(UpdateHashtag!D402),UpdateHashtag!D402)</f>
        <v>402</v>
      </c>
      <c r="S360" s="124">
        <f t="shared" si="1"/>
        <v>-8.845731545</v>
      </c>
      <c r="T360" s="124">
        <f>SUM(AE360:AM360)-IFERROR(IFS(Projections!$I$17,AN360,Projections!$J$17,AO360),"")</f>
        <v>-9.068998127</v>
      </c>
      <c r="U360" s="124">
        <f t="shared" si="2"/>
        <v>-0.223266582</v>
      </c>
      <c r="V360" s="124">
        <f t="array" ref="V360">INDIRECT("Update"&amp;Projections!$AG$17&amp;"!M"&amp;ROW(B341))</f>
        <v>4.235833333</v>
      </c>
      <c r="W360" s="124">
        <f t="array" ref="W360">INDIRECT("Update"&amp;Projections!$AG$17&amp;"!L"&amp;ROW(B341))</f>
        <v>0.5545833333</v>
      </c>
      <c r="X360" s="124">
        <f t="array" ref="X360">INDIRECT("Update"&amp;Projections!$AG$17&amp;"!N"&amp;ROW(B341))</f>
        <v>2.05375</v>
      </c>
      <c r="Y360" s="124">
        <f t="array" ref="Y360">INDIRECT("Update"&amp;Projections!$AG$17&amp;"!O"&amp;ROW(B341))</f>
        <v>2.120833333</v>
      </c>
      <c r="Z360" s="124">
        <f t="array" ref="Z360">INDIRECT("Update"&amp;Projections!$AG$17&amp;"!P"&amp;ROW(B341))</f>
        <v>0.4041666667</v>
      </c>
      <c r="AA360" s="124">
        <f t="array" ref="AA360">INDIRECT("Update"&amp;Projections!$AG$17&amp;"!Q"&amp;ROW(B341))</f>
        <v>0.1345833333</v>
      </c>
      <c r="AB360" s="180">
        <f t="array" ref="AB360">INDIRECT("Update"&amp;Projections!$AG$17&amp;"!I"&amp;ROW(B341))</f>
        <v>0.4628910987</v>
      </c>
      <c r="AC360" s="180">
        <f t="array" ref="AC360">INDIRECT("Update"&amp;Projections!$AG$17&amp;"!K"&amp;ROW(B341))</f>
        <v>0.8092991914</v>
      </c>
      <c r="AD360" s="124">
        <f t="array" ref="AD360">INDIRECT("Update"&amp;Projections!$AG$17&amp;"!R"&amp;ROW(B341))</f>
        <v>0.8483333333</v>
      </c>
      <c r="AE360" s="124">
        <f t="shared" si="3"/>
        <v>-2.388897938</v>
      </c>
      <c r="AF360" s="124">
        <f t="shared" si="4"/>
        <v>-1.184445336</v>
      </c>
      <c r="AG360" s="124">
        <f t="shared" si="5"/>
        <v>-1.579221901</v>
      </c>
      <c r="AH360" s="124">
        <f t="shared" si="6"/>
        <v>-0.8231258673</v>
      </c>
      <c r="AI360" s="124">
        <f t="shared" si="7"/>
        <v>-1.891803867</v>
      </c>
      <c r="AJ360" s="124">
        <f t="shared" si="8"/>
        <v>-1.095308401</v>
      </c>
      <c r="AK360" s="124">
        <f t="shared" si="9"/>
        <v>-0.1372995915</v>
      </c>
      <c r="AL360" s="124">
        <f t="shared" si="10"/>
        <v>0.03110477547</v>
      </c>
      <c r="AM360" s="124">
        <f t="shared" si="11"/>
        <v>0</v>
      </c>
      <c r="AN360" s="183">
        <f t="shared" si="12"/>
        <v>-2.388897938</v>
      </c>
      <c r="AO360" s="183">
        <f t="shared" si="13"/>
        <v>-4.280701805</v>
      </c>
      <c r="AP360" s="183">
        <f t="array" ref="AP360">INDIRECT("Update"&amp;Projections!$AG$17&amp;"!S"&amp;ROW(B341))</f>
        <v>3.435833333</v>
      </c>
      <c r="AQ360" s="183">
        <f t="array" ref="AQ360">INDIRECT("Update"&amp;Projections!$AG$17&amp;"!T"&amp;ROW(B341))</f>
        <v>0.6183333333</v>
      </c>
    </row>
    <row r="361">
      <c r="A361" s="40" t="str">
        <f>IF(UpdateHashtag!C359="",ROW(UpdateHashtag!C359),UpdateHashtag!C359)</f>
        <v>Trendon Watford</v>
      </c>
      <c r="B361" s="41">
        <f>IF(TYPE($A361)=1,"",(UpdateHashtag!M359-B$1)/B$2)</f>
        <v>-2.341280406</v>
      </c>
      <c r="C361" s="41">
        <f>IF(TYPE($A361)=1,"",(UpdateHashtag!L359-C$1)/C$2)</f>
        <v>-1.43697381</v>
      </c>
      <c r="D361" s="41">
        <f>IF(TYPE($A361)=1,"",(UpdateHashtag!N359-D$1)/D$2)</f>
        <v>-1.521905502</v>
      </c>
      <c r="E361" s="41">
        <f>IF(TYPE($A361)=1,"",(UpdateHashtag!O359-E$1)/E$2)</f>
        <v>-1.286725494</v>
      </c>
      <c r="F361" s="41">
        <f>IF(TYPE($A361)=1,"",(UpdateHashtag!P359-F$1)/F$2)</f>
        <v>-2.236419844</v>
      </c>
      <c r="G361" s="41">
        <f>IF(TYPE($A361)=1,"",(UpdateHashtag!Q359-G$1)/G$2)</f>
        <v>-0.978628106</v>
      </c>
      <c r="H361" s="41">
        <f>IF(TYPE($A361)=1,"",(UpdateHashtag!I359-H$1)/H$2*I361/$I$1)</f>
        <v>0.1814656031</v>
      </c>
      <c r="I361" s="41">
        <f>UpdateHashtag!S359</f>
        <v>3.2</v>
      </c>
      <c r="J361" s="53">
        <f>IF(TYPE($A361)=1,"",(UpdateHashtag!K359-J$1)/J$2*K361/$K$1)</f>
        <v>-0.1299130635</v>
      </c>
      <c r="K361" s="55">
        <f>UpdateHashtag!T359</f>
        <v>1</v>
      </c>
      <c r="L361" s="41">
        <f>IF(TYPE($A361)=1,"",-(UpdateHashtag!R359-L$1)/L$2)</f>
        <v>1.040202395</v>
      </c>
      <c r="N361" s="5">
        <v>341.0</v>
      </c>
      <c r="O361" s="170" t="str">
        <f t="array" ref="O361">INDIRECT("Update"&amp;Projections!$AG$17&amp;"!B"&amp;ROW(B342))</f>
        <v/>
      </c>
      <c r="P361" s="172" t="str">
        <f t="array" ref="P361">INDIRECT("Update"&amp;Projections!$AG$17&amp;"!C"&amp;ROW(B342))</f>
        <v>Marcus Sasser</v>
      </c>
      <c r="Q361" s="306" t="str">
        <f>UpdateHashtag!F406</f>
        <v/>
      </c>
      <c r="R361" s="177">
        <f>IF(UpdateHashtag!D406="",ROW(UpdateHashtag!D406),UpdateHashtag!D406)</f>
        <v>406</v>
      </c>
      <c r="S361" s="124">
        <f t="shared" si="1"/>
        <v>-8.859357803</v>
      </c>
      <c r="T361" s="124">
        <f>SUM(AE361:AM361)-IFERROR(IFS(Projections!$I$17,AN361,Projections!$J$17,AO361),"")</f>
        <v>-9.067897727</v>
      </c>
      <c r="U361" s="124">
        <f t="shared" si="2"/>
        <v>-0.2085399237</v>
      </c>
      <c r="V361" s="124">
        <f t="array" ref="V361">INDIRECT("Update"&amp;Projections!$AG$17&amp;"!M"&amp;ROW(B342))</f>
        <v>5.444736842</v>
      </c>
      <c r="W361" s="124">
        <f t="array" ref="W361">INDIRECT("Update"&amp;Projections!$AG$17&amp;"!L"&amp;ROW(B342))</f>
        <v>0.8131578947</v>
      </c>
      <c r="X361" s="124">
        <f t="array" ref="X361">INDIRECT("Update"&amp;Projections!$AG$17&amp;"!N"&amp;ROW(B342))</f>
        <v>1.126140351</v>
      </c>
      <c r="Y361" s="124">
        <f t="array" ref="Y361">INDIRECT("Update"&amp;Projections!$AG$17&amp;"!O"&amp;ROW(B342))</f>
        <v>2.144912281</v>
      </c>
      <c r="Z361" s="124">
        <f t="array" ref="Z361">INDIRECT("Update"&amp;Projections!$AG$17&amp;"!P"&amp;ROW(B342))</f>
        <v>0.3821052632</v>
      </c>
      <c r="AA361" s="124">
        <f t="array" ref="AA361">INDIRECT("Update"&amp;Projections!$AG$17&amp;"!Q"&amp;ROW(B342))</f>
        <v>0.1380701754</v>
      </c>
      <c r="AB361" s="180">
        <f t="array" ref="AB361">INDIRECT("Update"&amp;Projections!$AG$17&amp;"!I"&amp;ROW(B342))</f>
        <v>0.430618231</v>
      </c>
      <c r="AC361" s="180">
        <f t="array" ref="AC361">INDIRECT("Update"&amp;Projections!$AG$17&amp;"!K"&amp;ROW(B342))</f>
        <v>0.8769115066</v>
      </c>
      <c r="AD361" s="124">
        <f t="array" ref="AD361">INDIRECT("Update"&amp;Projections!$AG$17&amp;"!R"&amp;ROW(B342))</f>
        <v>0.9077192982</v>
      </c>
      <c r="AE361" s="124">
        <f t="shared" si="3"/>
        <v>-2.170986264</v>
      </c>
      <c r="AF361" s="124">
        <f t="shared" si="4"/>
        <v>-0.9279578494</v>
      </c>
      <c r="AG361" s="124">
        <f t="shared" si="5"/>
        <v>-1.942758612</v>
      </c>
      <c r="AH361" s="124">
        <f t="shared" si="6"/>
        <v>-0.8121906922</v>
      </c>
      <c r="AI361" s="124">
        <f t="shared" si="7"/>
        <v>-1.964789904</v>
      </c>
      <c r="AJ361" s="124">
        <f t="shared" si="8"/>
        <v>-1.089089103</v>
      </c>
      <c r="AK361" s="124">
        <f t="shared" si="9"/>
        <v>-0.3615561782</v>
      </c>
      <c r="AL361" s="124">
        <f t="shared" si="10"/>
        <v>0.2014308748</v>
      </c>
      <c r="AM361" s="124">
        <f t="shared" si="11"/>
        <v>0</v>
      </c>
      <c r="AN361" s="183">
        <f t="shared" si="12"/>
        <v>-2.170986264</v>
      </c>
      <c r="AO361" s="183">
        <f t="shared" si="13"/>
        <v>-4.135776167</v>
      </c>
      <c r="AP361" s="183">
        <f t="array" ref="AP361">INDIRECT("Update"&amp;Projections!$AG$17&amp;"!S"&amp;ROW(B342))</f>
        <v>4.665263158</v>
      </c>
      <c r="AQ361" s="183">
        <f t="array" ref="AQ361">INDIRECT("Update"&amp;Projections!$AG$17&amp;"!T"&amp;ROW(B342))</f>
        <v>0.6998245614</v>
      </c>
    </row>
    <row r="362">
      <c r="A362" s="40" t="str">
        <f>IF(UpdateHashtag!C360="",ROW(UpdateHashtag!C360),UpdateHashtag!C360)</f>
        <v>Garrison Mathews</v>
      </c>
      <c r="B362" s="41">
        <f>IF(TYPE($A362)=1,"",(UpdateHashtag!M360-B$1)/B$2)</f>
        <v>-2.341280406</v>
      </c>
      <c r="C362" s="41">
        <f>IF(TYPE($A362)=1,"",(UpdateHashtag!L360-C$1)/C$2)</f>
        <v>-0.643430979</v>
      </c>
      <c r="D362" s="41">
        <f>IF(TYPE($A362)=1,"",(UpdateHashtag!N360-D$1)/D$2)</f>
        <v>-1.874621799</v>
      </c>
      <c r="E362" s="41">
        <f>IF(TYPE($A362)=1,"",(UpdateHashtag!O360-E$1)/E$2)</f>
        <v>-1.559208539</v>
      </c>
      <c r="F362" s="41">
        <f>IF(TYPE($A362)=1,"",(UpdateHashtag!P360-F$1)/F$2)</f>
        <v>-2.236419844</v>
      </c>
      <c r="G362" s="41">
        <f>IF(TYPE($A362)=1,"",(UpdateHashtag!Q360-G$1)/G$2)</f>
        <v>-1.156992888</v>
      </c>
      <c r="H362" s="41">
        <f>IF(TYPE($A362)=1,"",(UpdateHashtag!I360-H$1)/H$2*I362/$I$1)</f>
        <v>-0.319536752</v>
      </c>
      <c r="I362" s="41">
        <f>UpdateHashtag!S360</f>
        <v>3.3</v>
      </c>
      <c r="J362" s="53">
        <f>IF(TYPE($A362)=1,"",(UpdateHashtag!K360-J$1)/J$2*K362/$K$1)</f>
        <v>0.1672709737</v>
      </c>
      <c r="K362" s="55">
        <f>UpdateHashtag!T360</f>
        <v>0.7</v>
      </c>
      <c r="L362" s="41">
        <f>IF(TYPE($A362)=1,"",-(UpdateHashtag!R360-L$1)/L$2)</f>
        <v>1.43697381</v>
      </c>
      <c r="N362" s="112">
        <v>342.0</v>
      </c>
      <c r="O362" s="170" t="str">
        <f t="array" ref="O362">INDIRECT("Update"&amp;Projections!$AG$17&amp;"!B"&amp;ROW(B343))</f>
        <v>#N/A</v>
      </c>
      <c r="P362" s="172" t="str">
        <f t="array" ref="P362">INDIRECT("Update"&amp;Projections!$AG$17&amp;"!C"&amp;ROW(B343))</f>
        <v>Julian Phillips</v>
      </c>
      <c r="Q362" s="170">
        <f>UpdateHashtag!F399</f>
        <v>20</v>
      </c>
      <c r="R362" s="177" t="str">
        <f>IF(UpdateHashtag!D399="",ROW(UpdateHashtag!D399),UpdateHashtag!D399)</f>
        <v>SG,SF</v>
      </c>
      <c r="S362" s="124">
        <f t="shared" si="1"/>
        <v>-8.769520394</v>
      </c>
      <c r="T362" s="124">
        <f>SUM(AE362:AM362)-IFERROR(IFS(Projections!$I$17,AN362,Projections!$J$17,AO362),"")</f>
        <v>-9.089732138</v>
      </c>
      <c r="U362" s="124">
        <f t="shared" si="2"/>
        <v>-0.3202117439</v>
      </c>
      <c r="V362" s="124">
        <f t="array" ref="V362">INDIRECT("Update"&amp;Projections!$AG$17&amp;"!M"&amp;ROW(B343))</f>
        <v>5.883287671</v>
      </c>
      <c r="W362" s="124">
        <f t="array" ref="W362">INDIRECT("Update"&amp;Projections!$AG$17&amp;"!L"&amp;ROW(B343))</f>
        <v>0.5824657534</v>
      </c>
      <c r="X362" s="124">
        <f t="array" ref="X362">INDIRECT("Update"&amp;Projections!$AG$17&amp;"!N"&amp;ROW(B343))</f>
        <v>2.613287671</v>
      </c>
      <c r="Y362" s="124">
        <f t="array" ref="Y362">INDIRECT("Update"&amp;Projections!$AG$17&amp;"!O"&amp;ROW(B343))</f>
        <v>0.5553424658</v>
      </c>
      <c r="Z362" s="124">
        <f t="array" ref="Z362">INDIRECT("Update"&amp;Projections!$AG$17&amp;"!P"&amp;ROW(B343))</f>
        <v>0.3779452055</v>
      </c>
      <c r="AA362" s="124">
        <f t="array" ref="AA362">INDIRECT("Update"&amp;Projections!$AG$17&amp;"!Q"&amp;ROW(B343))</f>
        <v>0.3920547945</v>
      </c>
      <c r="AB362" s="180">
        <f t="array" ref="AB362">INDIRECT("Update"&amp;Projections!$AG$17&amp;"!I"&amp;ROW(B343))</f>
        <v>0.4456653751</v>
      </c>
      <c r="AC362" s="180">
        <f t="array" ref="AC362">INDIRECT("Update"&amp;Projections!$AG$17&amp;"!K"&amp;ROW(B343))</f>
        <v>0.7850019944</v>
      </c>
      <c r="AD362" s="124">
        <f t="array" ref="AD362">INDIRECT("Update"&amp;Projections!$AG$17&amp;"!R"&amp;ROW(B343))</f>
        <v>0.4573972603</v>
      </c>
      <c r="AE362" s="124">
        <f t="shared" si="3"/>
        <v>-2.091935004</v>
      </c>
      <c r="AF362" s="124">
        <f t="shared" si="4"/>
        <v>-1.156787968</v>
      </c>
      <c r="AG362" s="124">
        <f t="shared" si="5"/>
        <v>-1.359935173</v>
      </c>
      <c r="AH362" s="124">
        <f t="shared" si="6"/>
        <v>-1.5340754</v>
      </c>
      <c r="AI362" s="124">
        <f t="shared" si="7"/>
        <v>-1.978552678</v>
      </c>
      <c r="AJ362" s="124">
        <f t="shared" si="8"/>
        <v>-0.6360699898</v>
      </c>
      <c r="AK362" s="124">
        <f t="shared" si="9"/>
        <v>-0.2842231724</v>
      </c>
      <c r="AL362" s="124">
        <f t="shared" si="10"/>
        <v>-0.04815275345</v>
      </c>
      <c r="AM362" s="124">
        <f t="shared" si="11"/>
        <v>0</v>
      </c>
      <c r="AN362" s="183">
        <f t="shared" si="12"/>
        <v>-2.091935004</v>
      </c>
      <c r="AO362" s="183">
        <f t="shared" si="13"/>
        <v>-4.070487682</v>
      </c>
      <c r="AP362" s="183">
        <f t="array" ref="AP362">INDIRECT("Update"&amp;Projections!$AG$17&amp;"!S"&amp;ROW(B343))</f>
        <v>4.737260274</v>
      </c>
      <c r="AQ362" s="183">
        <f t="array" ref="AQ362">INDIRECT("Update"&amp;Projections!$AG$17&amp;"!T"&amp;ROW(B343))</f>
        <v>1.37369863</v>
      </c>
    </row>
    <row r="363">
      <c r="A363" s="40" t="str">
        <f>IF(UpdateHashtag!C361="",ROW(UpdateHashtag!C361),UpdateHashtag!C361)</f>
        <v>Nikola Djurisic</v>
      </c>
      <c r="B363" s="41">
        <f>IF(TYPE($A363)=1,"",(UpdateHashtag!M361-B$1)/B$2)</f>
        <v>-1.980769129</v>
      </c>
      <c r="C363" s="41">
        <f>IF(TYPE($A363)=1,"",(UpdateHashtag!L361-C$1)/C$2)</f>
        <v>-1.238588102</v>
      </c>
      <c r="D363" s="41">
        <f>IF(TYPE($A363)=1,"",(UpdateHashtag!N361-D$1)/D$2)</f>
        <v>-1.913812499</v>
      </c>
      <c r="E363" s="41">
        <f>IF(TYPE($A363)=1,"",(UpdateHashtag!O361-E$1)/E$2)</f>
        <v>-1.10507013</v>
      </c>
      <c r="F363" s="41">
        <f>IF(TYPE($A363)=1,"",(UpdateHashtag!P361-F$1)/F$2)</f>
        <v>-1.574757169</v>
      </c>
      <c r="G363" s="41">
        <f>IF(TYPE($A363)=1,"",(UpdateHashtag!Q361-G$1)/G$2)</f>
        <v>-0.978628106</v>
      </c>
      <c r="H363" s="41">
        <f>IF(TYPE($A363)=1,"",(UpdateHashtag!I361-H$1)/H$2*I363/$I$1)</f>
        <v>-0.2693695959</v>
      </c>
      <c r="I363" s="41">
        <f>UpdateHashtag!S361</f>
        <v>4.8</v>
      </c>
      <c r="J363" s="53">
        <f>IF(TYPE($A363)=1,"",(UpdateHashtag!K361-J$1)/J$2*K363/$K$1)</f>
        <v>-0.2780800015</v>
      </c>
      <c r="K363" s="55">
        <f>UpdateHashtag!T361</f>
        <v>2.2</v>
      </c>
      <c r="L363" s="41">
        <f>IF(TYPE($A363)=1,"",-(UpdateHashtag!R361-L$1)/L$2)</f>
        <v>0.3458524173</v>
      </c>
      <c r="N363" s="112">
        <v>343.0</v>
      </c>
      <c r="O363" s="170" t="str">
        <f t="array" ref="O363">INDIRECT("Update"&amp;Projections!$AG$17&amp;"!B"&amp;ROW(B344))</f>
        <v/>
      </c>
      <c r="P363" s="172" t="str">
        <f t="array" ref="P363">INDIRECT("Update"&amp;Projections!$AG$17&amp;"!C"&amp;ROW(B344))</f>
        <v>Yves Missi</v>
      </c>
      <c r="Q363" s="170">
        <f>UpdateHashtag!F398</f>
        <v>20</v>
      </c>
      <c r="R363" s="177" t="str">
        <f>IF(UpdateHashtag!D398="",ROW(UpdateHashtag!D398),UpdateHashtag!D398)</f>
        <v>SG,SF</v>
      </c>
      <c r="S363" s="124">
        <f t="shared" si="1"/>
        <v>-8.985596519</v>
      </c>
      <c r="T363" s="124">
        <f>SUM(AE363:AM363)-IFERROR(IFS(Projections!$I$17,AN363,Projections!$J$17,AO363),"")</f>
        <v>-9.276024929</v>
      </c>
      <c r="U363" s="124">
        <f t="shared" si="2"/>
        <v>-0.2904284102</v>
      </c>
      <c r="V363" s="124">
        <f t="array" ref="V363">INDIRECT("Update"&amp;Projections!$AG$17&amp;"!M"&amp;ROW(B344))</f>
        <v>4.750588235</v>
      </c>
      <c r="W363" s="124">
        <f t="array" ref="W363">INDIRECT("Update"&amp;Projections!$AG$17&amp;"!L"&amp;ROW(B344))</f>
        <v>0</v>
      </c>
      <c r="X363" s="124">
        <f t="array" ref="X363">INDIRECT("Update"&amp;Projections!$AG$17&amp;"!N"&amp;ROW(B344))</f>
        <v>3.465</v>
      </c>
      <c r="Y363" s="124">
        <f t="array" ref="Y363">INDIRECT("Update"&amp;Projections!$AG$17&amp;"!O"&amp;ROW(B344))</f>
        <v>0.2888235294</v>
      </c>
      <c r="Z363" s="124">
        <f t="array" ref="Z363">INDIRECT("Update"&amp;Projections!$AG$17&amp;"!P"&amp;ROW(B344))</f>
        <v>0.3464705882</v>
      </c>
      <c r="AA363" s="124">
        <f t="array" ref="AA363">INDIRECT("Update"&amp;Projections!$AG$17&amp;"!Q"&amp;ROW(B344))</f>
        <v>0.6929411765</v>
      </c>
      <c r="AB363" s="180">
        <f t="array" ref="AB363">INDIRECT("Update"&amp;Projections!$AG$17&amp;"!I"&amp;ROW(B344))</f>
        <v>0.57000815</v>
      </c>
      <c r="AC363" s="180">
        <f t="array" ref="AC363">INDIRECT("Update"&amp;Projections!$AG$17&amp;"!K"&amp;ROW(B344))</f>
        <v>0.6080359652</v>
      </c>
      <c r="AD363" s="124">
        <f t="array" ref="AD363">INDIRECT("Update"&amp;Projections!$AG$17&amp;"!R"&amp;ROW(B344))</f>
        <v>0.5775</v>
      </c>
      <c r="AE363" s="124">
        <f t="shared" si="3"/>
        <v>-2.296110464</v>
      </c>
      <c r="AF363" s="124">
        <f t="shared" si="4"/>
        <v>-1.734552372</v>
      </c>
      <c r="AG363" s="124">
        <f t="shared" si="5"/>
        <v>-1.026143152</v>
      </c>
      <c r="AH363" s="124">
        <f t="shared" si="6"/>
        <v>-1.655111886</v>
      </c>
      <c r="AI363" s="124">
        <f t="shared" si="7"/>
        <v>-2.082680576</v>
      </c>
      <c r="AJ363" s="124">
        <f t="shared" si="8"/>
        <v>-0.09939464927</v>
      </c>
      <c r="AK363" s="124">
        <f t="shared" si="9"/>
        <v>0.3054268503</v>
      </c>
      <c r="AL363" s="124">
        <f t="shared" si="10"/>
        <v>-0.6874586805</v>
      </c>
      <c r="AM363" s="124">
        <f t="shared" si="11"/>
        <v>0</v>
      </c>
      <c r="AN363" s="183">
        <f t="shared" si="12"/>
        <v>-2.296110464</v>
      </c>
      <c r="AO363" s="183">
        <f t="shared" si="13"/>
        <v>-4.37879104</v>
      </c>
      <c r="AP363" s="183">
        <f t="array" ref="AP363">INDIRECT("Update"&amp;Projections!$AG$17&amp;"!S"&amp;ROW(B344))</f>
        <v>3.608823529</v>
      </c>
      <c r="AQ363" s="183">
        <f t="array" ref="AQ363">INDIRECT("Update"&amp;Projections!$AG$17&amp;"!T"&amp;ROW(B344))</f>
        <v>1.046764706</v>
      </c>
    </row>
    <row r="364">
      <c r="A364" s="40" t="str">
        <f>IF(UpdateHashtag!C362="",ROW(UpdateHashtag!C362),UpdateHashtag!C362)</f>
        <v>Adem Bona</v>
      </c>
      <c r="B364" s="41">
        <f>IF(TYPE($A364)=1,"",(UpdateHashtag!M362-B$1)/B$2)</f>
        <v>-2.44943379</v>
      </c>
      <c r="C364" s="41">
        <f>IF(TYPE($A364)=1,"",(UpdateHashtag!L362-C$1)/C$2)</f>
        <v>-1.734552372</v>
      </c>
      <c r="D364" s="41">
        <f>IF(TYPE($A364)=1,"",(UpdateHashtag!N362-D$1)/D$2)</f>
        <v>-1.639477601</v>
      </c>
      <c r="E364" s="41">
        <f>IF(TYPE($A364)=1,"",(UpdateHashtag!O362-E$1)/E$2)</f>
        <v>-1.60462238</v>
      </c>
      <c r="F364" s="41">
        <f>IF(TYPE($A364)=1,"",(UpdateHashtag!P362-F$1)/F$2)</f>
        <v>-1.905588506</v>
      </c>
      <c r="G364" s="41">
        <f>IF(TYPE($A364)=1,"",(UpdateHashtag!Q362-G$1)/G$2)</f>
        <v>-0.2651689765</v>
      </c>
      <c r="H364" s="41">
        <f>IF(TYPE($A364)=1,"",(UpdateHashtag!I362-H$1)/H$2*I364/$I$1)</f>
        <v>0.2697177689</v>
      </c>
      <c r="I364" s="41">
        <f>UpdateHashtag!S362</f>
        <v>2.5</v>
      </c>
      <c r="J364" s="53">
        <f>IF(TYPE($A364)=1,"",(UpdateHashtag!K362-J$1)/J$2*K364/$K$1)</f>
        <v>-0.4573024149</v>
      </c>
      <c r="K364" s="55">
        <f>UpdateHashtag!T362</f>
        <v>1.4</v>
      </c>
      <c r="L364" s="41">
        <f>IF(TYPE($A364)=1,"",-(UpdateHashtag!R362-L$1)/L$2)</f>
        <v>0.9410095407</v>
      </c>
      <c r="N364" s="5">
        <v>344.0</v>
      </c>
      <c r="O364" s="170" t="str">
        <f t="array" ref="O364">INDIRECT("Update"&amp;Projections!$AG$17&amp;"!B"&amp;ROW(B345))</f>
        <v/>
      </c>
      <c r="P364" s="172" t="str">
        <f t="array" ref="P364">INDIRECT("Update"&amp;Projections!$AG$17&amp;"!C"&amp;ROW(B345))</f>
        <v>Kris Murray</v>
      </c>
      <c r="Q364" s="170">
        <f>UpdateHashtag!F400</f>
        <v>24</v>
      </c>
      <c r="R364" s="177" t="str">
        <f>IF(UpdateHashtag!D400="",ROW(UpdateHashtag!D400),UpdateHashtag!D400)</f>
        <v>PF,C</v>
      </c>
      <c r="S364" s="124">
        <f t="shared" si="1"/>
        <v>-8.76313764</v>
      </c>
      <c r="T364" s="124">
        <f>SUM(AE364:AM364)-IFERROR(IFS(Projections!$I$17,AN364,Projections!$J$17,AO364),"")</f>
        <v>-9.006305071</v>
      </c>
      <c r="U364" s="124">
        <f t="shared" si="2"/>
        <v>-0.2431674314</v>
      </c>
      <c r="V364" s="124">
        <f t="array" ref="V364">INDIRECT("Update"&amp;Projections!$AG$17&amp;"!M"&amp;ROW(B345))</f>
        <v>5.226027397</v>
      </c>
      <c r="W364" s="124">
        <f t="array" ref="W364">INDIRECT("Update"&amp;Projections!$AG$17&amp;"!L"&amp;ROW(B345))</f>
        <v>0.7408219178</v>
      </c>
      <c r="X364" s="124">
        <f t="array" ref="X364">INDIRECT("Update"&amp;Projections!$AG$17&amp;"!N"&amp;ROW(B345))</f>
        <v>2.910136986</v>
      </c>
      <c r="Y364" s="124">
        <f t="array" ref="Y364">INDIRECT("Update"&amp;Projections!$AG$17&amp;"!O"&amp;ROW(B345))</f>
        <v>1.122054795</v>
      </c>
      <c r="Z364" s="124">
        <f t="array" ref="Z364">INDIRECT("Update"&amp;Projections!$AG$17&amp;"!P"&amp;ROW(B345))</f>
        <v>0.4908219178</v>
      </c>
      <c r="AA364" s="124">
        <f t="array" ref="AA364">INDIRECT("Update"&amp;Projections!$AG$17&amp;"!Q"&amp;ROW(B345))</f>
        <v>0.2946575342</v>
      </c>
      <c r="AB364" s="180">
        <f t="array" ref="AB364">INDIRECT("Update"&amp;Projections!$AG$17&amp;"!I"&amp;ROW(B345))</f>
        <v>0.4056751747</v>
      </c>
      <c r="AC364" s="180">
        <f t="array" ref="AC364">INDIRECT("Update"&amp;Projections!$AG$17&amp;"!K"&amp;ROW(B345))</f>
        <v>0.6799746515</v>
      </c>
      <c r="AD364" s="124">
        <f t="array" ref="AD364">INDIRECT("Update"&amp;Projections!$AG$17&amp;"!R"&amp;ROW(B345))</f>
        <v>0.7680821918</v>
      </c>
      <c r="AE364" s="124">
        <f t="shared" si="3"/>
        <v>-2.210409874</v>
      </c>
      <c r="AF364" s="124">
        <f t="shared" si="4"/>
        <v>-0.9997099693</v>
      </c>
      <c r="AG364" s="124">
        <f t="shared" si="5"/>
        <v>-1.243597849</v>
      </c>
      <c r="AH364" s="124">
        <f t="shared" si="6"/>
        <v>-1.276709564</v>
      </c>
      <c r="AI364" s="124">
        <f t="shared" si="7"/>
        <v>-1.605121141</v>
      </c>
      <c r="AJ364" s="124">
        <f t="shared" si="8"/>
        <v>-0.8097924011</v>
      </c>
      <c r="AK364" s="124">
        <f t="shared" si="9"/>
        <v>-0.5116244575</v>
      </c>
      <c r="AL364" s="124">
        <f t="shared" si="10"/>
        <v>-0.3493398148</v>
      </c>
      <c r="AM364" s="124">
        <f t="shared" si="11"/>
        <v>0</v>
      </c>
      <c r="AN364" s="183">
        <f t="shared" si="12"/>
        <v>-2.210409874</v>
      </c>
      <c r="AO364" s="183">
        <f t="shared" si="13"/>
        <v>-3.815531015</v>
      </c>
      <c r="AP364" s="183">
        <f t="array" ref="AP364">INDIRECT("Update"&amp;Projections!$AG$17&amp;"!S"&amp;ROW(B345))</f>
        <v>4.803424658</v>
      </c>
      <c r="AQ364" s="183">
        <f t="array" ref="AQ364">INDIRECT("Update"&amp;Projections!$AG$17&amp;"!T"&amp;ROW(B345))</f>
        <v>0.8646575342</v>
      </c>
    </row>
    <row r="365">
      <c r="A365" s="40" t="str">
        <f>IF(UpdateHashtag!C363="",ROW(UpdateHashtag!C363),UpdateHashtag!C363)</f>
        <v>Cody Williams</v>
      </c>
      <c r="B365" s="41">
        <f>IF(TYPE($A365)=1,"",(UpdateHashtag!M363-B$1)/B$2)</f>
        <v>-2.161024768</v>
      </c>
      <c r="C365" s="41">
        <f>IF(TYPE($A365)=1,"",(UpdateHashtag!L363-C$1)/C$2)</f>
        <v>-1.43697381</v>
      </c>
      <c r="D365" s="41">
        <f>IF(TYPE($A365)=1,"",(UpdateHashtag!N363-D$1)/D$2)</f>
        <v>-1.8354311</v>
      </c>
      <c r="E365" s="41">
        <f>IF(TYPE($A365)=1,"",(UpdateHashtag!O363-E$1)/E$2)</f>
        <v>-1.468380857</v>
      </c>
      <c r="F365" s="41">
        <f>IF(TYPE($A365)=1,"",(UpdateHashtag!P363-F$1)/F$2)</f>
        <v>-2.236419844</v>
      </c>
      <c r="G365" s="41">
        <f>IF(TYPE($A365)=1,"",(UpdateHashtag!Q363-G$1)/G$2)</f>
        <v>-0.8002633236</v>
      </c>
      <c r="H365" s="41">
        <f>IF(TYPE($A365)=1,"",(UpdateHashtag!I363-H$1)/H$2*I365/$I$1)</f>
        <v>0.2356417892</v>
      </c>
      <c r="I365" s="41">
        <f>UpdateHashtag!S363</f>
        <v>3.7</v>
      </c>
      <c r="J365" s="53">
        <f>IF(TYPE($A365)=1,"",(UpdateHashtag!K363-J$1)/J$2*K365/$K$1)</f>
        <v>-0.4161925537</v>
      </c>
      <c r="K365" s="55">
        <f>UpdateHashtag!T363</f>
        <v>1.5</v>
      </c>
      <c r="L365" s="41">
        <f>IF(TYPE($A365)=1,"",-(UpdateHashtag!R363-L$1)/L$2)</f>
        <v>0.8418166868</v>
      </c>
      <c r="N365" s="5">
        <v>345.0</v>
      </c>
      <c r="O365" s="170" t="str">
        <f t="array" ref="O365">INDIRECT("Update"&amp;Projections!$AG$17&amp;"!B"&amp;ROW(B346))</f>
        <v/>
      </c>
      <c r="P365" s="172" t="str">
        <f t="array" ref="P365">INDIRECT("Update"&amp;Projections!$AG$17&amp;"!C"&amp;ROW(B346))</f>
        <v>Jordan McLaughlin</v>
      </c>
      <c r="Q365" s="170" t="str">
        <f>UpdateHashtag!F413</f>
        <v/>
      </c>
      <c r="R365" s="177">
        <f>IF(UpdateHashtag!D413="",ROW(UpdateHashtag!D413),UpdateHashtag!D413)</f>
        <v>413</v>
      </c>
      <c r="S365" s="124">
        <f t="shared" si="1"/>
        <v>-8.760303909</v>
      </c>
      <c r="T365" s="124">
        <f>SUM(AE365:AM365)-IFERROR(IFS(Projections!$I$17,AN365,Projections!$J$17,AO365),"")</f>
        <v>-9.092196391</v>
      </c>
      <c r="U365" s="124">
        <f t="shared" si="2"/>
        <v>-0.3318924818</v>
      </c>
      <c r="V365" s="124">
        <f t="array" ref="V365">INDIRECT("Update"&amp;Projections!$AG$17&amp;"!M"&amp;ROW(B346))</f>
        <v>3.283529412</v>
      </c>
      <c r="W365" s="124">
        <f t="array" ref="W365">INDIRECT("Update"&amp;Projections!$AG$17&amp;"!L"&amp;ROW(B346))</f>
        <v>0.6032352941</v>
      </c>
      <c r="X365" s="124">
        <f t="array" ref="X365">INDIRECT("Update"&amp;Projections!$AG$17&amp;"!N"&amp;ROW(B346))</f>
        <v>1.367647059</v>
      </c>
      <c r="Y365" s="124">
        <f t="array" ref="Y365">INDIRECT("Update"&amp;Projections!$AG$17&amp;"!O"&amp;ROW(B346))</f>
        <v>2.514852941</v>
      </c>
      <c r="Z365" s="124">
        <f t="array" ref="Z365">INDIRECT("Update"&amp;Projections!$AG$17&amp;"!P"&amp;ROW(B346))</f>
        <v>0.5470588235</v>
      </c>
      <c r="AA365" s="124">
        <f t="array" ref="AA365">INDIRECT("Update"&amp;Projections!$AG$17&amp;"!Q"&amp;ROW(B346))</f>
        <v>0.1094117647</v>
      </c>
      <c r="AB365" s="180">
        <f t="array" ref="AB365">INDIRECT("Update"&amp;Projections!$AG$17&amp;"!I"&amp;ROW(B346))</f>
        <v>0.4142220857</v>
      </c>
      <c r="AC365" s="180">
        <f t="array" ref="AC365">INDIRECT("Update"&amp;Projections!$AG$17&amp;"!K"&amp;ROW(B346))</f>
        <v>0.7478960849</v>
      </c>
      <c r="AD365" s="124">
        <f t="array" ref="AD365">INDIRECT("Update"&amp;Projections!$AG$17&amp;"!R"&amp;ROW(B346))</f>
        <v>0.4102941176</v>
      </c>
      <c r="AE365" s="124">
        <f t="shared" si="3"/>
        <v>-2.560556089</v>
      </c>
      <c r="AF365" s="124">
        <f t="shared" si="4"/>
        <v>-1.136186068</v>
      </c>
      <c r="AG365" s="124">
        <f t="shared" si="5"/>
        <v>-1.848110443</v>
      </c>
      <c r="AH365" s="124">
        <f t="shared" si="6"/>
        <v>-0.6441864293</v>
      </c>
      <c r="AI365" s="124">
        <f t="shared" si="7"/>
        <v>-1.419071833</v>
      </c>
      <c r="AJ365" s="124">
        <f t="shared" si="8"/>
        <v>-1.140205615</v>
      </c>
      <c r="AK365" s="124">
        <f t="shared" si="9"/>
        <v>-0.2774001896</v>
      </c>
      <c r="AL365" s="124">
        <f t="shared" si="10"/>
        <v>-0.06647972346</v>
      </c>
      <c r="AM365" s="124">
        <f t="shared" si="11"/>
        <v>0</v>
      </c>
      <c r="AN365" s="183">
        <f t="shared" si="12"/>
        <v>-2.560556089</v>
      </c>
      <c r="AO365" s="183">
        <f t="shared" si="13"/>
        <v>-4.408666533</v>
      </c>
      <c r="AP365" s="183">
        <f t="array" ref="AP365">INDIRECT("Update"&amp;Projections!$AG$17&amp;"!S"&amp;ROW(B346))</f>
        <v>2.8725</v>
      </c>
      <c r="AQ365" s="183">
        <f t="array" ref="AQ365">INDIRECT("Update"&amp;Projections!$AG$17&amp;"!T"&amp;ROW(B346))</f>
        <v>0.4019117647</v>
      </c>
    </row>
    <row r="366">
      <c r="A366" s="40" t="str">
        <f>IF(UpdateHashtag!C364="",ROW(UpdateHashtag!C364),UpdateHashtag!C364)</f>
        <v>MarJon Beauchamp</v>
      </c>
      <c r="B366" s="41">
        <f>IF(TYPE($A366)=1,"",(UpdateHashtag!M364-B$1)/B$2)</f>
        <v>-2.233127023</v>
      </c>
      <c r="C366" s="41">
        <f>IF(TYPE($A366)=1,"",(UpdateHashtag!L364-C$1)/C$2)</f>
        <v>-0.9410095407</v>
      </c>
      <c r="D366" s="41">
        <f>IF(TYPE($A366)=1,"",(UpdateHashtag!N364-D$1)/D$2)</f>
        <v>-1.482714803</v>
      </c>
      <c r="E366" s="41">
        <f>IF(TYPE($A366)=1,"",(UpdateHashtag!O364-E$1)/E$2)</f>
        <v>-1.468380857</v>
      </c>
      <c r="F366" s="41">
        <f>IF(TYPE($A366)=1,"",(UpdateHashtag!P364-F$1)/F$2)</f>
        <v>-1.905588506</v>
      </c>
      <c r="G366" s="41">
        <f>IF(TYPE($A366)=1,"",(UpdateHashtag!Q364-G$1)/G$2)</f>
        <v>-0.978628106</v>
      </c>
      <c r="H366" s="41">
        <f>IF(TYPE($A366)=1,"",(UpdateHashtag!I364-H$1)/H$2*I366/$I$1)</f>
        <v>-0.3339266108</v>
      </c>
      <c r="I366" s="41">
        <f>UpdateHashtag!S364</f>
        <v>4.4</v>
      </c>
      <c r="J366" s="53">
        <f>IF(TYPE($A366)=1,"",(UpdateHashtag!K364-J$1)/J$2*K366/$K$1)</f>
        <v>-0.2089780556</v>
      </c>
      <c r="K366" s="55">
        <f>UpdateHashtag!T364</f>
        <v>0.7</v>
      </c>
      <c r="L366" s="41">
        <f>IF(TYPE($A366)=1,"",-(UpdateHashtag!R364-L$1)/L$2)</f>
        <v>0.9410095407</v>
      </c>
      <c r="N366" s="112">
        <v>346.0</v>
      </c>
      <c r="O366" s="170" t="str">
        <f t="array" ref="O366">INDIRECT("Update"&amp;Projections!$AG$17&amp;"!B"&amp;ROW(B347))</f>
        <v/>
      </c>
      <c r="P366" s="172" t="str">
        <f t="array" ref="P366">INDIRECT("Update"&amp;Projections!$AG$17&amp;"!C"&amp;ROW(B347))</f>
        <v>Damion Lee</v>
      </c>
      <c r="Q366" s="306" t="str">
        <f>UpdateHashtag!F403</f>
        <v/>
      </c>
      <c r="R366" s="177">
        <f>IF(UpdateHashtag!D403="",ROW(UpdateHashtag!D403),UpdateHashtag!D403)</f>
        <v>403</v>
      </c>
      <c r="S366" s="124">
        <f t="shared" si="1"/>
        <v>-8.844768848</v>
      </c>
      <c r="T366" s="124">
        <f>SUM(AE366:AM366)-IFERROR(IFS(Projections!$I$17,AN366,Projections!$J$17,AO366),"")</f>
        <v>-9.133750696</v>
      </c>
      <c r="U366" s="124">
        <f t="shared" si="2"/>
        <v>-0.2889818477</v>
      </c>
      <c r="V366" s="124">
        <f t="array" ref="V366">INDIRECT("Update"&amp;Projections!$AG$17&amp;"!M"&amp;ROW(B347))</f>
        <v>5.054615385</v>
      </c>
      <c r="W366" s="124">
        <f t="array" ref="W366">INDIRECT("Update"&amp;Projections!$AG$17&amp;"!L"&amp;ROW(B347))</f>
        <v>0.8351282051</v>
      </c>
      <c r="X366" s="124">
        <f t="array" ref="X366">INDIRECT("Update"&amp;Projections!$AG$17&amp;"!N"&amp;ROW(B347))</f>
        <v>2.1</v>
      </c>
      <c r="Y366" s="124">
        <f t="array" ref="Y366">INDIRECT("Update"&amp;Projections!$AG$17&amp;"!O"&amp;ROW(B347))</f>
        <v>0.7887179487</v>
      </c>
      <c r="Z366" s="124">
        <f t="array" ref="Z366">INDIRECT("Update"&amp;Projections!$AG$17&amp;"!P"&amp;ROW(B347))</f>
        <v>0.4082051282</v>
      </c>
      <c r="AA366" s="124">
        <f t="array" ref="AA366">INDIRECT("Update"&amp;Projections!$AG$17&amp;"!Q"&amp;ROW(B347))</f>
        <v>0.1166666667</v>
      </c>
      <c r="AB366" s="180">
        <f t="array" ref="AB366">INDIRECT("Update"&amp;Projections!$AG$17&amp;"!I"&amp;ROW(B347))</f>
        <v>0.4388161639</v>
      </c>
      <c r="AC366" s="180">
        <f t="array" ref="AC366">INDIRECT("Update"&amp;Projections!$AG$17&amp;"!K"&amp;ROW(B347))</f>
        <v>0.9058327477</v>
      </c>
      <c r="AD366" s="124">
        <f t="array" ref="AD366">INDIRECT("Update"&amp;Projections!$AG$17&amp;"!R"&amp;ROW(B347))</f>
        <v>0.5833333333</v>
      </c>
      <c r="AE366" s="124">
        <f t="shared" si="3"/>
        <v>-2.241307856</v>
      </c>
      <c r="AF366" s="124">
        <f t="shared" si="4"/>
        <v>-0.9061648715</v>
      </c>
      <c r="AG366" s="124">
        <f t="shared" si="5"/>
        <v>-1.561096202</v>
      </c>
      <c r="AH366" s="124">
        <f t="shared" si="6"/>
        <v>-1.428090629</v>
      </c>
      <c r="AI366" s="124">
        <f t="shared" si="7"/>
        <v>-1.878443371</v>
      </c>
      <c r="AJ366" s="124">
        <f t="shared" si="8"/>
        <v>-1.127265425</v>
      </c>
      <c r="AK366" s="124">
        <f t="shared" si="9"/>
        <v>-0.2755683342</v>
      </c>
      <c r="AL366" s="124">
        <f t="shared" si="10"/>
        <v>0.2841859929</v>
      </c>
      <c r="AM366" s="124">
        <f t="shared" si="11"/>
        <v>0</v>
      </c>
      <c r="AN366" s="183">
        <f t="shared" si="12"/>
        <v>-2.241307856</v>
      </c>
      <c r="AO366" s="183">
        <f t="shared" si="13"/>
        <v>-4.119751227</v>
      </c>
      <c r="AP366" s="183">
        <f t="array" ref="AP366">INDIRECT("Update"&amp;Projections!$AG$17&amp;"!S"&amp;ROW(B347))</f>
        <v>4.054615385</v>
      </c>
      <c r="AQ366" s="183">
        <f t="array" ref="AQ366">INDIRECT("Update"&amp;Projections!$AG$17&amp;"!T"&amp;ROW(B347))</f>
        <v>0.7297435897</v>
      </c>
    </row>
    <row r="367">
      <c r="A367" s="40" t="str">
        <f>IF(UpdateHashtag!C365="",ROW(UpdateHashtag!C365),UpdateHashtag!C365)</f>
        <v>Tristan Vukcevic</v>
      </c>
      <c r="B367" s="41">
        <f>IF(TYPE($A367)=1,"",(UpdateHashtag!M365-B$1)/B$2)</f>
        <v>-2.35930597</v>
      </c>
      <c r="C367" s="41">
        <f>IF(TYPE($A367)=1,"",(UpdateHashtag!L365-C$1)/C$2)</f>
        <v>-1.238588102</v>
      </c>
      <c r="D367" s="41">
        <f>IF(TYPE($A367)=1,"",(UpdateHashtag!N365-D$1)/D$2)</f>
        <v>-1.639477601</v>
      </c>
      <c r="E367" s="41">
        <f>IF(TYPE($A367)=1,"",(UpdateHashtag!O365-E$1)/E$2)</f>
        <v>-1.468380857</v>
      </c>
      <c r="F367" s="41">
        <f>IF(TYPE($A367)=1,"",(UpdateHashtag!P365-F$1)/F$2)</f>
        <v>-2.236419844</v>
      </c>
      <c r="G367" s="41">
        <f>IF(TYPE($A367)=1,"",(UpdateHashtag!Q365-G$1)/G$2)</f>
        <v>-0.6218985413</v>
      </c>
      <c r="H367" s="41">
        <f>IF(TYPE($A367)=1,"",(UpdateHashtag!I365-H$1)/H$2*I367/$I$1)</f>
        <v>-0.2574813098</v>
      </c>
      <c r="I367" s="41">
        <f>UpdateHashtag!S365</f>
        <v>3.5</v>
      </c>
      <c r="J367" s="53">
        <f>IF(TYPE($A367)=1,"",(UpdateHashtag!K365-J$1)/J$2*K367/$K$1)</f>
        <v>-0.08880320226</v>
      </c>
      <c r="K367" s="55">
        <f>UpdateHashtag!T365</f>
        <v>1.1</v>
      </c>
      <c r="L367" s="41">
        <f>IF(TYPE($A367)=1,"",-(UpdateHashtag!R365-L$1)/L$2)</f>
        <v>1.238588102</v>
      </c>
      <c r="N367" s="112">
        <v>347.0</v>
      </c>
      <c r="O367" s="170" t="str">
        <f t="array" ref="O367">INDIRECT("Update"&amp;Projections!$AG$17&amp;"!B"&amp;ROW(B348))</f>
        <v/>
      </c>
      <c r="P367" s="172" t="str">
        <f t="array" ref="P367">INDIRECT("Update"&amp;Projections!$AG$17&amp;"!C"&amp;ROW(B348))</f>
        <v>Duop Reath</v>
      </c>
      <c r="Q367" s="306" t="str">
        <f>UpdateHashtag!F404</f>
        <v/>
      </c>
      <c r="R367" s="177">
        <f>IF(UpdateHashtag!D404="",ROW(UpdateHashtag!D404),UpdateHashtag!D404)</f>
        <v>404</v>
      </c>
      <c r="S367" s="124">
        <f t="shared" si="1"/>
        <v>-8.872408573</v>
      </c>
      <c r="T367" s="124">
        <f>SUM(AE367:AM367)-IFERROR(IFS(Projections!$I$17,AN367,Projections!$J$17,AO367),"")</f>
        <v>-9.180964477</v>
      </c>
      <c r="U367" s="124">
        <f t="shared" si="2"/>
        <v>-0.3085559042</v>
      </c>
      <c r="V367" s="124">
        <f t="array" ref="V367">INDIRECT("Update"&amp;Projections!$AG$17&amp;"!M"&amp;ROW(B348))</f>
        <v>5.488</v>
      </c>
      <c r="W367" s="124">
        <f t="array" ref="W367">INDIRECT("Update"&amp;Projections!$AG$17&amp;"!L"&amp;ROW(B348))</f>
        <v>0.7328</v>
      </c>
      <c r="X367" s="124">
        <f t="array" ref="X367">INDIRECT("Update"&amp;Projections!$AG$17&amp;"!N"&amp;ROW(B348))</f>
        <v>2.5244</v>
      </c>
      <c r="Y367" s="124">
        <f t="array" ref="Y367">INDIRECT("Update"&amp;Projections!$AG$17&amp;"!O"&amp;ROW(B348))</f>
        <v>0.576</v>
      </c>
      <c r="Z367" s="124">
        <f t="array" ref="Z367">INDIRECT("Update"&amp;Projections!$AG$17&amp;"!P"&amp;ROW(B348))</f>
        <v>0.3092</v>
      </c>
      <c r="AA367" s="124">
        <f t="array" ref="AA367">INDIRECT("Update"&amp;Projections!$AG$17&amp;"!Q"&amp;ROW(B348))</f>
        <v>0.4048</v>
      </c>
      <c r="AB367" s="180">
        <f t="array" ref="AB367">INDIRECT("Update"&amp;Projections!$AG$17&amp;"!I"&amp;ROW(B348))</f>
        <v>0.4609978918</v>
      </c>
      <c r="AC367" s="180">
        <f t="array" ref="AC367">INDIRECT("Update"&amp;Projections!$AG$17&amp;"!K"&amp;ROW(B348))</f>
        <v>0.7639956092</v>
      </c>
      <c r="AD367" s="124">
        <f t="array" ref="AD367">INDIRECT("Update"&amp;Projections!$AG$17&amp;"!R"&amp;ROW(B348))</f>
        <v>0.5044</v>
      </c>
      <c r="AE367" s="124">
        <f t="shared" si="3"/>
        <v>-2.163187835</v>
      </c>
      <c r="AF367" s="124">
        <f t="shared" si="4"/>
        <v>-1.007667139</v>
      </c>
      <c r="AG367" s="124">
        <f t="shared" si="5"/>
        <v>-1.394770873</v>
      </c>
      <c r="AH367" s="124">
        <f t="shared" si="6"/>
        <v>-1.52469402</v>
      </c>
      <c r="AI367" s="124">
        <f t="shared" si="7"/>
        <v>-2.205983361</v>
      </c>
      <c r="AJ367" s="124">
        <f t="shared" si="8"/>
        <v>-0.6133370317</v>
      </c>
      <c r="AK367" s="124">
        <f t="shared" si="9"/>
        <v>-0.1919942557</v>
      </c>
      <c r="AL367" s="124">
        <f t="shared" si="10"/>
        <v>-0.0793299614</v>
      </c>
      <c r="AM367" s="124">
        <f t="shared" si="11"/>
        <v>0</v>
      </c>
      <c r="AN367" s="183">
        <f t="shared" si="12"/>
        <v>-2.205983361</v>
      </c>
      <c r="AO367" s="183">
        <f t="shared" si="13"/>
        <v>-4.369171197</v>
      </c>
      <c r="AP367" s="183">
        <f t="array" ref="AP367">INDIRECT("Update"&amp;Projections!$AG$17&amp;"!S"&amp;ROW(B348))</f>
        <v>4.5536</v>
      </c>
      <c r="AQ367" s="183">
        <f t="array" ref="AQ367">INDIRECT("Update"&amp;Projections!$AG$17&amp;"!T"&amp;ROW(B348))</f>
        <v>0.7288</v>
      </c>
    </row>
    <row r="368">
      <c r="A368" s="40" t="str">
        <f>IF(UpdateHashtag!C366="",ROW(UpdateHashtag!C366),UpdateHashtag!C366)</f>
        <v>Aaron Holiday</v>
      </c>
      <c r="B368" s="41">
        <f>IF(TYPE($A368)=1,"",(UpdateHashtag!M366-B$1)/B$2)</f>
        <v>-2.467459354</v>
      </c>
      <c r="C368" s="41">
        <f>IF(TYPE($A368)=1,"",(UpdateHashtag!L366-C$1)/C$2)</f>
        <v>-1.139395249</v>
      </c>
      <c r="D368" s="41">
        <f>IF(TYPE($A368)=1,"",(UpdateHashtag!N366-D$1)/D$2)</f>
        <v>-1.992193898</v>
      </c>
      <c r="E368" s="41">
        <f>IF(TYPE($A368)=1,"",(UpdateHashtag!O366-E$1)/E$2)</f>
        <v>-1.286725494</v>
      </c>
      <c r="F368" s="41">
        <f>IF(TYPE($A368)=1,"",(UpdateHashtag!P366-F$1)/F$2)</f>
        <v>-1.905588506</v>
      </c>
      <c r="G368" s="41">
        <f>IF(TYPE($A368)=1,"",(UpdateHashtag!Q366-G$1)/G$2)</f>
        <v>-1.156992888</v>
      </c>
      <c r="H368" s="41">
        <f>IF(TYPE($A368)=1,"",(UpdateHashtag!I366-H$1)/H$2*I368/$I$1)</f>
        <v>-0.2242451327</v>
      </c>
      <c r="I368" s="41">
        <f>UpdateHashtag!S366</f>
        <v>3.2</v>
      </c>
      <c r="J368" s="53">
        <f>IF(TYPE($A368)=1,"",(UpdateHashtag!K366-J$1)/J$2*K368/$K$1)</f>
        <v>0.1739317408</v>
      </c>
      <c r="K368" s="55">
        <f>UpdateHashtag!T366</f>
        <v>0.5</v>
      </c>
      <c r="L368" s="41">
        <f>IF(TYPE($A368)=1,"",-(UpdateHashtag!R366-L$1)/L$2)</f>
        <v>1.337780956</v>
      </c>
      <c r="N368" s="5">
        <v>348.0</v>
      </c>
      <c r="O368" s="170" t="str">
        <f t="array" ref="O368">INDIRECT("Update"&amp;Projections!$AG$17&amp;"!B"&amp;ROW(B349))</f>
        <v/>
      </c>
      <c r="P368" s="172" t="str">
        <f t="array" ref="P368">INDIRECT("Update"&amp;Projections!$AG$17&amp;"!C"&amp;ROW(B349))</f>
        <v>Malaki Branham</v>
      </c>
      <c r="Q368" s="170">
        <f>UpdateHashtag!F395</f>
        <v>30</v>
      </c>
      <c r="R368" s="177" t="str">
        <f>IF(UpdateHashtag!D395="",ROW(UpdateHashtag!D395),UpdateHashtag!D395)</f>
        <v>SG</v>
      </c>
      <c r="S368" s="124">
        <f t="shared" si="1"/>
        <v>-8.902737173</v>
      </c>
      <c r="T368" s="124">
        <f>SUM(AE368:AM368)-IFERROR(IFS(Projections!$I$17,AN368,Projections!$J$17,AO368),"")</f>
        <v>-9.08798549</v>
      </c>
      <c r="U368" s="124">
        <f t="shared" si="2"/>
        <v>-0.1852483163</v>
      </c>
      <c r="V368" s="124">
        <f t="array" ref="V368">INDIRECT("Update"&amp;Projections!$AG$17&amp;"!M"&amp;ROW(B349))</f>
        <v>8.211506849</v>
      </c>
      <c r="W368" s="124">
        <f t="array" ref="W368">INDIRECT("Update"&amp;Projections!$AG$17&amp;"!L"&amp;ROW(B349))</f>
        <v>1.254794521</v>
      </c>
      <c r="X368" s="124">
        <f t="array" ref="X368">INDIRECT("Update"&amp;Projections!$AG$17&amp;"!N"&amp;ROW(B349))</f>
        <v>1.424931507</v>
      </c>
      <c r="Y368" s="124">
        <f t="array" ref="Y368">INDIRECT("Update"&amp;Projections!$AG$17&amp;"!O"&amp;ROW(B349))</f>
        <v>1.312465753</v>
      </c>
      <c r="Z368" s="124">
        <f t="array" ref="Z368">INDIRECT("Update"&amp;Projections!$AG$17&amp;"!P"&amp;ROW(B349))</f>
        <v>0.2843835616</v>
      </c>
      <c r="AA368" s="124">
        <f t="array" ref="AA368">INDIRECT("Update"&amp;Projections!$AG$17&amp;"!Q"&amp;ROW(B349))</f>
        <v>0.07739726027</v>
      </c>
      <c r="AB368" s="180">
        <f t="array" ref="AB368">INDIRECT("Update"&amp;Projections!$AG$17&amp;"!I"&amp;ROW(B349))</f>
        <v>0.4364338166</v>
      </c>
      <c r="AC368" s="180">
        <f t="array" ref="AC368">INDIRECT("Update"&amp;Projections!$AG$17&amp;"!K"&amp;ROW(B349))</f>
        <v>0.8300825206</v>
      </c>
      <c r="AD368" s="124">
        <f t="array" ref="AD368">INDIRECT("Update"&amp;Projections!$AG$17&amp;"!R"&amp;ROW(B349))</f>
        <v>1.001643836</v>
      </c>
      <c r="AE368" s="124">
        <f t="shared" si="3"/>
        <v>-1.672260369</v>
      </c>
      <c r="AF368" s="124">
        <f t="shared" si="4"/>
        <v>-0.4898858759</v>
      </c>
      <c r="AG368" s="124">
        <f t="shared" si="5"/>
        <v>-1.825660267</v>
      </c>
      <c r="AH368" s="124">
        <f t="shared" si="6"/>
        <v>-1.190236634</v>
      </c>
      <c r="AI368" s="124">
        <f t="shared" si="7"/>
        <v>-2.288083916</v>
      </c>
      <c r="AJ368" s="124">
        <f t="shared" si="8"/>
        <v>-1.197308216</v>
      </c>
      <c r="AK368" s="124">
        <f t="shared" si="9"/>
        <v>-0.5146225622</v>
      </c>
      <c r="AL368" s="124">
        <f t="shared" si="10"/>
        <v>0.09007235148</v>
      </c>
      <c r="AM368" s="124">
        <f t="shared" si="11"/>
        <v>0</v>
      </c>
      <c r="AN368" s="183">
        <f t="shared" si="12"/>
        <v>-2.288083916</v>
      </c>
      <c r="AO368" s="183">
        <f t="shared" si="13"/>
        <v>-4.113744184</v>
      </c>
      <c r="AP368" s="183">
        <f t="array" ref="AP368">INDIRECT("Update"&amp;Projections!$AG$17&amp;"!S"&amp;ROW(B349))</f>
        <v>7.275342466</v>
      </c>
      <c r="AQ368" s="183">
        <f t="array" ref="AQ368">INDIRECT("Update"&amp;Projections!$AG$17&amp;"!T"&amp;ROW(B349))</f>
        <v>0.7304109589</v>
      </c>
    </row>
    <row r="369">
      <c r="A369" s="40" t="str">
        <f>IF(UpdateHashtag!C367="",ROW(UpdateHashtag!C367),UpdateHashtag!C367)</f>
        <v>Derrick Rose</v>
      </c>
      <c r="B369" s="41">
        <f>IF(TYPE($A369)=1,"",(UpdateHashtag!M367-B$1)/B$2)</f>
        <v>-2.179050332</v>
      </c>
      <c r="C369" s="41">
        <f>IF(TYPE($A369)=1,"",(UpdateHashtag!L367-C$1)/C$2)</f>
        <v>-1.238588102</v>
      </c>
      <c r="D369" s="41">
        <f>IF(TYPE($A369)=1,"",(UpdateHashtag!N367-D$1)/D$2)</f>
        <v>-1.874621799</v>
      </c>
      <c r="E369" s="41">
        <f>IF(TYPE($A369)=1,"",(UpdateHashtag!O367-E$1)/E$2)</f>
        <v>-0.9234147659</v>
      </c>
      <c r="F369" s="41">
        <f>IF(TYPE($A369)=1,"",(UpdateHashtag!P367-F$1)/F$2)</f>
        <v>-2.567251182</v>
      </c>
      <c r="G369" s="41">
        <f>IF(TYPE($A369)=1,"",(UpdateHashtag!Q367-G$1)/G$2)</f>
        <v>-1.156992888</v>
      </c>
      <c r="H369" s="41">
        <f>IF(TYPE($A369)=1,"",(UpdateHashtag!I367-H$1)/H$2*I369/$I$1)</f>
        <v>-0.4404404123</v>
      </c>
      <c r="I369" s="41">
        <f>UpdateHashtag!S367</f>
        <v>5.1</v>
      </c>
      <c r="J369" s="53">
        <f>IF(TYPE($A369)=1,"",(UpdateHashtag!K367-J$1)/J$2*K369/$K$1)</f>
        <v>0.2255807906</v>
      </c>
      <c r="K369" s="55">
        <f>UpdateHashtag!T367</f>
        <v>0.6</v>
      </c>
      <c r="L369" s="41">
        <f>IF(TYPE($A369)=1,"",-(UpdateHashtag!R367-L$1)/L$2)</f>
        <v>0.9410095407</v>
      </c>
      <c r="N369" s="5">
        <v>349.0</v>
      </c>
      <c r="O369" s="170" t="str">
        <f t="array" ref="O369">INDIRECT("Update"&amp;Projections!$AG$17&amp;"!B"&amp;ROW(B350))</f>
        <v/>
      </c>
      <c r="P369" s="172" t="str">
        <f t="array" ref="P369">INDIRECT("Update"&amp;Projections!$AG$17&amp;"!C"&amp;ROW(B350))</f>
        <v>Jamal Shead</v>
      </c>
      <c r="Q369" s="306" t="str">
        <f>UpdateHashtag!F408</f>
        <v/>
      </c>
      <c r="R369" s="177">
        <f>IF(UpdateHashtag!D408="",ROW(UpdateHashtag!D408),UpdateHashtag!D408)</f>
        <v>408</v>
      </c>
      <c r="S369" s="124">
        <f t="shared" si="1"/>
        <v>-8.870965775</v>
      </c>
      <c r="T369" s="124">
        <f>SUM(AE369:AM369)-IFERROR(IFS(Projections!$I$17,AN369,Projections!$J$17,AO369),"")</f>
        <v>-9.012414149</v>
      </c>
      <c r="U369" s="124">
        <f t="shared" si="2"/>
        <v>-0.1414483738</v>
      </c>
      <c r="V369" s="124">
        <f t="array" ref="V369">INDIRECT("Update"&amp;Projections!$AG$17&amp;"!M"&amp;ROW(B350))</f>
        <v>4.140384615</v>
      </c>
      <c r="W369" s="124">
        <f t="array" ref="W369">INDIRECT("Update"&amp;Projections!$AG$17&amp;"!L"&amp;ROW(B350))</f>
        <v>0.5915384615</v>
      </c>
      <c r="X369" s="124">
        <f t="array" ref="X369">INDIRECT("Update"&amp;Projections!$AG$17&amp;"!N"&amp;ROW(B350))</f>
        <v>1.296153846</v>
      </c>
      <c r="Y369" s="124">
        <f t="array" ref="Y369">INDIRECT("Update"&amp;Projections!$AG$17&amp;"!O"&amp;ROW(B350))</f>
        <v>1.973653846</v>
      </c>
      <c r="Z369" s="124">
        <f t="array" ref="Z369">INDIRECT("Update"&amp;Projections!$AG$17&amp;"!P"&amp;ROW(B350))</f>
        <v>0.7069230769</v>
      </c>
      <c r="AA369" s="124">
        <f t="array" ref="AA369">INDIRECT("Update"&amp;Projections!$AG$17&amp;"!Q"&amp;ROW(B350))</f>
        <v>0.1473076923</v>
      </c>
      <c r="AB369" s="180">
        <f t="array" ref="AB369">INDIRECT("Update"&amp;Projections!$AG$17&amp;"!I"&amp;ROW(B350))</f>
        <v>0.365359329</v>
      </c>
      <c r="AC369" s="180">
        <f t="array" ref="AC369">INDIRECT("Update"&amp;Projections!$AG$17&amp;"!K"&amp;ROW(B350))</f>
        <v>0.7571243523</v>
      </c>
      <c r="AD369" s="124">
        <f t="array" ref="AD369">INDIRECT("Update"&amp;Projections!$AG$17&amp;"!R"&amp;ROW(B350))</f>
        <v>1.178269231</v>
      </c>
      <c r="AE369" s="124">
        <f t="shared" si="3"/>
        <v>-2.406103107</v>
      </c>
      <c r="AF369" s="124">
        <f t="shared" si="4"/>
        <v>-1.14778849</v>
      </c>
      <c r="AG369" s="124">
        <f t="shared" si="5"/>
        <v>-1.876129134</v>
      </c>
      <c r="AH369" s="124">
        <f t="shared" si="6"/>
        <v>-0.8899657255</v>
      </c>
      <c r="AI369" s="124">
        <f t="shared" si="7"/>
        <v>-0.8901907847</v>
      </c>
      <c r="AJ369" s="124">
        <f t="shared" si="8"/>
        <v>-1.072612626</v>
      </c>
      <c r="AK369" s="124">
        <f t="shared" si="9"/>
        <v>-0.6506491156</v>
      </c>
      <c r="AL369" s="124">
        <f t="shared" si="10"/>
        <v>-0.07897516584</v>
      </c>
      <c r="AM369" s="124">
        <f t="shared" si="11"/>
        <v>0</v>
      </c>
      <c r="AN369" s="183">
        <f t="shared" si="12"/>
        <v>-2.406103107</v>
      </c>
      <c r="AO369" s="183">
        <f t="shared" si="13"/>
        <v>-4.282232241</v>
      </c>
      <c r="AP369" s="183">
        <f t="array" ref="AP369">INDIRECT("Update"&amp;Projections!$AG$17&amp;"!S"&amp;ROW(B350))</f>
        <v>4.241346154</v>
      </c>
      <c r="AQ369" s="183">
        <f t="array" ref="AQ369">INDIRECT("Update"&amp;Projections!$AG$17&amp;"!T"&amp;ROW(B350))</f>
        <v>0.5938461538</v>
      </c>
    </row>
    <row r="370">
      <c r="A370" s="40" t="str">
        <f>IF(UpdateHashtag!C368="",ROW(UpdateHashtag!C368),UpdateHashtag!C368)</f>
        <v>Jordan Walsh</v>
      </c>
      <c r="B370" s="41">
        <f>IF(TYPE($A370)=1,"",(UpdateHashtag!M368-B$1)/B$2)</f>
        <v>-2.791919503</v>
      </c>
      <c r="C370" s="41">
        <f>IF(TYPE($A370)=1,"",(UpdateHashtag!L368-C$1)/C$2)</f>
        <v>-1.43697381</v>
      </c>
      <c r="D370" s="41">
        <f>IF(TYPE($A370)=1,"",(UpdateHashtag!N368-D$1)/D$2)</f>
        <v>-1.325952004</v>
      </c>
      <c r="E370" s="41">
        <f>IF(TYPE($A370)=1,"",(UpdateHashtag!O368-E$1)/E$2)</f>
        <v>-1.468380857</v>
      </c>
      <c r="F370" s="41">
        <f>IF(TYPE($A370)=1,"",(UpdateHashtag!P368-F$1)/F$2)</f>
        <v>-0.9130944927</v>
      </c>
      <c r="G370" s="41">
        <f>IF(TYPE($A370)=1,"",(UpdateHashtag!Q368-G$1)/G$2)</f>
        <v>-1.156992888</v>
      </c>
      <c r="H370" s="41">
        <f>IF(TYPE($A370)=1,"",(UpdateHashtag!I368-H$1)/H$2*I370/$I$1)</f>
        <v>-0.2239008369</v>
      </c>
      <c r="I370" s="41">
        <f>UpdateHashtag!S368</f>
        <v>2</v>
      </c>
      <c r="J370" s="53">
        <f>IF(TYPE($A370)=1,"",(UpdateHashtag!K368-J$1)/J$2*K370/$K$1)</f>
        <v>-0.3309094404</v>
      </c>
      <c r="K370" s="55">
        <f>UpdateHashtag!T368</f>
        <v>0.3</v>
      </c>
      <c r="L370" s="41">
        <f>IF(TYPE($A370)=1,"",-(UpdateHashtag!R368-L$1)/L$2)</f>
        <v>1.337780956</v>
      </c>
      <c r="N370" s="112">
        <v>350.0</v>
      </c>
      <c r="O370" s="170" t="str">
        <f t="array" ref="O370">INDIRECT("Update"&amp;Projections!$AG$17&amp;"!B"&amp;ROW(B351))</f>
        <v>#N/A</v>
      </c>
      <c r="P370" s="172" t="str">
        <f t="array" ref="P370">INDIRECT("Update"&amp;Projections!$AG$17&amp;"!C"&amp;ROW(B351))</f>
        <v>Kobe Brown</v>
      </c>
      <c r="Q370" s="306" t="str">
        <f>UpdateHashtag!F405</f>
        <v/>
      </c>
      <c r="R370" s="177">
        <f>IF(UpdateHashtag!D405="",ROW(UpdateHashtag!D405),UpdateHashtag!D405)</f>
        <v>405</v>
      </c>
      <c r="S370" s="124">
        <f t="shared" si="1"/>
        <v>-8.855110571</v>
      </c>
      <c r="T370" s="124">
        <f>SUM(AE370:AM370)-IFERROR(IFS(Projections!$I$17,AN370,Projections!$J$17,AO370),"")</f>
        <v>-9.167237418</v>
      </c>
      <c r="U370" s="124">
        <f t="shared" si="2"/>
        <v>-0.312126847</v>
      </c>
      <c r="V370" s="124">
        <f t="array" ref="V370">INDIRECT("Update"&amp;Projections!$AG$17&amp;"!M"&amp;ROW(B351))</f>
        <v>5.190273973</v>
      </c>
      <c r="W370" s="124">
        <f t="array" ref="W370">INDIRECT("Update"&amp;Projections!$AG$17&amp;"!L"&amp;ROW(B351))</f>
        <v>0.6653424658</v>
      </c>
      <c r="X370" s="124">
        <f t="array" ref="X370">INDIRECT("Update"&amp;Projections!$AG$17&amp;"!N"&amp;ROW(B351))</f>
        <v>2.613287671</v>
      </c>
      <c r="Y370" s="124">
        <f t="array" ref="Y370">INDIRECT("Update"&amp;Projections!$AG$17&amp;"!O"&amp;ROW(B351))</f>
        <v>1.010958904</v>
      </c>
      <c r="Z370" s="124">
        <f t="array" ref="Z370">INDIRECT("Update"&amp;Projections!$AG$17&amp;"!P"&amp;ROW(B351))</f>
        <v>0.4883561644</v>
      </c>
      <c r="AA370" s="124">
        <f t="array" ref="AA370">INDIRECT("Update"&amp;Projections!$AG$17&amp;"!Q"&amp;ROW(B351))</f>
        <v>0.228630137</v>
      </c>
      <c r="AB370" s="180">
        <f t="array" ref="AB370">INDIRECT("Update"&amp;Projections!$AG$17&amp;"!I"&amp;ROW(B351))</f>
        <v>0.4423716558</v>
      </c>
      <c r="AC370" s="180">
        <f t="array" ref="AC370">INDIRECT("Update"&amp;Projections!$AG$17&amp;"!K"&amp;ROW(B351))</f>
        <v>0.6143396226</v>
      </c>
      <c r="AD370" s="124">
        <f t="array" ref="AD370">INDIRECT("Update"&amp;Projections!$AG$17&amp;"!R"&amp;ROW(B351))</f>
        <v>0.49</v>
      </c>
      <c r="AE370" s="124">
        <f t="shared" si="3"/>
        <v>-2.21685463</v>
      </c>
      <c r="AF370" s="124">
        <f t="shared" si="4"/>
        <v>-1.074580192</v>
      </c>
      <c r="AG370" s="124">
        <f t="shared" si="5"/>
        <v>-1.359935173</v>
      </c>
      <c r="AH370" s="124">
        <f t="shared" si="6"/>
        <v>-1.327162475</v>
      </c>
      <c r="AI370" s="124">
        <f t="shared" si="7"/>
        <v>-1.613278626</v>
      </c>
      <c r="AJ370" s="124">
        <f t="shared" si="8"/>
        <v>-0.9275620245</v>
      </c>
      <c r="AK370" s="124">
        <f t="shared" si="9"/>
        <v>-0.3023110152</v>
      </c>
      <c r="AL370" s="124">
        <f t="shared" si="10"/>
        <v>-0.3455532819</v>
      </c>
      <c r="AM370" s="124">
        <f t="shared" si="11"/>
        <v>0</v>
      </c>
      <c r="AN370" s="183">
        <f t="shared" si="12"/>
        <v>-2.21685463</v>
      </c>
      <c r="AO370" s="183">
        <f t="shared" si="13"/>
        <v>-3.830133256</v>
      </c>
      <c r="AP370" s="183">
        <f t="array" ref="AP370">INDIRECT("Update"&amp;Projections!$AG$17&amp;"!S"&amp;ROW(B351))</f>
        <v>4.73630137</v>
      </c>
      <c r="AQ370" s="183">
        <f t="array" ref="AQ370">INDIRECT("Update"&amp;Projections!$AG$17&amp;"!T"&amp;ROW(B351))</f>
        <v>0.5445205479</v>
      </c>
    </row>
    <row r="371">
      <c r="A371" s="40" t="str">
        <f>IF(UpdateHashtag!C369="",ROW(UpdateHashtag!C369),UpdateHashtag!C369)</f>
        <v>Dalano Banton</v>
      </c>
      <c r="B371" s="41">
        <f>IF(TYPE($A371)=1,"",(UpdateHashtag!M369-B$1)/B$2)</f>
        <v>-2.197075895</v>
      </c>
      <c r="C371" s="41">
        <f>IF(TYPE($A371)=1,"",(UpdateHashtag!L369-C$1)/C$2)</f>
        <v>-1.139395249</v>
      </c>
      <c r="D371" s="41">
        <f>IF(TYPE($A371)=1,"",(UpdateHashtag!N369-D$1)/D$2)</f>
        <v>-1.717859001</v>
      </c>
      <c r="E371" s="41">
        <f>IF(TYPE($A371)=1,"",(UpdateHashtag!O369-E$1)/E$2)</f>
        <v>-1.241311653</v>
      </c>
      <c r="F371" s="41">
        <f>IF(TYPE($A371)=1,"",(UpdateHashtag!P369-F$1)/F$2)</f>
        <v>-1.905588506</v>
      </c>
      <c r="G371" s="41">
        <f>IF(TYPE($A371)=1,"",(UpdateHashtag!Q369-G$1)/G$2)</f>
        <v>-0.8002633236</v>
      </c>
      <c r="H371" s="41">
        <f>IF(TYPE($A371)=1,"",(UpdateHashtag!I369-H$1)/H$2*I371/$I$1)</f>
        <v>-0.4982797817</v>
      </c>
      <c r="I371" s="41">
        <f>UpdateHashtag!S369</f>
        <v>4.8</v>
      </c>
      <c r="J371" s="53">
        <f>IF(TYPE($A371)=1,"",(UpdateHashtag!K369-J$1)/J$2*K371/$K$1)</f>
        <v>-0.08493883315</v>
      </c>
      <c r="K371" s="55">
        <f>UpdateHashtag!T369</f>
        <v>1.1</v>
      </c>
      <c r="L371" s="41">
        <f>IF(TYPE($A371)=1,"",-(UpdateHashtag!R369-L$1)/L$2)</f>
        <v>1.040202395</v>
      </c>
      <c r="N371" s="112">
        <v>351.0</v>
      </c>
      <c r="O371" s="170" t="str">
        <f t="array" ref="O371">INDIRECT("Update"&amp;Projections!$AG$17&amp;"!B"&amp;ROW(B352))</f>
        <v>#N/A</v>
      </c>
      <c r="P371" s="172" t="str">
        <f t="array" ref="P371">INDIRECT("Update"&amp;Projections!$AG$17&amp;"!C"&amp;ROW(B352))</f>
        <v>Lindy Waters III</v>
      </c>
      <c r="Q371" s="170" t="str">
        <f>UpdateHashtag!F411</f>
        <v/>
      </c>
      <c r="R371" s="177">
        <f>IF(UpdateHashtag!D411="",ROW(UpdateHashtag!D411),UpdateHashtag!D411)</f>
        <v>411</v>
      </c>
      <c r="S371" s="124">
        <f t="shared" si="1"/>
        <v>-8.881478318</v>
      </c>
      <c r="T371" s="124">
        <f>SUM(AE371:AM371)-IFERROR(IFS(Projections!$I$17,AN371,Projections!$J$17,AO371),"")</f>
        <v>-9.23555108</v>
      </c>
      <c r="U371" s="124">
        <f t="shared" si="2"/>
        <v>-0.3540727612</v>
      </c>
      <c r="V371" s="124">
        <f t="array" ref="V371">INDIRECT("Update"&amp;Projections!$AG$17&amp;"!M"&amp;ROW(B352))</f>
        <v>5.247021277</v>
      </c>
      <c r="W371" s="124">
        <f t="array" ref="W371">INDIRECT("Update"&amp;Projections!$AG$17&amp;"!L"&amp;ROW(B352))</f>
        <v>1.266595745</v>
      </c>
      <c r="X371" s="124">
        <f t="array" ref="X371">INDIRECT("Update"&amp;Projections!$AG$17&amp;"!N"&amp;ROW(B352))</f>
        <v>1.604255319</v>
      </c>
      <c r="Y371" s="124">
        <f t="array" ref="Y371">INDIRECT("Update"&amp;Projections!$AG$17&amp;"!O"&amp;ROW(B352))</f>
        <v>0.6576595745</v>
      </c>
      <c r="Z371" s="124">
        <f t="array" ref="Z371">INDIRECT("Update"&amp;Projections!$AG$17&amp;"!P"&amp;ROW(B352))</f>
        <v>0.319787234</v>
      </c>
      <c r="AA371" s="124">
        <f t="array" ref="AA371">INDIRECT("Update"&amp;Projections!$AG$17&amp;"!Q"&amp;ROW(B352))</f>
        <v>0.2065957447</v>
      </c>
      <c r="AB371" s="180">
        <f t="array" ref="AB371">INDIRECT("Update"&amp;Projections!$AG$17&amp;"!I"&amp;ROW(B352))</f>
        <v>0.4582409079</v>
      </c>
      <c r="AC371" s="180">
        <f t="array" ref="AC371">INDIRECT("Update"&amp;Projections!$AG$17&amp;"!K"&amp;ROW(B352))</f>
        <v>0.8148788927</v>
      </c>
      <c r="AD371" s="124">
        <f t="array" ref="AD371">INDIRECT("Update"&amp;Projections!$AG$17&amp;"!R"&amp;ROW(B352))</f>
        <v>0.3208510638</v>
      </c>
      <c r="AE371" s="124">
        <f t="shared" si="3"/>
        <v>-2.206625609</v>
      </c>
      <c r="AF371" s="124">
        <f t="shared" si="4"/>
        <v>-0.478179905</v>
      </c>
      <c r="AG371" s="124">
        <f t="shared" si="5"/>
        <v>-1.755382011</v>
      </c>
      <c r="AH371" s="124">
        <f t="shared" si="6"/>
        <v>-1.487609271</v>
      </c>
      <c r="AI371" s="124">
        <f t="shared" si="7"/>
        <v>-2.170957473</v>
      </c>
      <c r="AJ371" s="124">
        <f t="shared" si="8"/>
        <v>-0.9668636203</v>
      </c>
      <c r="AK371" s="124">
        <f t="shared" si="9"/>
        <v>-0.1871271063</v>
      </c>
      <c r="AL371" s="124">
        <f t="shared" si="10"/>
        <v>0.01719391612</v>
      </c>
      <c r="AM371" s="124">
        <f t="shared" si="11"/>
        <v>0</v>
      </c>
      <c r="AN371" s="183">
        <f t="shared" si="12"/>
        <v>-2.206625609</v>
      </c>
      <c r="AO371" s="183">
        <f t="shared" si="13"/>
        <v>-4.377583082</v>
      </c>
      <c r="AP371" s="183">
        <f t="array" ref="AP371">INDIRECT("Update"&amp;Projections!$AG$17&amp;"!S"&amp;ROW(B352))</f>
        <v>4.124468085</v>
      </c>
      <c r="AQ371" s="183">
        <f t="array" ref="AQ371">INDIRECT("Update"&amp;Projections!$AG$17&amp;"!T"&amp;ROW(B352))</f>
        <v>0.2459574468</v>
      </c>
    </row>
    <row r="372">
      <c r="A372" s="40" t="str">
        <f>IF(UpdateHashtag!C370="",ROW(UpdateHashtag!C370),UpdateHashtag!C370)</f>
        <v>Jalen McDaniels</v>
      </c>
      <c r="B372" s="41">
        <f>IF(TYPE($A372)=1,"",(UpdateHashtag!M370-B$1)/B$2)</f>
        <v>-2.431408226</v>
      </c>
      <c r="C372" s="41">
        <f>IF(TYPE($A372)=1,"",(UpdateHashtag!L370-C$1)/C$2)</f>
        <v>-1.337780956</v>
      </c>
      <c r="D372" s="41">
        <f>IF(TYPE($A372)=1,"",(UpdateHashtag!N370-D$1)/D$2)</f>
        <v>-1.678668301</v>
      </c>
      <c r="E372" s="41">
        <f>IF(TYPE($A372)=1,"",(UpdateHashtag!O370-E$1)/E$2)</f>
        <v>-1.468380857</v>
      </c>
      <c r="F372" s="41">
        <f>IF(TYPE($A372)=1,"",(UpdateHashtag!P370-F$1)/F$2)</f>
        <v>-1.905588506</v>
      </c>
      <c r="G372" s="41">
        <f>IF(TYPE($A372)=1,"",(UpdateHashtag!Q370-G$1)/G$2)</f>
        <v>-0.978628106</v>
      </c>
      <c r="H372" s="41">
        <f>IF(TYPE($A372)=1,"",(UpdateHashtag!I370-H$1)/H$2*I372/$I$1)</f>
        <v>-0.2778366363</v>
      </c>
      <c r="I372" s="41">
        <f>UpdateHashtag!S370</f>
        <v>3.5</v>
      </c>
      <c r="J372" s="53">
        <f>IF(TYPE($A372)=1,"",(UpdateHashtag!K370-J$1)/J$2*K372/$K$1)</f>
        <v>0.05064431378</v>
      </c>
      <c r="K372" s="55">
        <f>UpdateHashtag!T370</f>
        <v>0.8</v>
      </c>
      <c r="L372" s="41">
        <f>IF(TYPE($A372)=1,"",-(UpdateHashtag!R370-L$1)/L$2)</f>
        <v>1.238588102</v>
      </c>
      <c r="N372" s="5">
        <v>352.0</v>
      </c>
      <c r="O372" s="170" t="str">
        <f t="array" ref="O372">INDIRECT("Update"&amp;Projections!$AG$17&amp;"!B"&amp;ROW(B353))</f>
        <v/>
      </c>
      <c r="P372" s="172" t="str">
        <f t="array" ref="P372">INDIRECT("Update"&amp;Projections!$AG$17&amp;"!C"&amp;ROW(B353))</f>
        <v>Thomas Bryant</v>
      </c>
      <c r="Q372" s="170" t="str">
        <f>UpdateHashtag!F422</f>
        <v/>
      </c>
      <c r="R372" s="177">
        <f>IF(UpdateHashtag!D422="",ROW(UpdateHashtag!D422),UpdateHashtag!D422)</f>
        <v>422</v>
      </c>
      <c r="S372" s="124">
        <f t="shared" si="1"/>
        <v>-9.101609696</v>
      </c>
      <c r="T372" s="124">
        <f>SUM(AE372:AM372)-IFERROR(IFS(Projections!$I$17,AN372,Projections!$J$17,AO372),"")</f>
        <v>-9.444387135</v>
      </c>
      <c r="U372" s="124">
        <f t="shared" si="2"/>
        <v>-0.3427774388</v>
      </c>
      <c r="V372" s="124">
        <f t="array" ref="V372">INDIRECT("Update"&amp;Projections!$AG$17&amp;"!M"&amp;ROW(B353))</f>
        <v>4.5048</v>
      </c>
      <c r="W372" s="124">
        <f t="array" ref="W372">INDIRECT("Update"&amp;Projections!$AG$17&amp;"!L"&amp;ROW(B353))</f>
        <v>0.1768</v>
      </c>
      <c r="X372" s="124">
        <f t="array" ref="X372">INDIRECT("Update"&amp;Projections!$AG$17&amp;"!N"&amp;ROW(B353))</f>
        <v>3.3544</v>
      </c>
      <c r="Y372" s="124">
        <f t="array" ref="Y372">INDIRECT("Update"&amp;Projections!$AG$17&amp;"!O"&amp;ROW(B353))</f>
        <v>0.4852</v>
      </c>
      <c r="Z372" s="124">
        <f t="array" ref="Z372">INDIRECT("Update"&amp;Projections!$AG$17&amp;"!P"&amp;ROW(B353))</f>
        <v>0.1592</v>
      </c>
      <c r="AA372" s="124">
        <f t="array" ref="AA372">INDIRECT("Update"&amp;Projections!$AG$17&amp;"!Q"&amp;ROW(B353))</f>
        <v>0.384</v>
      </c>
      <c r="AB372" s="180">
        <f t="array" ref="AB372">INDIRECT("Update"&amp;Projections!$AG$17&amp;"!I"&amp;ROW(B353))</f>
        <v>0.58161937</v>
      </c>
      <c r="AC372" s="180">
        <f t="array" ref="AC372">INDIRECT("Update"&amp;Projections!$AG$17&amp;"!K"&amp;ROW(B353))</f>
        <v>0.8399465002</v>
      </c>
      <c r="AD372" s="124">
        <f t="array" ref="AD372">INDIRECT("Update"&amp;Projections!$AG$17&amp;"!R"&amp;ROW(B353))</f>
        <v>0.3664</v>
      </c>
      <c r="AE372" s="124">
        <f t="shared" si="3"/>
        <v>-2.340415179</v>
      </c>
      <c r="AF372" s="124">
        <f t="shared" si="4"/>
        <v>-1.559179406</v>
      </c>
      <c r="AG372" s="124">
        <f t="shared" si="5"/>
        <v>-1.069488066</v>
      </c>
      <c r="AH372" s="124">
        <f t="shared" si="6"/>
        <v>-1.565929788</v>
      </c>
      <c r="AI372" s="124">
        <f t="shared" si="7"/>
        <v>-2.702230368</v>
      </c>
      <c r="AJ372" s="124">
        <f t="shared" si="8"/>
        <v>-0.6504369064</v>
      </c>
      <c r="AK372" s="124">
        <f t="shared" si="9"/>
        <v>0.301561769</v>
      </c>
      <c r="AL372" s="124">
        <f t="shared" si="10"/>
        <v>0.1417308101</v>
      </c>
      <c r="AM372" s="124">
        <f t="shared" si="11"/>
        <v>0</v>
      </c>
      <c r="AN372" s="183">
        <f t="shared" si="12"/>
        <v>-2.702230368</v>
      </c>
      <c r="AO372" s="183">
        <f t="shared" si="13"/>
        <v>-5.042645548</v>
      </c>
      <c r="AP372" s="183">
        <f t="array" ref="AP372">INDIRECT("Update"&amp;Projections!$AG$17&amp;"!S"&amp;ROW(B353))</f>
        <v>3.0728</v>
      </c>
      <c r="AQ372" s="183">
        <f t="array" ref="AQ372">INDIRECT("Update"&amp;Projections!$AG$17&amp;"!T"&amp;ROW(B353))</f>
        <v>0.8972</v>
      </c>
    </row>
    <row r="373">
      <c r="A373" s="40" t="str">
        <f>IF(UpdateHashtag!C371="",ROW(UpdateHashtag!C371),UpdateHashtag!C371)</f>
        <v>Jalen Wilson</v>
      </c>
      <c r="B373" s="41">
        <f>IF(TYPE($A373)=1,"",(UpdateHashtag!M371-B$1)/B$2)</f>
        <v>-2.35930597</v>
      </c>
      <c r="C373" s="41">
        <f>IF(TYPE($A373)=1,"",(UpdateHashtag!L371-C$1)/C$2)</f>
        <v>-1.238588102</v>
      </c>
      <c r="D373" s="41">
        <f>IF(TYPE($A373)=1,"",(UpdateHashtag!N371-D$1)/D$2)</f>
        <v>-1.325952004</v>
      </c>
      <c r="E373" s="41">
        <f>IF(TYPE($A373)=1,"",(UpdateHashtag!O371-E$1)/E$2)</f>
        <v>-1.377553175</v>
      </c>
      <c r="F373" s="41">
        <f>IF(TYPE($A373)=1,"",(UpdateHashtag!P371-F$1)/F$2)</f>
        <v>-2.567251182</v>
      </c>
      <c r="G373" s="41">
        <f>IF(TYPE($A373)=1,"",(UpdateHashtag!Q371-G$1)/G$2)</f>
        <v>-1.156992888</v>
      </c>
      <c r="H373" s="41">
        <f>IF(TYPE($A373)=1,"",(UpdateHashtag!I371-H$1)/H$2*I373/$I$1)</f>
        <v>-0.3109278059</v>
      </c>
      <c r="I373" s="41">
        <f>UpdateHashtag!S371</f>
        <v>3.7</v>
      </c>
      <c r="J373" s="53">
        <f>IF(TYPE($A373)=1,"",(UpdateHashtag!K371-J$1)/J$2*K373/$K$1)</f>
        <v>0.1107247143</v>
      </c>
      <c r="K373" s="55">
        <f>UpdateHashtag!T371</f>
        <v>0.9</v>
      </c>
      <c r="L373" s="41">
        <f>IF(TYPE($A373)=1,"",-(UpdateHashtag!R371-L$1)/L$2)</f>
        <v>1.337780956</v>
      </c>
      <c r="N373" s="5">
        <v>353.0</v>
      </c>
      <c r="O373" s="170" t="str">
        <f t="array" ref="O373">INDIRECT("Update"&amp;Projections!$AG$17&amp;"!B"&amp;ROW(B354))</f>
        <v/>
      </c>
      <c r="P373" s="172" t="str">
        <f t="array" ref="P373">INDIRECT("Update"&amp;Projections!$AG$17&amp;"!C"&amp;ROW(B354))</f>
        <v>Shake Milton</v>
      </c>
      <c r="Q373" s="170" t="str">
        <f>UpdateHashtag!F412</f>
        <v/>
      </c>
      <c r="R373" s="177">
        <f>IF(UpdateHashtag!D412="",ROW(UpdateHashtag!D412),UpdateHashtag!D412)</f>
        <v>412</v>
      </c>
      <c r="S373" s="124">
        <f t="shared" si="1"/>
        <v>-9.010811436</v>
      </c>
      <c r="T373" s="124">
        <f>SUM(AE373:AM373)-IFERROR(IFS(Projections!$I$17,AN373,Projections!$J$17,AO373),"")</f>
        <v>-9.255405614</v>
      </c>
      <c r="U373" s="124">
        <f t="shared" si="2"/>
        <v>-0.2445941779</v>
      </c>
      <c r="V373" s="124">
        <f t="array" ref="V373">INDIRECT("Update"&amp;Projections!$AG$17&amp;"!M"&amp;ROW(B354))</f>
        <v>5.380410959</v>
      </c>
      <c r="W373" s="124">
        <f t="array" ref="W373">INDIRECT("Update"&amp;Projections!$AG$17&amp;"!L"&amp;ROW(B354))</f>
        <v>0.5201369863</v>
      </c>
      <c r="X373" s="124">
        <f t="array" ref="X373">INDIRECT("Update"&amp;Projections!$AG$17&amp;"!N"&amp;ROW(B354))</f>
        <v>1.708630137</v>
      </c>
      <c r="Y373" s="124">
        <f t="array" ref="Y373">INDIRECT("Update"&amp;Projections!$AG$17&amp;"!O"&amp;ROW(B354))</f>
        <v>2.027534247</v>
      </c>
      <c r="Z373" s="124">
        <f t="array" ref="Z373">INDIRECT("Update"&amp;Projections!$AG$17&amp;"!P"&amp;ROW(B354))</f>
        <v>0.3830136986</v>
      </c>
      <c r="AA373" s="124">
        <f t="array" ref="AA373">INDIRECT("Update"&amp;Projections!$AG$17&amp;"!Q"&amp;ROW(B354))</f>
        <v>0.1464383562</v>
      </c>
      <c r="AB373" s="180">
        <f t="array" ref="AB373">INDIRECT("Update"&amp;Projections!$AG$17&amp;"!I"&amp;ROW(B354))</f>
        <v>0.4334151625</v>
      </c>
      <c r="AC373" s="180">
        <f t="array" ref="AC373">INDIRECT("Update"&amp;Projections!$AG$17&amp;"!K"&amp;ROW(B354))</f>
        <v>0.830951657</v>
      </c>
      <c r="AD373" s="124">
        <f t="array" ref="AD373">INDIRECT("Update"&amp;Projections!$AG$17&amp;"!R"&amp;ROW(B354))</f>
        <v>0.7623287671</v>
      </c>
      <c r="AE373" s="124">
        <f t="shared" si="3"/>
        <v>-2.182581367</v>
      </c>
      <c r="AF373" s="124">
        <f t="shared" si="4"/>
        <v>-1.218613651</v>
      </c>
      <c r="AG373" s="124">
        <f t="shared" si="5"/>
        <v>-1.71447679</v>
      </c>
      <c r="AH373" s="124">
        <f t="shared" si="6"/>
        <v>-0.8654965659</v>
      </c>
      <c r="AI373" s="124">
        <f t="shared" si="7"/>
        <v>-1.961784515</v>
      </c>
      <c r="AJ373" s="124">
        <f t="shared" si="8"/>
        <v>-1.074163215</v>
      </c>
      <c r="AK373" s="124">
        <f t="shared" si="9"/>
        <v>-0.352161621</v>
      </c>
      <c r="AL373" s="124">
        <f t="shared" si="10"/>
        <v>0.1138721105</v>
      </c>
      <c r="AM373" s="124">
        <f t="shared" si="11"/>
        <v>0</v>
      </c>
      <c r="AN373" s="183">
        <f t="shared" si="12"/>
        <v>-2.182581367</v>
      </c>
      <c r="AO373" s="183">
        <f t="shared" si="13"/>
        <v>-4.144365881</v>
      </c>
      <c r="AP373" s="183">
        <f t="array" ref="AP373">INDIRECT("Update"&amp;Projections!$AG$17&amp;"!S"&amp;ROW(B354))</f>
        <v>4.743150685</v>
      </c>
      <c r="AQ373" s="183">
        <f t="array" ref="AQ373">INDIRECT("Update"&amp;Projections!$AG$17&amp;"!T"&amp;ROW(B354))</f>
        <v>0.9010958904</v>
      </c>
    </row>
    <row r="374">
      <c r="A374" s="40" t="str">
        <f>IF(UpdateHashtag!C372="",ROW(UpdateHashtag!C372),UpdateHashtag!C372)</f>
        <v>Devonte' Graham</v>
      </c>
      <c r="B374" s="41">
        <f>IF(TYPE($A374)=1,"",(UpdateHashtag!M372-B$1)/B$2)</f>
        <v>-2.35930597</v>
      </c>
      <c r="C374" s="41">
        <f>IF(TYPE($A374)=1,"",(UpdateHashtag!L372-C$1)/C$2)</f>
        <v>-0.7426238329</v>
      </c>
      <c r="D374" s="41">
        <f>IF(TYPE($A374)=1,"",(UpdateHashtag!N372-D$1)/D$2)</f>
        <v>-1.953003198</v>
      </c>
      <c r="E374" s="41">
        <f>IF(TYPE($A374)=1,"",(UpdateHashtag!O372-E$1)/E$2)</f>
        <v>-1.014242448</v>
      </c>
      <c r="F374" s="41">
        <f>IF(TYPE($A374)=1,"",(UpdateHashtag!P372-F$1)/F$2)</f>
        <v>-1.905588506</v>
      </c>
      <c r="G374" s="41">
        <f>IF(TYPE($A374)=1,"",(UpdateHashtag!Q372-G$1)/G$2)</f>
        <v>-1.156992888</v>
      </c>
      <c r="H374" s="41">
        <f>IF(TYPE($A374)=1,"",(UpdateHashtag!I372-H$1)/H$2*I374/$I$1)</f>
        <v>-0.5519348714</v>
      </c>
      <c r="I374" s="41">
        <f>UpdateHashtag!S372</f>
        <v>3.7</v>
      </c>
      <c r="J374" s="53">
        <f>IF(TYPE($A374)=1,"",(UpdateHashtag!K372-J$1)/J$2*K374/$K$1)</f>
        <v>-0.1580175662</v>
      </c>
      <c r="K374" s="55">
        <f>UpdateHashtag!T372</f>
        <v>1</v>
      </c>
      <c r="L374" s="41">
        <f>IF(TYPE($A374)=1,"",-(UpdateHashtag!R372-L$1)/L$2)</f>
        <v>1.238588102</v>
      </c>
      <c r="N374" s="112">
        <v>354.0</v>
      </c>
      <c r="O374" s="170" t="str">
        <f t="array" ref="O374">INDIRECT("Update"&amp;Projections!$AG$17&amp;"!B"&amp;ROW(B355))</f>
        <v/>
      </c>
      <c r="P374" s="172" t="str">
        <f t="array" ref="P374">INDIRECT("Update"&amp;Projections!$AG$17&amp;"!C"&amp;ROW(B355))</f>
        <v>Aaron Holiday</v>
      </c>
      <c r="Q374" s="170">
        <f>UpdateHashtag!F401</f>
        <v>40</v>
      </c>
      <c r="R374" s="177" t="str">
        <f>IF(UpdateHashtag!D401="",ROW(UpdateHashtag!D401),UpdateHashtag!D401)</f>
        <v>PG</v>
      </c>
      <c r="S374" s="124">
        <f t="shared" si="1"/>
        <v>-8.977598017</v>
      </c>
      <c r="T374" s="124">
        <f>SUM(AE374:AM374)-IFERROR(IFS(Projections!$I$17,AN374,Projections!$J$17,AO374),"")</f>
        <v>-9.260705678</v>
      </c>
      <c r="U374" s="124">
        <f t="shared" si="2"/>
        <v>-0.283107661</v>
      </c>
      <c r="V374" s="124">
        <f t="array" ref="V374">INDIRECT("Update"&amp;Projections!$AG$17&amp;"!M"&amp;ROW(B355))</f>
        <v>5.196382979</v>
      </c>
      <c r="W374" s="124">
        <f t="array" ref="W374">INDIRECT("Update"&amp;Projections!$AG$17&amp;"!L"&amp;ROW(B355))</f>
        <v>0.8512765957</v>
      </c>
      <c r="X374" s="124">
        <f t="array" ref="X374">INDIRECT("Update"&amp;Projections!$AG$17&amp;"!N"&amp;ROW(B355))</f>
        <v>1.094255319</v>
      </c>
      <c r="Y374" s="124">
        <f t="array" ref="Y374">INDIRECT("Update"&amp;Projections!$AG$17&amp;"!O"&amp;ROW(B355))</f>
        <v>1.395106383</v>
      </c>
      <c r="Z374" s="124">
        <f t="array" ref="Z374">INDIRECT("Update"&amp;Projections!$AG$17&amp;"!P"&amp;ROW(B355))</f>
        <v>0.4568085106</v>
      </c>
      <c r="AA374" s="124">
        <f t="array" ref="AA374">INDIRECT("Update"&amp;Projections!$AG$17&amp;"!Q"&amp;ROW(B355))</f>
        <v>0.0829787234</v>
      </c>
      <c r="AB374" s="180">
        <f t="array" ref="AB374">INDIRECT("Update"&amp;Projections!$AG$17&amp;"!I"&amp;ROW(B355))</f>
        <v>0.4399708242</v>
      </c>
      <c r="AC374" s="180">
        <f t="array" ref="AC374">INDIRECT("Update"&amp;Projections!$AG$17&amp;"!K"&amp;ROW(B355))</f>
        <v>0.8698578908</v>
      </c>
      <c r="AD374" s="124">
        <f t="array" ref="AD374">INDIRECT("Update"&amp;Projections!$AG$17&amp;"!R"&amp;ROW(B355))</f>
        <v>0.6070212766</v>
      </c>
      <c r="AE374" s="124">
        <f t="shared" si="3"/>
        <v>-2.215753448</v>
      </c>
      <c r="AF374" s="124">
        <f t="shared" si="4"/>
        <v>-0.890146822</v>
      </c>
      <c r="AG374" s="124">
        <f t="shared" si="5"/>
        <v>-1.955254579</v>
      </c>
      <c r="AH374" s="124">
        <f t="shared" si="6"/>
        <v>-1.15270635</v>
      </c>
      <c r="AI374" s="124">
        <f t="shared" si="7"/>
        <v>-1.717648151</v>
      </c>
      <c r="AJ374" s="124">
        <f t="shared" si="8"/>
        <v>-1.187352851</v>
      </c>
      <c r="AK374" s="124">
        <f t="shared" si="9"/>
        <v>-0.291502555</v>
      </c>
      <c r="AL374" s="124">
        <f t="shared" si="10"/>
        <v>0.1496590778</v>
      </c>
      <c r="AM374" s="124">
        <f t="shared" si="11"/>
        <v>0</v>
      </c>
      <c r="AN374" s="183">
        <f t="shared" si="12"/>
        <v>-2.215753448</v>
      </c>
      <c r="AO374" s="183">
        <f t="shared" si="13"/>
        <v>-4.171008027</v>
      </c>
      <c r="AP374" s="183">
        <f t="array" ref="AP374">INDIRECT("Update"&amp;Projections!$AG$17&amp;"!S"&amp;ROW(B355))</f>
        <v>4.375531915</v>
      </c>
      <c r="AQ374" s="183">
        <f t="array" ref="AQ374">INDIRECT("Update"&amp;Projections!$AG$17&amp;"!T"&amp;ROW(B355))</f>
        <v>0.5689361702</v>
      </c>
    </row>
    <row r="375">
      <c r="A375" s="40" t="str">
        <f>IF(UpdateHashtag!C373="",ROW(UpdateHashtag!C373),UpdateHashtag!C373)</f>
        <v>David Jones</v>
      </c>
      <c r="B375" s="41">
        <f>IF(TYPE($A375)=1,"",(UpdateHashtag!M373-B$1)/B$2)</f>
        <v>-2.377331534</v>
      </c>
      <c r="C375" s="41">
        <f>IF(TYPE($A375)=1,"",(UpdateHashtag!L373-C$1)/C$2)</f>
        <v>-1.238588102</v>
      </c>
      <c r="D375" s="41">
        <f>IF(TYPE($A375)=1,"",(UpdateHashtag!N373-D$1)/D$2)</f>
        <v>-1.7962404</v>
      </c>
      <c r="E375" s="41">
        <f>IF(TYPE($A375)=1,"",(UpdateHashtag!O373-E$1)/E$2)</f>
        <v>-1.60462238</v>
      </c>
      <c r="F375" s="41">
        <f>IF(TYPE($A375)=1,"",(UpdateHashtag!P373-F$1)/F$2)</f>
        <v>-1.905588506</v>
      </c>
      <c r="G375" s="41">
        <f>IF(TYPE($A375)=1,"",(UpdateHashtag!Q373-G$1)/G$2)</f>
        <v>-1.156992888</v>
      </c>
      <c r="H375" s="41">
        <f>IF(TYPE($A375)=1,"",(UpdateHashtag!I373-H$1)/H$2*I375/$I$1)</f>
        <v>-0.126482183</v>
      </c>
      <c r="I375" s="41">
        <f>UpdateHashtag!S373</f>
        <v>3</v>
      </c>
      <c r="J375" s="53">
        <f>IF(TYPE($A375)=1,"",(UpdateHashtag!K373-J$1)/J$2*K375/$K$1)</f>
        <v>0.00009133963363</v>
      </c>
      <c r="K375" s="55">
        <f>UpdateHashtag!T373</f>
        <v>1.3</v>
      </c>
      <c r="L375" s="41">
        <f>IF(TYPE($A375)=1,"",-(UpdateHashtag!R373-L$1)/L$2)</f>
        <v>1.139395249</v>
      </c>
      <c r="N375" s="112">
        <v>355.0</v>
      </c>
      <c r="O375" s="170" t="str">
        <f t="array" ref="O375">INDIRECT("Update"&amp;Projections!$AG$17&amp;"!B"&amp;ROW(B356))</f>
        <v>#N/A</v>
      </c>
      <c r="P375" s="172" t="str">
        <f t="array" ref="P375">INDIRECT("Update"&amp;Projections!$AG$17&amp;"!C"&amp;ROW(B356))</f>
        <v>Trey Alexander</v>
      </c>
      <c r="Q375" s="170" t="str">
        <f>UpdateHashtag!F418</f>
        <v/>
      </c>
      <c r="R375" s="177">
        <f>IF(UpdateHashtag!D418="",ROW(UpdateHashtag!D418),UpdateHashtag!D418)</f>
        <v>418</v>
      </c>
      <c r="S375" s="124">
        <f t="shared" si="1"/>
        <v>-9.067023012</v>
      </c>
      <c r="T375" s="124">
        <f>SUM(AE375:AM375)-IFERROR(IFS(Projections!$I$17,AN375,Projections!$J$17,AO375),"")</f>
        <v>-9.242443112</v>
      </c>
      <c r="U375" s="124">
        <f t="shared" si="2"/>
        <v>-0.1754200998</v>
      </c>
      <c r="V375" s="124">
        <f t="array" ref="V375">INDIRECT("Update"&amp;Projections!$AG$17&amp;"!M"&amp;ROW(B356))</f>
        <v>5.391702128</v>
      </c>
      <c r="W375" s="124">
        <f t="array" ref="W375">INDIRECT("Update"&amp;Projections!$AG$17&amp;"!L"&amp;ROW(B356))</f>
        <v>0.7878723404</v>
      </c>
      <c r="X375" s="124">
        <f t="array" ref="X375">INDIRECT("Update"&amp;Projections!$AG$17&amp;"!N"&amp;ROW(B356))</f>
        <v>1.96</v>
      </c>
      <c r="Y375" s="124">
        <f t="array" ref="Y375">INDIRECT("Update"&amp;Projections!$AG$17&amp;"!O"&amp;ROW(B356))</f>
        <v>1.623191489</v>
      </c>
      <c r="Z375" s="124">
        <f t="array" ref="Z375">INDIRECT("Update"&amp;Projections!$AG$17&amp;"!P"&amp;ROW(B356))</f>
        <v>0.3980851064</v>
      </c>
      <c r="AA375" s="124">
        <f t="array" ref="AA375">INDIRECT("Update"&amp;Projections!$AG$17&amp;"!Q"&amp;ROW(B356))</f>
        <v>0.1531914894</v>
      </c>
      <c r="AB375" s="180">
        <f t="array" ref="AB375">INDIRECT("Update"&amp;Projections!$AG$17&amp;"!I"&amp;ROW(B356))</f>
        <v>0.4070621345</v>
      </c>
      <c r="AC375" s="180">
        <f t="array" ref="AC375">INDIRECT("Update"&amp;Projections!$AG$17&amp;"!K"&amp;ROW(B356))</f>
        <v>0.808070357</v>
      </c>
      <c r="AD375" s="124">
        <f t="array" ref="AD375">INDIRECT("Update"&amp;Projections!$AG$17&amp;"!R"&amp;ROW(B356))</f>
        <v>1.041276596</v>
      </c>
      <c r="AE375" s="124">
        <f t="shared" si="3"/>
        <v>-2.18054607</v>
      </c>
      <c r="AF375" s="124">
        <f t="shared" si="4"/>
        <v>-0.9530393124</v>
      </c>
      <c r="AG375" s="124">
        <f t="shared" si="5"/>
        <v>-1.615963182</v>
      </c>
      <c r="AH375" s="124">
        <f t="shared" si="6"/>
        <v>-1.049124143</v>
      </c>
      <c r="AI375" s="124">
        <f t="shared" si="7"/>
        <v>-1.911923575</v>
      </c>
      <c r="AJ375" s="124">
        <f t="shared" si="8"/>
        <v>-1.062118004</v>
      </c>
      <c r="AK375" s="124">
        <f t="shared" si="9"/>
        <v>-0.5075557834</v>
      </c>
      <c r="AL375" s="124">
        <f t="shared" si="10"/>
        <v>0.03782695649</v>
      </c>
      <c r="AM375" s="124">
        <f t="shared" si="11"/>
        <v>0</v>
      </c>
      <c r="AN375" s="183">
        <f t="shared" si="12"/>
        <v>-2.18054607</v>
      </c>
      <c r="AO375" s="183">
        <f t="shared" si="13"/>
        <v>-4.092469644</v>
      </c>
      <c r="AP375" s="183">
        <f t="array" ref="AP375">INDIRECT("Update"&amp;Projections!$AG$17&amp;"!S"&amp;ROW(B356))</f>
        <v>4.838510638</v>
      </c>
      <c r="AQ375" s="183">
        <f t="array" ref="AQ375">INDIRECT("Update"&amp;Projections!$AG$17&amp;"!T"&amp;ROW(B356))</f>
        <v>0.8225531915</v>
      </c>
    </row>
    <row r="376">
      <c r="A376" s="40" t="str">
        <f>IF(UpdateHashtag!C374="",ROW(UpdateHashtag!C374),UpdateHashtag!C374)</f>
        <v>Orlando Robinson</v>
      </c>
      <c r="B376" s="41">
        <f>IF(TYPE($A376)=1,"",(UpdateHashtag!M374-B$1)/B$2)</f>
        <v>-2.647714992</v>
      </c>
      <c r="C376" s="41">
        <f>IF(TYPE($A376)=1,"",(UpdateHashtag!L374-C$1)/C$2)</f>
        <v>-1.635359518</v>
      </c>
      <c r="D376" s="41">
        <f>IF(TYPE($A376)=1,"",(UpdateHashtag!N374-D$1)/D$2)</f>
        <v>-1.325952004</v>
      </c>
      <c r="E376" s="41">
        <f>IF(TYPE($A376)=1,"",(UpdateHashtag!O374-E$1)/E$2)</f>
        <v>-1.422967016</v>
      </c>
      <c r="F376" s="41">
        <f>IF(TYPE($A376)=1,"",(UpdateHashtag!P374-F$1)/F$2)</f>
        <v>-2.236419844</v>
      </c>
      <c r="G376" s="41">
        <f>IF(TYPE($A376)=1,"",(UpdateHashtag!Q374-G$1)/G$2)</f>
        <v>-0.8002633236</v>
      </c>
      <c r="H376" s="41">
        <f>IF(TYPE($A376)=1,"",(UpdateHashtag!I374-H$1)/H$2*I376/$I$1)</f>
        <v>0.04092234836</v>
      </c>
      <c r="I376" s="41">
        <f>UpdateHashtag!S374</f>
        <v>2.1</v>
      </c>
      <c r="J376" s="53">
        <f>IF(TYPE($A376)=1,"",(UpdateHashtag!K374-J$1)/J$2*K376/$K$1)</f>
        <v>-0.1696317519</v>
      </c>
      <c r="K376" s="55">
        <f>UpdateHashtag!T374</f>
        <v>0.7</v>
      </c>
      <c r="L376" s="41">
        <f>IF(TYPE($A376)=1,"",-(UpdateHashtag!R374-L$1)/L$2)</f>
        <v>1.337780956</v>
      </c>
      <c r="N376" s="5">
        <v>356.0</v>
      </c>
      <c r="O376" s="170" t="str">
        <f t="array" ref="O376">INDIRECT("Update"&amp;Projections!$AG$17&amp;"!B"&amp;ROW(B357))</f>
        <v/>
      </c>
      <c r="P376" s="172" t="str">
        <f t="array" ref="P376">INDIRECT("Update"&amp;Projections!$AG$17&amp;"!C"&amp;ROW(B357))</f>
        <v>James Wiseman</v>
      </c>
      <c r="Q376" s="306" t="str">
        <f>UpdateHashtag!F409</f>
        <v/>
      </c>
      <c r="R376" s="177">
        <f>IF(UpdateHashtag!D409="",ROW(UpdateHashtag!D409),UpdateHashtag!D409)</f>
        <v>409</v>
      </c>
      <c r="S376" s="124">
        <f t="shared" si="1"/>
        <v>-9.313761574</v>
      </c>
      <c r="T376" s="124">
        <f>SUM(AE376:AM376)-IFERROR(IFS(Projections!$I$17,AN376,Projections!$J$17,AO376),"")</f>
        <v>-9.549746634</v>
      </c>
      <c r="U376" s="124">
        <f t="shared" si="2"/>
        <v>-0.2359850597</v>
      </c>
      <c r="V376" s="124">
        <f t="array" ref="V376">INDIRECT("Update"&amp;Projections!$AG$17&amp;"!M"&amp;ROW(B357))</f>
        <v>5.277954545</v>
      </c>
      <c r="W376" s="124">
        <f t="array" ref="W376">INDIRECT("Update"&amp;Projections!$AG$17&amp;"!L"&amp;ROW(B357))</f>
        <v>0</v>
      </c>
      <c r="X376" s="124">
        <f t="array" ref="X376">INDIRECT("Update"&amp;Projections!$AG$17&amp;"!N"&amp;ROW(B357))</f>
        <v>4.017045455</v>
      </c>
      <c r="Y376" s="124">
        <f t="array" ref="Y376">INDIRECT("Update"&amp;Projections!$AG$17&amp;"!O"&amp;ROW(B357))</f>
        <v>0.6415909091</v>
      </c>
      <c r="Z376" s="124">
        <f t="array" ref="Z376">INDIRECT("Update"&amp;Projections!$AG$17&amp;"!P"&amp;ROW(B357))</f>
        <v>0.1338636364</v>
      </c>
      <c r="AA376" s="124">
        <f t="array" ref="AA376">INDIRECT("Update"&amp;Projections!$AG$17&amp;"!Q"&amp;ROW(B357))</f>
        <v>0.4856818182</v>
      </c>
      <c r="AB376" s="180">
        <f t="array" ref="AB376">INDIRECT("Update"&amp;Projections!$AG$17&amp;"!I"&amp;ROW(B357))</f>
        <v>0.570017331</v>
      </c>
      <c r="AC376" s="180">
        <f t="array" ref="AC376">INDIRECT("Update"&amp;Projections!$AG$17&amp;"!K"&amp;ROW(B357))</f>
        <v>0.6979395879</v>
      </c>
      <c r="AD376" s="124">
        <f t="array" ref="AD376">INDIRECT("Update"&amp;Projections!$AG$17&amp;"!R"&amp;ROW(B357))</f>
        <v>0.7970454545</v>
      </c>
      <c r="AE376" s="124">
        <f t="shared" si="3"/>
        <v>-2.201049713</v>
      </c>
      <c r="AF376" s="124">
        <f t="shared" si="4"/>
        <v>-1.734552372</v>
      </c>
      <c r="AG376" s="124">
        <f t="shared" si="5"/>
        <v>-0.809792676</v>
      </c>
      <c r="AH376" s="124">
        <f t="shared" si="6"/>
        <v>-1.494906669</v>
      </c>
      <c r="AI376" s="124">
        <f t="shared" si="7"/>
        <v>-2.786050999</v>
      </c>
      <c r="AJ376" s="124">
        <f t="shared" si="8"/>
        <v>-0.4690723527</v>
      </c>
      <c r="AK376" s="124">
        <f t="shared" si="9"/>
        <v>0.3329973327</v>
      </c>
      <c r="AL376" s="124">
        <f t="shared" si="10"/>
        <v>-0.3873191855</v>
      </c>
      <c r="AM376" s="124">
        <f t="shared" si="11"/>
        <v>0</v>
      </c>
      <c r="AN376" s="183">
        <f t="shared" si="12"/>
        <v>-2.786050999</v>
      </c>
      <c r="AO376" s="183">
        <f t="shared" si="13"/>
        <v>-4.987100712</v>
      </c>
      <c r="AP376" s="183">
        <f t="array" ref="AP376">INDIRECT("Update"&amp;Projections!$AG$17&amp;"!S"&amp;ROW(B357))</f>
        <v>3.934090909</v>
      </c>
      <c r="AQ376" s="183">
        <f t="array" ref="AQ376">INDIRECT("Update"&amp;Projections!$AG$17&amp;"!T"&amp;ROW(B357))</f>
        <v>1.136136364</v>
      </c>
    </row>
    <row r="377">
      <c r="A377" s="40" t="str">
        <f>IF(UpdateHashtag!C375="",ROW(UpdateHashtag!C375),UpdateHashtag!C375)</f>
        <v>Baylor Scheierman</v>
      </c>
      <c r="B377" s="41">
        <f>IF(TYPE($A377)=1,"",(UpdateHashtag!M375-B$1)/B$2)</f>
        <v>-2.413382662</v>
      </c>
      <c r="C377" s="41">
        <f>IF(TYPE($A377)=1,"",(UpdateHashtag!L375-C$1)/C$2)</f>
        <v>-1.040202395</v>
      </c>
      <c r="D377" s="41">
        <f>IF(TYPE($A377)=1,"",(UpdateHashtag!N375-D$1)/D$2)</f>
        <v>-1.600286902</v>
      </c>
      <c r="E377" s="41">
        <f>IF(TYPE($A377)=1,"",(UpdateHashtag!O375-E$1)/E$2)</f>
        <v>-1.377553175</v>
      </c>
      <c r="F377" s="41">
        <f>IF(TYPE($A377)=1,"",(UpdateHashtag!P375-F$1)/F$2)</f>
        <v>-2.567251182</v>
      </c>
      <c r="G377" s="41">
        <f>IF(TYPE($A377)=1,"",(UpdateHashtag!Q375-G$1)/G$2)</f>
        <v>-1.335357671</v>
      </c>
      <c r="H377" s="41">
        <f>IF(TYPE($A377)=1,"",(UpdateHashtag!I375-H$1)/H$2*I377/$I$1)</f>
        <v>-0.2056345485</v>
      </c>
      <c r="I377" s="41">
        <f>UpdateHashtag!S375</f>
        <v>3.2</v>
      </c>
      <c r="J377" s="53">
        <f>IF(TYPE($A377)=1,"",(UpdateHashtag!K375-J$1)/J$2*K377/$K$1)</f>
        <v>0.0664460704</v>
      </c>
      <c r="K377" s="55">
        <f>UpdateHashtag!T375</f>
        <v>0.7</v>
      </c>
      <c r="L377" s="41">
        <f>IF(TYPE($A377)=1,"",-(UpdateHashtag!R375-L$1)/L$2)</f>
        <v>1.238588102</v>
      </c>
      <c r="N377" s="5">
        <v>357.0</v>
      </c>
      <c r="O377" s="170" t="str">
        <f t="array" ref="O377">INDIRECT("Update"&amp;Projections!$AG$17&amp;"!B"&amp;ROW(B358))</f>
        <v/>
      </c>
      <c r="P377" s="172" t="str">
        <f t="array" ref="P377">INDIRECT("Update"&amp;Projections!$AG$17&amp;"!C"&amp;ROW(B358))</f>
        <v>Adem Bona</v>
      </c>
      <c r="Q377" s="170" t="str">
        <f>UpdateHashtag!F420</f>
        <v/>
      </c>
      <c r="R377" s="177">
        <f>IF(UpdateHashtag!D420="",ROW(UpdateHashtag!D420),UpdateHashtag!D420)</f>
        <v>420</v>
      </c>
      <c r="S377" s="124">
        <f t="shared" si="1"/>
        <v>-9.264205905</v>
      </c>
      <c r="T377" s="124">
        <f>SUM(AE377:AM377)-IFERROR(IFS(Projections!$I$17,AN377,Projections!$J$17,AO377),"")</f>
        <v>-9.497288446</v>
      </c>
      <c r="U377" s="124">
        <f t="shared" si="2"/>
        <v>-0.2330825415</v>
      </c>
      <c r="V377" s="124">
        <f t="array" ref="V377">INDIRECT("Update"&amp;Projections!$AG$17&amp;"!M"&amp;ROW(B358))</f>
        <v>3.24125</v>
      </c>
      <c r="W377" s="124">
        <f t="array" ref="W377">INDIRECT("Update"&amp;Projections!$AG$17&amp;"!L"&amp;ROW(B358))</f>
        <v>0</v>
      </c>
      <c r="X377" s="124">
        <f t="array" ref="X377">INDIRECT("Update"&amp;Projections!$AG$17&amp;"!N"&amp;ROW(B358))</f>
        <v>2.695</v>
      </c>
      <c r="Y377" s="124">
        <f t="array" ref="Y377">INDIRECT("Update"&amp;Projections!$AG$17&amp;"!O"&amp;ROW(B358))</f>
        <v>0.514375</v>
      </c>
      <c r="Z377" s="124">
        <f t="array" ref="Z377">INDIRECT("Update"&amp;Projections!$AG$17&amp;"!P"&amp;ROW(B358))</f>
        <v>0.343125</v>
      </c>
      <c r="AA377" s="124">
        <f t="array" ref="AA377">INDIRECT("Update"&amp;Projections!$AG$17&amp;"!Q"&amp;ROW(B358))</f>
        <v>0.68625</v>
      </c>
      <c r="AB377" s="180">
        <f t="array" ref="AB377">INDIRECT("Update"&amp;Projections!$AG$17&amp;"!I"&amp;ROW(B358))</f>
        <v>0.5820652174</v>
      </c>
      <c r="AC377" s="180">
        <f t="array" ref="AC377">INDIRECT("Update"&amp;Projections!$AG$17&amp;"!K"&amp;ROW(B358))</f>
        <v>0.6797287114</v>
      </c>
      <c r="AD377" s="124">
        <f t="array" ref="AD377">INDIRECT("Update"&amp;Projections!$AG$17&amp;"!R"&amp;ROW(B358))</f>
        <v>0.80875</v>
      </c>
      <c r="AE377" s="124">
        <f t="shared" si="3"/>
        <v>-2.568177192</v>
      </c>
      <c r="AF377" s="124">
        <f t="shared" si="4"/>
        <v>-1.734552372</v>
      </c>
      <c r="AG377" s="124">
        <f t="shared" si="5"/>
        <v>-1.327911539</v>
      </c>
      <c r="AH377" s="124">
        <f t="shared" si="6"/>
        <v>-1.5526803</v>
      </c>
      <c r="AI377" s="124">
        <f t="shared" si="7"/>
        <v>-2.09374883</v>
      </c>
      <c r="AJ377" s="124">
        <f t="shared" si="8"/>
        <v>-0.1113293517</v>
      </c>
      <c r="AK377" s="124">
        <f t="shared" si="9"/>
        <v>0.2269126498</v>
      </c>
      <c r="AL377" s="124">
        <f t="shared" si="10"/>
        <v>-0.3358015121</v>
      </c>
      <c r="AM377" s="124">
        <f t="shared" si="11"/>
        <v>0</v>
      </c>
      <c r="AN377" s="183">
        <f t="shared" si="12"/>
        <v>-2.568177192</v>
      </c>
      <c r="AO377" s="183">
        <f t="shared" si="13"/>
        <v>-4.661926022</v>
      </c>
      <c r="AP377" s="183">
        <f t="array" ref="AP377">INDIRECT("Update"&amp;Projections!$AG$17&amp;"!S"&amp;ROW(B358))</f>
        <v>2.3</v>
      </c>
      <c r="AQ377" s="183">
        <f t="array" ref="AQ377">INDIRECT("Update"&amp;Projections!$AG$17&amp;"!T"&amp;ROW(B358))</f>
        <v>0.829375</v>
      </c>
    </row>
    <row r="378">
      <c r="A378" s="40" t="str">
        <f>IF(UpdateHashtag!C376="",ROW(UpdateHashtag!C376),UpdateHashtag!C376)</f>
        <v>AJ Green</v>
      </c>
      <c r="B378" s="41">
        <f>IF(TYPE($A378)=1,"",(UpdateHashtag!M376-B$1)/B$2)</f>
        <v>-2.341280406</v>
      </c>
      <c r="C378" s="41">
        <f>IF(TYPE($A378)=1,"",(UpdateHashtag!L376-C$1)/C$2)</f>
        <v>-0.5442381251</v>
      </c>
      <c r="D378" s="41">
        <f>IF(TYPE($A378)=1,"",(UpdateHashtag!N376-D$1)/D$2)</f>
        <v>-1.913812499</v>
      </c>
      <c r="E378" s="41">
        <f>IF(TYPE($A378)=1,"",(UpdateHashtag!O376-E$1)/E$2)</f>
        <v>-1.513794698</v>
      </c>
      <c r="F378" s="41">
        <f>IF(TYPE($A378)=1,"",(UpdateHashtag!P376-F$1)/F$2)</f>
        <v>-2.567251182</v>
      </c>
      <c r="G378" s="41">
        <f>IF(TYPE($A378)=1,"",(UpdateHashtag!Q376-G$1)/G$2)</f>
        <v>-1.335357671</v>
      </c>
      <c r="H378" s="41">
        <f>IF(TYPE($A378)=1,"",(UpdateHashtag!I376-H$1)/H$2*I378/$I$1)</f>
        <v>-0.2941208974</v>
      </c>
      <c r="I378" s="41">
        <f>UpdateHashtag!S376</f>
        <v>3.5</v>
      </c>
      <c r="J378" s="53">
        <f>IF(TYPE($A378)=1,"",(UpdateHashtag!K376-J$1)/J$2*K378/$K$1)</f>
        <v>0.1317609346</v>
      </c>
      <c r="K378" s="55">
        <f>UpdateHashtag!T376</f>
        <v>0.3</v>
      </c>
      <c r="L378" s="41">
        <f>IF(TYPE($A378)=1,"",-(UpdateHashtag!R376-L$1)/L$2)</f>
        <v>1.536166664</v>
      </c>
      <c r="N378" s="112">
        <v>358.0</v>
      </c>
      <c r="O378" s="170" t="str">
        <f t="array" ref="O378">INDIRECT("Update"&amp;Projections!$AG$17&amp;"!B"&amp;ROW(B359))</f>
        <v>#N/A</v>
      </c>
      <c r="P378" s="172" t="str">
        <f t="array" ref="P378">INDIRECT("Update"&amp;Projections!$AG$17&amp;"!C"&amp;ROW(B359))</f>
        <v>Vit Krejci</v>
      </c>
      <c r="Q378" s="170" t="str">
        <f>UpdateHashtag!F417</f>
        <v/>
      </c>
      <c r="R378" s="177">
        <f>IF(UpdateHashtag!D417="",ROW(UpdateHashtag!D417),UpdateHashtag!D417)</f>
        <v>417</v>
      </c>
      <c r="S378" s="124">
        <f t="shared" si="1"/>
        <v>-9.128105971</v>
      </c>
      <c r="T378" s="124">
        <f>SUM(AE378:AM378)-IFERROR(IFS(Projections!$I$17,AN378,Projections!$J$17,AO378),"")</f>
        <v>-9.413328455</v>
      </c>
      <c r="U378" s="124">
        <f t="shared" si="2"/>
        <v>-0.2852224838</v>
      </c>
      <c r="V378" s="124">
        <f t="array" ref="V378">INDIRECT("Update"&amp;Projections!$AG$17&amp;"!M"&amp;ROW(B359))</f>
        <v>3.760958904</v>
      </c>
      <c r="W378" s="124">
        <f t="array" ref="W378">INDIRECT("Update"&amp;Projections!$AG$17&amp;"!L"&amp;ROW(B359))</f>
        <v>0.7873972603</v>
      </c>
      <c r="X378" s="124">
        <f t="array" ref="X378">INDIRECT("Update"&amp;Projections!$AG$17&amp;"!N"&amp;ROW(B359))</f>
        <v>1.624931507</v>
      </c>
      <c r="Y378" s="124">
        <f t="array" ref="Y378">INDIRECT("Update"&amp;Projections!$AG$17&amp;"!O"&amp;ROW(B359))</f>
        <v>1.345205479</v>
      </c>
      <c r="Z378" s="124">
        <f t="array" ref="Z378">INDIRECT("Update"&amp;Projections!$AG$17&amp;"!P"&amp;ROW(B359))</f>
        <v>0.3998630137</v>
      </c>
      <c r="AA378" s="124">
        <f t="array" ref="AA378">INDIRECT("Update"&amp;Projections!$AG$17&amp;"!Q"&amp;ROW(B359))</f>
        <v>0.1891780822</v>
      </c>
      <c r="AB378" s="180">
        <f t="array" ref="AB378">INDIRECT("Update"&amp;Projections!$AG$17&amp;"!I"&amp;ROW(B359))</f>
        <v>0.4507097278</v>
      </c>
      <c r="AC378" s="180">
        <f t="array" ref="AC378">INDIRECT("Update"&amp;Projections!$AG$17&amp;"!K"&amp;ROW(B359))</f>
        <v>0.8168402778</v>
      </c>
      <c r="AD378" s="124">
        <f t="array" ref="AD378">INDIRECT("Update"&amp;Projections!$AG$17&amp;"!R"&amp;ROW(B359))</f>
        <v>0.5984931507</v>
      </c>
      <c r="AE378" s="124">
        <f t="shared" si="3"/>
        <v>-2.474496731</v>
      </c>
      <c r="AF378" s="124">
        <f t="shared" si="4"/>
        <v>-0.9535105579</v>
      </c>
      <c r="AG378" s="124">
        <f t="shared" si="5"/>
        <v>-1.747278868</v>
      </c>
      <c r="AH378" s="124">
        <f t="shared" si="6"/>
        <v>-1.175368267</v>
      </c>
      <c r="AI378" s="124">
        <f t="shared" si="7"/>
        <v>-1.9060417</v>
      </c>
      <c r="AJ378" s="124">
        <f t="shared" si="8"/>
        <v>-0.9979305962</v>
      </c>
      <c r="AK378" s="124">
        <f t="shared" si="9"/>
        <v>-0.1708208579</v>
      </c>
      <c r="AL378" s="124">
        <f t="shared" si="10"/>
        <v>0.01211912355</v>
      </c>
      <c r="AM378" s="124">
        <f t="shared" si="11"/>
        <v>0</v>
      </c>
      <c r="AN378" s="183">
        <f t="shared" si="12"/>
        <v>-2.474496731</v>
      </c>
      <c r="AO378" s="183">
        <f t="shared" si="13"/>
        <v>-4.380538431</v>
      </c>
      <c r="AP378" s="183">
        <f t="array" ref="AP378">INDIRECT("Update"&amp;Projections!$AG$17&amp;"!S"&amp;ROW(B359))</f>
        <v>3.155753425</v>
      </c>
      <c r="AQ378" s="183">
        <f t="array" ref="AQ378">INDIRECT("Update"&amp;Projections!$AG$17&amp;"!T"&amp;ROW(B359))</f>
        <v>0.1578082192</v>
      </c>
    </row>
    <row r="379">
      <c r="A379" s="40" t="str">
        <f>IF(UpdateHashtag!C377="",ROW(UpdateHashtag!C377),UpdateHashtag!C377)</f>
        <v>Isaiah Collier</v>
      </c>
      <c r="B379" s="41">
        <f>IF(TYPE($A379)=1,"",(UpdateHashtag!M377-B$1)/B$2)</f>
        <v>-2.016820257</v>
      </c>
      <c r="C379" s="41">
        <f>IF(TYPE($A379)=1,"",(UpdateHashtag!L377-C$1)/C$2)</f>
        <v>-1.337780956</v>
      </c>
      <c r="D379" s="41">
        <f>IF(TYPE($A379)=1,"",(UpdateHashtag!N377-D$1)/D$2)</f>
        <v>-1.953003198</v>
      </c>
      <c r="E379" s="41">
        <f>IF(TYPE($A379)=1,"",(UpdateHashtag!O377-E$1)/E$2)</f>
        <v>-1.014242448</v>
      </c>
      <c r="F379" s="41">
        <f>IF(TYPE($A379)=1,"",(UpdateHashtag!P377-F$1)/F$2)</f>
        <v>-1.243925831</v>
      </c>
      <c r="G379" s="41">
        <f>IF(TYPE($A379)=1,"",(UpdateHashtag!Q377-G$1)/G$2)</f>
        <v>-1.156992888</v>
      </c>
      <c r="H379" s="41">
        <f>IF(TYPE($A379)=1,"",(UpdateHashtag!I377-H$1)/H$2*I379/$I$1)</f>
        <v>-0.03269647014</v>
      </c>
      <c r="I379" s="41">
        <f>UpdateHashtag!S377</f>
        <v>4.5</v>
      </c>
      <c r="J379" s="53">
        <f>IF(TYPE($A379)=1,"",(UpdateHashtag!K377-J$1)/J$2*K379/$K$1)</f>
        <v>-1.001763919</v>
      </c>
      <c r="K379" s="55">
        <f>UpdateHashtag!T377</f>
        <v>2.3</v>
      </c>
      <c r="L379" s="41">
        <f>IF(TYPE($A379)=1,"",-(UpdateHashtag!R377-L$1)/L$2)</f>
        <v>0.4450452712</v>
      </c>
      <c r="N379" s="112">
        <v>359.0</v>
      </c>
      <c r="O379" s="170" t="str">
        <f t="array" ref="O379">INDIRECT("Update"&amp;Projections!$AG$17&amp;"!B"&amp;ROW(B360))</f>
        <v/>
      </c>
      <c r="P379" s="172" t="str">
        <f t="array" ref="P379">INDIRECT("Update"&amp;Projections!$AG$17&amp;"!C"&amp;ROW(B360))</f>
        <v>Seth Curry</v>
      </c>
      <c r="Q379" s="170" t="str">
        <f>UpdateHashtag!F416</f>
        <v/>
      </c>
      <c r="R379" s="177">
        <f>IF(UpdateHashtag!D416="",ROW(UpdateHashtag!D416),UpdateHashtag!D416)</f>
        <v>416</v>
      </c>
      <c r="S379" s="124">
        <f t="shared" si="1"/>
        <v>-9.035497617</v>
      </c>
      <c r="T379" s="124">
        <f>SUM(AE379:AM379)-IFERROR(IFS(Projections!$I$17,AN379,Projections!$J$17,AO379),"")</f>
        <v>-9.350217005</v>
      </c>
      <c r="U379" s="124">
        <f t="shared" si="2"/>
        <v>-0.3147193875</v>
      </c>
      <c r="V379" s="124">
        <f t="array" ref="V379">INDIRECT("Update"&amp;Projections!$AG$17&amp;"!M"&amp;ROW(B360))</f>
        <v>5.838636364</v>
      </c>
      <c r="W379" s="124">
        <f t="array" ref="W379">INDIRECT("Update"&amp;Projections!$AG$17&amp;"!L"&amp;ROW(B360))</f>
        <v>1.003636364</v>
      </c>
      <c r="X379" s="124">
        <f t="array" ref="X379">INDIRECT("Update"&amp;Projections!$AG$17&amp;"!N"&amp;ROW(B360))</f>
        <v>1.199545455</v>
      </c>
      <c r="Y379" s="124">
        <f t="array" ref="Y379">INDIRECT("Update"&amp;Projections!$AG$17&amp;"!O"&amp;ROW(B360))</f>
        <v>0.9159090909</v>
      </c>
      <c r="Z379" s="124">
        <f t="array" ref="Z379">INDIRECT("Update"&amp;Projections!$AG$17&amp;"!P"&amp;ROW(B360))</f>
        <v>0.4090909091</v>
      </c>
      <c r="AA379" s="124">
        <f t="array" ref="AA379">INDIRECT("Update"&amp;Projections!$AG$17&amp;"!Q"&amp;ROW(B360))</f>
        <v>0.08477272727</v>
      </c>
      <c r="AB379" s="180">
        <f t="array" ref="AB379">INDIRECT("Update"&amp;Projections!$AG$17&amp;"!I"&amp;ROW(B360))</f>
        <v>0.4316690055</v>
      </c>
      <c r="AC379" s="180">
        <f t="array" ref="AC379">INDIRECT("Update"&amp;Projections!$AG$17&amp;"!K"&amp;ROW(B360))</f>
        <v>0.9061728395</v>
      </c>
      <c r="AD379" s="124">
        <f t="array" ref="AD379">INDIRECT("Update"&amp;Projections!$AG$17&amp;"!R"&amp;ROW(B360))</f>
        <v>0.4795454545</v>
      </c>
      <c r="AE379" s="124">
        <f t="shared" si="3"/>
        <v>-2.099983654</v>
      </c>
      <c r="AF379" s="124">
        <f t="shared" si="4"/>
        <v>-0.7390168197</v>
      </c>
      <c r="AG379" s="124">
        <f t="shared" si="5"/>
        <v>-1.913990638</v>
      </c>
      <c r="AH379" s="124">
        <f t="shared" si="6"/>
        <v>-1.370328246</v>
      </c>
      <c r="AI379" s="124">
        <f t="shared" si="7"/>
        <v>-1.87551293</v>
      </c>
      <c r="AJ379" s="124">
        <f t="shared" si="8"/>
        <v>-1.18415298</v>
      </c>
      <c r="AK379" s="124">
        <f t="shared" si="9"/>
        <v>-0.3829646135</v>
      </c>
      <c r="AL379" s="124">
        <f t="shared" si="10"/>
        <v>0.215732877</v>
      </c>
      <c r="AM379" s="124">
        <f t="shared" si="11"/>
        <v>0</v>
      </c>
      <c r="AN379" s="183">
        <f t="shared" si="12"/>
        <v>-2.099983654</v>
      </c>
      <c r="AO379" s="183">
        <f t="shared" si="13"/>
        <v>-4.013974292</v>
      </c>
      <c r="AP379" s="183">
        <f t="array" ref="AP379">INDIRECT("Update"&amp;Projections!$AG$17&amp;"!S"&amp;ROW(B360))</f>
        <v>5.020681818</v>
      </c>
      <c r="AQ379" s="183">
        <f t="array" ref="AQ379">INDIRECT("Update"&amp;Projections!$AG$17&amp;"!T"&amp;ROW(B360))</f>
        <v>0.5522727273</v>
      </c>
    </row>
    <row r="380">
      <c r="A380" s="40" t="str">
        <f>IF(UpdateHashtag!C378="",ROW(UpdateHashtag!C378),UpdateHashtag!C378)</f>
        <v>Cory Joseph</v>
      </c>
      <c r="B380" s="41">
        <f>IF(TYPE($A380)=1,"",(UpdateHashtag!M378-B$1)/B$2)</f>
        <v>-2.503510481</v>
      </c>
      <c r="C380" s="41">
        <f>IF(TYPE($A380)=1,"",(UpdateHashtag!L378-C$1)/C$2)</f>
        <v>-1.139395249</v>
      </c>
      <c r="D380" s="41">
        <f>IF(TYPE($A380)=1,"",(UpdateHashtag!N378-D$1)/D$2)</f>
        <v>-1.992193898</v>
      </c>
      <c r="E380" s="41">
        <f>IF(TYPE($A380)=1,"",(UpdateHashtag!O378-E$1)/E$2)</f>
        <v>-0.9234147659</v>
      </c>
      <c r="F380" s="41">
        <f>IF(TYPE($A380)=1,"",(UpdateHashtag!P378-F$1)/F$2)</f>
        <v>-2.236419844</v>
      </c>
      <c r="G380" s="41">
        <f>IF(TYPE($A380)=1,"",(UpdateHashtag!Q378-G$1)/G$2)</f>
        <v>-1.156992888</v>
      </c>
      <c r="H380" s="41">
        <f>IF(TYPE($A380)=1,"",(UpdateHashtag!I378-H$1)/H$2*I380/$I$1)</f>
        <v>-0.2929592868</v>
      </c>
      <c r="I380" s="41">
        <f>UpdateHashtag!S378</f>
        <v>3.1</v>
      </c>
      <c r="J380" s="53">
        <f>IF(TYPE($A380)=1,"",(UpdateHashtag!K378-J$1)/J$2*K380/$K$1)</f>
        <v>-0.04000675953</v>
      </c>
      <c r="K380" s="55">
        <f>UpdateHashtag!T378</f>
        <v>0.6</v>
      </c>
      <c r="L380" s="41">
        <f>IF(TYPE($A380)=1,"",-(UpdateHashtag!R378-L$1)/L$2)</f>
        <v>1.238588102</v>
      </c>
      <c r="N380" s="5">
        <v>360.0</v>
      </c>
      <c r="O380" s="170" t="str">
        <f t="array" ref="O380">INDIRECT("Update"&amp;Projections!$AG$17&amp;"!B"&amp;ROW(B361))</f>
        <v/>
      </c>
      <c r="P380" s="172" t="str">
        <f t="array" ref="P380">INDIRECT("Update"&amp;Projections!$AG$17&amp;"!C"&amp;ROW(B361))</f>
        <v>Anthony Black</v>
      </c>
      <c r="Q380" s="170" t="str">
        <f>UpdateHashtag!F427</f>
        <v/>
      </c>
      <c r="R380" s="177">
        <f>IF(UpdateHashtag!D427="",ROW(UpdateHashtag!D427),UpdateHashtag!D427)</f>
        <v>427</v>
      </c>
      <c r="S380" s="124">
        <f t="shared" si="1"/>
        <v>-9.224891073</v>
      </c>
      <c r="T380" s="124">
        <f>SUM(AE380:AM380)-IFERROR(IFS(Projections!$I$17,AN380,Projections!$J$17,AO380),"")</f>
        <v>-9.402937716</v>
      </c>
      <c r="U380" s="124">
        <f t="shared" si="2"/>
        <v>-0.1780466433</v>
      </c>
      <c r="V380" s="124">
        <f t="array" ref="V380">INDIRECT("Update"&amp;Projections!$AG$17&amp;"!M"&amp;ROW(B361))</f>
        <v>5.134383562</v>
      </c>
      <c r="W380" s="124">
        <f t="array" ref="W380">INDIRECT("Update"&amp;Projections!$AG$17&amp;"!L"&amp;ROW(B361))</f>
        <v>0.6317808219</v>
      </c>
      <c r="X380" s="124">
        <f t="array" ref="X380">INDIRECT("Update"&amp;Projections!$AG$17&amp;"!N"&amp;ROW(B361))</f>
        <v>2.061232877</v>
      </c>
      <c r="Y380" s="124">
        <f t="array" ref="Y380">INDIRECT("Update"&amp;Projections!$AG$17&amp;"!O"&amp;ROW(B361))</f>
        <v>1.717671233</v>
      </c>
      <c r="Z380" s="124">
        <f t="array" ref="Z380">INDIRECT("Update"&amp;Projections!$AG$17&amp;"!P"&amp;ROW(B361))</f>
        <v>0.4901369863</v>
      </c>
      <c r="AA380" s="124">
        <f t="array" ref="AA380">INDIRECT("Update"&amp;Projections!$AG$17&amp;"!Q"&amp;ROW(B361))</f>
        <v>0.2717808219</v>
      </c>
      <c r="AB380" s="180">
        <f t="array" ref="AB380">INDIRECT("Update"&amp;Projections!$AG$17&amp;"!I"&amp;ROW(B361))</f>
        <v>0.4495848161</v>
      </c>
      <c r="AC380" s="180">
        <f t="array" ref="AC380">INDIRECT("Update"&amp;Projections!$AG$17&amp;"!K"&amp;ROW(B361))</f>
        <v>0.6130272408</v>
      </c>
      <c r="AD380" s="124">
        <f t="array" ref="AD380">INDIRECT("Update"&amp;Projections!$AG$17&amp;"!R"&amp;ROW(B361))</f>
        <v>1.030684932</v>
      </c>
      <c r="AE380" s="124">
        <f t="shared" si="3"/>
        <v>-2.226929192</v>
      </c>
      <c r="AF380" s="124">
        <f t="shared" si="4"/>
        <v>-1.107870944</v>
      </c>
      <c r="AG380" s="124">
        <f t="shared" si="5"/>
        <v>-1.576289309</v>
      </c>
      <c r="AH380" s="124">
        <f t="shared" si="6"/>
        <v>-1.006217262</v>
      </c>
      <c r="AI380" s="124">
        <f t="shared" si="7"/>
        <v>-1.607387109</v>
      </c>
      <c r="AJ380" s="124">
        <f t="shared" si="8"/>
        <v>-0.8505963993</v>
      </c>
      <c r="AK380" s="124">
        <f t="shared" si="9"/>
        <v>-0.2304719836</v>
      </c>
      <c r="AL380" s="124">
        <f t="shared" si="10"/>
        <v>-0.797175517</v>
      </c>
      <c r="AM380" s="124">
        <f t="shared" si="11"/>
        <v>0</v>
      </c>
      <c r="AN380" s="183">
        <f t="shared" si="12"/>
        <v>-2.226929192</v>
      </c>
      <c r="AO380" s="183">
        <f t="shared" si="13"/>
        <v>-3.834316301</v>
      </c>
      <c r="AP380" s="183">
        <f t="array" ref="AP380">INDIRECT("Update"&amp;Projections!$AG$17&amp;"!S"&amp;ROW(B361))</f>
        <v>4.157260274</v>
      </c>
      <c r="AQ380" s="183">
        <f t="array" ref="AQ380">INDIRECT("Update"&amp;Projections!$AG$17&amp;"!T"&amp;ROW(B361))</f>
        <v>1.247123288</v>
      </c>
    </row>
    <row r="381">
      <c r="A381" s="40" t="str">
        <f>IF(UpdateHashtag!C379="",ROW(UpdateHashtag!C379),UpdateHashtag!C379)</f>
        <v>DeAndre Jordan</v>
      </c>
      <c r="B381" s="41">
        <f>IF(TYPE($A381)=1,"",(UpdateHashtag!M379-B$1)/B$2)</f>
        <v>-2.521536045</v>
      </c>
      <c r="C381" s="41">
        <f>IF(TYPE($A381)=1,"",(UpdateHashtag!L379-C$1)/C$2)</f>
        <v>-1.734552372</v>
      </c>
      <c r="D381" s="41">
        <f>IF(TYPE($A381)=1,"",(UpdateHashtag!N379-D$1)/D$2)</f>
        <v>-0.9340450079</v>
      </c>
      <c r="E381" s="41">
        <f>IF(TYPE($A381)=1,"",(UpdateHashtag!O379-E$1)/E$2)</f>
        <v>-1.513794698</v>
      </c>
      <c r="F381" s="41">
        <f>IF(TYPE($A381)=1,"",(UpdateHashtag!P379-F$1)/F$2)</f>
        <v>-2.567251182</v>
      </c>
      <c r="G381" s="41">
        <f>IF(TYPE($A381)=1,"",(UpdateHashtag!Q379-G$1)/G$2)</f>
        <v>-0.6218985413</v>
      </c>
      <c r="H381" s="41">
        <f>IF(TYPE($A381)=1,"",(UpdateHashtag!I379-H$1)/H$2*I381/$I$1)</f>
        <v>0.4976958746</v>
      </c>
      <c r="I381" s="41">
        <f>UpdateHashtag!S379</f>
        <v>2.1</v>
      </c>
      <c r="J381" s="53">
        <f>IF(TYPE($A381)=1,"",(UpdateHashtag!K379-J$1)/J$2*K381/$K$1)</f>
        <v>-1.138162096</v>
      </c>
      <c r="K381" s="55">
        <f>UpdateHashtag!T379</f>
        <v>1</v>
      </c>
      <c r="L381" s="41">
        <f>IF(TYPE($A381)=1,"",-(UpdateHashtag!R379-L$1)/L$2)</f>
        <v>1.040202395</v>
      </c>
      <c r="N381" s="5">
        <v>361.0</v>
      </c>
      <c r="O381" s="170" t="str">
        <f t="array" ref="O381">INDIRECT("Update"&amp;Projections!$AG$17&amp;"!B"&amp;ROW(B362))</f>
        <v/>
      </c>
      <c r="P381" s="172" t="str">
        <f t="array" ref="P381">INDIRECT("Update"&amp;Projections!$AG$17&amp;"!C"&amp;ROW(B362))</f>
        <v>Jeremiah Robinson-Earl</v>
      </c>
      <c r="Q381" s="170" t="str">
        <f>UpdateHashtag!F415</f>
        <v/>
      </c>
      <c r="R381" s="177">
        <f>IF(UpdateHashtag!D415="",ROW(UpdateHashtag!D415),UpdateHashtag!D415)</f>
        <v>415</v>
      </c>
      <c r="S381" s="124">
        <f t="shared" si="1"/>
        <v>-9.158675452</v>
      </c>
      <c r="T381" s="124">
        <f>SUM(AE381:AM381)-IFERROR(IFS(Projections!$I$17,AN381,Projections!$J$17,AO381),"")</f>
        <v>-9.483940076</v>
      </c>
      <c r="U381" s="124">
        <f t="shared" si="2"/>
        <v>-0.3252646239</v>
      </c>
      <c r="V381" s="124">
        <f t="array" ref="V381">INDIRECT("Update"&amp;Projections!$AG$17&amp;"!M"&amp;ROW(B362))</f>
        <v>4.56893617</v>
      </c>
      <c r="W381" s="124">
        <f t="array" ref="W381">INDIRECT("Update"&amp;Projections!$AG$17&amp;"!L"&amp;ROW(B362))</f>
        <v>0.5225531915</v>
      </c>
      <c r="X381" s="124">
        <f t="array" ref="X381">INDIRECT("Update"&amp;Projections!$AG$17&amp;"!N"&amp;ROW(B362))</f>
        <v>3.118510638</v>
      </c>
      <c r="Y381" s="124">
        <f t="array" ref="Y381">INDIRECT("Update"&amp;Projections!$AG$17&amp;"!O"&amp;ROW(B362))</f>
        <v>0.6842553191</v>
      </c>
      <c r="Z381" s="124">
        <f t="array" ref="Z381">INDIRECT("Update"&amp;Projections!$AG$17&amp;"!P"&amp;ROW(B362))</f>
        <v>0.3685106383</v>
      </c>
      <c r="AA381" s="124">
        <f t="array" ref="AA381">INDIRECT("Update"&amp;Projections!$AG$17&amp;"!Q"&amp;ROW(B362))</f>
        <v>0.175106383</v>
      </c>
      <c r="AB381" s="180">
        <f t="array" ref="AB381">INDIRECT("Update"&amp;Projections!$AG$17&amp;"!I"&amp;ROW(B362))</f>
        <v>0.4549647458</v>
      </c>
      <c r="AC381" s="180">
        <f t="array" ref="AC381">INDIRECT("Update"&amp;Projections!$AG$17&amp;"!K"&amp;ROW(B362))</f>
        <v>0.7561174551</v>
      </c>
      <c r="AD381" s="124">
        <f t="array" ref="AD381">INDIRECT("Update"&amp;Projections!$AG$17&amp;"!R"&amp;ROW(B362))</f>
        <v>0.4370212766</v>
      </c>
      <c r="AE381" s="124">
        <f t="shared" si="3"/>
        <v>-2.328854273</v>
      </c>
      <c r="AF381" s="124">
        <f t="shared" si="4"/>
        <v>-1.216216948</v>
      </c>
      <c r="AG381" s="124">
        <f t="shared" si="5"/>
        <v>-1.161934757</v>
      </c>
      <c r="AH381" s="124">
        <f t="shared" si="6"/>
        <v>-1.475531122</v>
      </c>
      <c r="AI381" s="124">
        <f t="shared" si="7"/>
        <v>-2.009765183</v>
      </c>
      <c r="AJ381" s="124">
        <f t="shared" si="8"/>
        <v>-1.023029552</v>
      </c>
      <c r="AK381" s="124">
        <f t="shared" si="9"/>
        <v>-0.1973820429</v>
      </c>
      <c r="AL381" s="124">
        <f t="shared" si="10"/>
        <v>-0.0712261979</v>
      </c>
      <c r="AM381" s="124">
        <f t="shared" si="11"/>
        <v>0</v>
      </c>
      <c r="AN381" s="183">
        <f t="shared" si="12"/>
        <v>-2.328854273</v>
      </c>
      <c r="AO381" s="183">
        <f t="shared" si="13"/>
        <v>-4.338619456</v>
      </c>
      <c r="AP381" s="183">
        <f t="array" ref="AP381">INDIRECT("Update"&amp;Projections!$AG$17&amp;"!S"&amp;ROW(B362))</f>
        <v>4.013404255</v>
      </c>
      <c r="AQ381" s="183">
        <f t="array" ref="AQ381">INDIRECT("Update"&amp;Projections!$AG$17&amp;"!T"&amp;ROW(B362))</f>
        <v>0.5217021277</v>
      </c>
    </row>
    <row r="382">
      <c r="A382" s="40" t="str">
        <f>IF(UpdateHashtag!C380="",ROW(UpdateHashtag!C380),UpdateHashtag!C380)</f>
        <v>Pelle Larsson</v>
      </c>
      <c r="B382" s="41">
        <f>IF(TYPE($A382)=1,"",(UpdateHashtag!M380-B$1)/B$2)</f>
        <v>-2.431408226</v>
      </c>
      <c r="C382" s="41">
        <f>IF(TYPE($A382)=1,"",(UpdateHashtag!L380-C$1)/C$2)</f>
        <v>-1.337780956</v>
      </c>
      <c r="D382" s="41">
        <f>IF(TYPE($A382)=1,"",(UpdateHashtag!N380-D$1)/D$2)</f>
        <v>-1.874621799</v>
      </c>
      <c r="E382" s="41">
        <f>IF(TYPE($A382)=1,"",(UpdateHashtag!O380-E$1)/E$2)</f>
        <v>-1.241311653</v>
      </c>
      <c r="F382" s="41">
        <f>IF(TYPE($A382)=1,"",(UpdateHashtag!P380-F$1)/F$2)</f>
        <v>-2.236419844</v>
      </c>
      <c r="G382" s="41">
        <f>IF(TYPE($A382)=1,"",(UpdateHashtag!Q380-G$1)/G$2)</f>
        <v>-1.156992888</v>
      </c>
      <c r="H382" s="41">
        <f>IF(TYPE($A382)=1,"",(UpdateHashtag!I380-H$1)/H$2*I382/$I$1)</f>
        <v>0.06831712832</v>
      </c>
      <c r="I382" s="41">
        <f>UpdateHashtag!S380</f>
        <v>2.7</v>
      </c>
      <c r="J382" s="53">
        <f>IF(TYPE($A382)=1,"",(UpdateHashtag!K380-J$1)/J$2*K382/$K$1)</f>
        <v>-0.1580175662</v>
      </c>
      <c r="K382" s="55">
        <f>UpdateHashtag!T380</f>
        <v>1</v>
      </c>
      <c r="L382" s="41">
        <f>IF(TYPE($A382)=1,"",-(UpdateHashtag!R380-L$1)/L$2)</f>
        <v>1.139395249</v>
      </c>
      <c r="N382" s="112">
        <v>362.0</v>
      </c>
      <c r="O382" s="170" t="str">
        <f t="array" ref="O382">INDIRECT("Update"&amp;Projections!$AG$17&amp;"!B"&amp;ROW(B363))</f>
        <v/>
      </c>
      <c r="P382" s="172" t="str">
        <f t="array" ref="P382">INDIRECT("Update"&amp;Projections!$AG$17&amp;"!C"&amp;ROW(B363))</f>
        <v>Jordan Hawkins</v>
      </c>
      <c r="Q382" s="170" t="str">
        <f>UpdateHashtag!F428</f>
        <v/>
      </c>
      <c r="R382" s="177">
        <f>IF(UpdateHashtag!D428="",ROW(UpdateHashtag!D428),UpdateHashtag!D428)</f>
        <v>428</v>
      </c>
      <c r="S382" s="124">
        <f t="shared" si="1"/>
        <v>-9.04805302</v>
      </c>
      <c r="T382" s="124">
        <f>SUM(AE382:AM382)-IFERROR(IFS(Projections!$I$17,AN382,Projections!$J$17,AO382),"")</f>
        <v>-9.333954907</v>
      </c>
      <c r="U382" s="124">
        <f t="shared" si="2"/>
        <v>-0.2859018869</v>
      </c>
      <c r="V382" s="124">
        <f t="array" ref="V382">INDIRECT("Update"&amp;Projections!$AG$17&amp;"!M"&amp;ROW(B363))</f>
        <v>6.85630137</v>
      </c>
      <c r="W382" s="124">
        <f t="array" ref="W382">INDIRECT("Update"&amp;Projections!$AG$17&amp;"!L"&amp;ROW(B363))</f>
        <v>1.42109589</v>
      </c>
      <c r="X382" s="124">
        <f t="array" ref="X382">INDIRECT("Update"&amp;Projections!$AG$17&amp;"!N"&amp;ROW(B363))</f>
        <v>2.138767123</v>
      </c>
      <c r="Y382" s="124">
        <f t="array" ref="Y382">INDIRECT("Update"&amp;Projections!$AG$17&amp;"!O"&amp;ROW(B363))</f>
        <v>0.8064383562</v>
      </c>
      <c r="Z382" s="124">
        <f t="array" ref="Z382">INDIRECT("Update"&amp;Projections!$AG$17&amp;"!P"&amp;ROW(B363))</f>
        <v>0.2457534247</v>
      </c>
      <c r="AA382" s="124">
        <f t="array" ref="AA382">INDIRECT("Update"&amp;Projections!$AG$17&amp;"!Q"&amp;ROW(B363))</f>
        <v>0.1050684932</v>
      </c>
      <c r="AB382" s="180">
        <f t="array" ref="AB382">INDIRECT("Update"&amp;Projections!$AG$17&amp;"!I"&amp;ROW(B363))</f>
        <v>0.3943530944</v>
      </c>
      <c r="AC382" s="180">
        <f t="array" ref="AC382">INDIRECT("Update"&amp;Projections!$AG$17&amp;"!K"&amp;ROW(B363))</f>
        <v>0.8379360465</v>
      </c>
      <c r="AD382" s="124">
        <f t="array" ref="AD382">INDIRECT("Update"&amp;Projections!$AG$17&amp;"!R"&amp;ROW(B363))</f>
        <v>0.5957534247</v>
      </c>
      <c r="AE382" s="124">
        <f t="shared" si="3"/>
        <v>-1.916543798</v>
      </c>
      <c r="AF382" s="124">
        <f t="shared" si="4"/>
        <v>-0.3249268019</v>
      </c>
      <c r="AG382" s="124">
        <f t="shared" si="5"/>
        <v>-1.545903095</v>
      </c>
      <c r="AH382" s="124">
        <f t="shared" si="6"/>
        <v>-1.420043112</v>
      </c>
      <c r="AI382" s="124">
        <f t="shared" si="7"/>
        <v>-2.415884515</v>
      </c>
      <c r="AJ382" s="124">
        <f t="shared" si="8"/>
        <v>-1.147952482</v>
      </c>
      <c r="AK382" s="124">
        <f t="shared" si="9"/>
        <v>-0.7049260566</v>
      </c>
      <c r="AL382" s="124">
        <f t="shared" si="10"/>
        <v>0.1422249531</v>
      </c>
      <c r="AM382" s="124">
        <f t="shared" si="11"/>
        <v>0</v>
      </c>
      <c r="AN382" s="183">
        <f t="shared" si="12"/>
        <v>-2.415884515</v>
      </c>
      <c r="AO382" s="183">
        <f t="shared" si="13"/>
        <v>-4.332428313</v>
      </c>
      <c r="AP382" s="183">
        <f t="array" ref="AP382">INDIRECT("Update"&amp;Projections!$AG$17&amp;"!S"&amp;ROW(B363))</f>
        <v>5.89</v>
      </c>
      <c r="AQ382" s="183">
        <f t="array" ref="AQ382">INDIRECT("Update"&amp;Projections!$AG$17&amp;"!T"&amp;ROW(B363))</f>
        <v>0.9424657534</v>
      </c>
    </row>
    <row r="383">
      <c r="A383" s="40" t="str">
        <f>IF(UpdateHashtag!C381="",ROW(UpdateHashtag!C381),UpdateHashtag!C381)</f>
        <v>Keita Bates-Diop</v>
      </c>
      <c r="B383" s="41">
        <f>IF(TYPE($A383)=1,"",(UpdateHashtag!M381-B$1)/B$2)</f>
        <v>-2.521536045</v>
      </c>
      <c r="C383" s="41">
        <f>IF(TYPE($A383)=1,"",(UpdateHashtag!L381-C$1)/C$2)</f>
        <v>-1.43697381</v>
      </c>
      <c r="D383" s="41">
        <f>IF(TYPE($A383)=1,"",(UpdateHashtag!N381-D$1)/D$2)</f>
        <v>-1.7962404</v>
      </c>
      <c r="E383" s="41">
        <f>IF(TYPE($A383)=1,"",(UpdateHashtag!O381-E$1)/E$2)</f>
        <v>-1.513794698</v>
      </c>
      <c r="F383" s="41">
        <f>IF(TYPE($A383)=1,"",(UpdateHashtag!P381-F$1)/F$2)</f>
        <v>-2.236419844</v>
      </c>
      <c r="G383" s="41">
        <f>IF(TYPE($A383)=1,"",(UpdateHashtag!Q381-G$1)/G$2)</f>
        <v>-0.978628106</v>
      </c>
      <c r="H383" s="41">
        <f>IF(TYPE($A383)=1,"",(UpdateHashtag!I381-H$1)/H$2*I383/$I$1)</f>
        <v>-0.03218002643</v>
      </c>
      <c r="I383" s="41">
        <f>UpdateHashtag!S381</f>
        <v>2.7</v>
      </c>
      <c r="J383" s="53">
        <f>IF(TYPE($A383)=1,"",(UpdateHashtag!K381-J$1)/J$2*K383/$K$1)</f>
        <v>-0.04772144551</v>
      </c>
      <c r="K383" s="55">
        <f>UpdateHashtag!T381</f>
        <v>0.8</v>
      </c>
      <c r="L383" s="41">
        <f>IF(TYPE($A383)=1,"",-(UpdateHashtag!R381-L$1)/L$2)</f>
        <v>1.43697381</v>
      </c>
      <c r="N383" s="112">
        <v>363.0</v>
      </c>
      <c r="O383" s="170" t="str">
        <f t="array" ref="O383">INDIRECT("Update"&amp;Projections!$AG$17&amp;"!B"&amp;ROW(B364))</f>
        <v/>
      </c>
      <c r="P383" s="172" t="str">
        <f t="array" ref="P383">INDIRECT("Update"&amp;Projections!$AG$17&amp;"!C"&amp;ROW(B364))</f>
        <v>Jock Landale</v>
      </c>
      <c r="Q383" s="170" t="str">
        <f>UpdateHashtag!F414</f>
        <v/>
      </c>
      <c r="R383" s="177">
        <f>IF(UpdateHashtag!D414="",ROW(UpdateHashtag!D414),UpdateHashtag!D414)</f>
        <v>414</v>
      </c>
      <c r="S383" s="124">
        <f t="shared" si="1"/>
        <v>-9.330541888</v>
      </c>
      <c r="T383" s="124">
        <f>SUM(AE383:AM383)-IFERROR(IFS(Projections!$I$17,AN383,Projections!$J$17,AO383),"")</f>
        <v>-9.625309986</v>
      </c>
      <c r="U383" s="124">
        <f t="shared" si="2"/>
        <v>-0.2947680975</v>
      </c>
      <c r="V383" s="124">
        <f t="array" ref="V383">INDIRECT("Update"&amp;Projections!$AG$17&amp;"!M"&amp;ROW(B364))</f>
        <v>4.1975</v>
      </c>
      <c r="W383" s="124">
        <f t="array" ref="W383">INDIRECT("Update"&amp;Projections!$AG$17&amp;"!L"&amp;ROW(B364))</f>
        <v>0.188125</v>
      </c>
      <c r="X383" s="124">
        <f t="array" ref="X383">INDIRECT("Update"&amp;Projections!$AG$17&amp;"!N"&amp;ROW(B364))</f>
        <v>2.600625</v>
      </c>
      <c r="Y383" s="124">
        <f t="array" ref="Y383">INDIRECT("Update"&amp;Projections!$AG$17&amp;"!O"&amp;ROW(B364))</f>
        <v>0.915</v>
      </c>
      <c r="Z383" s="124">
        <f t="array" ref="Z383">INDIRECT("Update"&amp;Projections!$AG$17&amp;"!P"&amp;ROW(B364))</f>
        <v>0.248125</v>
      </c>
      <c r="AA383" s="124">
        <f t="array" ref="AA383">INDIRECT("Update"&amp;Projections!$AG$17&amp;"!Q"&amp;ROW(B364))</f>
        <v>0.433125</v>
      </c>
      <c r="AB383" s="180">
        <f t="array" ref="AB383">INDIRECT("Update"&amp;Projections!$AG$17&amp;"!I"&amp;ROW(B364))</f>
        <v>0.5327214685</v>
      </c>
      <c r="AC383" s="180">
        <f t="array" ref="AC383">INDIRECT("Update"&amp;Projections!$AG$17&amp;"!K"&amp;ROW(B364))</f>
        <v>0.7613314448</v>
      </c>
      <c r="AD383" s="124">
        <f t="array" ref="AD383">INDIRECT("Update"&amp;Projections!$AG$17&amp;"!R"&amp;ROW(B364))</f>
        <v>0.56</v>
      </c>
      <c r="AE383" s="124">
        <f t="shared" si="3"/>
        <v>-2.395807737</v>
      </c>
      <c r="AF383" s="124">
        <f t="shared" si="4"/>
        <v>-1.547945816</v>
      </c>
      <c r="AG383" s="124">
        <f t="shared" si="5"/>
        <v>-1.364897762</v>
      </c>
      <c r="AH383" s="124">
        <f t="shared" si="6"/>
        <v>-1.370741099</v>
      </c>
      <c r="AI383" s="124">
        <f t="shared" si="7"/>
        <v>-2.408038601</v>
      </c>
      <c r="AJ383" s="124">
        <f t="shared" si="8"/>
        <v>-0.5628152071</v>
      </c>
      <c r="AK383" s="124">
        <f t="shared" si="9"/>
        <v>0.12925611</v>
      </c>
      <c r="AL383" s="124">
        <f t="shared" si="10"/>
        <v>-0.1043198737</v>
      </c>
      <c r="AM383" s="124">
        <f t="shared" si="11"/>
        <v>0</v>
      </c>
      <c r="AN383" s="183">
        <f t="shared" si="12"/>
        <v>-2.408038601</v>
      </c>
      <c r="AO383" s="183">
        <f t="shared" si="13"/>
        <v>-4.803846338</v>
      </c>
      <c r="AP383" s="183">
        <f t="array" ref="AP383">INDIRECT("Update"&amp;Projections!$AG$17&amp;"!S"&amp;ROW(B364))</f>
        <v>3.1325</v>
      </c>
      <c r="AQ383" s="183">
        <f t="array" ref="AQ383">INDIRECT("Update"&amp;Projections!$AG$17&amp;"!T"&amp;ROW(B364))</f>
        <v>0.8825</v>
      </c>
    </row>
    <row r="384">
      <c r="A384" s="40" t="str">
        <f>IF(UpdateHashtag!C382="",ROW(UpdateHashtag!C382),UpdateHashtag!C382)</f>
        <v>Johnny Juzang</v>
      </c>
      <c r="B384" s="41">
        <f>IF(TYPE($A384)=1,"",(UpdateHashtag!M382-B$1)/B$2)</f>
        <v>-2.106948076</v>
      </c>
      <c r="C384" s="41">
        <f>IF(TYPE($A384)=1,"",(UpdateHashtag!L382-C$1)/C$2)</f>
        <v>-0.5442381251</v>
      </c>
      <c r="D384" s="41">
        <f>IF(TYPE($A384)=1,"",(UpdateHashtag!N382-D$1)/D$2)</f>
        <v>-1.639477601</v>
      </c>
      <c r="E384" s="41">
        <f>IF(TYPE($A384)=1,"",(UpdateHashtag!O382-E$1)/E$2)</f>
        <v>-1.422967016</v>
      </c>
      <c r="F384" s="41">
        <f>IF(TYPE($A384)=1,"",(UpdateHashtag!P382-F$1)/F$2)</f>
        <v>-2.567251182</v>
      </c>
      <c r="G384" s="41">
        <f>IF(TYPE($A384)=1,"",(UpdateHashtag!Q382-G$1)/G$2)</f>
        <v>-1.156992888</v>
      </c>
      <c r="H384" s="41">
        <f>IF(TYPE($A384)=1,"",(UpdateHashtag!I382-H$1)/H$2*I384/$I$1)</f>
        <v>-0.5871724617</v>
      </c>
      <c r="I384" s="41">
        <f>UpdateHashtag!S382</f>
        <v>5.3</v>
      </c>
      <c r="J384" s="53">
        <f>IF(TYPE($A384)=1,"",(UpdateHashtag!K382-J$1)/J$2*K384/$K$1)</f>
        <v>-0.2248008906</v>
      </c>
      <c r="K384" s="55">
        <f>UpdateHashtag!T382</f>
        <v>0.5</v>
      </c>
      <c r="L384" s="41">
        <f>IF(TYPE($A384)=1,"",-(UpdateHashtag!R382-L$1)/L$2)</f>
        <v>1.337780956</v>
      </c>
      <c r="N384" s="5">
        <v>364.0</v>
      </c>
      <c r="O384" s="170" t="str">
        <f t="array" ref="O384">INDIRECT("Update"&amp;Projections!$AG$17&amp;"!B"&amp;ROW(B365))</f>
        <v/>
      </c>
      <c r="P384" s="172" t="str">
        <f t="array" ref="P384">INDIRECT("Update"&amp;Projections!$AG$17&amp;"!C"&amp;ROW(B365))</f>
        <v>Nick Smith Jr.</v>
      </c>
      <c r="Q384" s="170" t="str">
        <f>UpdateHashtag!F410</f>
        <v/>
      </c>
      <c r="R384" s="177">
        <f>IF(UpdateHashtag!D410="",ROW(UpdateHashtag!D410),UpdateHashtag!D410)</f>
        <v>410</v>
      </c>
      <c r="S384" s="124">
        <f t="shared" si="1"/>
        <v>-9.076708549</v>
      </c>
      <c r="T384" s="124">
        <f>SUM(AE384:AM384)-IFERROR(IFS(Projections!$I$17,AN384,Projections!$J$17,AO384),"")</f>
        <v>-9.306000662</v>
      </c>
      <c r="U384" s="124">
        <f t="shared" si="2"/>
        <v>-0.2292921128</v>
      </c>
      <c r="V384" s="124">
        <f t="array" ref="V384">INDIRECT("Update"&amp;Projections!$AG$17&amp;"!M"&amp;ROW(B365))</f>
        <v>7.456491228</v>
      </c>
      <c r="W384" s="124">
        <f t="array" ref="W384">INDIRECT("Update"&amp;Projections!$AG$17&amp;"!L"&amp;ROW(B365))</f>
        <v>1.336491228</v>
      </c>
      <c r="X384" s="124">
        <f t="array" ref="X384">INDIRECT("Update"&amp;Projections!$AG$17&amp;"!N"&amp;ROW(B365))</f>
        <v>1.634385965</v>
      </c>
      <c r="Y384" s="124">
        <f t="array" ref="Y384">INDIRECT("Update"&amp;Projections!$AG$17&amp;"!O"&amp;ROW(B365))</f>
        <v>1.579298246</v>
      </c>
      <c r="Z384" s="124">
        <f t="array" ref="Z384">INDIRECT("Update"&amp;Projections!$AG$17&amp;"!P"&amp;ROW(B365))</f>
        <v>0.248245614</v>
      </c>
      <c r="AA384" s="124">
        <f t="array" ref="AA384">INDIRECT("Update"&amp;Projections!$AG$17&amp;"!Q"&amp;ROW(B365))</f>
        <v>0.1689473684</v>
      </c>
      <c r="AB384" s="180">
        <f t="array" ref="AB384">INDIRECT("Update"&amp;Projections!$AG$17&amp;"!I"&amp;ROW(B365))</f>
        <v>0.3893685979</v>
      </c>
      <c r="AC384" s="180">
        <f t="array" ref="AC384">INDIRECT("Update"&amp;Projections!$AG$17&amp;"!K"&amp;ROW(B365))</f>
        <v>0.8634167765</v>
      </c>
      <c r="AD384" s="124">
        <f t="array" ref="AD384">INDIRECT("Update"&amp;Projections!$AG$17&amp;"!R"&amp;ROW(B365))</f>
        <v>0.8240350877</v>
      </c>
      <c r="AE384" s="124">
        <f t="shared" si="3"/>
        <v>-1.808356192</v>
      </c>
      <c r="AF384" s="124">
        <f t="shared" si="4"/>
        <v>-0.4088485807</v>
      </c>
      <c r="AG384" s="124">
        <f t="shared" si="5"/>
        <v>-1.7435736</v>
      </c>
      <c r="AH384" s="124">
        <f t="shared" si="6"/>
        <v>-1.06905775</v>
      </c>
      <c r="AI384" s="124">
        <f t="shared" si="7"/>
        <v>-2.407639572</v>
      </c>
      <c r="AJ384" s="124">
        <f t="shared" si="8"/>
        <v>-1.034015065</v>
      </c>
      <c r="AK384" s="124">
        <f t="shared" si="9"/>
        <v>-0.9305524421</v>
      </c>
      <c r="AL384" s="124">
        <f t="shared" si="10"/>
        <v>0.09604254008</v>
      </c>
      <c r="AM384" s="124">
        <f t="shared" si="11"/>
        <v>0</v>
      </c>
      <c r="AN384" s="183">
        <f t="shared" si="12"/>
        <v>-2.407639572</v>
      </c>
      <c r="AO384" s="183">
        <f t="shared" si="13"/>
        <v>-4.215995764</v>
      </c>
      <c r="AP384" s="183">
        <f t="array" ref="AP384">INDIRECT("Update"&amp;Projections!$AG$17&amp;"!S"&amp;ROW(B365))</f>
        <v>7.415964912</v>
      </c>
      <c r="AQ384" s="183">
        <f t="array" ref="AQ384">INDIRECT("Update"&amp;Projections!$AG$17&amp;"!T"&amp;ROW(B365))</f>
        <v>0.3994736842</v>
      </c>
    </row>
    <row r="385">
      <c r="A385" s="40" t="str">
        <f>IF(UpdateHashtag!C383="",ROW(UpdateHashtag!C383),UpdateHashtag!C383)</f>
        <v>Nick Smith Jr.</v>
      </c>
      <c r="B385" s="41">
        <f>IF(TYPE($A385)=1,"",(UpdateHashtag!M383-B$1)/B$2)</f>
        <v>-2.161024768</v>
      </c>
      <c r="C385" s="41">
        <f>IF(TYPE($A385)=1,"",(UpdateHashtag!L383-C$1)/C$2)</f>
        <v>-0.643430979</v>
      </c>
      <c r="D385" s="41">
        <f>IF(TYPE($A385)=1,"",(UpdateHashtag!N383-D$1)/D$2)</f>
        <v>-1.874621799</v>
      </c>
      <c r="E385" s="41">
        <f>IF(TYPE($A385)=1,"",(UpdateHashtag!O383-E$1)/E$2)</f>
        <v>-1.286725494</v>
      </c>
      <c r="F385" s="41">
        <f>IF(TYPE($A385)=1,"",(UpdateHashtag!P383-F$1)/F$2)</f>
        <v>-2.567251182</v>
      </c>
      <c r="G385" s="41">
        <f>IF(TYPE($A385)=1,"",(UpdateHashtag!Q383-G$1)/G$2)</f>
        <v>-1.156992888</v>
      </c>
      <c r="H385" s="41">
        <f>IF(TYPE($A385)=1,"",(UpdateHashtag!I383-H$1)/H$2*I385/$I$1)</f>
        <v>-0.661149534</v>
      </c>
      <c r="I385" s="41">
        <f>UpdateHashtag!S383</f>
        <v>5.3</v>
      </c>
      <c r="J385" s="53">
        <f>IF(TYPE($A385)=1,"",(UpdateHashtag!K383-J$1)/J$2*K385/$K$1)</f>
        <v>0.09908945023</v>
      </c>
      <c r="K385" s="55">
        <f>UpdateHashtag!T383</f>
        <v>0.3</v>
      </c>
      <c r="L385" s="41">
        <f>IF(TYPE($A385)=1,"",-(UpdateHashtag!R383-L$1)/L$2)</f>
        <v>1.040202395</v>
      </c>
      <c r="N385" s="5">
        <v>365.0</v>
      </c>
      <c r="O385" s="170" t="str">
        <f t="array" ref="O385">INDIRECT("Update"&amp;Projections!$AG$17&amp;"!B"&amp;ROW(B366))</f>
        <v>#N/A</v>
      </c>
      <c r="P385" s="172" t="str">
        <f t="array" ref="P385">INDIRECT("Update"&amp;Projections!$AG$17&amp;"!C"&amp;ROW(B366))</f>
        <v>Jeff Dowtin Jr</v>
      </c>
      <c r="Q385" s="170" t="str">
        <f>UpdateHashtag!F426</f>
        <v/>
      </c>
      <c r="R385" s="177">
        <f>IF(UpdateHashtag!D426="",ROW(UpdateHashtag!D426),UpdateHashtag!D426)</f>
        <v>426</v>
      </c>
      <c r="S385" s="124">
        <f t="shared" si="1"/>
        <v>-9.171071866</v>
      </c>
      <c r="T385" s="124">
        <f>SUM(AE385:AM385)-IFERROR(IFS(Projections!$I$17,AN385,Projections!$J$17,AO385),"")</f>
        <v>-9.483198713</v>
      </c>
      <c r="U385" s="124">
        <f t="shared" si="2"/>
        <v>-0.312126847</v>
      </c>
      <c r="V385" s="124">
        <f t="array" ref="V385">INDIRECT("Update"&amp;Projections!$AG$17&amp;"!M"&amp;ROW(B366))</f>
        <v>3.448125</v>
      </c>
      <c r="W385" s="124">
        <f t="array" ref="W385">INDIRECT("Update"&amp;Projections!$AG$17&amp;"!L"&amp;ROW(B366))</f>
        <v>0.6075</v>
      </c>
      <c r="X385" s="124">
        <f t="array" ref="X385">INDIRECT("Update"&amp;Projections!$AG$17&amp;"!N"&amp;ROW(B366))</f>
        <v>1.64125</v>
      </c>
      <c r="Y385" s="124">
        <f t="array" ref="Y385">INDIRECT("Update"&amp;Projections!$AG$17&amp;"!O"&amp;ROW(B366))</f>
        <v>1.96</v>
      </c>
      <c r="Z385" s="124">
        <f t="array" ref="Z385">INDIRECT("Update"&amp;Projections!$AG$17&amp;"!P"&amp;ROW(B366))</f>
        <v>0.445</v>
      </c>
      <c r="AA385" s="124">
        <f t="array" ref="AA385">INDIRECT("Update"&amp;Projections!$AG$17&amp;"!Q"&amp;ROW(B366))</f>
        <v>0.1225</v>
      </c>
      <c r="AB385" s="180">
        <f t="array" ref="AB385">INDIRECT("Update"&amp;Projections!$AG$17&amp;"!I"&amp;ROW(B366))</f>
        <v>0.4316802678</v>
      </c>
      <c r="AC385" s="180">
        <f t="array" ref="AC385">INDIRECT("Update"&amp;Projections!$AG$17&amp;"!K"&amp;ROW(B366))</f>
        <v>0.7299651568</v>
      </c>
      <c r="AD385" s="124">
        <f t="array" ref="AD385">INDIRECT("Update"&amp;Projections!$AG$17&amp;"!R"&amp;ROW(B366))</f>
        <v>0.49</v>
      </c>
      <c r="AE385" s="124">
        <f t="shared" si="3"/>
        <v>-2.530886806</v>
      </c>
      <c r="AF385" s="124">
        <f t="shared" si="4"/>
        <v>-1.131955784</v>
      </c>
      <c r="AG385" s="124">
        <f t="shared" si="5"/>
        <v>-1.740883537</v>
      </c>
      <c r="AH385" s="124">
        <f t="shared" si="6"/>
        <v>-0.8961664614</v>
      </c>
      <c r="AI385" s="124">
        <f t="shared" si="7"/>
        <v>-1.756714404</v>
      </c>
      <c r="AJ385" s="124">
        <f t="shared" si="8"/>
        <v>-1.116860812</v>
      </c>
      <c r="AK385" s="124">
        <f t="shared" si="9"/>
        <v>-0.2277919661</v>
      </c>
      <c r="AL385" s="124">
        <f t="shared" si="10"/>
        <v>-0.08193894096</v>
      </c>
      <c r="AM385" s="124">
        <f t="shared" si="11"/>
        <v>0</v>
      </c>
      <c r="AN385" s="183">
        <f t="shared" si="12"/>
        <v>-2.530886806</v>
      </c>
      <c r="AO385" s="183">
        <f t="shared" si="13"/>
        <v>-4.287601211</v>
      </c>
      <c r="AP385" s="183">
        <f t="array" ref="AP385">INDIRECT("Update"&amp;Projections!$AG$17&amp;"!S"&amp;ROW(B366))</f>
        <v>2.986875</v>
      </c>
      <c r="AQ385" s="183">
        <f t="array" ref="AQ385">INDIRECT("Update"&amp;Projections!$AG$17&amp;"!T"&amp;ROW(B366))</f>
        <v>0.35875</v>
      </c>
    </row>
    <row r="386">
      <c r="A386" s="40" t="str">
        <f>IF(UpdateHashtag!C384="",ROW(UpdateHashtag!C384),UpdateHashtag!C384)</f>
        <v>Vlatko Cancar</v>
      </c>
      <c r="B386" s="41">
        <f>IF(TYPE($A386)=1,"",(UpdateHashtag!M384-B$1)/B$2)</f>
        <v>-2.611663865</v>
      </c>
      <c r="C386" s="41">
        <f>IF(TYPE($A386)=1,"",(UpdateHashtag!L384-C$1)/C$2)</f>
        <v>-1.337780956</v>
      </c>
      <c r="D386" s="41">
        <f>IF(TYPE($A386)=1,"",(UpdateHashtag!N384-D$1)/D$2)</f>
        <v>-1.874621799</v>
      </c>
      <c r="E386" s="41">
        <f>IF(TYPE($A386)=1,"",(UpdateHashtag!O384-E$1)/E$2)</f>
        <v>-1.422967016</v>
      </c>
      <c r="F386" s="41">
        <f>IF(TYPE($A386)=1,"",(UpdateHashtag!P384-F$1)/F$2)</f>
        <v>-2.567251182</v>
      </c>
      <c r="G386" s="41">
        <f>IF(TYPE($A386)=1,"",(UpdateHashtag!Q384-G$1)/G$2)</f>
        <v>-1.156992888</v>
      </c>
      <c r="H386" s="41">
        <f>IF(TYPE($A386)=1,"",(UpdateHashtag!I384-H$1)/H$2*I386/$I$1)</f>
        <v>-0.05684060139</v>
      </c>
      <c r="I386" s="41">
        <f>UpdateHashtag!S384</f>
        <v>2.3</v>
      </c>
      <c r="J386" s="53">
        <f>IF(TYPE($A386)=1,"",(UpdateHashtag!K384-J$1)/J$2*K386/$K$1)</f>
        <v>0.185517822</v>
      </c>
      <c r="K386" s="55">
        <f>UpdateHashtag!T384</f>
        <v>0.4</v>
      </c>
      <c r="L386" s="41">
        <f>IF(TYPE($A386)=1,"",-(UpdateHashtag!R384-L$1)/L$2)</f>
        <v>1.337780956</v>
      </c>
      <c r="N386" s="112">
        <v>366.0</v>
      </c>
      <c r="O386" s="170" t="str">
        <f t="array" ref="O386">INDIRECT("Update"&amp;Projections!$AG$17&amp;"!B"&amp;ROW(B367))</f>
        <v>#N/A</v>
      </c>
      <c r="P386" s="172" t="str">
        <f t="array" ref="P386">INDIRECT("Update"&amp;Projections!$AG$17&amp;"!C"&amp;ROW(B367))</f>
        <v>Mouhamed Gueye</v>
      </c>
      <c r="Q386" s="170" t="str">
        <f>UpdateHashtag!F423</f>
        <v/>
      </c>
      <c r="R386" s="177">
        <f>IF(UpdateHashtag!D423="",ROW(UpdateHashtag!D423),UpdateHashtag!D423)</f>
        <v>423</v>
      </c>
      <c r="S386" s="124">
        <f t="shared" si="1"/>
        <v>-9.200206872</v>
      </c>
      <c r="T386" s="124">
        <f>SUM(AE386:AM386)-IFERROR(IFS(Projections!$I$17,AN386,Projections!$J$17,AO386),"")</f>
        <v>-9.531577132</v>
      </c>
      <c r="U386" s="124">
        <f t="shared" si="2"/>
        <v>-0.3313702606</v>
      </c>
      <c r="V386" s="124">
        <f t="array" ref="V386">INDIRECT("Update"&amp;Projections!$AG$17&amp;"!M"&amp;ROW(B367))</f>
        <v>4.2764</v>
      </c>
      <c r="W386" s="124">
        <f t="array" ref="W386">INDIRECT("Update"&amp;Projections!$AG$17&amp;"!L"&amp;ROW(B367))</f>
        <v>0.4388</v>
      </c>
      <c r="X386" s="124">
        <f t="array" ref="X386">INDIRECT("Update"&amp;Projections!$AG$17&amp;"!N"&amp;ROW(B367))</f>
        <v>2.9792</v>
      </c>
      <c r="Y386" s="124">
        <f t="array" ref="Y386">INDIRECT("Update"&amp;Projections!$AG$17&amp;"!O"&amp;ROW(B367))</f>
        <v>0.5132</v>
      </c>
      <c r="Z386" s="124">
        <f t="array" ref="Z386">INDIRECT("Update"&amp;Projections!$AG$17&amp;"!P"&amp;ROW(B367))</f>
        <v>0.34</v>
      </c>
      <c r="AA386" s="124">
        <f t="array" ref="AA386">INDIRECT("Update"&amp;Projections!$AG$17&amp;"!Q"&amp;ROW(B367))</f>
        <v>0.4584</v>
      </c>
      <c r="AB386" s="180">
        <f t="array" ref="AB386">INDIRECT("Update"&amp;Projections!$AG$17&amp;"!I"&amp;ROW(B367))</f>
        <v>0.4551804424</v>
      </c>
      <c r="AC386" s="180">
        <f t="array" ref="AC386">INDIRECT("Update"&amp;Projections!$AG$17&amp;"!K"&amp;ROW(B367))</f>
        <v>0.7118780096</v>
      </c>
      <c r="AD386" s="124">
        <f t="array" ref="AD386">INDIRECT("Update"&amp;Projections!$AG$17&amp;"!R"&amp;ROW(B367))</f>
        <v>0.4124</v>
      </c>
      <c r="AE386" s="124">
        <f t="shared" si="3"/>
        <v>-2.381585567</v>
      </c>
      <c r="AF386" s="124">
        <f t="shared" si="4"/>
        <v>-1.299294129</v>
      </c>
      <c r="AG386" s="124">
        <f t="shared" si="5"/>
        <v>-1.216531571</v>
      </c>
      <c r="AH386" s="124">
        <f t="shared" si="6"/>
        <v>-1.553213912</v>
      </c>
      <c r="AI386" s="124">
        <f t="shared" si="7"/>
        <v>-2.104087309</v>
      </c>
      <c r="AJ386" s="124">
        <f t="shared" si="8"/>
        <v>-0.5177335083</v>
      </c>
      <c r="AK386" s="124">
        <f t="shared" si="9"/>
        <v>-0.1681228377</v>
      </c>
      <c r="AL386" s="124">
        <f t="shared" si="10"/>
        <v>-0.2910082977</v>
      </c>
      <c r="AM386" s="124">
        <f t="shared" si="11"/>
        <v>0</v>
      </c>
      <c r="AN386" s="183">
        <f t="shared" si="12"/>
        <v>-2.381585567</v>
      </c>
      <c r="AO386" s="183">
        <f t="shared" si="13"/>
        <v>-4.485672876</v>
      </c>
      <c r="AP386" s="183">
        <f t="array" ref="AP386">INDIRECT("Update"&amp;Projections!$AG$17&amp;"!S"&amp;ROW(B367))</f>
        <v>3.436</v>
      </c>
      <c r="AQ386" s="183">
        <f t="array" ref="AQ386">INDIRECT("Update"&amp;Projections!$AG$17&amp;"!T"&amp;ROW(B367))</f>
        <v>0.9968</v>
      </c>
    </row>
    <row r="387">
      <c r="A387" s="40" t="str">
        <f>IF(UpdateHashtag!C385="",ROW(UpdateHashtag!C385),UpdateHashtag!C385)</f>
        <v>KJ Simpson</v>
      </c>
      <c r="B387" s="41">
        <f>IF(TYPE($A387)=1,"",(UpdateHashtag!M385-B$1)/B$2)</f>
        <v>-2.521536045</v>
      </c>
      <c r="C387" s="41">
        <f>IF(TYPE($A387)=1,"",(UpdateHashtag!L385-C$1)/C$2)</f>
        <v>-1.337780956</v>
      </c>
      <c r="D387" s="41">
        <f>IF(TYPE($A387)=1,"",(UpdateHashtag!N385-D$1)/D$2)</f>
        <v>-1.992193898</v>
      </c>
      <c r="E387" s="41">
        <f>IF(TYPE($A387)=1,"",(UpdateHashtag!O385-E$1)/E$2)</f>
        <v>-1.377553175</v>
      </c>
      <c r="F387" s="41">
        <f>IF(TYPE($A387)=1,"",(UpdateHashtag!P385-F$1)/F$2)</f>
        <v>-2.236419844</v>
      </c>
      <c r="G387" s="41">
        <f>IF(TYPE($A387)=1,"",(UpdateHashtag!Q385-G$1)/G$2)</f>
        <v>-1.335357671</v>
      </c>
      <c r="H387" s="41">
        <f>IF(TYPE($A387)=1,"",(UpdateHashtag!I385-H$1)/H$2*I387/$I$1)</f>
        <v>-0.06178326238</v>
      </c>
      <c r="I387" s="41">
        <f>UpdateHashtag!S385</f>
        <v>2.5</v>
      </c>
      <c r="J387" s="53">
        <f>IF(TYPE($A387)=1,"",(UpdateHashtag!K385-J$1)/J$2*K387/$K$1)</f>
        <v>0.2624890287</v>
      </c>
      <c r="K387" s="55">
        <f>UpdateHashtag!T385</f>
        <v>0.9</v>
      </c>
      <c r="L387" s="41">
        <f>IF(TYPE($A387)=1,"",-(UpdateHashtag!R385-L$1)/L$2)</f>
        <v>1.337780956</v>
      </c>
      <c r="N387" s="112">
        <v>367.0</v>
      </c>
      <c r="O387" s="170" t="str">
        <f t="array" ref="O387">INDIRECT("Update"&amp;Projections!$AG$17&amp;"!B"&amp;ROW(B368))</f>
        <v>#N/A</v>
      </c>
      <c r="P387" s="172" t="str">
        <f t="array" ref="P387">INDIRECT("Update"&amp;Projections!$AG$17&amp;"!C"&amp;ROW(B368))</f>
        <v>Sandro Mamukelashvili</v>
      </c>
      <c r="Q387" s="170" t="str">
        <f>UpdateHashtag!F419</f>
        <v/>
      </c>
      <c r="R387" s="177">
        <f>IF(UpdateHashtag!D419="",ROW(UpdateHashtag!D419),UpdateHashtag!D419)</f>
        <v>419</v>
      </c>
      <c r="S387" s="124">
        <f t="shared" si="1"/>
        <v>-9.312326346</v>
      </c>
      <c r="T387" s="124">
        <f>SUM(AE387:AM387)-IFERROR(IFS(Projections!$I$17,AN387,Projections!$J$17,AO387),"")</f>
        <v>-9.620548793</v>
      </c>
      <c r="U387" s="124">
        <f t="shared" si="2"/>
        <v>-0.3082224474</v>
      </c>
      <c r="V387" s="124">
        <f t="array" ref="V387">INDIRECT("Update"&amp;Projections!$AG$17&amp;"!M"&amp;ROW(B368))</f>
        <v>4.780212766</v>
      </c>
      <c r="W387" s="124">
        <f t="array" ref="W387">INDIRECT("Update"&amp;Projections!$AG$17&amp;"!L"&amp;ROW(B368))</f>
        <v>0.4480851064</v>
      </c>
      <c r="X387" s="124">
        <f t="array" ref="X387">INDIRECT("Update"&amp;Projections!$AG$17&amp;"!N"&amp;ROW(B368))</f>
        <v>3.414680851</v>
      </c>
      <c r="Y387" s="124">
        <f t="array" ref="Y387">INDIRECT("Update"&amp;Projections!$AG$17&amp;"!O"&amp;ROW(B368))</f>
        <v>1.011914894</v>
      </c>
      <c r="Z387" s="124">
        <f t="array" ref="Z387">INDIRECT("Update"&amp;Projections!$AG$17&amp;"!P"&amp;ROW(B368))</f>
        <v>0.204893617</v>
      </c>
      <c r="AA387" s="124">
        <f t="array" ref="AA387">INDIRECT("Update"&amp;Projections!$AG$17&amp;"!Q"&amp;ROW(B368))</f>
        <v>0.23</v>
      </c>
      <c r="AB387" s="180">
        <f t="array" ref="AB387">INDIRECT("Update"&amp;Projections!$AG$17&amp;"!I"&amp;ROW(B368))</f>
        <v>0.4969798658</v>
      </c>
      <c r="AC387" s="180">
        <f t="array" ref="AC387">INDIRECT("Update"&amp;Projections!$AG$17&amp;"!K"&amp;ROW(B368))</f>
        <v>0.7239932886</v>
      </c>
      <c r="AD387" s="124">
        <f t="array" ref="AD387">INDIRECT("Update"&amp;Projections!$AG$17&amp;"!R"&amp;ROW(B368))</f>
        <v>0.5057446809</v>
      </c>
      <c r="AE387" s="124">
        <f t="shared" si="3"/>
        <v>-2.290770475</v>
      </c>
      <c r="AF387" s="124">
        <f t="shared" si="4"/>
        <v>-1.290083967</v>
      </c>
      <c r="AG387" s="124">
        <f t="shared" si="5"/>
        <v>-1.045863579</v>
      </c>
      <c r="AH387" s="124">
        <f t="shared" si="6"/>
        <v>-1.326728323</v>
      </c>
      <c r="AI387" s="124">
        <f t="shared" si="7"/>
        <v>-2.551061564</v>
      </c>
      <c r="AJ387" s="124">
        <f t="shared" si="8"/>
        <v>-0.9251186713</v>
      </c>
      <c r="AK387" s="124">
        <f t="shared" si="9"/>
        <v>-0.001180584063</v>
      </c>
      <c r="AL387" s="124">
        <f t="shared" si="10"/>
        <v>-0.1897416298</v>
      </c>
      <c r="AM387" s="124">
        <f t="shared" si="11"/>
        <v>0</v>
      </c>
      <c r="AN387" s="183">
        <f t="shared" si="12"/>
        <v>-2.551061564</v>
      </c>
      <c r="AO387" s="183">
        <f t="shared" si="13"/>
        <v>-4.841832039</v>
      </c>
      <c r="AP387" s="183">
        <f t="array" ref="AP387">INDIRECT("Update"&amp;Projections!$AG$17&amp;"!S"&amp;ROW(B368))</f>
        <v>3.804255319</v>
      </c>
      <c r="AQ387" s="183">
        <f t="array" ref="AQ387">INDIRECT("Update"&amp;Projections!$AG$17&amp;"!T"&amp;ROW(B368))</f>
        <v>0.7608510638</v>
      </c>
    </row>
    <row r="388">
      <c r="A388" s="40" t="str">
        <f>IF(UpdateHashtag!C386="",ROW(UpdateHashtag!C386),UpdateHashtag!C386)</f>
        <v>DaRon Holmes II</v>
      </c>
      <c r="B388" s="41">
        <f>IF(TYPE($A388)=1,"",(UpdateHashtag!M386-B$1)/B$2)</f>
        <v>-2.395357098</v>
      </c>
      <c r="C388" s="41">
        <f>IF(TYPE($A388)=1,"",(UpdateHashtag!L386-C$1)/C$2)</f>
        <v>-1.536166664</v>
      </c>
      <c r="D388" s="41">
        <f>IF(TYPE($A388)=1,"",(UpdateHashtag!N386-D$1)/D$2)</f>
        <v>-1.717859001</v>
      </c>
      <c r="E388" s="41">
        <f>IF(TYPE($A388)=1,"",(UpdateHashtag!O386-E$1)/E$2)</f>
        <v>-1.559208539</v>
      </c>
      <c r="F388" s="41">
        <f>IF(TYPE($A388)=1,"",(UpdateHashtag!P386-F$1)/F$2)</f>
        <v>-2.567251182</v>
      </c>
      <c r="G388" s="41">
        <f>IF(TYPE($A388)=1,"",(UpdateHashtag!Q386-G$1)/G$2)</f>
        <v>-0.6218985413</v>
      </c>
      <c r="H388" s="41">
        <f>IF(TYPE($A388)=1,"",(UpdateHashtag!I386-H$1)/H$2*I388/$I$1)</f>
        <v>0.1388620987</v>
      </c>
      <c r="I388" s="41">
        <f>UpdateHashtag!S386</f>
        <v>2.5</v>
      </c>
      <c r="J388" s="53">
        <f>IF(TYPE($A388)=1,"",(UpdateHashtag!K386-J$1)/J$2*K388/$K$1)</f>
        <v>-0.5184016037</v>
      </c>
      <c r="K388" s="55">
        <f>UpdateHashtag!T386</f>
        <v>1.8</v>
      </c>
      <c r="L388" s="41">
        <f>IF(TYPE($A388)=1,"",-(UpdateHashtag!R386-L$1)/L$2)</f>
        <v>1.238588102</v>
      </c>
      <c r="N388" s="5">
        <v>368.0</v>
      </c>
      <c r="O388" s="170" t="str">
        <f t="array" ref="O388">INDIRECT("Update"&amp;Projections!$AG$17&amp;"!B"&amp;ROW(B369))</f>
        <v>#N/A</v>
      </c>
      <c r="P388" s="172" t="str">
        <f t="array" ref="P388">INDIRECT("Update"&amp;Projections!$AG$17&amp;"!C"&amp;ROW(B369))</f>
        <v>Patrick Baldwin</v>
      </c>
      <c r="Q388" s="170" t="str">
        <f>UpdateHashtag!F432</f>
        <v/>
      </c>
      <c r="R388" s="177">
        <f>IF(UpdateHashtag!D432="",ROW(UpdateHashtag!D432),UpdateHashtag!D432)</f>
        <v>432</v>
      </c>
      <c r="S388" s="124">
        <f t="shared" si="1"/>
        <v>-9.171734968</v>
      </c>
      <c r="T388" s="124">
        <f>SUM(AE388:AM388)-IFERROR(IFS(Projections!$I$17,AN388,Projections!$J$17,AO388),"")</f>
        <v>-9.480142083</v>
      </c>
      <c r="U388" s="124">
        <f t="shared" si="2"/>
        <v>-0.3084071149</v>
      </c>
      <c r="V388" s="124">
        <f t="array" ref="V388">INDIRECT("Update"&amp;Projections!$AG$17&amp;"!M"&amp;ROW(B369))</f>
        <v>3.756818182</v>
      </c>
      <c r="W388" s="124">
        <f t="array" ref="W388">INDIRECT("Update"&amp;Projections!$AG$17&amp;"!L"&amp;ROW(B369))</f>
        <v>0.7872727273</v>
      </c>
      <c r="X388" s="124">
        <f t="array" ref="X388">INDIRECT("Update"&amp;Projections!$AG$17&amp;"!N"&amp;ROW(B369))</f>
        <v>2.86</v>
      </c>
      <c r="Y388" s="124">
        <f t="array" ref="Y388">INDIRECT("Update"&amp;Projections!$AG$17&amp;"!O"&amp;ROW(B369))</f>
        <v>0.6556818182</v>
      </c>
      <c r="Z388" s="124">
        <f t="array" ref="Z388">INDIRECT("Update"&amp;Projections!$AG$17&amp;"!P"&amp;ROW(B369))</f>
        <v>0.3838636364</v>
      </c>
      <c r="AA388" s="124">
        <f t="array" ref="AA388">INDIRECT("Update"&amp;Projections!$AG$17&amp;"!Q"&amp;ROW(B369))</f>
        <v>0.3115909091</v>
      </c>
      <c r="AB388" s="180">
        <f t="array" ref="AB388">INDIRECT("Update"&amp;Projections!$AG$17&amp;"!I"&amp;ROW(B369))</f>
        <v>0.3988885877</v>
      </c>
      <c r="AC388" s="180">
        <f t="array" ref="AC388">INDIRECT("Update"&amp;Projections!$AG$17&amp;"!K"&amp;ROW(B369))</f>
        <v>0.6785527006</v>
      </c>
      <c r="AD388" s="124">
        <f t="array" ref="AD388">INDIRECT("Update"&amp;Projections!$AG$17&amp;"!R"&amp;ROW(B369))</f>
        <v>0.505</v>
      </c>
      <c r="AE388" s="124">
        <f t="shared" si="3"/>
        <v>-2.47524312</v>
      </c>
      <c r="AF388" s="124">
        <f t="shared" si="4"/>
        <v>-0.9536340857</v>
      </c>
      <c r="AG388" s="124">
        <f t="shared" si="5"/>
        <v>-1.263246885</v>
      </c>
      <c r="AH388" s="124">
        <f t="shared" si="6"/>
        <v>-1.488507446</v>
      </c>
      <c r="AI388" s="124">
        <f t="shared" si="7"/>
        <v>-1.958972654</v>
      </c>
      <c r="AJ388" s="124">
        <f t="shared" si="8"/>
        <v>-0.7795892238</v>
      </c>
      <c r="AK388" s="124">
        <f t="shared" si="9"/>
        <v>-0.3836772352</v>
      </c>
      <c r="AL388" s="124">
        <f t="shared" si="10"/>
        <v>-0.1772714339</v>
      </c>
      <c r="AM388" s="124">
        <f t="shared" si="11"/>
        <v>0</v>
      </c>
      <c r="AN388" s="183">
        <f t="shared" si="12"/>
        <v>-2.47524312</v>
      </c>
      <c r="AO388" s="183">
        <f t="shared" si="13"/>
        <v>-4.434215774</v>
      </c>
      <c r="AP388" s="183">
        <f t="array" ref="AP388">INDIRECT("Update"&amp;Projections!$AG$17&amp;"!S"&amp;ROW(B369))</f>
        <v>3.353636364</v>
      </c>
      <c r="AQ388" s="183">
        <f t="array" ref="AQ388">INDIRECT("Update"&amp;Projections!$AG$17&amp;"!T"&amp;ROW(B369))</f>
        <v>0.4334090909</v>
      </c>
    </row>
    <row r="389">
      <c r="A389" s="40" t="str">
        <f>IF(UpdateHashtag!C387="",ROW(UpdateHashtag!C387),UpdateHashtag!C387)</f>
        <v>Jeff Green</v>
      </c>
      <c r="B389" s="41">
        <f>IF(TYPE($A389)=1,"",(UpdateHashtag!M387-B$1)/B$2)</f>
        <v>-2.341280406</v>
      </c>
      <c r="C389" s="41">
        <f>IF(TYPE($A389)=1,"",(UpdateHashtag!L387-C$1)/C$2)</f>
        <v>-1.337780956</v>
      </c>
      <c r="D389" s="41">
        <f>IF(TYPE($A389)=1,"",(UpdateHashtag!N387-D$1)/D$2)</f>
        <v>-1.7962404</v>
      </c>
      <c r="E389" s="41">
        <f>IF(TYPE($A389)=1,"",(UpdateHashtag!O387-E$1)/E$2)</f>
        <v>-1.468380857</v>
      </c>
      <c r="F389" s="41">
        <f>IF(TYPE($A389)=1,"",(UpdateHashtag!P387-F$1)/F$2)</f>
        <v>-2.567251182</v>
      </c>
      <c r="G389" s="41">
        <f>IF(TYPE($A389)=1,"",(UpdateHashtag!Q387-G$1)/G$2)</f>
        <v>-0.978628106</v>
      </c>
      <c r="H389" s="41">
        <f>IF(TYPE($A389)=1,"",(UpdateHashtag!I387-H$1)/H$2*I389/$I$1)</f>
        <v>-0.1007460713</v>
      </c>
      <c r="I389" s="41">
        <f>UpdateHashtag!S387</f>
        <v>3.3</v>
      </c>
      <c r="J389" s="53">
        <f>IF(TYPE($A389)=1,"",(UpdateHashtag!K387-J$1)/J$2*K389/$K$1)</f>
        <v>-0.06384640391</v>
      </c>
      <c r="K389" s="55">
        <f>UpdateHashtag!T387</f>
        <v>1.3</v>
      </c>
      <c r="L389" s="41">
        <f>IF(TYPE($A389)=1,"",-(UpdateHashtag!R387-L$1)/L$2)</f>
        <v>1.337780956</v>
      </c>
      <c r="N389" s="5">
        <v>369.0</v>
      </c>
      <c r="O389" s="170" t="str">
        <f t="array" ref="O389">INDIRECT("Update"&amp;Projections!$AG$17&amp;"!B"&amp;ROW(B370))</f>
        <v>#N/A</v>
      </c>
      <c r="P389" s="172" t="str">
        <f t="array" ref="P389">INDIRECT("Update"&amp;Projections!$AG$17&amp;"!C"&amp;ROW(B370))</f>
        <v>Svi Mykhailiuk</v>
      </c>
      <c r="Q389" s="170" t="str">
        <f>UpdateHashtag!F429</f>
        <v/>
      </c>
      <c r="R389" s="177">
        <f>IF(UpdateHashtag!D429="",ROW(UpdateHashtag!D429),UpdateHashtag!D429)</f>
        <v>429</v>
      </c>
      <c r="S389" s="124">
        <f t="shared" si="1"/>
        <v>-9.149183613</v>
      </c>
      <c r="T389" s="124">
        <f>SUM(AE389:AM389)-IFERROR(IFS(Projections!$I$17,AN389,Projections!$J$17,AO389),"")</f>
        <v>-9.43909126</v>
      </c>
      <c r="U389" s="124">
        <f t="shared" si="2"/>
        <v>-0.2899076477</v>
      </c>
      <c r="V389" s="124">
        <f t="array" ref="V389">INDIRECT("Update"&amp;Projections!$AG$17&amp;"!M"&amp;ROW(B370))</f>
        <v>5.0732</v>
      </c>
      <c r="W389" s="124">
        <f t="array" ref="W389">INDIRECT("Update"&amp;Projections!$AG$17&amp;"!L"&amp;ROW(B370))</f>
        <v>1.1678</v>
      </c>
      <c r="X389" s="124">
        <f t="array" ref="X389">INDIRECT("Update"&amp;Projections!$AG$17&amp;"!N"&amp;ROW(B370))</f>
        <v>1.414</v>
      </c>
      <c r="Y389" s="124">
        <f t="array" ref="Y389">INDIRECT("Update"&amp;Projections!$AG$17&amp;"!O"&amp;ROW(B370))</f>
        <v>1.3888</v>
      </c>
      <c r="Z389" s="124">
        <f t="array" ref="Z389">INDIRECT("Update"&amp;Projections!$AG$17&amp;"!P"&amp;ROW(B370))</f>
        <v>0.4056</v>
      </c>
      <c r="AA389" s="124">
        <f t="array" ref="AA389">INDIRECT("Update"&amp;Projections!$AG$17&amp;"!Q"&amp;ROW(B370))</f>
        <v>0.0756</v>
      </c>
      <c r="AB389" s="180">
        <f t="array" ref="AB389">INDIRECT("Update"&amp;Projections!$AG$17&amp;"!I"&amp;ROW(B370))</f>
        <v>0.4079189253</v>
      </c>
      <c r="AC389" s="180">
        <f t="array" ref="AC389">INDIRECT("Update"&amp;Projections!$AG$17&amp;"!K"&amp;ROW(B370))</f>
        <v>0.7421404682</v>
      </c>
      <c r="AD389" s="124">
        <f t="array" ref="AD389">INDIRECT("Update"&amp;Projections!$AG$17&amp;"!R"&amp;ROW(B370))</f>
        <v>0.5796</v>
      </c>
      <c r="AE389" s="124">
        <f t="shared" si="3"/>
        <v>-2.237957874</v>
      </c>
      <c r="AF389" s="124">
        <f t="shared" si="4"/>
        <v>-0.576178224</v>
      </c>
      <c r="AG389" s="124">
        <f t="shared" si="5"/>
        <v>-1.829944402</v>
      </c>
      <c r="AH389" s="124">
        <f t="shared" si="6"/>
        <v>-1.155570321</v>
      </c>
      <c r="AI389" s="124">
        <f t="shared" si="7"/>
        <v>-1.887061952</v>
      </c>
      <c r="AJ389" s="124">
        <f t="shared" si="8"/>
        <v>-1.200513895</v>
      </c>
      <c r="AK389" s="124">
        <f t="shared" si="9"/>
        <v>-0.4408586929</v>
      </c>
      <c r="AL389" s="124">
        <f t="shared" si="10"/>
        <v>-0.1110058999</v>
      </c>
      <c r="AM389" s="124">
        <f t="shared" si="11"/>
        <v>0</v>
      </c>
      <c r="AN389" s="183">
        <f t="shared" si="12"/>
        <v>-2.237957874</v>
      </c>
      <c r="AO389" s="183">
        <f t="shared" si="13"/>
        <v>-4.125019826</v>
      </c>
      <c r="AP389" s="183">
        <f t="array" ref="AP389">INDIRECT("Update"&amp;Projections!$AG$17&amp;"!S"&amp;ROW(B370))</f>
        <v>4.243</v>
      </c>
      <c r="AQ389" s="183">
        <f t="array" ref="AQ389">INDIRECT("Update"&amp;Projections!$AG$17&amp;"!T"&amp;ROW(B370))</f>
        <v>0.598</v>
      </c>
    </row>
    <row r="390">
      <c r="A390" s="40" t="str">
        <f>IF(UpdateHashtag!C388="",ROW(UpdateHashtag!C388),UpdateHashtag!C388)</f>
        <v>Caleb Houstan</v>
      </c>
      <c r="B390" s="41">
        <f>IF(TYPE($A390)=1,"",(UpdateHashtag!M388-B$1)/B$2)</f>
        <v>-2.431408226</v>
      </c>
      <c r="C390" s="41">
        <f>IF(TYPE($A390)=1,"",(UpdateHashtag!L388-C$1)/C$2)</f>
        <v>-0.643430979</v>
      </c>
      <c r="D390" s="41">
        <f>IF(TYPE($A390)=1,"",(UpdateHashtag!N388-D$1)/D$2)</f>
        <v>-1.7570497</v>
      </c>
      <c r="E390" s="41">
        <f>IF(TYPE($A390)=1,"",(UpdateHashtag!O388-E$1)/E$2)</f>
        <v>-1.559208539</v>
      </c>
      <c r="F390" s="41">
        <f>IF(TYPE($A390)=1,"",(UpdateHashtag!P388-F$1)/F$2)</f>
        <v>-2.567251182</v>
      </c>
      <c r="G390" s="41">
        <f>IF(TYPE($A390)=1,"",(UpdateHashtag!Q388-G$1)/G$2)</f>
        <v>-1.156992888</v>
      </c>
      <c r="H390" s="41">
        <f>IF(TYPE($A390)=1,"",(UpdateHashtag!I388-H$1)/H$2*I390/$I$1)</f>
        <v>-0.4976741623</v>
      </c>
      <c r="I390" s="41">
        <f>UpdateHashtag!S388</f>
        <v>3.5</v>
      </c>
      <c r="J390" s="53">
        <f>IF(TYPE($A390)=1,"",(UpdateHashtag!K388-J$1)/J$2*K390/$K$1)</f>
        <v>0.03656395795</v>
      </c>
      <c r="K390" s="55">
        <f>UpdateHashtag!T388</f>
        <v>0.4</v>
      </c>
      <c r="L390" s="41">
        <f>IF(TYPE($A390)=1,"",-(UpdateHashtag!R388-L$1)/L$2)</f>
        <v>1.43697381</v>
      </c>
      <c r="N390" s="112">
        <v>370.0</v>
      </c>
      <c r="O390" s="170" t="str">
        <f t="array" ref="O390">INDIRECT("Update"&amp;Projections!$AG$17&amp;"!B"&amp;ROW(B371))</f>
        <v/>
      </c>
      <c r="P390" s="172" t="str">
        <f t="array" ref="P390">INDIRECT("Update"&amp;Projections!$AG$17&amp;"!C"&amp;ROW(B371))</f>
        <v>Chris Duarte</v>
      </c>
      <c r="Q390" s="170" t="str">
        <f>UpdateHashtag!F424</f>
        <v/>
      </c>
      <c r="R390" s="177">
        <f>IF(UpdateHashtag!D424="",ROW(UpdateHashtag!D424),UpdateHashtag!D424)</f>
        <v>424</v>
      </c>
      <c r="S390" s="124">
        <f t="shared" si="1"/>
        <v>-9.153379347</v>
      </c>
      <c r="T390" s="124">
        <f>SUM(AE390:AM390)-IFERROR(IFS(Projections!$I$17,AN390,Projections!$J$17,AO390),"")</f>
        <v>-9.445202656</v>
      </c>
      <c r="U390" s="124">
        <f t="shared" si="2"/>
        <v>-0.2918233097</v>
      </c>
      <c r="V390" s="124">
        <f t="array" ref="V390">INDIRECT("Update"&amp;Projections!$AG$17&amp;"!M"&amp;ROW(B371))</f>
        <v>4.8025</v>
      </c>
      <c r="W390" s="124">
        <f t="array" ref="W390">INDIRECT("Update"&amp;Projections!$AG$17&amp;"!L"&amp;ROW(B371))</f>
        <v>1.01875</v>
      </c>
      <c r="X390" s="124">
        <f t="array" ref="X390">INDIRECT("Update"&amp;Projections!$AG$17&amp;"!N"&amp;ROW(B371))</f>
        <v>1.94375</v>
      </c>
      <c r="Y390" s="124">
        <f t="array" ref="Y390">INDIRECT("Update"&amp;Projections!$AG$17&amp;"!O"&amp;ROW(B371))</f>
        <v>0.68625</v>
      </c>
      <c r="Z390" s="124">
        <f t="array" ref="Z390">INDIRECT("Update"&amp;Projections!$AG$17&amp;"!P"&amp;ROW(B371))</f>
        <v>0.4575</v>
      </c>
      <c r="AA390" s="124">
        <f t="array" ref="AA390">INDIRECT("Update"&amp;Projections!$AG$17&amp;"!Q"&amp;ROW(B371))</f>
        <v>0.143125</v>
      </c>
      <c r="AB390" s="180">
        <f t="array" ref="AB390">INDIRECT("Update"&amp;Projections!$AG$17&amp;"!I"&amp;ROW(B371))</f>
        <v>0.3846481271</v>
      </c>
      <c r="AC390" s="180">
        <f t="array" ref="AC390">INDIRECT("Update"&amp;Projections!$AG$17&amp;"!K"&amp;ROW(B371))</f>
        <v>0.815483871</v>
      </c>
      <c r="AD390" s="124">
        <f t="array" ref="AD390">INDIRECT("Update"&amp;Projections!$AG$17&amp;"!R"&amp;ROW(B371))</f>
        <v>0.571875</v>
      </c>
      <c r="AE390" s="124">
        <f t="shared" si="3"/>
        <v>-2.286753076</v>
      </c>
      <c r="AF390" s="124">
        <f t="shared" si="4"/>
        <v>-0.7240251728</v>
      </c>
      <c r="AG390" s="124">
        <f t="shared" si="5"/>
        <v>-1.62233167</v>
      </c>
      <c r="AH390" s="124">
        <f t="shared" si="6"/>
        <v>-1.47462526</v>
      </c>
      <c r="AI390" s="124">
        <f t="shared" si="7"/>
        <v>-1.715360487</v>
      </c>
      <c r="AJ390" s="124">
        <f t="shared" si="8"/>
        <v>-1.080073076</v>
      </c>
      <c r="AK390" s="124">
        <f t="shared" si="9"/>
        <v>-0.5769241172</v>
      </c>
      <c r="AL390" s="124">
        <f t="shared" si="10"/>
        <v>0.03489020314</v>
      </c>
      <c r="AM390" s="124">
        <f t="shared" si="11"/>
        <v>0</v>
      </c>
      <c r="AN390" s="183">
        <f t="shared" si="12"/>
        <v>-2.286753076</v>
      </c>
      <c r="AO390" s="183">
        <f t="shared" si="13"/>
        <v>-4.002113563</v>
      </c>
      <c r="AP390" s="183">
        <f t="array" ref="AP390">INDIRECT("Update"&amp;Projections!$AG$17&amp;"!S"&amp;ROW(B371))</f>
        <v>4.405</v>
      </c>
      <c r="AQ390" s="183">
        <f t="array" ref="AQ390">INDIRECT("Update"&amp;Projections!$AG$17&amp;"!T"&amp;ROW(B371))</f>
        <v>0.484375</v>
      </c>
    </row>
    <row r="391">
      <c r="A391" s="40" t="str">
        <f>IF(UpdateHashtag!C389="",ROW(UpdateHashtag!C389),UpdateHashtag!C389)</f>
        <v>Nassir Little</v>
      </c>
      <c r="B391" s="41">
        <f>IF(TYPE($A391)=1,"",(UpdateHashtag!M389-B$1)/B$2)</f>
        <v>-2.485484917</v>
      </c>
      <c r="C391" s="41">
        <f>IF(TYPE($A391)=1,"",(UpdateHashtag!L389-C$1)/C$2)</f>
        <v>-1.139395249</v>
      </c>
      <c r="D391" s="41">
        <f>IF(TYPE($A391)=1,"",(UpdateHashtag!N389-D$1)/D$2)</f>
        <v>-1.7570497</v>
      </c>
      <c r="E391" s="41">
        <f>IF(TYPE($A391)=1,"",(UpdateHashtag!O389-E$1)/E$2)</f>
        <v>-1.559208539</v>
      </c>
      <c r="F391" s="41">
        <f>IF(TYPE($A391)=1,"",(UpdateHashtag!P389-F$1)/F$2)</f>
        <v>-2.567251182</v>
      </c>
      <c r="G391" s="41">
        <f>IF(TYPE($A391)=1,"",(UpdateHashtag!Q389-G$1)/G$2)</f>
        <v>-0.978628106</v>
      </c>
      <c r="H391" s="41">
        <f>IF(TYPE($A391)=1,"",(UpdateHashtag!I389-H$1)/H$2*I391/$I$1)</f>
        <v>-0.1847852661</v>
      </c>
      <c r="I391" s="41">
        <f>UpdateHashtag!S389</f>
        <v>3.1</v>
      </c>
      <c r="J391" s="53">
        <f>IF(TYPE($A391)=1,"",(UpdateHashtag!K389-J$1)/J$2*K391/$K$1)</f>
        <v>-0.05090428043</v>
      </c>
      <c r="K391" s="55">
        <f>UpdateHashtag!T389</f>
        <v>0.5</v>
      </c>
      <c r="L391" s="41">
        <f>IF(TYPE($A391)=1,"",-(UpdateHashtag!R389-L$1)/L$2)</f>
        <v>1.337780956</v>
      </c>
      <c r="N391" s="112">
        <v>371.0</v>
      </c>
      <c r="O391" s="170" t="str">
        <f t="array" ref="O391">INDIRECT("Update"&amp;Projections!$AG$17&amp;"!B"&amp;ROW(B372))</f>
        <v/>
      </c>
      <c r="P391" s="172" t="str">
        <f t="array" ref="P391">INDIRECT("Update"&amp;Projections!$AG$17&amp;"!C"&amp;ROW(B372))</f>
        <v>Dru Smith</v>
      </c>
      <c r="Q391" s="170" t="str">
        <f>UpdateHashtag!F430</f>
        <v/>
      </c>
      <c r="R391" s="177">
        <f>IF(UpdateHashtag!D430="",ROW(UpdateHashtag!D430),UpdateHashtag!D430)</f>
        <v>430</v>
      </c>
      <c r="S391" s="124">
        <f t="shared" si="1"/>
        <v>-9.23770038</v>
      </c>
      <c r="T391" s="124">
        <f>SUM(AE391:AM391)-IFERROR(IFS(Projections!$I$17,AN391,Projections!$J$17,AO391),"")</f>
        <v>-9.548742305</v>
      </c>
      <c r="U391" s="124">
        <f t="shared" si="2"/>
        <v>-0.3110419251</v>
      </c>
      <c r="V391" s="124">
        <f t="array" ref="V391">INDIRECT("Update"&amp;Projections!$AG$17&amp;"!M"&amp;ROW(B372))</f>
        <v>3.215625</v>
      </c>
      <c r="W391" s="124">
        <f t="array" ref="W391">INDIRECT("Update"&amp;Projections!$AG$17&amp;"!L"&amp;ROW(B372))</f>
        <v>0.559375</v>
      </c>
      <c r="X391" s="124">
        <f t="array" ref="X391">INDIRECT("Update"&amp;Projections!$AG$17&amp;"!N"&amp;ROW(B372))</f>
        <v>1.11125</v>
      </c>
      <c r="Y391" s="124">
        <f t="array" ref="Y391">INDIRECT("Update"&amp;Projections!$AG$17&amp;"!O"&amp;ROW(B372))</f>
        <v>1.300625</v>
      </c>
      <c r="Z391" s="124">
        <f t="array" ref="Z391">INDIRECT("Update"&amp;Projections!$AG$17&amp;"!P"&amp;ROW(B372))</f>
        <v>0.536875</v>
      </c>
      <c r="AA391" s="124">
        <f t="array" ref="AA391">INDIRECT("Update"&amp;Projections!$AG$17&amp;"!Q"&amp;ROW(B372))</f>
        <v>0.171875</v>
      </c>
      <c r="AB391" s="180">
        <f t="array" ref="AB391">INDIRECT("Update"&amp;Projections!$AG$17&amp;"!I"&amp;ROW(B372))</f>
        <v>0.4243670201</v>
      </c>
      <c r="AC391" s="180">
        <f t="array" ref="AC391">INDIRECT("Update"&amp;Projections!$AG$17&amp;"!K"&amp;ROW(B372))</f>
        <v>0.8864864865</v>
      </c>
      <c r="AD391" s="124">
        <f t="array" ref="AD391">INDIRECT("Update"&amp;Projections!$AG$17&amp;"!R"&amp;ROW(B372))</f>
        <v>0.494375</v>
      </c>
      <c r="AE391" s="124">
        <f t="shared" si="3"/>
        <v>-2.572796242</v>
      </c>
      <c r="AF391" s="124">
        <f t="shared" si="4"/>
        <v>-1.179692345</v>
      </c>
      <c r="AG391" s="124">
        <f t="shared" si="5"/>
        <v>-1.948594245</v>
      </c>
      <c r="AH391" s="124">
        <f t="shared" si="6"/>
        <v>-1.195613975</v>
      </c>
      <c r="AI391" s="124">
        <f t="shared" si="7"/>
        <v>-1.452763113</v>
      </c>
      <c r="AJ391" s="124">
        <f t="shared" si="8"/>
        <v>-1.028793201</v>
      </c>
      <c r="AK391" s="124">
        <f t="shared" si="9"/>
        <v>-0.2448286667</v>
      </c>
      <c r="AL391" s="124">
        <f t="shared" si="10"/>
        <v>0.07433948346</v>
      </c>
      <c r="AM391" s="124">
        <f t="shared" si="11"/>
        <v>0</v>
      </c>
      <c r="AN391" s="183">
        <f t="shared" si="12"/>
        <v>-2.572796242</v>
      </c>
      <c r="AO391" s="183">
        <f t="shared" si="13"/>
        <v>-4.521390487</v>
      </c>
      <c r="AP391" s="183">
        <f t="array" ref="AP391">INDIRECT("Update"&amp;Projections!$AG$17&amp;"!S"&amp;ROW(B372))</f>
        <v>2.888125</v>
      </c>
      <c r="AQ391" s="183">
        <f t="array" ref="AQ391">INDIRECT("Update"&amp;Projections!$AG$17&amp;"!T"&amp;ROW(B372))</f>
        <v>0.23125</v>
      </c>
    </row>
    <row r="392">
      <c r="A392" s="40" t="str">
        <f>IF(UpdateHashtag!C390="",ROW(UpdateHashtag!C390),UpdateHashtag!C390)</f>
        <v>Ariel Hukporti</v>
      </c>
      <c r="B392" s="41">
        <f>IF(TYPE($A392)=1,"",(UpdateHashtag!M390-B$1)/B$2)</f>
        <v>-2.611663865</v>
      </c>
      <c r="C392" s="41">
        <f>IF(TYPE($A392)=1,"",(UpdateHashtag!L390-C$1)/C$2)</f>
        <v>-1.734552372</v>
      </c>
      <c r="D392" s="41">
        <f>IF(TYPE($A392)=1,"",(UpdateHashtag!N390-D$1)/D$2)</f>
        <v>-1.365142704</v>
      </c>
      <c r="E392" s="41">
        <f>IF(TYPE($A392)=1,"",(UpdateHashtag!O390-E$1)/E$2)</f>
        <v>-1.650036221</v>
      </c>
      <c r="F392" s="41">
        <f>IF(TYPE($A392)=1,"",(UpdateHashtag!P390-F$1)/F$2)</f>
        <v>-2.567251182</v>
      </c>
      <c r="G392" s="41">
        <f>IF(TYPE($A392)=1,"",(UpdateHashtag!Q390-G$1)/G$2)</f>
        <v>-0.2651689765</v>
      </c>
      <c r="H392" s="41">
        <f>IF(TYPE($A392)=1,"",(UpdateHashtag!I390-H$1)/H$2*I392/$I$1)</f>
        <v>0.1606116681</v>
      </c>
      <c r="I392" s="41">
        <f>UpdateHashtag!S390</f>
        <v>2.1</v>
      </c>
      <c r="J392" s="53">
        <f>IF(TYPE($A392)=1,"",(UpdateHashtag!K390-J$1)/J$2*K392/$K$1)</f>
        <v>-0.6322810485</v>
      </c>
      <c r="K392" s="55">
        <f>UpdateHashtag!T390</f>
        <v>1</v>
      </c>
      <c r="L392" s="41">
        <f>IF(TYPE($A392)=1,"",-(UpdateHashtag!R390-L$1)/L$2)</f>
        <v>1.139395249</v>
      </c>
      <c r="N392" s="5">
        <v>372.0</v>
      </c>
      <c r="O392" s="170" t="str">
        <f t="array" ref="O392">INDIRECT("Update"&amp;Projections!$AG$17&amp;"!B"&amp;ROW(B373))</f>
        <v>#N/A</v>
      </c>
      <c r="P392" s="172" t="str">
        <f t="array" ref="P392">INDIRECT("Update"&amp;Projections!$AG$17&amp;"!C"&amp;ROW(B373))</f>
        <v>Jae'Sean Tate</v>
      </c>
      <c r="Q392" s="170" t="str">
        <f>UpdateHashtag!F421</f>
        <v/>
      </c>
      <c r="R392" s="177">
        <f>IF(UpdateHashtag!D421="",ROW(UpdateHashtag!D421),UpdateHashtag!D421)</f>
        <v>421</v>
      </c>
      <c r="S392" s="124">
        <f t="shared" si="1"/>
        <v>-9.335450551</v>
      </c>
      <c r="T392" s="124">
        <f>SUM(AE392:AM392)-IFERROR(IFS(Projections!$I$17,AN392,Projections!$J$17,AO392),"")</f>
        <v>-9.618621837</v>
      </c>
      <c r="U392" s="124">
        <f t="shared" si="2"/>
        <v>-0.2831712859</v>
      </c>
      <c r="V392" s="124">
        <f t="array" ref="V392">INDIRECT("Update"&amp;Projections!$AG$17&amp;"!M"&amp;ROW(B373))</f>
        <v>3.397647059</v>
      </c>
      <c r="W392" s="124">
        <f t="array" ref="W392">INDIRECT("Update"&amp;Projections!$AG$17&amp;"!L"&amp;ROW(B373))</f>
        <v>0.2217647059</v>
      </c>
      <c r="X392" s="124">
        <f t="array" ref="X392">INDIRECT("Update"&amp;Projections!$AG$17&amp;"!N"&amp;ROW(B373))</f>
        <v>2.270441176</v>
      </c>
      <c r="Y392" s="124">
        <f t="array" ref="Y392">INDIRECT("Update"&amp;Projections!$AG$17&amp;"!O"&amp;ROW(B373))</f>
        <v>0.9652941176</v>
      </c>
      <c r="Z392" s="124">
        <f t="array" ref="Z392">INDIRECT("Update"&amp;Projections!$AG$17&amp;"!P"&amp;ROW(B373))</f>
        <v>0.5110294118</v>
      </c>
      <c r="AA392" s="124">
        <f t="array" ref="AA392">INDIRECT("Update"&amp;Projections!$AG$17&amp;"!Q"&amp;ROW(B373))</f>
        <v>0.1933823529</v>
      </c>
      <c r="AB392" s="180">
        <f t="array" ref="AB392">INDIRECT("Update"&amp;Projections!$AG$17&amp;"!I"&amp;ROW(B373))</f>
        <v>0.4805815575</v>
      </c>
      <c r="AC392" s="180">
        <f t="array" ref="AC392">INDIRECT("Update"&amp;Projections!$AG$17&amp;"!K"&amp;ROW(B373))</f>
        <v>0.713130056</v>
      </c>
      <c r="AD392" s="124">
        <f t="array" ref="AD392">INDIRECT("Update"&amp;Projections!$AG$17&amp;"!R"&amp;ROW(B373))</f>
        <v>0.6067647059</v>
      </c>
      <c r="AE392" s="124">
        <f t="shared" si="3"/>
        <v>-2.53998574</v>
      </c>
      <c r="AF392" s="124">
        <f t="shared" si="4"/>
        <v>-1.514577631</v>
      </c>
      <c r="AG392" s="124">
        <f t="shared" si="5"/>
        <v>-1.494299113</v>
      </c>
      <c r="AH392" s="124">
        <f t="shared" si="6"/>
        <v>-1.347900609</v>
      </c>
      <c r="AI392" s="124">
        <f t="shared" si="7"/>
        <v>-1.538268418</v>
      </c>
      <c r="AJ392" s="124">
        <f t="shared" si="8"/>
        <v>-0.9904316579</v>
      </c>
      <c r="AK392" s="124">
        <f t="shared" si="9"/>
        <v>-0.05725184499</v>
      </c>
      <c r="AL392" s="124">
        <f t="shared" si="10"/>
        <v>-0.135906824</v>
      </c>
      <c r="AM392" s="124">
        <f t="shared" si="11"/>
        <v>0</v>
      </c>
      <c r="AN392" s="183">
        <f t="shared" si="12"/>
        <v>-2.53998574</v>
      </c>
      <c r="AO392" s="183">
        <f t="shared" si="13"/>
        <v>-4.078254158</v>
      </c>
      <c r="AP392" s="183">
        <f t="array" ref="AP392">INDIRECT("Update"&amp;Projections!$AG$17&amp;"!S"&amp;ROW(B373))</f>
        <v>2.953529412</v>
      </c>
      <c r="AQ392" s="183">
        <f t="array" ref="AQ392">INDIRECT("Update"&amp;Projections!$AG$17&amp;"!T"&amp;ROW(B373))</f>
        <v>0.4726470588</v>
      </c>
    </row>
    <row r="393">
      <c r="A393" s="40" t="str">
        <f>IF(UpdateHashtag!C391="",ROW(UpdateHashtag!C391),UpdateHashtag!C391)</f>
        <v>Matt Ryan</v>
      </c>
      <c r="B393" s="41">
        <f>IF(TYPE($A393)=1,"",(UpdateHashtag!M391-B$1)/B$2)</f>
        <v>-2.35930597</v>
      </c>
      <c r="C393" s="41">
        <f>IF(TYPE($A393)=1,"",(UpdateHashtag!L391-C$1)/C$2)</f>
        <v>-0.5442381251</v>
      </c>
      <c r="D393" s="41">
        <f>IF(TYPE($A393)=1,"",(UpdateHashtag!N391-D$1)/D$2)</f>
        <v>-1.953003198</v>
      </c>
      <c r="E393" s="41">
        <f>IF(TYPE($A393)=1,"",(UpdateHashtag!O391-E$1)/E$2)</f>
        <v>-1.559208539</v>
      </c>
      <c r="F393" s="41">
        <f>IF(TYPE($A393)=1,"",(UpdateHashtag!P391-F$1)/F$2)</f>
        <v>-2.567251182</v>
      </c>
      <c r="G393" s="41">
        <f>IF(TYPE($A393)=1,"",(UpdateHashtag!Q391-G$1)/G$2)</f>
        <v>-1.335357671</v>
      </c>
      <c r="H393" s="41">
        <f>IF(TYPE($A393)=1,"",(UpdateHashtag!I391-H$1)/H$2*I393/$I$1)</f>
        <v>-0.3918264646</v>
      </c>
      <c r="I393" s="41">
        <f>UpdateHashtag!S391</f>
        <v>3.5</v>
      </c>
      <c r="J393" s="53">
        <f>IF(TYPE($A393)=1,"",(UpdateHashtag!K391-J$1)/J$2*K393/$K$1)</f>
        <v>0.1208774659</v>
      </c>
      <c r="K393" s="55">
        <f>UpdateHashtag!T391</f>
        <v>0.4</v>
      </c>
      <c r="L393" s="41">
        <f>IF(TYPE($A393)=1,"",-(UpdateHashtag!R391-L$1)/L$2)</f>
        <v>1.337780956</v>
      </c>
      <c r="N393" s="5">
        <v>373.0</v>
      </c>
      <c r="O393" s="170" t="str">
        <f t="array" ref="O393">INDIRECT("Update"&amp;Projections!$AG$17&amp;"!B"&amp;ROW(B374))</f>
        <v>#N/A</v>
      </c>
      <c r="P393" s="172" t="str">
        <f t="array" ref="P393">INDIRECT("Update"&amp;Projections!$AG$17&amp;"!C"&amp;ROW(B374))</f>
        <v>KJ Martin</v>
      </c>
      <c r="Q393" s="170" t="str">
        <f>UpdateHashtag!F425</f>
        <v/>
      </c>
      <c r="R393" s="177">
        <f>IF(UpdateHashtag!D425="",ROW(UpdateHashtag!D425),UpdateHashtag!D425)</f>
        <v>425</v>
      </c>
      <c r="S393" s="124">
        <f t="shared" si="1"/>
        <v>-9.449456484</v>
      </c>
      <c r="T393" s="124">
        <f>SUM(AE393:AM393)-IFERROR(IFS(Projections!$I$17,AN393,Projections!$J$17,AO393),"")</f>
        <v>-9.75372177</v>
      </c>
      <c r="U393" s="124">
        <f t="shared" si="2"/>
        <v>-0.3042652856</v>
      </c>
      <c r="V393" s="124">
        <f t="array" ref="V393">INDIRECT("Update"&amp;Projections!$AG$17&amp;"!M"&amp;ROW(B374))</f>
        <v>3.640851064</v>
      </c>
      <c r="W393" s="124">
        <f t="array" ref="W393">INDIRECT("Update"&amp;Projections!$AG$17&amp;"!L"&amp;ROW(B374))</f>
        <v>0.1044680851</v>
      </c>
      <c r="X393" s="124">
        <f t="array" ref="X393">INDIRECT("Update"&amp;Projections!$AG$17&amp;"!N"&amp;ROW(B374))</f>
        <v>2.80106383</v>
      </c>
      <c r="Y393" s="124">
        <f t="array" ref="Y393">INDIRECT("Update"&amp;Projections!$AG$17&amp;"!O"&amp;ROW(B374))</f>
        <v>0.7395744681</v>
      </c>
      <c r="Z393" s="124">
        <f t="array" ref="Z393">INDIRECT("Update"&amp;Projections!$AG$17&amp;"!P"&amp;ROW(B374))</f>
        <v>0.3057446809</v>
      </c>
      <c r="AA393" s="124">
        <f t="array" ref="AA393">INDIRECT("Update"&amp;Projections!$AG$17&amp;"!Q"&amp;ROW(B374))</f>
        <v>0.3429787234</v>
      </c>
      <c r="AB393" s="180">
        <f t="array" ref="AB393">INDIRECT("Update"&amp;Projections!$AG$17&amp;"!I"&amp;ROW(B374))</f>
        <v>0.5701760849</v>
      </c>
      <c r="AC393" s="180">
        <f t="array" ref="AC393">INDIRECT("Update"&amp;Projections!$AG$17&amp;"!K"&amp;ROW(B374))</f>
        <v>0.6479591837</v>
      </c>
      <c r="AD393" s="124">
        <f t="array" ref="AD393">INDIRECT("Update"&amp;Projections!$AG$17&amp;"!R"&amp;ROW(B374))</f>
        <v>0.5217021277</v>
      </c>
      <c r="AE393" s="124">
        <f t="shared" si="3"/>
        <v>-2.496146847</v>
      </c>
      <c r="AF393" s="124">
        <f t="shared" si="4"/>
        <v>-1.630927497</v>
      </c>
      <c r="AG393" s="124">
        <f t="shared" si="5"/>
        <v>-1.286344382</v>
      </c>
      <c r="AH393" s="124">
        <f t="shared" si="6"/>
        <v>-1.450408571</v>
      </c>
      <c r="AI393" s="124">
        <f t="shared" si="7"/>
        <v>-2.21741464</v>
      </c>
      <c r="AJ393" s="124">
        <f t="shared" si="8"/>
        <v>-0.7236044172</v>
      </c>
      <c r="AK393" s="124">
        <f t="shared" si="9"/>
        <v>0.2449744346</v>
      </c>
      <c r="AL393" s="124">
        <f t="shared" si="10"/>
        <v>-0.1938498503</v>
      </c>
      <c r="AM393" s="124">
        <f t="shared" si="11"/>
        <v>0</v>
      </c>
      <c r="AN393" s="183">
        <f t="shared" si="12"/>
        <v>-2.496146847</v>
      </c>
      <c r="AO393" s="183">
        <f t="shared" si="13"/>
        <v>-4.713561486</v>
      </c>
      <c r="AP393" s="183">
        <f t="array" ref="AP393">INDIRECT("Update"&amp;Projections!$AG$17&amp;"!S"&amp;ROW(B374))</f>
        <v>2.88787234</v>
      </c>
      <c r="AQ393" s="183">
        <f t="array" ref="AQ393">INDIRECT("Update"&amp;Projections!$AG$17&amp;"!T"&amp;ROW(B374))</f>
        <v>0.3753191489</v>
      </c>
    </row>
    <row r="394">
      <c r="A394" s="40" t="str">
        <f>IF(UpdateHashtag!C392="",ROW(UpdateHashtag!C392),UpdateHashtag!C392)</f>
        <v>Ousmane Dieng</v>
      </c>
      <c r="B394" s="41">
        <f>IF(TYPE($A394)=1,"",(UpdateHashtag!M392-B$1)/B$2)</f>
        <v>-2.485484917</v>
      </c>
      <c r="C394" s="41">
        <f>IF(TYPE($A394)=1,"",(UpdateHashtag!L392-C$1)/C$2)</f>
        <v>-1.238588102</v>
      </c>
      <c r="D394" s="41">
        <f>IF(TYPE($A394)=1,"",(UpdateHashtag!N392-D$1)/D$2)</f>
        <v>-1.678668301</v>
      </c>
      <c r="E394" s="41">
        <f>IF(TYPE($A394)=1,"",(UpdateHashtag!O392-E$1)/E$2)</f>
        <v>-1.377553175</v>
      </c>
      <c r="F394" s="41">
        <f>IF(TYPE($A394)=1,"",(UpdateHashtag!P392-F$1)/F$2)</f>
        <v>-2.236419844</v>
      </c>
      <c r="G394" s="41">
        <f>IF(TYPE($A394)=1,"",(UpdateHashtag!Q392-G$1)/G$2)</f>
        <v>-1.156992888</v>
      </c>
      <c r="H394" s="41">
        <f>IF(TYPE($A394)=1,"",(UpdateHashtag!I392-H$1)/H$2*I394/$I$1)</f>
        <v>-0.288829288</v>
      </c>
      <c r="I394" s="41">
        <f>UpdateHashtag!S392</f>
        <v>3.3</v>
      </c>
      <c r="J394" s="53">
        <f>IF(TYPE($A394)=1,"",(UpdateHashtag!K392-J$1)/J$2*K394/$K$1)</f>
        <v>-0.06320702647</v>
      </c>
      <c r="K394" s="55">
        <f>UpdateHashtag!T392</f>
        <v>0.4</v>
      </c>
      <c r="L394" s="41">
        <f>IF(TYPE($A394)=1,"",-(UpdateHashtag!R392-L$1)/L$2)</f>
        <v>1.238588102</v>
      </c>
      <c r="N394" s="112">
        <v>374.0</v>
      </c>
      <c r="O394" s="170" t="str">
        <f t="array" ref="O394">INDIRECT("Update"&amp;Projections!$AG$17&amp;"!B"&amp;ROW(B375))</f>
        <v/>
      </c>
      <c r="P394" s="172" t="str">
        <f t="array" ref="P394">INDIRECT("Update"&amp;Projections!$AG$17&amp;"!C"&amp;ROW(B375))</f>
        <v>Ousmane Dieng</v>
      </c>
      <c r="Q394" s="170" t="str">
        <f>UpdateHashtag!F433</f>
        <v/>
      </c>
      <c r="R394" s="177">
        <f>IF(UpdateHashtag!D433="",ROW(UpdateHashtag!D433),UpdateHashtag!D433)</f>
        <v>433</v>
      </c>
      <c r="S394" s="124">
        <f t="shared" si="1"/>
        <v>-9.322711438</v>
      </c>
      <c r="T394" s="124">
        <f>SUM(AE394:AM394)-IFERROR(IFS(Projections!$I$17,AN394,Projections!$J$17,AO394),"")</f>
        <v>-9.573725975</v>
      </c>
      <c r="U394" s="124">
        <f t="shared" si="2"/>
        <v>-0.2510145373</v>
      </c>
      <c r="V394" s="124">
        <f t="array" ref="V394">INDIRECT("Update"&amp;Projections!$AG$17&amp;"!M"&amp;ROW(B375))</f>
        <v>5.043424658</v>
      </c>
      <c r="W394" s="124">
        <f t="array" ref="W394">INDIRECT("Update"&amp;Projections!$AG$17&amp;"!L"&amp;ROW(B375))</f>
        <v>0.7804109589</v>
      </c>
      <c r="X394" s="124">
        <f t="array" ref="X394">INDIRECT("Update"&amp;Projections!$AG$17&amp;"!N"&amp;ROW(B375))</f>
        <v>1.826438356</v>
      </c>
      <c r="Y394" s="124">
        <f t="array" ref="Y394">INDIRECT("Update"&amp;Projections!$AG$17&amp;"!O"&amp;ROW(B375))</f>
        <v>1.312191781</v>
      </c>
      <c r="Z394" s="124">
        <f t="array" ref="Z394">INDIRECT("Update"&amp;Projections!$AG$17&amp;"!P"&amp;ROW(B375))</f>
        <v>0.3336986301</v>
      </c>
      <c r="AA394" s="124">
        <f t="array" ref="AA394">INDIRECT("Update"&amp;Projections!$AG$17&amp;"!Q"&amp;ROW(B375))</f>
        <v>0.1738356164</v>
      </c>
      <c r="AB394" s="180">
        <f t="array" ref="AB394">INDIRECT("Update"&amp;Projections!$AG$17&amp;"!I"&amp;ROW(B375))</f>
        <v>0.4228032893</v>
      </c>
      <c r="AC394" s="180">
        <f t="array" ref="AC394">INDIRECT("Update"&amp;Projections!$AG$17&amp;"!K"&amp;ROW(B375))</f>
        <v>0.805983282</v>
      </c>
      <c r="AD394" s="124">
        <f t="array" ref="AD394">INDIRECT("Update"&amp;Projections!$AG$17&amp;"!R"&amp;ROW(B375))</f>
        <v>0.7364383562</v>
      </c>
      <c r="AE394" s="124">
        <f t="shared" si="3"/>
        <v>-2.243325048</v>
      </c>
      <c r="AF394" s="124">
        <f t="shared" si="4"/>
        <v>-0.9604404696</v>
      </c>
      <c r="AG394" s="124">
        <f t="shared" si="5"/>
        <v>-1.668306924</v>
      </c>
      <c r="AH394" s="124">
        <f t="shared" si="6"/>
        <v>-1.190361056</v>
      </c>
      <c r="AI394" s="124">
        <f t="shared" si="7"/>
        <v>-2.124934216</v>
      </c>
      <c r="AJ394" s="124">
        <f t="shared" si="8"/>
        <v>-1.025296152</v>
      </c>
      <c r="AK394" s="124">
        <f t="shared" si="9"/>
        <v>-0.3851342524</v>
      </c>
      <c r="AL394" s="124">
        <f t="shared" si="10"/>
        <v>0.02407214175</v>
      </c>
      <c r="AM394" s="124">
        <f t="shared" si="11"/>
        <v>0</v>
      </c>
      <c r="AN394" s="183">
        <f t="shared" si="12"/>
        <v>-2.243325048</v>
      </c>
      <c r="AO394" s="183">
        <f t="shared" si="13"/>
        <v>-4.368259263</v>
      </c>
      <c r="AP394" s="183">
        <f t="array" ref="AP394">INDIRECT("Update"&amp;Projections!$AG$17&amp;"!S"&amp;ROW(B375))</f>
        <v>4.447808219</v>
      </c>
      <c r="AQ394" s="183">
        <f t="array" ref="AQ394">INDIRECT("Update"&amp;Projections!$AG$17&amp;"!T"&amp;ROW(B375))</f>
        <v>0.622739726</v>
      </c>
    </row>
    <row r="395">
      <c r="A395" s="40" t="str">
        <f>IF(UpdateHashtag!C393="",ROW(UpdateHashtag!C393),UpdateHashtag!C393)</f>
        <v>Kris Murray</v>
      </c>
      <c r="B395" s="41">
        <f>IF(TYPE($A395)=1,"",(UpdateHashtag!M393-B$1)/B$2)</f>
        <v>-2.575612737</v>
      </c>
      <c r="C395" s="41">
        <f>IF(TYPE($A395)=1,"",(UpdateHashtag!L393-C$1)/C$2)</f>
        <v>-1.337780956</v>
      </c>
      <c r="D395" s="41">
        <f>IF(TYPE($A395)=1,"",(UpdateHashtag!N393-D$1)/D$2)</f>
        <v>-1.639477601</v>
      </c>
      <c r="E395" s="41">
        <f>IF(TYPE($A395)=1,"",(UpdateHashtag!O393-E$1)/E$2)</f>
        <v>-1.468380857</v>
      </c>
      <c r="F395" s="41">
        <f>IF(TYPE($A395)=1,"",(UpdateHashtag!P393-F$1)/F$2)</f>
        <v>-1.905588506</v>
      </c>
      <c r="G395" s="41">
        <f>IF(TYPE($A395)=1,"",(UpdateHashtag!Q393-G$1)/G$2)</f>
        <v>-0.978628106</v>
      </c>
      <c r="H395" s="41">
        <f>IF(TYPE($A395)=1,"",(UpdateHashtag!I393-H$1)/H$2*I395/$I$1)</f>
        <v>-0.3614694999</v>
      </c>
      <c r="I395" s="41">
        <f>UpdateHashtag!S393</f>
        <v>3.1</v>
      </c>
      <c r="J395" s="53">
        <f>IF(TYPE($A395)=1,"",(UpdateHashtag!K393-J$1)/J$2*K395/$K$1)</f>
        <v>-0.2370966105</v>
      </c>
      <c r="K395" s="55">
        <f>UpdateHashtag!T393</f>
        <v>0.5</v>
      </c>
      <c r="L395" s="41">
        <f>IF(TYPE($A395)=1,"",-(UpdateHashtag!R393-L$1)/L$2)</f>
        <v>1.238588102</v>
      </c>
      <c r="N395" s="112">
        <v>375.0</v>
      </c>
      <c r="O395" s="170" t="str">
        <f t="array" ref="O395">INDIRECT("Update"&amp;Projections!$AG$17&amp;"!B"&amp;ROW(B376))</f>
        <v>#N/A</v>
      </c>
      <c r="P395" s="172" t="str">
        <f t="array" ref="P395">INDIRECT("Update"&amp;Projections!$AG$17&amp;"!C"&amp;ROW(B376))</f>
        <v>Jordan Miller</v>
      </c>
      <c r="Q395" s="170" t="str">
        <f>UpdateHashtag!F439</f>
        <v/>
      </c>
      <c r="R395" s="177">
        <f>IF(UpdateHashtag!D439="",ROW(UpdateHashtag!D439),UpdateHashtag!D439)</f>
        <v>439</v>
      </c>
      <c r="S395" s="124">
        <f t="shared" si="1"/>
        <v>-9.340083058</v>
      </c>
      <c r="T395" s="124">
        <f>SUM(AE395:AM395)-IFERROR(IFS(Projections!$I$17,AN395,Projections!$J$17,AO395),"")</f>
        <v>-9.64638015</v>
      </c>
      <c r="U395" s="124">
        <f t="shared" si="2"/>
        <v>-0.3062970915</v>
      </c>
      <c r="V395" s="124">
        <f t="array" ref="V395">INDIRECT("Update"&amp;Projections!$AG$17&amp;"!M"&amp;ROW(B376))</f>
        <v>5.650877193</v>
      </c>
      <c r="W395" s="124">
        <f t="array" ref="W395">INDIRECT("Update"&amp;Projections!$AG$17&amp;"!L"&amp;ROW(B376))</f>
        <v>0.4564912281</v>
      </c>
      <c r="X395" s="124">
        <f t="array" ref="X395">INDIRECT("Update"&amp;Projections!$AG$17&amp;"!N"&amp;ROW(B376))</f>
        <v>2.265614035</v>
      </c>
      <c r="Y395" s="124">
        <f t="array" ref="Y395">INDIRECT("Update"&amp;Projections!$AG$17&amp;"!O"&amp;ROW(B376))</f>
        <v>0.7152631579</v>
      </c>
      <c r="Z395" s="124">
        <f t="array" ref="Z395">INDIRECT("Update"&amp;Projections!$AG$17&amp;"!P"&amp;ROW(B376))</f>
        <v>0.4126315789</v>
      </c>
      <c r="AA395" s="124">
        <f t="array" ref="AA395">INDIRECT("Update"&amp;Projections!$AG$17&amp;"!Q"&amp;ROW(B376))</f>
        <v>0.1375438596</v>
      </c>
      <c r="AB395" s="180">
        <f t="array" ref="AB395">INDIRECT("Update"&amp;Projections!$AG$17&amp;"!I"&amp;ROW(B376))</f>
        <v>0.4731918355</v>
      </c>
      <c r="AC395" s="180">
        <f t="array" ref="AC395">INDIRECT("Update"&amp;Projections!$AG$17&amp;"!K"&amp;ROW(B376))</f>
        <v>0.7392265193</v>
      </c>
      <c r="AD395" s="124">
        <f t="array" ref="AD395">INDIRECT("Update"&amp;Projections!$AG$17&amp;"!R"&amp;ROW(B376))</f>
        <v>0.5135087719</v>
      </c>
      <c r="AE395" s="124">
        <f t="shared" si="3"/>
        <v>-2.133828303</v>
      </c>
      <c r="AF395" s="124">
        <f t="shared" si="4"/>
        <v>-1.281745695</v>
      </c>
      <c r="AG395" s="124">
        <f t="shared" si="5"/>
        <v>-1.496190903</v>
      </c>
      <c r="AH395" s="124">
        <f t="shared" si="6"/>
        <v>-1.461449271</v>
      </c>
      <c r="AI395" s="124">
        <f t="shared" si="7"/>
        <v>-1.863799285</v>
      </c>
      <c r="AJ395" s="124">
        <f t="shared" si="8"/>
        <v>-1.090027865</v>
      </c>
      <c r="AK395" s="124">
        <f t="shared" si="9"/>
        <v>-0.1327511856</v>
      </c>
      <c r="AL395" s="124">
        <f t="shared" si="10"/>
        <v>-0.1865876422</v>
      </c>
      <c r="AM395" s="124">
        <f t="shared" si="11"/>
        <v>0</v>
      </c>
      <c r="AN395" s="183">
        <f t="shared" si="12"/>
        <v>-2.133828303</v>
      </c>
      <c r="AO395" s="183">
        <f t="shared" si="13"/>
        <v>-3.997627588</v>
      </c>
      <c r="AP395" s="183">
        <f t="array" ref="AP395">INDIRECT("Update"&amp;Projections!$AG$17&amp;"!S"&amp;ROW(B376))</f>
        <v>4.744561404</v>
      </c>
      <c r="AQ395" s="183">
        <f t="array" ref="AQ395">INDIRECT("Update"&amp;Projections!$AG$17&amp;"!T"&amp;ROW(B376))</f>
        <v>0.9526315789</v>
      </c>
    </row>
    <row r="396">
      <c r="A396" s="40" t="str">
        <f>IF(UpdateHashtag!C394="",ROW(UpdateHashtag!C394),UpdateHashtag!C394)</f>
        <v>Garrett Temple</v>
      </c>
      <c r="B396" s="41">
        <f>IF(TYPE($A396)=1,"",(UpdateHashtag!M394-B$1)/B$2)</f>
        <v>-2.68376612</v>
      </c>
      <c r="C396" s="41">
        <f>IF(TYPE($A396)=1,"",(UpdateHashtag!L394-C$1)/C$2)</f>
        <v>-1.337780956</v>
      </c>
      <c r="D396" s="41">
        <f>IF(TYPE($A396)=1,"",(UpdateHashtag!N394-D$1)/D$2)</f>
        <v>-1.913812499</v>
      </c>
      <c r="E396" s="41">
        <f>IF(TYPE($A396)=1,"",(UpdateHashtag!O394-E$1)/E$2)</f>
        <v>-1.422967016</v>
      </c>
      <c r="F396" s="41">
        <f>IF(TYPE($A396)=1,"",(UpdateHashtag!P394-F$1)/F$2)</f>
        <v>-1.905588506</v>
      </c>
      <c r="G396" s="41">
        <f>IF(TYPE($A396)=1,"",(UpdateHashtag!Q394-G$1)/G$2)</f>
        <v>-1.156992888</v>
      </c>
      <c r="H396" s="41">
        <f>IF(TYPE($A396)=1,"",(UpdateHashtag!I394-H$1)/H$2*I396/$I$1)</f>
        <v>-0.3029655776</v>
      </c>
      <c r="I396" s="41">
        <f>UpdateHashtag!S394</f>
        <v>2.3</v>
      </c>
      <c r="J396" s="53">
        <f>IF(TYPE($A396)=1,"",(UpdateHashtag!K394-J$1)/J$2*K396/$K$1)</f>
        <v>0.03692229036</v>
      </c>
      <c r="K396" s="55">
        <f>UpdateHashtag!T394</f>
        <v>0.5</v>
      </c>
      <c r="L396" s="41">
        <f>IF(TYPE($A396)=1,"",-(UpdateHashtag!R394-L$1)/L$2)</f>
        <v>1.43697381</v>
      </c>
      <c r="N396" s="5">
        <v>376.0</v>
      </c>
      <c r="O396" s="170" t="str">
        <f t="array" ref="O396">INDIRECT("Update"&amp;Projections!$AG$17&amp;"!B"&amp;ROW(B377))</f>
        <v/>
      </c>
      <c r="P396" s="172" t="str">
        <f t="array" ref="P396">INDIRECT("Update"&amp;Projections!$AG$17&amp;"!C"&amp;ROW(B377))</f>
        <v>Jay Huff</v>
      </c>
      <c r="Q396" s="170" t="str">
        <f>UpdateHashtag!F435</f>
        <v/>
      </c>
      <c r="R396" s="177">
        <f>IF(UpdateHashtag!D435="",ROW(UpdateHashtag!D435),UpdateHashtag!D435)</f>
        <v>435</v>
      </c>
      <c r="S396" s="124">
        <f t="shared" si="1"/>
        <v>-9.432012574</v>
      </c>
      <c r="T396" s="124">
        <f>SUM(AE396:AM396)-IFERROR(IFS(Projections!$I$17,AN396,Projections!$J$17,AO396),"")</f>
        <v>-9.766302824</v>
      </c>
      <c r="U396" s="124">
        <f t="shared" si="2"/>
        <v>-0.3342902502</v>
      </c>
      <c r="V396" s="124">
        <f t="array" ref="V396">INDIRECT("Update"&amp;Projections!$AG$17&amp;"!M"&amp;ROW(B377))</f>
        <v>3.08</v>
      </c>
      <c r="W396" s="124">
        <f t="array" ref="W396">INDIRECT("Update"&amp;Projections!$AG$17&amp;"!L"&amp;ROW(B377))</f>
        <v>0.330625</v>
      </c>
      <c r="X396" s="124">
        <f t="array" ref="X396">INDIRECT("Update"&amp;Projections!$AG$17&amp;"!N"&amp;ROW(B377))</f>
        <v>2.136875</v>
      </c>
      <c r="Y396" s="124">
        <f t="array" ref="Y396">INDIRECT("Update"&amp;Projections!$AG$17&amp;"!O"&amp;ROW(B377))</f>
        <v>0.44125</v>
      </c>
      <c r="Z396" s="124">
        <f t="array" ref="Z396">INDIRECT("Update"&amp;Projections!$AG$17&amp;"!P"&amp;ROW(B377))</f>
        <v>0.3125</v>
      </c>
      <c r="AA396" s="124">
        <f t="array" ref="AA396">INDIRECT("Update"&amp;Projections!$AG$17&amp;"!Q"&amp;ROW(B377))</f>
        <v>0.523125</v>
      </c>
      <c r="AB396" s="180">
        <f t="array" ref="AB396">INDIRECT("Update"&amp;Projections!$AG$17&amp;"!I"&amp;ROW(B377))</f>
        <v>0.5147058824</v>
      </c>
      <c r="AC396" s="180">
        <f t="array" ref="AC396">INDIRECT("Update"&amp;Projections!$AG$17&amp;"!K"&amp;ROW(B377))</f>
        <v>0.7512135922</v>
      </c>
      <c r="AD396" s="124">
        <f t="array" ref="AD396">INDIRECT("Update"&amp;Projections!$AG$17&amp;"!R"&amp;ROW(B377))</f>
        <v>0.400625</v>
      </c>
      <c r="AE396" s="124">
        <f t="shared" si="3"/>
        <v>-2.597243413</v>
      </c>
      <c r="AF396" s="124">
        <f t="shared" si="4"/>
        <v>-1.406595999</v>
      </c>
      <c r="AG396" s="124">
        <f t="shared" si="5"/>
        <v>-1.546644632</v>
      </c>
      <c r="AH396" s="124">
        <f t="shared" si="6"/>
        <v>-1.585889171</v>
      </c>
      <c r="AI396" s="124">
        <f t="shared" si="7"/>
        <v>-2.195065927</v>
      </c>
      <c r="AJ396" s="124">
        <f t="shared" si="8"/>
        <v>-0.4022869029</v>
      </c>
      <c r="AK396" s="124">
        <f t="shared" si="9"/>
        <v>0.04660660248</v>
      </c>
      <c r="AL396" s="124">
        <f t="shared" si="10"/>
        <v>-0.07918338237</v>
      </c>
      <c r="AM396" s="124">
        <f t="shared" si="11"/>
        <v>0</v>
      </c>
      <c r="AN396" s="183">
        <f t="shared" si="12"/>
        <v>-2.597243413</v>
      </c>
      <c r="AO396" s="183">
        <f t="shared" si="13"/>
        <v>-4.792309341</v>
      </c>
      <c r="AP396" s="183">
        <f t="array" ref="AP396">INDIRECT("Update"&amp;Projections!$AG$17&amp;"!S"&amp;ROW(B377))</f>
        <v>2.295</v>
      </c>
      <c r="AQ396" s="183">
        <f t="array" ref="AQ396">INDIRECT("Update"&amp;Projections!$AG$17&amp;"!T"&amp;ROW(B377))</f>
        <v>0.515</v>
      </c>
    </row>
    <row r="397">
      <c r="A397" s="40" t="str">
        <f>IF(UpdateHashtag!C395="",ROW(UpdateHashtag!C395),UpdateHashtag!C395)</f>
        <v>Terrence Shannon Jr.</v>
      </c>
      <c r="B397" s="41">
        <f>IF(TYPE($A397)=1,"",(UpdateHashtag!M395-B$1)/B$2)</f>
        <v>-2.395357098</v>
      </c>
      <c r="C397" s="41">
        <f>IF(TYPE($A397)=1,"",(UpdateHashtag!L395-C$1)/C$2)</f>
        <v>-1.337780956</v>
      </c>
      <c r="D397" s="41">
        <f>IF(TYPE($A397)=1,"",(UpdateHashtag!N395-D$1)/D$2)</f>
        <v>-2.109765997</v>
      </c>
      <c r="E397" s="41">
        <f>IF(TYPE($A397)=1,"",(UpdateHashtag!O395-E$1)/E$2)</f>
        <v>-1.60462238</v>
      </c>
      <c r="F397" s="41">
        <f>IF(TYPE($A397)=1,"",(UpdateHashtag!P395-F$1)/F$2)</f>
        <v>-2.567251182</v>
      </c>
      <c r="G397" s="41">
        <f>IF(TYPE($A397)=1,"",(UpdateHashtag!Q395-G$1)/G$2)</f>
        <v>-0.978628106</v>
      </c>
      <c r="H397" s="41">
        <f>IF(TYPE($A397)=1,"",(UpdateHashtag!I395-H$1)/H$2*I397/$I$1)</f>
        <v>-0.06727881281</v>
      </c>
      <c r="I397" s="41">
        <f>UpdateHashtag!S395</f>
        <v>2.6</v>
      </c>
      <c r="J397" s="53">
        <f>IF(TYPE($A397)=1,"",(UpdateHashtag!K395-J$1)/J$2*K397/$K$1)</f>
        <v>0.0338378212</v>
      </c>
      <c r="K397" s="55">
        <f>UpdateHashtag!T395</f>
        <v>1.6</v>
      </c>
      <c r="L397" s="41">
        <f>IF(TYPE($A397)=1,"",-(UpdateHashtag!R395-L$1)/L$2)</f>
        <v>1.337780956</v>
      </c>
      <c r="N397" s="5">
        <v>377.0</v>
      </c>
      <c r="O397" s="170" t="str">
        <f t="array" ref="O397">INDIRECT("Update"&amp;Projections!$AG$17&amp;"!B"&amp;ROW(B378))</f>
        <v/>
      </c>
      <c r="P397" s="172" t="str">
        <f t="array" ref="P397">INDIRECT("Update"&amp;Projections!$AG$17&amp;"!C"&amp;ROW(B378))</f>
        <v>Andre Jackson Jr.</v>
      </c>
      <c r="Q397" s="170" t="str">
        <f>UpdateHashtag!F431</f>
        <v/>
      </c>
      <c r="R397" s="177">
        <f>IF(UpdateHashtag!D431="",ROW(UpdateHashtag!D431),UpdateHashtag!D431)</f>
        <v>431</v>
      </c>
      <c r="S397" s="124">
        <f t="shared" si="1"/>
        <v>-9.501621998</v>
      </c>
      <c r="T397" s="124">
        <f>SUM(AE397:AM397)-IFERROR(IFS(Projections!$I$17,AN397,Projections!$J$17,AO397),"")</f>
        <v>-9.778725615</v>
      </c>
      <c r="U397" s="124">
        <f t="shared" si="2"/>
        <v>-0.2771036167</v>
      </c>
      <c r="V397" s="124">
        <f t="array" ref="V397">INDIRECT("Update"&amp;Projections!$AG$17&amp;"!M"&amp;ROW(B378))</f>
        <v>2.664383562</v>
      </c>
      <c r="W397" s="124">
        <f t="array" ref="W397">INDIRECT("Update"&amp;Projections!$AG$17&amp;"!L"&amp;ROW(B378))</f>
        <v>0.3405479452</v>
      </c>
      <c r="X397" s="124">
        <f t="array" ref="X397">INDIRECT("Update"&amp;Projections!$AG$17&amp;"!N"&amp;ROW(B378))</f>
        <v>2.842191781</v>
      </c>
      <c r="Y397" s="124">
        <f t="array" ref="Y397">INDIRECT("Update"&amp;Projections!$AG$17&amp;"!O"&amp;ROW(B378))</f>
        <v>1.072465753</v>
      </c>
      <c r="Z397" s="124">
        <f t="array" ref="Z397">INDIRECT("Update"&amp;Projections!$AG$17&amp;"!P"&amp;ROW(B378))</f>
        <v>0.3667123288</v>
      </c>
      <c r="AA397" s="124">
        <f t="array" ref="AA397">INDIRECT("Update"&amp;Projections!$AG$17&amp;"!Q"&amp;ROW(B378))</f>
        <v>0.2145205479</v>
      </c>
      <c r="AB397" s="180">
        <f t="array" ref="AB397">INDIRECT("Update"&amp;Projections!$AG$17&amp;"!I"&amp;ROW(B378))</f>
        <v>0.4561759926</v>
      </c>
      <c r="AC397" s="180">
        <f t="array" ref="AC397">INDIRECT("Update"&amp;Projections!$AG$17&amp;"!K"&amp;ROW(B378))</f>
        <v>0.7235772358</v>
      </c>
      <c r="AD397" s="124">
        <f t="array" ref="AD397">INDIRECT("Update"&amp;Projections!$AG$17&amp;"!R"&amp;ROW(B378))</f>
        <v>0.6312328767</v>
      </c>
      <c r="AE397" s="124">
        <f t="shared" si="3"/>
        <v>-2.67216062</v>
      </c>
      <c r="AF397" s="124">
        <f t="shared" si="4"/>
        <v>-1.396753146</v>
      </c>
      <c r="AG397" s="124">
        <f t="shared" si="5"/>
        <v>-1.27022605</v>
      </c>
      <c r="AH397" s="124">
        <f t="shared" si="6"/>
        <v>-1.299229853</v>
      </c>
      <c r="AI397" s="124">
        <f t="shared" si="7"/>
        <v>-2.015714554</v>
      </c>
      <c r="AJ397" s="124">
        <f t="shared" si="8"/>
        <v>-0.9527285624</v>
      </c>
      <c r="AK397" s="124">
        <f t="shared" si="9"/>
        <v>-0.1127415127</v>
      </c>
      <c r="AL397" s="124">
        <f t="shared" si="10"/>
        <v>-0.05917131612</v>
      </c>
      <c r="AM397" s="124">
        <f t="shared" si="11"/>
        <v>0</v>
      </c>
      <c r="AN397" s="183">
        <f t="shared" si="12"/>
        <v>-2.67216062</v>
      </c>
      <c r="AO397" s="183">
        <f t="shared" si="13"/>
        <v>-4.687875174</v>
      </c>
      <c r="AP397" s="183">
        <f t="array" ref="AP397">INDIRECT("Update"&amp;Projections!$AG$17&amp;"!S"&amp;ROW(B378))</f>
        <v>2.36</v>
      </c>
      <c r="AQ397" s="183">
        <f t="array" ref="AQ397">INDIRECT("Update"&amp;Projections!$AG$17&amp;"!T"&amp;ROW(B378))</f>
        <v>0.235890411</v>
      </c>
    </row>
    <row r="398">
      <c r="A398" s="40" t="str">
        <f>IF(UpdateHashtag!C396="",ROW(UpdateHashtag!C396),UpdateHashtag!C396)</f>
        <v>Jamal Shead</v>
      </c>
      <c r="B398" s="41">
        <f>IF(TYPE($A398)=1,"",(UpdateHashtag!M396-B$1)/B$2)</f>
        <v>-2.701791684</v>
      </c>
      <c r="C398" s="41">
        <f>IF(TYPE($A398)=1,"",(UpdateHashtag!L396-C$1)/C$2)</f>
        <v>-1.536166664</v>
      </c>
      <c r="D398" s="41">
        <f>IF(TYPE($A398)=1,"",(UpdateHashtag!N396-D$1)/D$2)</f>
        <v>-2.109765997</v>
      </c>
      <c r="E398" s="41">
        <f>IF(TYPE($A398)=1,"",(UpdateHashtag!O396-E$1)/E$2)</f>
        <v>-1.241311653</v>
      </c>
      <c r="F398" s="41">
        <f>IF(TYPE($A398)=1,"",(UpdateHashtag!P396-F$1)/F$2)</f>
        <v>-1.905588506</v>
      </c>
      <c r="G398" s="41">
        <f>IF(TYPE($A398)=1,"",(UpdateHashtag!Q396-G$1)/G$2)</f>
        <v>-1.156992888</v>
      </c>
      <c r="H398" s="41">
        <f>IF(TYPE($A398)=1,"",(UpdateHashtag!I396-H$1)/H$2*I398/$I$1)</f>
        <v>-0.2414343335</v>
      </c>
      <c r="I398" s="41">
        <f>UpdateHashtag!S396</f>
        <v>2.3</v>
      </c>
      <c r="J398" s="53">
        <f>IF(TYPE($A398)=1,"",(UpdateHashtag!K396-J$1)/J$2*K398/$K$1)</f>
        <v>-0.02982590344</v>
      </c>
      <c r="K398" s="55">
        <f>UpdateHashtag!T396</f>
        <v>0.5</v>
      </c>
      <c r="L398" s="41">
        <f>IF(TYPE($A398)=1,"",-(UpdateHashtag!R396-L$1)/L$2)</f>
        <v>1.337780956</v>
      </c>
      <c r="N398" s="112">
        <v>378.0</v>
      </c>
      <c r="O398" s="170" t="str">
        <f t="array" ref="O398">INDIRECT("Update"&amp;Projections!$AG$17&amp;"!B"&amp;ROW(B379))</f>
        <v>#N/A</v>
      </c>
      <c r="P398" s="172" t="str">
        <f t="array" ref="P398">INDIRECT("Update"&amp;Projections!$AG$17&amp;"!C"&amp;ROW(B379))</f>
        <v>Dominick Barlow</v>
      </c>
      <c r="Q398" s="170" t="str">
        <f>UpdateHashtag!F443</f>
        <v/>
      </c>
      <c r="R398" s="177">
        <f>IF(UpdateHashtag!D443="",ROW(UpdateHashtag!D443),UpdateHashtag!D443)</f>
        <v>443</v>
      </c>
      <c r="S398" s="124">
        <f t="shared" si="1"/>
        <v>-9.59385001</v>
      </c>
      <c r="T398" s="124">
        <f>SUM(AE398:AM398)-IFERROR(IFS(Projections!$I$17,AN398,Projections!$J$17,AO398),"")</f>
        <v>-9.936509658</v>
      </c>
      <c r="U398" s="124">
        <f t="shared" si="2"/>
        <v>-0.3426596473</v>
      </c>
      <c r="V398" s="124">
        <f t="array" ref="V398">INDIRECT("Update"&amp;Projections!$AG$17&amp;"!M"&amp;ROW(B379))</f>
        <v>3.851875</v>
      </c>
      <c r="W398" s="124">
        <f t="array" ref="W398">INDIRECT("Update"&amp;Projections!$AG$17&amp;"!L"&amp;ROW(B379))</f>
        <v>0.045</v>
      </c>
      <c r="X398" s="124">
        <f t="array" ref="X398">INDIRECT("Update"&amp;Projections!$AG$17&amp;"!N"&amp;ROW(B379))</f>
        <v>2.773125</v>
      </c>
      <c r="Y398" s="124">
        <f t="array" ref="Y398">INDIRECT("Update"&amp;Projections!$AG$17&amp;"!O"&amp;ROW(B379))</f>
        <v>0.916875</v>
      </c>
      <c r="Z398" s="124">
        <f t="array" ref="Z398">INDIRECT("Update"&amp;Projections!$AG$17&amp;"!P"&amp;ROW(B379))</f>
        <v>0.27</v>
      </c>
      <c r="AA398" s="124">
        <f t="array" ref="AA398">INDIRECT("Update"&amp;Projections!$AG$17&amp;"!Q"&amp;ROW(B379))</f>
        <v>0.44</v>
      </c>
      <c r="AB398" s="180">
        <f t="array" ref="AB398">INDIRECT("Update"&amp;Projections!$AG$17&amp;"!I"&amp;ROW(B379))</f>
        <v>0.522851153</v>
      </c>
      <c r="AC398" s="180">
        <f t="array" ref="AC398">INDIRECT("Update"&amp;Projections!$AG$17&amp;"!K"&amp;ROW(B379))</f>
        <v>0.701207883</v>
      </c>
      <c r="AD398" s="124">
        <f t="array" ref="AD398">INDIRECT("Update"&amp;Projections!$AG$17&amp;"!R"&amp;ROW(B379))</f>
        <v>0.366875</v>
      </c>
      <c r="AE398" s="124">
        <f t="shared" si="3"/>
        <v>-2.458108592</v>
      </c>
      <c r="AF398" s="124">
        <f t="shared" si="4"/>
        <v>-1.689915588</v>
      </c>
      <c r="AG398" s="124">
        <f t="shared" si="5"/>
        <v>-1.297293805</v>
      </c>
      <c r="AH398" s="124">
        <f t="shared" si="6"/>
        <v>-1.36988959</v>
      </c>
      <c r="AI398" s="124">
        <f t="shared" si="7"/>
        <v>-2.335669246</v>
      </c>
      <c r="AJ398" s="124">
        <f t="shared" si="8"/>
        <v>-0.5505526283</v>
      </c>
      <c r="AK398" s="124">
        <f t="shared" si="9"/>
        <v>0.08878804384</v>
      </c>
      <c r="AL398" s="124">
        <f t="shared" si="10"/>
        <v>-0.3238682525</v>
      </c>
      <c r="AM398" s="124">
        <f t="shared" si="11"/>
        <v>0</v>
      </c>
      <c r="AN398" s="183">
        <f t="shared" si="12"/>
        <v>-2.458108592</v>
      </c>
      <c r="AO398" s="183">
        <f t="shared" si="13"/>
        <v>-4.793777838</v>
      </c>
      <c r="AP398" s="183">
        <f t="array" ref="AP398">INDIRECT("Update"&amp;Projections!$AG$17&amp;"!S"&amp;ROW(B379))</f>
        <v>2.98125</v>
      </c>
      <c r="AQ398" s="183">
        <f t="array" ref="AQ398">INDIRECT("Update"&amp;Projections!$AG$17&amp;"!T"&amp;ROW(B379))</f>
        <v>0.983125</v>
      </c>
    </row>
    <row r="399">
      <c r="A399" s="40" t="str">
        <f>IF(UpdateHashtag!C397="",ROW(UpdateHashtag!C397),UpdateHashtag!C397)</f>
        <v>Blake Wesley</v>
      </c>
      <c r="B399" s="41">
        <f>IF(TYPE($A399)=1,"",(UpdateHashtag!M397-B$1)/B$2)</f>
        <v>-2.485484917</v>
      </c>
      <c r="C399" s="41">
        <f>IF(TYPE($A399)=1,"",(UpdateHashtag!L397-C$1)/C$2)</f>
        <v>-1.43697381</v>
      </c>
      <c r="D399" s="41">
        <f>IF(TYPE($A399)=1,"",(UpdateHashtag!N397-D$1)/D$2)</f>
        <v>-1.8354311</v>
      </c>
      <c r="E399" s="41">
        <f>IF(TYPE($A399)=1,"",(UpdateHashtag!O397-E$1)/E$2)</f>
        <v>-0.7871732431</v>
      </c>
      <c r="F399" s="41">
        <f>IF(TYPE($A399)=1,"",(UpdateHashtag!P397-F$1)/F$2)</f>
        <v>-1.905588506</v>
      </c>
      <c r="G399" s="41">
        <f>IF(TYPE($A399)=1,"",(UpdateHashtag!Q397-G$1)/G$2)</f>
        <v>-1.156992888</v>
      </c>
      <c r="H399" s="41">
        <f>IF(TYPE($A399)=1,"",(UpdateHashtag!I397-H$1)/H$2*I399/$I$1)</f>
        <v>-0.4040396605</v>
      </c>
      <c r="I399" s="41">
        <f>UpdateHashtag!S397</f>
        <v>3.5</v>
      </c>
      <c r="J399" s="53">
        <f>IF(TYPE($A399)=1,"",(UpdateHashtag!K397-J$1)/J$2*K399/$K$1)</f>
        <v>-0.558506729</v>
      </c>
      <c r="K399" s="55">
        <f>UpdateHashtag!T397</f>
        <v>1</v>
      </c>
      <c r="L399" s="41">
        <f>IF(TYPE($A399)=1,"",-(UpdateHashtag!R397-L$1)/L$2)</f>
        <v>0.7426238329</v>
      </c>
      <c r="N399" s="112">
        <v>379.0</v>
      </c>
      <c r="O399" s="170" t="str">
        <f t="array" ref="O399">INDIRECT("Update"&amp;Projections!$AG$17&amp;"!B"&amp;ROW(B380))</f>
        <v/>
      </c>
      <c r="P399" s="172" t="str">
        <f t="array" ref="P399">INDIRECT("Update"&amp;Projections!$AG$17&amp;"!C"&amp;ROW(B380))</f>
        <v>MarJon Beauchamp</v>
      </c>
      <c r="Q399" s="170" t="str">
        <f>UpdateHashtag!F434</f>
        <v/>
      </c>
      <c r="R399" s="177">
        <f>IF(UpdateHashtag!D434="",ROW(UpdateHashtag!D434),UpdateHashtag!D434)</f>
        <v>434</v>
      </c>
      <c r="S399" s="124">
        <f t="shared" si="1"/>
        <v>-9.575465866</v>
      </c>
      <c r="T399" s="124">
        <f>SUM(AE399:AM399)-IFERROR(IFS(Projections!$I$17,AN399,Projections!$J$17,AO399),"")</f>
        <v>-9.849551198</v>
      </c>
      <c r="U399" s="124">
        <f t="shared" si="2"/>
        <v>-0.2740853322</v>
      </c>
      <c r="V399" s="124">
        <f t="array" ref="V399">INDIRECT("Update"&amp;Projections!$AG$17&amp;"!M"&amp;ROW(B380))</f>
        <v>4.965957447</v>
      </c>
      <c r="W399" s="124">
        <f t="array" ref="W399">INDIRECT("Update"&amp;Projections!$AG$17&amp;"!L"&amp;ROW(B380))</f>
        <v>0.6625531915</v>
      </c>
      <c r="X399" s="124">
        <f t="array" ref="X399">INDIRECT("Update"&amp;Projections!$AG$17&amp;"!N"&amp;ROW(B380))</f>
        <v>2.413191489</v>
      </c>
      <c r="Y399" s="124">
        <f t="array" ref="Y399">INDIRECT("Update"&amp;Projections!$AG$17&amp;"!O"&amp;ROW(B380))</f>
        <v>0.6706382979</v>
      </c>
      <c r="Z399" s="124">
        <f t="array" ref="Z399">INDIRECT("Update"&amp;Projections!$AG$17&amp;"!P"&amp;ROW(B380))</f>
        <v>0.3217021277</v>
      </c>
      <c r="AA399" s="124">
        <f t="array" ref="AA399">INDIRECT("Update"&amp;Projections!$AG$17&amp;"!Q"&amp;ROW(B380))</f>
        <v>0.1340425532</v>
      </c>
      <c r="AB399" s="180">
        <f t="array" ref="AB399">INDIRECT("Update"&amp;Projections!$AG$17&amp;"!I"&amp;ROW(B380))</f>
        <v>0.4551881994</v>
      </c>
      <c r="AC399" s="180">
        <f t="array" ref="AC399">INDIRECT("Update"&amp;Projections!$AG$17&amp;"!K"&amp;ROW(B380))</f>
        <v>0.7399872854</v>
      </c>
      <c r="AD399" s="124">
        <f t="array" ref="AD399">INDIRECT("Update"&amp;Projections!$AG$17&amp;"!R"&amp;ROW(B380))</f>
        <v>0.6434042553</v>
      </c>
      <c r="AE399" s="124">
        <f t="shared" si="3"/>
        <v>-2.257288949</v>
      </c>
      <c r="AF399" s="124">
        <f t="shared" si="4"/>
        <v>-1.077346953</v>
      </c>
      <c r="AG399" s="124">
        <f t="shared" si="5"/>
        <v>-1.438354266</v>
      </c>
      <c r="AH399" s="124">
        <f t="shared" si="6"/>
        <v>-1.481715134</v>
      </c>
      <c r="AI399" s="124">
        <f t="shared" si="7"/>
        <v>-2.164622405</v>
      </c>
      <c r="AJ399" s="124">
        <f t="shared" si="8"/>
        <v>-1.096272962</v>
      </c>
      <c r="AK399" s="124">
        <f t="shared" si="9"/>
        <v>-0.2046346255</v>
      </c>
      <c r="AL399" s="124">
        <f t="shared" si="10"/>
        <v>-0.1293159027</v>
      </c>
      <c r="AM399" s="124">
        <f t="shared" si="11"/>
        <v>0</v>
      </c>
      <c r="AN399" s="183">
        <f t="shared" si="12"/>
        <v>-2.257288949</v>
      </c>
      <c r="AO399" s="183">
        <f t="shared" si="13"/>
        <v>-4.421911354</v>
      </c>
      <c r="AP399" s="183">
        <f t="array" ref="AP399">INDIRECT("Update"&amp;Projections!$AG$17&amp;"!S"&amp;ROW(B380))</f>
        <v>4.182978723</v>
      </c>
      <c r="AQ399" s="183">
        <f t="array" ref="AQ399">INDIRECT("Update"&amp;Projections!$AG$17&amp;"!T"&amp;ROW(B380))</f>
        <v>0.6693617021</v>
      </c>
    </row>
    <row r="400">
      <c r="A400" s="40" t="str">
        <f>IF(UpdateHashtag!C398="",ROW(UpdateHashtag!C398),UpdateHashtag!C398)</f>
        <v>Dalen Terry</v>
      </c>
      <c r="B400" s="41">
        <f>IF(TYPE($A400)=1,"",(UpdateHashtag!M398-B$1)/B$2)</f>
        <v>-2.701791684</v>
      </c>
      <c r="C400" s="41">
        <f>IF(TYPE($A400)=1,"",(UpdateHashtag!L398-C$1)/C$2)</f>
        <v>-1.536166664</v>
      </c>
      <c r="D400" s="41">
        <f>IF(TYPE($A400)=1,"",(UpdateHashtag!N398-D$1)/D$2)</f>
        <v>-1.8354311</v>
      </c>
      <c r="E400" s="41">
        <f>IF(TYPE($A400)=1,"",(UpdateHashtag!O398-E$1)/E$2)</f>
        <v>-1.332139334</v>
      </c>
      <c r="F400" s="41">
        <f>IF(TYPE($A400)=1,"",(UpdateHashtag!P398-F$1)/F$2)</f>
        <v>-1.905588506</v>
      </c>
      <c r="G400" s="41">
        <f>IF(TYPE($A400)=1,"",(UpdateHashtag!Q398-G$1)/G$2)</f>
        <v>-0.978628106</v>
      </c>
      <c r="H400" s="41">
        <f>IF(TYPE($A400)=1,"",(UpdateHashtag!I398-H$1)/H$2*I400/$I$1)</f>
        <v>-0.1413737521</v>
      </c>
      <c r="I400" s="41">
        <f>UpdateHashtag!S398</f>
        <v>2.2</v>
      </c>
      <c r="J400" s="53">
        <f>IF(TYPE($A400)=1,"",(UpdateHashtag!K398-J$1)/J$2*K400/$K$1)</f>
        <v>-0.3962313307</v>
      </c>
      <c r="K400" s="55">
        <f>UpdateHashtag!T398</f>
        <v>0.6</v>
      </c>
      <c r="L400" s="41">
        <f>IF(TYPE($A400)=1,"",-(UpdateHashtag!R398-L$1)/L$2)</f>
        <v>1.337780956</v>
      </c>
      <c r="N400" s="5">
        <v>380.0</v>
      </c>
      <c r="O400" s="170" t="str">
        <f t="array" ref="O400">INDIRECT("Update"&amp;Projections!$AG$17&amp;"!B"&amp;ROW(B381))</f>
        <v>#N/A</v>
      </c>
      <c r="P400" s="172" t="str">
        <f t="array" ref="P400">INDIRECT("Update"&amp;Projections!$AG$17&amp;"!C"&amp;ROW(B381))</f>
        <v>Gui Santos</v>
      </c>
      <c r="Q400" s="170" t="str">
        <f>UpdateHashtag!F457</f>
        <v/>
      </c>
      <c r="R400" s="177">
        <f>IF(UpdateHashtag!D457="",ROW(UpdateHashtag!D457),UpdateHashtag!D457)</f>
        <v>457</v>
      </c>
      <c r="S400" s="124">
        <f t="shared" si="1"/>
        <v>-9.589809007</v>
      </c>
      <c r="T400" s="124">
        <f>SUM(AE400:AM400)-IFERROR(IFS(Projections!$I$17,AN400,Projections!$J$17,AO400),"")</f>
        <v>-9.880392406</v>
      </c>
      <c r="U400" s="124">
        <f t="shared" si="2"/>
        <v>-0.290583399</v>
      </c>
      <c r="V400" s="124">
        <f t="array" ref="V400">INDIRECT("Update"&amp;Projections!$AG$17&amp;"!M"&amp;ROW(B381))</f>
        <v>4.455625</v>
      </c>
      <c r="W400" s="124">
        <f t="array" ref="W400">INDIRECT("Update"&amp;Projections!$AG$17&amp;"!L"&amp;ROW(B381))</f>
        <v>0.64625</v>
      </c>
      <c r="X400" s="124">
        <f t="array" ref="X400">INDIRECT("Update"&amp;Projections!$AG$17&amp;"!N"&amp;ROW(B381))</f>
        <v>2.295625</v>
      </c>
      <c r="Y400" s="124">
        <f t="array" ref="Y400">INDIRECT("Update"&amp;Projections!$AG$17&amp;"!O"&amp;ROW(B381))</f>
        <v>0.8475</v>
      </c>
      <c r="Z400" s="124">
        <f t="array" ref="Z400">INDIRECT("Update"&amp;Projections!$AG$17&amp;"!P"&amp;ROW(B381))</f>
        <v>0.28</v>
      </c>
      <c r="AA400" s="124">
        <f t="array" ref="AA400">INDIRECT("Update"&amp;Projections!$AG$17&amp;"!Q"&amp;ROW(B381))</f>
        <v>0.216875</v>
      </c>
      <c r="AB400" s="180">
        <f t="array" ref="AB400">INDIRECT("Update"&amp;Projections!$AG$17&amp;"!I"&amp;ROW(B381))</f>
        <v>0.4527433628</v>
      </c>
      <c r="AC400" s="180">
        <f t="array" ref="AC400">INDIRECT("Update"&amp;Projections!$AG$17&amp;"!K"&amp;ROW(B381))</f>
        <v>0.753656659</v>
      </c>
      <c r="AD400" s="124">
        <f t="array" ref="AD400">INDIRECT("Update"&amp;Projections!$AG$17&amp;"!R"&amp;ROW(B381))</f>
        <v>0.576875</v>
      </c>
      <c r="AE400" s="124">
        <f t="shared" si="3"/>
        <v>-2.34927925</v>
      </c>
      <c r="AF400" s="124">
        <f t="shared" si="4"/>
        <v>-1.093518554</v>
      </c>
      <c r="AG400" s="124">
        <f t="shared" si="5"/>
        <v>-1.484429396</v>
      </c>
      <c r="AH400" s="124">
        <f t="shared" si="6"/>
        <v>-1.401395442</v>
      </c>
      <c r="AI400" s="124">
        <f t="shared" si="7"/>
        <v>-2.302586112</v>
      </c>
      <c r="AJ400" s="124">
        <f t="shared" si="8"/>
        <v>-0.948529049</v>
      </c>
      <c r="AK400" s="124">
        <f t="shared" si="9"/>
        <v>-0.1827934975</v>
      </c>
      <c r="AL400" s="124">
        <f t="shared" si="10"/>
        <v>-0.1178611062</v>
      </c>
      <c r="AM400" s="124">
        <f t="shared" si="11"/>
        <v>0</v>
      </c>
      <c r="AN400" s="183">
        <f t="shared" si="12"/>
        <v>-2.34927925</v>
      </c>
      <c r="AO400" s="183">
        <f t="shared" si="13"/>
        <v>-4.651865362</v>
      </c>
      <c r="AP400" s="183">
        <f t="array" ref="AP400">INDIRECT("Update"&amp;Projections!$AG$17&amp;"!S"&amp;ROW(B381))</f>
        <v>3.53125</v>
      </c>
      <c r="AQ400" s="183">
        <f t="array" ref="AQ400">INDIRECT("Update"&amp;Projections!$AG$17&amp;"!T"&amp;ROW(B381))</f>
        <v>0.811875</v>
      </c>
    </row>
    <row r="401">
      <c r="A401" s="40" t="str">
        <f>IF(UpdateHashtag!C399="",ROW(UpdateHashtag!C399),UpdateHashtag!C399)</f>
        <v>Vít Krejcí</v>
      </c>
      <c r="B401" s="41">
        <f>IF(TYPE($A401)=1,"",(UpdateHashtag!M399-B$1)/B$2)</f>
        <v>-2.755868376</v>
      </c>
      <c r="C401" s="41">
        <f>IF(TYPE($A401)=1,"",(UpdateHashtag!L399-C$1)/C$2)</f>
        <v>-1.337780956</v>
      </c>
      <c r="D401" s="41">
        <f>IF(TYPE($A401)=1,"",(UpdateHashtag!N399-D$1)/D$2)</f>
        <v>-1.992193898</v>
      </c>
      <c r="E401" s="41">
        <f>IF(TYPE($A401)=1,"",(UpdateHashtag!O399-E$1)/E$2)</f>
        <v>-1.422967016</v>
      </c>
      <c r="F401" s="41">
        <f>IF(TYPE($A401)=1,"",(UpdateHashtag!P399-F$1)/F$2)</f>
        <v>-2.567251182</v>
      </c>
      <c r="G401" s="41">
        <f>IF(TYPE($A401)=1,"",(UpdateHashtag!Q399-G$1)/G$2)</f>
        <v>-1.156992888</v>
      </c>
      <c r="H401" s="41">
        <f>IF(TYPE($A401)=1,"",(UpdateHashtag!I399-H$1)/H$2*I401/$I$1)</f>
        <v>-0.05913978398</v>
      </c>
      <c r="I401" s="41">
        <f>UpdateHashtag!S399</f>
        <v>1.8</v>
      </c>
      <c r="J401" s="53">
        <f>IF(TYPE($A401)=1,"",(UpdateHashtag!K399-J$1)/J$2*K401/$K$1)</f>
        <v>0.001763557542</v>
      </c>
      <c r="K401" s="55">
        <f>UpdateHashtag!T399</f>
        <v>0.1</v>
      </c>
      <c r="L401" s="41">
        <f>IF(TYPE($A401)=1,"",-(UpdateHashtag!R399-L$1)/L$2)</f>
        <v>1.43697381</v>
      </c>
      <c r="N401" s="5">
        <v>381.0</v>
      </c>
      <c r="O401" s="170" t="str">
        <f t="array" ref="O401">INDIRECT("Update"&amp;Projections!$AG$17&amp;"!B"&amp;ROW(B382))</f>
        <v/>
      </c>
      <c r="P401" s="172" t="str">
        <f t="array" ref="P401">INDIRECT("Update"&amp;Projections!$AG$17&amp;"!C"&amp;ROW(B382))</f>
        <v>KJ Simpson</v>
      </c>
      <c r="Q401" s="170" t="str">
        <f>UpdateHashtag!F437</f>
        <v/>
      </c>
      <c r="R401" s="177">
        <f>IF(UpdateHashtag!D437="",ROW(UpdateHashtag!D437),UpdateHashtag!D437)</f>
        <v>437</v>
      </c>
      <c r="S401" s="124">
        <f t="shared" si="1"/>
        <v>-9.565098121</v>
      </c>
      <c r="T401" s="124">
        <f>SUM(AE401:AM401)-IFERROR(IFS(Projections!$I$17,AN401,Projections!$J$17,AO401),"")</f>
        <v>-9.775251708</v>
      </c>
      <c r="U401" s="124">
        <f t="shared" si="2"/>
        <v>-0.2101535873</v>
      </c>
      <c r="V401" s="124">
        <f t="array" ref="V401">INDIRECT("Update"&amp;Projections!$AG$17&amp;"!M"&amp;ROW(B382))</f>
        <v>4.08030303</v>
      </c>
      <c r="W401" s="124">
        <f t="array" ref="W401">INDIRECT("Update"&amp;Projections!$AG$17&amp;"!L"&amp;ROW(B382))</f>
        <v>0.56</v>
      </c>
      <c r="X401" s="124">
        <f t="array" ref="X401">INDIRECT("Update"&amp;Projections!$AG$17&amp;"!N"&amp;ROW(B382))</f>
        <v>1.647878788</v>
      </c>
      <c r="Y401" s="124">
        <f t="array" ref="Y401">INDIRECT("Update"&amp;Projections!$AG$17&amp;"!O"&amp;ROW(B382))</f>
        <v>1.802424242</v>
      </c>
      <c r="Z401" s="124">
        <f t="array" ref="Z401">INDIRECT("Update"&amp;Projections!$AG$17&amp;"!P"&amp;ROW(B382))</f>
        <v>0.4378787879</v>
      </c>
      <c r="AA401" s="124">
        <f t="array" ref="AA401">INDIRECT("Update"&amp;Projections!$AG$17&amp;"!Q"&amp;ROW(B382))</f>
        <v>0.07727272727</v>
      </c>
      <c r="AB401" s="180">
        <f t="array" ref="AB401">INDIRECT("Update"&amp;Projections!$AG$17&amp;"!I"&amp;ROW(B382))</f>
        <v>0.3806980884</v>
      </c>
      <c r="AC401" s="180">
        <f t="array" ref="AC401">INDIRECT("Update"&amp;Projections!$AG$17&amp;"!K"&amp;ROW(B382))</f>
        <v>0.8101092896</v>
      </c>
      <c r="AD401" s="124">
        <f t="array" ref="AD401">INDIRECT("Update"&amp;Projections!$AG$17&amp;"!R"&amp;ROW(B382))</f>
        <v>0.9012121212</v>
      </c>
      <c r="AE401" s="124">
        <f t="shared" si="3"/>
        <v>-2.416933152</v>
      </c>
      <c r="AF401" s="124">
        <f t="shared" si="4"/>
        <v>-1.17907239</v>
      </c>
      <c r="AG401" s="124">
        <f t="shared" si="5"/>
        <v>-1.738285668</v>
      </c>
      <c r="AH401" s="124">
        <f t="shared" si="6"/>
        <v>-0.9677276655</v>
      </c>
      <c r="AI401" s="124">
        <f t="shared" si="7"/>
        <v>-1.780273606</v>
      </c>
      <c r="AJ401" s="124">
        <f t="shared" si="8"/>
        <v>-1.197530339</v>
      </c>
      <c r="AK401" s="124">
        <f t="shared" si="9"/>
        <v>-0.5307978932</v>
      </c>
      <c r="AL401" s="124">
        <f t="shared" si="10"/>
        <v>0.03536900556</v>
      </c>
      <c r="AM401" s="124">
        <f t="shared" si="11"/>
        <v>0</v>
      </c>
      <c r="AN401" s="183">
        <f t="shared" si="12"/>
        <v>-2.416933152</v>
      </c>
      <c r="AO401" s="183">
        <f t="shared" si="13"/>
        <v>-4.197206757</v>
      </c>
      <c r="AP401" s="183">
        <f t="array" ref="AP401">INDIRECT("Update"&amp;Projections!$AG$17&amp;"!S"&amp;ROW(B382))</f>
        <v>3.915454545</v>
      </c>
      <c r="AQ401" s="183">
        <f t="array" ref="AQ401">INDIRECT("Update"&amp;Projections!$AG$17&amp;"!T"&amp;ROW(B382))</f>
        <v>0.6654545455</v>
      </c>
    </row>
    <row r="402">
      <c r="A402" s="40" t="str">
        <f>IF(UpdateHashtag!C400="",ROW(UpdateHashtag!C400),UpdateHashtag!C400)</f>
        <v>Anthony Gill</v>
      </c>
      <c r="B402" s="41">
        <f>IF(TYPE($A402)=1,"",(UpdateHashtag!M400-B$1)/B$2)</f>
        <v>-2.593638301</v>
      </c>
      <c r="C402" s="41">
        <f>IF(TYPE($A402)=1,"",(UpdateHashtag!L400-C$1)/C$2)</f>
        <v>-1.635359518</v>
      </c>
      <c r="D402" s="41">
        <f>IF(TYPE($A402)=1,"",(UpdateHashtag!N400-D$1)/D$2)</f>
        <v>-1.7570497</v>
      </c>
      <c r="E402" s="41">
        <f>IF(TYPE($A402)=1,"",(UpdateHashtag!O400-E$1)/E$2)</f>
        <v>-1.513794698</v>
      </c>
      <c r="F402" s="41">
        <f>IF(TYPE($A402)=1,"",(UpdateHashtag!P400-F$1)/F$2)</f>
        <v>-2.567251182</v>
      </c>
      <c r="G402" s="41">
        <f>IF(TYPE($A402)=1,"",(UpdateHashtag!Q400-G$1)/G$2)</f>
        <v>-0.978628106</v>
      </c>
      <c r="H402" s="41">
        <f>IF(TYPE($A402)=1,"",(UpdateHashtag!I400-H$1)/H$2*I402/$I$1)</f>
        <v>0.00768617128</v>
      </c>
      <c r="I402" s="41">
        <f>UpdateHashtag!S400</f>
        <v>2.4</v>
      </c>
      <c r="J402" s="53">
        <f>IF(TYPE($A402)=1,"",(UpdateHashtag!K400-J$1)/J$2*K402/$K$1)</f>
        <v>-0.09268864975</v>
      </c>
      <c r="K402" s="55">
        <f>UpdateHashtag!T400</f>
        <v>0.8</v>
      </c>
      <c r="L402" s="41">
        <f>IF(TYPE($A402)=1,"",-(UpdateHashtag!R400-L$1)/L$2)</f>
        <v>1.43697381</v>
      </c>
      <c r="N402" s="112">
        <v>382.0</v>
      </c>
      <c r="O402" s="170" t="str">
        <f t="array" ref="O402">INDIRECT("Update"&amp;Projections!$AG$17&amp;"!B"&amp;ROW(B383))</f>
        <v>#N/A</v>
      </c>
      <c r="P402" s="172" t="str">
        <f t="array" ref="P402">INDIRECT("Update"&amp;Projections!$AG$17&amp;"!C"&amp;ROW(B383))</f>
        <v>Olivier-Maxence Prosper</v>
      </c>
      <c r="Q402" s="170" t="str">
        <f>UpdateHashtag!F442</f>
        <v/>
      </c>
      <c r="R402" s="177">
        <f>IF(UpdateHashtag!D442="",ROW(UpdateHashtag!D442),UpdateHashtag!D442)</f>
        <v>442</v>
      </c>
      <c r="S402" s="124">
        <f t="shared" si="1"/>
        <v>-9.536153662</v>
      </c>
      <c r="T402" s="124">
        <f>SUM(AE402:AM402)-IFERROR(IFS(Projections!$I$17,AN402,Projections!$J$17,AO402),"")</f>
        <v>-9.865217161</v>
      </c>
      <c r="U402" s="124">
        <f t="shared" si="2"/>
        <v>-0.3290634991</v>
      </c>
      <c r="V402" s="124">
        <f t="array" ref="V402">INDIRECT("Update"&amp;Projections!$AG$17&amp;"!M"&amp;ROW(B383))</f>
        <v>4.701276596</v>
      </c>
      <c r="W402" s="124">
        <f t="array" ref="W402">INDIRECT("Update"&amp;Projections!$AG$17&amp;"!L"&amp;ROW(B383))</f>
        <v>0.5029787234</v>
      </c>
      <c r="X402" s="124">
        <f t="array" ref="X402">INDIRECT("Update"&amp;Projections!$AG$17&amp;"!N"&amp;ROW(B383))</f>
        <v>2.735319149</v>
      </c>
      <c r="Y402" s="124">
        <f t="array" ref="Y402">INDIRECT("Update"&amp;Projections!$AG$17&amp;"!O"&amp;ROW(B383))</f>
        <v>0.6244680851</v>
      </c>
      <c r="Z402" s="124">
        <f t="array" ref="Z402">INDIRECT("Update"&amp;Projections!$AG$17&amp;"!P"&amp;ROW(B383))</f>
        <v>0.3829787234</v>
      </c>
      <c r="AA402" s="124">
        <f t="array" ref="AA402">INDIRECT("Update"&amp;Projections!$AG$17&amp;"!Q"&amp;ROW(B383))</f>
        <v>0.1640425532</v>
      </c>
      <c r="AB402" s="180">
        <f t="array" ref="AB402">INDIRECT("Update"&amp;Projections!$AG$17&amp;"!I"&amp;ROW(B383))</f>
        <v>0.4424424973</v>
      </c>
      <c r="AC402" s="180">
        <f t="array" ref="AC402">INDIRECT("Update"&amp;Projections!$AG$17&amp;"!K"&amp;ROW(B383))</f>
        <v>0.7250963684</v>
      </c>
      <c r="AD402" s="124">
        <f t="array" ref="AD402">INDIRECT("Update"&amp;Projections!$AG$17&amp;"!R"&amp;ROW(B383))</f>
        <v>0.4217021277</v>
      </c>
      <c r="AE402" s="124">
        <f t="shared" si="3"/>
        <v>-2.304999165</v>
      </c>
      <c r="AF402" s="124">
        <f t="shared" si="4"/>
        <v>-1.235633422</v>
      </c>
      <c r="AG402" s="124">
        <f t="shared" si="5"/>
        <v>-1.312110183</v>
      </c>
      <c r="AH402" s="124">
        <f t="shared" si="6"/>
        <v>-1.502682801</v>
      </c>
      <c r="AI402" s="124">
        <f t="shared" si="7"/>
        <v>-1.961900224</v>
      </c>
      <c r="AJ402" s="124">
        <f t="shared" si="8"/>
        <v>-1.042763528</v>
      </c>
      <c r="AK402" s="124">
        <f t="shared" si="9"/>
        <v>-0.2476603822</v>
      </c>
      <c r="AL402" s="124">
        <f t="shared" si="10"/>
        <v>-0.2574674567</v>
      </c>
      <c r="AM402" s="124">
        <f t="shared" si="11"/>
        <v>0</v>
      </c>
      <c r="AN402" s="183">
        <f t="shared" si="12"/>
        <v>-2.304999165</v>
      </c>
      <c r="AO402" s="183">
        <f t="shared" si="13"/>
        <v>-4.266899389</v>
      </c>
      <c r="AP402" s="183">
        <f t="array" ref="AP402">INDIRECT("Update"&amp;Projections!$AG$17&amp;"!S"&amp;ROW(B383))</f>
        <v>3.885106383</v>
      </c>
      <c r="AQ402" s="183">
        <f t="array" ref="AQ402">INDIRECT("Update"&amp;Projections!$AG$17&amp;"!T"&amp;ROW(B383))</f>
        <v>1.048723404</v>
      </c>
    </row>
    <row r="403">
      <c r="A403" s="40" t="str">
        <f>IF(UpdateHashtag!C401="",ROW(UpdateHashtag!C401),UpdateHashtag!C401)</f>
        <v>Jared McCain</v>
      </c>
      <c r="B403" s="41">
        <f>IF(TYPE($A403)=1,"",(UpdateHashtag!M401-B$1)/B$2)</f>
        <v>-2.629689428</v>
      </c>
      <c r="C403" s="41">
        <f>IF(TYPE($A403)=1,"",(UpdateHashtag!L401-C$1)/C$2)</f>
        <v>-1.238588102</v>
      </c>
      <c r="D403" s="41">
        <f>IF(TYPE($A403)=1,"",(UpdateHashtag!N401-D$1)/D$2)</f>
        <v>-1.992193898</v>
      </c>
      <c r="E403" s="41">
        <f>IF(TYPE($A403)=1,"",(UpdateHashtag!O401-E$1)/E$2)</f>
        <v>-1.60462238</v>
      </c>
      <c r="F403" s="41">
        <f>IF(TYPE($A403)=1,"",(UpdateHashtag!P401-F$1)/F$2)</f>
        <v>-2.567251182</v>
      </c>
      <c r="G403" s="41">
        <f>IF(TYPE($A403)=1,"",(UpdateHashtag!Q401-G$1)/G$2)</f>
        <v>-1.335357671</v>
      </c>
      <c r="H403" s="41">
        <f>IF(TYPE($A403)=1,"",(UpdateHashtag!I401-H$1)/H$2*I403/$I$1)</f>
        <v>-0.08609488889</v>
      </c>
      <c r="I403" s="41">
        <f>UpdateHashtag!S401</f>
        <v>2.1</v>
      </c>
      <c r="J403" s="53">
        <f>IF(TYPE($A403)=1,"",(UpdateHashtag!K401-J$1)/J$2*K403/$K$1)</f>
        <v>0.1774448036</v>
      </c>
      <c r="K403" s="55">
        <f>UpdateHashtag!T401</f>
        <v>0.5</v>
      </c>
      <c r="L403" s="41">
        <f>IF(TYPE($A403)=1,"",-(UpdateHashtag!R401-L$1)/L$2)</f>
        <v>1.43697381</v>
      </c>
      <c r="N403" s="112">
        <v>383.0</v>
      </c>
      <c r="O403" s="170" t="str">
        <f t="array" ref="O403">INDIRECT("Update"&amp;Projections!$AG$17&amp;"!B"&amp;ROW(B384))</f>
        <v/>
      </c>
      <c r="P403" s="172" t="str">
        <f t="array" ref="P403">INDIRECT("Update"&amp;Projections!$AG$17&amp;"!C"&amp;ROW(B384))</f>
        <v>Ariel Hukporti</v>
      </c>
      <c r="Q403" s="170" t="str">
        <f>UpdateHashtag!F438</f>
        <v/>
      </c>
      <c r="R403" s="177">
        <f>IF(UpdateHashtag!D438="",ROW(UpdateHashtag!D438),UpdateHashtag!D438)</f>
        <v>438</v>
      </c>
      <c r="S403" s="124">
        <f t="shared" si="1"/>
        <v>-9.815747305</v>
      </c>
      <c r="T403" s="124">
        <f>SUM(AE403:AM403)-IFERROR(IFS(Projections!$I$17,AN403,Projections!$J$17,AO403),"")</f>
        <v>-10.03612076</v>
      </c>
      <c r="U403" s="124">
        <f t="shared" si="2"/>
        <v>-0.2203734571</v>
      </c>
      <c r="V403" s="124">
        <f t="array" ref="V403">INDIRECT("Update"&amp;Projections!$AG$17&amp;"!M"&amp;ROW(B384))</f>
        <v>2.4624</v>
      </c>
      <c r="W403" s="124">
        <f t="array" ref="W403">INDIRECT("Update"&amp;Projections!$AG$17&amp;"!L"&amp;ROW(B384))</f>
        <v>0</v>
      </c>
      <c r="X403" s="124">
        <f t="array" ref="X403">INDIRECT("Update"&amp;Projections!$AG$17&amp;"!N"&amp;ROW(B384))</f>
        <v>3.18</v>
      </c>
      <c r="Y403" s="124">
        <f t="array" ref="Y403">INDIRECT("Update"&amp;Projections!$AG$17&amp;"!O"&amp;ROW(B384))</f>
        <v>0.44</v>
      </c>
      <c r="Z403" s="124">
        <f t="array" ref="Z403">INDIRECT("Update"&amp;Projections!$AG$17&amp;"!P"&amp;ROW(B384))</f>
        <v>0.26</v>
      </c>
      <c r="AA403" s="124">
        <f t="array" ref="AA403">INDIRECT("Update"&amp;Projections!$AG$17&amp;"!Q"&amp;ROW(B384))</f>
        <v>0.54</v>
      </c>
      <c r="AB403" s="180">
        <f t="array" ref="AB403">INDIRECT("Update"&amp;Projections!$AG$17&amp;"!I"&amp;ROW(B384))</f>
        <v>0.556</v>
      </c>
      <c r="AC403" s="180">
        <f t="array" ref="AC403">INDIRECT("Update"&amp;Projections!$AG$17&amp;"!K"&amp;ROW(B384))</f>
        <v>0.6571428571</v>
      </c>
      <c r="AD403" s="124">
        <f t="array" ref="AD403">INDIRECT("Update"&amp;Projections!$AG$17&amp;"!R"&amp;ROW(B384))</f>
        <v>0.86</v>
      </c>
      <c r="AE403" s="124">
        <f t="shared" si="3"/>
        <v>-2.708569296</v>
      </c>
      <c r="AF403" s="124">
        <f t="shared" si="4"/>
        <v>-1.734552372</v>
      </c>
      <c r="AG403" s="124">
        <f t="shared" si="5"/>
        <v>-1.137836646</v>
      </c>
      <c r="AH403" s="124">
        <f t="shared" si="6"/>
        <v>-1.586456844</v>
      </c>
      <c r="AI403" s="124">
        <f t="shared" si="7"/>
        <v>-2.36875238</v>
      </c>
      <c r="AJ403" s="124">
        <f t="shared" si="8"/>
        <v>-0.3721878459</v>
      </c>
      <c r="AK403" s="124">
        <f t="shared" si="9"/>
        <v>0.1298452706</v>
      </c>
      <c r="AL403" s="124">
        <f t="shared" si="10"/>
        <v>-0.2576106492</v>
      </c>
      <c r="AM403" s="124">
        <f t="shared" si="11"/>
        <v>0</v>
      </c>
      <c r="AN403" s="183">
        <f t="shared" si="12"/>
        <v>-2.708569296</v>
      </c>
      <c r="AO403" s="183">
        <f t="shared" si="13"/>
        <v>-5.077321675</v>
      </c>
      <c r="AP403" s="183">
        <f t="array" ref="AP403">INDIRECT("Update"&amp;Projections!$AG$17&amp;"!S"&amp;ROW(B384))</f>
        <v>1.9</v>
      </c>
      <c r="AQ403" s="183">
        <f t="array" ref="AQ403">INDIRECT("Update"&amp;Projections!$AG$17&amp;"!T"&amp;ROW(B384))</f>
        <v>0.532</v>
      </c>
    </row>
    <row r="404">
      <c r="A404">
        <f>IF(UpdateHashtag!C402="",ROW(UpdateHashtag!C402),UpdateHashtag!C402)</f>
        <v>402</v>
      </c>
      <c r="B404" s="41" t="str">
        <f>IF(TYPE($A404)=1,"",(UpdateHashtag!M402-B$1)/B$2)</f>
        <v/>
      </c>
      <c r="C404" s="41" t="str">
        <f>IF(TYPE($A404)=1,"",(UpdateHashtag!L402-C$1)/C$2)</f>
        <v/>
      </c>
      <c r="D404" s="41" t="str">
        <f>IF(TYPE($A404)=1,"",(UpdateHashtag!N402-D$1)/D$2)</f>
        <v/>
      </c>
      <c r="E404" s="41" t="str">
        <f>IF(TYPE($A404)=1,"",(UpdateHashtag!O402-E$1)/E$2)</f>
        <v/>
      </c>
      <c r="F404" s="41" t="str">
        <f>IF(TYPE($A404)=1,"",(UpdateHashtag!P402-F$1)/F$2)</f>
        <v/>
      </c>
      <c r="G404" s="41" t="str">
        <f>IF(TYPE($A404)=1,"",(UpdateHashtag!Q402-G$1)/G$2)</f>
        <v/>
      </c>
      <c r="H404" s="41" t="str">
        <f>IF(TYPE($A404)=1,"",(UpdateHashtag!I402-H$1)/H$2*I404/$I$1)</f>
        <v/>
      </c>
      <c r="I404" s="41" t="str">
        <f>UpdateHashtag!S402</f>
        <v/>
      </c>
      <c r="J404" s="53" t="str">
        <f>IF(TYPE($A404)=1,"",(UpdateHashtag!K402-J$1)/J$2*K404/$K$1)</f>
        <v/>
      </c>
      <c r="K404" s="55" t="str">
        <f>UpdateHashtag!T402</f>
        <v/>
      </c>
      <c r="L404" s="41" t="str">
        <f>IF(TYPE($A404)=1,"",-(UpdateHashtag!R402-L$1)/L$2)</f>
        <v/>
      </c>
      <c r="N404" s="5">
        <v>384.0</v>
      </c>
      <c r="O404" s="170" t="str">
        <f t="array" ref="O404">INDIRECT("Update"&amp;Projections!$AG$17&amp;"!B"&amp;ROW(B385))</f>
        <v>#N/A</v>
      </c>
      <c r="P404" s="172" t="str">
        <f t="array" ref="P404">INDIRECT("Update"&amp;Projections!$AG$17&amp;"!C"&amp;ROW(B385))</f>
        <v>Jaylen Wells</v>
      </c>
      <c r="Q404" s="170" t="str">
        <f>UpdateHashtag!F445</f>
        <v/>
      </c>
      <c r="R404" s="177">
        <f>IF(UpdateHashtag!D445="",ROW(UpdateHashtag!D445),UpdateHashtag!D445)</f>
        <v>445</v>
      </c>
      <c r="S404" s="124">
        <f t="shared" si="1"/>
        <v>-9.542249301</v>
      </c>
      <c r="T404" s="124">
        <f>SUM(AE404:AM404)-IFERROR(IFS(Projections!$I$17,AN404,Projections!$J$17,AO404),"")</f>
        <v>-9.836405936</v>
      </c>
      <c r="U404" s="124">
        <f t="shared" si="2"/>
        <v>-0.2941566347</v>
      </c>
      <c r="V404" s="124">
        <f t="array" ref="V404">INDIRECT("Update"&amp;Projections!$AG$17&amp;"!M"&amp;ROW(B385))</f>
        <v>4.629863014</v>
      </c>
      <c r="W404" s="124">
        <f t="array" ref="W404">INDIRECT("Update"&amp;Projections!$AG$17&amp;"!L"&amp;ROW(B385))</f>
        <v>1.126164384</v>
      </c>
      <c r="X404" s="124">
        <f t="array" ref="X404">INDIRECT("Update"&amp;Projections!$AG$17&amp;"!N"&amp;ROW(B385))</f>
        <v>2.15630137</v>
      </c>
      <c r="Y404" s="124">
        <f t="array" ref="Y404">INDIRECT("Update"&amp;Projections!$AG$17&amp;"!O"&amp;ROW(B385))</f>
        <v>0.6875342466</v>
      </c>
      <c r="Z404" s="124">
        <f t="array" ref="Z404">INDIRECT("Update"&amp;Projections!$AG$17&amp;"!P"&amp;ROW(B385))</f>
        <v>0.3124657534</v>
      </c>
      <c r="AA404" s="124">
        <f t="array" ref="AA404">INDIRECT("Update"&amp;Projections!$AG$17&amp;"!Q"&amp;ROW(B385))</f>
        <v>0.09369863014</v>
      </c>
      <c r="AB404" s="180">
        <f t="array" ref="AB404">INDIRECT("Update"&amp;Projections!$AG$17&amp;"!I"&amp;ROW(B385))</f>
        <v>0.3830045524</v>
      </c>
      <c r="AC404" s="180">
        <f t="array" ref="AC404">INDIRECT("Update"&amp;Projections!$AG$17&amp;"!K"&amp;ROW(B385))</f>
        <v>0.8038774937</v>
      </c>
      <c r="AD404" s="124">
        <f t="array" ref="AD404">INDIRECT("Update"&amp;Projections!$AG$17&amp;"!R"&amp;ROW(B385))</f>
        <v>0.5624657534</v>
      </c>
      <c r="AE404" s="124">
        <f t="shared" si="3"/>
        <v>-2.317871866</v>
      </c>
      <c r="AF404" s="124">
        <f t="shared" si="4"/>
        <v>-0.6174777798</v>
      </c>
      <c r="AG404" s="124">
        <f t="shared" si="5"/>
        <v>-1.539031301</v>
      </c>
      <c r="AH404" s="124">
        <f t="shared" si="6"/>
        <v>-1.474042035</v>
      </c>
      <c r="AI404" s="124">
        <f t="shared" si="7"/>
        <v>-2.195179226</v>
      </c>
      <c r="AJ404" s="124">
        <f t="shared" si="8"/>
        <v>-1.168232313</v>
      </c>
      <c r="AK404" s="124">
        <f t="shared" si="9"/>
        <v>-0.5398104952</v>
      </c>
      <c r="AL404" s="124">
        <f t="shared" si="10"/>
        <v>0.01523907949</v>
      </c>
      <c r="AM404" s="124">
        <f t="shared" si="11"/>
        <v>0</v>
      </c>
      <c r="AN404" s="183">
        <f t="shared" si="12"/>
        <v>-2.317871866</v>
      </c>
      <c r="AO404" s="183">
        <f t="shared" si="13"/>
        <v>-4.513051092</v>
      </c>
      <c r="AP404" s="183">
        <f t="array" ref="AP404">INDIRECT("Update"&amp;Projections!$AG$17&amp;"!S"&amp;ROW(B385))</f>
        <v>4.062328767</v>
      </c>
      <c r="AQ404" s="183">
        <f t="array" ref="AQ404">INDIRECT("Update"&amp;Projections!$AG$17&amp;"!T"&amp;ROW(B385))</f>
        <v>0.4875342466</v>
      </c>
    </row>
    <row r="405">
      <c r="A405">
        <f>IF(UpdateHashtag!C403="",ROW(UpdateHashtag!C403),UpdateHashtag!C403)</f>
        <v>403</v>
      </c>
      <c r="B405" s="41" t="str">
        <f>IF(TYPE($A405)=1,"",(UpdateHashtag!M403-B$1)/B$2)</f>
        <v/>
      </c>
      <c r="C405" s="41" t="str">
        <f>IF(TYPE($A405)=1,"",(UpdateHashtag!L403-C$1)/C$2)</f>
        <v/>
      </c>
      <c r="D405" s="41" t="str">
        <f>IF(TYPE($A405)=1,"",(UpdateHashtag!N403-D$1)/D$2)</f>
        <v/>
      </c>
      <c r="E405" s="41" t="str">
        <f>IF(TYPE($A405)=1,"",(UpdateHashtag!O403-E$1)/E$2)</f>
        <v/>
      </c>
      <c r="F405" s="41" t="str">
        <f>IF(TYPE($A405)=1,"",(UpdateHashtag!P403-F$1)/F$2)</f>
        <v/>
      </c>
      <c r="G405" s="41" t="str">
        <f>IF(TYPE($A405)=1,"",(UpdateHashtag!Q403-G$1)/G$2)</f>
        <v/>
      </c>
      <c r="H405" s="41" t="str">
        <f>IF(TYPE($A405)=1,"",(UpdateHashtag!I403-H$1)/H$2*I405/$I$1)</f>
        <v/>
      </c>
      <c r="I405" s="41" t="str">
        <f>UpdateHashtag!S403</f>
        <v/>
      </c>
      <c r="J405" s="53" t="str">
        <f>IF(TYPE($A405)=1,"",(UpdateHashtag!K403-J$1)/J$2*K405/$K$1)</f>
        <v/>
      </c>
      <c r="K405" s="55" t="str">
        <f>UpdateHashtag!T403</f>
        <v/>
      </c>
      <c r="L405" s="41" t="str">
        <f>IF(TYPE($A405)=1,"",-(UpdateHashtag!R403-L$1)/L$2)</f>
        <v/>
      </c>
      <c r="N405" s="5">
        <v>385.0</v>
      </c>
      <c r="O405" s="170" t="str">
        <f t="array" ref="O405">INDIRECT("Update"&amp;Projections!$AG$17&amp;"!B"&amp;ROW(B386))</f>
        <v/>
      </c>
      <c r="P405" s="172" t="str">
        <f t="array" ref="P405">INDIRECT("Update"&amp;Projections!$AG$17&amp;"!C"&amp;ROW(B386))</f>
        <v>Jaylon Tyson</v>
      </c>
      <c r="Q405" s="170" t="str">
        <f>UpdateHashtag!F440</f>
        <v/>
      </c>
      <c r="R405" s="177">
        <f>IF(UpdateHashtag!D440="",ROW(UpdateHashtag!D440),UpdateHashtag!D440)</f>
        <v>440</v>
      </c>
      <c r="S405" s="124">
        <f t="shared" si="1"/>
        <v>-9.672999611</v>
      </c>
      <c r="T405" s="124">
        <f>SUM(AE405:AM405)-IFERROR(IFS(Projections!$I$17,AN405,Projections!$J$17,AO405),"")</f>
        <v>-9.878968999</v>
      </c>
      <c r="U405" s="124">
        <f t="shared" si="2"/>
        <v>-0.2059693884</v>
      </c>
      <c r="V405" s="124">
        <f t="array" ref="V405">INDIRECT("Update"&amp;Projections!$AG$17&amp;"!M"&amp;ROW(B386))</f>
        <v>4.340851064</v>
      </c>
      <c r="W405" s="124">
        <f t="array" ref="W405">INDIRECT("Update"&amp;Projections!$AG$17&amp;"!L"&amp;ROW(B386))</f>
        <v>0.5629787234</v>
      </c>
      <c r="X405" s="124">
        <f t="array" ref="X405">INDIRECT("Update"&amp;Projections!$AG$17&amp;"!N"&amp;ROW(B386))</f>
        <v>2.192978723</v>
      </c>
      <c r="Y405" s="124">
        <f t="array" ref="Y405">INDIRECT("Update"&amp;Projections!$AG$17&amp;"!O"&amp;ROW(B386))</f>
        <v>0.8414893617</v>
      </c>
      <c r="Z405" s="124">
        <f t="array" ref="Z405">INDIRECT("Update"&amp;Projections!$AG$17&amp;"!P"&amp;ROW(B386))</f>
        <v>0.4080851064</v>
      </c>
      <c r="AA405" s="124">
        <f t="array" ref="AA405">INDIRECT("Update"&amp;Projections!$AG$17&amp;"!Q"&amp;ROW(B386))</f>
        <v>0.1529787234</v>
      </c>
      <c r="AB405" s="180">
        <f t="array" ref="AB405">INDIRECT("Update"&amp;Projections!$AG$17&amp;"!I"&amp;ROW(B386))</f>
        <v>0.4141122345</v>
      </c>
      <c r="AC405" s="180">
        <f t="array" ref="AC405">INDIRECT("Update"&amp;Projections!$AG$17&amp;"!K"&amp;ROW(B386))</f>
        <v>0.760026738</v>
      </c>
      <c r="AD405" s="124">
        <f t="array" ref="AD405">INDIRECT("Update"&amp;Projections!$AG$17&amp;"!R"&amp;ROW(B386))</f>
        <v>0.9180851064</v>
      </c>
      <c r="AE405" s="124">
        <f t="shared" si="3"/>
        <v>-2.3699679</v>
      </c>
      <c r="AF405" s="124">
        <f t="shared" si="4"/>
        <v>-1.176117709</v>
      </c>
      <c r="AG405" s="124">
        <f t="shared" si="5"/>
        <v>-1.52465719</v>
      </c>
      <c r="AH405" s="124">
        <f t="shared" si="6"/>
        <v>-1.404125104</v>
      </c>
      <c r="AI405" s="124">
        <f t="shared" si="7"/>
        <v>-1.878840441</v>
      </c>
      <c r="AJ405" s="124">
        <f t="shared" si="8"/>
        <v>-1.062497504</v>
      </c>
      <c r="AK405" s="124">
        <f t="shared" si="9"/>
        <v>-0.3845936476</v>
      </c>
      <c r="AL405" s="124">
        <f t="shared" si="10"/>
        <v>-0.07816950483</v>
      </c>
      <c r="AM405" s="124">
        <f t="shared" si="11"/>
        <v>0</v>
      </c>
      <c r="AN405" s="183">
        <f t="shared" si="12"/>
        <v>-2.3699679</v>
      </c>
      <c r="AO405" s="183">
        <f t="shared" si="13"/>
        <v>-4.24880834</v>
      </c>
      <c r="AP405" s="183">
        <f t="array" ref="AP405">INDIRECT("Update"&amp;Projections!$AG$17&amp;"!S"&amp;ROW(B386))</f>
        <v>3.977234043</v>
      </c>
      <c r="AQ405" s="183">
        <f t="array" ref="AQ405">INDIRECT("Update"&amp;Projections!$AG$17&amp;"!T"&amp;ROW(B386))</f>
        <v>0.6365957447</v>
      </c>
    </row>
    <row r="406">
      <c r="A406">
        <f>IF(UpdateHashtag!C404="",ROW(UpdateHashtag!C404),UpdateHashtag!C404)</f>
        <v>404</v>
      </c>
      <c r="B406" s="41" t="str">
        <f>IF(TYPE($A406)=1,"",(UpdateHashtag!M404-B$1)/B$2)</f>
        <v/>
      </c>
      <c r="C406" s="41" t="str">
        <f>IF(TYPE($A406)=1,"",(UpdateHashtag!L404-C$1)/C$2)</f>
        <v/>
      </c>
      <c r="D406" s="41" t="str">
        <f>IF(TYPE($A406)=1,"",(UpdateHashtag!N404-D$1)/D$2)</f>
        <v/>
      </c>
      <c r="E406" s="41" t="str">
        <f>IF(TYPE($A406)=1,"",(UpdateHashtag!O404-E$1)/E$2)</f>
        <v/>
      </c>
      <c r="F406" s="41" t="str">
        <f>IF(TYPE($A406)=1,"",(UpdateHashtag!P404-F$1)/F$2)</f>
        <v/>
      </c>
      <c r="G406" s="41" t="str">
        <f>IF(TYPE($A406)=1,"",(UpdateHashtag!Q404-G$1)/G$2)</f>
        <v/>
      </c>
      <c r="H406" s="41" t="str">
        <f>IF(TYPE($A406)=1,"",(UpdateHashtag!I404-H$1)/H$2*I406/$I$1)</f>
        <v/>
      </c>
      <c r="I406" s="41" t="str">
        <f>UpdateHashtag!S404</f>
        <v/>
      </c>
      <c r="J406" s="53" t="str">
        <f>IF(TYPE($A406)=1,"",(UpdateHashtag!K404-J$1)/J$2*K406/$K$1)</f>
        <v/>
      </c>
      <c r="K406" s="55" t="str">
        <f>UpdateHashtag!T404</f>
        <v/>
      </c>
      <c r="L406" s="41" t="str">
        <f>IF(TYPE($A406)=1,"",-(UpdateHashtag!R404-L$1)/L$2)</f>
        <v/>
      </c>
      <c r="N406" s="112">
        <v>386.0</v>
      </c>
      <c r="O406" s="170" t="str">
        <f t="array" ref="O406">INDIRECT("Update"&amp;Projections!$AG$17&amp;"!B"&amp;ROW(B387))</f>
        <v/>
      </c>
      <c r="P406" s="172" t="str">
        <f t="array" ref="P406">INDIRECT("Update"&amp;Projections!$AG$17&amp;"!C"&amp;ROW(B387))</f>
        <v>Jericho Sims</v>
      </c>
      <c r="Q406" s="170" t="str">
        <f>UpdateHashtag!F446</f>
        <v/>
      </c>
      <c r="R406" s="177">
        <f>IF(UpdateHashtag!D446="",ROW(UpdateHashtag!D446),UpdateHashtag!D446)</f>
        <v>446</v>
      </c>
      <c r="S406" s="124">
        <f t="shared" si="1"/>
        <v>-9.806342025</v>
      </c>
      <c r="T406" s="124">
        <f>SUM(AE406:AM406)-IFERROR(IFS(Projections!$I$17,AN406,Projections!$J$17,AO406),"")</f>
        <v>-10.13672458</v>
      </c>
      <c r="U406" s="124">
        <f t="shared" si="2"/>
        <v>-0.330382553</v>
      </c>
      <c r="V406" s="124">
        <f t="array" ref="V406">INDIRECT("Update"&amp;Projections!$AG$17&amp;"!M"&amp;ROW(B387))</f>
        <v>1.821914894</v>
      </c>
      <c r="W406" s="124">
        <f t="array" ref="W406">INDIRECT("Update"&amp;Projections!$AG$17&amp;"!L"&amp;ROW(B387))</f>
        <v>0</v>
      </c>
      <c r="X406" s="124">
        <f t="array" ref="X406">INDIRECT("Update"&amp;Projections!$AG$17&amp;"!N"&amp;ROW(B387))</f>
        <v>3.535957447</v>
      </c>
      <c r="Y406" s="124">
        <f t="array" ref="Y406">INDIRECT("Update"&amp;Projections!$AG$17&amp;"!O"&amp;ROW(B387))</f>
        <v>0.4908510638</v>
      </c>
      <c r="Z406" s="124">
        <f t="array" ref="Z406">INDIRECT("Update"&amp;Projections!$AG$17&amp;"!P"&amp;ROW(B387))</f>
        <v>0.2074468085</v>
      </c>
      <c r="AA406" s="124">
        <f t="array" ref="AA406">INDIRECT("Update"&amp;Projections!$AG$17&amp;"!Q"&amp;ROW(B387))</f>
        <v>0.4165957447</v>
      </c>
      <c r="AB406" s="180">
        <f t="array" ref="AB406">INDIRECT("Update"&amp;Projections!$AG$17&amp;"!I"&amp;ROW(B387))</f>
        <v>0.7019493177</v>
      </c>
      <c r="AC406" s="180">
        <f t="array" ref="AC406">INDIRECT("Update"&amp;Projections!$AG$17&amp;"!K"&amp;ROW(B387))</f>
        <v>0.6979487179</v>
      </c>
      <c r="AD406" s="124">
        <f t="array" ref="AD406">INDIRECT("Update"&amp;Projections!$AG$17&amp;"!R"&amp;ROW(B387))</f>
        <v>0.4163829787</v>
      </c>
      <c r="AE406" s="124">
        <f t="shared" si="3"/>
        <v>-2.824020348</v>
      </c>
      <c r="AF406" s="124">
        <f t="shared" si="4"/>
        <v>-1.734552372</v>
      </c>
      <c r="AG406" s="124">
        <f t="shared" si="5"/>
        <v>-0.9983344322</v>
      </c>
      <c r="AH406" s="124">
        <f t="shared" si="6"/>
        <v>-1.563363423</v>
      </c>
      <c r="AI406" s="124">
        <f t="shared" si="7"/>
        <v>-2.542614806</v>
      </c>
      <c r="AJ406" s="124">
        <f t="shared" si="8"/>
        <v>-0.5922975773</v>
      </c>
      <c r="AK406" s="124">
        <f t="shared" si="9"/>
        <v>0.2598860679</v>
      </c>
      <c r="AL406" s="124">
        <f t="shared" si="10"/>
        <v>-0.1414276876</v>
      </c>
      <c r="AM406" s="124">
        <f t="shared" si="11"/>
        <v>0</v>
      </c>
      <c r="AN406" s="183">
        <f t="shared" si="12"/>
        <v>-2.824020348</v>
      </c>
      <c r="AO406" s="183">
        <f t="shared" si="13"/>
        <v>-5.366635154</v>
      </c>
      <c r="AP406" s="183">
        <f t="array" ref="AP406">INDIRECT("Update"&amp;Projections!$AG$17&amp;"!S"&amp;ROW(B387))</f>
        <v>1.091489362</v>
      </c>
      <c r="AQ406" s="183">
        <f t="array" ref="AQ406">INDIRECT("Update"&amp;Projections!$AG$17&amp;"!T"&amp;ROW(B387))</f>
        <v>0.414893617</v>
      </c>
    </row>
    <row r="407">
      <c r="A407">
        <f>IF(UpdateHashtag!C405="",ROW(UpdateHashtag!C405),UpdateHashtag!C405)</f>
        <v>405</v>
      </c>
      <c r="B407" s="41" t="str">
        <f>IF(TYPE($A407)=1,"",(UpdateHashtag!M405-B$1)/B$2)</f>
        <v/>
      </c>
      <c r="C407" s="41" t="str">
        <f>IF(TYPE($A407)=1,"",(UpdateHashtag!L405-C$1)/C$2)</f>
        <v/>
      </c>
      <c r="D407" s="41" t="str">
        <f>IF(TYPE($A407)=1,"",(UpdateHashtag!N405-D$1)/D$2)</f>
        <v/>
      </c>
      <c r="E407" s="41" t="str">
        <f>IF(TYPE($A407)=1,"",(UpdateHashtag!O405-E$1)/E$2)</f>
        <v/>
      </c>
      <c r="F407" s="41" t="str">
        <f>IF(TYPE($A407)=1,"",(UpdateHashtag!P405-F$1)/F$2)</f>
        <v/>
      </c>
      <c r="G407" s="41" t="str">
        <f>IF(TYPE($A407)=1,"",(UpdateHashtag!Q405-G$1)/G$2)</f>
        <v/>
      </c>
      <c r="H407" s="41" t="str">
        <f>IF(TYPE($A407)=1,"",(UpdateHashtag!I405-H$1)/H$2*I407/$I$1)</f>
        <v/>
      </c>
      <c r="I407" s="41" t="str">
        <f>UpdateHashtag!S405</f>
        <v/>
      </c>
      <c r="J407" s="53" t="str">
        <f>IF(TYPE($A407)=1,"",(UpdateHashtag!K405-J$1)/J$2*K407/$K$1)</f>
        <v/>
      </c>
      <c r="K407" s="55" t="str">
        <f>UpdateHashtag!T405</f>
        <v/>
      </c>
      <c r="L407" s="41" t="str">
        <f>IF(TYPE($A407)=1,"",-(UpdateHashtag!R405-L$1)/L$2)</f>
        <v/>
      </c>
      <c r="N407" s="112">
        <v>387.0</v>
      </c>
      <c r="O407" s="170" t="str">
        <f t="array" ref="O407">INDIRECT("Update"&amp;Projections!$AG$17&amp;"!B"&amp;ROW(B388))</f>
        <v/>
      </c>
      <c r="P407" s="172" t="str">
        <f t="array" ref="P407">INDIRECT("Update"&amp;Projections!$AG$17&amp;"!C"&amp;ROW(B388))</f>
        <v>Tristan Da Silva</v>
      </c>
      <c r="Q407" s="170" t="str">
        <f>UpdateHashtag!F441</f>
        <v/>
      </c>
      <c r="R407" s="177">
        <f>IF(UpdateHashtag!D441="",ROW(UpdateHashtag!D441),UpdateHashtag!D441)</f>
        <v>441</v>
      </c>
      <c r="S407" s="124">
        <f t="shared" si="1"/>
        <v>-9.701684899</v>
      </c>
      <c r="T407" s="124">
        <f>SUM(AE407:AM407)-IFERROR(IFS(Projections!$I$17,AN407,Projections!$J$17,AO407),"")</f>
        <v>-9.938869612</v>
      </c>
      <c r="U407" s="124">
        <f t="shared" si="2"/>
        <v>-0.2371847135</v>
      </c>
      <c r="V407" s="124">
        <f t="array" ref="V407">INDIRECT("Update"&amp;Projections!$AG$17&amp;"!M"&amp;ROW(B388))</f>
        <v>4.99038961</v>
      </c>
      <c r="W407" s="124">
        <f t="array" ref="W407">INDIRECT("Update"&amp;Projections!$AG$17&amp;"!L"&amp;ROW(B388))</f>
        <v>0.7179220779</v>
      </c>
      <c r="X407" s="124">
        <f t="array" ref="X407">INDIRECT("Update"&amp;Projections!$AG$17&amp;"!N"&amp;ROW(B388))</f>
        <v>1.98038961</v>
      </c>
      <c r="Y407" s="124">
        <f t="array" ref="Y407">INDIRECT("Update"&amp;Projections!$AG$17&amp;"!O"&amp;ROW(B388))</f>
        <v>0.7072727273</v>
      </c>
      <c r="Z407" s="124">
        <f t="array" ref="Z407">INDIRECT("Update"&amp;Projections!$AG$17&amp;"!P"&amp;ROW(B388))</f>
        <v>0.3394805195</v>
      </c>
      <c r="AA407" s="124">
        <f t="array" ref="AA407">INDIRECT("Update"&amp;Projections!$AG$17&amp;"!Q"&amp;ROW(B388))</f>
        <v>0.1697402597</v>
      </c>
      <c r="AB407" s="180">
        <f t="array" ref="AB407">INDIRECT("Update"&amp;Projections!$AG$17&amp;"!I"&amp;ROW(B388))</f>
        <v>0.4198187206</v>
      </c>
      <c r="AC407" s="180">
        <f t="array" ref="AC407">INDIRECT("Update"&amp;Projections!$AG$17&amp;"!K"&amp;ROW(B388))</f>
        <v>0.7739686229</v>
      </c>
      <c r="AD407" s="124">
        <f t="array" ref="AD407">INDIRECT("Update"&amp;Projections!$AG$17&amp;"!R"&amp;ROW(B388))</f>
        <v>0.7922077922</v>
      </c>
      <c r="AE407" s="124">
        <f t="shared" si="3"/>
        <v>-2.252884914</v>
      </c>
      <c r="AF407" s="124">
        <f t="shared" si="4"/>
        <v>-1.022424974</v>
      </c>
      <c r="AG407" s="124">
        <f t="shared" si="5"/>
        <v>-1.607972351</v>
      </c>
      <c r="AH407" s="124">
        <f t="shared" si="6"/>
        <v>-1.465078033</v>
      </c>
      <c r="AI407" s="124">
        <f t="shared" si="7"/>
        <v>-2.105805914</v>
      </c>
      <c r="AJ407" s="124">
        <f t="shared" si="8"/>
        <v>-1.032600826</v>
      </c>
      <c r="AK407" s="124">
        <f t="shared" si="9"/>
        <v>-0.4026086837</v>
      </c>
      <c r="AL407" s="124">
        <f t="shared" si="10"/>
        <v>-0.049493918</v>
      </c>
      <c r="AM407" s="124">
        <f t="shared" si="11"/>
        <v>0</v>
      </c>
      <c r="AN407" s="183">
        <f t="shared" si="12"/>
        <v>-2.252884914</v>
      </c>
      <c r="AO407" s="183">
        <f t="shared" si="13"/>
        <v>-4.358690828</v>
      </c>
      <c r="AP407" s="183">
        <f t="array" ref="AP407">INDIRECT("Update"&amp;Projections!$AG$17&amp;"!S"&amp;ROW(B388))</f>
        <v>4.47038961</v>
      </c>
      <c r="AQ407" s="183">
        <f t="array" ref="AQ407">INDIRECT("Update"&amp;Projections!$AG$17&amp;"!T"&amp;ROW(B388))</f>
        <v>0.6705194805</v>
      </c>
    </row>
    <row r="408">
      <c r="A408">
        <f>IF(UpdateHashtag!C406="",ROW(UpdateHashtag!C406),UpdateHashtag!C406)</f>
        <v>406</v>
      </c>
      <c r="B408" s="41" t="str">
        <f>IF(TYPE($A408)=1,"",(UpdateHashtag!M406-B$1)/B$2)</f>
        <v/>
      </c>
      <c r="C408" s="41" t="str">
        <f>IF(TYPE($A408)=1,"",(UpdateHashtag!L406-C$1)/C$2)</f>
        <v/>
      </c>
      <c r="D408" s="41" t="str">
        <f>IF(TYPE($A408)=1,"",(UpdateHashtag!N406-D$1)/D$2)</f>
        <v/>
      </c>
      <c r="E408" s="41" t="str">
        <f>IF(TYPE($A408)=1,"",(UpdateHashtag!O406-E$1)/E$2)</f>
        <v/>
      </c>
      <c r="F408" s="41" t="str">
        <f>IF(TYPE($A408)=1,"",(UpdateHashtag!P406-F$1)/F$2)</f>
        <v/>
      </c>
      <c r="G408" s="41" t="str">
        <f>IF(TYPE($A408)=1,"",(UpdateHashtag!Q406-G$1)/G$2)</f>
        <v/>
      </c>
      <c r="H408" s="41" t="str">
        <f>IF(TYPE($A408)=1,"",(UpdateHashtag!I406-H$1)/H$2*I408/$I$1)</f>
        <v/>
      </c>
      <c r="I408" s="41" t="str">
        <f>UpdateHashtag!S406</f>
        <v/>
      </c>
      <c r="J408" s="53" t="str">
        <f>IF(TYPE($A408)=1,"",(UpdateHashtag!K406-J$1)/J$2*K408/$K$1)</f>
        <v/>
      </c>
      <c r="K408" s="55" t="str">
        <f>UpdateHashtag!T406</f>
        <v/>
      </c>
      <c r="L408" s="41" t="str">
        <f>IF(TYPE($A408)=1,"",-(UpdateHashtag!R406-L$1)/L$2)</f>
        <v/>
      </c>
      <c r="N408" s="5">
        <v>388.0</v>
      </c>
      <c r="O408" s="170" t="str">
        <f t="array" ref="O408">INDIRECT("Update"&amp;Projections!$AG$17&amp;"!B"&amp;ROW(B389))</f>
        <v/>
      </c>
      <c r="P408" s="172" t="str">
        <f t="array" ref="P408">INDIRECT("Update"&amp;Projections!$AG$17&amp;"!C"&amp;ROW(B389))</f>
        <v>Cam Reddish</v>
      </c>
      <c r="Q408" s="170" t="str">
        <f>UpdateHashtag!F436</f>
        <v/>
      </c>
      <c r="R408" s="177">
        <f>IF(UpdateHashtag!D436="",ROW(UpdateHashtag!D436),UpdateHashtag!D436)</f>
        <v>436</v>
      </c>
      <c r="S408" s="124">
        <f t="shared" si="1"/>
        <v>-9.667784812</v>
      </c>
      <c r="T408" s="124">
        <f>SUM(AE408:AM408)-IFERROR(IFS(Projections!$I$17,AN408,Projections!$J$17,AO408),"")</f>
        <v>-9.953873535</v>
      </c>
      <c r="U408" s="124">
        <f t="shared" si="2"/>
        <v>-0.2860887228</v>
      </c>
      <c r="V408" s="124">
        <f t="array" ref="V408">INDIRECT("Update"&amp;Projections!$AG$17&amp;"!M"&amp;ROW(B389))</f>
        <v>3.405441176</v>
      </c>
      <c r="W408" s="124">
        <f t="array" ref="W408">INDIRECT("Update"&amp;Projections!$AG$17&amp;"!L"&amp;ROW(B389))</f>
        <v>0.4569117647</v>
      </c>
      <c r="X408" s="124">
        <f t="array" ref="X408">INDIRECT("Update"&amp;Projections!$AG$17&amp;"!N"&amp;ROW(B389))</f>
        <v>1.368529412</v>
      </c>
      <c r="Y408" s="124">
        <f t="array" ref="Y408">INDIRECT("Update"&amp;Projections!$AG$17&amp;"!O"&amp;ROW(B389))</f>
        <v>0.6297058824</v>
      </c>
      <c r="Z408" s="124">
        <f t="array" ref="Z408">INDIRECT("Update"&amp;Projections!$AG$17&amp;"!P"&amp;ROW(B389))</f>
        <v>0.5967647059</v>
      </c>
      <c r="AA408" s="124">
        <f t="array" ref="AA408">INDIRECT("Update"&amp;Projections!$AG$17&amp;"!Q"&amp;ROW(B389))</f>
        <v>0.1833823529</v>
      </c>
      <c r="AB408" s="180">
        <f t="array" ref="AB408">INDIRECT("Update"&amp;Projections!$AG$17&amp;"!I"&amp;ROW(B389))</f>
        <v>0.3955223881</v>
      </c>
      <c r="AC408" s="180">
        <f t="array" ref="AC408">INDIRECT("Update"&amp;Projections!$AG$17&amp;"!K"&amp;ROW(B389))</f>
        <v>0.7299207539</v>
      </c>
      <c r="AD408" s="124">
        <f t="array" ref="AD408">INDIRECT("Update"&amp;Projections!$AG$17&amp;"!R"&amp;ROW(B389))</f>
        <v>0.595</v>
      </c>
      <c r="AE408" s="124">
        <f t="shared" si="3"/>
        <v>-2.538580806</v>
      </c>
      <c r="AF408" s="124">
        <f t="shared" si="4"/>
        <v>-1.281328553</v>
      </c>
      <c r="AG408" s="124">
        <f t="shared" si="5"/>
        <v>-1.847764643</v>
      </c>
      <c r="AH408" s="124">
        <f t="shared" si="6"/>
        <v>-1.500304116</v>
      </c>
      <c r="AI408" s="124">
        <f t="shared" si="7"/>
        <v>-1.254629197</v>
      </c>
      <c r="AJ408" s="124">
        <f t="shared" si="8"/>
        <v>-1.008268136</v>
      </c>
      <c r="AK408" s="124">
        <f t="shared" si="9"/>
        <v>-0.366066663</v>
      </c>
      <c r="AL408" s="124">
        <f t="shared" si="10"/>
        <v>-0.1569314202</v>
      </c>
      <c r="AM408" s="124">
        <f t="shared" si="11"/>
        <v>0</v>
      </c>
      <c r="AN408" s="183">
        <f t="shared" si="12"/>
        <v>-2.538580806</v>
      </c>
      <c r="AO408" s="183">
        <f t="shared" si="13"/>
        <v>-4.386345449</v>
      </c>
      <c r="AP408" s="183">
        <f t="array" ref="AP408">INDIRECT("Update"&amp;Projections!$AG$17&amp;"!S"&amp;ROW(B389))</f>
        <v>3.093823529</v>
      </c>
      <c r="AQ408" s="183">
        <f t="array" ref="AQ408">INDIRECT("Update"&amp;Projections!$AG$17&amp;"!T"&amp;ROW(B389))</f>
        <v>0.6866176471</v>
      </c>
    </row>
    <row r="409">
      <c r="A409">
        <f>IF(UpdateHashtag!C407="",ROW(UpdateHashtag!C407),UpdateHashtag!C407)</f>
        <v>407</v>
      </c>
      <c r="B409" s="41" t="str">
        <f>IF(TYPE($A409)=1,"",(UpdateHashtag!M407-B$1)/B$2)</f>
        <v/>
      </c>
      <c r="C409" s="41" t="str">
        <f>IF(TYPE($A409)=1,"",(UpdateHashtag!L407-C$1)/C$2)</f>
        <v/>
      </c>
      <c r="D409" s="41" t="str">
        <f>IF(TYPE($A409)=1,"",(UpdateHashtag!N407-D$1)/D$2)</f>
        <v/>
      </c>
      <c r="E409" s="41" t="str">
        <f>IF(TYPE($A409)=1,"",(UpdateHashtag!O407-E$1)/E$2)</f>
        <v/>
      </c>
      <c r="F409" s="41" t="str">
        <f>IF(TYPE($A409)=1,"",(UpdateHashtag!P407-F$1)/F$2)</f>
        <v/>
      </c>
      <c r="G409" s="41" t="str">
        <f>IF(TYPE($A409)=1,"",(UpdateHashtag!Q407-G$1)/G$2)</f>
        <v/>
      </c>
      <c r="H409" s="41" t="str">
        <f>IF(TYPE($A409)=1,"",(UpdateHashtag!I407-H$1)/H$2*I409/$I$1)</f>
        <v/>
      </c>
      <c r="I409" s="41" t="str">
        <f>UpdateHashtag!S407</f>
        <v/>
      </c>
      <c r="J409" s="53" t="str">
        <f>IF(TYPE($A409)=1,"",(UpdateHashtag!K407-J$1)/J$2*K409/$K$1)</f>
        <v/>
      </c>
      <c r="K409" s="55" t="str">
        <f>UpdateHashtag!T407</f>
        <v/>
      </c>
      <c r="L409" s="41" t="str">
        <f>IF(TYPE($A409)=1,"",-(UpdateHashtag!R407-L$1)/L$2)</f>
        <v/>
      </c>
      <c r="N409" s="5">
        <v>389.0</v>
      </c>
      <c r="O409" s="170" t="str">
        <f t="array" ref="O409">INDIRECT("Update"&amp;Projections!$AG$17&amp;"!B"&amp;ROW(B390))</f>
        <v/>
      </c>
      <c r="P409" s="172" t="str">
        <f t="array" ref="P409">INDIRECT("Update"&amp;Projections!$AG$17&amp;"!C"&amp;ROW(B390))</f>
        <v>Dwight Powell</v>
      </c>
      <c r="Q409" s="170" t="str">
        <f>UpdateHashtag!F450</f>
        <v/>
      </c>
      <c r="R409" s="177">
        <f>IF(UpdateHashtag!D450="",ROW(UpdateHashtag!D450),UpdateHashtag!D450)</f>
        <v>450</v>
      </c>
      <c r="S409" s="124">
        <f t="shared" si="1"/>
        <v>-9.877671979</v>
      </c>
      <c r="T409" s="124">
        <f>SUM(AE409:AM409)-IFERROR(IFS(Projections!$I$17,AN409,Projections!$J$17,AO409),"")</f>
        <v>-10.19136938</v>
      </c>
      <c r="U409" s="124">
        <f t="shared" si="2"/>
        <v>-0.3136974005</v>
      </c>
      <c r="V409" s="124">
        <f t="array" ref="V409">INDIRECT("Update"&amp;Projections!$AG$17&amp;"!M"&amp;ROW(B390))</f>
        <v>2.080333333</v>
      </c>
      <c r="W409" s="124">
        <f t="array" ref="W409">INDIRECT("Update"&amp;Projections!$AG$17&amp;"!L"&amp;ROW(B390))</f>
        <v>0</v>
      </c>
      <c r="X409" s="124">
        <f t="array" ref="X409">INDIRECT("Update"&amp;Projections!$AG$17&amp;"!N"&amp;ROW(B390))</f>
        <v>3.282666667</v>
      </c>
      <c r="Y409" s="124">
        <f t="array" ref="Y409">INDIRECT("Update"&amp;Projections!$AG$17&amp;"!O"&amp;ROW(B390))</f>
        <v>1.085666667</v>
      </c>
      <c r="Z409" s="124">
        <f t="array" ref="Z409">INDIRECT("Update"&amp;Projections!$AG$17&amp;"!P"&amp;ROW(B390))</f>
        <v>0.323</v>
      </c>
      <c r="AA409" s="124">
        <f t="array" ref="AA409">INDIRECT("Update"&amp;Projections!$AG$17&amp;"!Q"&amp;ROW(B390))</f>
        <v>0.255</v>
      </c>
      <c r="AB409" s="180">
        <f t="array" ref="AB409">INDIRECT("Update"&amp;Projections!$AG$17&amp;"!I"&amp;ROW(B390))</f>
        <v>0.6501319261</v>
      </c>
      <c r="AC409" s="180">
        <f t="array" ref="AC409">INDIRECT("Update"&amp;Projections!$AG$17&amp;"!K"&amp;ROW(B390))</f>
        <v>0.6081519222</v>
      </c>
      <c r="AD409" s="124">
        <f t="array" ref="AD409">INDIRECT("Update"&amp;Projections!$AG$17&amp;"!R"&amp;ROW(B390))</f>
        <v>0.4836666667</v>
      </c>
      <c r="AE409" s="124">
        <f t="shared" si="3"/>
        <v>-2.777438967</v>
      </c>
      <c r="AF409" s="124">
        <f t="shared" si="4"/>
        <v>-1.734552372</v>
      </c>
      <c r="AG409" s="124">
        <f t="shared" si="5"/>
        <v>-1.097600861</v>
      </c>
      <c r="AH409" s="124">
        <f t="shared" si="6"/>
        <v>-1.293234811</v>
      </c>
      <c r="AI409" s="124">
        <f t="shared" si="7"/>
        <v>-2.160328637</v>
      </c>
      <c r="AJ409" s="124">
        <f t="shared" si="8"/>
        <v>-0.8805274757</v>
      </c>
      <c r="AK409" s="124">
        <f t="shared" si="9"/>
        <v>0.2246588821</v>
      </c>
      <c r="AL409" s="124">
        <f t="shared" si="10"/>
        <v>-0.4723451392</v>
      </c>
      <c r="AM409" s="124">
        <f t="shared" si="11"/>
        <v>0</v>
      </c>
      <c r="AN409" s="183">
        <f t="shared" si="12"/>
        <v>-2.777438967</v>
      </c>
      <c r="AO409" s="183">
        <f t="shared" si="13"/>
        <v>-4.937767604</v>
      </c>
      <c r="AP409" s="183">
        <f t="array" ref="AP409">INDIRECT("Update"&amp;Projections!$AG$17&amp;"!S"&amp;ROW(B390))</f>
        <v>1.263333333</v>
      </c>
      <c r="AQ409" s="183">
        <f t="array" ref="AQ409">INDIRECT("Update"&amp;Projections!$AG$17&amp;"!T"&amp;ROW(B390))</f>
        <v>0.7196666667</v>
      </c>
    </row>
    <row r="410">
      <c r="A410">
        <f>IF(UpdateHashtag!C408="",ROW(UpdateHashtag!C408),UpdateHashtag!C408)</f>
        <v>408</v>
      </c>
      <c r="B410" s="41" t="str">
        <f>IF(TYPE($A410)=1,"",(UpdateHashtag!M408-B$1)/B$2)</f>
        <v/>
      </c>
      <c r="C410" s="41" t="str">
        <f>IF(TYPE($A410)=1,"",(UpdateHashtag!L408-C$1)/C$2)</f>
        <v/>
      </c>
      <c r="D410" s="41" t="str">
        <f>IF(TYPE($A410)=1,"",(UpdateHashtag!N408-D$1)/D$2)</f>
        <v/>
      </c>
      <c r="E410" s="41" t="str">
        <f>IF(TYPE($A410)=1,"",(UpdateHashtag!O408-E$1)/E$2)</f>
        <v/>
      </c>
      <c r="F410" s="41" t="str">
        <f>IF(TYPE($A410)=1,"",(UpdateHashtag!P408-F$1)/F$2)</f>
        <v/>
      </c>
      <c r="G410" s="41" t="str">
        <f>IF(TYPE($A410)=1,"",(UpdateHashtag!Q408-G$1)/G$2)</f>
        <v/>
      </c>
      <c r="H410" s="41" t="str">
        <f>IF(TYPE($A410)=1,"",(UpdateHashtag!I408-H$1)/H$2*I410/$I$1)</f>
        <v/>
      </c>
      <c r="I410" s="41" t="str">
        <f>UpdateHashtag!S408</f>
        <v/>
      </c>
      <c r="J410" s="53" t="str">
        <f>IF(TYPE($A410)=1,"",(UpdateHashtag!K408-J$1)/J$2*K410/$K$1)</f>
        <v/>
      </c>
      <c r="K410" s="55" t="str">
        <f>UpdateHashtag!T408</f>
        <v/>
      </c>
      <c r="L410" s="41" t="str">
        <f>IF(TYPE($A410)=1,"",-(UpdateHashtag!R408-L$1)/L$2)</f>
        <v/>
      </c>
      <c r="N410" s="112">
        <v>390.0</v>
      </c>
      <c r="O410" s="170" t="str">
        <f t="array" ref="O410">INDIRECT("Update"&amp;Projections!$AG$17&amp;"!B"&amp;ROW(B391))</f>
        <v>#N/A</v>
      </c>
      <c r="P410" s="172" t="str">
        <f t="array" ref="P410">INDIRECT("Update"&amp;Projections!$AG$17&amp;"!C"&amp;ROW(B391))</f>
        <v>Justin Champagnie</v>
      </c>
      <c r="Q410" s="170" t="str">
        <f>UpdateHashtag!F448</f>
        <v/>
      </c>
      <c r="R410" s="177">
        <f>IF(UpdateHashtag!D448="",ROW(UpdateHashtag!D448),UpdateHashtag!D448)</f>
        <v>448</v>
      </c>
      <c r="S410" s="124">
        <f t="shared" si="1"/>
        <v>-9.715226341</v>
      </c>
      <c r="T410" s="124">
        <f>SUM(AE410:AM410)-IFERROR(IFS(Projections!$I$17,AN410,Projections!$J$17,AO410),"")</f>
        <v>-10.06284563</v>
      </c>
      <c r="U410" s="124">
        <f t="shared" si="2"/>
        <v>-0.34761929</v>
      </c>
      <c r="V410" s="124">
        <f t="array" ref="V410">INDIRECT("Update"&amp;Projections!$AG$17&amp;"!M"&amp;ROW(B391))</f>
        <v>3.470625</v>
      </c>
      <c r="W410" s="124">
        <f t="array" ref="W410">INDIRECT("Update"&amp;Projections!$AG$17&amp;"!L"&amp;ROW(B391))</f>
        <v>0.579375</v>
      </c>
      <c r="X410" s="124">
        <f t="array" ref="X410">INDIRECT("Update"&amp;Projections!$AG$17&amp;"!N"&amp;ROW(B391))</f>
        <v>1.95</v>
      </c>
      <c r="Y410" s="124">
        <f t="array" ref="Y410">INDIRECT("Update"&amp;Projections!$AG$17&amp;"!O"&amp;ROW(B391))</f>
        <v>0.65</v>
      </c>
      <c r="Z410" s="124">
        <f t="array" ref="Z410">INDIRECT("Update"&amp;Projections!$AG$17&amp;"!P"&amp;ROW(B391))</f>
        <v>0.335</v>
      </c>
      <c r="AA410" s="124">
        <f t="array" ref="AA410">INDIRECT("Update"&amp;Projections!$AG$17&amp;"!Q"&amp;ROW(B391))</f>
        <v>0.2325</v>
      </c>
      <c r="AB410" s="180">
        <f t="array" ref="AB410">INDIRECT("Update"&amp;Projections!$AG$17&amp;"!I"&amp;ROW(B391))</f>
        <v>0.4117524917</v>
      </c>
      <c r="AC410" s="180">
        <f t="array" ref="AC410">INDIRECT("Update"&amp;Projections!$AG$17&amp;"!K"&amp;ROW(B391))</f>
        <v>0.8386277001</v>
      </c>
      <c r="AD410" s="124">
        <f t="array" ref="AD410">INDIRECT("Update"&amp;Projections!$AG$17&amp;"!R"&amp;ROW(B391))</f>
        <v>0.346875</v>
      </c>
      <c r="AE410" s="124">
        <f t="shared" si="3"/>
        <v>-2.526831055</v>
      </c>
      <c r="AF410" s="124">
        <f t="shared" si="4"/>
        <v>-1.159853775</v>
      </c>
      <c r="AG410" s="124">
        <f t="shared" si="5"/>
        <v>-1.619882252</v>
      </c>
      <c r="AH410" s="124">
        <f t="shared" si="6"/>
        <v>-1.491087778</v>
      </c>
      <c r="AI410" s="124">
        <f t="shared" si="7"/>
        <v>-2.120628876</v>
      </c>
      <c r="AJ410" s="124">
        <f t="shared" si="8"/>
        <v>-0.9206595518</v>
      </c>
      <c r="AK410" s="124">
        <f t="shared" si="9"/>
        <v>-0.2993250371</v>
      </c>
      <c r="AL410" s="124">
        <f t="shared" si="10"/>
        <v>0.07542269242</v>
      </c>
      <c r="AM410" s="124">
        <f t="shared" si="11"/>
        <v>0</v>
      </c>
      <c r="AN410" s="183">
        <f t="shared" si="12"/>
        <v>-2.526831055</v>
      </c>
      <c r="AO410" s="183">
        <f t="shared" si="13"/>
        <v>-4.647459931</v>
      </c>
      <c r="AP410" s="183">
        <f t="array" ref="AP410">INDIRECT("Update"&amp;Projections!$AG$17&amp;"!S"&amp;ROW(B391))</f>
        <v>3.01</v>
      </c>
      <c r="AQ410" s="183">
        <f t="array" ref="AQ410">INDIRECT("Update"&amp;Projections!$AG$17&amp;"!T"&amp;ROW(B391))</f>
        <v>0.491875</v>
      </c>
    </row>
    <row r="411">
      <c r="A411">
        <f>IF(UpdateHashtag!C409="",ROW(UpdateHashtag!C409),UpdateHashtag!C409)</f>
        <v>409</v>
      </c>
      <c r="B411" s="41" t="str">
        <f>IF(TYPE($A411)=1,"",(UpdateHashtag!M409-B$1)/B$2)</f>
        <v/>
      </c>
      <c r="C411" s="41" t="str">
        <f>IF(TYPE($A411)=1,"",(UpdateHashtag!L409-C$1)/C$2)</f>
        <v/>
      </c>
      <c r="D411" s="41" t="str">
        <f>IF(TYPE($A411)=1,"",(UpdateHashtag!N409-D$1)/D$2)</f>
        <v/>
      </c>
      <c r="E411" s="41" t="str">
        <f>IF(TYPE($A411)=1,"",(UpdateHashtag!O409-E$1)/E$2)</f>
        <v/>
      </c>
      <c r="F411" s="41" t="str">
        <f>IF(TYPE($A411)=1,"",(UpdateHashtag!P409-F$1)/F$2)</f>
        <v/>
      </c>
      <c r="G411" s="41" t="str">
        <f>IF(TYPE($A411)=1,"",(UpdateHashtag!Q409-G$1)/G$2)</f>
        <v/>
      </c>
      <c r="H411" s="41" t="str">
        <f>IF(TYPE($A411)=1,"",(UpdateHashtag!I409-H$1)/H$2*I411/$I$1)</f>
        <v/>
      </c>
      <c r="I411" s="41" t="str">
        <f>UpdateHashtag!S409</f>
        <v/>
      </c>
      <c r="J411" s="53" t="str">
        <f>IF(TYPE($A411)=1,"",(UpdateHashtag!K409-J$1)/J$2*K411/$K$1)</f>
        <v/>
      </c>
      <c r="K411" s="55" t="str">
        <f>UpdateHashtag!T409</f>
        <v/>
      </c>
      <c r="L411" s="41" t="str">
        <f>IF(TYPE($A411)=1,"",-(UpdateHashtag!R409-L$1)/L$2)</f>
        <v/>
      </c>
      <c r="N411" s="112">
        <v>391.0</v>
      </c>
      <c r="O411" s="170" t="str">
        <f t="array" ref="O411">INDIRECT("Update"&amp;Projections!$AG$17&amp;"!B"&amp;ROW(B392))</f>
        <v>#N/A</v>
      </c>
      <c r="P411" s="172" t="str">
        <f t="array" ref="P411">INDIRECT("Update"&amp;Projections!$AG$17&amp;"!C"&amp;ROW(B392))</f>
        <v>Kessler Edwards</v>
      </c>
      <c r="Q411" s="170" t="str">
        <f>UpdateHashtag!F449</f>
        <v/>
      </c>
      <c r="R411" s="177">
        <f>IF(UpdateHashtag!D449="",ROW(UpdateHashtag!D449),UpdateHashtag!D449)</f>
        <v>449</v>
      </c>
      <c r="S411" s="124">
        <f t="shared" si="1"/>
        <v>-9.703897724</v>
      </c>
      <c r="T411" s="124">
        <f>SUM(AE411:AM411)-IFERROR(IFS(Projections!$I$17,AN411,Projections!$J$17,AO411),"")</f>
        <v>-10.06453608</v>
      </c>
      <c r="U411" s="124">
        <f t="shared" si="2"/>
        <v>-0.3606383521</v>
      </c>
      <c r="V411" s="124">
        <f t="array" ref="V411">INDIRECT("Update"&amp;Projections!$AG$17&amp;"!M"&amp;ROW(B392))</f>
        <v>3.615</v>
      </c>
      <c r="W411" s="124">
        <f t="array" ref="W411">INDIRECT("Update"&amp;Projections!$AG$17&amp;"!L"&amp;ROW(B392))</f>
        <v>0.741875</v>
      </c>
      <c r="X411" s="124">
        <f t="array" ref="X411">INDIRECT("Update"&amp;Projections!$AG$17&amp;"!N"&amp;ROW(B392))</f>
        <v>1.6625</v>
      </c>
      <c r="Y411" s="124">
        <f t="array" ref="Y411">INDIRECT("Update"&amp;Projections!$AG$17&amp;"!O"&amp;ROW(B392))</f>
        <v>0.589375</v>
      </c>
      <c r="Z411" s="124">
        <f t="array" ref="Z411">INDIRECT("Update"&amp;Projections!$AG$17&amp;"!P"&amp;ROW(B392))</f>
        <v>0.420625</v>
      </c>
      <c r="AA411" s="124">
        <f t="array" ref="AA411">INDIRECT("Update"&amp;Projections!$AG$17&amp;"!Q"&amp;ROW(B392))</f>
        <v>0.12625</v>
      </c>
      <c r="AB411" s="180">
        <f t="array" ref="AB411">INDIRECT("Update"&amp;Projections!$AG$17&amp;"!I"&amp;ROW(B392))</f>
        <v>0.4236594351</v>
      </c>
      <c r="AC411" s="180">
        <f t="array" ref="AC411">INDIRECT("Update"&amp;Projections!$AG$17&amp;"!K"&amp;ROW(B392))</f>
        <v>0.7196850394</v>
      </c>
      <c r="AD411" s="124">
        <f t="array" ref="AD411">INDIRECT("Update"&amp;Projections!$AG$17&amp;"!R"&amp;ROW(B392))</f>
        <v>0.294375</v>
      </c>
      <c r="AE411" s="124">
        <f t="shared" si="3"/>
        <v>-2.500806647</v>
      </c>
      <c r="AF411" s="124">
        <f t="shared" si="4"/>
        <v>-0.998665387</v>
      </c>
      <c r="AG411" s="124">
        <f t="shared" si="5"/>
        <v>-1.732555513</v>
      </c>
      <c r="AH411" s="124">
        <f t="shared" si="6"/>
        <v>-1.518619919</v>
      </c>
      <c r="AI411" s="124">
        <f t="shared" si="7"/>
        <v>-1.837354543</v>
      </c>
      <c r="AJ411" s="124">
        <f t="shared" si="8"/>
        <v>-1.110172133</v>
      </c>
      <c r="AK411" s="124">
        <f t="shared" si="9"/>
        <v>-0.2613821755</v>
      </c>
      <c r="AL411" s="124">
        <f t="shared" si="10"/>
        <v>-0.1049797587</v>
      </c>
      <c r="AM411" s="124">
        <f t="shared" si="11"/>
        <v>0</v>
      </c>
      <c r="AN411" s="183">
        <f t="shared" si="12"/>
        <v>-2.500806647</v>
      </c>
      <c r="AO411" s="183">
        <f t="shared" si="13"/>
        <v>-4.33816119</v>
      </c>
      <c r="AP411" s="183">
        <f t="array" ref="AP411">INDIRECT("Update"&amp;Projections!$AG$17&amp;"!S"&amp;ROW(B392))</f>
        <v>3.05375</v>
      </c>
      <c r="AQ411" s="183">
        <f t="array" ref="AQ411">INDIRECT("Update"&amp;Projections!$AG$17&amp;"!T"&amp;ROW(B392))</f>
        <v>0.396875</v>
      </c>
    </row>
    <row r="412">
      <c r="A412">
        <f>IF(UpdateHashtag!C410="",ROW(UpdateHashtag!C410),UpdateHashtag!C410)</f>
        <v>410</v>
      </c>
      <c r="B412" s="41" t="str">
        <f>IF(TYPE($A412)=1,"",(UpdateHashtag!M410-B$1)/B$2)</f>
        <v/>
      </c>
      <c r="C412" s="41" t="str">
        <f>IF(TYPE($A412)=1,"",(UpdateHashtag!L410-C$1)/C$2)</f>
        <v/>
      </c>
      <c r="D412" s="41" t="str">
        <f>IF(TYPE($A412)=1,"",(UpdateHashtag!N410-D$1)/D$2)</f>
        <v/>
      </c>
      <c r="E412" s="41" t="str">
        <f>IF(TYPE($A412)=1,"",(UpdateHashtag!O410-E$1)/E$2)</f>
        <v/>
      </c>
      <c r="F412" s="41" t="str">
        <f>IF(TYPE($A412)=1,"",(UpdateHashtag!P410-F$1)/F$2)</f>
        <v/>
      </c>
      <c r="G412" s="41" t="str">
        <f>IF(TYPE($A412)=1,"",(UpdateHashtag!Q410-G$1)/G$2)</f>
        <v/>
      </c>
      <c r="H412" s="41" t="str">
        <f>IF(TYPE($A412)=1,"",(UpdateHashtag!I410-H$1)/H$2*I412/$I$1)</f>
        <v/>
      </c>
      <c r="I412" s="41" t="str">
        <f>UpdateHashtag!S410</f>
        <v/>
      </c>
      <c r="J412" s="53" t="str">
        <f>IF(TYPE($A412)=1,"",(UpdateHashtag!K410-J$1)/J$2*K412/$K$1)</f>
        <v/>
      </c>
      <c r="K412" s="55" t="str">
        <f>UpdateHashtag!T410</f>
        <v/>
      </c>
      <c r="L412" s="41" t="str">
        <f>IF(TYPE($A412)=1,"",-(UpdateHashtag!R410-L$1)/L$2)</f>
        <v/>
      </c>
      <c r="N412" s="5">
        <v>392.0</v>
      </c>
      <c r="O412" s="170" t="str">
        <f t="array" ref="O412">INDIRECT("Update"&amp;Projections!$AG$17&amp;"!B"&amp;ROW(B393))</f>
        <v>#N/A</v>
      </c>
      <c r="P412" s="172" t="str">
        <f t="array" ref="P412">INDIRECT("Update"&amp;Projections!$AG$17&amp;"!C"&amp;ROW(B393))</f>
        <v>Collin Gillespie</v>
      </c>
      <c r="Q412" s="170" t="str">
        <f>UpdateHashtag!F456</f>
        <v/>
      </c>
      <c r="R412" s="177">
        <f>IF(UpdateHashtag!D456="",ROW(UpdateHashtag!D456),UpdateHashtag!D456)</f>
        <v>456</v>
      </c>
      <c r="S412" s="124">
        <f t="shared" si="1"/>
        <v>-9.801045104</v>
      </c>
      <c r="T412" s="124">
        <f>SUM(AE412:AM412)-IFERROR(IFS(Projections!$I$17,AN412,Projections!$J$17,AO412),"")</f>
        <v>-10.09007861</v>
      </c>
      <c r="U412" s="124">
        <f t="shared" si="2"/>
        <v>-0.2890335107</v>
      </c>
      <c r="V412" s="124">
        <f t="array" ref="V412">INDIRECT("Update"&amp;Projections!$AG$17&amp;"!M"&amp;ROW(B393))</f>
        <v>4.386875</v>
      </c>
      <c r="W412" s="124">
        <f t="array" ref="W412">INDIRECT("Update"&amp;Projections!$AG$17&amp;"!L"&amp;ROW(B393))</f>
        <v>0.7675</v>
      </c>
      <c r="X412" s="124">
        <f t="array" ref="X412">INDIRECT("Update"&amp;Projections!$AG$17&amp;"!N"&amp;ROW(B393))</f>
        <v>0.966875</v>
      </c>
      <c r="Y412" s="124">
        <f t="array" ref="Y412">INDIRECT("Update"&amp;Projections!$AG$17&amp;"!O"&amp;ROW(B393))</f>
        <v>1.25</v>
      </c>
      <c r="Z412" s="124">
        <f t="array" ref="Z412">INDIRECT("Update"&amp;Projections!$AG$17&amp;"!P"&amp;ROW(B393))</f>
        <v>0.379375</v>
      </c>
      <c r="AA412" s="124">
        <f t="array" ref="AA412">INDIRECT("Update"&amp;Projections!$AG$17&amp;"!Q"&amp;ROW(B393))</f>
        <v>0.029375</v>
      </c>
      <c r="AB412" s="180">
        <f t="array" ref="AB412">INDIRECT("Update"&amp;Projections!$AG$17&amp;"!I"&amp;ROW(B393))</f>
        <v>0.4469453376</v>
      </c>
      <c r="AC412" s="180">
        <f t="array" ref="AC412">INDIRECT("Update"&amp;Projections!$AG$17&amp;"!K"&amp;ROW(B393))</f>
        <v>0.7640776699</v>
      </c>
      <c r="AD412" s="124">
        <f t="array" ref="AD412">INDIRECT("Update"&amp;Projections!$AG$17&amp;"!R"&amp;ROW(B393))</f>
        <v>0.583125</v>
      </c>
      <c r="AE412" s="124">
        <f t="shared" si="3"/>
        <v>-2.361671826</v>
      </c>
      <c r="AF412" s="124">
        <f t="shared" si="4"/>
        <v>-0.9732472182</v>
      </c>
      <c r="AG412" s="124">
        <f t="shared" si="5"/>
        <v>-2.005175817</v>
      </c>
      <c r="AH412" s="124">
        <f t="shared" si="6"/>
        <v>-1.218604732</v>
      </c>
      <c r="AI412" s="124">
        <f t="shared" si="7"/>
        <v>-1.97382247</v>
      </c>
      <c r="AJ412" s="124">
        <f t="shared" si="8"/>
        <v>-1.282963016</v>
      </c>
      <c r="AK412" s="124">
        <f t="shared" si="9"/>
        <v>-0.2047068594</v>
      </c>
      <c r="AL412" s="124">
        <f t="shared" si="10"/>
        <v>-0.06988667632</v>
      </c>
      <c r="AM412" s="124">
        <f t="shared" si="11"/>
        <v>0</v>
      </c>
      <c r="AN412" s="183">
        <f t="shared" si="12"/>
        <v>-2.361671826</v>
      </c>
      <c r="AO412" s="183">
        <f t="shared" si="13"/>
        <v>-4.366847643</v>
      </c>
      <c r="AP412" s="183">
        <f t="array" ref="AP412">INDIRECT("Update"&amp;Projections!$AG$17&amp;"!S"&amp;ROW(B393))</f>
        <v>3.49875</v>
      </c>
      <c r="AQ412" s="183">
        <f t="array" ref="AQ412">INDIRECT("Update"&amp;Projections!$AG$17&amp;"!T"&amp;ROW(B393))</f>
        <v>0.64375</v>
      </c>
    </row>
    <row r="413">
      <c r="A413">
        <f>IF(UpdateHashtag!C411="",ROW(UpdateHashtag!C411),UpdateHashtag!C411)</f>
        <v>411</v>
      </c>
      <c r="B413" s="41" t="str">
        <f>IF(TYPE($A413)=1,"",(UpdateHashtag!M411-B$1)/B$2)</f>
        <v/>
      </c>
      <c r="C413" s="41" t="str">
        <f>IF(TYPE($A413)=1,"",(UpdateHashtag!L411-C$1)/C$2)</f>
        <v/>
      </c>
      <c r="D413" s="41" t="str">
        <f>IF(TYPE($A413)=1,"",(UpdateHashtag!N411-D$1)/D$2)</f>
        <v/>
      </c>
      <c r="E413" s="41" t="str">
        <f>IF(TYPE($A413)=1,"",(UpdateHashtag!O411-E$1)/E$2)</f>
        <v/>
      </c>
      <c r="F413" s="41" t="str">
        <f>IF(TYPE($A413)=1,"",(UpdateHashtag!P411-F$1)/F$2)</f>
        <v/>
      </c>
      <c r="G413" s="41" t="str">
        <f>IF(TYPE($A413)=1,"",(UpdateHashtag!Q411-G$1)/G$2)</f>
        <v/>
      </c>
      <c r="H413" s="41" t="str">
        <f>IF(TYPE($A413)=1,"",(UpdateHashtag!I411-H$1)/H$2*I413/$I$1)</f>
        <v/>
      </c>
      <c r="I413" s="41" t="str">
        <f>UpdateHashtag!S411</f>
        <v/>
      </c>
      <c r="J413" s="53" t="str">
        <f>IF(TYPE($A413)=1,"",(UpdateHashtag!K411-J$1)/J$2*K413/$K$1)</f>
        <v/>
      </c>
      <c r="K413" s="55" t="str">
        <f>UpdateHashtag!T411</f>
        <v/>
      </c>
      <c r="L413" s="41" t="str">
        <f>IF(TYPE($A413)=1,"",-(UpdateHashtag!R411-L$1)/L$2)</f>
        <v/>
      </c>
      <c r="N413" s="5">
        <v>393.0</v>
      </c>
      <c r="O413" s="170" t="str">
        <f t="array" ref="O413">INDIRECT("Update"&amp;Projections!$AG$17&amp;"!B"&amp;ROW(B394))</f>
        <v>#N/A</v>
      </c>
      <c r="P413" s="172" t="str">
        <f t="array" ref="P413">INDIRECT("Update"&amp;Projections!$AG$17&amp;"!C"&amp;ROW(B394))</f>
        <v>Kai Jones</v>
      </c>
      <c r="Q413" s="170" t="str">
        <f>UpdateHashtag!F454</f>
        <v/>
      </c>
      <c r="R413" s="177">
        <f>IF(UpdateHashtag!D454="",ROW(UpdateHashtag!D454),UpdateHashtag!D454)</f>
        <v>454</v>
      </c>
      <c r="S413" s="124">
        <f t="shared" si="1"/>
        <v>-9.989595683</v>
      </c>
      <c r="T413" s="124">
        <f>SUM(AE413:AM413)-IFERROR(IFS(Projections!$I$17,AN413,Projections!$J$17,AO413),"")</f>
        <v>-10.27343002</v>
      </c>
      <c r="U413" s="124">
        <f t="shared" si="2"/>
        <v>-0.2838343398</v>
      </c>
      <c r="V413" s="124">
        <f t="array" ref="V413">INDIRECT("Update"&amp;Projections!$AG$17&amp;"!M"&amp;ROW(B394))</f>
        <v>3.372045455</v>
      </c>
      <c r="W413" s="124">
        <f t="array" ref="W413">INDIRECT("Update"&amp;Projections!$AG$17&amp;"!L"&amp;ROW(B394))</f>
        <v>0.1006818182</v>
      </c>
      <c r="X413" s="124">
        <f t="array" ref="X413">INDIRECT("Update"&amp;Projections!$AG$17&amp;"!N"&amp;ROW(B394))</f>
        <v>2.261363636</v>
      </c>
      <c r="Y413" s="124">
        <f t="array" ref="Y413">INDIRECT("Update"&amp;Projections!$AG$17&amp;"!O"&amp;ROW(B394))</f>
        <v>0.3327272727</v>
      </c>
      <c r="Z413" s="124">
        <f t="array" ref="Z413">INDIRECT("Update"&amp;Projections!$AG$17&amp;"!P"&amp;ROW(B394))</f>
        <v>0.2245454545</v>
      </c>
      <c r="AA413" s="124">
        <f t="array" ref="AA413">INDIRECT("Update"&amp;Projections!$AG$17&amp;"!Q"&amp;ROW(B394))</f>
        <v>0.5243181818</v>
      </c>
      <c r="AB413" s="180">
        <f t="array" ref="AB413">INDIRECT("Update"&amp;Projections!$AG$17&amp;"!I"&amp;ROW(B394))</f>
        <v>0.5783420738</v>
      </c>
      <c r="AC413" s="180">
        <f t="array" ref="AC413">INDIRECT("Update"&amp;Projections!$AG$17&amp;"!K"&amp;ROW(B394))</f>
        <v>0.656103709</v>
      </c>
      <c r="AD413" s="124">
        <f t="array" ref="AD413">INDIRECT("Update"&amp;Projections!$AG$17&amp;"!R"&amp;ROW(B394))</f>
        <v>0.6040909091</v>
      </c>
      <c r="AE413" s="124">
        <f t="shared" si="3"/>
        <v>-2.544600573</v>
      </c>
      <c r="AF413" s="124">
        <f t="shared" si="4"/>
        <v>-1.634683203</v>
      </c>
      <c r="AG413" s="124">
        <f t="shared" si="5"/>
        <v>-1.497856664</v>
      </c>
      <c r="AH413" s="124">
        <f t="shared" si="6"/>
        <v>-1.63517351</v>
      </c>
      <c r="AI413" s="124">
        <f t="shared" si="7"/>
        <v>-2.486047127</v>
      </c>
      <c r="AJ413" s="124">
        <f t="shared" si="8"/>
        <v>-0.4001586868</v>
      </c>
      <c r="AK413" s="124">
        <f t="shared" si="9"/>
        <v>0.2330092675</v>
      </c>
      <c r="AL413" s="124">
        <f t="shared" si="10"/>
        <v>-0.3079195261</v>
      </c>
      <c r="AM413" s="124">
        <f t="shared" si="11"/>
        <v>0</v>
      </c>
      <c r="AN413" s="183">
        <f t="shared" si="12"/>
        <v>-2.544600573</v>
      </c>
      <c r="AO413" s="183">
        <f t="shared" si="13"/>
        <v>-5.0306477</v>
      </c>
      <c r="AP413" s="183">
        <f t="array" ref="AP413">INDIRECT("Update"&amp;Projections!$AG$17&amp;"!S"&amp;ROW(B394))</f>
        <v>2.470227273</v>
      </c>
      <c r="AQ413" s="183">
        <f t="array" ref="AQ413">INDIRECT("Update"&amp;Projections!$AG$17&amp;"!T"&amp;ROW(B394))</f>
        <v>0.6311363636</v>
      </c>
    </row>
    <row r="414">
      <c r="A414">
        <f>IF(UpdateHashtag!C412="",ROW(UpdateHashtag!C412),UpdateHashtag!C412)</f>
        <v>412</v>
      </c>
      <c r="B414" s="41" t="str">
        <f>IF(TYPE($A414)=1,"",(UpdateHashtag!M412-B$1)/B$2)</f>
        <v/>
      </c>
      <c r="C414" s="41" t="str">
        <f>IF(TYPE($A414)=1,"",(UpdateHashtag!L412-C$1)/C$2)</f>
        <v/>
      </c>
      <c r="D414" s="41" t="str">
        <f>IF(TYPE($A414)=1,"",(UpdateHashtag!N412-D$1)/D$2)</f>
        <v/>
      </c>
      <c r="E414" s="41" t="str">
        <f>IF(TYPE($A414)=1,"",(UpdateHashtag!O412-E$1)/E$2)</f>
        <v/>
      </c>
      <c r="F414" s="41" t="str">
        <f>IF(TYPE($A414)=1,"",(UpdateHashtag!P412-F$1)/F$2)</f>
        <v/>
      </c>
      <c r="G414" s="41" t="str">
        <f>IF(TYPE($A414)=1,"",(UpdateHashtag!Q412-G$1)/G$2)</f>
        <v/>
      </c>
      <c r="H414" s="41" t="str">
        <f>IF(TYPE($A414)=1,"",(UpdateHashtag!I412-H$1)/H$2*I414/$I$1)</f>
        <v/>
      </c>
      <c r="I414" s="41" t="str">
        <f>UpdateHashtag!S412</f>
        <v/>
      </c>
      <c r="J414" s="53" t="str">
        <f>IF(TYPE($A414)=1,"",(UpdateHashtag!K412-J$1)/J$2*K414/$K$1)</f>
        <v/>
      </c>
      <c r="K414" s="55" t="str">
        <f>UpdateHashtag!T412</f>
        <v/>
      </c>
      <c r="L414" s="41" t="str">
        <f>IF(TYPE($A414)=1,"",-(UpdateHashtag!R412-L$1)/L$2)</f>
        <v/>
      </c>
      <c r="N414" s="112">
        <v>394.0</v>
      </c>
      <c r="O414" s="170" t="str">
        <f t="array" ref="O414">INDIRECT("Update"&amp;Projections!$AG$17&amp;"!B"&amp;ROW(B395))</f>
        <v/>
      </c>
      <c r="P414" s="172" t="str">
        <f t="array" ref="P414">INDIRECT("Update"&amp;Projections!$AG$17&amp;"!C"&amp;ROW(B395))</f>
        <v>Garrison Mathews</v>
      </c>
      <c r="Q414" s="170" t="str">
        <f>UpdateHashtag!F444</f>
        <v/>
      </c>
      <c r="R414" s="177">
        <f>IF(UpdateHashtag!D444="",ROW(UpdateHashtag!D444),UpdateHashtag!D444)</f>
        <v>444</v>
      </c>
      <c r="S414" s="124">
        <f t="shared" si="1"/>
        <v>-9.772739002</v>
      </c>
      <c r="T414" s="124">
        <f>SUM(AE414:AM414)-IFERROR(IFS(Projections!$I$17,AN414,Projections!$J$17,AO414),"")</f>
        <v>-10.13924047</v>
      </c>
      <c r="U414" s="124">
        <f t="shared" si="2"/>
        <v>-0.3665014663</v>
      </c>
      <c r="V414" s="124">
        <f t="array" ref="V414">INDIRECT("Update"&amp;Projections!$AG$17&amp;"!M"&amp;ROW(B395))</f>
        <v>3.989268293</v>
      </c>
      <c r="W414" s="124">
        <f t="array" ref="W414">INDIRECT("Update"&amp;Projections!$AG$17&amp;"!L"&amp;ROW(B395))</f>
        <v>1.041463415</v>
      </c>
      <c r="X414" s="124">
        <f t="array" ref="X414">INDIRECT("Update"&amp;Projections!$AG$17&amp;"!N"&amp;ROW(B395))</f>
        <v>1.218780488</v>
      </c>
      <c r="Y414" s="124">
        <f t="array" ref="Y414">INDIRECT("Update"&amp;Projections!$AG$17&amp;"!O"&amp;ROW(B395))</f>
        <v>0.4665853659</v>
      </c>
      <c r="Z414" s="124">
        <f t="array" ref="Z414">INDIRECT("Update"&amp;Projections!$AG$17&amp;"!P"&amp;ROW(B395))</f>
        <v>0.3251219512</v>
      </c>
      <c r="AA414" s="124">
        <f t="array" ref="AA414">INDIRECT("Update"&amp;Projections!$AG$17&amp;"!Q"&amp;ROW(B395))</f>
        <v>0.1092682927</v>
      </c>
      <c r="AB414" s="180">
        <f t="array" ref="AB414">INDIRECT("Update"&amp;Projections!$AG$17&amp;"!I"&amp;ROW(B395))</f>
        <v>0.4243046776</v>
      </c>
      <c r="AC414" s="180">
        <f t="array" ref="AC414">INDIRECT("Update"&amp;Projections!$AG$17&amp;"!K"&amp;ROW(B395))</f>
        <v>0.8177399757</v>
      </c>
      <c r="AD414" s="124">
        <f t="array" ref="AD414">INDIRECT("Update"&amp;Projections!$AG$17&amp;"!R"&amp;ROW(B395))</f>
        <v>0.2707317073</v>
      </c>
      <c r="AE414" s="124">
        <f t="shared" si="3"/>
        <v>-2.433342676</v>
      </c>
      <c r="AF414" s="124">
        <f t="shared" si="4"/>
        <v>-0.7014950882</v>
      </c>
      <c r="AG414" s="124">
        <f t="shared" si="5"/>
        <v>-1.906452294</v>
      </c>
      <c r="AH414" s="124">
        <f t="shared" si="6"/>
        <v>-1.574383408</v>
      </c>
      <c r="AI414" s="124">
        <f t="shared" si="7"/>
        <v>-2.153308557</v>
      </c>
      <c r="AJ414" s="124">
        <f t="shared" si="8"/>
        <v>-1.140461518</v>
      </c>
      <c r="AK414" s="124">
        <f t="shared" si="9"/>
        <v>-0.261896826</v>
      </c>
      <c r="AL414" s="124">
        <f t="shared" si="10"/>
        <v>0.03209990044</v>
      </c>
      <c r="AM414" s="124">
        <f t="shared" si="11"/>
        <v>0</v>
      </c>
      <c r="AN414" s="183">
        <f t="shared" si="12"/>
        <v>-2.433342676</v>
      </c>
      <c r="AO414" s="183">
        <f t="shared" si="13"/>
        <v>-4.586651234</v>
      </c>
      <c r="AP414" s="183">
        <f t="array" ref="AP414">INDIRECT("Update"&amp;Projections!$AG$17&amp;"!S"&amp;ROW(B395))</f>
        <v>3.086829268</v>
      </c>
      <c r="AQ414" s="183">
        <f t="array" ref="AQ414">INDIRECT("Update"&amp;Projections!$AG$17&amp;"!T"&amp;ROW(B395))</f>
        <v>0.4014634146</v>
      </c>
    </row>
    <row r="415">
      <c r="A415">
        <f>IF(UpdateHashtag!C413="",ROW(UpdateHashtag!C413),UpdateHashtag!C413)</f>
        <v>413</v>
      </c>
      <c r="B415" s="41" t="str">
        <f>IF(TYPE($A415)=1,"",(UpdateHashtag!M413-B$1)/B$2)</f>
        <v/>
      </c>
      <c r="C415" s="41" t="str">
        <f>IF(TYPE($A415)=1,"",(UpdateHashtag!L413-C$1)/C$2)</f>
        <v/>
      </c>
      <c r="D415" s="41" t="str">
        <f>IF(TYPE($A415)=1,"",(UpdateHashtag!N413-D$1)/D$2)</f>
        <v/>
      </c>
      <c r="E415" s="41" t="str">
        <f>IF(TYPE($A415)=1,"",(UpdateHashtag!O413-E$1)/E$2)</f>
        <v/>
      </c>
      <c r="F415" s="41" t="str">
        <f>IF(TYPE($A415)=1,"",(UpdateHashtag!P413-F$1)/F$2)</f>
        <v/>
      </c>
      <c r="G415" s="41" t="str">
        <f>IF(TYPE($A415)=1,"",(UpdateHashtag!Q413-G$1)/G$2)</f>
        <v/>
      </c>
      <c r="H415" s="41" t="str">
        <f>IF(TYPE($A415)=1,"",(UpdateHashtag!I413-H$1)/H$2*I415/$I$1)</f>
        <v/>
      </c>
      <c r="I415" s="41" t="str">
        <f>UpdateHashtag!S413</f>
        <v/>
      </c>
      <c r="J415" s="53" t="str">
        <f>IF(TYPE($A415)=1,"",(UpdateHashtag!K413-J$1)/J$2*K415/$K$1)</f>
        <v/>
      </c>
      <c r="K415" s="55" t="str">
        <f>UpdateHashtag!T413</f>
        <v/>
      </c>
      <c r="L415" s="41" t="str">
        <f>IF(TYPE($A415)=1,"",-(UpdateHashtag!R413-L$1)/L$2)</f>
        <v/>
      </c>
      <c r="N415" s="112">
        <v>395.0</v>
      </c>
      <c r="O415" s="170" t="str">
        <f t="array" ref="O415">INDIRECT("Update"&amp;Projections!$AG$17&amp;"!B"&amp;ROW(B396))</f>
        <v/>
      </c>
      <c r="P415" s="172" t="str">
        <f t="array" ref="P415">INDIRECT("Update"&amp;Projections!$AG$17&amp;"!C"&amp;ROW(B396))</f>
        <v>Torrey Craig</v>
      </c>
      <c r="Q415" s="170" t="str">
        <f>UpdateHashtag!F447</f>
        <v/>
      </c>
      <c r="R415" s="177">
        <f>IF(UpdateHashtag!D447="",ROW(UpdateHashtag!D447),UpdateHashtag!D447)</f>
        <v>447</v>
      </c>
      <c r="S415" s="124">
        <f t="shared" si="1"/>
        <v>-9.860495124</v>
      </c>
      <c r="T415" s="124">
        <f>SUM(AE415:AM415)-IFERROR(IFS(Projections!$I$17,AN415,Projections!$J$17,AO415),"")</f>
        <v>-10.20359336</v>
      </c>
      <c r="U415" s="124">
        <f t="shared" si="2"/>
        <v>-0.3430982327</v>
      </c>
      <c r="V415" s="124">
        <f t="array" ref="V415">INDIRECT("Update"&amp;Projections!$AG$17&amp;"!M"&amp;ROW(B396))</f>
        <v>2.879787234</v>
      </c>
      <c r="W415" s="124">
        <f t="array" ref="W415">INDIRECT("Update"&amp;Projections!$AG$17&amp;"!L"&amp;ROW(B396))</f>
        <v>0.5544680851</v>
      </c>
      <c r="X415" s="124">
        <f t="array" ref="X415">INDIRECT("Update"&amp;Projections!$AG$17&amp;"!N"&amp;ROW(B396))</f>
        <v>2.313191489</v>
      </c>
      <c r="Y415" s="124">
        <f t="array" ref="Y415">INDIRECT("Update"&amp;Projections!$AG$17&amp;"!O"&amp;ROW(B396))</f>
        <v>0.5761702128</v>
      </c>
      <c r="Z415" s="124">
        <f t="array" ref="Z415">INDIRECT("Update"&amp;Projections!$AG$17&amp;"!P"&amp;ROW(B396))</f>
        <v>0.2827659574</v>
      </c>
      <c r="AA415" s="124">
        <f t="array" ref="AA415">INDIRECT("Update"&amp;Projections!$AG$17&amp;"!Q"&amp;ROW(B396))</f>
        <v>0.2746808511</v>
      </c>
      <c r="AB415" s="180">
        <f t="array" ref="AB415">INDIRECT("Update"&amp;Projections!$AG$17&amp;"!I"&amp;ROW(B396))</f>
        <v>0.4344756329</v>
      </c>
      <c r="AC415" s="180">
        <f t="array" ref="AC415">INDIRECT("Update"&amp;Projections!$AG$17&amp;"!K"&amp;ROW(B396))</f>
        <v>0.7209302326</v>
      </c>
      <c r="AD415" s="124">
        <f t="array" ref="AD415">INDIRECT("Update"&amp;Projections!$AG$17&amp;"!R"&amp;ROW(B396))</f>
        <v>0.365106383</v>
      </c>
      <c r="AE415" s="124">
        <f t="shared" si="3"/>
        <v>-2.633332893</v>
      </c>
      <c r="AF415" s="124">
        <f t="shared" si="4"/>
        <v>-1.184559654</v>
      </c>
      <c r="AG415" s="124">
        <f t="shared" si="5"/>
        <v>-1.477544966</v>
      </c>
      <c r="AH415" s="124">
        <f t="shared" si="6"/>
        <v>-1.52461672</v>
      </c>
      <c r="AI415" s="124">
        <f t="shared" si="7"/>
        <v>-2.293435458</v>
      </c>
      <c r="AJ415" s="124">
        <f t="shared" si="8"/>
        <v>-0.8454237685</v>
      </c>
      <c r="AK415" s="124">
        <f t="shared" si="9"/>
        <v>-0.1804194143</v>
      </c>
      <c r="AL415" s="124">
        <f t="shared" si="10"/>
        <v>-0.06426048186</v>
      </c>
      <c r="AM415" s="124">
        <f t="shared" si="11"/>
        <v>0</v>
      </c>
      <c r="AN415" s="183">
        <f t="shared" si="12"/>
        <v>-2.633332893</v>
      </c>
      <c r="AO415" s="183">
        <f t="shared" si="13"/>
        <v>-4.926768352</v>
      </c>
      <c r="AP415" s="183">
        <f t="array" ref="AP415">INDIRECT("Update"&amp;Projections!$AG$17&amp;"!S"&amp;ROW(B396))</f>
        <v>2.47106383</v>
      </c>
      <c r="AQ415" s="183">
        <f t="array" ref="AQ415">INDIRECT("Update"&amp;Projections!$AG$17&amp;"!T"&amp;ROW(B396))</f>
        <v>0.2470212766</v>
      </c>
    </row>
    <row r="416">
      <c r="A416">
        <f>IF(UpdateHashtag!C414="",ROW(UpdateHashtag!C414),UpdateHashtag!C414)</f>
        <v>414</v>
      </c>
      <c r="B416" s="41" t="str">
        <f>IF(TYPE($A416)=1,"",(UpdateHashtag!M414-B$1)/B$2)</f>
        <v/>
      </c>
      <c r="C416" s="41" t="str">
        <f>IF(TYPE($A416)=1,"",(UpdateHashtag!L414-C$1)/C$2)</f>
        <v/>
      </c>
      <c r="D416" s="41" t="str">
        <f>IF(TYPE($A416)=1,"",(UpdateHashtag!N414-D$1)/D$2)</f>
        <v/>
      </c>
      <c r="E416" s="41" t="str">
        <f>IF(TYPE($A416)=1,"",(UpdateHashtag!O414-E$1)/E$2)</f>
        <v/>
      </c>
      <c r="F416" s="41" t="str">
        <f>IF(TYPE($A416)=1,"",(UpdateHashtag!P414-F$1)/F$2)</f>
        <v/>
      </c>
      <c r="G416" s="41" t="str">
        <f>IF(TYPE($A416)=1,"",(UpdateHashtag!Q414-G$1)/G$2)</f>
        <v/>
      </c>
      <c r="H416" s="41" t="str">
        <f>IF(TYPE($A416)=1,"",(UpdateHashtag!I414-H$1)/H$2*I416/$I$1)</f>
        <v/>
      </c>
      <c r="I416" s="41" t="str">
        <f>UpdateHashtag!S414</f>
        <v/>
      </c>
      <c r="J416" s="53" t="str">
        <f>IF(TYPE($A416)=1,"",(UpdateHashtag!K414-J$1)/J$2*K416/$K$1)</f>
        <v/>
      </c>
      <c r="K416" s="55" t="str">
        <f>UpdateHashtag!T414</f>
        <v/>
      </c>
      <c r="L416" s="41" t="str">
        <f>IF(TYPE($A416)=1,"",-(UpdateHashtag!R414-L$1)/L$2)</f>
        <v/>
      </c>
      <c r="N416" s="5">
        <v>396.0</v>
      </c>
      <c r="O416" s="170" t="str">
        <f t="array" ref="O416">INDIRECT("Update"&amp;Projections!$AG$17&amp;"!B"&amp;ROW(B397))</f>
        <v>#N/A</v>
      </c>
      <c r="P416" s="172" t="str">
        <f t="array" ref="P416">INDIRECT("Update"&amp;Projections!$AG$17&amp;"!C"&amp;ROW(B397))</f>
        <v>Josh Christopher</v>
      </c>
      <c r="Q416" s="170" t="str">
        <f>UpdateHashtag!F452</f>
        <v/>
      </c>
      <c r="R416" s="177">
        <f>IF(UpdateHashtag!D452="",ROW(UpdateHashtag!D452),UpdateHashtag!D452)</f>
        <v>452</v>
      </c>
      <c r="S416" s="124">
        <f t="shared" si="1"/>
        <v>-9.906804363</v>
      </c>
      <c r="T416" s="124">
        <f>SUM(AE416:AM416)-IFERROR(IFS(Projections!$I$17,AN416,Projections!$J$17,AO416),"")</f>
        <v>-10.18514364</v>
      </c>
      <c r="U416" s="124">
        <f t="shared" si="2"/>
        <v>-0.2783392811</v>
      </c>
      <c r="V416" s="124">
        <f t="array" ref="V416">INDIRECT("Update"&amp;Projections!$AG$17&amp;"!M"&amp;ROW(B397))</f>
        <v>4.470625</v>
      </c>
      <c r="W416" s="124">
        <f t="array" ref="W416">INDIRECT("Update"&amp;Projections!$AG$17&amp;"!L"&amp;ROW(B397))</f>
        <v>0.37125</v>
      </c>
      <c r="X416" s="124">
        <f t="array" ref="X416">INDIRECT("Update"&amp;Projections!$AG$17&amp;"!N"&amp;ROW(B397))</f>
        <v>1.07125</v>
      </c>
      <c r="Y416" s="124">
        <f t="array" ref="Y416">INDIRECT("Update"&amp;Projections!$AG$17&amp;"!O"&amp;ROW(B397))</f>
        <v>0.948125</v>
      </c>
      <c r="Z416" s="124">
        <f t="array" ref="Z416">INDIRECT("Update"&amp;Projections!$AG$17&amp;"!P"&amp;ROW(B397))</f>
        <v>0.438125</v>
      </c>
      <c r="AA416" s="124">
        <f t="array" ref="AA416">INDIRECT("Update"&amp;Projections!$AG$17&amp;"!Q"&amp;ROW(B397))</f>
        <v>0.1425</v>
      </c>
      <c r="AB416" s="180">
        <f t="array" ref="AB416">INDIRECT("Update"&amp;Projections!$AG$17&amp;"!I"&amp;ROW(B397))</f>
        <v>0.4737550471</v>
      </c>
      <c r="AC416" s="180">
        <f t="array" ref="AC416">INDIRECT("Update"&amp;Projections!$AG$17&amp;"!K"&amp;ROW(B397))</f>
        <v>0.7270588235</v>
      </c>
      <c r="AD416" s="124">
        <f t="array" ref="AD416">INDIRECT("Update"&amp;Projections!$AG$17&amp;"!R"&amp;ROW(B397))</f>
        <v>0.62625</v>
      </c>
      <c r="AE416" s="124">
        <f t="shared" si="3"/>
        <v>-2.346575416</v>
      </c>
      <c r="AF416" s="124">
        <f t="shared" si="4"/>
        <v>-1.366298902</v>
      </c>
      <c r="AG416" s="124">
        <f t="shared" si="5"/>
        <v>-1.964270525</v>
      </c>
      <c r="AH416" s="124">
        <f t="shared" si="6"/>
        <v>-1.355697764</v>
      </c>
      <c r="AI416" s="124">
        <f t="shared" si="7"/>
        <v>-1.779459059</v>
      </c>
      <c r="AJ416" s="124">
        <f t="shared" si="8"/>
        <v>-1.081187856</v>
      </c>
      <c r="AK416" s="124">
        <f t="shared" si="9"/>
        <v>-0.1015106949</v>
      </c>
      <c r="AL416" s="124">
        <f t="shared" si="10"/>
        <v>-0.190143428</v>
      </c>
      <c r="AM416" s="124">
        <f t="shared" si="11"/>
        <v>0</v>
      </c>
      <c r="AN416" s="183">
        <f t="shared" si="12"/>
        <v>-2.346575416</v>
      </c>
      <c r="AO416" s="183">
        <f t="shared" si="13"/>
        <v>-4.31084594</v>
      </c>
      <c r="AP416" s="183">
        <f t="array" ref="AP416">INDIRECT("Update"&amp;Projections!$AG$17&amp;"!S"&amp;ROW(B397))</f>
        <v>3.715</v>
      </c>
      <c r="AQ416" s="183">
        <f t="array" ref="AQ416">INDIRECT("Update"&amp;Projections!$AG$17&amp;"!T"&amp;ROW(B397))</f>
        <v>0.796875</v>
      </c>
    </row>
    <row r="417">
      <c r="A417">
        <f>IF(UpdateHashtag!C415="",ROW(UpdateHashtag!C415),UpdateHashtag!C415)</f>
        <v>415</v>
      </c>
      <c r="B417" s="41" t="str">
        <f>IF(TYPE($A417)=1,"",(UpdateHashtag!M415-B$1)/B$2)</f>
        <v/>
      </c>
      <c r="C417" s="41" t="str">
        <f>IF(TYPE($A417)=1,"",(UpdateHashtag!L415-C$1)/C$2)</f>
        <v/>
      </c>
      <c r="D417" s="41" t="str">
        <f>IF(TYPE($A417)=1,"",(UpdateHashtag!N415-D$1)/D$2)</f>
        <v/>
      </c>
      <c r="E417" s="41" t="str">
        <f>IF(TYPE($A417)=1,"",(UpdateHashtag!O415-E$1)/E$2)</f>
        <v/>
      </c>
      <c r="F417" s="41" t="str">
        <f>IF(TYPE($A417)=1,"",(UpdateHashtag!P415-F$1)/F$2)</f>
        <v/>
      </c>
      <c r="G417" s="41" t="str">
        <f>IF(TYPE($A417)=1,"",(UpdateHashtag!Q415-G$1)/G$2)</f>
        <v/>
      </c>
      <c r="H417" s="41" t="str">
        <f>IF(TYPE($A417)=1,"",(UpdateHashtag!I415-H$1)/H$2*I417/$I$1)</f>
        <v/>
      </c>
      <c r="I417" s="41" t="str">
        <f>UpdateHashtag!S415</f>
        <v/>
      </c>
      <c r="J417" s="53" t="str">
        <f>IF(TYPE($A417)=1,"",(UpdateHashtag!K415-J$1)/J$2*K417/$K$1)</f>
        <v/>
      </c>
      <c r="K417" s="55" t="str">
        <f>UpdateHashtag!T415</f>
        <v/>
      </c>
      <c r="L417" s="41" t="str">
        <f>IF(TYPE($A417)=1,"",-(UpdateHashtag!R415-L$1)/L$2)</f>
        <v/>
      </c>
      <c r="N417" s="5">
        <v>397.0</v>
      </c>
      <c r="O417" s="170" t="str">
        <f t="array" ref="O417">INDIRECT("Update"&amp;Projections!$AG$17&amp;"!B"&amp;ROW(B398))</f>
        <v/>
      </c>
      <c r="P417" s="172" t="str">
        <f t="array" ref="P417">INDIRECT("Update"&amp;Projections!$AG$17&amp;"!C"&amp;ROW(B398))</f>
        <v>Maxi Kleber</v>
      </c>
      <c r="Q417" s="170" t="str">
        <f>UpdateHashtag!F453</f>
        <v/>
      </c>
      <c r="R417" s="177">
        <f>IF(UpdateHashtag!D453="",ROW(UpdateHashtag!D453),UpdateHashtag!D453)</f>
        <v>453</v>
      </c>
      <c r="S417" s="124">
        <f t="shared" si="1"/>
        <v>-9.902850896</v>
      </c>
      <c r="T417" s="124">
        <f>SUM(AE417:AM417)-IFERROR(IFS(Projections!$I$17,AN417,Projections!$J$17,AO417),"")</f>
        <v>-10.22630712</v>
      </c>
      <c r="U417" s="124">
        <f t="shared" si="2"/>
        <v>-0.3234562268</v>
      </c>
      <c r="V417" s="124">
        <f t="array" ref="V417">INDIRECT("Update"&amp;Projections!$AG$17&amp;"!M"&amp;ROW(B398))</f>
        <v>2.590980392</v>
      </c>
      <c r="W417" s="124">
        <f t="array" ref="W417">INDIRECT("Update"&amp;Projections!$AG$17&amp;"!L"&amp;ROW(B398))</f>
        <v>0.4464705882</v>
      </c>
      <c r="X417" s="124">
        <f t="array" ref="X417">INDIRECT("Update"&amp;Projections!$AG$17&amp;"!N"&amp;ROW(B398))</f>
        <v>2.133529412</v>
      </c>
      <c r="Y417" s="124">
        <f t="array" ref="Y417">INDIRECT("Update"&amp;Projections!$AG$17&amp;"!O"&amp;ROW(B398))</f>
        <v>0.7933333333</v>
      </c>
      <c r="Z417" s="124">
        <f t="array" ref="Z417">INDIRECT("Update"&amp;Projections!$AG$17&amp;"!P"&amp;ROW(B398))</f>
        <v>0.2390196078</v>
      </c>
      <c r="AA417" s="124">
        <f t="array" ref="AA417">INDIRECT("Update"&amp;Projections!$AG$17&amp;"!Q"&amp;ROW(B398))</f>
        <v>0.4454901961</v>
      </c>
      <c r="AB417" s="180">
        <f t="array" ref="AB417">INDIRECT("Update"&amp;Projections!$AG$17&amp;"!I"&amp;ROW(B398))</f>
        <v>0.4253367727</v>
      </c>
      <c r="AC417" s="180">
        <f t="array" ref="AC417">INDIRECT("Update"&amp;Projections!$AG$17&amp;"!K"&amp;ROW(B398))</f>
        <v>0.7299820467</v>
      </c>
      <c r="AD417" s="124">
        <f t="array" ref="AD417">INDIRECT("Update"&amp;Projections!$AG$17&amp;"!R"&amp;ROW(B398))</f>
        <v>0.4443137255</v>
      </c>
      <c r="AE417" s="124">
        <f t="shared" si="3"/>
        <v>-2.685391955</v>
      </c>
      <c r="AF417" s="124">
        <f t="shared" si="4"/>
        <v>-1.291685454</v>
      </c>
      <c r="AG417" s="124">
        <f t="shared" si="5"/>
        <v>-1.547955791</v>
      </c>
      <c r="AH417" s="124">
        <f t="shared" si="6"/>
        <v>-1.425994606</v>
      </c>
      <c r="AI417" s="124">
        <f t="shared" si="7"/>
        <v>-2.438162092</v>
      </c>
      <c r="AJ417" s="124">
        <f t="shared" si="8"/>
        <v>-0.540760052</v>
      </c>
      <c r="AK417" s="124">
        <f t="shared" si="9"/>
        <v>-0.1716645898</v>
      </c>
      <c r="AL417" s="124">
        <f t="shared" si="10"/>
        <v>-0.1246925832</v>
      </c>
      <c r="AM417" s="124">
        <f t="shared" si="11"/>
        <v>0</v>
      </c>
      <c r="AN417" s="183">
        <f t="shared" si="12"/>
        <v>-2.685391955</v>
      </c>
      <c r="AO417" s="183">
        <f t="shared" si="13"/>
        <v>-5.123554047</v>
      </c>
      <c r="AP417" s="183">
        <f t="array" ref="AP417">INDIRECT("Update"&amp;Projections!$AG$17&amp;"!S"&amp;ROW(B398))</f>
        <v>2.052352941</v>
      </c>
      <c r="AQ417" s="183">
        <f t="array" ref="AQ417">INDIRECT("Update"&amp;Projections!$AG$17&amp;"!T"&amp;ROW(B398))</f>
        <v>0.5460784314</v>
      </c>
    </row>
    <row r="418">
      <c r="A418">
        <f>IF(UpdateHashtag!C416="",ROW(UpdateHashtag!C416),UpdateHashtag!C416)</f>
        <v>416</v>
      </c>
      <c r="B418" s="41" t="str">
        <f>IF(TYPE($A418)=1,"",(UpdateHashtag!M416-B$1)/B$2)</f>
        <v/>
      </c>
      <c r="C418" s="41" t="str">
        <f>IF(TYPE($A418)=1,"",(UpdateHashtag!L416-C$1)/C$2)</f>
        <v/>
      </c>
      <c r="D418" s="41" t="str">
        <f>IF(TYPE($A418)=1,"",(UpdateHashtag!N416-D$1)/D$2)</f>
        <v/>
      </c>
      <c r="E418" s="41" t="str">
        <f>IF(TYPE($A418)=1,"",(UpdateHashtag!O416-E$1)/E$2)</f>
        <v/>
      </c>
      <c r="F418" s="41" t="str">
        <f>IF(TYPE($A418)=1,"",(UpdateHashtag!P416-F$1)/F$2)</f>
        <v/>
      </c>
      <c r="G418" s="41" t="str">
        <f>IF(TYPE($A418)=1,"",(UpdateHashtag!Q416-G$1)/G$2)</f>
        <v/>
      </c>
      <c r="H418" s="41" t="str">
        <f>IF(TYPE($A418)=1,"",(UpdateHashtag!I416-H$1)/H$2*I418/$I$1)</f>
        <v/>
      </c>
      <c r="I418" s="41" t="str">
        <f>UpdateHashtag!S416</f>
        <v/>
      </c>
      <c r="J418" s="53" t="str">
        <f>IF(TYPE($A418)=1,"",(UpdateHashtag!K416-J$1)/J$2*K418/$K$1)</f>
        <v/>
      </c>
      <c r="K418" s="55" t="str">
        <f>UpdateHashtag!T416</f>
        <v/>
      </c>
      <c r="L418" s="41" t="str">
        <f>IF(TYPE($A418)=1,"",-(UpdateHashtag!R416-L$1)/L$2)</f>
        <v/>
      </c>
      <c r="N418" s="112">
        <v>398.0</v>
      </c>
      <c r="O418" s="170" t="str">
        <f t="array" ref="O418">INDIRECT("Update"&amp;Projections!$AG$17&amp;"!B"&amp;ROW(B399))</f>
        <v>#N/A</v>
      </c>
      <c r="P418" s="172" t="str">
        <f t="array" ref="P418">INDIRECT("Update"&amp;Projections!$AG$17&amp;"!C"&amp;ROW(B399))</f>
        <v>Jalen Pickett</v>
      </c>
      <c r="Q418" s="170" t="str">
        <f>UpdateHashtag!F455</f>
        <v/>
      </c>
      <c r="R418" s="177">
        <f>IF(UpdateHashtag!D455="",ROW(UpdateHashtag!D455),UpdateHashtag!D455)</f>
        <v>455</v>
      </c>
      <c r="S418" s="124">
        <f t="shared" si="1"/>
        <v>-9.889812958</v>
      </c>
      <c r="T418" s="124">
        <f>SUM(AE418:AM418)-IFERROR(IFS(Projections!$I$17,AN418,Projections!$J$17,AO418),"")</f>
        <v>-10.16140755</v>
      </c>
      <c r="U418" s="124">
        <f t="shared" si="2"/>
        <v>-0.2715945946</v>
      </c>
      <c r="V418" s="124">
        <f t="array" ref="V418">INDIRECT("Update"&amp;Projections!$AG$17&amp;"!M"&amp;ROW(B399))</f>
        <v>3.509655172</v>
      </c>
      <c r="W418" s="124">
        <f t="array" ref="W418">INDIRECT("Update"&amp;Projections!$AG$17&amp;"!L"&amp;ROW(B399))</f>
        <v>0.684137931</v>
      </c>
      <c r="X418" s="124">
        <f t="array" ref="X418">INDIRECT("Update"&amp;Projections!$AG$17&amp;"!N"&amp;ROW(B399))</f>
        <v>1.224827586</v>
      </c>
      <c r="Y418" s="124">
        <f t="array" ref="Y418">INDIRECT("Update"&amp;Projections!$AG$17&amp;"!O"&amp;ROW(B399))</f>
        <v>1.633448276</v>
      </c>
      <c r="Z418" s="124">
        <f t="array" ref="Z418">INDIRECT("Update"&amp;Projections!$AG$17&amp;"!P"&amp;ROW(B399))</f>
        <v>0.3265517241</v>
      </c>
      <c r="AA418" s="124">
        <f t="array" ref="AA418">INDIRECT("Update"&amp;Projections!$AG$17&amp;"!Q"&amp;ROW(B399))</f>
        <v>0.1368965517</v>
      </c>
      <c r="AB418" s="180">
        <f t="array" ref="AB418">INDIRECT("Update"&amp;Projections!$AG$17&amp;"!I"&amp;ROW(B399))</f>
        <v>0.4083333333</v>
      </c>
      <c r="AC418" s="180">
        <f t="array" ref="AC418">INDIRECT("Update"&amp;Projections!$AG$17&amp;"!K"&amp;ROW(B399))</f>
        <v>0.7397020158</v>
      </c>
      <c r="AD418" s="124">
        <f t="array" ref="AD418">INDIRECT("Update"&amp;Projections!$AG$17&amp;"!R"&amp;ROW(B399))</f>
        <v>0.6534482759</v>
      </c>
      <c r="AE418" s="124">
        <f t="shared" si="3"/>
        <v>-2.519795646</v>
      </c>
      <c r="AF418" s="124">
        <f t="shared" si="4"/>
        <v>-1.055936434</v>
      </c>
      <c r="AG418" s="124">
        <f t="shared" si="5"/>
        <v>-1.904082394</v>
      </c>
      <c r="AH418" s="124">
        <f t="shared" si="6"/>
        <v>-1.044466142</v>
      </c>
      <c r="AI418" s="124">
        <f t="shared" si="7"/>
        <v>-2.14857842</v>
      </c>
      <c r="AJ418" s="124">
        <f t="shared" si="8"/>
        <v>-1.091182434</v>
      </c>
      <c r="AK418" s="124">
        <f t="shared" si="9"/>
        <v>-0.3209603816</v>
      </c>
      <c r="AL418" s="124">
        <f t="shared" si="10"/>
        <v>-0.07640570041</v>
      </c>
      <c r="AM418" s="124">
        <f t="shared" si="11"/>
        <v>0</v>
      </c>
      <c r="AN418" s="183">
        <f t="shared" si="12"/>
        <v>-2.519795646</v>
      </c>
      <c r="AO418" s="183">
        <f t="shared" si="13"/>
        <v>-4.668374066</v>
      </c>
      <c r="AP418" s="183">
        <f t="array" ref="AP418">INDIRECT("Update"&amp;Projections!$AG$17&amp;"!S"&amp;ROW(B399))</f>
        <v>3.103448276</v>
      </c>
      <c r="AQ418" s="183">
        <f t="array" ref="AQ418">INDIRECT("Update"&amp;Projections!$AG$17&amp;"!T"&amp;ROW(B399))</f>
        <v>0.3934482759</v>
      </c>
    </row>
    <row r="419">
      <c r="A419">
        <f>IF(UpdateHashtag!C417="",ROW(UpdateHashtag!C417),UpdateHashtag!C417)</f>
        <v>417</v>
      </c>
      <c r="B419" s="41" t="str">
        <f>IF(TYPE($A419)=1,"",(UpdateHashtag!M417-B$1)/B$2)</f>
        <v/>
      </c>
      <c r="C419" s="41" t="str">
        <f>IF(TYPE($A419)=1,"",(UpdateHashtag!L417-C$1)/C$2)</f>
        <v/>
      </c>
      <c r="D419" s="41" t="str">
        <f>IF(TYPE($A419)=1,"",(UpdateHashtag!N417-D$1)/D$2)</f>
        <v/>
      </c>
      <c r="E419" s="41" t="str">
        <f>IF(TYPE($A419)=1,"",(UpdateHashtag!O417-E$1)/E$2)</f>
        <v/>
      </c>
      <c r="F419" s="41" t="str">
        <f>IF(TYPE($A419)=1,"",(UpdateHashtag!P417-F$1)/F$2)</f>
        <v/>
      </c>
      <c r="G419" s="41" t="str">
        <f>IF(TYPE($A419)=1,"",(UpdateHashtag!Q417-G$1)/G$2)</f>
        <v/>
      </c>
      <c r="H419" s="41" t="str">
        <f>IF(TYPE($A419)=1,"",(UpdateHashtag!I417-H$1)/H$2*I419/$I$1)</f>
        <v/>
      </c>
      <c r="I419" s="41" t="str">
        <f>UpdateHashtag!S417</f>
        <v/>
      </c>
      <c r="J419" s="53" t="str">
        <f>IF(TYPE($A419)=1,"",(UpdateHashtag!K417-J$1)/J$2*K419/$K$1)</f>
        <v/>
      </c>
      <c r="K419" s="55" t="str">
        <f>UpdateHashtag!T417</f>
        <v/>
      </c>
      <c r="L419" s="41" t="str">
        <f>IF(TYPE($A419)=1,"",-(UpdateHashtag!R417-L$1)/L$2)</f>
        <v/>
      </c>
      <c r="N419" s="112">
        <v>399.0</v>
      </c>
      <c r="O419" s="170" t="str">
        <f t="array" ref="O419">INDIRECT("Update"&amp;Projections!$AG$17&amp;"!B"&amp;ROW(B400))</f>
        <v>#N/A</v>
      </c>
      <c r="P419" s="172" t="str">
        <f t="array" ref="P419">INDIRECT("Update"&amp;Projections!$AG$17&amp;"!C"&amp;ROW(B400))</f>
        <v>Ja'Kobe Walter</v>
      </c>
      <c r="Q419" s="170" t="str">
        <f>UpdateHashtag!F451</f>
        <v/>
      </c>
      <c r="R419" s="177">
        <f>IF(UpdateHashtag!D451="",ROW(UpdateHashtag!D451),UpdateHashtag!D451)</f>
        <v>451</v>
      </c>
      <c r="S419" s="124">
        <f t="shared" si="1"/>
        <v>-9.708878308</v>
      </c>
      <c r="T419" s="124">
        <f>SUM(AE419:AM419)-IFERROR(IFS(Projections!$I$17,AN419,Projections!$J$17,AO419),"")</f>
        <v>-9.908764625</v>
      </c>
      <c r="U419" s="124">
        <f t="shared" si="2"/>
        <v>-0.1998863177</v>
      </c>
      <c r="V419" s="124">
        <f t="array" ref="V419">INDIRECT("Update"&amp;Projections!$AG$17&amp;"!M"&amp;ROW(B400))</f>
        <v>5.850307692</v>
      </c>
      <c r="W419" s="124">
        <f t="array" ref="W419">INDIRECT("Update"&amp;Projections!$AG$17&amp;"!L"&amp;ROW(B400))</f>
        <v>1.026153846</v>
      </c>
      <c r="X419" s="124">
        <f t="array" ref="X419">INDIRECT("Update"&amp;Projections!$AG$17&amp;"!N"&amp;ROW(B400))</f>
        <v>1.851692308</v>
      </c>
      <c r="Y419" s="124">
        <f t="array" ref="Y419">INDIRECT("Update"&amp;Projections!$AG$17&amp;"!O"&amp;ROW(B400))</f>
        <v>0.6396923077</v>
      </c>
      <c r="Z419" s="124">
        <f t="array" ref="Z419">INDIRECT("Update"&amp;Projections!$AG$17&amp;"!P"&amp;ROW(B400))</f>
        <v>0.4713846154</v>
      </c>
      <c r="AA419" s="124">
        <f t="array" ref="AA419">INDIRECT("Update"&amp;Projections!$AG$17&amp;"!Q"&amp;ROW(B400))</f>
        <v>0.1346153846</v>
      </c>
      <c r="AB419" s="180">
        <f t="array" ref="AB419">INDIRECT("Update"&amp;Projections!$AG$17&amp;"!I"&amp;ROW(B400))</f>
        <v>0.3353243965</v>
      </c>
      <c r="AC419" s="180">
        <f t="array" ref="AC419">INDIRECT("Update"&amp;Projections!$AG$17&amp;"!K"&amp;ROW(B400))</f>
        <v>0.7699845849</v>
      </c>
      <c r="AD419" s="124">
        <f t="array" ref="AD419">INDIRECT("Update"&amp;Projections!$AG$17&amp;"!R"&amp;ROW(B400))</f>
        <v>0.9426153846</v>
      </c>
      <c r="AE419" s="124">
        <f t="shared" si="3"/>
        <v>-2.097879831</v>
      </c>
      <c r="AF419" s="124">
        <f t="shared" si="4"/>
        <v>-0.7166810866</v>
      </c>
      <c r="AG419" s="124">
        <f t="shared" si="5"/>
        <v>-1.658409724</v>
      </c>
      <c r="AH419" s="124">
        <f t="shared" si="6"/>
        <v>-1.495768897</v>
      </c>
      <c r="AI419" s="124">
        <f t="shared" si="7"/>
        <v>-1.669425828</v>
      </c>
      <c r="AJ419" s="124">
        <f t="shared" si="8"/>
        <v>-1.095251233</v>
      </c>
      <c r="AK419" s="124">
        <f t="shared" si="9"/>
        <v>-1.052656544</v>
      </c>
      <c r="AL419" s="124">
        <f t="shared" si="10"/>
        <v>-0.1226914818</v>
      </c>
      <c r="AM419" s="124">
        <f t="shared" si="11"/>
        <v>0</v>
      </c>
      <c r="AN419" s="183">
        <f t="shared" si="12"/>
        <v>-2.097879831</v>
      </c>
      <c r="AO419" s="183">
        <f t="shared" si="13"/>
        <v>-3.767305659</v>
      </c>
      <c r="AP419" s="183">
        <f t="array" ref="AP419">INDIRECT("Update"&amp;Projections!$AG$17&amp;"!S"&amp;ROW(B400))</f>
        <v>5.589076923</v>
      </c>
      <c r="AQ419" s="183">
        <f t="array" ref="AQ419">INDIRECT("Update"&amp;Projections!$AG$17&amp;"!T"&amp;ROW(B400))</f>
        <v>1.397230769</v>
      </c>
    </row>
    <row r="420">
      <c r="A420">
        <f>IF(UpdateHashtag!C418="",ROW(UpdateHashtag!C418),UpdateHashtag!C418)</f>
        <v>418</v>
      </c>
      <c r="B420" s="41" t="str">
        <f>IF(TYPE($A420)=1,"",(UpdateHashtag!M418-B$1)/B$2)</f>
        <v/>
      </c>
      <c r="C420" s="41" t="str">
        <f>IF(TYPE($A420)=1,"",(UpdateHashtag!L418-C$1)/C$2)</f>
        <v/>
      </c>
      <c r="D420" s="41" t="str">
        <f>IF(TYPE($A420)=1,"",(UpdateHashtag!N418-D$1)/D$2)</f>
        <v/>
      </c>
      <c r="E420" s="41" t="str">
        <f>IF(TYPE($A420)=1,"",(UpdateHashtag!O418-E$1)/E$2)</f>
        <v/>
      </c>
      <c r="F420" s="41" t="str">
        <f>IF(TYPE($A420)=1,"",(UpdateHashtag!P418-F$1)/F$2)</f>
        <v/>
      </c>
      <c r="G420" s="41" t="str">
        <f>IF(TYPE($A420)=1,"",(UpdateHashtag!Q418-G$1)/G$2)</f>
        <v/>
      </c>
      <c r="H420" s="41" t="str">
        <f>IF(TYPE($A420)=1,"",(UpdateHashtag!I418-H$1)/H$2*I420/$I$1)</f>
        <v/>
      </c>
      <c r="I420" s="41" t="str">
        <f>UpdateHashtag!S418</f>
        <v/>
      </c>
      <c r="J420" s="53" t="str">
        <f>IF(TYPE($A420)=1,"",(UpdateHashtag!K418-J$1)/J$2*K420/$K$1)</f>
        <v/>
      </c>
      <c r="K420" s="55" t="str">
        <f>UpdateHashtag!T418</f>
        <v/>
      </c>
      <c r="L420" s="41" t="str">
        <f>IF(TYPE($A420)=1,"",-(UpdateHashtag!R418-L$1)/L$2)</f>
        <v/>
      </c>
      <c r="N420" s="5">
        <v>400.0</v>
      </c>
      <c r="O420" s="170" t="str">
        <f t="array" ref="O420">INDIRECT("Update"&amp;Projections!$AG$17&amp;"!B"&amp;ROW(B401))</f>
        <v>#N/A</v>
      </c>
      <c r="P420" s="172" t="str">
        <f t="array" ref="P420">INDIRECT("Update"&amp;Projections!$AG$17&amp;"!C"&amp;ROW(B401))</f>
        <v>Taj Gibson</v>
      </c>
      <c r="Q420" s="170" t="str">
        <f>UpdateHashtag!F458</f>
        <v/>
      </c>
      <c r="R420" s="177">
        <f>IF(UpdateHashtag!D458="",ROW(UpdateHashtag!D458),UpdateHashtag!D458)</f>
        <v>458</v>
      </c>
      <c r="S420" s="124">
        <f t="shared" si="1"/>
        <v>-9.975010465</v>
      </c>
      <c r="T420" s="124">
        <f>SUM(AE420:AM420)-IFERROR(IFS(Projections!$I$17,AN420,Projections!$J$17,AO420),"")</f>
        <v>-10.32284674</v>
      </c>
      <c r="U420" s="124">
        <f t="shared" si="2"/>
        <v>-0.3478362744</v>
      </c>
      <c r="V420" s="124">
        <f t="array" ref="V420">INDIRECT("Update"&amp;Projections!$AG$17&amp;"!M"&amp;ROW(B401))</f>
        <v>2.4775</v>
      </c>
      <c r="W420" s="124">
        <f t="array" ref="W420">INDIRECT("Update"&amp;Projections!$AG$17&amp;"!L"&amp;ROW(B401))</f>
        <v>0.132</v>
      </c>
      <c r="X420" s="124">
        <f t="array" ref="X420">INDIRECT("Update"&amp;Projections!$AG$17&amp;"!N"&amp;ROW(B401))</f>
        <v>2.3175</v>
      </c>
      <c r="Y420" s="124">
        <f t="array" ref="Y420">INDIRECT("Update"&amp;Projections!$AG$17&amp;"!O"&amp;ROW(B401))</f>
        <v>0.49</v>
      </c>
      <c r="Z420" s="124">
        <f t="array" ref="Z420">INDIRECT("Update"&amp;Projections!$AG$17&amp;"!P"&amp;ROW(B401))</f>
        <v>0.253</v>
      </c>
      <c r="AA420" s="124">
        <f t="array" ref="AA420">INDIRECT("Update"&amp;Projections!$AG$17&amp;"!Q"&amp;ROW(B401))</f>
        <v>0.39</v>
      </c>
      <c r="AB420" s="180">
        <f t="array" ref="AB420">INDIRECT("Update"&amp;Projections!$AG$17&amp;"!I"&amp;ROW(B401))</f>
        <v>0.5305528613</v>
      </c>
      <c r="AC420" s="180">
        <f t="array" ref="AC420">INDIRECT("Update"&amp;Projections!$AG$17&amp;"!K"&amp;ROW(B401))</f>
        <v>0.7645631068</v>
      </c>
      <c r="AD420" s="124">
        <f t="array" ref="AD420">INDIRECT("Update"&amp;Projections!$AG$17&amp;"!R"&amp;ROW(B401))</f>
        <v>0.346</v>
      </c>
      <c r="AE420" s="124">
        <f t="shared" si="3"/>
        <v>-2.705847436</v>
      </c>
      <c r="AF420" s="124">
        <f t="shared" si="4"/>
        <v>-1.603617805</v>
      </c>
      <c r="AG420" s="124">
        <f t="shared" si="5"/>
        <v>-1.47585643</v>
      </c>
      <c r="AH420" s="124">
        <f t="shared" si="6"/>
        <v>-1.563749923</v>
      </c>
      <c r="AI420" s="124">
        <f t="shared" si="7"/>
        <v>-2.391910573</v>
      </c>
      <c r="AJ420" s="124">
        <f t="shared" si="8"/>
        <v>-0.6397350195</v>
      </c>
      <c r="AK420" s="124">
        <f t="shared" si="9"/>
        <v>0.07988287749</v>
      </c>
      <c r="AL420" s="124">
        <f t="shared" si="10"/>
        <v>-0.02201243013</v>
      </c>
      <c r="AM420" s="124">
        <f t="shared" si="11"/>
        <v>0</v>
      </c>
      <c r="AN420" s="183">
        <f t="shared" si="12"/>
        <v>-2.705847436</v>
      </c>
      <c r="AO420" s="183">
        <f t="shared" si="13"/>
        <v>-5.097758009</v>
      </c>
      <c r="AP420" s="183">
        <f t="array" ref="AP420">INDIRECT("Update"&amp;Projections!$AG$17&amp;"!S"&amp;ROW(B401))</f>
        <v>2.062</v>
      </c>
      <c r="AQ420" s="183">
        <f t="array" ref="AQ420">INDIRECT("Update"&amp;Projections!$AG$17&amp;"!T"&amp;ROW(B401))</f>
        <v>0.206</v>
      </c>
    </row>
    <row r="421">
      <c r="A421">
        <f>IF(UpdateHashtag!C419="",ROW(UpdateHashtag!C419),UpdateHashtag!C419)</f>
        <v>419</v>
      </c>
      <c r="B421" s="41" t="str">
        <f>IF(TYPE($A421)=1,"",(UpdateHashtag!M419-B$1)/B$2)</f>
        <v/>
      </c>
      <c r="C421" s="41" t="str">
        <f>IF(TYPE($A421)=1,"",(UpdateHashtag!L419-C$1)/C$2)</f>
        <v/>
      </c>
      <c r="D421" s="41" t="str">
        <f>IF(TYPE($A421)=1,"",(UpdateHashtag!N419-D$1)/D$2)</f>
        <v/>
      </c>
      <c r="E421" s="41" t="str">
        <f>IF(TYPE($A421)=1,"",(UpdateHashtag!O419-E$1)/E$2)</f>
        <v/>
      </c>
      <c r="F421" s="41" t="str">
        <f>IF(TYPE($A421)=1,"",(UpdateHashtag!P419-F$1)/F$2)</f>
        <v/>
      </c>
      <c r="G421" s="41" t="str">
        <f>IF(TYPE($A421)=1,"",(UpdateHashtag!Q419-G$1)/G$2)</f>
        <v/>
      </c>
      <c r="H421" s="41" t="str">
        <f>IF(TYPE($A421)=1,"",(UpdateHashtag!I419-H$1)/H$2*I421/$I$1)</f>
        <v/>
      </c>
      <c r="I421" s="41" t="str">
        <f>UpdateHashtag!S419</f>
        <v/>
      </c>
      <c r="J421" s="53" t="str">
        <f>IF(TYPE($A421)=1,"",(UpdateHashtag!K419-J$1)/J$2*K421/$K$1)</f>
        <v/>
      </c>
      <c r="K421" s="55" t="str">
        <f>UpdateHashtag!T419</f>
        <v/>
      </c>
      <c r="L421" s="41" t="str">
        <f>IF(TYPE($A421)=1,"",-(UpdateHashtag!R419-L$1)/L$2)</f>
        <v/>
      </c>
      <c r="N421" s="112"/>
      <c r="O421" s="170"/>
      <c r="P421" s="172"/>
      <c r="Q421" s="170"/>
      <c r="R421" s="177"/>
      <c r="S421" s="124"/>
      <c r="T421" s="124"/>
      <c r="U421" s="124"/>
      <c r="V421" s="124"/>
      <c r="W421" s="124"/>
      <c r="X421" s="124"/>
      <c r="Y421" s="124"/>
      <c r="Z421" s="124"/>
      <c r="AA421" s="124"/>
      <c r="AB421" s="180"/>
      <c r="AC421" s="180"/>
      <c r="AD421" s="124"/>
      <c r="AE421" s="124"/>
      <c r="AF421" s="124"/>
      <c r="AG421" s="124"/>
      <c r="AH421" s="124"/>
      <c r="AI421" s="124"/>
      <c r="AJ421" s="124"/>
      <c r="AK421" s="124"/>
      <c r="AL421" s="124"/>
      <c r="AM421" s="124"/>
      <c r="AN421" s="183"/>
      <c r="AO421" s="183"/>
      <c r="AP421" s="183"/>
      <c r="AQ421" s="183"/>
    </row>
    <row r="422">
      <c r="A422">
        <f>IF(UpdateHashtag!C420="",ROW(UpdateHashtag!C420),UpdateHashtag!C420)</f>
        <v>420</v>
      </c>
      <c r="B422" s="41" t="str">
        <f>IF(TYPE($A422)=1,"",(UpdateHashtag!M420-B$1)/B$2)</f>
        <v/>
      </c>
      <c r="C422" s="41" t="str">
        <f>IF(TYPE($A422)=1,"",(UpdateHashtag!L420-C$1)/C$2)</f>
        <v/>
      </c>
      <c r="D422" s="41" t="str">
        <f>IF(TYPE($A422)=1,"",(UpdateHashtag!N420-D$1)/D$2)</f>
        <v/>
      </c>
      <c r="E422" s="41" t="str">
        <f>IF(TYPE($A422)=1,"",(UpdateHashtag!O420-E$1)/E$2)</f>
        <v/>
      </c>
      <c r="F422" s="41" t="str">
        <f>IF(TYPE($A422)=1,"",(UpdateHashtag!P420-F$1)/F$2)</f>
        <v/>
      </c>
      <c r="G422" s="41" t="str">
        <f>IF(TYPE($A422)=1,"",(UpdateHashtag!Q420-G$1)/G$2)</f>
        <v/>
      </c>
      <c r="H422" s="41" t="str">
        <f>IF(TYPE($A422)=1,"",(UpdateHashtag!I420-H$1)/H$2*I422/$I$1)</f>
        <v/>
      </c>
      <c r="I422" s="41" t="str">
        <f>UpdateHashtag!S420</f>
        <v/>
      </c>
      <c r="J422" s="53" t="str">
        <f>IF(TYPE($A422)=1,"",(UpdateHashtag!K420-J$1)/J$2*K422/$K$1)</f>
        <v/>
      </c>
      <c r="K422" s="55" t="str">
        <f>UpdateHashtag!T420</f>
        <v/>
      </c>
      <c r="L422" s="41" t="str">
        <f>IF(TYPE($A422)=1,"",-(UpdateHashtag!R420-L$1)/L$2)</f>
        <v/>
      </c>
      <c r="N422" s="112"/>
      <c r="O422" s="170"/>
      <c r="P422" s="172"/>
      <c r="Q422" s="170"/>
      <c r="R422" s="177"/>
      <c r="S422" s="124"/>
      <c r="T422" s="124"/>
      <c r="U422" s="124"/>
      <c r="V422" s="124"/>
      <c r="W422" s="124"/>
      <c r="X422" s="124"/>
      <c r="Y422" s="124"/>
      <c r="Z422" s="124"/>
      <c r="AA422" s="124"/>
      <c r="AB422" s="180"/>
      <c r="AC422" s="180"/>
      <c r="AD422" s="124"/>
      <c r="AE422" s="124"/>
      <c r="AF422" s="124"/>
      <c r="AG422" s="124"/>
      <c r="AH422" s="124"/>
      <c r="AI422" s="124"/>
      <c r="AJ422" s="124"/>
      <c r="AK422" s="124"/>
      <c r="AL422" s="124"/>
      <c r="AM422" s="124"/>
      <c r="AN422" s="183"/>
      <c r="AO422" s="183"/>
      <c r="AP422" s="183"/>
      <c r="AQ422" s="183"/>
    </row>
    <row r="423">
      <c r="A423">
        <f>IF(UpdateHashtag!C421="",ROW(UpdateHashtag!C421),UpdateHashtag!C421)</f>
        <v>421</v>
      </c>
      <c r="B423" s="41" t="str">
        <f>IF(TYPE($A423)=1,"",(UpdateHashtag!M421-B$1)/B$2)</f>
        <v/>
      </c>
      <c r="C423" s="41" t="str">
        <f>IF(TYPE($A423)=1,"",(UpdateHashtag!L421-C$1)/C$2)</f>
        <v/>
      </c>
      <c r="D423" s="41" t="str">
        <f>IF(TYPE($A423)=1,"",(UpdateHashtag!N421-D$1)/D$2)</f>
        <v/>
      </c>
      <c r="E423" s="41" t="str">
        <f>IF(TYPE($A423)=1,"",(UpdateHashtag!O421-E$1)/E$2)</f>
        <v/>
      </c>
      <c r="F423" s="41" t="str">
        <f>IF(TYPE($A423)=1,"",(UpdateHashtag!P421-F$1)/F$2)</f>
        <v/>
      </c>
      <c r="G423" s="41" t="str">
        <f>IF(TYPE($A423)=1,"",(UpdateHashtag!Q421-G$1)/G$2)</f>
        <v/>
      </c>
      <c r="H423" s="41" t="str">
        <f>IF(TYPE($A423)=1,"",(UpdateHashtag!I421-H$1)/H$2*I423/$I$1)</f>
        <v/>
      </c>
      <c r="I423" s="41" t="str">
        <f>UpdateHashtag!S421</f>
        <v/>
      </c>
      <c r="J423" s="53" t="str">
        <f>IF(TYPE($A423)=1,"",(UpdateHashtag!K421-J$1)/J$2*K423/$K$1)</f>
        <v/>
      </c>
      <c r="K423" s="55" t="str">
        <f>UpdateHashtag!T421</f>
        <v/>
      </c>
      <c r="L423" s="41" t="str">
        <f>IF(TYPE($A423)=1,"",-(UpdateHashtag!R421-L$1)/L$2)</f>
        <v/>
      </c>
      <c r="N423" s="112"/>
      <c r="O423" s="170"/>
      <c r="P423" s="172"/>
      <c r="Q423" s="170"/>
      <c r="R423" s="177"/>
      <c r="S423" s="124"/>
      <c r="T423" s="124"/>
      <c r="U423" s="124"/>
      <c r="V423" s="124"/>
      <c r="W423" s="124"/>
      <c r="X423" s="124"/>
      <c r="Y423" s="124"/>
      <c r="Z423" s="124"/>
      <c r="AA423" s="124"/>
      <c r="AB423" s="180"/>
      <c r="AC423" s="180"/>
      <c r="AD423" s="124"/>
      <c r="AE423" s="124"/>
      <c r="AF423" s="124"/>
      <c r="AG423" s="124"/>
      <c r="AH423" s="124"/>
      <c r="AI423" s="124"/>
      <c r="AJ423" s="124"/>
      <c r="AK423" s="124"/>
      <c r="AL423" s="124"/>
      <c r="AM423" s="124"/>
      <c r="AN423" s="183"/>
      <c r="AO423" s="183"/>
      <c r="AP423" s="183"/>
      <c r="AQ423" s="183"/>
    </row>
    <row r="424">
      <c r="A424">
        <f>IF(UpdateHashtag!C422="",ROW(UpdateHashtag!C422),UpdateHashtag!C422)</f>
        <v>422</v>
      </c>
      <c r="B424" s="41" t="str">
        <f>IF(TYPE($A424)=1,"",(UpdateHashtag!M422-B$1)/B$2)</f>
        <v/>
      </c>
      <c r="C424" s="41" t="str">
        <f>IF(TYPE($A424)=1,"",(UpdateHashtag!L422-C$1)/C$2)</f>
        <v/>
      </c>
      <c r="D424" s="41" t="str">
        <f>IF(TYPE($A424)=1,"",(UpdateHashtag!N422-D$1)/D$2)</f>
        <v/>
      </c>
      <c r="E424" s="41" t="str">
        <f>IF(TYPE($A424)=1,"",(UpdateHashtag!O422-E$1)/E$2)</f>
        <v/>
      </c>
      <c r="F424" s="41" t="str">
        <f>IF(TYPE($A424)=1,"",(UpdateHashtag!P422-F$1)/F$2)</f>
        <v/>
      </c>
      <c r="G424" s="41" t="str">
        <f>IF(TYPE($A424)=1,"",(UpdateHashtag!Q422-G$1)/G$2)</f>
        <v/>
      </c>
      <c r="H424" s="41" t="str">
        <f>IF(TYPE($A424)=1,"",(UpdateHashtag!I422-H$1)/H$2*I424/$I$1)</f>
        <v/>
      </c>
      <c r="I424" s="41" t="str">
        <f>UpdateHashtag!S422</f>
        <v/>
      </c>
      <c r="J424" s="53" t="str">
        <f>IF(TYPE($A424)=1,"",(UpdateHashtag!K422-J$1)/J$2*K424/$K$1)</f>
        <v/>
      </c>
      <c r="K424" s="55" t="str">
        <f>UpdateHashtag!T422</f>
        <v/>
      </c>
      <c r="L424" s="41" t="str">
        <f>IF(TYPE($A424)=1,"",-(UpdateHashtag!R422-L$1)/L$2)</f>
        <v/>
      </c>
      <c r="N424" s="112"/>
      <c r="O424" s="170"/>
      <c r="P424" s="172"/>
      <c r="Q424" s="170"/>
      <c r="R424" s="177"/>
      <c r="S424" s="124"/>
      <c r="T424" s="124"/>
      <c r="U424" s="124"/>
      <c r="V424" s="124"/>
      <c r="W424" s="124"/>
      <c r="X424" s="124"/>
      <c r="Y424" s="124"/>
      <c r="Z424" s="124"/>
      <c r="AA424" s="124"/>
      <c r="AB424" s="180"/>
      <c r="AC424" s="180"/>
      <c r="AD424" s="124"/>
      <c r="AE424" s="124"/>
      <c r="AF424" s="124"/>
      <c r="AG424" s="124"/>
      <c r="AH424" s="124"/>
      <c r="AI424" s="124"/>
      <c r="AJ424" s="124"/>
      <c r="AK424" s="124"/>
      <c r="AL424" s="124"/>
      <c r="AM424" s="124"/>
      <c r="AN424" s="183"/>
      <c r="AO424" s="183"/>
      <c r="AP424" s="183"/>
      <c r="AQ424" s="183"/>
    </row>
    <row r="425">
      <c r="A425">
        <f>IF(UpdateHashtag!C423="",ROW(UpdateHashtag!C423),UpdateHashtag!C423)</f>
        <v>423</v>
      </c>
      <c r="B425" s="41" t="str">
        <f>IF(TYPE($A425)=1,"",(UpdateHashtag!M423-B$1)/B$2)</f>
        <v/>
      </c>
      <c r="C425" s="41" t="str">
        <f>IF(TYPE($A425)=1,"",(UpdateHashtag!L423-C$1)/C$2)</f>
        <v/>
      </c>
      <c r="D425" s="41" t="str">
        <f>IF(TYPE($A425)=1,"",(UpdateHashtag!N423-D$1)/D$2)</f>
        <v/>
      </c>
      <c r="E425" s="41" t="str">
        <f>IF(TYPE($A425)=1,"",(UpdateHashtag!O423-E$1)/E$2)</f>
        <v/>
      </c>
      <c r="F425" s="41" t="str">
        <f>IF(TYPE($A425)=1,"",(UpdateHashtag!P423-F$1)/F$2)</f>
        <v/>
      </c>
      <c r="G425" s="41" t="str">
        <f>IF(TYPE($A425)=1,"",(UpdateHashtag!Q423-G$1)/G$2)</f>
        <v/>
      </c>
      <c r="H425" s="41" t="str">
        <f>IF(TYPE($A425)=1,"",(UpdateHashtag!I423-H$1)/H$2*I425/$I$1)</f>
        <v/>
      </c>
      <c r="I425" s="41" t="str">
        <f>UpdateHashtag!S423</f>
        <v/>
      </c>
      <c r="J425" s="53" t="str">
        <f>IF(TYPE($A425)=1,"",(UpdateHashtag!K423-J$1)/J$2*K425/$K$1)</f>
        <v/>
      </c>
      <c r="K425" s="55" t="str">
        <f>UpdateHashtag!T423</f>
        <v/>
      </c>
      <c r="L425" s="41" t="str">
        <f>IF(TYPE($A425)=1,"",-(UpdateHashtag!R423-L$1)/L$2)</f>
        <v/>
      </c>
      <c r="N425" s="112"/>
      <c r="O425" s="170"/>
      <c r="P425" s="172"/>
      <c r="Q425" s="170"/>
      <c r="R425" s="177"/>
      <c r="S425" s="124"/>
      <c r="T425" s="124"/>
      <c r="U425" s="124"/>
      <c r="V425" s="124"/>
      <c r="W425" s="124"/>
      <c r="X425" s="124"/>
      <c r="Y425" s="124"/>
      <c r="Z425" s="124"/>
      <c r="AA425" s="124"/>
      <c r="AB425" s="180"/>
      <c r="AC425" s="180"/>
      <c r="AD425" s="124"/>
      <c r="AE425" s="124"/>
      <c r="AF425" s="124"/>
      <c r="AG425" s="124"/>
      <c r="AH425" s="124"/>
      <c r="AI425" s="124"/>
      <c r="AJ425" s="124"/>
      <c r="AK425" s="124"/>
      <c r="AL425" s="124"/>
      <c r="AM425" s="124"/>
      <c r="AN425" s="183"/>
      <c r="AO425" s="183"/>
      <c r="AP425" s="183"/>
      <c r="AQ425" s="183"/>
    </row>
    <row r="426">
      <c r="A426">
        <f>IF(UpdateHashtag!C424="",ROW(UpdateHashtag!C424),UpdateHashtag!C424)</f>
        <v>424</v>
      </c>
      <c r="B426" s="41" t="str">
        <f>IF(TYPE($A426)=1,"",(UpdateHashtag!M424-B$1)/B$2)</f>
        <v/>
      </c>
      <c r="C426" s="41" t="str">
        <f>IF(TYPE($A426)=1,"",(UpdateHashtag!L424-C$1)/C$2)</f>
        <v/>
      </c>
      <c r="D426" s="41" t="str">
        <f>IF(TYPE($A426)=1,"",(UpdateHashtag!N424-D$1)/D$2)</f>
        <v/>
      </c>
      <c r="E426" s="41" t="str">
        <f>IF(TYPE($A426)=1,"",(UpdateHashtag!O424-E$1)/E$2)</f>
        <v/>
      </c>
      <c r="F426" s="41" t="str">
        <f>IF(TYPE($A426)=1,"",(UpdateHashtag!P424-F$1)/F$2)</f>
        <v/>
      </c>
      <c r="G426" s="41" t="str">
        <f>IF(TYPE($A426)=1,"",(UpdateHashtag!Q424-G$1)/G$2)</f>
        <v/>
      </c>
      <c r="H426" s="41" t="str">
        <f>IF(TYPE($A426)=1,"",(UpdateHashtag!I424-H$1)/H$2*I426/$I$1)</f>
        <v/>
      </c>
      <c r="I426" s="41" t="str">
        <f>UpdateHashtag!S424</f>
        <v/>
      </c>
      <c r="J426" s="53" t="str">
        <f>IF(TYPE($A426)=1,"",(UpdateHashtag!K424-J$1)/J$2*K426/$K$1)</f>
        <v/>
      </c>
      <c r="K426" s="55" t="str">
        <f>UpdateHashtag!T424</f>
        <v/>
      </c>
      <c r="L426" s="41" t="str">
        <f>IF(TYPE($A426)=1,"",-(UpdateHashtag!R424-L$1)/L$2)</f>
        <v/>
      </c>
      <c r="N426" s="112"/>
      <c r="O426" s="170"/>
      <c r="P426" s="172"/>
      <c r="Q426" s="170"/>
      <c r="R426" s="177"/>
      <c r="S426" s="124"/>
      <c r="T426" s="124"/>
      <c r="U426" s="124"/>
      <c r="V426" s="124"/>
      <c r="W426" s="124"/>
      <c r="X426" s="124"/>
      <c r="Y426" s="124"/>
      <c r="Z426" s="124"/>
      <c r="AA426" s="124"/>
      <c r="AB426" s="180"/>
      <c r="AC426" s="180"/>
      <c r="AD426" s="124"/>
      <c r="AE426" s="124"/>
      <c r="AF426" s="124"/>
      <c r="AG426" s="124"/>
      <c r="AH426" s="124"/>
      <c r="AI426" s="124"/>
      <c r="AJ426" s="124"/>
      <c r="AK426" s="124"/>
      <c r="AL426" s="124"/>
      <c r="AM426" s="124"/>
      <c r="AN426" s="183"/>
      <c r="AO426" s="183"/>
      <c r="AP426" s="183"/>
      <c r="AQ426" s="183"/>
    </row>
    <row r="427">
      <c r="A427">
        <f>IF(UpdateHashtag!C425="",ROW(UpdateHashtag!C425),UpdateHashtag!C425)</f>
        <v>425</v>
      </c>
      <c r="B427" s="41" t="str">
        <f>IF(TYPE($A427)=1,"",(UpdateHashtag!M425-B$1)/B$2)</f>
        <v/>
      </c>
      <c r="C427" s="41" t="str">
        <f>IF(TYPE($A427)=1,"",(UpdateHashtag!L425-C$1)/C$2)</f>
        <v/>
      </c>
      <c r="D427" s="41" t="str">
        <f>IF(TYPE($A427)=1,"",(UpdateHashtag!N425-D$1)/D$2)</f>
        <v/>
      </c>
      <c r="E427" s="41" t="str">
        <f>IF(TYPE($A427)=1,"",(UpdateHashtag!O425-E$1)/E$2)</f>
        <v/>
      </c>
      <c r="F427" s="41" t="str">
        <f>IF(TYPE($A427)=1,"",(UpdateHashtag!P425-F$1)/F$2)</f>
        <v/>
      </c>
      <c r="G427" s="41" t="str">
        <f>IF(TYPE($A427)=1,"",(UpdateHashtag!Q425-G$1)/G$2)</f>
        <v/>
      </c>
      <c r="H427" s="41" t="str">
        <f>IF(TYPE($A427)=1,"",(UpdateHashtag!I425-H$1)/H$2*I427/$I$1)</f>
        <v/>
      </c>
      <c r="I427" s="41" t="str">
        <f>UpdateHashtag!S425</f>
        <v/>
      </c>
      <c r="J427" s="53" t="str">
        <f>IF(TYPE($A427)=1,"",(UpdateHashtag!K425-J$1)/J$2*K427/$K$1)</f>
        <v/>
      </c>
      <c r="K427" s="55" t="str">
        <f>UpdateHashtag!T425</f>
        <v/>
      </c>
      <c r="L427" s="41" t="str">
        <f>IF(TYPE($A427)=1,"",-(UpdateHashtag!R425-L$1)/L$2)</f>
        <v/>
      </c>
      <c r="N427" s="112"/>
      <c r="O427" s="170"/>
      <c r="P427" s="172"/>
      <c r="Q427" s="170"/>
      <c r="R427" s="177"/>
      <c r="S427" s="124"/>
      <c r="T427" s="124"/>
      <c r="U427" s="124"/>
      <c r="V427" s="124"/>
      <c r="W427" s="124"/>
      <c r="X427" s="124"/>
      <c r="Y427" s="124"/>
      <c r="Z427" s="124"/>
      <c r="AA427" s="124"/>
      <c r="AB427" s="180"/>
      <c r="AC427" s="180"/>
      <c r="AD427" s="124"/>
      <c r="AE427" s="124"/>
      <c r="AF427" s="124"/>
      <c r="AG427" s="124"/>
      <c r="AH427" s="124"/>
      <c r="AI427" s="124"/>
      <c r="AJ427" s="124"/>
      <c r="AK427" s="124"/>
      <c r="AL427" s="124"/>
      <c r="AM427" s="124"/>
      <c r="AN427" s="183"/>
      <c r="AO427" s="183"/>
      <c r="AP427" s="183"/>
      <c r="AQ427" s="183"/>
    </row>
    <row r="428">
      <c r="A428">
        <f>IF(UpdateHashtag!C426="",ROW(UpdateHashtag!C426),UpdateHashtag!C426)</f>
        <v>426</v>
      </c>
      <c r="B428" s="41" t="str">
        <f>IF(TYPE($A428)=1,"",(UpdateHashtag!M426-B$1)/B$2)</f>
        <v/>
      </c>
      <c r="C428" s="41" t="str">
        <f>IF(TYPE($A428)=1,"",(UpdateHashtag!L426-C$1)/C$2)</f>
        <v/>
      </c>
      <c r="D428" s="41" t="str">
        <f>IF(TYPE($A428)=1,"",(UpdateHashtag!N426-D$1)/D$2)</f>
        <v/>
      </c>
      <c r="E428" s="41" t="str">
        <f>IF(TYPE($A428)=1,"",(UpdateHashtag!O426-E$1)/E$2)</f>
        <v/>
      </c>
      <c r="F428" s="41" t="str">
        <f>IF(TYPE($A428)=1,"",(UpdateHashtag!P426-F$1)/F$2)</f>
        <v/>
      </c>
      <c r="G428" s="41" t="str">
        <f>IF(TYPE($A428)=1,"",(UpdateHashtag!Q426-G$1)/G$2)</f>
        <v/>
      </c>
      <c r="H428" s="41" t="str">
        <f>IF(TYPE($A428)=1,"",(UpdateHashtag!I426-H$1)/H$2*I428/$I$1)</f>
        <v/>
      </c>
      <c r="I428" s="41" t="str">
        <f>UpdateHashtag!S426</f>
        <v/>
      </c>
      <c r="J428" s="53" t="str">
        <f>IF(TYPE($A428)=1,"",(UpdateHashtag!K426-J$1)/J$2*K428/$K$1)</f>
        <v/>
      </c>
      <c r="K428" s="55" t="str">
        <f>UpdateHashtag!T426</f>
        <v/>
      </c>
      <c r="L428" s="41" t="str">
        <f>IF(TYPE($A428)=1,"",-(UpdateHashtag!R426-L$1)/L$2)</f>
        <v/>
      </c>
      <c r="N428" s="112"/>
      <c r="O428" s="170"/>
      <c r="P428" s="172"/>
      <c r="Q428" s="170"/>
      <c r="R428" s="177"/>
      <c r="S428" s="124"/>
      <c r="T428" s="124"/>
      <c r="U428" s="124"/>
      <c r="V428" s="124"/>
      <c r="W428" s="124"/>
      <c r="X428" s="124"/>
      <c r="Y428" s="124"/>
      <c r="Z428" s="124"/>
      <c r="AA428" s="124"/>
      <c r="AB428" s="180"/>
      <c r="AC428" s="180"/>
      <c r="AD428" s="124"/>
      <c r="AE428" s="124"/>
      <c r="AF428" s="124"/>
      <c r="AG428" s="124"/>
      <c r="AH428" s="124"/>
      <c r="AI428" s="124"/>
      <c r="AJ428" s="124"/>
      <c r="AK428" s="124"/>
      <c r="AL428" s="124"/>
      <c r="AM428" s="124"/>
      <c r="AN428" s="183"/>
      <c r="AO428" s="183"/>
      <c r="AP428" s="183"/>
      <c r="AQ428" s="183"/>
    </row>
    <row r="429">
      <c r="A429">
        <f>IF(UpdateHashtag!C427="",ROW(UpdateHashtag!C427),UpdateHashtag!C427)</f>
        <v>427</v>
      </c>
      <c r="B429" s="41" t="str">
        <f>IF(TYPE($A429)=1,"",(UpdateHashtag!M427-B$1)/B$2)</f>
        <v/>
      </c>
      <c r="C429" s="41" t="str">
        <f>IF(TYPE($A429)=1,"",(UpdateHashtag!L427-C$1)/C$2)</f>
        <v/>
      </c>
      <c r="D429" s="41" t="str">
        <f>IF(TYPE($A429)=1,"",(UpdateHashtag!N427-D$1)/D$2)</f>
        <v/>
      </c>
      <c r="E429" s="41" t="str">
        <f>IF(TYPE($A429)=1,"",(UpdateHashtag!O427-E$1)/E$2)</f>
        <v/>
      </c>
      <c r="F429" s="41" t="str">
        <f>IF(TYPE($A429)=1,"",(UpdateHashtag!P427-F$1)/F$2)</f>
        <v/>
      </c>
      <c r="G429" s="41" t="str">
        <f>IF(TYPE($A429)=1,"",(UpdateHashtag!Q427-G$1)/G$2)</f>
        <v/>
      </c>
      <c r="H429" s="41" t="str">
        <f>IF(TYPE($A429)=1,"",(UpdateHashtag!I427-H$1)/H$2*I429/$I$1)</f>
        <v/>
      </c>
      <c r="I429" s="41" t="str">
        <f>UpdateHashtag!S427</f>
        <v/>
      </c>
      <c r="J429" s="53" t="str">
        <f>IF(TYPE($A429)=1,"",(UpdateHashtag!K427-J$1)/J$2*K429/$K$1)</f>
        <v/>
      </c>
      <c r="K429" s="55" t="str">
        <f>UpdateHashtag!T427</f>
        <v/>
      </c>
      <c r="L429" s="41" t="str">
        <f>IF(TYPE($A429)=1,"",-(UpdateHashtag!R427-L$1)/L$2)</f>
        <v/>
      </c>
      <c r="N429" s="112"/>
      <c r="O429" s="170"/>
      <c r="P429" s="172"/>
      <c r="Q429" s="170"/>
      <c r="R429" s="177"/>
      <c r="S429" s="124"/>
      <c r="T429" s="124"/>
      <c r="U429" s="124"/>
      <c r="V429" s="124"/>
      <c r="W429" s="124"/>
      <c r="X429" s="124"/>
      <c r="Y429" s="124"/>
      <c r="Z429" s="124"/>
      <c r="AA429" s="124"/>
      <c r="AB429" s="180"/>
      <c r="AC429" s="180"/>
      <c r="AD429" s="124"/>
      <c r="AE429" s="124"/>
      <c r="AF429" s="124"/>
      <c r="AG429" s="124"/>
      <c r="AH429" s="124"/>
      <c r="AI429" s="124"/>
      <c r="AJ429" s="124"/>
      <c r="AK429" s="124"/>
      <c r="AL429" s="124"/>
      <c r="AM429" s="124"/>
      <c r="AN429" s="183"/>
      <c r="AO429" s="183"/>
      <c r="AP429" s="183"/>
      <c r="AQ429" s="183"/>
    </row>
    <row r="430">
      <c r="A430">
        <f>IF(UpdateHashtag!C428="",ROW(UpdateHashtag!C428),UpdateHashtag!C428)</f>
        <v>428</v>
      </c>
      <c r="B430" s="41" t="str">
        <f>IF(TYPE($A430)=1,"",(UpdateHashtag!M428-B$1)/B$2)</f>
        <v/>
      </c>
      <c r="C430" s="41" t="str">
        <f>IF(TYPE($A430)=1,"",(UpdateHashtag!L428-C$1)/C$2)</f>
        <v/>
      </c>
      <c r="D430" s="41" t="str">
        <f>IF(TYPE($A430)=1,"",(UpdateHashtag!N428-D$1)/D$2)</f>
        <v/>
      </c>
      <c r="E430" s="41" t="str">
        <f>IF(TYPE($A430)=1,"",(UpdateHashtag!O428-E$1)/E$2)</f>
        <v/>
      </c>
      <c r="F430" s="41" t="str">
        <f>IF(TYPE($A430)=1,"",(UpdateHashtag!P428-F$1)/F$2)</f>
        <v/>
      </c>
      <c r="G430" s="41" t="str">
        <f>IF(TYPE($A430)=1,"",(UpdateHashtag!Q428-G$1)/G$2)</f>
        <v/>
      </c>
      <c r="H430" s="41" t="str">
        <f>IF(TYPE($A430)=1,"",(UpdateHashtag!I428-H$1)/H$2*I430/$I$1)</f>
        <v/>
      </c>
      <c r="I430" s="41" t="str">
        <f>UpdateHashtag!S428</f>
        <v/>
      </c>
      <c r="J430" s="53" t="str">
        <f>IF(TYPE($A430)=1,"",(UpdateHashtag!K428-J$1)/J$2*K430/$K$1)</f>
        <v/>
      </c>
      <c r="K430" s="55" t="str">
        <f>UpdateHashtag!T428</f>
        <v/>
      </c>
      <c r="L430" s="41" t="str">
        <f>IF(TYPE($A430)=1,"",-(UpdateHashtag!R428-L$1)/L$2)</f>
        <v/>
      </c>
      <c r="O430" s="170"/>
      <c r="P430" s="172"/>
      <c r="Q430" s="170"/>
      <c r="R430" s="177"/>
      <c r="S430" s="124"/>
      <c r="T430" s="124"/>
      <c r="U430" s="124"/>
      <c r="V430" s="124"/>
      <c r="W430" s="124"/>
      <c r="X430" s="124"/>
      <c r="Y430" s="124"/>
      <c r="Z430" s="124"/>
      <c r="AA430" s="124"/>
      <c r="AB430" s="180"/>
      <c r="AC430" s="180"/>
      <c r="AD430" s="124"/>
      <c r="AE430" s="124"/>
      <c r="AF430" s="124"/>
      <c r="AG430" s="124"/>
      <c r="AH430" s="124"/>
      <c r="AI430" s="124"/>
      <c r="AJ430" s="124"/>
      <c r="AK430" s="124"/>
      <c r="AL430" s="124"/>
      <c r="AM430" s="124"/>
      <c r="AN430" s="183"/>
      <c r="AO430" s="183"/>
      <c r="AP430" s="183"/>
      <c r="AQ430" s="183"/>
    </row>
    <row r="431">
      <c r="A431">
        <f>IF(UpdateHashtag!C429="",ROW(UpdateHashtag!C429),UpdateHashtag!C429)</f>
        <v>429</v>
      </c>
      <c r="B431" s="41" t="str">
        <f>IF(TYPE($A431)=1,"",(UpdateHashtag!M429-B$1)/B$2)</f>
        <v/>
      </c>
      <c r="C431" s="41" t="str">
        <f>IF(TYPE($A431)=1,"",(UpdateHashtag!L429-C$1)/C$2)</f>
        <v/>
      </c>
      <c r="D431" s="41" t="str">
        <f>IF(TYPE($A431)=1,"",(UpdateHashtag!N429-D$1)/D$2)</f>
        <v/>
      </c>
      <c r="E431" s="41" t="str">
        <f>IF(TYPE($A431)=1,"",(UpdateHashtag!O429-E$1)/E$2)</f>
        <v/>
      </c>
      <c r="F431" s="41" t="str">
        <f>IF(TYPE($A431)=1,"",(UpdateHashtag!P429-F$1)/F$2)</f>
        <v/>
      </c>
      <c r="G431" s="41" t="str">
        <f>IF(TYPE($A431)=1,"",(UpdateHashtag!Q429-G$1)/G$2)</f>
        <v/>
      </c>
      <c r="H431" s="41" t="str">
        <f>IF(TYPE($A431)=1,"",(UpdateHashtag!I429-H$1)/H$2*I431/$I$1)</f>
        <v/>
      </c>
      <c r="I431" s="41" t="str">
        <f>UpdateHashtag!S429</f>
        <v/>
      </c>
      <c r="J431" s="53" t="str">
        <f>IF(TYPE($A431)=1,"",(UpdateHashtag!K429-J$1)/J$2*K431/$K$1)</f>
        <v/>
      </c>
      <c r="K431" s="55" t="str">
        <f>UpdateHashtag!T429</f>
        <v/>
      </c>
      <c r="L431" s="41" t="str">
        <f>IF(TYPE($A431)=1,"",-(UpdateHashtag!R429-L$1)/L$2)</f>
        <v/>
      </c>
      <c r="O431" s="170"/>
      <c r="P431" s="172"/>
      <c r="Q431" s="170"/>
      <c r="R431" s="177"/>
      <c r="S431" s="124"/>
      <c r="T431" s="124"/>
      <c r="U431" s="124"/>
      <c r="V431" s="124"/>
      <c r="W431" s="124"/>
      <c r="X431" s="124"/>
      <c r="Y431" s="124"/>
      <c r="Z431" s="124"/>
      <c r="AA431" s="124"/>
      <c r="AB431" s="180"/>
      <c r="AC431" s="180"/>
      <c r="AD431" s="124"/>
      <c r="AE431" s="124"/>
      <c r="AF431" s="124"/>
      <c r="AG431" s="124"/>
      <c r="AH431" s="124"/>
      <c r="AI431" s="124"/>
      <c r="AJ431" s="124"/>
      <c r="AK431" s="124"/>
      <c r="AL431" s="124"/>
      <c r="AM431" s="124"/>
      <c r="AN431" s="183"/>
      <c r="AO431" s="183"/>
      <c r="AP431" s="183"/>
      <c r="AQ431" s="183"/>
    </row>
    <row r="432">
      <c r="A432">
        <f>IF(UpdateHashtag!C430="",ROW(UpdateHashtag!C430),UpdateHashtag!C430)</f>
        <v>430</v>
      </c>
      <c r="B432" s="41" t="str">
        <f>IF(TYPE($A432)=1,"",(UpdateHashtag!M430-B$1)/B$2)</f>
        <v/>
      </c>
      <c r="C432" s="41" t="str">
        <f>IF(TYPE($A432)=1,"",(UpdateHashtag!L430-C$1)/C$2)</f>
        <v/>
      </c>
      <c r="D432" s="41" t="str">
        <f>IF(TYPE($A432)=1,"",(UpdateHashtag!N430-D$1)/D$2)</f>
        <v/>
      </c>
      <c r="E432" s="41" t="str">
        <f>IF(TYPE($A432)=1,"",(UpdateHashtag!O430-E$1)/E$2)</f>
        <v/>
      </c>
      <c r="F432" s="41" t="str">
        <f>IF(TYPE($A432)=1,"",(UpdateHashtag!P430-F$1)/F$2)</f>
        <v/>
      </c>
      <c r="G432" s="41" t="str">
        <f>IF(TYPE($A432)=1,"",(UpdateHashtag!Q430-G$1)/G$2)</f>
        <v/>
      </c>
      <c r="H432" s="41" t="str">
        <f>IF(TYPE($A432)=1,"",(UpdateHashtag!I430-H$1)/H$2*I432/$I$1)</f>
        <v/>
      </c>
      <c r="I432" s="41" t="str">
        <f>UpdateHashtag!S430</f>
        <v/>
      </c>
      <c r="J432" s="53" t="str">
        <f>IF(TYPE($A432)=1,"",(UpdateHashtag!K430-J$1)/J$2*K432/$K$1)</f>
        <v/>
      </c>
      <c r="K432" s="55" t="str">
        <f>UpdateHashtag!T430</f>
        <v/>
      </c>
      <c r="L432" s="41" t="str">
        <f>IF(TYPE($A432)=1,"",-(UpdateHashtag!R430-L$1)/L$2)</f>
        <v/>
      </c>
      <c r="O432" s="170"/>
      <c r="P432" s="172"/>
      <c r="Q432" s="170"/>
      <c r="R432" s="177"/>
      <c r="S432" s="124"/>
      <c r="T432" s="124"/>
      <c r="U432" s="124"/>
      <c r="V432" s="124"/>
      <c r="W432" s="124"/>
      <c r="X432" s="124"/>
      <c r="Y432" s="124"/>
      <c r="Z432" s="124"/>
      <c r="AA432" s="124"/>
      <c r="AB432" s="180"/>
      <c r="AC432" s="180"/>
      <c r="AD432" s="124"/>
      <c r="AE432" s="124"/>
      <c r="AF432" s="124"/>
      <c r="AG432" s="124"/>
      <c r="AH432" s="124"/>
      <c r="AI432" s="124"/>
      <c r="AJ432" s="124"/>
      <c r="AK432" s="124"/>
      <c r="AL432" s="124"/>
      <c r="AM432" s="124"/>
      <c r="AN432" s="183"/>
      <c r="AO432" s="183"/>
      <c r="AP432" s="183"/>
      <c r="AQ432" s="183"/>
    </row>
    <row r="433">
      <c r="A433">
        <f>IF(UpdateHashtag!C431="",ROW(UpdateHashtag!C431),UpdateHashtag!C431)</f>
        <v>431</v>
      </c>
      <c r="B433" s="41" t="str">
        <f>IF(TYPE($A433)=1,"",(UpdateHashtag!M431-B$1)/B$2)</f>
        <v/>
      </c>
      <c r="C433" s="41" t="str">
        <f>IF(TYPE($A433)=1,"",(UpdateHashtag!L431-C$1)/C$2)</f>
        <v/>
      </c>
      <c r="D433" s="41" t="str">
        <f>IF(TYPE($A433)=1,"",(UpdateHashtag!N431-D$1)/D$2)</f>
        <v/>
      </c>
      <c r="E433" s="41" t="str">
        <f>IF(TYPE($A433)=1,"",(UpdateHashtag!O431-E$1)/E$2)</f>
        <v/>
      </c>
      <c r="F433" s="41" t="str">
        <f>IF(TYPE($A433)=1,"",(UpdateHashtag!P431-F$1)/F$2)</f>
        <v/>
      </c>
      <c r="G433" s="41" t="str">
        <f>IF(TYPE($A433)=1,"",(UpdateHashtag!Q431-G$1)/G$2)</f>
        <v/>
      </c>
      <c r="H433" s="41" t="str">
        <f>IF(TYPE($A433)=1,"",(UpdateHashtag!I431-H$1)/H$2*I433/$I$1)</f>
        <v/>
      </c>
      <c r="I433" s="41" t="str">
        <f>UpdateHashtag!S431</f>
        <v/>
      </c>
      <c r="J433" s="53" t="str">
        <f>IF(TYPE($A433)=1,"",(UpdateHashtag!K431-J$1)/J$2*K433/$K$1)</f>
        <v/>
      </c>
      <c r="K433" s="55" t="str">
        <f>UpdateHashtag!T431</f>
        <v/>
      </c>
      <c r="L433" s="41" t="str">
        <f>IF(TYPE($A433)=1,"",-(UpdateHashtag!R431-L$1)/L$2)</f>
        <v/>
      </c>
      <c r="O433" s="170"/>
      <c r="P433" s="172"/>
      <c r="Q433" s="170"/>
      <c r="R433" s="177"/>
      <c r="S433" s="124"/>
      <c r="T433" s="124"/>
      <c r="U433" s="124"/>
      <c r="V433" s="124"/>
      <c r="W433" s="124"/>
      <c r="X433" s="124"/>
      <c r="Y433" s="124"/>
      <c r="Z433" s="124"/>
      <c r="AA433" s="124"/>
      <c r="AB433" s="180"/>
      <c r="AC433" s="180"/>
      <c r="AD433" s="124"/>
      <c r="AE433" s="124"/>
      <c r="AF433" s="124"/>
      <c r="AG433" s="124"/>
      <c r="AH433" s="124"/>
      <c r="AI433" s="124"/>
      <c r="AJ433" s="124"/>
      <c r="AK433" s="124"/>
      <c r="AL433" s="124"/>
      <c r="AM433" s="124"/>
      <c r="AN433" s="183"/>
      <c r="AO433" s="183"/>
      <c r="AP433" s="183"/>
      <c r="AQ433" s="183"/>
    </row>
    <row r="434">
      <c r="B434" s="41"/>
      <c r="C434" s="41"/>
      <c r="D434" s="41"/>
      <c r="E434" s="41"/>
      <c r="F434" s="41"/>
      <c r="G434" s="41"/>
      <c r="H434" s="41"/>
      <c r="I434" s="41"/>
      <c r="J434" s="53"/>
      <c r="K434" s="55"/>
      <c r="L434" s="41"/>
      <c r="O434" s="170"/>
      <c r="P434" s="170"/>
      <c r="Q434" s="170"/>
      <c r="R434" s="124"/>
      <c r="S434" s="124"/>
      <c r="T434" s="124"/>
      <c r="U434" s="124"/>
      <c r="V434" s="99"/>
      <c r="W434" s="124"/>
      <c r="X434" s="124"/>
      <c r="Y434" s="124"/>
      <c r="Z434" s="468"/>
      <c r="AA434" s="124"/>
      <c r="AB434" s="124"/>
      <c r="AC434" s="124"/>
      <c r="AD434" s="124"/>
      <c r="AE434" s="124"/>
      <c r="AF434" s="124"/>
      <c r="AG434" s="124"/>
      <c r="AH434" s="124"/>
      <c r="AI434" s="124"/>
      <c r="AJ434" s="124"/>
      <c r="AK434" s="468"/>
      <c r="AL434" s="124"/>
      <c r="AM434" s="469"/>
      <c r="AN434" s="469"/>
      <c r="AO434" s="469"/>
      <c r="AP434" s="469"/>
      <c r="AQ434" s="469"/>
    </row>
    <row r="435">
      <c r="B435" s="41"/>
      <c r="C435" s="41"/>
      <c r="D435" s="41"/>
      <c r="E435" s="41"/>
      <c r="F435" s="41"/>
      <c r="G435" s="41"/>
      <c r="H435" s="41"/>
      <c r="I435" s="41"/>
      <c r="J435" s="53"/>
      <c r="K435" s="55"/>
      <c r="L435" s="41"/>
      <c r="O435" s="170"/>
      <c r="P435" s="170"/>
      <c r="Q435" s="170"/>
      <c r="R435" s="124"/>
      <c r="S435" s="124"/>
      <c r="T435" s="124"/>
      <c r="U435" s="124"/>
      <c r="V435" s="99"/>
      <c r="W435" s="124"/>
      <c r="X435" s="124"/>
      <c r="Y435" s="124"/>
      <c r="Z435" s="468"/>
      <c r="AA435" s="124"/>
      <c r="AB435" s="124"/>
      <c r="AC435" s="124"/>
      <c r="AD435" s="124"/>
      <c r="AE435" s="124"/>
      <c r="AF435" s="124"/>
      <c r="AG435" s="124"/>
      <c r="AH435" s="124"/>
      <c r="AI435" s="124"/>
      <c r="AJ435" s="124"/>
      <c r="AK435" s="468"/>
      <c r="AL435" s="124"/>
      <c r="AM435" s="469"/>
      <c r="AN435" s="469"/>
      <c r="AO435" s="469"/>
      <c r="AP435" s="469"/>
      <c r="AQ435" s="469"/>
    </row>
    <row r="436">
      <c r="B436" s="41"/>
      <c r="C436" s="41"/>
      <c r="D436" s="41"/>
      <c r="E436" s="41"/>
      <c r="F436" s="41"/>
      <c r="G436" s="41"/>
      <c r="H436" s="41"/>
      <c r="I436" s="41"/>
      <c r="J436" s="53"/>
      <c r="K436" s="55"/>
      <c r="L436" s="41"/>
      <c r="O436" s="170"/>
      <c r="P436" s="170"/>
      <c r="Q436" s="170"/>
      <c r="R436" s="124"/>
      <c r="S436" s="124"/>
      <c r="T436" s="124"/>
      <c r="U436" s="124"/>
      <c r="V436" s="99"/>
      <c r="W436" s="124"/>
      <c r="X436" s="124"/>
      <c r="Y436" s="124"/>
      <c r="Z436" s="468"/>
      <c r="AA436" s="124"/>
      <c r="AB436" s="124"/>
      <c r="AC436" s="124"/>
      <c r="AD436" s="124"/>
      <c r="AE436" s="124"/>
      <c r="AF436" s="124"/>
      <c r="AG436" s="124"/>
      <c r="AH436" s="124"/>
      <c r="AI436" s="124"/>
      <c r="AJ436" s="124"/>
      <c r="AK436" s="468"/>
      <c r="AL436" s="124"/>
      <c r="AM436" s="469"/>
      <c r="AN436" s="469"/>
      <c r="AO436" s="469"/>
      <c r="AP436" s="469"/>
      <c r="AQ436" s="469"/>
    </row>
    <row r="437">
      <c r="B437" s="41"/>
      <c r="C437" s="41"/>
      <c r="D437" s="41"/>
      <c r="E437" s="41"/>
      <c r="F437" s="41"/>
      <c r="G437" s="41"/>
      <c r="H437" s="41"/>
      <c r="I437" s="41"/>
      <c r="J437" s="53"/>
      <c r="K437" s="55"/>
      <c r="L437" s="41"/>
      <c r="O437" s="170"/>
      <c r="P437" s="170"/>
      <c r="Q437" s="170"/>
      <c r="R437" s="124"/>
      <c r="S437" s="124"/>
      <c r="T437" s="124"/>
      <c r="U437" s="124"/>
      <c r="V437" s="99"/>
      <c r="W437" s="124"/>
      <c r="X437" s="124"/>
      <c r="Y437" s="124"/>
      <c r="Z437" s="468"/>
      <c r="AA437" s="124"/>
      <c r="AB437" s="124"/>
      <c r="AC437" s="124"/>
      <c r="AD437" s="124"/>
      <c r="AE437" s="124"/>
      <c r="AF437" s="124"/>
      <c r="AG437" s="124"/>
      <c r="AH437" s="124"/>
      <c r="AI437" s="124"/>
      <c r="AJ437" s="124"/>
      <c r="AK437" s="468"/>
      <c r="AL437" s="124"/>
      <c r="AM437" s="469"/>
      <c r="AN437" s="469"/>
      <c r="AO437" s="469"/>
      <c r="AP437" s="469"/>
      <c r="AQ437" s="469"/>
    </row>
    <row r="438">
      <c r="B438" s="41"/>
      <c r="C438" s="41"/>
      <c r="D438" s="41"/>
      <c r="E438" s="41"/>
      <c r="F438" s="41"/>
      <c r="G438" s="41"/>
      <c r="H438" s="41"/>
      <c r="I438" s="41"/>
      <c r="J438" s="53"/>
      <c r="K438" s="55"/>
      <c r="L438" s="41"/>
      <c r="O438" s="170"/>
      <c r="P438" s="170"/>
      <c r="Q438" s="170"/>
      <c r="R438" s="124"/>
      <c r="S438" s="124"/>
      <c r="T438" s="124"/>
      <c r="U438" s="124"/>
      <c r="V438" s="99"/>
      <c r="W438" s="124"/>
      <c r="X438" s="124"/>
      <c r="Y438" s="124"/>
      <c r="Z438" s="468"/>
      <c r="AA438" s="124"/>
      <c r="AB438" s="124"/>
      <c r="AC438" s="124"/>
      <c r="AD438" s="124"/>
      <c r="AE438" s="124"/>
      <c r="AF438" s="124"/>
      <c r="AG438" s="124"/>
      <c r="AH438" s="124"/>
      <c r="AI438" s="124"/>
      <c r="AJ438" s="124"/>
      <c r="AK438" s="468"/>
      <c r="AL438" s="124"/>
      <c r="AM438" s="469"/>
      <c r="AN438" s="469"/>
      <c r="AO438" s="469"/>
      <c r="AP438" s="469"/>
      <c r="AQ438" s="469"/>
    </row>
    <row r="439">
      <c r="B439" s="41"/>
      <c r="C439" s="41"/>
      <c r="D439" s="41"/>
      <c r="E439" s="41"/>
      <c r="F439" s="41"/>
      <c r="G439" s="41"/>
      <c r="H439" s="41"/>
      <c r="I439" s="41"/>
      <c r="J439" s="53"/>
      <c r="K439" s="55"/>
      <c r="L439" s="41"/>
      <c r="O439" s="170"/>
      <c r="P439" s="170"/>
      <c r="Q439" s="170"/>
      <c r="R439" s="124"/>
      <c r="S439" s="124"/>
      <c r="T439" s="124"/>
      <c r="U439" s="124"/>
      <c r="V439" s="99"/>
      <c r="W439" s="124"/>
      <c r="X439" s="124"/>
      <c r="Y439" s="124"/>
      <c r="Z439" s="468"/>
      <c r="AA439" s="124"/>
      <c r="AB439" s="124"/>
      <c r="AC439" s="124"/>
      <c r="AD439" s="124"/>
      <c r="AE439" s="124"/>
      <c r="AF439" s="124"/>
      <c r="AG439" s="124"/>
      <c r="AH439" s="124"/>
      <c r="AI439" s="124"/>
      <c r="AJ439" s="124"/>
      <c r="AK439" s="468"/>
      <c r="AL439" s="124"/>
      <c r="AM439" s="469"/>
      <c r="AN439" s="469"/>
      <c r="AO439" s="469"/>
      <c r="AP439" s="469"/>
      <c r="AQ439" s="469"/>
    </row>
    <row r="440">
      <c r="B440" s="41"/>
      <c r="C440" s="41"/>
      <c r="D440" s="41"/>
      <c r="E440" s="41"/>
      <c r="F440" s="41"/>
      <c r="G440" s="41"/>
      <c r="H440" s="41"/>
      <c r="I440" s="41"/>
      <c r="J440" s="53"/>
      <c r="K440" s="55"/>
      <c r="L440" s="41"/>
      <c r="O440" s="170"/>
      <c r="P440" s="170"/>
      <c r="Q440" s="170"/>
      <c r="R440" s="124"/>
      <c r="S440" s="124"/>
      <c r="T440" s="124"/>
      <c r="U440" s="124"/>
      <c r="V440" s="99"/>
      <c r="W440" s="124"/>
      <c r="X440" s="124"/>
      <c r="Y440" s="124"/>
      <c r="Z440" s="468"/>
      <c r="AA440" s="124"/>
      <c r="AB440" s="124"/>
      <c r="AC440" s="124"/>
      <c r="AD440" s="124"/>
      <c r="AE440" s="124"/>
      <c r="AF440" s="124"/>
      <c r="AG440" s="124"/>
      <c r="AH440" s="124"/>
      <c r="AI440" s="124"/>
      <c r="AJ440" s="124"/>
      <c r="AK440" s="468"/>
      <c r="AL440" s="124"/>
      <c r="AM440" s="469"/>
      <c r="AN440" s="469"/>
      <c r="AO440" s="469"/>
      <c r="AP440" s="469"/>
      <c r="AQ440" s="469"/>
    </row>
    <row r="441">
      <c r="B441" s="41"/>
      <c r="C441" s="41"/>
      <c r="D441" s="41"/>
      <c r="E441" s="41"/>
      <c r="F441" s="41"/>
      <c r="G441" s="41"/>
      <c r="H441" s="41"/>
      <c r="I441" s="41"/>
      <c r="J441" s="53"/>
      <c r="K441" s="55"/>
      <c r="L441" s="41"/>
      <c r="O441" s="170"/>
      <c r="P441" s="170"/>
      <c r="Q441" s="170"/>
      <c r="R441" s="124"/>
      <c r="S441" s="124"/>
      <c r="T441" s="124"/>
      <c r="U441" s="124"/>
      <c r="V441" s="99"/>
      <c r="W441" s="124"/>
      <c r="X441" s="124"/>
      <c r="Y441" s="124"/>
      <c r="Z441" s="468"/>
      <c r="AA441" s="124"/>
      <c r="AB441" s="124"/>
      <c r="AC441" s="124"/>
      <c r="AD441" s="124"/>
      <c r="AE441" s="124"/>
      <c r="AF441" s="124"/>
      <c r="AG441" s="124"/>
      <c r="AH441" s="124"/>
      <c r="AI441" s="124"/>
      <c r="AJ441" s="124"/>
      <c r="AK441" s="468"/>
      <c r="AL441" s="124"/>
      <c r="AM441" s="469"/>
      <c r="AN441" s="469"/>
      <c r="AO441" s="469"/>
      <c r="AP441" s="469"/>
      <c r="AQ441" s="469"/>
    </row>
    <row r="442">
      <c r="B442" s="41"/>
      <c r="C442" s="41"/>
      <c r="D442" s="41"/>
      <c r="E442" s="41"/>
      <c r="F442" s="41"/>
      <c r="G442" s="41"/>
      <c r="H442" s="41"/>
      <c r="I442" s="41"/>
      <c r="J442" s="53"/>
      <c r="K442" s="55"/>
      <c r="L442" s="41"/>
      <c r="O442" s="170"/>
      <c r="P442" s="170"/>
      <c r="Q442" s="170"/>
      <c r="R442" s="124"/>
      <c r="S442" s="124"/>
      <c r="T442" s="124"/>
      <c r="U442" s="124"/>
      <c r="V442" s="99"/>
      <c r="W442" s="124"/>
      <c r="X442" s="124"/>
      <c r="Y442" s="124"/>
      <c r="Z442" s="468"/>
      <c r="AA442" s="124"/>
      <c r="AB442" s="124"/>
      <c r="AC442" s="124"/>
      <c r="AD442" s="124"/>
      <c r="AE442" s="124"/>
      <c r="AF442" s="124"/>
      <c r="AG442" s="124"/>
      <c r="AH442" s="124"/>
      <c r="AI442" s="124"/>
      <c r="AJ442" s="124"/>
      <c r="AK442" s="468"/>
      <c r="AL442" s="124"/>
      <c r="AM442" s="469"/>
      <c r="AN442" s="469"/>
      <c r="AO442" s="469"/>
      <c r="AP442" s="469"/>
      <c r="AQ442" s="469"/>
    </row>
    <row r="443">
      <c r="B443" s="41"/>
      <c r="C443" s="41"/>
      <c r="D443" s="41"/>
      <c r="E443" s="41"/>
      <c r="F443" s="41"/>
      <c r="G443" s="41"/>
      <c r="H443" s="41"/>
      <c r="I443" s="41"/>
      <c r="J443" s="53"/>
      <c r="K443" s="55"/>
      <c r="L443" s="41"/>
      <c r="O443" s="170"/>
      <c r="P443" s="170"/>
      <c r="Q443" s="170"/>
      <c r="R443" s="124"/>
      <c r="S443" s="124"/>
      <c r="T443" s="124"/>
      <c r="U443" s="124"/>
      <c r="V443" s="99"/>
      <c r="W443" s="124"/>
      <c r="X443" s="124"/>
      <c r="Y443" s="124"/>
      <c r="Z443" s="468"/>
      <c r="AA443" s="124"/>
      <c r="AB443" s="124"/>
      <c r="AC443" s="124"/>
      <c r="AD443" s="124"/>
      <c r="AE443" s="124"/>
      <c r="AF443" s="124"/>
      <c r="AG443" s="124"/>
      <c r="AH443" s="124"/>
      <c r="AI443" s="124"/>
      <c r="AJ443" s="124"/>
      <c r="AK443" s="468"/>
      <c r="AL443" s="124"/>
      <c r="AM443" s="469"/>
      <c r="AN443" s="469"/>
      <c r="AO443" s="469"/>
      <c r="AP443" s="469"/>
      <c r="AQ443" s="469"/>
    </row>
    <row r="444">
      <c r="B444" s="41"/>
      <c r="C444" s="41"/>
      <c r="D444" s="41"/>
      <c r="E444" s="41"/>
      <c r="F444" s="41"/>
      <c r="G444" s="41"/>
      <c r="H444" s="41"/>
      <c r="I444" s="41"/>
      <c r="J444" s="53"/>
      <c r="K444" s="55"/>
      <c r="L444" s="41"/>
      <c r="O444" s="170"/>
      <c r="P444" s="170"/>
      <c r="Q444" s="170"/>
      <c r="R444" s="124"/>
      <c r="S444" s="124"/>
      <c r="T444" s="124"/>
      <c r="U444" s="124"/>
      <c r="V444" s="99"/>
      <c r="W444" s="124"/>
      <c r="X444" s="124"/>
      <c r="Y444" s="124"/>
      <c r="Z444" s="468"/>
      <c r="AA444" s="124"/>
      <c r="AB444" s="124"/>
      <c r="AC444" s="124"/>
      <c r="AD444" s="124"/>
      <c r="AE444" s="124"/>
      <c r="AF444" s="124"/>
      <c r="AG444" s="124"/>
      <c r="AH444" s="124"/>
      <c r="AI444" s="124"/>
      <c r="AJ444" s="124"/>
      <c r="AK444" s="468"/>
      <c r="AL444" s="124"/>
      <c r="AM444" s="469"/>
      <c r="AN444" s="469"/>
      <c r="AO444" s="469"/>
      <c r="AP444" s="469"/>
      <c r="AQ444" s="469"/>
    </row>
    <row r="445">
      <c r="B445" s="41"/>
      <c r="C445" s="41"/>
      <c r="D445" s="41"/>
      <c r="E445" s="41"/>
      <c r="F445" s="41"/>
      <c r="G445" s="41"/>
      <c r="H445" s="41"/>
      <c r="I445" s="41"/>
      <c r="J445" s="53"/>
      <c r="K445" s="55"/>
      <c r="L445" s="41"/>
      <c r="O445" s="170"/>
      <c r="P445" s="170"/>
      <c r="Q445" s="170"/>
      <c r="R445" s="124"/>
      <c r="S445" s="124"/>
      <c r="T445" s="124"/>
      <c r="U445" s="124"/>
      <c r="V445" s="99"/>
      <c r="W445" s="124"/>
      <c r="X445" s="124"/>
      <c r="Y445" s="124"/>
      <c r="Z445" s="468"/>
      <c r="AA445" s="124"/>
      <c r="AB445" s="124"/>
      <c r="AC445" s="124"/>
      <c r="AD445" s="124"/>
      <c r="AE445" s="124"/>
      <c r="AF445" s="124"/>
      <c r="AG445" s="124"/>
      <c r="AH445" s="124"/>
      <c r="AI445" s="124"/>
      <c r="AJ445" s="124"/>
      <c r="AK445" s="468"/>
      <c r="AL445" s="124"/>
      <c r="AM445" s="469"/>
      <c r="AN445" s="469"/>
      <c r="AO445" s="469"/>
      <c r="AP445" s="469"/>
      <c r="AQ445" s="469"/>
    </row>
    <row r="446">
      <c r="B446" s="41"/>
      <c r="C446" s="41"/>
      <c r="D446" s="41"/>
      <c r="E446" s="41"/>
      <c r="F446" s="41"/>
      <c r="G446" s="41"/>
      <c r="H446" s="41"/>
      <c r="I446" s="41"/>
      <c r="J446" s="53"/>
      <c r="K446" s="55"/>
      <c r="L446" s="41"/>
      <c r="O446" s="170"/>
      <c r="P446" s="170"/>
      <c r="Q446" s="170"/>
      <c r="R446" s="124"/>
      <c r="S446" s="124"/>
      <c r="T446" s="124"/>
      <c r="U446" s="124"/>
      <c r="V446" s="99"/>
      <c r="W446" s="124"/>
      <c r="X446" s="124"/>
      <c r="Y446" s="124"/>
      <c r="Z446" s="468"/>
      <c r="AA446" s="124"/>
      <c r="AB446" s="124"/>
      <c r="AC446" s="124"/>
      <c r="AD446" s="124"/>
      <c r="AE446" s="124"/>
      <c r="AF446" s="124"/>
      <c r="AG446" s="124"/>
      <c r="AH446" s="124"/>
      <c r="AI446" s="124"/>
      <c r="AJ446" s="124"/>
      <c r="AK446" s="468"/>
      <c r="AL446" s="124"/>
      <c r="AM446" s="469"/>
      <c r="AN446" s="469"/>
      <c r="AO446" s="469"/>
      <c r="AP446" s="469"/>
      <c r="AQ446" s="469"/>
    </row>
    <row r="447">
      <c r="B447" s="41"/>
      <c r="C447" s="41"/>
      <c r="D447" s="41"/>
      <c r="E447" s="41"/>
      <c r="F447" s="41"/>
      <c r="G447" s="41"/>
      <c r="H447" s="41"/>
      <c r="I447" s="41"/>
      <c r="J447" s="53"/>
      <c r="K447" s="55"/>
      <c r="L447" s="41"/>
      <c r="O447" s="170"/>
      <c r="P447" s="170"/>
      <c r="Q447" s="170"/>
      <c r="R447" s="124"/>
      <c r="S447" s="124"/>
      <c r="T447" s="124"/>
      <c r="U447" s="124"/>
      <c r="V447" s="99"/>
      <c r="W447" s="124"/>
      <c r="X447" s="124"/>
      <c r="Y447" s="124"/>
      <c r="Z447" s="468"/>
      <c r="AA447" s="124"/>
      <c r="AB447" s="124"/>
      <c r="AC447" s="124"/>
      <c r="AD447" s="124"/>
      <c r="AE447" s="124"/>
      <c r="AF447" s="124"/>
      <c r="AG447" s="124"/>
      <c r="AH447" s="124"/>
      <c r="AI447" s="124"/>
      <c r="AJ447" s="124"/>
      <c r="AK447" s="468"/>
      <c r="AL447" s="124"/>
      <c r="AM447" s="469"/>
      <c r="AN447" s="469"/>
      <c r="AO447" s="469"/>
      <c r="AP447" s="469"/>
      <c r="AQ447" s="469"/>
    </row>
    <row r="448">
      <c r="B448" s="41"/>
      <c r="C448" s="41"/>
      <c r="D448" s="41"/>
      <c r="E448" s="41"/>
      <c r="F448" s="41"/>
      <c r="G448" s="41"/>
      <c r="H448" s="41"/>
      <c r="I448" s="41"/>
      <c r="J448" s="53"/>
      <c r="K448" s="55"/>
      <c r="L448" s="41"/>
      <c r="O448" s="170"/>
      <c r="P448" s="170"/>
      <c r="Q448" s="170"/>
      <c r="R448" s="124"/>
      <c r="S448" s="124"/>
      <c r="T448" s="124"/>
      <c r="U448" s="124"/>
      <c r="V448" s="99"/>
      <c r="W448" s="124"/>
      <c r="X448" s="124"/>
      <c r="Y448" s="124"/>
      <c r="Z448" s="468"/>
      <c r="AA448" s="124"/>
      <c r="AB448" s="124"/>
      <c r="AC448" s="124"/>
      <c r="AD448" s="124"/>
      <c r="AE448" s="124"/>
      <c r="AF448" s="124"/>
      <c r="AG448" s="124"/>
      <c r="AH448" s="124"/>
      <c r="AI448" s="124"/>
      <c r="AJ448" s="124"/>
      <c r="AK448" s="468"/>
      <c r="AL448" s="124"/>
      <c r="AM448" s="469"/>
      <c r="AN448" s="469"/>
      <c r="AO448" s="469"/>
      <c r="AP448" s="469"/>
      <c r="AQ448" s="469"/>
    </row>
    <row r="449">
      <c r="B449" s="41"/>
      <c r="C449" s="41"/>
      <c r="D449" s="41"/>
      <c r="E449" s="41"/>
      <c r="F449" s="41"/>
      <c r="G449" s="41"/>
      <c r="H449" s="41"/>
      <c r="I449" s="41"/>
      <c r="J449" s="53"/>
      <c r="K449" s="55"/>
      <c r="L449" s="41"/>
      <c r="O449" s="170"/>
      <c r="P449" s="170"/>
      <c r="Q449" s="170"/>
      <c r="R449" s="124"/>
      <c r="S449" s="124"/>
      <c r="T449" s="124"/>
      <c r="U449" s="124"/>
      <c r="V449" s="99"/>
      <c r="W449" s="124"/>
      <c r="X449" s="124"/>
      <c r="Y449" s="124"/>
      <c r="Z449" s="468"/>
      <c r="AA449" s="124"/>
      <c r="AB449" s="124"/>
      <c r="AC449" s="124"/>
      <c r="AD449" s="124"/>
      <c r="AE449" s="124"/>
      <c r="AF449" s="124"/>
      <c r="AG449" s="124"/>
      <c r="AH449" s="124"/>
      <c r="AI449" s="124"/>
      <c r="AJ449" s="124"/>
      <c r="AK449" s="468"/>
      <c r="AL449" s="124"/>
      <c r="AM449" s="469"/>
      <c r="AN449" s="469"/>
      <c r="AO449" s="469"/>
      <c r="AP449" s="469"/>
      <c r="AQ449" s="469"/>
    </row>
    <row r="450">
      <c r="B450" s="41"/>
      <c r="C450" s="41"/>
      <c r="D450" s="41"/>
      <c r="E450" s="41"/>
      <c r="F450" s="41"/>
      <c r="G450" s="41"/>
      <c r="H450" s="41"/>
      <c r="I450" s="41"/>
      <c r="J450" s="53"/>
      <c r="K450" s="55"/>
      <c r="L450" s="41"/>
      <c r="O450" s="170"/>
      <c r="P450" s="170"/>
      <c r="Q450" s="170"/>
      <c r="R450" s="124"/>
      <c r="S450" s="124"/>
      <c r="T450" s="124"/>
      <c r="U450" s="124"/>
      <c r="V450" s="99"/>
      <c r="W450" s="124"/>
      <c r="X450" s="124"/>
      <c r="Y450" s="124"/>
      <c r="Z450" s="468"/>
      <c r="AA450" s="124"/>
      <c r="AB450" s="124"/>
      <c r="AC450" s="124"/>
      <c r="AD450" s="124"/>
      <c r="AE450" s="124"/>
      <c r="AF450" s="124"/>
      <c r="AG450" s="124"/>
      <c r="AH450" s="124"/>
      <c r="AI450" s="124"/>
      <c r="AJ450" s="124"/>
      <c r="AK450" s="468"/>
      <c r="AL450" s="124"/>
      <c r="AM450" s="469"/>
      <c r="AN450" s="469"/>
      <c r="AO450" s="469"/>
      <c r="AP450" s="469"/>
      <c r="AQ450" s="469"/>
    </row>
    <row r="451">
      <c r="B451" s="41"/>
      <c r="C451" s="41"/>
      <c r="D451" s="41"/>
      <c r="E451" s="41"/>
      <c r="F451" s="41"/>
      <c r="G451" s="41"/>
      <c r="H451" s="41"/>
      <c r="I451" s="41"/>
      <c r="J451" s="53"/>
      <c r="K451" s="55"/>
      <c r="L451" s="41"/>
    </row>
    <row r="452">
      <c r="B452" s="41"/>
      <c r="C452" s="41"/>
      <c r="D452" s="41"/>
      <c r="E452" s="41"/>
      <c r="F452" s="41"/>
      <c r="G452" s="41"/>
      <c r="H452" s="41"/>
      <c r="I452" s="41"/>
      <c r="J452" s="53"/>
      <c r="K452" s="55"/>
      <c r="L452" s="41"/>
    </row>
    <row r="453">
      <c r="B453" s="41"/>
      <c r="C453" s="41"/>
      <c r="D453" s="41"/>
      <c r="E453" s="41"/>
      <c r="F453" s="41"/>
      <c r="G453" s="41"/>
      <c r="H453" s="41"/>
      <c r="I453" s="41"/>
      <c r="J453" s="53"/>
      <c r="K453" s="55"/>
      <c r="L453" s="41"/>
    </row>
    <row r="454">
      <c r="B454" s="41"/>
      <c r="C454" s="41"/>
      <c r="D454" s="41"/>
      <c r="E454" s="41"/>
      <c r="F454" s="41"/>
      <c r="G454" s="41"/>
      <c r="H454" s="41"/>
      <c r="I454" s="41"/>
      <c r="J454" s="53"/>
      <c r="K454" s="55"/>
      <c r="L454" s="41"/>
    </row>
    <row r="455">
      <c r="B455" s="41"/>
      <c r="C455" s="41"/>
      <c r="D455" s="41"/>
      <c r="E455" s="41"/>
      <c r="F455" s="41"/>
      <c r="G455" s="41"/>
      <c r="H455" s="41"/>
      <c r="I455" s="41"/>
      <c r="J455" s="53"/>
      <c r="K455" s="55"/>
      <c r="L455" s="41"/>
    </row>
    <row r="456">
      <c r="B456" s="41"/>
      <c r="C456" s="41"/>
      <c r="D456" s="41"/>
      <c r="E456" s="41"/>
      <c r="F456" s="41"/>
      <c r="G456" s="41"/>
      <c r="H456" s="41"/>
      <c r="I456" s="41"/>
      <c r="J456" s="53"/>
      <c r="K456" s="55"/>
      <c r="L456" s="41"/>
    </row>
    <row r="457">
      <c r="B457" s="41"/>
      <c r="C457" s="41"/>
      <c r="D457" s="41"/>
      <c r="E457" s="41"/>
      <c r="F457" s="41"/>
      <c r="G457" s="41"/>
      <c r="H457" s="41"/>
      <c r="I457" s="41"/>
      <c r="J457" s="53"/>
      <c r="K457" s="55"/>
      <c r="L457" s="41"/>
    </row>
    <row r="458">
      <c r="B458" s="41"/>
      <c r="C458" s="41"/>
      <c r="D458" s="41"/>
      <c r="E458" s="41"/>
      <c r="F458" s="41"/>
      <c r="G458" s="41"/>
      <c r="H458" s="41"/>
      <c r="I458" s="41"/>
      <c r="J458" s="53"/>
      <c r="K458" s="55"/>
      <c r="L458" s="41"/>
    </row>
    <row r="459">
      <c r="B459" s="41"/>
      <c r="C459" s="41"/>
      <c r="D459" s="41"/>
      <c r="E459" s="41"/>
      <c r="F459" s="41"/>
      <c r="G459" s="41"/>
      <c r="H459" s="41"/>
      <c r="I459" s="41"/>
      <c r="J459" s="53"/>
      <c r="K459" s="55"/>
      <c r="L459" s="41"/>
    </row>
    <row r="460">
      <c r="B460" s="41"/>
      <c r="C460" s="41"/>
      <c r="D460" s="41"/>
      <c r="E460" s="41"/>
      <c r="F460" s="41"/>
      <c r="G460" s="41"/>
      <c r="H460" s="41"/>
      <c r="I460" s="41"/>
      <c r="J460" s="53"/>
      <c r="K460" s="55"/>
      <c r="L460" s="41"/>
    </row>
    <row r="461">
      <c r="B461" s="41"/>
      <c r="C461" s="41"/>
      <c r="D461" s="41"/>
      <c r="E461" s="41"/>
      <c r="F461" s="41"/>
      <c r="G461" s="41"/>
      <c r="H461" s="41"/>
      <c r="I461" s="41"/>
      <c r="J461" s="53"/>
      <c r="K461" s="55"/>
      <c r="L461" s="41"/>
    </row>
    <row r="462">
      <c r="B462" s="41"/>
      <c r="C462" s="41"/>
      <c r="D462" s="41"/>
      <c r="E462" s="41"/>
      <c r="F462" s="41"/>
      <c r="G462" s="41"/>
      <c r="H462" s="41"/>
      <c r="I462" s="41"/>
      <c r="J462" s="53"/>
      <c r="K462" s="55"/>
      <c r="L462" s="41"/>
    </row>
    <row r="463">
      <c r="B463" s="41"/>
      <c r="C463" s="41"/>
      <c r="D463" s="41"/>
      <c r="E463" s="41"/>
      <c r="F463" s="41"/>
      <c r="G463" s="41"/>
      <c r="H463" s="41"/>
      <c r="I463" s="41"/>
      <c r="J463" s="53"/>
      <c r="K463" s="55"/>
      <c r="L463" s="41"/>
    </row>
    <row r="464">
      <c r="B464" s="41"/>
      <c r="C464" s="41"/>
      <c r="D464" s="41"/>
      <c r="E464" s="41"/>
      <c r="F464" s="41"/>
      <c r="G464" s="41"/>
      <c r="H464" s="41"/>
      <c r="I464" s="41"/>
      <c r="J464" s="53"/>
      <c r="K464" s="55"/>
      <c r="L464" s="41"/>
    </row>
    <row r="465">
      <c r="B465" s="41"/>
      <c r="C465" s="41"/>
      <c r="D465" s="41"/>
      <c r="E465" s="41"/>
      <c r="F465" s="41"/>
      <c r="G465" s="41"/>
      <c r="H465" s="41"/>
      <c r="I465" s="41"/>
      <c r="J465" s="53"/>
      <c r="K465" s="55"/>
      <c r="L465" s="41"/>
    </row>
    <row r="466">
      <c r="B466" s="41"/>
      <c r="C466" s="41"/>
      <c r="D466" s="41"/>
      <c r="E466" s="41"/>
      <c r="F466" s="41"/>
      <c r="G466" s="41"/>
      <c r="H466" s="41"/>
      <c r="I466" s="41"/>
      <c r="J466" s="53"/>
      <c r="K466" s="55"/>
      <c r="L466" s="41"/>
    </row>
    <row r="467">
      <c r="B467" s="41"/>
      <c r="C467" s="41"/>
      <c r="D467" s="41"/>
      <c r="E467" s="41"/>
      <c r="F467" s="41"/>
      <c r="G467" s="41"/>
      <c r="H467" s="41"/>
      <c r="I467" s="41"/>
      <c r="J467" s="53"/>
      <c r="K467" s="55"/>
      <c r="L467" s="41"/>
    </row>
    <row r="468">
      <c r="B468" s="41"/>
      <c r="C468" s="41"/>
      <c r="D468" s="41"/>
      <c r="E468" s="41"/>
      <c r="F468" s="41"/>
      <c r="G468" s="41"/>
      <c r="H468" s="41"/>
      <c r="I468" s="41"/>
      <c r="J468" s="53"/>
      <c r="K468" s="55"/>
      <c r="L468" s="41"/>
    </row>
    <row r="469">
      <c r="B469" s="41"/>
      <c r="C469" s="41"/>
      <c r="D469" s="41"/>
      <c r="E469" s="41"/>
      <c r="F469" s="41"/>
      <c r="G469" s="41"/>
      <c r="H469" s="41"/>
      <c r="I469" s="41"/>
      <c r="J469" s="53"/>
      <c r="K469" s="55"/>
      <c r="L469" s="41"/>
    </row>
    <row r="470">
      <c r="B470" s="41"/>
      <c r="C470" s="41"/>
      <c r="D470" s="41"/>
      <c r="E470" s="41"/>
      <c r="F470" s="41"/>
      <c r="G470" s="41"/>
      <c r="H470" s="41"/>
      <c r="I470" s="41"/>
      <c r="J470" s="53"/>
      <c r="K470" s="55"/>
      <c r="L470" s="41"/>
    </row>
    <row r="471">
      <c r="B471" s="41"/>
      <c r="C471" s="41"/>
      <c r="D471" s="41"/>
      <c r="E471" s="41"/>
      <c r="F471" s="41"/>
      <c r="G471" s="41"/>
      <c r="H471" s="41"/>
      <c r="I471" s="41"/>
      <c r="J471" s="53"/>
      <c r="K471" s="55"/>
      <c r="L471" s="41"/>
    </row>
    <row r="472">
      <c r="B472" s="41"/>
      <c r="C472" s="41"/>
      <c r="D472" s="41"/>
      <c r="E472" s="41"/>
      <c r="F472" s="41"/>
      <c r="G472" s="41"/>
      <c r="H472" s="41"/>
      <c r="I472" s="41"/>
      <c r="J472" s="53"/>
      <c r="K472" s="55"/>
      <c r="L472" s="41"/>
    </row>
    <row r="473">
      <c r="B473" s="41"/>
      <c r="C473" s="41"/>
      <c r="D473" s="41"/>
      <c r="E473" s="41"/>
      <c r="F473" s="41"/>
      <c r="G473" s="41"/>
      <c r="H473" s="41"/>
      <c r="I473" s="41"/>
      <c r="J473" s="53"/>
      <c r="K473" s="55"/>
      <c r="L473" s="41"/>
    </row>
    <row r="474">
      <c r="B474" s="41"/>
      <c r="C474" s="41"/>
      <c r="D474" s="41"/>
      <c r="E474" s="41"/>
      <c r="F474" s="41"/>
      <c r="G474" s="41"/>
      <c r="H474" s="41"/>
      <c r="I474" s="41"/>
      <c r="J474" s="53"/>
      <c r="K474" s="55"/>
      <c r="L474" s="41"/>
    </row>
    <row r="475">
      <c r="B475" s="41"/>
      <c r="C475" s="41"/>
      <c r="D475" s="41"/>
      <c r="E475" s="41"/>
      <c r="F475" s="41"/>
      <c r="G475" s="41"/>
      <c r="H475" s="41"/>
      <c r="I475" s="41"/>
      <c r="J475" s="53"/>
      <c r="K475" s="55"/>
      <c r="L475" s="41"/>
    </row>
    <row r="476">
      <c r="B476" s="41"/>
      <c r="C476" s="41"/>
      <c r="D476" s="41"/>
      <c r="E476" s="41"/>
      <c r="F476" s="41"/>
      <c r="G476" s="41"/>
      <c r="H476" s="41"/>
      <c r="I476" s="41"/>
      <c r="J476" s="53"/>
      <c r="K476" s="55"/>
      <c r="L476" s="41"/>
    </row>
    <row r="477">
      <c r="B477" s="41"/>
      <c r="C477" s="41"/>
      <c r="D477" s="41"/>
      <c r="E477" s="41"/>
      <c r="F477" s="41"/>
      <c r="G477" s="41"/>
      <c r="H477" s="41"/>
      <c r="I477" s="41"/>
      <c r="J477" s="53"/>
      <c r="K477" s="55"/>
      <c r="L477" s="41"/>
    </row>
    <row r="478">
      <c r="B478" s="41"/>
      <c r="C478" s="41"/>
      <c r="D478" s="41"/>
      <c r="E478" s="41"/>
      <c r="F478" s="41"/>
      <c r="G478" s="41"/>
      <c r="H478" s="41"/>
      <c r="I478" s="41"/>
      <c r="J478" s="53"/>
      <c r="K478" s="55"/>
      <c r="L478" s="41"/>
    </row>
    <row r="479">
      <c r="B479" s="41"/>
      <c r="C479" s="41"/>
      <c r="D479" s="41"/>
      <c r="E479" s="41"/>
      <c r="F479" s="41"/>
      <c r="G479" s="41"/>
      <c r="H479" s="41"/>
      <c r="I479" s="41"/>
      <c r="J479" s="53"/>
      <c r="K479" s="55"/>
      <c r="L479" s="41"/>
    </row>
    <row r="480">
      <c r="B480" s="41"/>
      <c r="C480" s="41"/>
      <c r="D480" s="41"/>
      <c r="E480" s="41"/>
      <c r="F480" s="41"/>
      <c r="G480" s="41"/>
      <c r="H480" s="41"/>
      <c r="I480" s="41"/>
      <c r="J480" s="53"/>
      <c r="K480" s="55"/>
      <c r="L480" s="41"/>
    </row>
    <row r="481">
      <c r="B481" s="41"/>
      <c r="C481" s="41"/>
      <c r="D481" s="41"/>
      <c r="E481" s="41"/>
      <c r="F481" s="41"/>
      <c r="G481" s="41"/>
      <c r="H481" s="41"/>
      <c r="I481" s="41"/>
      <c r="J481" s="53"/>
      <c r="K481" s="55"/>
      <c r="L481" s="41"/>
    </row>
    <row r="482">
      <c r="B482" s="41"/>
      <c r="C482" s="41"/>
      <c r="D482" s="41"/>
      <c r="E482" s="41"/>
      <c r="F482" s="41"/>
      <c r="G482" s="41"/>
      <c r="H482" s="41"/>
      <c r="I482" s="41"/>
      <c r="J482" s="53"/>
      <c r="K482" s="55"/>
      <c r="L482" s="41"/>
    </row>
    <row r="483">
      <c r="B483" s="41"/>
      <c r="C483" s="41"/>
      <c r="D483" s="41"/>
      <c r="E483" s="41"/>
      <c r="F483" s="41"/>
      <c r="G483" s="41"/>
      <c r="H483" s="41"/>
      <c r="I483" s="41"/>
      <c r="J483" s="53"/>
      <c r="K483" s="55"/>
      <c r="L483" s="41"/>
    </row>
    <row r="484">
      <c r="B484" s="41"/>
      <c r="C484" s="41"/>
      <c r="D484" s="41"/>
      <c r="E484" s="41"/>
      <c r="F484" s="41"/>
      <c r="G484" s="41"/>
      <c r="H484" s="41"/>
      <c r="I484" s="41"/>
      <c r="J484" s="53"/>
      <c r="K484" s="55"/>
      <c r="L484" s="41"/>
    </row>
    <row r="485">
      <c r="B485" s="41"/>
      <c r="C485" s="41"/>
      <c r="D485" s="41"/>
      <c r="E485" s="41"/>
      <c r="F485" s="41"/>
      <c r="G485" s="41"/>
      <c r="H485" s="41"/>
      <c r="I485" s="41"/>
      <c r="J485" s="53"/>
      <c r="K485" s="55"/>
      <c r="L485" s="41"/>
    </row>
    <row r="486">
      <c r="B486" s="41"/>
      <c r="C486" s="41"/>
      <c r="D486" s="41"/>
      <c r="E486" s="41"/>
      <c r="F486" s="41"/>
      <c r="G486" s="41"/>
      <c r="H486" s="41"/>
      <c r="I486" s="41"/>
      <c r="J486" s="53"/>
      <c r="K486" s="55"/>
      <c r="L486" s="41"/>
    </row>
    <row r="487">
      <c r="B487" s="41"/>
      <c r="C487" s="41"/>
      <c r="D487" s="41"/>
      <c r="E487" s="41"/>
      <c r="F487" s="41"/>
      <c r="G487" s="41"/>
      <c r="H487" s="41"/>
      <c r="I487" s="41"/>
      <c r="J487" s="53"/>
      <c r="K487" s="55"/>
      <c r="L487" s="41"/>
    </row>
    <row r="488">
      <c r="B488" s="41"/>
      <c r="C488" s="41"/>
      <c r="D488" s="41"/>
      <c r="E488" s="41"/>
      <c r="F488" s="41"/>
      <c r="G488" s="41"/>
      <c r="H488" s="41"/>
      <c r="I488" s="41"/>
      <c r="J488" s="53"/>
      <c r="K488" s="55"/>
      <c r="L488" s="41"/>
    </row>
    <row r="489">
      <c r="B489" s="41"/>
      <c r="C489" s="41"/>
      <c r="D489" s="41"/>
      <c r="E489" s="41"/>
      <c r="F489" s="41"/>
      <c r="G489" s="41"/>
      <c r="H489" s="41"/>
      <c r="I489" s="41"/>
      <c r="J489" s="53"/>
      <c r="K489" s="55"/>
      <c r="L489" s="41"/>
    </row>
    <row r="490">
      <c r="B490" s="41"/>
      <c r="C490" s="41"/>
      <c r="D490" s="41"/>
      <c r="E490" s="41"/>
      <c r="F490" s="41"/>
      <c r="G490" s="41"/>
      <c r="H490" s="41"/>
      <c r="I490" s="41"/>
      <c r="J490" s="53"/>
      <c r="K490" s="55"/>
      <c r="L490" s="41"/>
    </row>
    <row r="491">
      <c r="B491" s="41"/>
      <c r="C491" s="41"/>
      <c r="D491" s="41"/>
      <c r="E491" s="41"/>
      <c r="F491" s="41"/>
      <c r="G491" s="41"/>
      <c r="H491" s="41"/>
      <c r="I491" s="41"/>
      <c r="J491" s="53"/>
      <c r="K491" s="55"/>
      <c r="L491" s="41"/>
    </row>
    <row r="492">
      <c r="B492" s="41"/>
      <c r="C492" s="41"/>
      <c r="D492" s="41"/>
      <c r="E492" s="41"/>
      <c r="F492" s="41"/>
      <c r="G492" s="41"/>
      <c r="H492" s="41"/>
      <c r="I492" s="41"/>
      <c r="J492" s="53"/>
      <c r="K492" s="55"/>
      <c r="L492" s="41"/>
    </row>
    <row r="493">
      <c r="B493" s="41"/>
      <c r="C493" s="41"/>
      <c r="D493" s="41"/>
      <c r="E493" s="41"/>
      <c r="F493" s="41"/>
      <c r="G493" s="41"/>
      <c r="H493" s="41"/>
      <c r="I493" s="41"/>
      <c r="J493" s="53"/>
      <c r="K493" s="55"/>
      <c r="L493" s="41"/>
    </row>
    <row r="494">
      <c r="B494" s="41"/>
      <c r="C494" s="41"/>
      <c r="D494" s="41"/>
      <c r="E494" s="41"/>
      <c r="F494" s="41"/>
      <c r="G494" s="41"/>
      <c r="H494" s="41"/>
      <c r="I494" s="41"/>
      <c r="J494" s="53"/>
      <c r="K494" s="55"/>
      <c r="L494" s="41"/>
    </row>
    <row r="495">
      <c r="B495" s="41"/>
      <c r="C495" s="41"/>
      <c r="D495" s="41"/>
      <c r="E495" s="41"/>
      <c r="F495" s="41"/>
      <c r="G495" s="41"/>
      <c r="H495" s="41"/>
      <c r="I495" s="41"/>
      <c r="J495" s="53"/>
      <c r="K495" s="55"/>
      <c r="L495" s="41"/>
    </row>
    <row r="496">
      <c r="B496" s="41"/>
      <c r="C496" s="41"/>
      <c r="D496" s="41"/>
      <c r="E496" s="41"/>
      <c r="F496" s="41"/>
      <c r="G496" s="41"/>
      <c r="H496" s="41"/>
      <c r="I496" s="41"/>
      <c r="J496" s="53"/>
      <c r="K496" s="55"/>
      <c r="L496" s="41"/>
    </row>
    <row r="497">
      <c r="B497" s="41"/>
      <c r="C497" s="41"/>
      <c r="D497" s="41"/>
      <c r="E497" s="41"/>
      <c r="F497" s="41"/>
      <c r="G497" s="41"/>
      <c r="H497" s="41"/>
      <c r="I497" s="41"/>
      <c r="J497" s="53"/>
      <c r="K497" s="55"/>
      <c r="L497" s="41"/>
    </row>
    <row r="498">
      <c r="B498" s="41"/>
      <c r="C498" s="41"/>
      <c r="D498" s="41"/>
      <c r="E498" s="41"/>
      <c r="F498" s="41"/>
      <c r="G498" s="41"/>
      <c r="H498" s="41"/>
      <c r="I498" s="41"/>
      <c r="J498" s="53"/>
      <c r="K498" s="55"/>
      <c r="L498" s="41"/>
    </row>
    <row r="499">
      <c r="B499" s="41"/>
      <c r="C499" s="41"/>
      <c r="D499" s="41"/>
      <c r="E499" s="41"/>
      <c r="F499" s="41"/>
      <c r="G499" s="41"/>
      <c r="H499" s="41"/>
      <c r="I499" s="41"/>
      <c r="J499" s="53"/>
      <c r="K499" s="55"/>
      <c r="L499" s="41"/>
    </row>
    <row r="500">
      <c r="B500" s="41"/>
      <c r="C500" s="41"/>
      <c r="D500" s="41"/>
      <c r="E500" s="41"/>
      <c r="F500" s="41"/>
      <c r="G500" s="41"/>
      <c r="H500" s="41"/>
      <c r="I500" s="41"/>
      <c r="J500" s="53"/>
      <c r="K500" s="55"/>
      <c r="L500" s="41"/>
    </row>
    <row r="501">
      <c r="B501" s="41"/>
      <c r="C501" s="41"/>
      <c r="D501" s="41"/>
      <c r="E501" s="41"/>
      <c r="F501" s="41"/>
      <c r="G501" s="41"/>
      <c r="H501" s="41"/>
      <c r="I501" s="41"/>
      <c r="J501" s="53"/>
      <c r="K501" s="55"/>
      <c r="L501" s="41"/>
    </row>
    <row r="502">
      <c r="B502" s="41"/>
      <c r="C502" s="41"/>
      <c r="D502" s="41"/>
      <c r="E502" s="41"/>
      <c r="F502" s="41"/>
      <c r="G502" s="41"/>
      <c r="H502" s="41"/>
      <c r="I502" s="41"/>
      <c r="J502" s="53"/>
      <c r="K502" s="55"/>
      <c r="L502" s="41"/>
    </row>
    <row r="503">
      <c r="B503" s="41"/>
      <c r="C503" s="41"/>
      <c r="D503" s="41"/>
      <c r="E503" s="41"/>
      <c r="F503" s="41"/>
      <c r="G503" s="41"/>
      <c r="H503" s="41"/>
      <c r="I503" s="41"/>
      <c r="J503" s="53"/>
      <c r="K503" s="55"/>
      <c r="L503" s="41"/>
    </row>
    <row r="504">
      <c r="B504" s="41"/>
      <c r="C504" s="41"/>
      <c r="D504" s="41"/>
      <c r="E504" s="41"/>
      <c r="F504" s="41"/>
      <c r="G504" s="41"/>
      <c r="H504" s="41"/>
      <c r="I504" s="41"/>
      <c r="J504" s="53"/>
      <c r="K504" s="55"/>
      <c r="L504" s="41"/>
    </row>
    <row r="505">
      <c r="B505" s="41"/>
      <c r="C505" s="41"/>
      <c r="D505" s="41"/>
      <c r="E505" s="41"/>
      <c r="F505" s="41"/>
      <c r="G505" s="41"/>
      <c r="H505" s="41"/>
      <c r="I505" s="41"/>
      <c r="J505" s="53"/>
      <c r="K505" s="55"/>
      <c r="L505" s="41"/>
    </row>
    <row r="506">
      <c r="B506" s="41"/>
      <c r="C506" s="41"/>
      <c r="D506" s="41"/>
      <c r="E506" s="41"/>
      <c r="F506" s="41"/>
      <c r="G506" s="41"/>
      <c r="H506" s="41"/>
      <c r="I506" s="41"/>
      <c r="J506" s="53"/>
      <c r="K506" s="55"/>
      <c r="L506" s="41"/>
    </row>
    <row r="507">
      <c r="B507" s="41"/>
      <c r="C507" s="41"/>
      <c r="D507" s="41"/>
      <c r="E507" s="41"/>
      <c r="F507" s="41"/>
      <c r="G507" s="41"/>
      <c r="H507" s="41"/>
      <c r="I507" s="41"/>
      <c r="J507" s="53"/>
      <c r="K507" s="55"/>
      <c r="L507" s="41"/>
    </row>
    <row r="508">
      <c r="B508" s="41"/>
      <c r="C508" s="41"/>
      <c r="D508" s="41"/>
      <c r="E508" s="41"/>
      <c r="F508" s="41"/>
      <c r="G508" s="41"/>
      <c r="H508" s="41"/>
      <c r="I508" s="41"/>
      <c r="J508" s="53"/>
      <c r="K508" s="55"/>
      <c r="L508" s="41"/>
    </row>
    <row r="509">
      <c r="B509" s="41"/>
      <c r="C509" s="41"/>
      <c r="D509" s="41"/>
      <c r="E509" s="41"/>
      <c r="F509" s="41"/>
      <c r="G509" s="41"/>
      <c r="H509" s="41"/>
      <c r="I509" s="41"/>
      <c r="J509" s="53"/>
      <c r="K509" s="55"/>
      <c r="L509" s="41"/>
    </row>
    <row r="510">
      <c r="B510" s="41"/>
      <c r="C510" s="41"/>
      <c r="D510" s="41"/>
      <c r="E510" s="41"/>
      <c r="F510" s="41"/>
      <c r="G510" s="41"/>
      <c r="H510" s="41"/>
      <c r="I510" s="41"/>
      <c r="J510" s="53"/>
      <c r="K510" s="55"/>
      <c r="L510" s="41"/>
    </row>
    <row r="511">
      <c r="B511" s="41"/>
      <c r="C511" s="41"/>
      <c r="D511" s="41"/>
      <c r="E511" s="41"/>
      <c r="F511" s="41"/>
      <c r="G511" s="41"/>
      <c r="H511" s="41"/>
      <c r="I511" s="41"/>
      <c r="J511" s="53"/>
      <c r="K511" s="55"/>
      <c r="L511" s="41"/>
    </row>
    <row r="512">
      <c r="B512" s="41"/>
      <c r="C512" s="41"/>
      <c r="D512" s="41"/>
      <c r="E512" s="41"/>
      <c r="F512" s="41"/>
      <c r="G512" s="41"/>
      <c r="H512" s="41"/>
      <c r="I512" s="41"/>
      <c r="J512" s="53"/>
      <c r="K512" s="55"/>
      <c r="L512" s="41"/>
    </row>
    <row r="513">
      <c r="B513" s="41"/>
      <c r="C513" s="41"/>
      <c r="D513" s="41"/>
      <c r="E513" s="41"/>
      <c r="F513" s="41"/>
      <c r="G513" s="41"/>
      <c r="H513" s="41"/>
      <c r="I513" s="41"/>
      <c r="J513" s="53"/>
      <c r="K513" s="55"/>
      <c r="L513" s="41"/>
    </row>
    <row r="514">
      <c r="B514" s="41"/>
      <c r="C514" s="41"/>
      <c r="D514" s="41"/>
      <c r="E514" s="41"/>
      <c r="F514" s="41"/>
      <c r="G514" s="41"/>
      <c r="H514" s="41"/>
      <c r="I514" s="41"/>
      <c r="J514" s="53"/>
      <c r="K514" s="55"/>
      <c r="L514" s="41"/>
    </row>
    <row r="515">
      <c r="B515" s="41"/>
      <c r="C515" s="41"/>
      <c r="D515" s="41"/>
      <c r="E515" s="41"/>
      <c r="F515" s="41"/>
      <c r="G515" s="41"/>
      <c r="H515" s="41"/>
      <c r="I515" s="41"/>
      <c r="J515" s="53"/>
      <c r="K515" s="55"/>
      <c r="L515" s="41"/>
    </row>
    <row r="516">
      <c r="B516" s="41"/>
      <c r="C516" s="41"/>
      <c r="D516" s="41"/>
      <c r="E516" s="41"/>
      <c r="F516" s="41"/>
      <c r="G516" s="41"/>
      <c r="H516" s="41"/>
      <c r="I516" s="41"/>
      <c r="J516" s="53"/>
      <c r="K516" s="55"/>
      <c r="L516" s="41"/>
    </row>
    <row r="517">
      <c r="B517" s="41"/>
      <c r="C517" s="41"/>
      <c r="D517" s="41"/>
      <c r="E517" s="41"/>
      <c r="F517" s="41"/>
      <c r="G517" s="41"/>
      <c r="H517" s="41"/>
      <c r="I517" s="41"/>
      <c r="J517" s="53"/>
      <c r="K517" s="55"/>
      <c r="L517" s="41"/>
    </row>
    <row r="518">
      <c r="B518" s="41"/>
      <c r="C518" s="41"/>
      <c r="D518" s="41"/>
      <c r="E518" s="41"/>
      <c r="F518" s="41"/>
      <c r="G518" s="41"/>
      <c r="H518" s="41"/>
      <c r="I518" s="41"/>
      <c r="J518" s="53"/>
      <c r="K518" s="55"/>
      <c r="L518" s="41"/>
    </row>
    <row r="519">
      <c r="B519" s="41"/>
      <c r="C519" s="41"/>
      <c r="D519" s="41"/>
      <c r="E519" s="41"/>
      <c r="F519" s="41"/>
      <c r="G519" s="41"/>
      <c r="H519" s="41"/>
      <c r="I519" s="41"/>
      <c r="J519" s="53"/>
      <c r="K519" s="55"/>
      <c r="L519" s="41"/>
    </row>
    <row r="520">
      <c r="B520" s="41"/>
      <c r="C520" s="41"/>
      <c r="D520" s="41"/>
      <c r="E520" s="41"/>
      <c r="F520" s="41"/>
      <c r="G520" s="41"/>
      <c r="H520" s="41"/>
      <c r="I520" s="41"/>
      <c r="J520" s="53"/>
      <c r="K520" s="55"/>
      <c r="L520" s="41"/>
    </row>
    <row r="521">
      <c r="B521" s="41"/>
      <c r="C521" s="41"/>
      <c r="D521" s="41"/>
      <c r="E521" s="41"/>
      <c r="F521" s="41"/>
      <c r="G521" s="41"/>
      <c r="H521" s="41"/>
      <c r="I521" s="41"/>
      <c r="J521" s="53"/>
      <c r="K521" s="55"/>
      <c r="L521" s="41"/>
    </row>
    <row r="522">
      <c r="B522" s="41"/>
      <c r="C522" s="41"/>
      <c r="D522" s="41"/>
      <c r="E522" s="41"/>
      <c r="F522" s="41"/>
      <c r="G522" s="41"/>
      <c r="H522" s="41"/>
      <c r="I522" s="41"/>
      <c r="J522" s="53"/>
      <c r="K522" s="55"/>
      <c r="L522" s="41"/>
    </row>
    <row r="523">
      <c r="B523" s="41"/>
      <c r="C523" s="41"/>
      <c r="D523" s="41"/>
      <c r="E523" s="41"/>
      <c r="F523" s="41"/>
      <c r="G523" s="41"/>
      <c r="H523" s="41"/>
      <c r="I523" s="41"/>
      <c r="J523" s="53"/>
      <c r="K523" s="55"/>
      <c r="L523" s="41"/>
    </row>
    <row r="524">
      <c r="B524" s="41"/>
      <c r="C524" s="41"/>
      <c r="D524" s="41"/>
      <c r="E524" s="41"/>
      <c r="F524" s="41"/>
      <c r="G524" s="41"/>
      <c r="H524" s="41"/>
      <c r="I524" s="41"/>
      <c r="J524" s="53"/>
      <c r="K524" s="55"/>
      <c r="L524" s="41"/>
    </row>
    <row r="525">
      <c r="B525" s="41"/>
      <c r="C525" s="41"/>
      <c r="D525" s="41"/>
      <c r="E525" s="41"/>
      <c r="F525" s="41"/>
      <c r="G525" s="41"/>
      <c r="H525" s="41"/>
      <c r="I525" s="41"/>
      <c r="J525" s="53"/>
      <c r="K525" s="55"/>
      <c r="L525" s="41"/>
    </row>
    <row r="526">
      <c r="B526" s="41"/>
      <c r="C526" s="41"/>
      <c r="D526" s="41"/>
      <c r="E526" s="41"/>
      <c r="F526" s="41"/>
      <c r="G526" s="41"/>
      <c r="H526" s="41"/>
      <c r="I526" s="41"/>
      <c r="J526" s="53"/>
      <c r="K526" s="55"/>
      <c r="L526" s="41"/>
    </row>
    <row r="527">
      <c r="B527" s="41"/>
      <c r="C527" s="41"/>
      <c r="D527" s="41"/>
      <c r="E527" s="41"/>
      <c r="F527" s="41"/>
      <c r="G527" s="41"/>
      <c r="H527" s="41"/>
      <c r="I527" s="41"/>
      <c r="J527" s="53"/>
      <c r="K527" s="55"/>
      <c r="L527" s="41"/>
    </row>
    <row r="528">
      <c r="B528" s="41"/>
      <c r="C528" s="41"/>
      <c r="D528" s="41"/>
      <c r="E528" s="41"/>
      <c r="F528" s="41"/>
      <c r="G528" s="41"/>
      <c r="H528" s="41"/>
      <c r="I528" s="41"/>
      <c r="J528" s="53"/>
      <c r="K528" s="55"/>
      <c r="L528" s="41"/>
    </row>
    <row r="529">
      <c r="B529" s="41"/>
      <c r="C529" s="41"/>
      <c r="D529" s="41"/>
      <c r="E529" s="41"/>
      <c r="F529" s="41"/>
      <c r="G529" s="41"/>
      <c r="H529" s="41"/>
      <c r="I529" s="41"/>
      <c r="J529" s="53"/>
      <c r="K529" s="55"/>
      <c r="L529" s="41"/>
    </row>
    <row r="530">
      <c r="B530" s="41"/>
      <c r="C530" s="41"/>
      <c r="D530" s="41"/>
      <c r="E530" s="41"/>
      <c r="F530" s="41"/>
      <c r="G530" s="41"/>
      <c r="H530" s="41"/>
      <c r="I530" s="41"/>
      <c r="J530" s="53"/>
      <c r="K530" s="55"/>
      <c r="L530" s="41"/>
    </row>
    <row r="531">
      <c r="B531" s="41"/>
      <c r="C531" s="41"/>
      <c r="D531" s="41"/>
      <c r="E531" s="41"/>
      <c r="F531" s="41"/>
      <c r="G531" s="41"/>
      <c r="H531" s="41"/>
      <c r="I531" s="41"/>
      <c r="J531" s="53"/>
      <c r="K531" s="55"/>
      <c r="L531" s="41"/>
    </row>
    <row r="532">
      <c r="B532" s="41"/>
      <c r="C532" s="41"/>
      <c r="D532" s="41"/>
      <c r="E532" s="41"/>
      <c r="F532" s="41"/>
      <c r="G532" s="41"/>
      <c r="H532" s="41"/>
      <c r="I532" s="41"/>
      <c r="J532" s="53"/>
      <c r="K532" s="55"/>
      <c r="L532" s="41"/>
    </row>
    <row r="533">
      <c r="B533" s="41"/>
      <c r="C533" s="41"/>
      <c r="D533" s="41"/>
      <c r="E533" s="41"/>
      <c r="F533" s="41"/>
      <c r="G533" s="41"/>
      <c r="H533" s="41"/>
      <c r="I533" s="41"/>
      <c r="J533" s="53"/>
      <c r="K533" s="55"/>
      <c r="L533" s="41"/>
    </row>
    <row r="534">
      <c r="B534" s="41"/>
      <c r="C534" s="41"/>
      <c r="D534" s="41"/>
      <c r="E534" s="41"/>
      <c r="F534" s="41"/>
      <c r="G534" s="41"/>
      <c r="H534" s="41"/>
      <c r="I534" s="41"/>
      <c r="J534" s="53"/>
      <c r="K534" s="55"/>
      <c r="L534" s="41"/>
    </row>
    <row r="535">
      <c r="B535" s="41"/>
      <c r="C535" s="41"/>
      <c r="D535" s="41"/>
      <c r="E535" s="41"/>
      <c r="F535" s="41"/>
      <c r="G535" s="41"/>
      <c r="H535" s="41"/>
      <c r="I535" s="41"/>
      <c r="J535" s="53"/>
      <c r="K535" s="55"/>
      <c r="L535" s="41"/>
    </row>
    <row r="536">
      <c r="B536" s="41"/>
      <c r="C536" s="41"/>
      <c r="D536" s="41"/>
      <c r="E536" s="41"/>
      <c r="F536" s="41"/>
      <c r="G536" s="41"/>
      <c r="H536" s="41"/>
      <c r="I536" s="41"/>
      <c r="J536" s="53"/>
      <c r="K536" s="55"/>
      <c r="L536" s="41"/>
    </row>
    <row r="537">
      <c r="B537" s="41"/>
      <c r="C537" s="41"/>
      <c r="D537" s="41"/>
      <c r="E537" s="41"/>
      <c r="F537" s="41"/>
      <c r="G537" s="41"/>
      <c r="H537" s="41"/>
      <c r="I537" s="41"/>
      <c r="J537" s="53"/>
      <c r="K537" s="55"/>
      <c r="L537" s="41"/>
    </row>
    <row r="538">
      <c r="B538" s="41"/>
      <c r="C538" s="41"/>
      <c r="D538" s="41"/>
      <c r="E538" s="41"/>
      <c r="F538" s="41"/>
      <c r="G538" s="41"/>
      <c r="H538" s="41"/>
      <c r="I538" s="41"/>
      <c r="J538" s="53"/>
      <c r="K538" s="55"/>
      <c r="L538" s="41"/>
    </row>
    <row r="539">
      <c r="B539" s="41"/>
      <c r="C539" s="41"/>
      <c r="D539" s="41"/>
      <c r="E539" s="41"/>
      <c r="F539" s="41"/>
      <c r="G539" s="41"/>
      <c r="H539" s="41"/>
      <c r="I539" s="41"/>
      <c r="J539" s="53"/>
      <c r="K539" s="55"/>
      <c r="L539" s="41"/>
    </row>
    <row r="540">
      <c r="B540" s="41"/>
      <c r="C540" s="41"/>
      <c r="D540" s="41"/>
      <c r="E540" s="41"/>
      <c r="F540" s="41"/>
      <c r="G540" s="41"/>
      <c r="H540" s="41"/>
      <c r="I540" s="41"/>
      <c r="J540" s="53"/>
      <c r="K540" s="55"/>
      <c r="L540" s="41"/>
    </row>
    <row r="541">
      <c r="B541" s="41"/>
      <c r="C541" s="41"/>
      <c r="D541" s="41"/>
      <c r="E541" s="41"/>
      <c r="F541" s="41"/>
      <c r="G541" s="41"/>
      <c r="H541" s="41"/>
      <c r="I541" s="41"/>
      <c r="J541" s="53"/>
      <c r="K541" s="55"/>
      <c r="L541" s="41"/>
    </row>
    <row r="542">
      <c r="B542" s="41"/>
      <c r="C542" s="41"/>
      <c r="D542" s="41"/>
      <c r="E542" s="41"/>
      <c r="F542" s="41"/>
      <c r="G542" s="41"/>
      <c r="H542" s="41"/>
      <c r="I542" s="41"/>
      <c r="J542" s="53"/>
      <c r="K542" s="55"/>
      <c r="L542" s="41"/>
    </row>
    <row r="543">
      <c r="B543" s="41"/>
      <c r="C543" s="41"/>
      <c r="D543" s="41"/>
      <c r="E543" s="41"/>
      <c r="F543" s="41"/>
      <c r="G543" s="41"/>
      <c r="H543" s="41"/>
      <c r="I543" s="41"/>
      <c r="J543" s="53"/>
      <c r="K543" s="55"/>
      <c r="L543" s="41"/>
    </row>
    <row r="544">
      <c r="B544" s="41"/>
      <c r="C544" s="41"/>
      <c r="D544" s="41"/>
      <c r="E544" s="41"/>
      <c r="F544" s="41"/>
      <c r="G544" s="41"/>
      <c r="H544" s="41"/>
      <c r="I544" s="41"/>
      <c r="J544" s="53"/>
      <c r="K544" s="55"/>
      <c r="L544" s="41"/>
    </row>
    <row r="545">
      <c r="B545" s="41"/>
      <c r="C545" s="41"/>
      <c r="D545" s="41"/>
      <c r="E545" s="41"/>
      <c r="F545" s="41"/>
      <c r="G545" s="41"/>
      <c r="H545" s="41"/>
      <c r="I545" s="41"/>
      <c r="J545" s="53"/>
      <c r="K545" s="55"/>
      <c r="L545" s="41"/>
    </row>
    <row r="546">
      <c r="B546" s="41"/>
      <c r="C546" s="41"/>
      <c r="D546" s="41"/>
      <c r="E546" s="41"/>
      <c r="F546" s="41"/>
      <c r="G546" s="41"/>
      <c r="H546" s="41"/>
      <c r="I546" s="41"/>
      <c r="J546" s="53"/>
      <c r="K546" s="55"/>
      <c r="L546" s="41"/>
    </row>
    <row r="547">
      <c r="B547" s="41"/>
      <c r="C547" s="41"/>
      <c r="D547" s="41"/>
      <c r="E547" s="41"/>
      <c r="F547" s="41"/>
      <c r="G547" s="41"/>
      <c r="H547" s="41"/>
      <c r="I547" s="41"/>
      <c r="J547" s="53"/>
      <c r="K547" s="55"/>
      <c r="L547" s="41"/>
    </row>
    <row r="548">
      <c r="B548" s="41"/>
      <c r="C548" s="41"/>
      <c r="D548" s="41"/>
      <c r="E548" s="41"/>
      <c r="F548" s="41"/>
      <c r="G548" s="41"/>
      <c r="H548" s="41"/>
      <c r="I548" s="41"/>
      <c r="J548" s="53"/>
      <c r="K548" s="55"/>
      <c r="L548" s="41"/>
    </row>
    <row r="549">
      <c r="B549" s="41"/>
      <c r="C549" s="41"/>
      <c r="D549" s="41"/>
      <c r="E549" s="41"/>
      <c r="F549" s="41"/>
      <c r="G549" s="41"/>
      <c r="H549" s="41"/>
      <c r="I549" s="41"/>
      <c r="J549" s="53"/>
      <c r="K549" s="55"/>
      <c r="L549" s="41"/>
    </row>
    <row r="550">
      <c r="B550" s="41"/>
      <c r="C550" s="41"/>
      <c r="D550" s="41"/>
      <c r="E550" s="41"/>
      <c r="F550" s="41"/>
      <c r="G550" s="41"/>
      <c r="H550" s="41"/>
      <c r="I550" s="41"/>
      <c r="J550" s="53"/>
      <c r="K550" s="55"/>
      <c r="L550" s="41"/>
    </row>
    <row r="551">
      <c r="B551" s="41"/>
      <c r="C551" s="41"/>
      <c r="D551" s="41"/>
      <c r="E551" s="41"/>
      <c r="F551" s="41"/>
      <c r="G551" s="41"/>
      <c r="H551" s="41"/>
      <c r="I551" s="41"/>
      <c r="J551" s="53"/>
      <c r="K551" s="55"/>
      <c r="L551" s="41"/>
    </row>
    <row r="552">
      <c r="B552" s="41"/>
      <c r="C552" s="41"/>
      <c r="D552" s="41"/>
      <c r="E552" s="41"/>
      <c r="F552" s="41"/>
      <c r="G552" s="41"/>
      <c r="H552" s="41"/>
      <c r="I552" s="41"/>
      <c r="J552" s="53"/>
      <c r="K552" s="55"/>
      <c r="L552" s="41"/>
    </row>
    <row r="553">
      <c r="B553" s="41"/>
      <c r="C553" s="41"/>
      <c r="D553" s="41"/>
      <c r="E553" s="41"/>
      <c r="F553" s="41"/>
      <c r="G553" s="41"/>
      <c r="H553" s="41"/>
      <c r="I553" s="41"/>
      <c r="J553" s="53"/>
      <c r="K553" s="55"/>
      <c r="L553" s="41"/>
    </row>
    <row r="554">
      <c r="B554" s="41"/>
      <c r="C554" s="41"/>
      <c r="D554" s="41"/>
      <c r="E554" s="41"/>
      <c r="F554" s="41"/>
      <c r="G554" s="41"/>
      <c r="H554" s="41"/>
      <c r="I554" s="41"/>
      <c r="J554" s="53"/>
      <c r="K554" s="55"/>
      <c r="L554" s="41"/>
    </row>
    <row r="555">
      <c r="B555" s="41"/>
      <c r="C555" s="41"/>
      <c r="D555" s="41"/>
      <c r="E555" s="41"/>
      <c r="F555" s="41"/>
      <c r="G555" s="41"/>
      <c r="H555" s="41"/>
      <c r="I555" s="41"/>
      <c r="J555" s="53"/>
      <c r="K555" s="55"/>
      <c r="L555" s="41"/>
    </row>
    <row r="556">
      <c r="B556" s="41"/>
      <c r="C556" s="41"/>
      <c r="D556" s="41"/>
      <c r="E556" s="41"/>
      <c r="F556" s="41"/>
      <c r="G556" s="41"/>
      <c r="H556" s="41"/>
      <c r="I556" s="41"/>
      <c r="J556" s="53"/>
      <c r="K556" s="55"/>
      <c r="L556" s="41"/>
    </row>
    <row r="557">
      <c r="B557" s="41"/>
      <c r="C557" s="41"/>
      <c r="D557" s="41"/>
      <c r="E557" s="41"/>
      <c r="F557" s="41"/>
      <c r="G557" s="41"/>
      <c r="H557" s="41"/>
      <c r="I557" s="41"/>
      <c r="J557" s="53"/>
      <c r="K557" s="55"/>
      <c r="L557" s="41"/>
    </row>
    <row r="558">
      <c r="B558" s="41"/>
      <c r="C558" s="41"/>
      <c r="D558" s="41"/>
      <c r="E558" s="41"/>
      <c r="F558" s="41"/>
      <c r="G558" s="41"/>
      <c r="H558" s="41"/>
      <c r="I558" s="41"/>
      <c r="J558" s="53"/>
      <c r="K558" s="55"/>
      <c r="L558" s="41"/>
    </row>
    <row r="559">
      <c r="B559" s="41"/>
      <c r="C559" s="41"/>
      <c r="D559" s="41"/>
      <c r="E559" s="41"/>
      <c r="F559" s="41"/>
      <c r="G559" s="41"/>
      <c r="H559" s="41"/>
      <c r="I559" s="41"/>
      <c r="J559" s="53"/>
      <c r="K559" s="55"/>
      <c r="L559" s="41"/>
    </row>
    <row r="560">
      <c r="B560" s="41"/>
      <c r="C560" s="41"/>
      <c r="D560" s="41"/>
      <c r="E560" s="41"/>
      <c r="F560" s="41"/>
      <c r="G560" s="41"/>
      <c r="H560" s="41"/>
      <c r="I560" s="41"/>
      <c r="J560" s="53"/>
      <c r="K560" s="55"/>
      <c r="L560" s="41"/>
    </row>
    <row r="561">
      <c r="B561" s="41"/>
      <c r="C561" s="41"/>
      <c r="D561" s="41"/>
      <c r="E561" s="41"/>
      <c r="F561" s="41"/>
      <c r="G561" s="41"/>
      <c r="H561" s="41"/>
      <c r="I561" s="41"/>
      <c r="J561" s="53"/>
      <c r="K561" s="55"/>
      <c r="L561" s="41"/>
    </row>
    <row r="562">
      <c r="B562" s="41"/>
      <c r="C562" s="41"/>
      <c r="D562" s="41"/>
      <c r="E562" s="41"/>
      <c r="F562" s="41"/>
      <c r="G562" s="41"/>
      <c r="H562" s="41"/>
      <c r="I562" s="41"/>
      <c r="J562" s="53"/>
      <c r="K562" s="55"/>
      <c r="L562" s="41"/>
    </row>
    <row r="563">
      <c r="B563" s="41"/>
      <c r="C563" s="41"/>
      <c r="D563" s="41"/>
      <c r="E563" s="41"/>
      <c r="F563" s="41"/>
      <c r="G563" s="41"/>
      <c r="H563" s="41"/>
      <c r="I563" s="41"/>
      <c r="J563" s="53"/>
      <c r="K563" s="55"/>
      <c r="L563" s="41"/>
    </row>
    <row r="564">
      <c r="B564" s="41"/>
      <c r="C564" s="41"/>
      <c r="D564" s="41"/>
      <c r="E564" s="41"/>
      <c r="F564" s="41"/>
      <c r="G564" s="41"/>
      <c r="H564" s="41"/>
      <c r="I564" s="41"/>
      <c r="J564" s="53"/>
      <c r="K564" s="55"/>
      <c r="L564" s="41"/>
    </row>
    <row r="565">
      <c r="B565" s="41"/>
      <c r="C565" s="41"/>
      <c r="D565" s="41"/>
      <c r="E565" s="41"/>
      <c r="F565" s="41"/>
      <c r="G565" s="41"/>
      <c r="H565" s="41"/>
      <c r="I565" s="41"/>
      <c r="J565" s="53"/>
      <c r="K565" s="55"/>
      <c r="L565" s="41"/>
    </row>
    <row r="566">
      <c r="B566" s="41"/>
      <c r="C566" s="41"/>
      <c r="D566" s="41"/>
      <c r="E566" s="41"/>
      <c r="F566" s="41"/>
      <c r="G566" s="41"/>
      <c r="H566" s="41"/>
      <c r="I566" s="41"/>
      <c r="J566" s="53"/>
      <c r="K566" s="55"/>
      <c r="L566" s="41"/>
    </row>
  </sheetData>
  <autoFilter ref="$O$20:$AQ$420">
    <sortState ref="O20:AQ420">
      <sortCondition descending="1" ref="S20:S42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v>
      </c>
      <c r="B1" s="6" t="s">
        <v>2</v>
      </c>
      <c r="C1" s="7" t="s">
        <v>3</v>
      </c>
      <c r="D1" s="7" t="s">
        <v>4</v>
      </c>
      <c r="E1" s="7" t="s">
        <v>5</v>
      </c>
      <c r="F1" s="7" t="s">
        <v>6</v>
      </c>
      <c r="G1" s="7" t="s">
        <v>7</v>
      </c>
      <c r="H1" s="7" t="s">
        <v>8</v>
      </c>
      <c r="I1" s="7" t="s">
        <v>9</v>
      </c>
      <c r="J1" s="9">
        <v>0.625</v>
      </c>
      <c r="K1" s="7" t="s">
        <v>11</v>
      </c>
      <c r="L1" s="7" t="s">
        <v>12</v>
      </c>
      <c r="M1" s="7" t="s">
        <v>14</v>
      </c>
      <c r="N1" s="7" t="s">
        <v>15</v>
      </c>
      <c r="O1" s="7" t="s">
        <v>16</v>
      </c>
      <c r="P1" s="7" t="s">
        <v>17</v>
      </c>
      <c r="Q1" s="7" t="s">
        <v>18</v>
      </c>
    </row>
    <row r="2">
      <c r="A2" s="12">
        <v>1.0</v>
      </c>
      <c r="B2" s="12">
        <v>2.0</v>
      </c>
      <c r="C2" s="22" t="s">
        <v>21</v>
      </c>
      <c r="D2" s="12" t="s">
        <v>34</v>
      </c>
      <c r="E2" s="12" t="s">
        <v>35</v>
      </c>
      <c r="F2" s="12">
        <v>70.0</v>
      </c>
      <c r="G2" s="12">
        <v>31.1</v>
      </c>
      <c r="H2" s="12" t="s">
        <v>36</v>
      </c>
      <c r="I2" s="12" t="s">
        <v>37</v>
      </c>
      <c r="J2" s="12">
        <v>2.0</v>
      </c>
      <c r="K2" s="12">
        <v>24.1</v>
      </c>
      <c r="L2" s="12">
        <v>11.6</v>
      </c>
      <c r="M2" s="12">
        <v>4.4</v>
      </c>
      <c r="N2" s="12">
        <v>1.4</v>
      </c>
      <c r="O2" s="12">
        <v>3.9</v>
      </c>
      <c r="P2" s="12">
        <v>3.4</v>
      </c>
      <c r="Q2" s="12">
        <v>13.88</v>
      </c>
    </row>
    <row r="3">
      <c r="A3" s="12">
        <v>2.0</v>
      </c>
      <c r="B3" s="12">
        <v>2.4</v>
      </c>
      <c r="C3" s="22" t="s">
        <v>38</v>
      </c>
      <c r="D3" s="12" t="s">
        <v>34</v>
      </c>
      <c r="E3" s="12" t="s">
        <v>40</v>
      </c>
      <c r="F3" s="12">
        <v>75.0</v>
      </c>
      <c r="G3" s="12">
        <v>34.1</v>
      </c>
      <c r="H3" s="12" t="s">
        <v>41</v>
      </c>
      <c r="I3" s="12" t="s">
        <v>42</v>
      </c>
      <c r="J3" s="12">
        <v>1.1</v>
      </c>
      <c r="K3" s="12">
        <v>26.7</v>
      </c>
      <c r="L3" s="12">
        <v>12.1</v>
      </c>
      <c r="M3" s="12">
        <v>9.0</v>
      </c>
      <c r="N3" s="12">
        <v>1.4</v>
      </c>
      <c r="O3" s="12">
        <v>0.9</v>
      </c>
      <c r="P3" s="12">
        <v>3.0</v>
      </c>
      <c r="Q3" s="12">
        <v>13.86</v>
      </c>
    </row>
    <row r="4">
      <c r="A4" s="12">
        <v>3.0</v>
      </c>
      <c r="B4" s="12">
        <v>4.5</v>
      </c>
      <c r="C4" s="22" t="s">
        <v>43</v>
      </c>
      <c r="D4" s="12" t="s">
        <v>44</v>
      </c>
      <c r="E4" s="12" t="s">
        <v>45</v>
      </c>
      <c r="F4" s="12">
        <v>73.0</v>
      </c>
      <c r="G4" s="12">
        <v>33.5</v>
      </c>
      <c r="H4" s="12" t="s">
        <v>46</v>
      </c>
      <c r="I4" s="12" t="s">
        <v>47</v>
      </c>
      <c r="J4" s="12">
        <v>1.4</v>
      </c>
      <c r="K4" s="12">
        <v>29.9</v>
      </c>
      <c r="L4" s="12">
        <v>5.1</v>
      </c>
      <c r="M4" s="12">
        <v>6.5</v>
      </c>
      <c r="N4" s="12">
        <v>1.9</v>
      </c>
      <c r="O4" s="12">
        <v>0.9</v>
      </c>
      <c r="P4" s="12">
        <v>2.4</v>
      </c>
      <c r="Q4" s="12">
        <v>13.33</v>
      </c>
    </row>
    <row r="5">
      <c r="A5" s="12">
        <v>4.0</v>
      </c>
      <c r="B5" s="12">
        <v>3.8</v>
      </c>
      <c r="C5" s="22" t="s">
        <v>48</v>
      </c>
      <c r="D5" s="12" t="s">
        <v>56</v>
      </c>
      <c r="E5" s="12" t="s">
        <v>57</v>
      </c>
      <c r="F5" s="12">
        <v>68.0</v>
      </c>
      <c r="G5" s="12">
        <v>36.8</v>
      </c>
      <c r="H5" s="12" t="s">
        <v>58</v>
      </c>
      <c r="I5" s="12" t="s">
        <v>59</v>
      </c>
      <c r="J5" s="12">
        <v>4.1</v>
      </c>
      <c r="K5" s="12">
        <v>34.4</v>
      </c>
      <c r="L5" s="12">
        <v>9.3</v>
      </c>
      <c r="M5" s="12">
        <v>9.9</v>
      </c>
      <c r="N5" s="12">
        <v>1.4</v>
      </c>
      <c r="O5" s="12">
        <v>0.5</v>
      </c>
      <c r="P5" s="12">
        <v>3.8</v>
      </c>
      <c r="Q5" s="12">
        <v>12.97</v>
      </c>
    </row>
    <row r="6">
      <c r="A6" s="12">
        <v>5.0</v>
      </c>
      <c r="B6" s="12">
        <v>7.4</v>
      </c>
      <c r="C6" s="22" t="s">
        <v>61</v>
      </c>
      <c r="D6" s="12" t="s">
        <v>62</v>
      </c>
      <c r="E6" s="12" t="s">
        <v>63</v>
      </c>
      <c r="F6" s="12">
        <v>67.0</v>
      </c>
      <c r="G6" s="12">
        <v>34.5</v>
      </c>
      <c r="H6" s="12" t="s">
        <v>64</v>
      </c>
      <c r="I6" s="12" t="s">
        <v>65</v>
      </c>
      <c r="J6" s="12">
        <v>0.4</v>
      </c>
      <c r="K6" s="12">
        <v>25.2</v>
      </c>
      <c r="L6" s="12">
        <v>12.7</v>
      </c>
      <c r="M6" s="12">
        <v>3.6</v>
      </c>
      <c r="N6" s="12">
        <v>1.2</v>
      </c>
      <c r="O6" s="12">
        <v>2.3</v>
      </c>
      <c r="P6" s="12">
        <v>2.1</v>
      </c>
      <c r="Q6" s="12">
        <v>11.91</v>
      </c>
    </row>
    <row r="7">
      <c r="A7" s="12">
        <v>6.0</v>
      </c>
      <c r="B7" s="12">
        <v>9.6</v>
      </c>
      <c r="C7" s="22" t="s">
        <v>66</v>
      </c>
      <c r="D7" s="12" t="s">
        <v>34</v>
      </c>
      <c r="E7" s="12" t="s">
        <v>67</v>
      </c>
      <c r="F7" s="12">
        <v>60.0</v>
      </c>
      <c r="G7" s="12">
        <v>31.4</v>
      </c>
      <c r="H7" s="12" t="s">
        <v>68</v>
      </c>
      <c r="I7" s="12" t="s">
        <v>69</v>
      </c>
      <c r="J7" s="12">
        <v>1.3</v>
      </c>
      <c r="K7" s="12">
        <v>28.1</v>
      </c>
      <c r="L7" s="12">
        <v>10.0</v>
      </c>
      <c r="M7" s="12">
        <v>3.9</v>
      </c>
      <c r="N7" s="12">
        <v>0.9</v>
      </c>
      <c r="O7" s="12">
        <v>1.4</v>
      </c>
      <c r="P7" s="12">
        <v>3.3</v>
      </c>
      <c r="Q7" s="12">
        <v>11.32</v>
      </c>
    </row>
    <row r="8">
      <c r="A8" s="12">
        <v>7.0</v>
      </c>
      <c r="B8" s="12">
        <v>6.7</v>
      </c>
      <c r="C8" s="22" t="s">
        <v>70</v>
      </c>
      <c r="D8" s="12" t="s">
        <v>62</v>
      </c>
      <c r="E8" s="12" t="s">
        <v>74</v>
      </c>
      <c r="F8" s="12">
        <v>71.0</v>
      </c>
      <c r="G8" s="12">
        <v>34.6</v>
      </c>
      <c r="H8" s="12" t="s">
        <v>75</v>
      </c>
      <c r="I8" s="12" t="s">
        <v>76</v>
      </c>
      <c r="J8" s="12">
        <v>0.6</v>
      </c>
      <c r="K8" s="12">
        <v>31.1</v>
      </c>
      <c r="L8" s="12">
        <v>11.8</v>
      </c>
      <c r="M8" s="12">
        <v>6.7</v>
      </c>
      <c r="N8" s="12">
        <v>1.2</v>
      </c>
      <c r="O8" s="12">
        <v>1.1</v>
      </c>
      <c r="P8" s="12">
        <v>3.4</v>
      </c>
      <c r="Q8" s="12">
        <v>9.77</v>
      </c>
    </row>
    <row r="9">
      <c r="A9" s="12">
        <v>8.0</v>
      </c>
      <c r="B9" s="12">
        <v>8.4</v>
      </c>
      <c r="C9" s="22" t="s">
        <v>77</v>
      </c>
      <c r="D9" s="12" t="s">
        <v>56</v>
      </c>
      <c r="E9" s="12" t="s">
        <v>89</v>
      </c>
      <c r="F9" s="12">
        <v>69.0</v>
      </c>
      <c r="G9" s="12">
        <v>33.6</v>
      </c>
      <c r="H9" s="12" t="s">
        <v>90</v>
      </c>
      <c r="I9" s="12" t="s">
        <v>91</v>
      </c>
      <c r="J9" s="12">
        <v>3.0</v>
      </c>
      <c r="K9" s="12">
        <v>21.1</v>
      </c>
      <c r="L9" s="12">
        <v>3.9</v>
      </c>
      <c r="M9" s="12">
        <v>11.1</v>
      </c>
      <c r="N9" s="12">
        <v>1.4</v>
      </c>
      <c r="O9" s="12">
        <v>0.7</v>
      </c>
      <c r="P9" s="12">
        <v>2.5</v>
      </c>
      <c r="Q9" s="12">
        <v>9.51</v>
      </c>
    </row>
    <row r="10">
      <c r="A10" s="12">
        <v>9.0</v>
      </c>
      <c r="B10" s="12">
        <v>12.5</v>
      </c>
      <c r="C10" s="22" t="s">
        <v>92</v>
      </c>
      <c r="D10" s="12" t="s">
        <v>44</v>
      </c>
      <c r="E10" s="12" t="s">
        <v>93</v>
      </c>
      <c r="F10" s="12">
        <v>72.0</v>
      </c>
      <c r="G10" s="12">
        <v>35.2</v>
      </c>
      <c r="H10" s="12" t="s">
        <v>94</v>
      </c>
      <c r="I10" s="12" t="s">
        <v>95</v>
      </c>
      <c r="J10" s="12">
        <v>3.4</v>
      </c>
      <c r="K10" s="12">
        <v>28.1</v>
      </c>
      <c r="L10" s="12">
        <v>2.9</v>
      </c>
      <c r="M10" s="12">
        <v>10.8</v>
      </c>
      <c r="N10" s="12">
        <v>1.2</v>
      </c>
      <c r="O10" s="12">
        <v>0.2</v>
      </c>
      <c r="P10" s="12">
        <v>4.2</v>
      </c>
      <c r="Q10" s="12">
        <v>8.65</v>
      </c>
    </row>
    <row r="11">
      <c r="A11" s="12">
        <v>10.0</v>
      </c>
      <c r="B11" s="12">
        <v>9.5</v>
      </c>
      <c r="C11" s="22" t="s">
        <v>96</v>
      </c>
      <c r="D11" s="12" t="s">
        <v>97</v>
      </c>
      <c r="E11" s="12" t="s">
        <v>98</v>
      </c>
      <c r="F11" s="12">
        <v>75.0</v>
      </c>
      <c r="G11" s="12">
        <v>35.8</v>
      </c>
      <c r="H11" s="12" t="s">
        <v>99</v>
      </c>
      <c r="I11" s="12" t="s">
        <v>100</v>
      </c>
      <c r="J11" s="12">
        <v>2.9</v>
      </c>
      <c r="K11" s="12">
        <v>27.9</v>
      </c>
      <c r="L11" s="12">
        <v>9.0</v>
      </c>
      <c r="M11" s="12">
        <v>5.1</v>
      </c>
      <c r="N11" s="12">
        <v>1.1</v>
      </c>
      <c r="O11" s="12">
        <v>0.7</v>
      </c>
      <c r="P11" s="12">
        <v>2.5</v>
      </c>
      <c r="Q11" s="12">
        <v>8.57</v>
      </c>
    </row>
    <row r="12">
      <c r="A12" s="12">
        <v>11.0</v>
      </c>
      <c r="B12" s="12">
        <v>16.2</v>
      </c>
      <c r="C12" s="22" t="s">
        <v>101</v>
      </c>
      <c r="D12" s="12" t="s">
        <v>56</v>
      </c>
      <c r="E12" s="12" t="s">
        <v>102</v>
      </c>
      <c r="F12" s="12">
        <v>68.0</v>
      </c>
      <c r="G12" s="12">
        <v>34.5</v>
      </c>
      <c r="H12" s="12" t="s">
        <v>103</v>
      </c>
      <c r="I12" s="12" t="s">
        <v>104</v>
      </c>
      <c r="J12" s="12">
        <v>2.8</v>
      </c>
      <c r="K12" s="12">
        <v>20.4</v>
      </c>
      <c r="L12" s="12">
        <v>6.1</v>
      </c>
      <c r="M12" s="12">
        <v>10.4</v>
      </c>
      <c r="N12" s="12">
        <v>1.1</v>
      </c>
      <c r="O12" s="12">
        <v>0.7</v>
      </c>
      <c r="P12" s="12">
        <v>2.9</v>
      </c>
      <c r="Q12" s="12">
        <v>8.34</v>
      </c>
    </row>
    <row r="13">
      <c r="A13" s="12">
        <v>12.0</v>
      </c>
      <c r="B13" s="12">
        <v>12.4</v>
      </c>
      <c r="C13" s="22" t="s">
        <v>105</v>
      </c>
      <c r="D13" s="12" t="s">
        <v>56</v>
      </c>
      <c r="E13" s="12" t="s">
        <v>106</v>
      </c>
      <c r="F13" s="12">
        <v>68.0</v>
      </c>
      <c r="G13" s="12">
        <v>31.4</v>
      </c>
      <c r="H13" s="12" t="s">
        <v>107</v>
      </c>
      <c r="I13" s="12" t="s">
        <v>108</v>
      </c>
      <c r="J13" s="12">
        <v>4.8</v>
      </c>
      <c r="K13" s="12">
        <v>26.4</v>
      </c>
      <c r="L13" s="12">
        <v>4.5</v>
      </c>
      <c r="M13" s="12">
        <v>5.3</v>
      </c>
      <c r="N13" s="12">
        <v>0.8</v>
      </c>
      <c r="O13" s="12">
        <v>0.4</v>
      </c>
      <c r="P13" s="12">
        <v>2.8</v>
      </c>
      <c r="Q13" s="12">
        <v>8.16</v>
      </c>
    </row>
    <row r="14">
      <c r="A14" s="12">
        <v>13.0</v>
      </c>
      <c r="B14" s="12">
        <v>17.0</v>
      </c>
      <c r="C14" s="22" t="s">
        <v>109</v>
      </c>
      <c r="D14" s="12" t="s">
        <v>56</v>
      </c>
      <c r="E14" s="12" t="s">
        <v>110</v>
      </c>
      <c r="F14" s="12">
        <v>67.0</v>
      </c>
      <c r="G14" s="12">
        <v>33.7</v>
      </c>
      <c r="H14" s="12" t="s">
        <v>111</v>
      </c>
      <c r="I14" s="12" t="s">
        <v>112</v>
      </c>
      <c r="J14" s="12">
        <v>3.3</v>
      </c>
      <c r="K14" s="12">
        <v>26.2</v>
      </c>
      <c r="L14" s="12">
        <v>4.4</v>
      </c>
      <c r="M14" s="12">
        <v>5.4</v>
      </c>
      <c r="N14" s="12">
        <v>1.6</v>
      </c>
      <c r="O14" s="12">
        <v>0.4</v>
      </c>
      <c r="P14" s="12">
        <v>2.8</v>
      </c>
      <c r="Q14" s="12">
        <v>7.78</v>
      </c>
    </row>
    <row r="15">
      <c r="A15" s="12">
        <v>14.0</v>
      </c>
      <c r="B15" s="12">
        <v>26.6</v>
      </c>
      <c r="C15" s="22" t="s">
        <v>113</v>
      </c>
      <c r="D15" s="12" t="s">
        <v>56</v>
      </c>
      <c r="E15" s="12" t="s">
        <v>57</v>
      </c>
      <c r="F15" s="12">
        <v>61.0</v>
      </c>
      <c r="G15" s="12">
        <v>34.8</v>
      </c>
      <c r="H15" s="12" t="s">
        <v>115</v>
      </c>
      <c r="I15" s="12" t="s">
        <v>116</v>
      </c>
      <c r="J15" s="12">
        <v>3.0</v>
      </c>
      <c r="K15" s="12">
        <v>24.6</v>
      </c>
      <c r="L15" s="12">
        <v>4.9</v>
      </c>
      <c r="M15" s="12">
        <v>5.2</v>
      </c>
      <c r="N15" s="12">
        <v>1.2</v>
      </c>
      <c r="O15" s="12">
        <v>0.6</v>
      </c>
      <c r="P15" s="12">
        <v>1.8</v>
      </c>
      <c r="Q15" s="12">
        <v>7.76</v>
      </c>
    </row>
    <row r="16">
      <c r="A16" s="12">
        <v>15.0</v>
      </c>
      <c r="B16" s="12">
        <v>18.3</v>
      </c>
      <c r="C16" s="22" t="s">
        <v>117</v>
      </c>
      <c r="D16" s="12" t="s">
        <v>97</v>
      </c>
      <c r="E16" s="12" t="s">
        <v>118</v>
      </c>
      <c r="F16" s="12">
        <v>65.0</v>
      </c>
      <c r="G16" s="12">
        <v>35.2</v>
      </c>
      <c r="H16" s="12" t="s">
        <v>119</v>
      </c>
      <c r="I16" s="12" t="s">
        <v>120</v>
      </c>
      <c r="J16" s="12">
        <v>2.1</v>
      </c>
      <c r="K16" s="12">
        <v>25.7</v>
      </c>
      <c r="L16" s="12">
        <v>6.4</v>
      </c>
      <c r="M16" s="12">
        <v>4.8</v>
      </c>
      <c r="N16" s="12">
        <v>0.8</v>
      </c>
      <c r="O16" s="12">
        <v>1.2</v>
      </c>
      <c r="P16" s="12">
        <v>3.2</v>
      </c>
      <c r="Q16" s="12">
        <v>7.55</v>
      </c>
    </row>
    <row r="17">
      <c r="A17" s="12">
        <v>16.0</v>
      </c>
      <c r="B17" s="12">
        <v>24.2</v>
      </c>
      <c r="C17" s="22" t="s">
        <v>121</v>
      </c>
      <c r="D17" s="12" t="s">
        <v>97</v>
      </c>
      <c r="E17" s="12" t="s">
        <v>63</v>
      </c>
      <c r="F17" s="12">
        <v>67.0</v>
      </c>
      <c r="G17" s="12">
        <v>34.0</v>
      </c>
      <c r="H17" s="12" t="s">
        <v>122</v>
      </c>
      <c r="I17" s="12" t="s">
        <v>123</v>
      </c>
      <c r="J17" s="12">
        <v>2.1</v>
      </c>
      <c r="K17" s="12">
        <v>25.2</v>
      </c>
      <c r="L17" s="12">
        <v>7.2</v>
      </c>
      <c r="M17" s="12">
        <v>8.2</v>
      </c>
      <c r="N17" s="12">
        <v>1.1</v>
      </c>
      <c r="O17" s="12">
        <v>0.5</v>
      </c>
      <c r="P17" s="12">
        <v>3.3</v>
      </c>
      <c r="Q17" s="12">
        <v>7.39</v>
      </c>
    </row>
    <row r="18">
      <c r="A18" s="12">
        <v>17.0</v>
      </c>
      <c r="B18" s="12">
        <v>19.0</v>
      </c>
      <c r="C18" s="22" t="s">
        <v>124</v>
      </c>
      <c r="D18" s="12" t="s">
        <v>125</v>
      </c>
      <c r="E18" s="12" t="s">
        <v>126</v>
      </c>
      <c r="F18" s="12">
        <v>70.0</v>
      </c>
      <c r="G18" s="12">
        <v>34.8</v>
      </c>
      <c r="H18" s="12" t="s">
        <v>127</v>
      </c>
      <c r="I18" s="12" t="s">
        <v>128</v>
      </c>
      <c r="J18" s="12">
        <v>1.7</v>
      </c>
      <c r="K18" s="12">
        <v>19.1</v>
      </c>
      <c r="L18" s="12">
        <v>8.3</v>
      </c>
      <c r="M18" s="12">
        <v>6.0</v>
      </c>
      <c r="N18" s="12">
        <v>1.3</v>
      </c>
      <c r="O18" s="12">
        <v>1.5</v>
      </c>
      <c r="P18" s="12">
        <v>2.4</v>
      </c>
      <c r="Q18" s="12">
        <v>7.17</v>
      </c>
    </row>
    <row r="19">
      <c r="A19" s="12">
        <v>18.0</v>
      </c>
      <c r="B19" s="12">
        <v>24.3</v>
      </c>
      <c r="C19" s="22" t="s">
        <v>129</v>
      </c>
      <c r="D19" s="12" t="s">
        <v>44</v>
      </c>
      <c r="E19" s="12" t="s">
        <v>74</v>
      </c>
      <c r="F19" s="12">
        <v>70.0</v>
      </c>
      <c r="G19" s="12">
        <v>35.2</v>
      </c>
      <c r="H19" s="12" t="s">
        <v>130</v>
      </c>
      <c r="I19" s="12" t="s">
        <v>131</v>
      </c>
      <c r="J19" s="12">
        <v>3.1</v>
      </c>
      <c r="K19" s="12">
        <v>24.9</v>
      </c>
      <c r="L19" s="12">
        <v>4.5</v>
      </c>
      <c r="M19" s="12">
        <v>7.1</v>
      </c>
      <c r="N19" s="12">
        <v>0.9</v>
      </c>
      <c r="O19" s="12">
        <v>0.3</v>
      </c>
      <c r="P19" s="12">
        <v>2.9</v>
      </c>
      <c r="Q19" s="12">
        <v>7.12</v>
      </c>
    </row>
    <row r="20">
      <c r="A20" s="12">
        <v>19.0</v>
      </c>
      <c r="B20" s="12">
        <v>20.0</v>
      </c>
      <c r="C20" s="22" t="s">
        <v>132</v>
      </c>
      <c r="D20" s="12" t="s">
        <v>56</v>
      </c>
      <c r="E20" s="12" t="s">
        <v>118</v>
      </c>
      <c r="F20" s="12">
        <v>68.0</v>
      </c>
      <c r="G20" s="12">
        <v>35.1</v>
      </c>
      <c r="H20" s="12" t="s">
        <v>133</v>
      </c>
      <c r="I20" s="12" t="s">
        <v>134</v>
      </c>
      <c r="J20" s="12">
        <v>2.2</v>
      </c>
      <c r="K20" s="12">
        <v>27.8</v>
      </c>
      <c r="L20" s="12">
        <v>4.5</v>
      </c>
      <c r="M20" s="12">
        <v>5.5</v>
      </c>
      <c r="N20" s="12">
        <v>1.0</v>
      </c>
      <c r="O20" s="12">
        <v>0.4</v>
      </c>
      <c r="P20" s="12">
        <v>2.7</v>
      </c>
      <c r="Q20" s="12">
        <v>7.1</v>
      </c>
    </row>
    <row r="21">
      <c r="A21" s="12">
        <v>20.0</v>
      </c>
      <c r="B21" s="12">
        <v>22.3</v>
      </c>
      <c r="C21" s="22" t="s">
        <v>135</v>
      </c>
      <c r="D21" s="12" t="s">
        <v>56</v>
      </c>
      <c r="E21" s="12" t="s">
        <v>136</v>
      </c>
      <c r="F21" s="12">
        <v>58.0</v>
      </c>
      <c r="G21" s="12">
        <v>32.4</v>
      </c>
      <c r="H21" s="12" t="s">
        <v>137</v>
      </c>
      <c r="I21" s="12" t="s">
        <v>138</v>
      </c>
      <c r="J21" s="12">
        <v>3.6</v>
      </c>
      <c r="K21" s="12">
        <v>23.2</v>
      </c>
      <c r="L21" s="12">
        <v>5.7</v>
      </c>
      <c r="M21" s="12">
        <v>8.6</v>
      </c>
      <c r="N21" s="12">
        <v>1.6</v>
      </c>
      <c r="O21" s="12">
        <v>0.3</v>
      </c>
      <c r="P21" s="12">
        <v>3.5</v>
      </c>
      <c r="Q21" s="12">
        <v>7.04</v>
      </c>
    </row>
    <row r="22">
      <c r="A22" s="12">
        <v>21.0</v>
      </c>
      <c r="B22" s="12">
        <v>22.1</v>
      </c>
      <c r="C22" s="22" t="s">
        <v>139</v>
      </c>
      <c r="D22" s="12" t="s">
        <v>62</v>
      </c>
      <c r="E22" s="12" t="s">
        <v>140</v>
      </c>
      <c r="F22" s="12">
        <v>67.0</v>
      </c>
      <c r="G22" s="12">
        <v>33.7</v>
      </c>
      <c r="H22" s="12" t="s">
        <v>141</v>
      </c>
      <c r="I22" s="12" t="s">
        <v>142</v>
      </c>
      <c r="J22" s="12">
        <v>2.2</v>
      </c>
      <c r="K22" s="12">
        <v>21.4</v>
      </c>
      <c r="L22" s="12">
        <v>9.5</v>
      </c>
      <c r="M22" s="12">
        <v>3.3</v>
      </c>
      <c r="N22" s="12">
        <v>0.7</v>
      </c>
      <c r="O22" s="12">
        <v>1.0</v>
      </c>
      <c r="P22" s="12">
        <v>2.9</v>
      </c>
      <c r="Q22" s="12">
        <v>6.77</v>
      </c>
    </row>
    <row r="23">
      <c r="A23" s="12">
        <v>22.0</v>
      </c>
      <c r="B23" s="12">
        <v>14.6</v>
      </c>
      <c r="C23" s="22" t="s">
        <v>143</v>
      </c>
      <c r="D23" s="12" t="s">
        <v>34</v>
      </c>
      <c r="E23" s="12" t="s">
        <v>144</v>
      </c>
      <c r="F23" s="12">
        <v>77.0</v>
      </c>
      <c r="G23" s="12">
        <v>35.6</v>
      </c>
      <c r="H23" s="12" t="s">
        <v>145</v>
      </c>
      <c r="I23" s="12" t="s">
        <v>146</v>
      </c>
      <c r="J23" s="12">
        <v>0.4</v>
      </c>
      <c r="K23" s="12">
        <v>18.8</v>
      </c>
      <c r="L23" s="12">
        <v>13.2</v>
      </c>
      <c r="M23" s="12">
        <v>7.9</v>
      </c>
      <c r="N23" s="12">
        <v>0.9</v>
      </c>
      <c r="O23" s="12">
        <v>0.6</v>
      </c>
      <c r="P23" s="12">
        <v>3.2</v>
      </c>
      <c r="Q23" s="12">
        <v>6.65</v>
      </c>
    </row>
    <row r="24">
      <c r="A24" s="12">
        <v>23.0</v>
      </c>
      <c r="B24" s="12">
        <v>30.1</v>
      </c>
      <c r="C24" s="22" t="s">
        <v>147</v>
      </c>
      <c r="D24" s="12" t="s">
        <v>97</v>
      </c>
      <c r="E24" s="12" t="s">
        <v>148</v>
      </c>
      <c r="F24" s="12">
        <v>64.0</v>
      </c>
      <c r="G24" s="12">
        <v>33.5</v>
      </c>
      <c r="H24" s="12" t="s">
        <v>149</v>
      </c>
      <c r="I24" s="12" t="s">
        <v>150</v>
      </c>
      <c r="J24" s="12">
        <v>3.1</v>
      </c>
      <c r="K24" s="12">
        <v>24.5</v>
      </c>
      <c r="L24" s="12">
        <v>8.4</v>
      </c>
      <c r="M24" s="12">
        <v>1.9</v>
      </c>
      <c r="N24" s="12">
        <v>0.8</v>
      </c>
      <c r="O24" s="12">
        <v>0.5</v>
      </c>
      <c r="P24" s="12">
        <v>1.7</v>
      </c>
      <c r="Q24" s="12">
        <v>6.58</v>
      </c>
    </row>
    <row r="25">
      <c r="A25" s="12">
        <v>24.0</v>
      </c>
      <c r="B25" s="12">
        <v>17.6</v>
      </c>
      <c r="C25" s="22" t="s">
        <v>151</v>
      </c>
      <c r="D25" s="12" t="s">
        <v>62</v>
      </c>
      <c r="E25" s="12" t="s">
        <v>45</v>
      </c>
      <c r="F25" s="12">
        <v>75.0</v>
      </c>
      <c r="G25" s="12">
        <v>30.6</v>
      </c>
      <c r="H25" s="12" t="s">
        <v>152</v>
      </c>
      <c r="I25" s="12" t="s">
        <v>153</v>
      </c>
      <c r="J25" s="12">
        <v>1.7</v>
      </c>
      <c r="K25" s="12">
        <v>17.4</v>
      </c>
      <c r="L25" s="12">
        <v>8.1</v>
      </c>
      <c r="M25" s="12">
        <v>2.6</v>
      </c>
      <c r="N25" s="12">
        <v>0.7</v>
      </c>
      <c r="O25" s="12">
        <v>2.3</v>
      </c>
      <c r="P25" s="12">
        <v>1.7</v>
      </c>
      <c r="Q25" s="12">
        <v>6.47</v>
      </c>
    </row>
    <row r="26">
      <c r="A26" s="12">
        <v>25.0</v>
      </c>
      <c r="B26" s="12">
        <v>19.1</v>
      </c>
      <c r="C26" s="22" t="s">
        <v>154</v>
      </c>
      <c r="D26" s="12" t="s">
        <v>44</v>
      </c>
      <c r="E26" s="12" t="s">
        <v>140</v>
      </c>
      <c r="F26" s="12">
        <v>74.0</v>
      </c>
      <c r="G26" s="12">
        <v>34.9</v>
      </c>
      <c r="H26" s="12" t="s">
        <v>155</v>
      </c>
      <c r="I26" s="12" t="s">
        <v>156</v>
      </c>
      <c r="J26" s="12">
        <v>2.7</v>
      </c>
      <c r="K26" s="12">
        <v>27.7</v>
      </c>
      <c r="L26" s="12">
        <v>3.7</v>
      </c>
      <c r="M26" s="12">
        <v>7.0</v>
      </c>
      <c r="N26" s="12">
        <v>0.9</v>
      </c>
      <c r="O26" s="12">
        <v>0.2</v>
      </c>
      <c r="P26" s="12">
        <v>2.3</v>
      </c>
      <c r="Q26" s="12">
        <v>6.03</v>
      </c>
    </row>
    <row r="27">
      <c r="A27" s="12">
        <v>26.0</v>
      </c>
      <c r="B27" s="12">
        <v>10.1</v>
      </c>
      <c r="C27" s="22" t="s">
        <v>157</v>
      </c>
      <c r="D27" s="12" t="s">
        <v>158</v>
      </c>
      <c r="E27" s="12" t="s">
        <v>159</v>
      </c>
      <c r="F27" s="12">
        <v>79.0</v>
      </c>
      <c r="G27" s="12">
        <v>35.4</v>
      </c>
      <c r="H27" s="12" t="s">
        <v>160</v>
      </c>
      <c r="I27" s="12" t="s">
        <v>161</v>
      </c>
      <c r="J27" s="12">
        <v>2.5</v>
      </c>
      <c r="K27" s="12">
        <v>26.2</v>
      </c>
      <c r="L27" s="12">
        <v>5.5</v>
      </c>
      <c r="M27" s="12">
        <v>5.2</v>
      </c>
      <c r="N27" s="12">
        <v>1.4</v>
      </c>
      <c r="O27" s="12">
        <v>0.7</v>
      </c>
      <c r="P27" s="12">
        <v>3.1</v>
      </c>
      <c r="Q27" s="12">
        <v>5.96</v>
      </c>
    </row>
    <row r="28">
      <c r="A28" s="12">
        <v>27.0</v>
      </c>
      <c r="B28" s="12">
        <v>32.1</v>
      </c>
      <c r="C28" s="22" t="s">
        <v>162</v>
      </c>
      <c r="D28" s="12" t="s">
        <v>125</v>
      </c>
      <c r="E28" s="12" t="s">
        <v>67</v>
      </c>
      <c r="F28" s="12">
        <v>60.0</v>
      </c>
      <c r="G28" s="12">
        <v>33.0</v>
      </c>
      <c r="H28" s="12" t="s">
        <v>163</v>
      </c>
      <c r="I28" s="12" t="s">
        <v>164</v>
      </c>
      <c r="J28" s="12">
        <v>3.0</v>
      </c>
      <c r="K28" s="12">
        <v>22.1</v>
      </c>
      <c r="L28" s="12">
        <v>5.0</v>
      </c>
      <c r="M28" s="12">
        <v>3.4</v>
      </c>
      <c r="N28" s="12">
        <v>1.4</v>
      </c>
      <c r="O28" s="12">
        <v>0.4</v>
      </c>
      <c r="P28" s="12">
        <v>2.4</v>
      </c>
      <c r="Q28" s="12">
        <v>5.66</v>
      </c>
    </row>
    <row r="29">
      <c r="A29" s="12">
        <v>28.0</v>
      </c>
      <c r="B29" s="12">
        <v>36.0</v>
      </c>
      <c r="C29" s="22" t="s">
        <v>165</v>
      </c>
      <c r="D29" s="12" t="s">
        <v>125</v>
      </c>
      <c r="E29" s="12" t="s">
        <v>45</v>
      </c>
      <c r="F29" s="12">
        <v>73.0</v>
      </c>
      <c r="G29" s="12">
        <v>32.2</v>
      </c>
      <c r="H29" s="12" t="s">
        <v>166</v>
      </c>
      <c r="I29" s="12" t="s">
        <v>167</v>
      </c>
      <c r="J29" s="12">
        <v>1.7</v>
      </c>
      <c r="K29" s="12">
        <v>20.0</v>
      </c>
      <c r="L29" s="12">
        <v>4.6</v>
      </c>
      <c r="M29" s="12">
        <v>4.9</v>
      </c>
      <c r="N29" s="12">
        <v>1.2</v>
      </c>
      <c r="O29" s="12">
        <v>0.6</v>
      </c>
      <c r="P29" s="12">
        <v>1.8</v>
      </c>
      <c r="Q29" s="12">
        <v>5.2</v>
      </c>
    </row>
    <row r="30">
      <c r="A30" s="12">
        <v>29.0</v>
      </c>
      <c r="B30" s="12">
        <v>46.0</v>
      </c>
      <c r="C30" s="22" t="s">
        <v>168</v>
      </c>
      <c r="D30" s="12" t="s">
        <v>97</v>
      </c>
      <c r="E30" s="12" t="s">
        <v>169</v>
      </c>
      <c r="F30" s="12">
        <v>60.0</v>
      </c>
      <c r="G30" s="12">
        <v>33.1</v>
      </c>
      <c r="H30" s="12" t="s">
        <v>170</v>
      </c>
      <c r="I30" s="12" t="s">
        <v>171</v>
      </c>
      <c r="J30" s="12">
        <v>0.8</v>
      </c>
      <c r="K30" s="12">
        <v>20.7</v>
      </c>
      <c r="L30" s="12">
        <v>5.4</v>
      </c>
      <c r="M30" s="12">
        <v>5.1</v>
      </c>
      <c r="N30" s="12">
        <v>1.3</v>
      </c>
      <c r="O30" s="12">
        <v>0.3</v>
      </c>
      <c r="P30" s="12">
        <v>1.6</v>
      </c>
      <c r="Q30" s="12">
        <v>5.2</v>
      </c>
    </row>
    <row r="31">
      <c r="A31" s="12">
        <v>30.0</v>
      </c>
      <c r="B31" s="12">
        <v>37.3</v>
      </c>
      <c r="C31" s="22" t="s">
        <v>172</v>
      </c>
      <c r="D31" s="12" t="s">
        <v>62</v>
      </c>
      <c r="E31" s="12" t="s">
        <v>173</v>
      </c>
      <c r="F31" s="12">
        <v>68.0</v>
      </c>
      <c r="G31" s="12">
        <v>31.2</v>
      </c>
      <c r="H31" s="12" t="s">
        <v>174</v>
      </c>
      <c r="I31" s="12" t="s">
        <v>175</v>
      </c>
      <c r="J31" s="12">
        <v>1.7</v>
      </c>
      <c r="K31" s="12">
        <v>21.3</v>
      </c>
      <c r="L31" s="12">
        <v>6.3</v>
      </c>
      <c r="M31" s="12">
        <v>1.7</v>
      </c>
      <c r="N31" s="12">
        <v>1.2</v>
      </c>
      <c r="O31" s="12">
        <v>1.9</v>
      </c>
      <c r="P31" s="12">
        <v>2.1</v>
      </c>
      <c r="Q31" s="12">
        <v>4.97</v>
      </c>
    </row>
    <row r="32">
      <c r="A32" s="12">
        <v>31.0</v>
      </c>
      <c r="B32" s="12">
        <v>27.8</v>
      </c>
      <c r="C32" s="22" t="s">
        <v>176</v>
      </c>
      <c r="D32" s="12" t="s">
        <v>56</v>
      </c>
      <c r="E32" s="12" t="s">
        <v>67</v>
      </c>
      <c r="F32" s="12">
        <v>70.0</v>
      </c>
      <c r="G32" s="12">
        <v>36.2</v>
      </c>
      <c r="H32" s="12" t="s">
        <v>177</v>
      </c>
      <c r="I32" s="12" t="s">
        <v>178</v>
      </c>
      <c r="J32" s="12">
        <v>3.0</v>
      </c>
      <c r="K32" s="12">
        <v>24.4</v>
      </c>
      <c r="L32" s="12">
        <v>3.5</v>
      </c>
      <c r="M32" s="12">
        <v>5.9</v>
      </c>
      <c r="N32" s="12">
        <v>1.0</v>
      </c>
      <c r="O32" s="12">
        <v>0.3</v>
      </c>
      <c r="P32" s="12">
        <v>1.6</v>
      </c>
      <c r="Q32" s="12">
        <v>4.91</v>
      </c>
    </row>
    <row r="33">
      <c r="A33" s="12">
        <v>32.0</v>
      </c>
      <c r="B33" s="12">
        <v>38.4</v>
      </c>
      <c r="C33" s="22" t="s">
        <v>179</v>
      </c>
      <c r="D33" s="12" t="s">
        <v>44</v>
      </c>
      <c r="E33" s="12" t="s">
        <v>180</v>
      </c>
      <c r="F33" s="12">
        <v>70.0</v>
      </c>
      <c r="G33" s="12">
        <v>36.0</v>
      </c>
      <c r="H33" s="12" t="s">
        <v>181</v>
      </c>
      <c r="I33" s="12" t="s">
        <v>182</v>
      </c>
      <c r="J33" s="12">
        <v>2.9</v>
      </c>
      <c r="K33" s="12">
        <v>17.3</v>
      </c>
      <c r="L33" s="12">
        <v>3.7</v>
      </c>
      <c r="M33" s="12">
        <v>7.6</v>
      </c>
      <c r="N33" s="12">
        <v>1.4</v>
      </c>
      <c r="O33" s="12">
        <v>0.7</v>
      </c>
      <c r="P33" s="12">
        <v>1.8</v>
      </c>
      <c r="Q33" s="12">
        <v>4.73</v>
      </c>
    </row>
    <row r="34">
      <c r="A34" s="12">
        <v>33.0</v>
      </c>
      <c r="B34" s="12">
        <v>41.4</v>
      </c>
      <c r="C34" s="22" t="s">
        <v>183</v>
      </c>
      <c r="D34" s="12" t="s">
        <v>73</v>
      </c>
      <c r="E34" s="12" t="s">
        <v>93</v>
      </c>
      <c r="F34" s="12">
        <v>68.0</v>
      </c>
      <c r="G34" s="12">
        <v>34.2</v>
      </c>
      <c r="H34" s="12" t="s">
        <v>184</v>
      </c>
      <c r="I34" s="12" t="s">
        <v>185</v>
      </c>
      <c r="J34" s="12">
        <v>1.4</v>
      </c>
      <c r="K34" s="12">
        <v>18.2</v>
      </c>
      <c r="L34" s="12">
        <v>9.2</v>
      </c>
      <c r="M34" s="12">
        <v>3.5</v>
      </c>
      <c r="N34" s="12">
        <v>1.3</v>
      </c>
      <c r="O34" s="12">
        <v>1.0</v>
      </c>
      <c r="P34" s="12">
        <v>1.7</v>
      </c>
      <c r="Q34" s="12">
        <v>4.68</v>
      </c>
    </row>
    <row r="35">
      <c r="A35" s="12">
        <v>34.0</v>
      </c>
      <c r="B35" s="12">
        <v>26.1</v>
      </c>
      <c r="C35" s="22" t="s">
        <v>186</v>
      </c>
      <c r="D35" s="12" t="s">
        <v>44</v>
      </c>
      <c r="E35" s="12" t="s">
        <v>144</v>
      </c>
      <c r="F35" s="12">
        <v>72.0</v>
      </c>
      <c r="G35" s="12">
        <v>34.5</v>
      </c>
      <c r="H35" s="12" t="s">
        <v>187</v>
      </c>
      <c r="I35" s="12" t="s">
        <v>188</v>
      </c>
      <c r="J35" s="12">
        <v>2.5</v>
      </c>
      <c r="K35" s="12">
        <v>25.1</v>
      </c>
      <c r="L35" s="12">
        <v>4.2</v>
      </c>
      <c r="M35" s="12">
        <v>5.5</v>
      </c>
      <c r="N35" s="12">
        <v>1.7</v>
      </c>
      <c r="O35" s="12">
        <v>0.4</v>
      </c>
      <c r="P35" s="12">
        <v>2.5</v>
      </c>
      <c r="Q35" s="12">
        <v>4.47</v>
      </c>
    </row>
    <row r="36">
      <c r="A36" s="12">
        <v>35.0</v>
      </c>
      <c r="B36" s="12">
        <v>48.4</v>
      </c>
      <c r="C36" s="22" t="s">
        <v>189</v>
      </c>
      <c r="D36" s="12" t="s">
        <v>56</v>
      </c>
      <c r="E36" s="12" t="s">
        <v>98</v>
      </c>
      <c r="F36" s="12">
        <v>75.0</v>
      </c>
      <c r="G36" s="12">
        <v>32.8</v>
      </c>
      <c r="H36" s="12" t="s">
        <v>190</v>
      </c>
      <c r="I36" s="12" t="s">
        <v>191</v>
      </c>
      <c r="J36" s="12">
        <v>2.7</v>
      </c>
      <c r="K36" s="12">
        <v>15.2</v>
      </c>
      <c r="L36" s="12">
        <v>4.3</v>
      </c>
      <c r="M36" s="12">
        <v>4.9</v>
      </c>
      <c r="N36" s="12">
        <v>0.9</v>
      </c>
      <c r="O36" s="12">
        <v>1.2</v>
      </c>
      <c r="P36" s="12">
        <v>1.5</v>
      </c>
      <c r="Q36" s="12">
        <v>4.43</v>
      </c>
    </row>
    <row r="37">
      <c r="A37" s="12">
        <v>36.0</v>
      </c>
      <c r="B37" s="12">
        <v>35.2</v>
      </c>
      <c r="C37" s="22" t="s">
        <v>192</v>
      </c>
      <c r="D37" s="12" t="s">
        <v>44</v>
      </c>
      <c r="E37" s="12" t="s">
        <v>173</v>
      </c>
      <c r="F37" s="12">
        <v>63.0</v>
      </c>
      <c r="G37" s="12">
        <v>33.6</v>
      </c>
      <c r="H37" s="12" t="s">
        <v>193</v>
      </c>
      <c r="I37" s="12" t="s">
        <v>194</v>
      </c>
      <c r="J37" s="12">
        <v>1.5</v>
      </c>
      <c r="K37" s="12">
        <v>25.8</v>
      </c>
      <c r="L37" s="12">
        <v>5.9</v>
      </c>
      <c r="M37" s="12">
        <v>8.2</v>
      </c>
      <c r="N37" s="12">
        <v>0.9</v>
      </c>
      <c r="O37" s="12">
        <v>0.5</v>
      </c>
      <c r="P37" s="12">
        <v>3.0</v>
      </c>
      <c r="Q37" s="12">
        <v>4.35</v>
      </c>
    </row>
    <row r="38">
      <c r="A38" s="12">
        <v>37.0</v>
      </c>
      <c r="B38" s="12">
        <v>54.1</v>
      </c>
      <c r="C38" s="22" t="s">
        <v>195</v>
      </c>
      <c r="D38" s="12" t="s">
        <v>97</v>
      </c>
      <c r="E38" s="12" t="s">
        <v>144</v>
      </c>
      <c r="F38" s="12">
        <v>76.0</v>
      </c>
      <c r="G38" s="12">
        <v>34.9</v>
      </c>
      <c r="H38" s="12" t="s">
        <v>196</v>
      </c>
      <c r="I38" s="12" t="s">
        <v>197</v>
      </c>
      <c r="J38" s="12">
        <v>1.1</v>
      </c>
      <c r="K38" s="12">
        <v>22.1</v>
      </c>
      <c r="L38" s="12">
        <v>3.8</v>
      </c>
      <c r="M38" s="12">
        <v>3.9</v>
      </c>
      <c r="N38" s="12">
        <v>1.1</v>
      </c>
      <c r="O38" s="12">
        <v>0.6</v>
      </c>
      <c r="P38" s="12">
        <v>1.7</v>
      </c>
      <c r="Q38" s="12">
        <v>4.33</v>
      </c>
    </row>
    <row r="39">
      <c r="A39" s="12">
        <v>38.0</v>
      </c>
      <c r="B39" s="12">
        <v>39.0</v>
      </c>
      <c r="C39" s="22" t="s">
        <v>198</v>
      </c>
      <c r="D39" s="12" t="s">
        <v>62</v>
      </c>
      <c r="E39" s="12" t="s">
        <v>110</v>
      </c>
      <c r="F39" s="12">
        <v>68.0</v>
      </c>
      <c r="G39" s="12">
        <v>32.0</v>
      </c>
      <c r="H39" s="12" t="s">
        <v>200</v>
      </c>
      <c r="I39" s="12" t="s">
        <v>201</v>
      </c>
      <c r="J39" s="12">
        <v>0.4</v>
      </c>
      <c r="K39" s="12">
        <v>16.1</v>
      </c>
      <c r="L39" s="12">
        <v>9.2</v>
      </c>
      <c r="M39" s="12">
        <v>3.4</v>
      </c>
      <c r="N39" s="12">
        <v>0.9</v>
      </c>
      <c r="O39" s="12">
        <v>1.5</v>
      </c>
      <c r="P39" s="12">
        <v>1.8</v>
      </c>
      <c r="Q39" s="12">
        <v>4.31</v>
      </c>
    </row>
    <row r="40">
      <c r="A40" s="12">
        <v>39.0</v>
      </c>
      <c r="B40" s="12">
        <v>49.1</v>
      </c>
      <c r="C40" s="22" t="s">
        <v>202</v>
      </c>
      <c r="D40" s="12" t="s">
        <v>125</v>
      </c>
      <c r="E40" s="12" t="s">
        <v>102</v>
      </c>
      <c r="F40" s="12">
        <v>48.0</v>
      </c>
      <c r="G40" s="12">
        <v>30.0</v>
      </c>
      <c r="H40" s="12" t="s">
        <v>203</v>
      </c>
      <c r="I40" s="12" t="s">
        <v>204</v>
      </c>
      <c r="J40" s="12">
        <v>1.7</v>
      </c>
      <c r="K40" s="12">
        <v>20.2</v>
      </c>
      <c r="L40" s="12">
        <v>5.4</v>
      </c>
      <c r="M40" s="12">
        <v>3.2</v>
      </c>
      <c r="N40" s="12">
        <v>1.1</v>
      </c>
      <c r="O40" s="12">
        <v>0.5</v>
      </c>
      <c r="P40" s="12">
        <v>1.6</v>
      </c>
      <c r="Q40" s="12">
        <v>4.26</v>
      </c>
    </row>
    <row r="41">
      <c r="A41" s="12">
        <v>40.0</v>
      </c>
      <c r="B41" s="12">
        <v>44.1</v>
      </c>
      <c r="C41" s="22" t="s">
        <v>205</v>
      </c>
      <c r="D41" s="12" t="s">
        <v>158</v>
      </c>
      <c r="E41" s="12" t="s">
        <v>173</v>
      </c>
      <c r="F41" s="12">
        <v>68.0</v>
      </c>
      <c r="G41" s="12">
        <v>32.8</v>
      </c>
      <c r="H41" s="12" t="s">
        <v>206</v>
      </c>
      <c r="I41" s="12" t="s">
        <v>207</v>
      </c>
      <c r="J41" s="12">
        <v>2.9</v>
      </c>
      <c r="K41" s="12">
        <v>21.4</v>
      </c>
      <c r="L41" s="12">
        <v>4.5</v>
      </c>
      <c r="M41" s="12">
        <v>4.4</v>
      </c>
      <c r="N41" s="12">
        <v>1.0</v>
      </c>
      <c r="O41" s="12">
        <v>0.4</v>
      </c>
      <c r="P41" s="12">
        <v>2.3</v>
      </c>
      <c r="Q41" s="12">
        <v>4.22</v>
      </c>
    </row>
    <row r="42">
      <c r="A42" s="12">
        <v>41.0</v>
      </c>
      <c r="B42" s="12">
        <v>35.6</v>
      </c>
      <c r="C42" s="22" t="s">
        <v>208</v>
      </c>
      <c r="D42" s="12" t="s">
        <v>56</v>
      </c>
      <c r="E42" s="12" t="s">
        <v>209</v>
      </c>
      <c r="F42" s="12">
        <v>74.0</v>
      </c>
      <c r="G42" s="12">
        <v>32.0</v>
      </c>
      <c r="H42" s="12" t="s">
        <v>210</v>
      </c>
      <c r="I42" s="12" t="s">
        <v>211</v>
      </c>
      <c r="J42" s="12">
        <v>2.2</v>
      </c>
      <c r="K42" s="12">
        <v>19.5</v>
      </c>
      <c r="L42" s="12">
        <v>5.2</v>
      </c>
      <c r="M42" s="12">
        <v>6.5</v>
      </c>
      <c r="N42" s="12">
        <v>1.4</v>
      </c>
      <c r="O42" s="12">
        <v>0.3</v>
      </c>
      <c r="P42" s="12">
        <v>2.1</v>
      </c>
      <c r="Q42" s="12">
        <v>4.1</v>
      </c>
    </row>
    <row r="43">
      <c r="A43" s="12">
        <v>42.0</v>
      </c>
      <c r="B43" s="12">
        <v>27.7</v>
      </c>
      <c r="C43" s="22" t="s">
        <v>212</v>
      </c>
      <c r="D43" s="12" t="s">
        <v>34</v>
      </c>
      <c r="E43" s="12" t="s">
        <v>180</v>
      </c>
      <c r="F43" s="12">
        <v>72.0</v>
      </c>
      <c r="G43" s="12">
        <v>32.6</v>
      </c>
      <c r="H43" s="12" t="s">
        <v>213</v>
      </c>
      <c r="I43" s="12" t="s">
        <v>214</v>
      </c>
      <c r="J43" s="12">
        <v>0.4</v>
      </c>
      <c r="K43" s="12">
        <v>19.4</v>
      </c>
      <c r="L43" s="12">
        <v>9.9</v>
      </c>
      <c r="M43" s="12">
        <v>5.4</v>
      </c>
      <c r="N43" s="12">
        <v>1.2</v>
      </c>
      <c r="O43" s="12">
        <v>0.8</v>
      </c>
      <c r="P43" s="12">
        <v>2.8</v>
      </c>
      <c r="Q43" s="12">
        <v>4.04</v>
      </c>
    </row>
    <row r="44">
      <c r="A44" s="12">
        <v>43.0</v>
      </c>
      <c r="B44" s="12">
        <v>32.2</v>
      </c>
      <c r="C44" s="22" t="s">
        <v>215</v>
      </c>
      <c r="D44" s="12" t="s">
        <v>34</v>
      </c>
      <c r="E44" s="12" t="s">
        <v>169</v>
      </c>
      <c r="F44" s="12">
        <v>73.0</v>
      </c>
      <c r="G44" s="12">
        <v>34.4</v>
      </c>
      <c r="H44" s="12" t="s">
        <v>216</v>
      </c>
      <c r="I44" s="12" t="s">
        <v>217</v>
      </c>
      <c r="J44" s="12">
        <v>0.2</v>
      </c>
      <c r="K44" s="12">
        <v>20.0</v>
      </c>
      <c r="L44" s="12">
        <v>10.4</v>
      </c>
      <c r="M44" s="12">
        <v>3.9</v>
      </c>
      <c r="N44" s="12">
        <v>1.2</v>
      </c>
      <c r="O44" s="12">
        <v>0.9</v>
      </c>
      <c r="P44" s="12">
        <v>2.4</v>
      </c>
      <c r="Q44" s="12">
        <v>4.04</v>
      </c>
    </row>
    <row r="45">
      <c r="A45" s="12">
        <v>44.0</v>
      </c>
      <c r="B45" s="12">
        <v>103.3</v>
      </c>
      <c r="C45" s="22" t="s">
        <v>218</v>
      </c>
      <c r="D45" s="12" t="s">
        <v>62</v>
      </c>
      <c r="E45" s="12" t="s">
        <v>98</v>
      </c>
      <c r="F45" s="12">
        <v>40.0</v>
      </c>
      <c r="G45" s="12">
        <v>27.1</v>
      </c>
      <c r="H45" s="12" t="s">
        <v>219</v>
      </c>
      <c r="I45" s="12" t="s">
        <v>220</v>
      </c>
      <c r="J45" s="12">
        <v>1.8</v>
      </c>
      <c r="K45" s="12">
        <v>17.8</v>
      </c>
      <c r="L45" s="12">
        <v>6.7</v>
      </c>
      <c r="M45" s="12">
        <v>2.0</v>
      </c>
      <c r="N45" s="12">
        <v>0.7</v>
      </c>
      <c r="O45" s="12">
        <v>1.5</v>
      </c>
      <c r="P45" s="12">
        <v>1.6</v>
      </c>
      <c r="Q45" s="12">
        <v>4.01</v>
      </c>
    </row>
    <row r="46">
      <c r="A46" s="12">
        <v>45.0</v>
      </c>
      <c r="B46" s="12">
        <v>34.0</v>
      </c>
      <c r="C46" s="22" t="s">
        <v>221</v>
      </c>
      <c r="D46" s="12" t="s">
        <v>56</v>
      </c>
      <c r="E46" s="12" t="s">
        <v>222</v>
      </c>
      <c r="F46" s="12">
        <v>64.0</v>
      </c>
      <c r="G46" s="12">
        <v>33.7</v>
      </c>
      <c r="H46" s="12" t="s">
        <v>223</v>
      </c>
      <c r="I46" s="12" t="s">
        <v>224</v>
      </c>
      <c r="J46" s="12">
        <v>1.9</v>
      </c>
      <c r="K46" s="12">
        <v>23.2</v>
      </c>
      <c r="L46" s="12">
        <v>4.7</v>
      </c>
      <c r="M46" s="12">
        <v>7.8</v>
      </c>
      <c r="N46" s="12">
        <v>0.9</v>
      </c>
      <c r="O46" s="12">
        <v>0.4</v>
      </c>
      <c r="P46" s="12">
        <v>3.5</v>
      </c>
      <c r="Q46" s="12">
        <v>3.86</v>
      </c>
    </row>
    <row r="47">
      <c r="A47" s="12">
        <v>46.0</v>
      </c>
      <c r="B47" s="12">
        <v>45.0</v>
      </c>
      <c r="C47" s="22" t="s">
        <v>225</v>
      </c>
      <c r="D47" s="12" t="s">
        <v>34</v>
      </c>
      <c r="E47" s="12" t="s">
        <v>89</v>
      </c>
      <c r="F47" s="12">
        <v>72.0</v>
      </c>
      <c r="G47" s="12">
        <v>28.8</v>
      </c>
      <c r="H47" s="12" t="s">
        <v>227</v>
      </c>
      <c r="I47" s="12" t="s">
        <v>228</v>
      </c>
      <c r="J47" s="12">
        <v>1.5</v>
      </c>
      <c r="K47" s="12">
        <v>17.0</v>
      </c>
      <c r="L47" s="12">
        <v>7.0</v>
      </c>
      <c r="M47" s="12">
        <v>1.3</v>
      </c>
      <c r="N47" s="12">
        <v>0.5</v>
      </c>
      <c r="O47" s="12">
        <v>2.0</v>
      </c>
      <c r="P47" s="12">
        <v>1.5</v>
      </c>
      <c r="Q47" s="12">
        <v>3.83</v>
      </c>
    </row>
    <row r="48">
      <c r="A48" s="12">
        <v>47.0</v>
      </c>
      <c r="B48" s="12">
        <v>53.8</v>
      </c>
      <c r="C48" s="22" t="s">
        <v>229</v>
      </c>
      <c r="D48" s="12" t="s">
        <v>56</v>
      </c>
      <c r="E48" s="12" t="s">
        <v>126</v>
      </c>
      <c r="F48" s="12">
        <v>72.0</v>
      </c>
      <c r="G48" s="12">
        <v>33.3</v>
      </c>
      <c r="H48" s="12" t="s">
        <v>230</v>
      </c>
      <c r="I48" s="12" t="s">
        <v>231</v>
      </c>
      <c r="J48" s="12">
        <v>2.6</v>
      </c>
      <c r="K48" s="12">
        <v>18.7</v>
      </c>
      <c r="L48" s="12">
        <v>4.6</v>
      </c>
      <c r="M48" s="12">
        <v>6.8</v>
      </c>
      <c r="N48" s="12">
        <v>1.1</v>
      </c>
      <c r="O48" s="12">
        <v>0.2</v>
      </c>
      <c r="P48" s="12">
        <v>1.6</v>
      </c>
      <c r="Q48" s="12">
        <v>3.78</v>
      </c>
    </row>
    <row r="49">
      <c r="A49" s="12">
        <v>48.0</v>
      </c>
      <c r="B49" s="12">
        <v>52.7</v>
      </c>
      <c r="C49" s="22" t="s">
        <v>232</v>
      </c>
      <c r="D49" s="12" t="s">
        <v>56</v>
      </c>
      <c r="E49" s="12" t="s">
        <v>40</v>
      </c>
      <c r="F49" s="12">
        <v>60.0</v>
      </c>
      <c r="G49" s="12">
        <v>31.1</v>
      </c>
      <c r="H49" s="12" t="s">
        <v>233</v>
      </c>
      <c r="I49" s="12" t="s">
        <v>234</v>
      </c>
      <c r="J49" s="12">
        <v>2.5</v>
      </c>
      <c r="K49" s="12">
        <v>20.0</v>
      </c>
      <c r="L49" s="12">
        <v>3.9</v>
      </c>
      <c r="M49" s="12">
        <v>6.1</v>
      </c>
      <c r="N49" s="12">
        <v>1.0</v>
      </c>
      <c r="O49" s="12">
        <v>0.5</v>
      </c>
      <c r="P49" s="12">
        <v>2.1</v>
      </c>
      <c r="Q49" s="12">
        <v>3.76</v>
      </c>
    </row>
    <row r="50">
      <c r="A50" s="12">
        <v>49.0</v>
      </c>
      <c r="B50" s="12">
        <v>46.1</v>
      </c>
      <c r="C50" s="22" t="s">
        <v>235</v>
      </c>
      <c r="D50" s="12" t="s">
        <v>97</v>
      </c>
      <c r="E50" s="12" t="s">
        <v>236</v>
      </c>
      <c r="F50" s="12">
        <v>76.0</v>
      </c>
      <c r="G50" s="12">
        <v>33.1</v>
      </c>
      <c r="H50" s="12" t="s">
        <v>237</v>
      </c>
      <c r="I50" s="12" t="s">
        <v>238</v>
      </c>
      <c r="J50" s="12">
        <v>1.4</v>
      </c>
      <c r="K50" s="12">
        <v>19.6</v>
      </c>
      <c r="L50" s="12">
        <v>5.4</v>
      </c>
      <c r="M50" s="12">
        <v>3.9</v>
      </c>
      <c r="N50" s="12">
        <v>1.2</v>
      </c>
      <c r="O50" s="12">
        <v>0.4</v>
      </c>
      <c r="P50" s="12">
        <v>2.0</v>
      </c>
      <c r="Q50" s="12">
        <v>3.18</v>
      </c>
    </row>
    <row r="51">
      <c r="A51" s="12">
        <v>50.0</v>
      </c>
      <c r="B51" s="12">
        <v>66.6</v>
      </c>
      <c r="C51" s="22" t="s">
        <v>239</v>
      </c>
      <c r="D51" s="12" t="s">
        <v>97</v>
      </c>
      <c r="E51" s="12" t="s">
        <v>222</v>
      </c>
      <c r="F51" s="12">
        <v>69.0</v>
      </c>
      <c r="G51" s="12">
        <v>31.9</v>
      </c>
      <c r="H51" s="12" t="s">
        <v>240</v>
      </c>
      <c r="I51" s="12" t="s">
        <v>241</v>
      </c>
      <c r="J51" s="12">
        <v>1.6</v>
      </c>
      <c r="K51" s="12">
        <v>17.6</v>
      </c>
      <c r="L51" s="12">
        <v>6.3</v>
      </c>
      <c r="M51" s="12">
        <v>3.0</v>
      </c>
      <c r="N51" s="12">
        <v>1.0</v>
      </c>
      <c r="O51" s="12">
        <v>0.6</v>
      </c>
      <c r="P51" s="12">
        <v>1.3</v>
      </c>
      <c r="Q51" s="12">
        <v>2.99</v>
      </c>
    </row>
    <row r="52">
      <c r="A52" s="12">
        <v>51.0</v>
      </c>
      <c r="B52" s="12">
        <v>55.2</v>
      </c>
      <c r="C52" s="22" t="s">
        <v>242</v>
      </c>
      <c r="D52" s="12" t="s">
        <v>62</v>
      </c>
      <c r="E52" s="12" t="s">
        <v>243</v>
      </c>
      <c r="F52" s="12">
        <v>75.0</v>
      </c>
      <c r="G52" s="12">
        <v>33.2</v>
      </c>
      <c r="H52" s="12" t="s">
        <v>244</v>
      </c>
      <c r="I52" s="12" t="s">
        <v>245</v>
      </c>
      <c r="J52" s="12">
        <v>1.4</v>
      </c>
      <c r="K52" s="12">
        <v>17.1</v>
      </c>
      <c r="L52" s="12">
        <v>10.4</v>
      </c>
      <c r="M52" s="12">
        <v>3.3</v>
      </c>
      <c r="N52" s="12">
        <v>0.7</v>
      </c>
      <c r="O52" s="12">
        <v>0.7</v>
      </c>
      <c r="P52" s="12">
        <v>1.6</v>
      </c>
      <c r="Q52" s="12">
        <v>2.96</v>
      </c>
    </row>
    <row r="53">
      <c r="A53" s="12">
        <v>52.0</v>
      </c>
      <c r="B53" s="12">
        <v>53.2</v>
      </c>
      <c r="C53" s="22" t="s">
        <v>246</v>
      </c>
      <c r="D53" s="12" t="s">
        <v>34</v>
      </c>
      <c r="E53" s="12" t="s">
        <v>110</v>
      </c>
      <c r="F53" s="12">
        <v>70.0</v>
      </c>
      <c r="G53" s="12">
        <v>30.8</v>
      </c>
      <c r="H53" s="12" t="s">
        <v>247</v>
      </c>
      <c r="I53" s="12" t="s">
        <v>248</v>
      </c>
      <c r="J53" s="12">
        <v>0.0</v>
      </c>
      <c r="K53" s="12">
        <v>14.9</v>
      </c>
      <c r="L53" s="12">
        <v>9.9</v>
      </c>
      <c r="M53" s="12">
        <v>2.2</v>
      </c>
      <c r="N53" s="12">
        <v>0.7</v>
      </c>
      <c r="O53" s="12">
        <v>1.1</v>
      </c>
      <c r="P53" s="12">
        <v>1.4</v>
      </c>
      <c r="Q53" s="12">
        <v>2.95</v>
      </c>
    </row>
    <row r="54">
      <c r="A54" s="12">
        <v>53.0</v>
      </c>
      <c r="B54" s="12">
        <v>46.4</v>
      </c>
      <c r="C54" s="22" t="s">
        <v>249</v>
      </c>
      <c r="D54" s="12" t="s">
        <v>34</v>
      </c>
      <c r="E54" s="12" t="s">
        <v>159</v>
      </c>
      <c r="F54" s="12">
        <v>73.0</v>
      </c>
      <c r="G54" s="12">
        <v>33.6</v>
      </c>
      <c r="H54" s="12" t="s">
        <v>250</v>
      </c>
      <c r="I54" s="12" t="s">
        <v>251</v>
      </c>
      <c r="J54" s="12">
        <v>0.0</v>
      </c>
      <c r="K54" s="12">
        <v>14.3</v>
      </c>
      <c r="L54" s="12">
        <v>12.9</v>
      </c>
      <c r="M54" s="12">
        <v>1.4</v>
      </c>
      <c r="N54" s="12">
        <v>0.8</v>
      </c>
      <c r="O54" s="12">
        <v>1.8</v>
      </c>
      <c r="P54" s="12">
        <v>1.7</v>
      </c>
      <c r="Q54" s="12">
        <v>2.94</v>
      </c>
    </row>
    <row r="55">
      <c r="A55" s="12">
        <v>54.0</v>
      </c>
      <c r="B55" s="12">
        <v>62.6</v>
      </c>
      <c r="C55" s="22" t="s">
        <v>252</v>
      </c>
      <c r="D55" s="12" t="s">
        <v>44</v>
      </c>
      <c r="E55" s="12" t="s">
        <v>110</v>
      </c>
      <c r="F55" s="12">
        <v>68.0</v>
      </c>
      <c r="G55" s="12">
        <v>33.0</v>
      </c>
      <c r="H55" s="12" t="s">
        <v>253</v>
      </c>
      <c r="I55" s="12" t="s">
        <v>254</v>
      </c>
      <c r="J55" s="12">
        <v>2.3</v>
      </c>
      <c r="K55" s="12">
        <v>19.3</v>
      </c>
      <c r="L55" s="12">
        <v>2.6</v>
      </c>
      <c r="M55" s="12">
        <v>7.0</v>
      </c>
      <c r="N55" s="12">
        <v>1.2</v>
      </c>
      <c r="O55" s="12">
        <v>0.1</v>
      </c>
      <c r="P55" s="12">
        <v>2.9</v>
      </c>
      <c r="Q55" s="12">
        <v>2.84</v>
      </c>
    </row>
    <row r="56">
      <c r="A56" s="12">
        <v>55.0</v>
      </c>
      <c r="B56" s="12">
        <v>40.9</v>
      </c>
      <c r="C56" s="22" t="s">
        <v>255</v>
      </c>
      <c r="D56" s="12" t="s">
        <v>158</v>
      </c>
      <c r="E56" s="12" t="s">
        <v>98</v>
      </c>
      <c r="F56" s="12">
        <v>70.0</v>
      </c>
      <c r="G56" s="12">
        <v>33.8</v>
      </c>
      <c r="H56" s="12" t="s">
        <v>256</v>
      </c>
      <c r="I56" s="12" t="s">
        <v>257</v>
      </c>
      <c r="J56" s="12">
        <v>2.2</v>
      </c>
      <c r="K56" s="12">
        <v>24.4</v>
      </c>
      <c r="L56" s="12">
        <v>6.1</v>
      </c>
      <c r="M56" s="12">
        <v>3.5</v>
      </c>
      <c r="N56" s="12">
        <v>1.1</v>
      </c>
      <c r="O56" s="12">
        <v>0.5</v>
      </c>
      <c r="P56" s="12">
        <v>2.6</v>
      </c>
      <c r="Q56" s="12">
        <v>2.84</v>
      </c>
    </row>
    <row r="57">
      <c r="A57" s="12">
        <v>56.0</v>
      </c>
      <c r="B57" s="12">
        <v>60.8</v>
      </c>
      <c r="C57" s="22" t="s">
        <v>258</v>
      </c>
      <c r="D57" s="12" t="s">
        <v>34</v>
      </c>
      <c r="E57" s="12" t="s">
        <v>259</v>
      </c>
      <c r="F57" s="12">
        <v>65.0</v>
      </c>
      <c r="G57" s="12">
        <v>31.0</v>
      </c>
      <c r="H57" s="12" t="s">
        <v>260</v>
      </c>
      <c r="I57" s="12" t="s">
        <v>261</v>
      </c>
      <c r="J57" s="12">
        <v>0.1</v>
      </c>
      <c r="K57" s="12">
        <v>17.0</v>
      </c>
      <c r="L57" s="12">
        <v>10.3</v>
      </c>
      <c r="M57" s="12">
        <v>1.7</v>
      </c>
      <c r="N57" s="12">
        <v>0.8</v>
      </c>
      <c r="O57" s="12">
        <v>0.8</v>
      </c>
      <c r="P57" s="12">
        <v>1.8</v>
      </c>
      <c r="Q57" s="12">
        <v>2.83</v>
      </c>
    </row>
    <row r="58">
      <c r="A58" s="12">
        <v>57.0</v>
      </c>
      <c r="B58" s="12">
        <v>72.6</v>
      </c>
      <c r="C58" s="22" t="s">
        <v>262</v>
      </c>
      <c r="D58" s="12" t="s">
        <v>56</v>
      </c>
      <c r="E58" s="12" t="s">
        <v>118</v>
      </c>
      <c r="F58" s="12">
        <v>50.0</v>
      </c>
      <c r="G58" s="12">
        <v>32.0</v>
      </c>
      <c r="H58" s="12" t="s">
        <v>265</v>
      </c>
      <c r="I58" s="12" t="s">
        <v>266</v>
      </c>
      <c r="J58" s="12">
        <v>1.9</v>
      </c>
      <c r="K58" s="12">
        <v>18.9</v>
      </c>
      <c r="L58" s="12">
        <v>3.8</v>
      </c>
      <c r="M58" s="12">
        <v>4.2</v>
      </c>
      <c r="N58" s="12">
        <v>1.0</v>
      </c>
      <c r="O58" s="12">
        <v>0.5</v>
      </c>
      <c r="P58" s="12">
        <v>2.4</v>
      </c>
      <c r="Q58" s="12">
        <v>2.78</v>
      </c>
    </row>
    <row r="59">
      <c r="A59" s="12">
        <v>58.0</v>
      </c>
      <c r="B59" s="12">
        <v>74.0</v>
      </c>
      <c r="C59" s="22" t="s">
        <v>267</v>
      </c>
      <c r="D59" s="12" t="s">
        <v>44</v>
      </c>
      <c r="E59" s="12" t="s">
        <v>63</v>
      </c>
      <c r="F59" s="12">
        <v>72.0</v>
      </c>
      <c r="G59" s="12">
        <v>32.6</v>
      </c>
      <c r="H59" s="12" t="s">
        <v>268</v>
      </c>
      <c r="I59" s="12" t="s">
        <v>269</v>
      </c>
      <c r="J59" s="12">
        <v>2.9</v>
      </c>
      <c r="K59" s="12">
        <v>17.5</v>
      </c>
      <c r="L59" s="12">
        <v>3.1</v>
      </c>
      <c r="M59" s="12">
        <v>6.0</v>
      </c>
      <c r="N59" s="12">
        <v>1.0</v>
      </c>
      <c r="O59" s="12">
        <v>0.5</v>
      </c>
      <c r="P59" s="12">
        <v>2.4</v>
      </c>
      <c r="Q59" s="12">
        <v>2.61</v>
      </c>
    </row>
    <row r="60">
      <c r="A60" s="12">
        <v>59.0</v>
      </c>
      <c r="B60" s="12">
        <v>53.8</v>
      </c>
      <c r="C60" s="22" t="s">
        <v>270</v>
      </c>
      <c r="D60" s="12" t="s">
        <v>34</v>
      </c>
      <c r="E60" s="12" t="s">
        <v>222</v>
      </c>
      <c r="F60" s="12">
        <v>68.0</v>
      </c>
      <c r="G60" s="12">
        <v>30.0</v>
      </c>
      <c r="H60" s="12" t="s">
        <v>271</v>
      </c>
      <c r="I60" s="12" t="s">
        <v>272</v>
      </c>
      <c r="J60" s="12">
        <v>0.0</v>
      </c>
      <c r="K60" s="12">
        <v>12.8</v>
      </c>
      <c r="L60" s="12">
        <v>10.9</v>
      </c>
      <c r="M60" s="12">
        <v>2.0</v>
      </c>
      <c r="N60" s="12">
        <v>0.6</v>
      </c>
      <c r="O60" s="12">
        <v>0.9</v>
      </c>
      <c r="P60" s="12">
        <v>1.9</v>
      </c>
      <c r="Q60" s="12">
        <v>2.51</v>
      </c>
    </row>
    <row r="61">
      <c r="A61" s="12">
        <v>60.0</v>
      </c>
      <c r="B61" s="12">
        <v>78.5</v>
      </c>
      <c r="C61" s="22" t="s">
        <v>273</v>
      </c>
      <c r="D61" s="12" t="s">
        <v>56</v>
      </c>
      <c r="E61" s="12" t="s">
        <v>98</v>
      </c>
      <c r="F61" s="12">
        <v>68.0</v>
      </c>
      <c r="G61" s="12">
        <v>32.5</v>
      </c>
      <c r="H61" s="12" t="s">
        <v>274</v>
      </c>
      <c r="I61" s="12" t="s">
        <v>275</v>
      </c>
      <c r="J61" s="12">
        <v>2.2</v>
      </c>
      <c r="K61" s="12">
        <v>13.5</v>
      </c>
      <c r="L61" s="12">
        <v>5.3</v>
      </c>
      <c r="M61" s="12">
        <v>5.1</v>
      </c>
      <c r="N61" s="12">
        <v>1.0</v>
      </c>
      <c r="O61" s="12">
        <v>0.6</v>
      </c>
      <c r="P61" s="12">
        <v>2.4</v>
      </c>
      <c r="Q61" s="12">
        <v>2.5</v>
      </c>
    </row>
    <row r="62">
      <c r="A62" s="12">
        <v>61.0</v>
      </c>
      <c r="B62" s="12">
        <v>46.6</v>
      </c>
      <c r="C62" s="22" t="s">
        <v>276</v>
      </c>
      <c r="D62" s="12" t="s">
        <v>62</v>
      </c>
      <c r="E62" s="12" t="s">
        <v>209</v>
      </c>
      <c r="F62" s="12">
        <v>67.0</v>
      </c>
      <c r="G62" s="12">
        <v>32.1</v>
      </c>
      <c r="H62" s="12" t="s">
        <v>277</v>
      </c>
      <c r="I62" s="12" t="s">
        <v>278</v>
      </c>
      <c r="J62" s="12">
        <v>0.1</v>
      </c>
      <c r="K62" s="12">
        <v>22.8</v>
      </c>
      <c r="L62" s="12">
        <v>6.2</v>
      </c>
      <c r="M62" s="12">
        <v>5.0</v>
      </c>
      <c r="N62" s="12">
        <v>1.1</v>
      </c>
      <c r="O62" s="12">
        <v>0.7</v>
      </c>
      <c r="P62" s="12">
        <v>3.0</v>
      </c>
      <c r="Q62" s="12">
        <v>2.47</v>
      </c>
    </row>
    <row r="63">
      <c r="A63" s="12">
        <v>62.0</v>
      </c>
      <c r="B63" s="12">
        <v>48.3</v>
      </c>
      <c r="C63" s="22" t="s">
        <v>280</v>
      </c>
      <c r="D63" s="12" t="s">
        <v>97</v>
      </c>
      <c r="E63" s="12" t="s">
        <v>89</v>
      </c>
      <c r="F63" s="12">
        <v>74.0</v>
      </c>
      <c r="G63" s="12">
        <v>32.0</v>
      </c>
      <c r="H63" s="12" t="s">
        <v>281</v>
      </c>
      <c r="I63" s="12" t="s">
        <v>282</v>
      </c>
      <c r="J63" s="12">
        <v>1.1</v>
      </c>
      <c r="K63" s="12">
        <v>21.1</v>
      </c>
      <c r="L63" s="12">
        <v>7.5</v>
      </c>
      <c r="M63" s="12">
        <v>3.9</v>
      </c>
      <c r="N63" s="12">
        <v>0.8</v>
      </c>
      <c r="O63" s="12">
        <v>0.4</v>
      </c>
      <c r="P63" s="12">
        <v>1.5</v>
      </c>
      <c r="Q63" s="12">
        <v>2.45</v>
      </c>
    </row>
    <row r="64">
      <c r="A64" s="12">
        <v>63.0</v>
      </c>
      <c r="B64" s="12">
        <v>63.0</v>
      </c>
      <c r="C64" s="22" t="s">
        <v>283</v>
      </c>
      <c r="D64" s="12" t="s">
        <v>158</v>
      </c>
      <c r="E64" s="12" t="s">
        <v>243</v>
      </c>
      <c r="F64" s="12">
        <v>64.0</v>
      </c>
      <c r="G64" s="12">
        <v>34.4</v>
      </c>
      <c r="H64" s="12" t="s">
        <v>284</v>
      </c>
      <c r="I64" s="12" t="s">
        <v>285</v>
      </c>
      <c r="J64" s="12">
        <v>2.5</v>
      </c>
      <c r="K64" s="12">
        <v>21.6</v>
      </c>
      <c r="L64" s="12">
        <v>4.5</v>
      </c>
      <c r="M64" s="12">
        <v>4.0</v>
      </c>
      <c r="N64" s="12">
        <v>0.9</v>
      </c>
      <c r="O64" s="12">
        <v>0.3</v>
      </c>
      <c r="P64" s="12">
        <v>2.3</v>
      </c>
      <c r="Q64" s="12">
        <v>2.4</v>
      </c>
    </row>
    <row r="65">
      <c r="A65" s="12">
        <v>64.0</v>
      </c>
      <c r="B65" s="12">
        <v>86.4</v>
      </c>
      <c r="C65" s="22" t="s">
        <v>286</v>
      </c>
      <c r="D65" s="12" t="s">
        <v>56</v>
      </c>
      <c r="E65" s="12" t="s">
        <v>287</v>
      </c>
      <c r="F65" s="12">
        <v>77.0</v>
      </c>
      <c r="G65" s="12">
        <v>31.5</v>
      </c>
      <c r="H65" s="12" t="s">
        <v>288</v>
      </c>
      <c r="I65" s="12" t="s">
        <v>289</v>
      </c>
      <c r="J65" s="12">
        <v>2.6</v>
      </c>
      <c r="K65" s="12">
        <v>20.1</v>
      </c>
      <c r="L65" s="12">
        <v>2.9</v>
      </c>
      <c r="M65" s="12">
        <v>5.7</v>
      </c>
      <c r="N65" s="12">
        <v>1.1</v>
      </c>
      <c r="O65" s="12">
        <v>0.3</v>
      </c>
      <c r="P65" s="12">
        <v>2.9</v>
      </c>
      <c r="Q65" s="12">
        <v>2.31</v>
      </c>
    </row>
    <row r="66">
      <c r="A66" s="12">
        <v>65.0</v>
      </c>
      <c r="B66" s="12">
        <v>63.9</v>
      </c>
      <c r="C66" s="22" t="s">
        <v>290</v>
      </c>
      <c r="D66" s="12" t="s">
        <v>34</v>
      </c>
      <c r="E66" s="12" t="s">
        <v>291</v>
      </c>
      <c r="F66" s="12">
        <v>72.0</v>
      </c>
      <c r="G66" s="12">
        <v>30.1</v>
      </c>
      <c r="H66" s="12" t="s">
        <v>292</v>
      </c>
      <c r="I66" s="12" t="s">
        <v>293</v>
      </c>
      <c r="J66" s="12">
        <v>0.0</v>
      </c>
      <c r="K66" s="12">
        <v>12.5</v>
      </c>
      <c r="L66" s="12">
        <v>9.8</v>
      </c>
      <c r="M66" s="12">
        <v>2.0</v>
      </c>
      <c r="N66" s="12">
        <v>0.8</v>
      </c>
      <c r="O66" s="12">
        <v>2.2</v>
      </c>
      <c r="P66" s="12">
        <v>1.3</v>
      </c>
      <c r="Q66" s="12">
        <v>2.23</v>
      </c>
    </row>
    <row r="67">
      <c r="A67" s="12">
        <v>66.0</v>
      </c>
      <c r="B67" s="12">
        <v>58.2</v>
      </c>
      <c r="C67" s="22" t="s">
        <v>294</v>
      </c>
      <c r="D67" s="12" t="s">
        <v>97</v>
      </c>
      <c r="E67" s="12" t="s">
        <v>136</v>
      </c>
      <c r="F67" s="12">
        <v>73.0</v>
      </c>
      <c r="G67" s="12">
        <v>36.2</v>
      </c>
      <c r="H67" s="12" t="s">
        <v>295</v>
      </c>
      <c r="I67" s="12" t="s">
        <v>296</v>
      </c>
      <c r="J67" s="12">
        <v>2.2</v>
      </c>
      <c r="K67" s="12">
        <v>19.8</v>
      </c>
      <c r="L67" s="12">
        <v>6.9</v>
      </c>
      <c r="M67" s="12">
        <v>3.2</v>
      </c>
      <c r="N67" s="12">
        <v>0.9</v>
      </c>
      <c r="O67" s="12">
        <v>0.5</v>
      </c>
      <c r="P67" s="12">
        <v>1.9</v>
      </c>
      <c r="Q67" s="12">
        <v>2.17</v>
      </c>
    </row>
    <row r="68">
      <c r="A68" s="12">
        <v>67.0</v>
      </c>
      <c r="B68" s="12">
        <v>78.0</v>
      </c>
      <c r="C68" s="22" t="s">
        <v>297</v>
      </c>
      <c r="D68" s="12" t="s">
        <v>56</v>
      </c>
      <c r="E68" s="12" t="s">
        <v>169</v>
      </c>
      <c r="F68" s="12">
        <v>67.0</v>
      </c>
      <c r="G68" s="12">
        <v>33.6</v>
      </c>
      <c r="H68" s="12" t="s">
        <v>298</v>
      </c>
      <c r="I68" s="12" t="s">
        <v>299</v>
      </c>
      <c r="J68" s="12">
        <v>3.1</v>
      </c>
      <c r="K68" s="12">
        <v>20.2</v>
      </c>
      <c r="L68" s="12">
        <v>5.3</v>
      </c>
      <c r="M68" s="12">
        <v>4.3</v>
      </c>
      <c r="N68" s="12">
        <v>0.7</v>
      </c>
      <c r="O68" s="12">
        <v>0.2</v>
      </c>
      <c r="P68" s="12">
        <v>2.3</v>
      </c>
      <c r="Q68" s="12">
        <v>2.15</v>
      </c>
    </row>
    <row r="69">
      <c r="A69" s="12">
        <v>68.0</v>
      </c>
      <c r="B69" s="12">
        <v>96.7</v>
      </c>
      <c r="C69" s="22" t="s">
        <v>300</v>
      </c>
      <c r="D69" s="12" t="s">
        <v>97</v>
      </c>
      <c r="E69" s="12" t="s">
        <v>209</v>
      </c>
      <c r="F69" s="12">
        <v>62.0</v>
      </c>
      <c r="G69" s="12">
        <v>30.0</v>
      </c>
      <c r="H69" s="12" t="s">
        <v>301</v>
      </c>
      <c r="I69" s="12" t="s">
        <v>302</v>
      </c>
      <c r="J69" s="12">
        <v>2.9</v>
      </c>
      <c r="K69" s="12">
        <v>15.1</v>
      </c>
      <c r="L69" s="12">
        <v>4.3</v>
      </c>
      <c r="M69" s="12">
        <v>1.8</v>
      </c>
      <c r="N69" s="12">
        <v>1.1</v>
      </c>
      <c r="O69" s="12">
        <v>0.6</v>
      </c>
      <c r="P69" s="12">
        <v>0.7</v>
      </c>
      <c r="Q69" s="12">
        <v>2.13</v>
      </c>
    </row>
    <row r="70">
      <c r="A70" s="12">
        <v>69.0</v>
      </c>
      <c r="B70" s="12">
        <v>76.4</v>
      </c>
      <c r="C70" s="22" t="s">
        <v>303</v>
      </c>
      <c r="D70" s="12" t="s">
        <v>34</v>
      </c>
      <c r="E70" s="12" t="s">
        <v>45</v>
      </c>
      <c r="F70" s="12">
        <v>50.0</v>
      </c>
      <c r="G70" s="12">
        <v>27.9</v>
      </c>
      <c r="H70" s="12" t="s">
        <v>304</v>
      </c>
      <c r="I70" s="12" t="s">
        <v>305</v>
      </c>
      <c r="J70" s="12">
        <v>0.1</v>
      </c>
      <c r="K70" s="12">
        <v>8.7</v>
      </c>
      <c r="L70" s="12">
        <v>9.0</v>
      </c>
      <c r="M70" s="12">
        <v>2.4</v>
      </c>
      <c r="N70" s="12">
        <v>1.1</v>
      </c>
      <c r="O70" s="12">
        <v>1.2</v>
      </c>
      <c r="P70" s="12">
        <v>1.3</v>
      </c>
      <c r="Q70" s="12">
        <v>2.07</v>
      </c>
    </row>
    <row r="71">
      <c r="A71" s="12">
        <v>70.0</v>
      </c>
      <c r="B71" s="12">
        <v>93.2</v>
      </c>
      <c r="C71" s="22" t="s">
        <v>306</v>
      </c>
      <c r="D71" s="12" t="s">
        <v>34</v>
      </c>
      <c r="E71" s="12" t="s">
        <v>148</v>
      </c>
      <c r="F71" s="12">
        <v>69.0</v>
      </c>
      <c r="G71" s="12">
        <v>26.1</v>
      </c>
      <c r="H71" s="12" t="s">
        <v>307</v>
      </c>
      <c r="I71" s="12" t="s">
        <v>308</v>
      </c>
      <c r="J71" s="12">
        <v>0.0</v>
      </c>
      <c r="K71" s="12">
        <v>9.5</v>
      </c>
      <c r="L71" s="12">
        <v>8.7</v>
      </c>
      <c r="M71" s="12">
        <v>1.0</v>
      </c>
      <c r="N71" s="12">
        <v>0.4</v>
      </c>
      <c r="O71" s="12">
        <v>2.5</v>
      </c>
      <c r="P71" s="12">
        <v>1.0</v>
      </c>
      <c r="Q71" s="12">
        <v>2.06</v>
      </c>
    </row>
    <row r="72">
      <c r="A72" s="12">
        <v>71.0</v>
      </c>
      <c r="B72" s="12">
        <v>54.7</v>
      </c>
      <c r="C72" s="22" t="s">
        <v>309</v>
      </c>
      <c r="D72" s="12" t="s">
        <v>125</v>
      </c>
      <c r="E72" s="12" t="s">
        <v>140</v>
      </c>
      <c r="F72" s="12">
        <v>78.0</v>
      </c>
      <c r="G72" s="12">
        <v>34.0</v>
      </c>
      <c r="H72" s="12" t="s">
        <v>310</v>
      </c>
      <c r="I72" s="12" t="s">
        <v>311</v>
      </c>
      <c r="J72" s="12">
        <v>2.4</v>
      </c>
      <c r="K72" s="12">
        <v>16.0</v>
      </c>
      <c r="L72" s="12">
        <v>4.1</v>
      </c>
      <c r="M72" s="12">
        <v>3.2</v>
      </c>
      <c r="N72" s="12">
        <v>1.1</v>
      </c>
      <c r="O72" s="12">
        <v>0.7</v>
      </c>
      <c r="P72" s="12">
        <v>1.6</v>
      </c>
      <c r="Q72" s="12">
        <v>2.06</v>
      </c>
    </row>
    <row r="73">
      <c r="A73" s="12">
        <v>72.0</v>
      </c>
      <c r="B73" s="12">
        <v>69.9</v>
      </c>
      <c r="C73" s="22" t="s">
        <v>312</v>
      </c>
      <c r="D73" s="12" t="s">
        <v>125</v>
      </c>
      <c r="E73" s="12" t="s">
        <v>209</v>
      </c>
      <c r="F73" s="12">
        <v>60.0</v>
      </c>
      <c r="G73" s="12">
        <v>31.8</v>
      </c>
      <c r="H73" s="12" t="s">
        <v>313</v>
      </c>
      <c r="I73" s="12" t="s">
        <v>314</v>
      </c>
      <c r="J73" s="12">
        <v>1.3</v>
      </c>
      <c r="K73" s="12">
        <v>20.1</v>
      </c>
      <c r="L73" s="12">
        <v>4.8</v>
      </c>
      <c r="M73" s="12">
        <v>4.6</v>
      </c>
      <c r="N73" s="12">
        <v>0.8</v>
      </c>
      <c r="O73" s="12">
        <v>0.6</v>
      </c>
      <c r="P73" s="12">
        <v>2.3</v>
      </c>
      <c r="Q73" s="12">
        <v>2.02</v>
      </c>
    </row>
    <row r="74">
      <c r="A74" s="12">
        <v>73.0</v>
      </c>
      <c r="B74" s="12">
        <v>82.0</v>
      </c>
      <c r="C74" s="22" t="s">
        <v>315</v>
      </c>
      <c r="D74" s="12" t="s">
        <v>158</v>
      </c>
      <c r="E74" s="12" t="s">
        <v>35</v>
      </c>
      <c r="F74" s="12">
        <v>58.0</v>
      </c>
      <c r="G74" s="12">
        <v>32.5</v>
      </c>
      <c r="H74" s="12" t="s">
        <v>316</v>
      </c>
      <c r="I74" s="12" t="s">
        <v>317</v>
      </c>
      <c r="J74" s="12">
        <v>2.6</v>
      </c>
      <c r="K74" s="12">
        <v>19.4</v>
      </c>
      <c r="L74" s="12">
        <v>3.9</v>
      </c>
      <c r="M74" s="12">
        <v>4.0</v>
      </c>
      <c r="N74" s="12">
        <v>1.1</v>
      </c>
      <c r="O74" s="12">
        <v>0.4</v>
      </c>
      <c r="P74" s="12">
        <v>1.6</v>
      </c>
      <c r="Q74" s="12">
        <v>2.02</v>
      </c>
    </row>
    <row r="75">
      <c r="A75" s="12">
        <v>74.0</v>
      </c>
      <c r="B75" s="12">
        <v>79.7</v>
      </c>
      <c r="C75" s="22" t="s">
        <v>318</v>
      </c>
      <c r="D75" s="12" t="s">
        <v>56</v>
      </c>
      <c r="E75" s="12" t="s">
        <v>259</v>
      </c>
      <c r="F75" s="12">
        <v>60.0</v>
      </c>
      <c r="G75" s="12">
        <v>33.9</v>
      </c>
      <c r="H75" s="12" t="s">
        <v>319</v>
      </c>
      <c r="I75" s="12" t="s">
        <v>320</v>
      </c>
      <c r="J75" s="12">
        <v>3.4</v>
      </c>
      <c r="K75" s="12">
        <v>21.4</v>
      </c>
      <c r="L75" s="12">
        <v>3.0</v>
      </c>
      <c r="M75" s="12">
        <v>4.9</v>
      </c>
      <c r="N75" s="12">
        <v>0.6</v>
      </c>
      <c r="O75" s="12">
        <v>0.2</v>
      </c>
      <c r="P75" s="12">
        <v>2.3</v>
      </c>
      <c r="Q75" s="12">
        <v>1.99</v>
      </c>
    </row>
    <row r="76">
      <c r="A76" s="12">
        <v>75.0</v>
      </c>
      <c r="B76" s="12">
        <v>108.3</v>
      </c>
      <c r="C76" s="22" t="s">
        <v>321</v>
      </c>
      <c r="D76" s="12" t="s">
        <v>34</v>
      </c>
      <c r="E76" s="12" t="s">
        <v>57</v>
      </c>
      <c r="F76" s="12">
        <v>67.0</v>
      </c>
      <c r="G76" s="12">
        <v>25.8</v>
      </c>
      <c r="H76" s="12" t="s">
        <v>322</v>
      </c>
      <c r="I76" s="12" t="s">
        <v>323</v>
      </c>
      <c r="J76" s="12">
        <v>0.0</v>
      </c>
      <c r="K76" s="12">
        <v>10.1</v>
      </c>
      <c r="L76" s="12">
        <v>7.9</v>
      </c>
      <c r="M76" s="12">
        <v>1.5</v>
      </c>
      <c r="N76" s="12">
        <v>0.8</v>
      </c>
      <c r="O76" s="12">
        <v>1.6</v>
      </c>
      <c r="P76" s="12">
        <v>1.0</v>
      </c>
      <c r="Q76" s="12">
        <v>1.98</v>
      </c>
    </row>
    <row r="77">
      <c r="A77" s="12">
        <v>76.0</v>
      </c>
      <c r="B77" s="12">
        <v>94.9</v>
      </c>
      <c r="C77" s="22" t="s">
        <v>324</v>
      </c>
      <c r="D77" s="12" t="s">
        <v>56</v>
      </c>
      <c r="E77" s="12" t="s">
        <v>148</v>
      </c>
      <c r="F77" s="12">
        <v>70.0</v>
      </c>
      <c r="G77" s="12">
        <v>30.7</v>
      </c>
      <c r="H77" s="12" t="s">
        <v>325</v>
      </c>
      <c r="I77" s="12" t="s">
        <v>326</v>
      </c>
      <c r="J77" s="12">
        <v>1.7</v>
      </c>
      <c r="K77" s="12">
        <v>20.0</v>
      </c>
      <c r="L77" s="12">
        <v>2.9</v>
      </c>
      <c r="M77" s="12">
        <v>4.9</v>
      </c>
      <c r="N77" s="12">
        <v>0.8</v>
      </c>
      <c r="O77" s="12">
        <v>0.2</v>
      </c>
      <c r="P77" s="12">
        <v>2.4</v>
      </c>
      <c r="Q77" s="12">
        <v>1.91</v>
      </c>
    </row>
    <row r="78">
      <c r="A78" s="12">
        <v>77.0</v>
      </c>
      <c r="B78" s="12">
        <v>67.4</v>
      </c>
      <c r="C78" s="22" t="s">
        <v>328</v>
      </c>
      <c r="D78" s="12" t="s">
        <v>158</v>
      </c>
      <c r="E78" s="12" t="s">
        <v>243</v>
      </c>
      <c r="F78" s="12">
        <v>78.0</v>
      </c>
      <c r="G78" s="12">
        <v>31.0</v>
      </c>
      <c r="H78" s="12" t="s">
        <v>329</v>
      </c>
      <c r="I78" s="12" t="s">
        <v>330</v>
      </c>
      <c r="J78" s="12">
        <v>1.1</v>
      </c>
      <c r="K78" s="12">
        <v>16.1</v>
      </c>
      <c r="L78" s="12">
        <v>7.4</v>
      </c>
      <c r="M78" s="12">
        <v>6.1</v>
      </c>
      <c r="N78" s="12">
        <v>0.8</v>
      </c>
      <c r="O78" s="12">
        <v>0.5</v>
      </c>
      <c r="P78" s="12">
        <v>2.7</v>
      </c>
      <c r="Q78" s="12">
        <v>1.91</v>
      </c>
    </row>
    <row r="79">
      <c r="A79" s="12">
        <v>78.0</v>
      </c>
      <c r="B79" s="12">
        <v>99.3</v>
      </c>
      <c r="C79" s="22" t="s">
        <v>331</v>
      </c>
      <c r="D79" s="12" t="s">
        <v>34</v>
      </c>
      <c r="E79" s="12" t="s">
        <v>136</v>
      </c>
      <c r="F79" s="12">
        <v>55.0</v>
      </c>
      <c r="G79" s="12">
        <v>26.8</v>
      </c>
      <c r="H79" s="12" t="s">
        <v>332</v>
      </c>
      <c r="I79" s="12" t="s">
        <v>333</v>
      </c>
      <c r="J79" s="12">
        <v>0.0</v>
      </c>
      <c r="K79" s="12">
        <v>12.6</v>
      </c>
      <c r="L79" s="12">
        <v>9.7</v>
      </c>
      <c r="M79" s="12">
        <v>0.8</v>
      </c>
      <c r="N79" s="12">
        <v>0.9</v>
      </c>
      <c r="O79" s="12">
        <v>1.2</v>
      </c>
      <c r="P79" s="12">
        <v>1.1</v>
      </c>
      <c r="Q79" s="12">
        <v>1.91</v>
      </c>
    </row>
    <row r="80">
      <c r="A80" s="12">
        <v>79.0</v>
      </c>
      <c r="B80" s="12">
        <v>101.8</v>
      </c>
      <c r="C80" s="22" t="s">
        <v>334</v>
      </c>
      <c r="D80" s="12" t="s">
        <v>56</v>
      </c>
      <c r="E80" s="12" t="s">
        <v>236</v>
      </c>
      <c r="F80" s="12">
        <v>72.0</v>
      </c>
      <c r="G80" s="12">
        <v>30.0</v>
      </c>
      <c r="H80" s="12" t="s">
        <v>335</v>
      </c>
      <c r="I80" s="12" t="s">
        <v>336</v>
      </c>
      <c r="J80" s="12">
        <v>2.2</v>
      </c>
      <c r="K80" s="12">
        <v>14.0</v>
      </c>
      <c r="L80" s="12">
        <v>3.5</v>
      </c>
      <c r="M80" s="12">
        <v>3.6</v>
      </c>
      <c r="N80" s="12">
        <v>1.6</v>
      </c>
      <c r="O80" s="12">
        <v>0.7</v>
      </c>
      <c r="P80" s="12">
        <v>2.0</v>
      </c>
      <c r="Q80" s="12">
        <v>1.89</v>
      </c>
    </row>
    <row r="81">
      <c r="A81" s="12">
        <v>80.0</v>
      </c>
      <c r="B81" s="12">
        <v>80.8</v>
      </c>
      <c r="C81" s="22" t="s">
        <v>337</v>
      </c>
      <c r="D81" s="12" t="s">
        <v>62</v>
      </c>
      <c r="E81" s="12" t="s">
        <v>180</v>
      </c>
      <c r="F81" s="12">
        <v>78.0</v>
      </c>
      <c r="G81" s="12">
        <v>32.2</v>
      </c>
      <c r="H81" s="12" t="s">
        <v>338</v>
      </c>
      <c r="I81" s="12" t="s">
        <v>339</v>
      </c>
      <c r="J81" s="12">
        <v>1.9</v>
      </c>
      <c r="K81" s="12">
        <v>14.0</v>
      </c>
      <c r="L81" s="12">
        <v>8.4</v>
      </c>
      <c r="M81" s="12">
        <v>1.5</v>
      </c>
      <c r="N81" s="12">
        <v>0.8</v>
      </c>
      <c r="O81" s="12">
        <v>0.9</v>
      </c>
      <c r="P81" s="12">
        <v>1.3</v>
      </c>
      <c r="Q81" s="12">
        <v>1.89</v>
      </c>
    </row>
    <row r="82">
      <c r="A82" s="12">
        <v>81.0</v>
      </c>
      <c r="B82" s="12">
        <v>138.9</v>
      </c>
      <c r="C82" s="22" t="s">
        <v>340</v>
      </c>
      <c r="D82" s="12" t="s">
        <v>97</v>
      </c>
      <c r="E82" s="12" t="s">
        <v>148</v>
      </c>
      <c r="F82" s="12">
        <v>68.0</v>
      </c>
      <c r="G82" s="12">
        <v>29.7</v>
      </c>
      <c r="H82" s="12" t="s">
        <v>341</v>
      </c>
      <c r="I82" s="12" t="s">
        <v>342</v>
      </c>
      <c r="J82" s="12">
        <v>2.0</v>
      </c>
      <c r="K82" s="12">
        <v>11.4</v>
      </c>
      <c r="L82" s="12">
        <v>7.0</v>
      </c>
      <c r="M82" s="12">
        <v>1.2</v>
      </c>
      <c r="N82" s="12">
        <v>1.1</v>
      </c>
      <c r="O82" s="12">
        <v>1.1</v>
      </c>
      <c r="P82" s="12">
        <v>1.0</v>
      </c>
      <c r="Q82" s="12">
        <v>1.88</v>
      </c>
    </row>
    <row r="83">
      <c r="A83" s="12">
        <v>82.0</v>
      </c>
      <c r="B83" s="12">
        <v>90.4</v>
      </c>
      <c r="C83" s="22" t="s">
        <v>343</v>
      </c>
      <c r="D83" s="12" t="s">
        <v>158</v>
      </c>
      <c r="E83" s="12" t="s">
        <v>93</v>
      </c>
      <c r="F83" s="12">
        <v>68.0</v>
      </c>
      <c r="G83" s="12">
        <v>30.2</v>
      </c>
      <c r="H83" s="12" t="s">
        <v>345</v>
      </c>
      <c r="I83" s="12" t="s">
        <v>346</v>
      </c>
      <c r="J83" s="12">
        <v>3.1</v>
      </c>
      <c r="K83" s="12">
        <v>17.1</v>
      </c>
      <c r="L83" s="12">
        <v>3.5</v>
      </c>
      <c r="M83" s="12">
        <v>3.2</v>
      </c>
      <c r="N83" s="12">
        <v>1.1</v>
      </c>
      <c r="O83" s="12">
        <v>0.4</v>
      </c>
      <c r="P83" s="12">
        <v>1.4</v>
      </c>
      <c r="Q83" s="12">
        <v>1.88</v>
      </c>
    </row>
    <row r="84">
      <c r="A84" s="12">
        <v>83.0</v>
      </c>
      <c r="B84" s="12">
        <v>34.6</v>
      </c>
      <c r="C84" s="22" t="s">
        <v>347</v>
      </c>
      <c r="D84" s="12" t="s">
        <v>97</v>
      </c>
      <c r="E84" s="12" t="s">
        <v>236</v>
      </c>
      <c r="F84" s="12">
        <v>76.0</v>
      </c>
      <c r="G84" s="12">
        <v>35.1</v>
      </c>
      <c r="H84" s="12" t="s">
        <v>348</v>
      </c>
      <c r="I84" s="12" t="s">
        <v>349</v>
      </c>
      <c r="J84" s="12">
        <v>1.6</v>
      </c>
      <c r="K84" s="12">
        <v>23.1</v>
      </c>
      <c r="L84" s="12">
        <v>7.4</v>
      </c>
      <c r="M84" s="12">
        <v>5.7</v>
      </c>
      <c r="N84" s="12">
        <v>1.0</v>
      </c>
      <c r="O84" s="12">
        <v>0.7</v>
      </c>
      <c r="P84" s="12">
        <v>3.0</v>
      </c>
      <c r="Q84" s="12">
        <v>1.87</v>
      </c>
    </row>
    <row r="85">
      <c r="A85" s="12">
        <v>84.0</v>
      </c>
      <c r="B85" s="12">
        <v>87.2</v>
      </c>
      <c r="C85" s="22" t="s">
        <v>350</v>
      </c>
      <c r="D85" s="12" t="s">
        <v>56</v>
      </c>
      <c r="E85" s="12" t="s">
        <v>63</v>
      </c>
      <c r="F85" s="12">
        <v>72.0</v>
      </c>
      <c r="G85" s="12">
        <v>32.6</v>
      </c>
      <c r="H85" s="12" t="s">
        <v>351</v>
      </c>
      <c r="I85" s="12" t="s">
        <v>352</v>
      </c>
      <c r="J85" s="12">
        <v>2.0</v>
      </c>
      <c r="K85" s="12">
        <v>15.7</v>
      </c>
      <c r="L85" s="12">
        <v>4.0</v>
      </c>
      <c r="M85" s="12">
        <v>5.1</v>
      </c>
      <c r="N85" s="12">
        <v>0.8</v>
      </c>
      <c r="O85" s="12">
        <v>0.3</v>
      </c>
      <c r="P85" s="12">
        <v>2.0</v>
      </c>
      <c r="Q85" s="12">
        <v>1.86</v>
      </c>
    </row>
    <row r="86">
      <c r="A86" s="12">
        <v>85.0</v>
      </c>
      <c r="B86" s="12">
        <v>81.0</v>
      </c>
      <c r="C86" s="22" t="s">
        <v>353</v>
      </c>
      <c r="D86" s="12" t="s">
        <v>97</v>
      </c>
      <c r="E86" s="12" t="s">
        <v>144</v>
      </c>
      <c r="F86" s="12">
        <v>78.0</v>
      </c>
      <c r="G86" s="12">
        <v>33.5</v>
      </c>
      <c r="H86" s="12" t="s">
        <v>354</v>
      </c>
      <c r="I86" s="12" t="s">
        <v>355</v>
      </c>
      <c r="J86" s="12">
        <v>2.7</v>
      </c>
      <c r="K86" s="12">
        <v>14.6</v>
      </c>
      <c r="L86" s="12">
        <v>5.4</v>
      </c>
      <c r="M86" s="12">
        <v>1.6</v>
      </c>
      <c r="N86" s="12">
        <v>1.0</v>
      </c>
      <c r="O86" s="12">
        <v>0.8</v>
      </c>
      <c r="P86" s="12">
        <v>0.8</v>
      </c>
      <c r="Q86" s="12">
        <v>1.82</v>
      </c>
    </row>
    <row r="87">
      <c r="A87" s="12">
        <v>86.0</v>
      </c>
      <c r="B87" s="12">
        <v>117.6</v>
      </c>
      <c r="C87" s="22" t="s">
        <v>356</v>
      </c>
      <c r="D87" s="12" t="s">
        <v>62</v>
      </c>
      <c r="E87" s="12" t="s">
        <v>93</v>
      </c>
      <c r="F87" s="12">
        <v>67.0</v>
      </c>
      <c r="G87" s="12">
        <v>26.8</v>
      </c>
      <c r="H87" s="12" t="s">
        <v>357</v>
      </c>
      <c r="I87" s="12" t="s">
        <v>358</v>
      </c>
      <c r="J87" s="12">
        <v>0.5</v>
      </c>
      <c r="K87" s="12">
        <v>10.6</v>
      </c>
      <c r="L87" s="12">
        <v>7.6</v>
      </c>
      <c r="M87" s="12">
        <v>1.3</v>
      </c>
      <c r="N87" s="12">
        <v>0.7</v>
      </c>
      <c r="O87" s="12">
        <v>1.3</v>
      </c>
      <c r="P87" s="12">
        <v>1.1</v>
      </c>
      <c r="Q87" s="12">
        <v>1.76</v>
      </c>
    </row>
    <row r="88">
      <c r="A88" s="12">
        <v>87.0</v>
      </c>
      <c r="B88" s="12">
        <v>82.6</v>
      </c>
      <c r="C88" s="22" t="s">
        <v>359</v>
      </c>
      <c r="D88" s="12" t="s">
        <v>97</v>
      </c>
      <c r="E88" s="12" t="s">
        <v>140</v>
      </c>
      <c r="F88" s="12">
        <v>60.0</v>
      </c>
      <c r="G88" s="12">
        <v>33.1</v>
      </c>
      <c r="H88" s="12" t="s">
        <v>360</v>
      </c>
      <c r="I88" s="12" t="s">
        <v>361</v>
      </c>
      <c r="J88" s="12">
        <v>2.0</v>
      </c>
      <c r="K88" s="12">
        <v>14.8</v>
      </c>
      <c r="L88" s="12">
        <v>4.1</v>
      </c>
      <c r="M88" s="12">
        <v>2.0</v>
      </c>
      <c r="N88" s="12">
        <v>1.5</v>
      </c>
      <c r="O88" s="12">
        <v>0.7</v>
      </c>
      <c r="P88" s="12">
        <v>1.8</v>
      </c>
      <c r="Q88" s="12">
        <v>1.71</v>
      </c>
    </row>
    <row r="89">
      <c r="A89" s="12">
        <v>88.0</v>
      </c>
      <c r="B89" s="12">
        <v>86.5</v>
      </c>
      <c r="C89" s="22" t="s">
        <v>362</v>
      </c>
      <c r="D89" s="12" t="s">
        <v>56</v>
      </c>
      <c r="E89" s="12" t="s">
        <v>243</v>
      </c>
      <c r="F89" s="12">
        <v>76.0</v>
      </c>
      <c r="G89" s="12">
        <v>35.5</v>
      </c>
      <c r="H89" s="12" t="s">
        <v>363</v>
      </c>
      <c r="I89" s="12" t="s">
        <v>364</v>
      </c>
      <c r="J89" s="12">
        <v>2.7</v>
      </c>
      <c r="K89" s="12">
        <v>18.0</v>
      </c>
      <c r="L89" s="12">
        <v>4.6</v>
      </c>
      <c r="M89" s="12">
        <v>4.9</v>
      </c>
      <c r="N89" s="12">
        <v>0.9</v>
      </c>
      <c r="O89" s="12">
        <v>0.2</v>
      </c>
      <c r="P89" s="12">
        <v>2.0</v>
      </c>
      <c r="Q89" s="12">
        <v>1.68</v>
      </c>
    </row>
    <row r="90">
      <c r="A90" s="12">
        <v>89.0</v>
      </c>
      <c r="B90" s="12">
        <v>73.3</v>
      </c>
      <c r="C90" s="22" t="s">
        <v>365</v>
      </c>
      <c r="D90" s="12" t="s">
        <v>97</v>
      </c>
      <c r="E90" s="12" t="s">
        <v>40</v>
      </c>
      <c r="F90" s="12">
        <v>74.0</v>
      </c>
      <c r="G90" s="12">
        <v>31.8</v>
      </c>
      <c r="H90" s="12" t="s">
        <v>366</v>
      </c>
      <c r="I90" s="12" t="s">
        <v>367</v>
      </c>
      <c r="J90" s="12">
        <v>2.9</v>
      </c>
      <c r="K90" s="12">
        <v>17.5</v>
      </c>
      <c r="L90" s="12">
        <v>6.5</v>
      </c>
      <c r="M90" s="12">
        <v>1.4</v>
      </c>
      <c r="N90" s="12">
        <v>0.6</v>
      </c>
      <c r="O90" s="12">
        <v>0.6</v>
      </c>
      <c r="P90" s="12">
        <v>1.2</v>
      </c>
      <c r="Q90" s="12">
        <v>1.68</v>
      </c>
    </row>
    <row r="91">
      <c r="A91" s="12">
        <v>90.0</v>
      </c>
      <c r="B91" s="12">
        <v>102.0</v>
      </c>
      <c r="C91" s="22" t="s">
        <v>368</v>
      </c>
      <c r="D91" s="12" t="s">
        <v>158</v>
      </c>
      <c r="E91" s="12" t="s">
        <v>45</v>
      </c>
      <c r="F91" s="12">
        <v>68.0</v>
      </c>
      <c r="G91" s="12">
        <v>28.7</v>
      </c>
      <c r="H91" s="12" t="s">
        <v>369</v>
      </c>
      <c r="I91" s="12" t="s">
        <v>370</v>
      </c>
      <c r="J91" s="12">
        <v>1.5</v>
      </c>
      <c r="K91" s="12">
        <v>8.7</v>
      </c>
      <c r="L91" s="12">
        <v>3.8</v>
      </c>
      <c r="M91" s="12">
        <v>3.5</v>
      </c>
      <c r="N91" s="12">
        <v>1.6</v>
      </c>
      <c r="O91" s="12">
        <v>0.9</v>
      </c>
      <c r="P91" s="12">
        <v>1.4</v>
      </c>
      <c r="Q91" s="12">
        <v>1.64</v>
      </c>
    </row>
    <row r="92">
      <c r="A92" s="12">
        <v>91.0</v>
      </c>
      <c r="B92" s="12">
        <v>96.2</v>
      </c>
      <c r="C92" s="22" t="s">
        <v>371</v>
      </c>
      <c r="D92" s="12" t="s">
        <v>97</v>
      </c>
      <c r="E92" s="12" t="s">
        <v>209</v>
      </c>
      <c r="F92" s="12">
        <v>71.0</v>
      </c>
      <c r="G92" s="12">
        <v>30.2</v>
      </c>
      <c r="H92" s="12" t="s">
        <v>372</v>
      </c>
      <c r="I92" s="12" t="s">
        <v>373</v>
      </c>
      <c r="J92" s="12">
        <v>1.2</v>
      </c>
      <c r="K92" s="12">
        <v>10.5</v>
      </c>
      <c r="L92" s="12">
        <v>4.2</v>
      </c>
      <c r="M92" s="12">
        <v>2.6</v>
      </c>
      <c r="N92" s="12">
        <v>1.4</v>
      </c>
      <c r="O92" s="12">
        <v>0.9</v>
      </c>
      <c r="P92" s="12">
        <v>1.3</v>
      </c>
      <c r="Q92" s="12">
        <v>1.61</v>
      </c>
    </row>
    <row r="93">
      <c r="A93" s="12">
        <v>92.0</v>
      </c>
      <c r="B93" s="12">
        <v>104.5</v>
      </c>
      <c r="C93" s="22" t="s">
        <v>374</v>
      </c>
      <c r="D93" s="12" t="s">
        <v>62</v>
      </c>
      <c r="E93" s="12" t="s">
        <v>57</v>
      </c>
      <c r="F93" s="12">
        <v>75.0</v>
      </c>
      <c r="G93" s="12">
        <v>24.5</v>
      </c>
      <c r="H93" s="12" t="s">
        <v>375</v>
      </c>
      <c r="I93" s="12" t="s">
        <v>376</v>
      </c>
      <c r="J93" s="12">
        <v>0.0</v>
      </c>
      <c r="K93" s="12">
        <v>10.3</v>
      </c>
      <c r="L93" s="12">
        <v>6.8</v>
      </c>
      <c r="M93" s="12">
        <v>1.4</v>
      </c>
      <c r="N93" s="12">
        <v>0.7</v>
      </c>
      <c r="O93" s="12">
        <v>1.7</v>
      </c>
      <c r="P93" s="12">
        <v>1.1</v>
      </c>
      <c r="Q93" s="12">
        <v>1.61</v>
      </c>
    </row>
    <row r="94">
      <c r="A94" s="12">
        <v>93.0</v>
      </c>
      <c r="B94" s="12">
        <v>101.4</v>
      </c>
      <c r="C94" s="22" t="s">
        <v>377</v>
      </c>
      <c r="D94" s="12" t="s">
        <v>62</v>
      </c>
      <c r="E94" s="12" t="s">
        <v>106</v>
      </c>
      <c r="F94" s="12">
        <v>58.0</v>
      </c>
      <c r="G94" s="12">
        <v>27.3</v>
      </c>
      <c r="H94" s="12" t="s">
        <v>378</v>
      </c>
      <c r="I94" s="12" t="s">
        <v>379</v>
      </c>
      <c r="J94" s="12">
        <v>0.7</v>
      </c>
      <c r="K94" s="12">
        <v>8.2</v>
      </c>
      <c r="L94" s="12">
        <v>6.9</v>
      </c>
      <c r="M94" s="12">
        <v>6.2</v>
      </c>
      <c r="N94" s="12">
        <v>1.1</v>
      </c>
      <c r="O94" s="12">
        <v>0.8</v>
      </c>
      <c r="P94" s="12">
        <v>2.5</v>
      </c>
      <c r="Q94" s="12">
        <v>1.58</v>
      </c>
    </row>
    <row r="95">
      <c r="A95" s="12">
        <v>94.0</v>
      </c>
      <c r="B95" s="12">
        <v>92.7</v>
      </c>
      <c r="C95" s="22" t="s">
        <v>380</v>
      </c>
      <c r="D95" s="12" t="s">
        <v>34</v>
      </c>
      <c r="E95" s="12" t="s">
        <v>126</v>
      </c>
      <c r="F95" s="12">
        <v>68.0</v>
      </c>
      <c r="G95" s="12">
        <v>26.8</v>
      </c>
      <c r="H95" s="12" t="s">
        <v>381</v>
      </c>
      <c r="I95" s="12" t="s">
        <v>382</v>
      </c>
      <c r="J95" s="12">
        <v>0.0</v>
      </c>
      <c r="K95" s="12">
        <v>12.2</v>
      </c>
      <c r="L95" s="12">
        <v>9.1</v>
      </c>
      <c r="M95" s="12">
        <v>2.7</v>
      </c>
      <c r="N95" s="12">
        <v>0.9</v>
      </c>
      <c r="O95" s="12">
        <v>1.4</v>
      </c>
      <c r="P95" s="12">
        <v>1.7</v>
      </c>
      <c r="Q95" s="12">
        <v>1.49</v>
      </c>
    </row>
    <row r="96">
      <c r="A96" s="12">
        <v>95.0</v>
      </c>
      <c r="B96" s="12">
        <v>116.8</v>
      </c>
      <c r="C96" s="22" t="s">
        <v>383</v>
      </c>
      <c r="D96" s="12" t="s">
        <v>158</v>
      </c>
      <c r="E96" s="12" t="s">
        <v>180</v>
      </c>
      <c r="F96" s="12">
        <v>68.0</v>
      </c>
      <c r="G96" s="12">
        <v>27.2</v>
      </c>
      <c r="H96" s="12" t="s">
        <v>384</v>
      </c>
      <c r="I96" s="12" t="s">
        <v>385</v>
      </c>
      <c r="J96" s="12">
        <v>0.3</v>
      </c>
      <c r="K96" s="12">
        <v>12.0</v>
      </c>
      <c r="L96" s="12">
        <v>7.2</v>
      </c>
      <c r="M96" s="12">
        <v>3.2</v>
      </c>
      <c r="N96" s="12">
        <v>1.5</v>
      </c>
      <c r="O96" s="12">
        <v>0.8</v>
      </c>
      <c r="P96" s="12">
        <v>1.8</v>
      </c>
      <c r="Q96" s="12">
        <v>1.46</v>
      </c>
    </row>
    <row r="97">
      <c r="A97" s="12">
        <v>96.0</v>
      </c>
      <c r="B97" s="12">
        <v>86.9</v>
      </c>
      <c r="C97" s="22" t="s">
        <v>386</v>
      </c>
      <c r="D97" s="12" t="s">
        <v>56</v>
      </c>
      <c r="E97" s="12" t="s">
        <v>209</v>
      </c>
      <c r="F97" s="12">
        <v>65.0</v>
      </c>
      <c r="G97" s="12">
        <v>32.0</v>
      </c>
      <c r="H97" s="12" t="s">
        <v>387</v>
      </c>
      <c r="I97" s="12" t="s">
        <v>388</v>
      </c>
      <c r="J97" s="12">
        <v>2.8</v>
      </c>
      <c r="K97" s="12">
        <v>18.3</v>
      </c>
      <c r="L97" s="12">
        <v>3.9</v>
      </c>
      <c r="M97" s="12">
        <v>4.1</v>
      </c>
      <c r="N97" s="12">
        <v>0.8</v>
      </c>
      <c r="O97" s="12">
        <v>0.5</v>
      </c>
      <c r="P97" s="12">
        <v>1.9</v>
      </c>
      <c r="Q97" s="12">
        <v>1.39</v>
      </c>
    </row>
    <row r="98">
      <c r="A98" s="12">
        <v>97.0</v>
      </c>
      <c r="B98" s="12">
        <v>70.1</v>
      </c>
      <c r="C98" s="22" t="s">
        <v>389</v>
      </c>
      <c r="D98" s="12" t="s">
        <v>71</v>
      </c>
      <c r="E98" s="12" t="s">
        <v>291</v>
      </c>
      <c r="F98" s="12">
        <v>69.0</v>
      </c>
      <c r="G98" s="12">
        <v>32.1</v>
      </c>
      <c r="H98" s="12" t="s">
        <v>390</v>
      </c>
      <c r="I98" s="12" t="s">
        <v>391</v>
      </c>
      <c r="J98" s="12">
        <v>2.6</v>
      </c>
      <c r="K98" s="12">
        <v>25.6</v>
      </c>
      <c r="L98" s="12">
        <v>3.3</v>
      </c>
      <c r="M98" s="12">
        <v>2.9</v>
      </c>
      <c r="N98" s="12">
        <v>0.7</v>
      </c>
      <c r="O98" s="12">
        <v>0.3</v>
      </c>
      <c r="P98" s="12">
        <v>2.0</v>
      </c>
      <c r="Q98" s="12">
        <v>1.36</v>
      </c>
    </row>
    <row r="99">
      <c r="A99" s="12">
        <v>98.0</v>
      </c>
      <c r="B99" s="12">
        <v>136.7</v>
      </c>
      <c r="C99" s="22" t="s">
        <v>392</v>
      </c>
      <c r="D99" s="12" t="s">
        <v>62</v>
      </c>
      <c r="E99" s="12" t="s">
        <v>98</v>
      </c>
      <c r="F99" s="12">
        <v>63.0</v>
      </c>
      <c r="G99" s="12">
        <v>27.4</v>
      </c>
      <c r="H99" s="12" t="s">
        <v>393</v>
      </c>
      <c r="I99" s="12" t="s">
        <v>394</v>
      </c>
      <c r="J99" s="12">
        <v>2.1</v>
      </c>
      <c r="K99" s="12">
        <v>9.8</v>
      </c>
      <c r="L99" s="12">
        <v>6.7</v>
      </c>
      <c r="M99" s="12">
        <v>3.0</v>
      </c>
      <c r="N99" s="12">
        <v>0.6</v>
      </c>
      <c r="O99" s="12">
        <v>1.0</v>
      </c>
      <c r="P99" s="12">
        <v>0.7</v>
      </c>
      <c r="Q99" s="12">
        <v>1.36</v>
      </c>
    </row>
    <row r="100">
      <c r="A100" s="12">
        <v>99.0</v>
      </c>
      <c r="B100" s="12">
        <v>91.6</v>
      </c>
      <c r="C100" s="22" t="s">
        <v>395</v>
      </c>
      <c r="D100" s="12" t="s">
        <v>34</v>
      </c>
      <c r="E100" s="12" t="s">
        <v>102</v>
      </c>
      <c r="F100" s="12">
        <v>72.0</v>
      </c>
      <c r="G100" s="12">
        <v>28.5</v>
      </c>
      <c r="H100" s="12" t="s">
        <v>396</v>
      </c>
      <c r="I100" s="12" t="s">
        <v>397</v>
      </c>
      <c r="J100" s="12">
        <v>0.0</v>
      </c>
      <c r="K100" s="12">
        <v>12.3</v>
      </c>
      <c r="L100" s="12">
        <v>10.1</v>
      </c>
      <c r="M100" s="12">
        <v>1.3</v>
      </c>
      <c r="N100" s="12">
        <v>0.4</v>
      </c>
      <c r="O100" s="12">
        <v>1.4</v>
      </c>
      <c r="P100" s="12">
        <v>1.5</v>
      </c>
      <c r="Q100" s="12">
        <v>1.35</v>
      </c>
    </row>
    <row r="101">
      <c r="A101" s="12">
        <v>100.0</v>
      </c>
      <c r="B101" s="12">
        <v>111.1</v>
      </c>
      <c r="C101" s="22" t="s">
        <v>398</v>
      </c>
      <c r="D101" s="12" t="s">
        <v>72</v>
      </c>
      <c r="E101" s="12" t="s">
        <v>74</v>
      </c>
      <c r="F101" s="12">
        <v>62.0</v>
      </c>
      <c r="G101" s="12">
        <v>28.1</v>
      </c>
      <c r="H101" s="12" t="s">
        <v>399</v>
      </c>
      <c r="I101" s="12" t="s">
        <v>400</v>
      </c>
      <c r="J101" s="12">
        <v>1.7</v>
      </c>
      <c r="K101" s="12">
        <v>16.4</v>
      </c>
      <c r="L101" s="12">
        <v>4.4</v>
      </c>
      <c r="M101" s="12">
        <v>4.7</v>
      </c>
      <c r="N101" s="12">
        <v>0.8</v>
      </c>
      <c r="O101" s="12">
        <v>0.2</v>
      </c>
      <c r="P101" s="12">
        <v>2.4</v>
      </c>
      <c r="Q101" s="12">
        <v>1.34</v>
      </c>
    </row>
    <row r="102">
      <c r="A102" s="12">
        <v>101.0</v>
      </c>
      <c r="B102" s="12">
        <v>132.8</v>
      </c>
      <c r="C102" s="22" t="s">
        <v>401</v>
      </c>
      <c r="D102" s="12" t="s">
        <v>44</v>
      </c>
      <c r="E102" s="12" t="s">
        <v>159</v>
      </c>
      <c r="F102" s="12">
        <v>72.0</v>
      </c>
      <c r="G102" s="12">
        <v>29.1</v>
      </c>
      <c r="H102" s="12" t="s">
        <v>402</v>
      </c>
      <c r="I102" s="12" t="s">
        <v>403</v>
      </c>
      <c r="J102" s="12">
        <v>2.2</v>
      </c>
      <c r="K102" s="12">
        <v>11.6</v>
      </c>
      <c r="L102" s="12">
        <v>2.8</v>
      </c>
      <c r="M102" s="12">
        <v>6.0</v>
      </c>
      <c r="N102" s="12">
        <v>1.1</v>
      </c>
      <c r="O102" s="12">
        <v>0.2</v>
      </c>
      <c r="P102" s="12">
        <v>1.4</v>
      </c>
      <c r="Q102" s="12">
        <v>1.3</v>
      </c>
    </row>
    <row r="103">
      <c r="A103" s="12">
        <v>102.0</v>
      </c>
      <c r="B103" s="12">
        <v>88.2</v>
      </c>
      <c r="C103" s="22" t="s">
        <v>404</v>
      </c>
      <c r="D103" s="12" t="s">
        <v>34</v>
      </c>
      <c r="E103" s="12" t="s">
        <v>287</v>
      </c>
      <c r="F103" s="12">
        <v>74.0</v>
      </c>
      <c r="G103" s="12">
        <v>26.8</v>
      </c>
      <c r="H103" s="12" t="s">
        <v>405</v>
      </c>
      <c r="I103" s="12" t="s">
        <v>406</v>
      </c>
      <c r="J103" s="12">
        <v>0.5</v>
      </c>
      <c r="K103" s="12">
        <v>14.2</v>
      </c>
      <c r="L103" s="12">
        <v>10.3</v>
      </c>
      <c r="M103" s="12">
        <v>2.1</v>
      </c>
      <c r="N103" s="12">
        <v>0.4</v>
      </c>
      <c r="O103" s="12">
        <v>0.8</v>
      </c>
      <c r="P103" s="12">
        <v>1.8</v>
      </c>
      <c r="Q103" s="12">
        <v>1.29</v>
      </c>
    </row>
    <row r="104">
      <c r="A104" s="12">
        <v>103.0</v>
      </c>
      <c r="B104" s="12">
        <v>63.0</v>
      </c>
      <c r="C104" s="22" t="s">
        <v>407</v>
      </c>
      <c r="D104" s="12" t="s">
        <v>158</v>
      </c>
      <c r="E104" s="12" t="s">
        <v>136</v>
      </c>
      <c r="F104" s="12">
        <v>74.0</v>
      </c>
      <c r="G104" s="12">
        <v>33.0</v>
      </c>
      <c r="H104" s="12" t="s">
        <v>408</v>
      </c>
      <c r="I104" s="12" t="s">
        <v>409</v>
      </c>
      <c r="J104" s="12">
        <v>2.6</v>
      </c>
      <c r="K104" s="12">
        <v>18.1</v>
      </c>
      <c r="L104" s="12">
        <v>4.4</v>
      </c>
      <c r="M104" s="12">
        <v>2.5</v>
      </c>
      <c r="N104" s="12">
        <v>1.0</v>
      </c>
      <c r="O104" s="12">
        <v>0.6</v>
      </c>
      <c r="P104" s="12">
        <v>1.9</v>
      </c>
      <c r="Q104" s="12">
        <v>1.24</v>
      </c>
    </row>
    <row r="105">
      <c r="A105" s="12">
        <v>104.0</v>
      </c>
      <c r="B105" s="12">
        <v>116.1</v>
      </c>
      <c r="C105" s="22" t="s">
        <v>410</v>
      </c>
      <c r="D105" s="12" t="s">
        <v>44</v>
      </c>
      <c r="E105" s="12" t="s">
        <v>118</v>
      </c>
      <c r="F105" s="12">
        <v>73.0</v>
      </c>
      <c r="G105" s="12">
        <v>29.4</v>
      </c>
      <c r="H105" s="12" t="s">
        <v>411</v>
      </c>
      <c r="I105" s="12" t="s">
        <v>412</v>
      </c>
      <c r="J105" s="12">
        <v>1.7</v>
      </c>
      <c r="K105" s="12">
        <v>12.2</v>
      </c>
      <c r="L105" s="12">
        <v>2.9</v>
      </c>
      <c r="M105" s="12">
        <v>6.8</v>
      </c>
      <c r="N105" s="12">
        <v>1.2</v>
      </c>
      <c r="O105" s="12">
        <v>0.2</v>
      </c>
      <c r="P105" s="12">
        <v>1.1</v>
      </c>
      <c r="Q105" s="12">
        <v>1.23</v>
      </c>
    </row>
    <row r="106">
      <c r="A106" s="12">
        <v>105.0</v>
      </c>
      <c r="B106" s="12">
        <v>76.9</v>
      </c>
      <c r="C106" s="22" t="s">
        <v>414</v>
      </c>
      <c r="D106" s="12" t="s">
        <v>34</v>
      </c>
      <c r="E106" s="12" t="s">
        <v>74</v>
      </c>
      <c r="F106" s="12">
        <v>70.0</v>
      </c>
      <c r="G106" s="12">
        <v>28.5</v>
      </c>
      <c r="H106" s="12" t="s">
        <v>415</v>
      </c>
      <c r="I106" s="12" t="s">
        <v>416</v>
      </c>
      <c r="J106" s="12">
        <v>1.7</v>
      </c>
      <c r="K106" s="12">
        <v>11.7</v>
      </c>
      <c r="L106" s="12">
        <v>4.9</v>
      </c>
      <c r="M106" s="12">
        <v>1.3</v>
      </c>
      <c r="N106" s="12">
        <v>0.5</v>
      </c>
      <c r="O106" s="12">
        <v>2.0</v>
      </c>
      <c r="P106" s="12">
        <v>1.0</v>
      </c>
      <c r="Q106" s="12">
        <v>1.2</v>
      </c>
    </row>
    <row r="107">
      <c r="A107" s="12">
        <v>106.0</v>
      </c>
      <c r="B107" s="12">
        <v>109.6</v>
      </c>
      <c r="C107" s="22" t="s">
        <v>417</v>
      </c>
      <c r="D107" s="12" t="s">
        <v>97</v>
      </c>
      <c r="E107" s="12" t="s">
        <v>259</v>
      </c>
      <c r="F107" s="12">
        <v>55.0</v>
      </c>
      <c r="G107" s="12">
        <v>32.8</v>
      </c>
      <c r="H107" s="12" t="s">
        <v>418</v>
      </c>
      <c r="I107" s="12" t="s">
        <v>419</v>
      </c>
      <c r="J107" s="12">
        <v>2.1</v>
      </c>
      <c r="K107" s="12">
        <v>19.7</v>
      </c>
      <c r="L107" s="12">
        <v>3.9</v>
      </c>
      <c r="M107" s="12">
        <v>2.5</v>
      </c>
      <c r="N107" s="12">
        <v>0.8</v>
      </c>
      <c r="O107" s="12">
        <v>0.7</v>
      </c>
      <c r="P107" s="12">
        <v>1.9</v>
      </c>
      <c r="Q107" s="12">
        <v>1.09</v>
      </c>
    </row>
    <row r="108">
      <c r="A108" s="12">
        <v>107.0</v>
      </c>
      <c r="B108" s="12">
        <v>82.5</v>
      </c>
      <c r="C108" s="22" t="s">
        <v>420</v>
      </c>
      <c r="D108" s="12" t="s">
        <v>73</v>
      </c>
      <c r="E108" s="12" t="s">
        <v>287</v>
      </c>
      <c r="F108" s="12">
        <v>69.0</v>
      </c>
      <c r="G108" s="12">
        <v>32.1</v>
      </c>
      <c r="H108" s="12" t="s">
        <v>421</v>
      </c>
      <c r="I108" s="12" t="s">
        <v>422</v>
      </c>
      <c r="J108" s="12">
        <v>2.3</v>
      </c>
      <c r="K108" s="12">
        <v>21.6</v>
      </c>
      <c r="L108" s="12">
        <v>6.9</v>
      </c>
      <c r="M108" s="12">
        <v>4.0</v>
      </c>
      <c r="N108" s="12">
        <v>0.5</v>
      </c>
      <c r="O108" s="12">
        <v>0.6</v>
      </c>
      <c r="P108" s="12">
        <v>2.8</v>
      </c>
      <c r="Q108" s="12">
        <v>1.06</v>
      </c>
    </row>
    <row r="109">
      <c r="A109" s="12">
        <v>108.0</v>
      </c>
      <c r="B109" s="12">
        <v>132.1</v>
      </c>
      <c r="C109" s="22" t="s">
        <v>423</v>
      </c>
      <c r="D109" s="12" t="s">
        <v>158</v>
      </c>
      <c r="E109" s="12" t="s">
        <v>102</v>
      </c>
      <c r="F109" s="12">
        <v>69.0</v>
      </c>
      <c r="G109" s="12">
        <v>31.8</v>
      </c>
      <c r="H109" s="12" t="s">
        <v>424</v>
      </c>
      <c r="I109" s="12" t="s">
        <v>425</v>
      </c>
      <c r="J109" s="12">
        <v>2.6</v>
      </c>
      <c r="K109" s="12">
        <v>18.8</v>
      </c>
      <c r="L109" s="12">
        <v>3.4</v>
      </c>
      <c r="M109" s="12">
        <v>1.7</v>
      </c>
      <c r="N109" s="12">
        <v>0.8</v>
      </c>
      <c r="O109" s="12">
        <v>0.4</v>
      </c>
      <c r="P109" s="12">
        <v>1.5</v>
      </c>
      <c r="Q109" s="12">
        <v>0.92</v>
      </c>
    </row>
    <row r="110">
      <c r="A110" s="12">
        <v>109.0</v>
      </c>
      <c r="B110" s="12">
        <v>102.7</v>
      </c>
      <c r="C110" s="22" t="s">
        <v>426</v>
      </c>
      <c r="D110" s="12" t="s">
        <v>34</v>
      </c>
      <c r="E110" s="12" t="s">
        <v>93</v>
      </c>
      <c r="F110" s="12">
        <v>70.0</v>
      </c>
      <c r="G110" s="12">
        <v>26.0</v>
      </c>
      <c r="H110" s="12" t="s">
        <v>427</v>
      </c>
      <c r="I110" s="12" t="s">
        <v>428</v>
      </c>
      <c r="J110" s="12">
        <v>0.0</v>
      </c>
      <c r="K110" s="12">
        <v>11.5</v>
      </c>
      <c r="L110" s="12">
        <v>10.7</v>
      </c>
      <c r="M110" s="12">
        <v>1.1</v>
      </c>
      <c r="N110" s="12">
        <v>0.6</v>
      </c>
      <c r="O110" s="12">
        <v>1.3</v>
      </c>
      <c r="P110" s="12">
        <v>0.9</v>
      </c>
      <c r="Q110" s="12">
        <v>0.89</v>
      </c>
    </row>
    <row r="111">
      <c r="A111" s="12">
        <v>110.0</v>
      </c>
      <c r="B111" s="12">
        <v>125.6</v>
      </c>
      <c r="C111" s="22" t="s">
        <v>429</v>
      </c>
      <c r="D111" s="12" t="s">
        <v>62</v>
      </c>
      <c r="E111" s="12" t="s">
        <v>106</v>
      </c>
      <c r="F111" s="12">
        <v>70.0</v>
      </c>
      <c r="G111" s="12">
        <v>26.4</v>
      </c>
      <c r="H111" s="12" t="s">
        <v>430</v>
      </c>
      <c r="I111" s="12" t="s">
        <v>431</v>
      </c>
      <c r="J111" s="12">
        <v>0.0</v>
      </c>
      <c r="K111" s="12">
        <v>12.1</v>
      </c>
      <c r="L111" s="12">
        <v>7.6</v>
      </c>
      <c r="M111" s="12">
        <v>1.8</v>
      </c>
      <c r="N111" s="12">
        <v>0.6</v>
      </c>
      <c r="O111" s="12">
        <v>1.6</v>
      </c>
      <c r="P111" s="12">
        <v>1.1</v>
      </c>
      <c r="Q111" s="12">
        <v>0.71</v>
      </c>
    </row>
    <row r="112">
      <c r="A112" s="12">
        <v>111.0</v>
      </c>
      <c r="B112" s="12">
        <v>92.2</v>
      </c>
      <c r="C112" s="22" t="s">
        <v>432</v>
      </c>
      <c r="D112" s="12" t="s">
        <v>56</v>
      </c>
      <c r="E112" s="12" t="s">
        <v>180</v>
      </c>
      <c r="F112" s="12">
        <v>76.0</v>
      </c>
      <c r="G112" s="12">
        <v>32.0</v>
      </c>
      <c r="H112" s="12" t="s">
        <v>433</v>
      </c>
      <c r="I112" s="12" t="s">
        <v>434</v>
      </c>
      <c r="J112" s="12">
        <v>2.4</v>
      </c>
      <c r="K112" s="12">
        <v>20.5</v>
      </c>
      <c r="L112" s="12">
        <v>4.9</v>
      </c>
      <c r="M112" s="12">
        <v>3.7</v>
      </c>
      <c r="N112" s="12">
        <v>0.9</v>
      </c>
      <c r="O112" s="12">
        <v>0.3</v>
      </c>
      <c r="P112" s="12">
        <v>2.4</v>
      </c>
      <c r="Q112" s="12">
        <v>0.68</v>
      </c>
    </row>
    <row r="113">
      <c r="A113" s="12">
        <v>112.0</v>
      </c>
      <c r="B113" s="12">
        <v>96.4</v>
      </c>
      <c r="C113" s="22" t="s">
        <v>435</v>
      </c>
      <c r="D113" s="12" t="s">
        <v>62</v>
      </c>
      <c r="E113" s="12" t="s">
        <v>159</v>
      </c>
      <c r="F113" s="12">
        <v>77.0</v>
      </c>
      <c r="G113" s="12">
        <v>27.1</v>
      </c>
      <c r="H113" s="12" t="s">
        <v>436</v>
      </c>
      <c r="I113" s="12" t="s">
        <v>437</v>
      </c>
      <c r="J113" s="12">
        <v>2.0</v>
      </c>
      <c r="K113" s="12">
        <v>14.7</v>
      </c>
      <c r="L113" s="12">
        <v>6.2</v>
      </c>
      <c r="M113" s="12">
        <v>1.5</v>
      </c>
      <c r="N113" s="12">
        <v>0.9</v>
      </c>
      <c r="O113" s="12">
        <v>1.0</v>
      </c>
      <c r="P113" s="12">
        <v>1.7</v>
      </c>
      <c r="Q113" s="12">
        <v>0.67</v>
      </c>
    </row>
    <row r="114">
      <c r="A114" s="12">
        <v>113.0</v>
      </c>
      <c r="B114" s="12">
        <v>63.6</v>
      </c>
      <c r="C114" s="22" t="s">
        <v>438</v>
      </c>
      <c r="D114" s="12" t="s">
        <v>73</v>
      </c>
      <c r="E114" s="12" t="s">
        <v>159</v>
      </c>
      <c r="F114" s="12">
        <v>68.0</v>
      </c>
      <c r="G114" s="12">
        <v>32.4</v>
      </c>
      <c r="H114" s="12" t="s">
        <v>439</v>
      </c>
      <c r="I114" s="12" t="s">
        <v>440</v>
      </c>
      <c r="J114" s="12">
        <v>1.4</v>
      </c>
      <c r="K114" s="12">
        <v>20.3</v>
      </c>
      <c r="L114" s="12">
        <v>8.5</v>
      </c>
      <c r="M114" s="12">
        <v>3.9</v>
      </c>
      <c r="N114" s="12">
        <v>0.5</v>
      </c>
      <c r="O114" s="12">
        <v>0.2</v>
      </c>
      <c r="P114" s="12">
        <v>2.6</v>
      </c>
      <c r="Q114" s="12">
        <v>0.64</v>
      </c>
    </row>
    <row r="115">
      <c r="A115" s="12">
        <v>114.0</v>
      </c>
      <c r="B115" s="12">
        <v>110.3</v>
      </c>
      <c r="C115" s="22" t="s">
        <v>441</v>
      </c>
      <c r="D115" s="12" t="s">
        <v>158</v>
      </c>
      <c r="E115" s="12" t="s">
        <v>159</v>
      </c>
      <c r="F115" s="12">
        <v>73.0</v>
      </c>
      <c r="G115" s="12">
        <v>27.3</v>
      </c>
      <c r="H115" s="12" t="s">
        <v>442</v>
      </c>
      <c r="I115" s="12" t="s">
        <v>443</v>
      </c>
      <c r="J115" s="12">
        <v>2.7</v>
      </c>
      <c r="K115" s="12">
        <v>12.7</v>
      </c>
      <c r="L115" s="12">
        <v>3.9</v>
      </c>
      <c r="M115" s="12">
        <v>3.0</v>
      </c>
      <c r="N115" s="12">
        <v>1.3</v>
      </c>
      <c r="O115" s="12">
        <v>0.3</v>
      </c>
      <c r="P115" s="12">
        <v>1.4</v>
      </c>
      <c r="Q115" s="12">
        <v>0.64</v>
      </c>
    </row>
    <row r="116">
      <c r="A116" s="12">
        <v>115.0</v>
      </c>
      <c r="B116" s="12">
        <v>106.7</v>
      </c>
      <c r="C116" s="22" t="s">
        <v>444</v>
      </c>
      <c r="D116" s="12" t="s">
        <v>62</v>
      </c>
      <c r="E116" s="12" t="s">
        <v>148</v>
      </c>
      <c r="F116" s="12">
        <v>67.0</v>
      </c>
      <c r="G116" s="12">
        <v>27.2</v>
      </c>
      <c r="H116" s="12" t="s">
        <v>445</v>
      </c>
      <c r="I116" s="12" t="s">
        <v>446</v>
      </c>
      <c r="J116" s="12">
        <v>1.1</v>
      </c>
      <c r="K116" s="12">
        <v>13.7</v>
      </c>
      <c r="L116" s="12">
        <v>7.3</v>
      </c>
      <c r="M116" s="12">
        <v>1.1</v>
      </c>
      <c r="N116" s="12">
        <v>0.6</v>
      </c>
      <c r="O116" s="12">
        <v>0.9</v>
      </c>
      <c r="P116" s="12">
        <v>1.2</v>
      </c>
      <c r="Q116" s="12">
        <v>0.62</v>
      </c>
    </row>
    <row r="117">
      <c r="A117" s="12">
        <v>116.0</v>
      </c>
      <c r="B117" s="12">
        <v>103.8</v>
      </c>
      <c r="C117" s="22" t="s">
        <v>447</v>
      </c>
      <c r="D117" s="12" t="s">
        <v>44</v>
      </c>
      <c r="E117" s="12" t="s">
        <v>35</v>
      </c>
      <c r="F117" s="12">
        <v>58.0</v>
      </c>
      <c r="G117" s="12">
        <v>26.4</v>
      </c>
      <c r="H117" s="12" t="s">
        <v>448</v>
      </c>
      <c r="I117" s="12" t="s">
        <v>449</v>
      </c>
      <c r="J117" s="12">
        <v>1.3</v>
      </c>
      <c r="K117" s="12">
        <v>10.2</v>
      </c>
      <c r="L117" s="12">
        <v>3.6</v>
      </c>
      <c r="M117" s="12">
        <v>6.9</v>
      </c>
      <c r="N117" s="12">
        <v>1.2</v>
      </c>
      <c r="O117" s="12">
        <v>0.2</v>
      </c>
      <c r="P117" s="12">
        <v>1.4</v>
      </c>
      <c r="Q117" s="12">
        <v>0.56</v>
      </c>
    </row>
    <row r="118">
      <c r="A118" s="12">
        <v>117.0</v>
      </c>
      <c r="B118" s="12">
        <v>84.2</v>
      </c>
      <c r="C118" s="22" t="s">
        <v>450</v>
      </c>
      <c r="D118" s="12" t="s">
        <v>34</v>
      </c>
      <c r="E118" s="12" t="s">
        <v>118</v>
      </c>
      <c r="F118" s="12">
        <v>68.0</v>
      </c>
      <c r="G118" s="12">
        <v>27.5</v>
      </c>
      <c r="H118" s="12" t="s">
        <v>451</v>
      </c>
      <c r="I118" s="12" t="s">
        <v>452</v>
      </c>
      <c r="J118" s="12">
        <v>0.5</v>
      </c>
      <c r="K118" s="12">
        <v>12.2</v>
      </c>
      <c r="L118" s="12">
        <v>10.5</v>
      </c>
      <c r="M118" s="12">
        <v>3.6</v>
      </c>
      <c r="N118" s="12">
        <v>1.0</v>
      </c>
      <c r="O118" s="12">
        <v>1.0</v>
      </c>
      <c r="P118" s="12">
        <v>2.4</v>
      </c>
      <c r="Q118" s="12">
        <v>0.54</v>
      </c>
    </row>
    <row r="119">
      <c r="A119" s="12">
        <v>118.0</v>
      </c>
      <c r="B119" s="12">
        <v>124.0</v>
      </c>
      <c r="C119" s="22" t="s">
        <v>453</v>
      </c>
      <c r="D119" s="12" t="s">
        <v>97</v>
      </c>
      <c r="E119" s="12" t="s">
        <v>291</v>
      </c>
      <c r="F119" s="12">
        <v>60.0</v>
      </c>
      <c r="G119" s="12">
        <v>28.6</v>
      </c>
      <c r="H119" s="12" t="s">
        <v>458</v>
      </c>
      <c r="I119" s="12" t="s">
        <v>459</v>
      </c>
      <c r="J119" s="12">
        <v>2.5</v>
      </c>
      <c r="K119" s="12">
        <v>14.7</v>
      </c>
      <c r="L119" s="12">
        <v>4.5</v>
      </c>
      <c r="M119" s="12">
        <v>2.2</v>
      </c>
      <c r="N119" s="12">
        <v>1.0</v>
      </c>
      <c r="O119" s="12">
        <v>0.3</v>
      </c>
      <c r="P119" s="12">
        <v>1.0</v>
      </c>
      <c r="Q119" s="12">
        <v>0.51</v>
      </c>
    </row>
    <row r="120">
      <c r="A120" s="12">
        <v>119.0</v>
      </c>
      <c r="B120" s="12">
        <v>105.4</v>
      </c>
      <c r="C120" s="22" t="s">
        <v>460</v>
      </c>
      <c r="D120" s="12" t="s">
        <v>44</v>
      </c>
      <c r="E120" s="12" t="s">
        <v>169</v>
      </c>
      <c r="F120" s="12">
        <v>68.0</v>
      </c>
      <c r="G120" s="12">
        <v>31.6</v>
      </c>
      <c r="H120" s="12" t="s">
        <v>465</v>
      </c>
      <c r="I120" s="12" t="s">
        <v>466</v>
      </c>
      <c r="J120" s="12">
        <v>2.2</v>
      </c>
      <c r="K120" s="12">
        <v>17.7</v>
      </c>
      <c r="L120" s="12">
        <v>3.5</v>
      </c>
      <c r="M120" s="12">
        <v>4.5</v>
      </c>
      <c r="N120" s="12">
        <v>1.0</v>
      </c>
      <c r="O120" s="12">
        <v>0.3</v>
      </c>
      <c r="P120" s="12">
        <v>1.7</v>
      </c>
      <c r="Q120" s="12">
        <v>0.46</v>
      </c>
    </row>
    <row r="121">
      <c r="A121" s="12">
        <v>120.0</v>
      </c>
      <c r="B121" s="12">
        <v>142.0</v>
      </c>
      <c r="C121" s="22" t="s">
        <v>467</v>
      </c>
      <c r="D121" s="12" t="s">
        <v>56</v>
      </c>
      <c r="E121" s="12" t="s">
        <v>106</v>
      </c>
      <c r="F121" s="12">
        <v>68.0</v>
      </c>
      <c r="G121" s="12">
        <v>25.3</v>
      </c>
      <c r="H121" s="12" t="s">
        <v>468</v>
      </c>
      <c r="I121" s="12" t="s">
        <v>469</v>
      </c>
      <c r="J121" s="12">
        <v>2.0</v>
      </c>
      <c r="K121" s="12">
        <v>10.1</v>
      </c>
      <c r="L121" s="12">
        <v>3.8</v>
      </c>
      <c r="M121" s="12">
        <v>2.6</v>
      </c>
      <c r="N121" s="12">
        <v>1.6</v>
      </c>
      <c r="O121" s="12">
        <v>0.5</v>
      </c>
      <c r="P121" s="12">
        <v>1.2</v>
      </c>
      <c r="Q121" s="12">
        <v>0.26</v>
      </c>
    </row>
    <row r="122">
      <c r="A122" s="12">
        <v>121.0</v>
      </c>
      <c r="B122" s="12">
        <v>146.3</v>
      </c>
      <c r="C122" s="22" t="s">
        <v>470</v>
      </c>
      <c r="D122" s="12" t="s">
        <v>158</v>
      </c>
      <c r="E122" s="12" t="s">
        <v>144</v>
      </c>
      <c r="F122" s="12">
        <v>68.0</v>
      </c>
      <c r="G122" s="12">
        <v>26.4</v>
      </c>
      <c r="H122" s="12" t="s">
        <v>471</v>
      </c>
      <c r="I122" s="12" t="s">
        <v>472</v>
      </c>
      <c r="J122" s="12">
        <v>1.9</v>
      </c>
      <c r="K122" s="12">
        <v>8.4</v>
      </c>
      <c r="L122" s="12">
        <v>3.3</v>
      </c>
      <c r="M122" s="12">
        <v>2.3</v>
      </c>
      <c r="N122" s="12">
        <v>1.4</v>
      </c>
      <c r="O122" s="12">
        <v>0.8</v>
      </c>
      <c r="P122" s="12">
        <v>1.0</v>
      </c>
      <c r="Q122" s="12">
        <v>0.17</v>
      </c>
    </row>
    <row r="123">
      <c r="A123" s="12">
        <v>122.0</v>
      </c>
      <c r="B123" s="12">
        <v>116.6</v>
      </c>
      <c r="C123" s="22" t="s">
        <v>473</v>
      </c>
      <c r="D123" s="12" t="s">
        <v>71</v>
      </c>
      <c r="E123" s="12" t="s">
        <v>106</v>
      </c>
      <c r="F123" s="12">
        <v>74.0</v>
      </c>
      <c r="G123" s="12">
        <v>29.5</v>
      </c>
      <c r="H123" s="12" t="s">
        <v>474</v>
      </c>
      <c r="I123" s="12" t="s">
        <v>475</v>
      </c>
      <c r="J123" s="12">
        <v>1.5</v>
      </c>
      <c r="K123" s="12">
        <v>11.2</v>
      </c>
      <c r="L123" s="12">
        <v>6.9</v>
      </c>
      <c r="M123" s="12">
        <v>4.4</v>
      </c>
      <c r="N123" s="12">
        <v>1.2</v>
      </c>
      <c r="O123" s="12">
        <v>0.2</v>
      </c>
      <c r="P123" s="12">
        <v>1.4</v>
      </c>
      <c r="Q123" s="12">
        <v>0.14</v>
      </c>
    </row>
    <row r="124">
      <c r="A124" s="12">
        <v>123.0</v>
      </c>
      <c r="B124" s="12">
        <v>139.0</v>
      </c>
      <c r="C124" s="22" t="s">
        <v>476</v>
      </c>
      <c r="D124" s="12" t="s">
        <v>44</v>
      </c>
      <c r="E124" s="12" t="s">
        <v>291</v>
      </c>
      <c r="F124" s="12">
        <v>70.0</v>
      </c>
      <c r="G124" s="12">
        <v>31.0</v>
      </c>
      <c r="H124" s="12" t="s">
        <v>477</v>
      </c>
      <c r="I124" s="12" t="s">
        <v>478</v>
      </c>
      <c r="J124" s="12">
        <v>1.7</v>
      </c>
      <c r="K124" s="12">
        <v>15.1</v>
      </c>
      <c r="L124" s="12">
        <v>3.0</v>
      </c>
      <c r="M124" s="12">
        <v>5.9</v>
      </c>
      <c r="N124" s="12">
        <v>0.8</v>
      </c>
      <c r="O124" s="12">
        <v>0.2</v>
      </c>
      <c r="P124" s="12">
        <v>2.0</v>
      </c>
      <c r="Q124" s="12">
        <v>0.09</v>
      </c>
    </row>
    <row r="125">
      <c r="A125" s="12">
        <v>124.0</v>
      </c>
      <c r="B125" s="12">
        <v>91.0</v>
      </c>
      <c r="C125" s="22" t="s">
        <v>479</v>
      </c>
      <c r="D125" s="12" t="s">
        <v>73</v>
      </c>
      <c r="E125" s="12" t="s">
        <v>106</v>
      </c>
      <c r="F125" s="12">
        <v>72.0</v>
      </c>
      <c r="G125" s="12">
        <v>28.6</v>
      </c>
      <c r="H125" s="12" t="s">
        <v>480</v>
      </c>
      <c r="I125" s="12" t="s">
        <v>481</v>
      </c>
      <c r="J125" s="12">
        <v>0.9</v>
      </c>
      <c r="K125" s="12">
        <v>16.2</v>
      </c>
      <c r="L125" s="12">
        <v>5.1</v>
      </c>
      <c r="M125" s="12">
        <v>2.5</v>
      </c>
      <c r="N125" s="12">
        <v>0.8</v>
      </c>
      <c r="O125" s="12">
        <v>0.6</v>
      </c>
      <c r="P125" s="12">
        <v>1.9</v>
      </c>
      <c r="Q125" s="12">
        <v>0.06</v>
      </c>
    </row>
    <row r="126">
      <c r="A126" s="12">
        <v>125.0</v>
      </c>
      <c r="B126" s="12">
        <v>130.7</v>
      </c>
      <c r="C126" s="22" t="s">
        <v>482</v>
      </c>
      <c r="D126" s="12" t="s">
        <v>56</v>
      </c>
      <c r="E126" s="12" t="s">
        <v>173</v>
      </c>
      <c r="F126" s="12">
        <v>65.0</v>
      </c>
      <c r="G126" s="12">
        <v>31.0</v>
      </c>
      <c r="H126" s="12" t="s">
        <v>483</v>
      </c>
      <c r="I126" s="12" t="s">
        <v>484</v>
      </c>
      <c r="J126" s="12">
        <v>1.9</v>
      </c>
      <c r="K126" s="12">
        <v>12.1</v>
      </c>
      <c r="L126" s="12">
        <v>3.0</v>
      </c>
      <c r="M126" s="12">
        <v>4.7</v>
      </c>
      <c r="N126" s="12">
        <v>1.6</v>
      </c>
      <c r="O126" s="12">
        <v>0.3</v>
      </c>
      <c r="P126" s="12">
        <v>2.5</v>
      </c>
      <c r="Q126" s="12">
        <v>0.0</v>
      </c>
    </row>
    <row r="127">
      <c r="A127" s="12">
        <v>126.0</v>
      </c>
      <c r="B127" s="12">
        <v>144.3</v>
      </c>
      <c r="C127" s="22" t="s">
        <v>485</v>
      </c>
      <c r="D127" s="12" t="s">
        <v>62</v>
      </c>
      <c r="E127" s="12" t="s">
        <v>243</v>
      </c>
      <c r="F127" s="12">
        <v>64.0</v>
      </c>
      <c r="G127" s="12">
        <v>25.0</v>
      </c>
      <c r="H127" s="12" t="s">
        <v>486</v>
      </c>
      <c r="I127" s="12" t="s">
        <v>487</v>
      </c>
      <c r="J127" s="12">
        <v>1.3</v>
      </c>
      <c r="K127" s="12">
        <v>12.9</v>
      </c>
      <c r="L127" s="12">
        <v>7.6</v>
      </c>
      <c r="M127" s="12">
        <v>1.3</v>
      </c>
      <c r="N127" s="12">
        <v>0.4</v>
      </c>
      <c r="O127" s="12">
        <v>1.0</v>
      </c>
      <c r="P127" s="12">
        <v>1.2</v>
      </c>
      <c r="Q127" s="12">
        <v>-0.01</v>
      </c>
    </row>
    <row r="128">
      <c r="A128" s="12">
        <v>127.0</v>
      </c>
      <c r="B128" s="12">
        <v>145.4</v>
      </c>
      <c r="C128" s="22" t="s">
        <v>488</v>
      </c>
      <c r="D128" s="12" t="s">
        <v>158</v>
      </c>
      <c r="E128" s="12" t="s">
        <v>287</v>
      </c>
      <c r="F128" s="12">
        <v>77.0</v>
      </c>
      <c r="G128" s="12">
        <v>31.0</v>
      </c>
      <c r="H128" s="12" t="s">
        <v>489</v>
      </c>
      <c r="I128" s="12" t="s">
        <v>490</v>
      </c>
      <c r="J128" s="12">
        <v>2.7</v>
      </c>
      <c r="K128" s="12">
        <v>15.1</v>
      </c>
      <c r="L128" s="12">
        <v>3.4</v>
      </c>
      <c r="M128" s="12">
        <v>2.4</v>
      </c>
      <c r="N128" s="12">
        <v>0.7</v>
      </c>
      <c r="O128" s="12">
        <v>0.2</v>
      </c>
      <c r="P128" s="12">
        <v>1.2</v>
      </c>
      <c r="Q128" s="12">
        <v>-0.03</v>
      </c>
    </row>
    <row r="129">
      <c r="A129" s="12">
        <v>128.0</v>
      </c>
      <c r="B129" s="12">
        <v>126.5</v>
      </c>
      <c r="C129" s="22" t="s">
        <v>491</v>
      </c>
      <c r="D129" s="12" t="s">
        <v>158</v>
      </c>
      <c r="E129" s="12" t="s">
        <v>106</v>
      </c>
      <c r="F129" s="12">
        <v>78.0</v>
      </c>
      <c r="G129" s="12">
        <v>27.8</v>
      </c>
      <c r="H129" s="12" t="s">
        <v>492</v>
      </c>
      <c r="I129" s="12" t="s">
        <v>493</v>
      </c>
      <c r="J129" s="12">
        <v>2.7</v>
      </c>
      <c r="K129" s="12">
        <v>13.2</v>
      </c>
      <c r="L129" s="12">
        <v>3.8</v>
      </c>
      <c r="M129" s="12">
        <v>2.7</v>
      </c>
      <c r="N129" s="12">
        <v>0.9</v>
      </c>
      <c r="O129" s="12">
        <v>0.4</v>
      </c>
      <c r="P129" s="12">
        <v>1.4</v>
      </c>
      <c r="Q129" s="12">
        <v>-0.07</v>
      </c>
    </row>
    <row r="130">
      <c r="A130" s="12">
        <v>129.0</v>
      </c>
      <c r="B130" s="12">
        <v>106.5</v>
      </c>
      <c r="C130" s="22" t="s">
        <v>494</v>
      </c>
      <c r="D130" s="12" t="s">
        <v>158</v>
      </c>
      <c r="E130" s="12" t="s">
        <v>57</v>
      </c>
      <c r="F130" s="12">
        <v>70.0</v>
      </c>
      <c r="G130" s="12">
        <v>29.4</v>
      </c>
      <c r="H130" s="12" t="s">
        <v>495</v>
      </c>
      <c r="I130" s="12" t="s">
        <v>496</v>
      </c>
      <c r="J130" s="12">
        <v>3.4</v>
      </c>
      <c r="K130" s="12">
        <v>17.2</v>
      </c>
      <c r="L130" s="12">
        <v>3.2</v>
      </c>
      <c r="M130" s="12">
        <v>2.0</v>
      </c>
      <c r="N130" s="12">
        <v>0.6</v>
      </c>
      <c r="O130" s="12">
        <v>0.4</v>
      </c>
      <c r="P130" s="12">
        <v>1.4</v>
      </c>
      <c r="Q130" s="12">
        <v>-0.09</v>
      </c>
    </row>
    <row r="131">
      <c r="A131" s="12">
        <v>130.0</v>
      </c>
      <c r="B131" s="12">
        <v>138.2</v>
      </c>
      <c r="C131" s="22" t="s">
        <v>497</v>
      </c>
      <c r="D131" s="12" t="s">
        <v>56</v>
      </c>
      <c r="E131" s="12" t="s">
        <v>118</v>
      </c>
      <c r="F131" s="12">
        <v>73.0</v>
      </c>
      <c r="G131" s="12">
        <v>27.4</v>
      </c>
      <c r="H131" s="12" t="s">
        <v>498</v>
      </c>
      <c r="I131" s="12" t="s">
        <v>499</v>
      </c>
      <c r="J131" s="12">
        <v>2.2</v>
      </c>
      <c r="K131" s="12">
        <v>11.4</v>
      </c>
      <c r="L131" s="12">
        <v>3.3</v>
      </c>
      <c r="M131" s="12">
        <v>2.4</v>
      </c>
      <c r="N131" s="12">
        <v>0.8</v>
      </c>
      <c r="O131" s="12">
        <v>0.4</v>
      </c>
      <c r="P131" s="12">
        <v>1.0</v>
      </c>
      <c r="Q131" s="12">
        <v>-0.11</v>
      </c>
    </row>
    <row r="132">
      <c r="A132" s="12">
        <v>131.0</v>
      </c>
      <c r="B132" s="12">
        <v>144.9</v>
      </c>
      <c r="C132" s="22" t="s">
        <v>500</v>
      </c>
      <c r="D132" s="12" t="s">
        <v>158</v>
      </c>
      <c r="E132" s="12" t="s">
        <v>102</v>
      </c>
      <c r="F132" s="12">
        <v>76.0</v>
      </c>
      <c r="G132" s="12">
        <v>29.0</v>
      </c>
      <c r="H132" s="12" t="s">
        <v>501</v>
      </c>
      <c r="I132" s="12" t="s">
        <v>502</v>
      </c>
      <c r="J132" s="12">
        <v>1.3</v>
      </c>
      <c r="K132" s="12">
        <v>12.9</v>
      </c>
      <c r="L132" s="12">
        <v>4.8</v>
      </c>
      <c r="M132" s="12">
        <v>2.7</v>
      </c>
      <c r="N132" s="12">
        <v>0.8</v>
      </c>
      <c r="O132" s="12">
        <v>0.4</v>
      </c>
      <c r="P132" s="12">
        <v>1.1</v>
      </c>
      <c r="Q132" s="12">
        <v>-0.12</v>
      </c>
    </row>
    <row r="133">
      <c r="A133" s="12">
        <v>132.0</v>
      </c>
      <c r="B133" s="12">
        <v>115.9</v>
      </c>
      <c r="C133" s="22" t="s">
        <v>503</v>
      </c>
      <c r="D133" s="12" t="s">
        <v>62</v>
      </c>
      <c r="E133" s="12" t="s">
        <v>74</v>
      </c>
      <c r="F133" s="12">
        <v>74.0</v>
      </c>
      <c r="G133" s="12">
        <v>25.2</v>
      </c>
      <c r="H133" s="12" t="s">
        <v>504</v>
      </c>
      <c r="I133" s="12" t="s">
        <v>505</v>
      </c>
      <c r="J133" s="12">
        <v>1.3</v>
      </c>
      <c r="K133" s="12">
        <v>14.1</v>
      </c>
      <c r="L133" s="12">
        <v>8.3</v>
      </c>
      <c r="M133" s="12">
        <v>1.4</v>
      </c>
      <c r="N133" s="12">
        <v>0.7</v>
      </c>
      <c r="O133" s="12">
        <v>0.3</v>
      </c>
      <c r="P133" s="12">
        <v>1.1</v>
      </c>
      <c r="Q133" s="12">
        <v>-0.17</v>
      </c>
    </row>
    <row r="134">
      <c r="A134" s="12">
        <v>133.0</v>
      </c>
      <c r="B134" s="12">
        <v>118.7</v>
      </c>
      <c r="C134" s="22" t="s">
        <v>506</v>
      </c>
      <c r="D134" s="12" t="s">
        <v>56</v>
      </c>
      <c r="E134" s="12" t="s">
        <v>148</v>
      </c>
      <c r="F134" s="12">
        <v>73.0</v>
      </c>
      <c r="G134" s="12">
        <v>31.6</v>
      </c>
      <c r="H134" s="12" t="s">
        <v>507</v>
      </c>
      <c r="I134" s="12" t="s">
        <v>508</v>
      </c>
      <c r="J134" s="12">
        <v>2.4</v>
      </c>
      <c r="K134" s="12">
        <v>16.3</v>
      </c>
      <c r="L134" s="12">
        <v>3.3</v>
      </c>
      <c r="M134" s="12">
        <v>5.2</v>
      </c>
      <c r="N134" s="12">
        <v>0.6</v>
      </c>
      <c r="O134" s="12">
        <v>0.2</v>
      </c>
      <c r="P134" s="12">
        <v>2.6</v>
      </c>
      <c r="Q134" s="12">
        <v>-0.19</v>
      </c>
    </row>
    <row r="135">
      <c r="A135" s="12">
        <v>134.0</v>
      </c>
      <c r="B135" s="12">
        <v>140.4</v>
      </c>
      <c r="C135" s="22" t="s">
        <v>509</v>
      </c>
      <c r="D135" s="12" t="s">
        <v>158</v>
      </c>
      <c r="E135" s="12" t="s">
        <v>236</v>
      </c>
      <c r="F135" s="12">
        <v>76.0</v>
      </c>
      <c r="G135" s="12">
        <v>30.1</v>
      </c>
      <c r="H135" s="12" t="s">
        <v>510</v>
      </c>
      <c r="I135" s="12" t="s">
        <v>511</v>
      </c>
      <c r="J135" s="12">
        <v>1.7</v>
      </c>
      <c r="K135" s="12">
        <v>10.1</v>
      </c>
      <c r="L135" s="12">
        <v>2.5</v>
      </c>
      <c r="M135" s="12">
        <v>2.3</v>
      </c>
      <c r="N135" s="12">
        <v>1.3</v>
      </c>
      <c r="O135" s="12">
        <v>0.5</v>
      </c>
      <c r="P135" s="12">
        <v>1.0</v>
      </c>
      <c r="Q135" s="12">
        <v>-0.25</v>
      </c>
    </row>
    <row r="136">
      <c r="A136" s="12">
        <v>135.0</v>
      </c>
      <c r="B136" s="12">
        <v>133.4</v>
      </c>
      <c r="C136" s="22" t="s">
        <v>512</v>
      </c>
      <c r="D136" s="12" t="s">
        <v>73</v>
      </c>
      <c r="E136" s="12" t="s">
        <v>287</v>
      </c>
      <c r="F136" s="12">
        <v>69.0</v>
      </c>
      <c r="G136" s="12">
        <v>29.9</v>
      </c>
      <c r="H136" s="12" t="s">
        <v>513</v>
      </c>
      <c r="I136" s="12" t="s">
        <v>514</v>
      </c>
      <c r="J136" s="12">
        <v>0.9</v>
      </c>
      <c r="K136" s="12">
        <v>12.2</v>
      </c>
      <c r="L136" s="12">
        <v>6.4</v>
      </c>
      <c r="M136" s="12">
        <v>1.3</v>
      </c>
      <c r="N136" s="12">
        <v>0.8</v>
      </c>
      <c r="O136" s="12">
        <v>1.9</v>
      </c>
      <c r="P136" s="12">
        <v>1.3</v>
      </c>
      <c r="Q136" s="12">
        <v>-0.26</v>
      </c>
    </row>
    <row r="137">
      <c r="A137" s="12">
        <v>136.0</v>
      </c>
      <c r="B137" s="12">
        <v>132.1</v>
      </c>
      <c r="C137" s="22" t="s">
        <v>515</v>
      </c>
      <c r="D137" s="12" t="s">
        <v>56</v>
      </c>
      <c r="E137" s="12" t="s">
        <v>222</v>
      </c>
      <c r="F137" s="12">
        <v>76.0</v>
      </c>
      <c r="G137" s="12">
        <v>30.0</v>
      </c>
      <c r="H137" s="12" t="s">
        <v>516</v>
      </c>
      <c r="I137" s="12" t="s">
        <v>517</v>
      </c>
      <c r="J137" s="12">
        <v>2.2</v>
      </c>
      <c r="K137" s="12">
        <v>18.4</v>
      </c>
      <c r="L137" s="12">
        <v>3.7</v>
      </c>
      <c r="M137" s="12">
        <v>4.6</v>
      </c>
      <c r="N137" s="12">
        <v>0.8</v>
      </c>
      <c r="O137" s="12">
        <v>0.6</v>
      </c>
      <c r="P137" s="12">
        <v>2.7</v>
      </c>
      <c r="Q137" s="12">
        <v>-0.29</v>
      </c>
    </row>
    <row r="138">
      <c r="A138" s="12">
        <v>137.0</v>
      </c>
      <c r="B138" s="12">
        <v>107.7</v>
      </c>
      <c r="C138" s="22" t="s">
        <v>518</v>
      </c>
      <c r="D138" s="12" t="s">
        <v>97</v>
      </c>
      <c r="E138" s="12" t="s">
        <v>126</v>
      </c>
      <c r="F138" s="12">
        <v>72.0</v>
      </c>
      <c r="G138" s="12">
        <v>33.5</v>
      </c>
      <c r="H138" s="12" t="s">
        <v>520</v>
      </c>
      <c r="I138" s="12" t="s">
        <v>521</v>
      </c>
      <c r="J138" s="12">
        <v>1.6</v>
      </c>
      <c r="K138" s="12">
        <v>21.2</v>
      </c>
      <c r="L138" s="12">
        <v>6.4</v>
      </c>
      <c r="M138" s="12">
        <v>3.8</v>
      </c>
      <c r="N138" s="12">
        <v>0.6</v>
      </c>
      <c r="O138" s="12">
        <v>0.4</v>
      </c>
      <c r="P138" s="12">
        <v>2.3</v>
      </c>
      <c r="Q138" s="12">
        <v>-0.3</v>
      </c>
    </row>
    <row r="139">
      <c r="A139" s="12">
        <v>138.0</v>
      </c>
      <c r="B139" s="12">
        <v>134.2</v>
      </c>
      <c r="C139" s="22" t="s">
        <v>522</v>
      </c>
      <c r="D139" s="12" t="s">
        <v>73</v>
      </c>
      <c r="E139" s="12" t="s">
        <v>57</v>
      </c>
      <c r="F139" s="12">
        <v>73.0</v>
      </c>
      <c r="G139" s="12">
        <v>31.2</v>
      </c>
      <c r="H139" s="12" t="s">
        <v>523</v>
      </c>
      <c r="I139" s="12" t="s">
        <v>524</v>
      </c>
      <c r="J139" s="12">
        <v>1.9</v>
      </c>
      <c r="K139" s="12">
        <v>12.4</v>
      </c>
      <c r="L139" s="12">
        <v>5.5</v>
      </c>
      <c r="M139" s="12">
        <v>2.1</v>
      </c>
      <c r="N139" s="12">
        <v>1.1</v>
      </c>
      <c r="O139" s="12">
        <v>0.9</v>
      </c>
      <c r="P139" s="12">
        <v>1.4</v>
      </c>
      <c r="Q139" s="12">
        <v>-0.36</v>
      </c>
    </row>
    <row r="140">
      <c r="A140" s="12">
        <v>139.0</v>
      </c>
      <c r="B140" s="12">
        <v>129.5</v>
      </c>
      <c r="C140" s="22" t="s">
        <v>525</v>
      </c>
      <c r="D140" s="12" t="s">
        <v>158</v>
      </c>
      <c r="E140" s="12" t="s">
        <v>144</v>
      </c>
      <c r="F140" s="12">
        <v>74.0</v>
      </c>
      <c r="G140" s="12">
        <v>25.8</v>
      </c>
      <c r="H140" s="12" t="s">
        <v>526</v>
      </c>
      <c r="I140" s="12" t="s">
        <v>527</v>
      </c>
      <c r="J140" s="12">
        <v>2.0</v>
      </c>
      <c r="K140" s="12">
        <v>14.5</v>
      </c>
      <c r="L140" s="12">
        <v>2.8</v>
      </c>
      <c r="M140" s="12">
        <v>4.5</v>
      </c>
      <c r="N140" s="12">
        <v>0.6</v>
      </c>
      <c r="O140" s="12">
        <v>0.4</v>
      </c>
      <c r="P140" s="12">
        <v>2.0</v>
      </c>
      <c r="Q140" s="12">
        <v>-0.41</v>
      </c>
    </row>
    <row r="141">
      <c r="A141" s="12">
        <v>140.0</v>
      </c>
      <c r="B141" s="12">
        <v>139.5</v>
      </c>
      <c r="C141" s="22" t="s">
        <v>528</v>
      </c>
      <c r="D141" s="12" t="s">
        <v>158</v>
      </c>
      <c r="E141" s="12" t="s">
        <v>45</v>
      </c>
      <c r="F141" s="12">
        <v>76.0</v>
      </c>
      <c r="G141" s="12">
        <v>30.0</v>
      </c>
      <c r="H141" s="12" t="s">
        <v>529</v>
      </c>
      <c r="I141" s="12" t="s">
        <v>530</v>
      </c>
      <c r="J141" s="12">
        <v>2.0</v>
      </c>
      <c r="K141" s="12">
        <v>12.0</v>
      </c>
      <c r="L141" s="12">
        <v>4.2</v>
      </c>
      <c r="M141" s="12">
        <v>1.8</v>
      </c>
      <c r="N141" s="12">
        <v>1.0</v>
      </c>
      <c r="O141" s="12">
        <v>0.7</v>
      </c>
      <c r="P141" s="12">
        <v>1.1</v>
      </c>
      <c r="Q141" s="12">
        <v>-0.48</v>
      </c>
    </row>
    <row r="142">
      <c r="A142" s="12">
        <v>141.0</v>
      </c>
      <c r="B142" s="12">
        <v>138.1</v>
      </c>
      <c r="C142" s="22" t="s">
        <v>531</v>
      </c>
      <c r="D142" s="12" t="s">
        <v>97</v>
      </c>
      <c r="E142" s="12" t="s">
        <v>222</v>
      </c>
      <c r="F142" s="12">
        <v>69.0</v>
      </c>
      <c r="G142" s="12">
        <v>28.1</v>
      </c>
      <c r="H142" s="12" t="s">
        <v>532</v>
      </c>
      <c r="I142" s="12" t="s">
        <v>533</v>
      </c>
      <c r="J142" s="12">
        <v>0.4</v>
      </c>
      <c r="K142" s="12">
        <v>10.6</v>
      </c>
      <c r="L142" s="12">
        <v>7.2</v>
      </c>
      <c r="M142" s="12">
        <v>2.2</v>
      </c>
      <c r="N142" s="12">
        <v>1.2</v>
      </c>
      <c r="O142" s="12">
        <v>1.1</v>
      </c>
      <c r="P142" s="12">
        <v>1.5</v>
      </c>
      <c r="Q142" s="12">
        <v>-0.48</v>
      </c>
    </row>
    <row r="143">
      <c r="A143" s="12">
        <v>142.0</v>
      </c>
      <c r="B143" s="12">
        <v>136.5</v>
      </c>
      <c r="C143" s="22" t="s">
        <v>534</v>
      </c>
      <c r="D143" s="12" t="s">
        <v>97</v>
      </c>
      <c r="E143" s="12" t="s">
        <v>63</v>
      </c>
      <c r="F143" s="12">
        <v>66.0</v>
      </c>
      <c r="G143" s="12">
        <v>29.2</v>
      </c>
      <c r="H143" s="12" t="s">
        <v>535</v>
      </c>
      <c r="I143" s="12" t="s">
        <v>536</v>
      </c>
      <c r="J143" s="12">
        <v>1.5</v>
      </c>
      <c r="K143" s="12">
        <v>14.8</v>
      </c>
      <c r="L143" s="12">
        <v>5.2</v>
      </c>
      <c r="M143" s="12">
        <v>1.3</v>
      </c>
      <c r="N143" s="12">
        <v>0.7</v>
      </c>
      <c r="O143" s="12">
        <v>0.5</v>
      </c>
      <c r="P143" s="12">
        <v>0.9</v>
      </c>
      <c r="Q143" s="12">
        <v>-0.56</v>
      </c>
    </row>
    <row r="144">
      <c r="A144" s="12">
        <v>143.0</v>
      </c>
      <c r="B144" s="12">
        <v>116.3</v>
      </c>
      <c r="C144" s="22" t="s">
        <v>537</v>
      </c>
      <c r="D144" s="12" t="s">
        <v>97</v>
      </c>
      <c r="E144" s="12" t="s">
        <v>140</v>
      </c>
      <c r="F144" s="12">
        <v>76.0</v>
      </c>
      <c r="G144" s="12">
        <v>32.2</v>
      </c>
      <c r="H144" s="12" t="s">
        <v>538</v>
      </c>
      <c r="I144" s="12" t="s">
        <v>539</v>
      </c>
      <c r="J144" s="12">
        <v>0.9</v>
      </c>
      <c r="K144" s="12">
        <v>9.1</v>
      </c>
      <c r="L144" s="12">
        <v>7.9</v>
      </c>
      <c r="M144" s="12">
        <v>3.9</v>
      </c>
      <c r="N144" s="12">
        <v>1.0</v>
      </c>
      <c r="O144" s="12">
        <v>0.3</v>
      </c>
      <c r="P144" s="12">
        <v>1.7</v>
      </c>
      <c r="Q144" s="12">
        <v>-0.57</v>
      </c>
    </row>
    <row r="145">
      <c r="A145" s="12">
        <v>144.0</v>
      </c>
      <c r="B145" s="12">
        <v>142.1</v>
      </c>
      <c r="C145" s="22" t="s">
        <v>540</v>
      </c>
      <c r="D145" s="12" t="s">
        <v>34</v>
      </c>
      <c r="E145" s="12" t="s">
        <v>236</v>
      </c>
      <c r="F145" s="12">
        <v>58.0</v>
      </c>
      <c r="G145" s="12">
        <v>27.1</v>
      </c>
      <c r="H145" s="12" t="s">
        <v>541</v>
      </c>
      <c r="I145" s="12" t="s">
        <v>542</v>
      </c>
      <c r="J145" s="12">
        <v>1.3</v>
      </c>
      <c r="K145" s="12">
        <v>13.0</v>
      </c>
      <c r="L145" s="12">
        <v>7.7</v>
      </c>
      <c r="M145" s="12">
        <v>2.0</v>
      </c>
      <c r="N145" s="12">
        <v>0.6</v>
      </c>
      <c r="O145" s="12">
        <v>0.5</v>
      </c>
      <c r="P145" s="12">
        <v>1.5</v>
      </c>
      <c r="Q145" s="12">
        <v>-0.62</v>
      </c>
    </row>
    <row r="146">
      <c r="A146" s="12">
        <v>145.0</v>
      </c>
      <c r="B146" s="12">
        <v>141.7</v>
      </c>
      <c r="C146" s="22" t="s">
        <v>543</v>
      </c>
      <c r="D146" s="12" t="s">
        <v>97</v>
      </c>
      <c r="E146" s="12" t="s">
        <v>35</v>
      </c>
      <c r="F146" s="12">
        <v>72.0</v>
      </c>
      <c r="G146" s="12">
        <v>31.2</v>
      </c>
      <c r="H146" s="12" t="s">
        <v>544</v>
      </c>
      <c r="I146" s="12" t="s">
        <v>545</v>
      </c>
      <c r="J146" s="12">
        <v>1.0</v>
      </c>
      <c r="K146" s="12">
        <v>12.4</v>
      </c>
      <c r="L146" s="12">
        <v>6.8</v>
      </c>
      <c r="M146" s="12">
        <v>3.2</v>
      </c>
      <c r="N146" s="12">
        <v>1.0</v>
      </c>
      <c r="O146" s="12">
        <v>0.6</v>
      </c>
      <c r="P146" s="12">
        <v>2.0</v>
      </c>
      <c r="Q146" s="12">
        <v>-0.66</v>
      </c>
    </row>
    <row r="147">
      <c r="A147" s="12">
        <v>146.0</v>
      </c>
      <c r="B147" s="12">
        <v>137.4</v>
      </c>
      <c r="C147" s="22" t="s">
        <v>546</v>
      </c>
      <c r="D147" s="12" t="s">
        <v>97</v>
      </c>
      <c r="E147" s="12" t="s">
        <v>89</v>
      </c>
      <c r="F147" s="12">
        <v>72.0</v>
      </c>
      <c r="G147" s="12">
        <v>28.7</v>
      </c>
      <c r="H147" s="12" t="s">
        <v>547</v>
      </c>
      <c r="I147" s="12" t="s">
        <v>548</v>
      </c>
      <c r="J147" s="12">
        <v>1.9</v>
      </c>
      <c r="K147" s="12">
        <v>11.9</v>
      </c>
      <c r="L147" s="12">
        <v>4.1</v>
      </c>
      <c r="M147" s="12">
        <v>1.5</v>
      </c>
      <c r="N147" s="12">
        <v>0.9</v>
      </c>
      <c r="O147" s="12">
        <v>0.6</v>
      </c>
      <c r="P147" s="12">
        <v>1.0</v>
      </c>
      <c r="Q147" s="12">
        <v>-0.68</v>
      </c>
    </row>
    <row r="148">
      <c r="A148" s="12">
        <v>147.0</v>
      </c>
      <c r="B148" s="188"/>
      <c r="C148" s="22" t="s">
        <v>549</v>
      </c>
      <c r="D148" s="12" t="s">
        <v>62</v>
      </c>
      <c r="E148" s="12" t="s">
        <v>173</v>
      </c>
      <c r="F148" s="12">
        <v>60.0</v>
      </c>
      <c r="G148" s="12">
        <v>22.5</v>
      </c>
      <c r="H148" s="12" t="s">
        <v>550</v>
      </c>
      <c r="I148" s="12" t="s">
        <v>551</v>
      </c>
      <c r="J148" s="12">
        <v>0.0</v>
      </c>
      <c r="K148" s="12">
        <v>11.4</v>
      </c>
      <c r="L148" s="12">
        <v>6.2</v>
      </c>
      <c r="M148" s="12">
        <v>1.5</v>
      </c>
      <c r="N148" s="12">
        <v>0.7</v>
      </c>
      <c r="O148" s="12">
        <v>0.8</v>
      </c>
      <c r="P148" s="12">
        <v>1.1</v>
      </c>
      <c r="Q148" s="12">
        <v>-0.71</v>
      </c>
    </row>
    <row r="149">
      <c r="A149" s="12">
        <v>148.0</v>
      </c>
      <c r="B149" s="12">
        <v>143.1</v>
      </c>
      <c r="C149" s="22" t="s">
        <v>552</v>
      </c>
      <c r="D149" s="12" t="s">
        <v>62</v>
      </c>
      <c r="E149" s="12" t="s">
        <v>287</v>
      </c>
      <c r="F149" s="12">
        <v>55.0</v>
      </c>
      <c r="G149" s="12">
        <v>25.4</v>
      </c>
      <c r="H149" s="12" t="s">
        <v>553</v>
      </c>
      <c r="I149" s="12" t="s">
        <v>554</v>
      </c>
      <c r="J149" s="12">
        <v>0.3</v>
      </c>
      <c r="K149" s="12">
        <v>13.4</v>
      </c>
      <c r="L149" s="12">
        <v>7.2</v>
      </c>
      <c r="M149" s="12">
        <v>1.1</v>
      </c>
      <c r="N149" s="12">
        <v>0.5</v>
      </c>
      <c r="O149" s="12">
        <v>0.8</v>
      </c>
      <c r="P149" s="12">
        <v>1.3</v>
      </c>
      <c r="Q149" s="12">
        <v>-0.72</v>
      </c>
    </row>
    <row r="150">
      <c r="A150" s="12">
        <v>149.0</v>
      </c>
      <c r="B150" s="12">
        <v>140.3</v>
      </c>
      <c r="C150" s="22" t="s">
        <v>555</v>
      </c>
      <c r="D150" s="12" t="s">
        <v>34</v>
      </c>
      <c r="E150" s="12" t="s">
        <v>126</v>
      </c>
      <c r="F150" s="12">
        <v>69.0</v>
      </c>
      <c r="G150" s="12">
        <v>22.4</v>
      </c>
      <c r="H150" s="12" t="s">
        <v>556</v>
      </c>
      <c r="I150" s="12" t="s">
        <v>557</v>
      </c>
      <c r="J150" s="12">
        <v>0.9</v>
      </c>
      <c r="K150" s="12">
        <v>9.6</v>
      </c>
      <c r="L150" s="12">
        <v>5.0</v>
      </c>
      <c r="M150" s="12">
        <v>3.4</v>
      </c>
      <c r="N150" s="12">
        <v>0.8</v>
      </c>
      <c r="O150" s="12">
        <v>0.4</v>
      </c>
      <c r="P150" s="12">
        <v>1.9</v>
      </c>
      <c r="Q150" s="12">
        <v>-0.73</v>
      </c>
    </row>
    <row r="151">
      <c r="A151" s="12">
        <v>150.0</v>
      </c>
      <c r="B151" s="12">
        <v>144.6</v>
      </c>
      <c r="C151" s="22" t="s">
        <v>558</v>
      </c>
      <c r="D151" s="12" t="s">
        <v>158</v>
      </c>
      <c r="E151" s="12" t="s">
        <v>287</v>
      </c>
      <c r="F151" s="12">
        <v>68.0</v>
      </c>
      <c r="G151" s="12">
        <v>30.2</v>
      </c>
      <c r="H151" s="12" t="s">
        <v>559</v>
      </c>
      <c r="I151" s="12" t="s">
        <v>560</v>
      </c>
      <c r="J151" s="12">
        <v>1.3</v>
      </c>
      <c r="K151" s="12">
        <v>11.2</v>
      </c>
      <c r="L151" s="12">
        <v>5.3</v>
      </c>
      <c r="M151" s="12">
        <v>2.3</v>
      </c>
      <c r="N151" s="12">
        <v>1.2</v>
      </c>
      <c r="O151" s="12">
        <v>1.0</v>
      </c>
      <c r="P151" s="12">
        <v>1.8</v>
      </c>
      <c r="Q151" s="12">
        <v>-0.78</v>
      </c>
    </row>
    <row r="152">
      <c r="A152" s="12">
        <v>151.0</v>
      </c>
      <c r="B152" s="12">
        <v>144.2</v>
      </c>
      <c r="C152" s="22" t="s">
        <v>561</v>
      </c>
      <c r="D152" s="12" t="s">
        <v>44</v>
      </c>
      <c r="E152" s="12" t="s">
        <v>102</v>
      </c>
      <c r="F152" s="12">
        <v>65.0</v>
      </c>
      <c r="G152" s="12">
        <v>26.2</v>
      </c>
      <c r="H152" s="12" t="s">
        <v>562</v>
      </c>
      <c r="I152" s="12" t="s">
        <v>563</v>
      </c>
      <c r="J152" s="12">
        <v>1.8</v>
      </c>
      <c r="K152" s="12">
        <v>14.2</v>
      </c>
      <c r="L152" s="12">
        <v>3.9</v>
      </c>
      <c r="M152" s="12">
        <v>4.3</v>
      </c>
      <c r="N152" s="12">
        <v>1.0</v>
      </c>
      <c r="O152" s="12">
        <v>0.2</v>
      </c>
      <c r="P152" s="12">
        <v>2.4</v>
      </c>
      <c r="Q152" s="12">
        <v>-0.81</v>
      </c>
    </row>
    <row r="153">
      <c r="A153" s="12">
        <v>152.0</v>
      </c>
      <c r="B153" s="12">
        <v>149.5</v>
      </c>
      <c r="C153" s="22" t="s">
        <v>564</v>
      </c>
      <c r="D153" s="12" t="s">
        <v>158</v>
      </c>
      <c r="E153" s="12" t="s">
        <v>126</v>
      </c>
      <c r="F153" s="12">
        <v>72.0</v>
      </c>
      <c r="G153" s="12">
        <v>28.5</v>
      </c>
      <c r="H153" s="12" t="s">
        <v>565</v>
      </c>
      <c r="I153" s="12" t="s">
        <v>566</v>
      </c>
      <c r="J153" s="12">
        <v>1.0</v>
      </c>
      <c r="K153" s="12">
        <v>11.5</v>
      </c>
      <c r="L153" s="12">
        <v>4.3</v>
      </c>
      <c r="M153" s="12">
        <v>3.2</v>
      </c>
      <c r="N153" s="12">
        <v>1.0</v>
      </c>
      <c r="O153" s="12">
        <v>0.5</v>
      </c>
      <c r="P153" s="12">
        <v>1.5</v>
      </c>
      <c r="Q153" s="12">
        <v>-0.81</v>
      </c>
    </row>
    <row r="154">
      <c r="A154" s="12">
        <v>153.0</v>
      </c>
      <c r="B154" s="12">
        <v>142.5</v>
      </c>
      <c r="C154" s="22" t="s">
        <v>567</v>
      </c>
      <c r="D154" s="12" t="s">
        <v>158</v>
      </c>
      <c r="E154" s="12" t="s">
        <v>67</v>
      </c>
      <c r="F154" s="12">
        <v>65.0</v>
      </c>
      <c r="G154" s="12">
        <v>30.0</v>
      </c>
      <c r="H154" s="12" t="s">
        <v>568</v>
      </c>
      <c r="I154" s="12" t="s">
        <v>569</v>
      </c>
      <c r="J154" s="12">
        <v>1.8</v>
      </c>
      <c r="K154" s="12">
        <v>16.6</v>
      </c>
      <c r="L154" s="12">
        <v>5.0</v>
      </c>
      <c r="M154" s="12">
        <v>1.3</v>
      </c>
      <c r="N154" s="12">
        <v>1.2</v>
      </c>
      <c r="O154" s="12">
        <v>0.6</v>
      </c>
      <c r="P154" s="12">
        <v>1.3</v>
      </c>
      <c r="Q154" s="12">
        <v>-0.82</v>
      </c>
    </row>
    <row r="155">
      <c r="A155" s="12">
        <v>154.0</v>
      </c>
      <c r="B155" s="12">
        <v>145.5</v>
      </c>
      <c r="C155" s="22" t="s">
        <v>570</v>
      </c>
      <c r="D155" s="12" t="s">
        <v>34</v>
      </c>
      <c r="E155" s="12" t="s">
        <v>136</v>
      </c>
      <c r="F155" s="12">
        <v>67.0</v>
      </c>
      <c r="G155" s="12">
        <v>25.2</v>
      </c>
      <c r="H155" s="12" t="s">
        <v>571</v>
      </c>
      <c r="I155" s="12" t="s">
        <v>572</v>
      </c>
      <c r="J155" s="12">
        <v>0.0</v>
      </c>
      <c r="K155" s="12">
        <v>9.8</v>
      </c>
      <c r="L155" s="12">
        <v>8.0</v>
      </c>
      <c r="M155" s="12">
        <v>0.8</v>
      </c>
      <c r="N155" s="12">
        <v>0.3</v>
      </c>
      <c r="O155" s="12">
        <v>1.1</v>
      </c>
      <c r="P155" s="12">
        <v>1.1</v>
      </c>
      <c r="Q155" s="12">
        <v>-0.84</v>
      </c>
    </row>
    <row r="156">
      <c r="A156" s="12">
        <v>155.0</v>
      </c>
      <c r="B156" s="12">
        <v>144.2</v>
      </c>
      <c r="C156" s="22" t="s">
        <v>573</v>
      </c>
      <c r="D156" s="12" t="s">
        <v>574</v>
      </c>
      <c r="E156" s="12" t="s">
        <v>291</v>
      </c>
      <c r="F156" s="12">
        <v>67.0</v>
      </c>
      <c r="G156" s="12">
        <v>24.2</v>
      </c>
      <c r="H156" s="12" t="s">
        <v>575</v>
      </c>
      <c r="I156" s="12" t="s">
        <v>576</v>
      </c>
      <c r="J156" s="12">
        <v>0.9</v>
      </c>
      <c r="K156" s="12">
        <v>9.7</v>
      </c>
      <c r="L156" s="12">
        <v>5.8</v>
      </c>
      <c r="M156" s="12">
        <v>1.3</v>
      </c>
      <c r="N156" s="12">
        <v>0.6</v>
      </c>
      <c r="O156" s="12">
        <v>1.1</v>
      </c>
      <c r="P156" s="12">
        <v>1.1</v>
      </c>
      <c r="Q156" s="12">
        <v>-0.86</v>
      </c>
    </row>
    <row r="157">
      <c r="A157" s="12">
        <v>156.0</v>
      </c>
      <c r="B157" s="12">
        <v>140.1</v>
      </c>
      <c r="C157" s="22" t="s">
        <v>577</v>
      </c>
      <c r="D157" s="12" t="s">
        <v>34</v>
      </c>
      <c r="E157" s="12" t="s">
        <v>140</v>
      </c>
      <c r="F157" s="12">
        <v>48.0</v>
      </c>
      <c r="G157" s="12">
        <v>26.0</v>
      </c>
      <c r="H157" s="12" t="s">
        <v>578</v>
      </c>
      <c r="I157" s="12" t="s">
        <v>579</v>
      </c>
      <c r="J157" s="12">
        <v>0.0</v>
      </c>
      <c r="K157" s="12">
        <v>6.8</v>
      </c>
      <c r="L157" s="12">
        <v>9.1</v>
      </c>
      <c r="M157" s="12">
        <v>0.8</v>
      </c>
      <c r="N157" s="12">
        <v>1.0</v>
      </c>
      <c r="O157" s="12">
        <v>1.6</v>
      </c>
      <c r="P157" s="12">
        <v>0.7</v>
      </c>
      <c r="Q157" s="12">
        <v>-0.88</v>
      </c>
    </row>
    <row r="158">
      <c r="A158" s="12">
        <v>157.0</v>
      </c>
      <c r="B158" s="12">
        <v>143.3</v>
      </c>
      <c r="C158" s="22" t="s">
        <v>580</v>
      </c>
      <c r="D158" s="12" t="s">
        <v>34</v>
      </c>
      <c r="E158" s="12" t="s">
        <v>259</v>
      </c>
      <c r="F158" s="12">
        <v>67.0</v>
      </c>
      <c r="G158" s="12">
        <v>22.8</v>
      </c>
      <c r="H158" s="12" t="s">
        <v>581</v>
      </c>
      <c r="I158" s="12" t="s">
        <v>582</v>
      </c>
      <c r="J158" s="12">
        <v>0.3</v>
      </c>
      <c r="K158" s="12">
        <v>10.2</v>
      </c>
      <c r="L158" s="12">
        <v>5.6</v>
      </c>
      <c r="M158" s="12">
        <v>1.2</v>
      </c>
      <c r="N158" s="12">
        <v>0.4</v>
      </c>
      <c r="O158" s="12">
        <v>1.9</v>
      </c>
      <c r="P158" s="12">
        <v>0.6</v>
      </c>
      <c r="Q158" s="12">
        <v>-0.9</v>
      </c>
    </row>
    <row r="159">
      <c r="A159" s="12">
        <v>158.0</v>
      </c>
      <c r="B159" s="12">
        <v>144.0</v>
      </c>
      <c r="C159" s="22" t="s">
        <v>583</v>
      </c>
      <c r="D159" s="12" t="s">
        <v>97</v>
      </c>
      <c r="E159" s="12" t="s">
        <v>180</v>
      </c>
      <c r="F159" s="12">
        <v>67.0</v>
      </c>
      <c r="G159" s="12">
        <v>22.4</v>
      </c>
      <c r="H159" s="12" t="s">
        <v>584</v>
      </c>
      <c r="I159" s="12" t="s">
        <v>585</v>
      </c>
      <c r="J159" s="12">
        <v>0.8</v>
      </c>
      <c r="K159" s="12">
        <v>9.8</v>
      </c>
      <c r="L159" s="12">
        <v>7.1</v>
      </c>
      <c r="M159" s="12">
        <v>1.2</v>
      </c>
      <c r="N159" s="12">
        <v>1.3</v>
      </c>
      <c r="O159" s="12">
        <v>0.7</v>
      </c>
      <c r="P159" s="12">
        <v>1.2</v>
      </c>
      <c r="Q159" s="12">
        <v>-0.91</v>
      </c>
    </row>
    <row r="160">
      <c r="A160" s="12">
        <v>159.0</v>
      </c>
      <c r="B160" s="12">
        <v>116.7</v>
      </c>
      <c r="C160" s="22" t="s">
        <v>586</v>
      </c>
      <c r="D160" s="12" t="s">
        <v>62</v>
      </c>
      <c r="E160" s="12" t="s">
        <v>40</v>
      </c>
      <c r="F160" s="12">
        <v>72.0</v>
      </c>
      <c r="G160" s="12">
        <v>31.0</v>
      </c>
      <c r="H160" s="12" t="s">
        <v>587</v>
      </c>
      <c r="I160" s="12" t="s">
        <v>588</v>
      </c>
      <c r="J160" s="12">
        <v>0.7</v>
      </c>
      <c r="K160" s="12">
        <v>15.3</v>
      </c>
      <c r="L160" s="12">
        <v>6.6</v>
      </c>
      <c r="M160" s="12">
        <v>3.3</v>
      </c>
      <c r="N160" s="12">
        <v>0.8</v>
      </c>
      <c r="O160" s="12">
        <v>0.7</v>
      </c>
      <c r="P160" s="12">
        <v>1.5</v>
      </c>
      <c r="Q160" s="12">
        <v>-0.91</v>
      </c>
    </row>
    <row r="161">
      <c r="A161" s="12">
        <v>160.0</v>
      </c>
      <c r="B161" s="12">
        <v>141.5</v>
      </c>
      <c r="C161" s="22" t="s">
        <v>589</v>
      </c>
      <c r="D161" s="12" t="s">
        <v>44</v>
      </c>
      <c r="E161" s="12" t="s">
        <v>35</v>
      </c>
      <c r="F161" s="12">
        <v>74.0</v>
      </c>
      <c r="G161" s="12">
        <v>24.4</v>
      </c>
      <c r="H161" s="12" t="s">
        <v>590</v>
      </c>
      <c r="I161" s="12" t="s">
        <v>591</v>
      </c>
      <c r="J161" s="12">
        <v>0.7</v>
      </c>
      <c r="K161" s="12">
        <v>9.8</v>
      </c>
      <c r="L161" s="12">
        <v>3.2</v>
      </c>
      <c r="M161" s="12">
        <v>5.5</v>
      </c>
      <c r="N161" s="12">
        <v>1.0</v>
      </c>
      <c r="O161" s="12">
        <v>0.1</v>
      </c>
      <c r="P161" s="12">
        <v>1.4</v>
      </c>
      <c r="Q161" s="12">
        <v>-0.93</v>
      </c>
    </row>
    <row r="162">
      <c r="A162" s="12">
        <v>161.0</v>
      </c>
      <c r="B162" s="12">
        <v>103.5</v>
      </c>
      <c r="C162" s="22" t="s">
        <v>592</v>
      </c>
      <c r="D162" s="12" t="s">
        <v>34</v>
      </c>
      <c r="E162" s="12" t="s">
        <v>173</v>
      </c>
      <c r="F162" s="12">
        <v>68.0</v>
      </c>
      <c r="G162" s="12">
        <v>26.2</v>
      </c>
      <c r="H162" s="12" t="s">
        <v>593</v>
      </c>
      <c r="I162" s="12" t="s">
        <v>594</v>
      </c>
      <c r="J162" s="12">
        <v>0.0</v>
      </c>
      <c r="K162" s="12">
        <v>10.2</v>
      </c>
      <c r="L162" s="12">
        <v>7.2</v>
      </c>
      <c r="M162" s="12">
        <v>1.3</v>
      </c>
      <c r="N162" s="12">
        <v>0.3</v>
      </c>
      <c r="O162" s="12">
        <v>1.3</v>
      </c>
      <c r="P162" s="12">
        <v>1.0</v>
      </c>
      <c r="Q162" s="12">
        <v>-1.02</v>
      </c>
    </row>
    <row r="163">
      <c r="A163" s="12">
        <v>162.0</v>
      </c>
      <c r="B163" s="12">
        <v>130.8</v>
      </c>
      <c r="C163" s="22" t="s">
        <v>595</v>
      </c>
      <c r="D163" s="12" t="s">
        <v>44</v>
      </c>
      <c r="E163" s="12" t="s">
        <v>259</v>
      </c>
      <c r="F163" s="12">
        <v>67.0</v>
      </c>
      <c r="G163" s="12">
        <v>30.1</v>
      </c>
      <c r="H163" s="12" t="s">
        <v>596</v>
      </c>
      <c r="I163" s="12" t="s">
        <v>597</v>
      </c>
      <c r="J163" s="12">
        <v>1.5</v>
      </c>
      <c r="K163" s="12">
        <v>15.7</v>
      </c>
      <c r="L163" s="12">
        <v>3.3</v>
      </c>
      <c r="M163" s="12">
        <v>5.8</v>
      </c>
      <c r="N163" s="12">
        <v>1.0</v>
      </c>
      <c r="O163" s="12">
        <v>0.3</v>
      </c>
      <c r="P163" s="12">
        <v>3.3</v>
      </c>
      <c r="Q163" s="12">
        <v>-1.02</v>
      </c>
    </row>
    <row r="164">
      <c r="A164" s="12">
        <v>163.0</v>
      </c>
      <c r="B164" s="12">
        <v>140.2</v>
      </c>
      <c r="C164" s="22" t="s">
        <v>598</v>
      </c>
      <c r="D164" s="12" t="s">
        <v>44</v>
      </c>
      <c r="E164" s="12" t="s">
        <v>67</v>
      </c>
      <c r="F164" s="12">
        <v>58.0</v>
      </c>
      <c r="G164" s="12">
        <v>27.7</v>
      </c>
      <c r="H164" s="12" t="s">
        <v>599</v>
      </c>
      <c r="I164" s="12" t="s">
        <v>600</v>
      </c>
      <c r="J164" s="12">
        <v>1.7</v>
      </c>
      <c r="K164" s="12">
        <v>9.1</v>
      </c>
      <c r="L164" s="12">
        <v>3.4</v>
      </c>
      <c r="M164" s="12">
        <v>4.4</v>
      </c>
      <c r="N164" s="12">
        <v>1.0</v>
      </c>
      <c r="O164" s="12">
        <v>0.3</v>
      </c>
      <c r="P164" s="12">
        <v>1.5</v>
      </c>
      <c r="Q164" s="12">
        <v>-1.05</v>
      </c>
    </row>
    <row r="165">
      <c r="A165" s="12">
        <v>164.0</v>
      </c>
      <c r="B165" s="12">
        <v>144.4</v>
      </c>
      <c r="C165" s="22" t="s">
        <v>601</v>
      </c>
      <c r="D165" s="12" t="s">
        <v>56</v>
      </c>
      <c r="E165" s="12" t="s">
        <v>93</v>
      </c>
      <c r="F165" s="12">
        <v>68.0</v>
      </c>
      <c r="G165" s="12">
        <v>27.4</v>
      </c>
      <c r="H165" s="12" t="s">
        <v>602</v>
      </c>
      <c r="I165" s="12" t="s">
        <v>603</v>
      </c>
      <c r="J165" s="12">
        <v>0.8</v>
      </c>
      <c r="K165" s="12">
        <v>7.1</v>
      </c>
      <c r="L165" s="12">
        <v>5.0</v>
      </c>
      <c r="M165" s="12">
        <v>3.5</v>
      </c>
      <c r="N165" s="12">
        <v>1.5</v>
      </c>
      <c r="O165" s="12">
        <v>0.4</v>
      </c>
      <c r="P165" s="12">
        <v>1.4</v>
      </c>
      <c r="Q165" s="12">
        <v>-1.05</v>
      </c>
    </row>
    <row r="166">
      <c r="A166" s="12">
        <v>165.0</v>
      </c>
      <c r="B166" s="12">
        <v>140.6</v>
      </c>
      <c r="C166" s="22" t="s">
        <v>604</v>
      </c>
      <c r="D166" s="12" t="s">
        <v>56</v>
      </c>
      <c r="E166" s="12" t="s">
        <v>89</v>
      </c>
      <c r="F166" s="12">
        <v>72.0</v>
      </c>
      <c r="G166" s="12">
        <v>30.2</v>
      </c>
      <c r="H166" s="12" t="s">
        <v>605</v>
      </c>
      <c r="I166" s="12" t="s">
        <v>606</v>
      </c>
      <c r="J166" s="12">
        <v>1.2</v>
      </c>
      <c r="K166" s="12">
        <v>10.7</v>
      </c>
      <c r="L166" s="12">
        <v>2.7</v>
      </c>
      <c r="M166" s="12">
        <v>5.0</v>
      </c>
      <c r="N166" s="12">
        <v>1.1</v>
      </c>
      <c r="O166" s="12">
        <v>0.2</v>
      </c>
      <c r="P166" s="12">
        <v>1.8</v>
      </c>
      <c r="Q166" s="12">
        <v>-1.1</v>
      </c>
    </row>
    <row r="167">
      <c r="A167" s="12">
        <v>166.0</v>
      </c>
      <c r="B167" s="12">
        <v>141.2</v>
      </c>
      <c r="C167" s="22" t="s">
        <v>607</v>
      </c>
      <c r="D167" s="12" t="s">
        <v>97</v>
      </c>
      <c r="E167" s="12" t="s">
        <v>159</v>
      </c>
      <c r="F167" s="12">
        <v>74.0</v>
      </c>
      <c r="G167" s="12">
        <v>29.8</v>
      </c>
      <c r="H167" s="12" t="s">
        <v>608</v>
      </c>
      <c r="I167" s="12" t="s">
        <v>609</v>
      </c>
      <c r="J167" s="12">
        <v>1.3</v>
      </c>
      <c r="K167" s="12">
        <v>11.4</v>
      </c>
      <c r="L167" s="12">
        <v>3.5</v>
      </c>
      <c r="M167" s="12">
        <v>1.7</v>
      </c>
      <c r="N167" s="12">
        <v>0.9</v>
      </c>
      <c r="O167" s="12">
        <v>0.8</v>
      </c>
      <c r="P167" s="12">
        <v>1.3</v>
      </c>
      <c r="Q167" s="12">
        <v>-1.1</v>
      </c>
    </row>
    <row r="168">
      <c r="A168" s="12">
        <v>167.0</v>
      </c>
      <c r="B168" s="12">
        <v>147.0</v>
      </c>
      <c r="C168" s="22" t="s">
        <v>610</v>
      </c>
      <c r="D168" s="12" t="s">
        <v>73</v>
      </c>
      <c r="E168" s="12" t="s">
        <v>243</v>
      </c>
      <c r="F168" s="12">
        <v>68.0</v>
      </c>
      <c r="G168" s="12">
        <v>28.3</v>
      </c>
      <c r="H168" s="12" t="s">
        <v>584</v>
      </c>
      <c r="I168" s="12" t="s">
        <v>611</v>
      </c>
      <c r="J168" s="12">
        <v>1.4</v>
      </c>
      <c r="K168" s="12">
        <v>10.3</v>
      </c>
      <c r="L168" s="12">
        <v>4.0</v>
      </c>
      <c r="M168" s="12">
        <v>1.4</v>
      </c>
      <c r="N168" s="12">
        <v>0.9</v>
      </c>
      <c r="O168" s="12">
        <v>0.8</v>
      </c>
      <c r="P168" s="12">
        <v>1.3</v>
      </c>
      <c r="Q168" s="12">
        <v>-1.11</v>
      </c>
    </row>
    <row r="169">
      <c r="A169" s="12">
        <v>168.0</v>
      </c>
      <c r="B169" s="12">
        <v>146.9</v>
      </c>
      <c r="C169" s="22" t="s">
        <v>613</v>
      </c>
      <c r="D169" s="12" t="s">
        <v>73</v>
      </c>
      <c r="E169" s="12" t="s">
        <v>209</v>
      </c>
      <c r="F169" s="12">
        <v>50.0</v>
      </c>
      <c r="G169" s="12">
        <v>19.2</v>
      </c>
      <c r="H169" s="12" t="s">
        <v>614</v>
      </c>
      <c r="I169" s="12" t="s">
        <v>615</v>
      </c>
      <c r="J169" s="12">
        <v>1.1</v>
      </c>
      <c r="K169" s="12">
        <v>9.7</v>
      </c>
      <c r="L169" s="12">
        <v>4.6</v>
      </c>
      <c r="M169" s="12">
        <v>1.5</v>
      </c>
      <c r="N169" s="12">
        <v>0.7</v>
      </c>
      <c r="O169" s="12">
        <v>1.2</v>
      </c>
      <c r="P169" s="12">
        <v>1.4</v>
      </c>
      <c r="Q169" s="12">
        <v>-1.13</v>
      </c>
    </row>
    <row r="170">
      <c r="A170" s="12">
        <v>169.0</v>
      </c>
      <c r="B170" s="12">
        <v>144.8</v>
      </c>
      <c r="C170" s="22" t="s">
        <v>616</v>
      </c>
      <c r="D170" s="12" t="s">
        <v>158</v>
      </c>
      <c r="E170" s="12" t="s">
        <v>110</v>
      </c>
      <c r="F170" s="12">
        <v>72.0</v>
      </c>
      <c r="G170" s="12">
        <v>29.4</v>
      </c>
      <c r="H170" s="12" t="s">
        <v>617</v>
      </c>
      <c r="I170" s="12" t="s">
        <v>618</v>
      </c>
      <c r="J170" s="12">
        <v>2.4</v>
      </c>
      <c r="K170" s="12">
        <v>11.7</v>
      </c>
      <c r="L170" s="12">
        <v>3.9</v>
      </c>
      <c r="M170" s="12">
        <v>3.4</v>
      </c>
      <c r="N170" s="12">
        <v>0.8</v>
      </c>
      <c r="O170" s="12">
        <v>0.3</v>
      </c>
      <c r="P170" s="12">
        <v>1.2</v>
      </c>
      <c r="Q170" s="12">
        <v>-1.17</v>
      </c>
    </row>
    <row r="171">
      <c r="A171" s="12">
        <v>170.0</v>
      </c>
      <c r="B171" s="12">
        <v>143.4</v>
      </c>
      <c r="C171" s="22" t="s">
        <v>619</v>
      </c>
      <c r="D171" s="12" t="s">
        <v>44</v>
      </c>
      <c r="E171" s="12" t="s">
        <v>89</v>
      </c>
      <c r="F171" s="12">
        <v>70.0</v>
      </c>
      <c r="G171" s="12">
        <v>18.6</v>
      </c>
      <c r="H171" s="12" t="s">
        <v>620</v>
      </c>
      <c r="I171" s="12" t="s">
        <v>621</v>
      </c>
      <c r="J171" s="12">
        <v>0.3</v>
      </c>
      <c r="K171" s="12">
        <v>9.2</v>
      </c>
      <c r="L171" s="12">
        <v>2.8</v>
      </c>
      <c r="M171" s="12">
        <v>5.3</v>
      </c>
      <c r="N171" s="12">
        <v>1.0</v>
      </c>
      <c r="O171" s="12">
        <v>0.1</v>
      </c>
      <c r="P171" s="12">
        <v>1.7</v>
      </c>
      <c r="Q171" s="12">
        <v>-1.17</v>
      </c>
    </row>
    <row r="172">
      <c r="A172" s="12">
        <v>171.0</v>
      </c>
      <c r="B172" s="188"/>
      <c r="C172" s="22" t="s">
        <v>622</v>
      </c>
      <c r="D172" s="12" t="s">
        <v>56</v>
      </c>
      <c r="E172" s="12" t="s">
        <v>140</v>
      </c>
      <c r="F172" s="12">
        <v>68.0</v>
      </c>
      <c r="G172" s="12">
        <v>24.5</v>
      </c>
      <c r="H172" s="12" t="s">
        <v>623</v>
      </c>
      <c r="I172" s="12" t="s">
        <v>624</v>
      </c>
      <c r="J172" s="12">
        <v>2.1</v>
      </c>
      <c r="K172" s="12">
        <v>10.8</v>
      </c>
      <c r="L172" s="12">
        <v>2.1</v>
      </c>
      <c r="M172" s="12">
        <v>2.6</v>
      </c>
      <c r="N172" s="12">
        <v>1.2</v>
      </c>
      <c r="O172" s="12">
        <v>0.2</v>
      </c>
      <c r="P172" s="12">
        <v>0.8</v>
      </c>
      <c r="Q172" s="12">
        <v>-1.19</v>
      </c>
    </row>
    <row r="173">
      <c r="A173" s="12">
        <v>172.0</v>
      </c>
      <c r="B173" s="12">
        <v>123.8</v>
      </c>
      <c r="C173" s="22" t="s">
        <v>625</v>
      </c>
      <c r="D173" s="12" t="s">
        <v>97</v>
      </c>
      <c r="E173" s="12" t="s">
        <v>259</v>
      </c>
      <c r="F173" s="12">
        <v>73.0</v>
      </c>
      <c r="G173" s="12">
        <v>27.4</v>
      </c>
      <c r="H173" s="12" t="s">
        <v>626</v>
      </c>
      <c r="I173" s="12" t="s">
        <v>627</v>
      </c>
      <c r="J173" s="12">
        <v>1.0</v>
      </c>
      <c r="K173" s="12">
        <v>11.9</v>
      </c>
      <c r="L173" s="12">
        <v>6.5</v>
      </c>
      <c r="M173" s="12">
        <v>3.3</v>
      </c>
      <c r="N173" s="12">
        <v>0.8</v>
      </c>
      <c r="O173" s="12">
        <v>0.4</v>
      </c>
      <c r="P173" s="12">
        <v>1.9</v>
      </c>
      <c r="Q173" s="12">
        <v>-1.19</v>
      </c>
    </row>
    <row r="174">
      <c r="A174" s="12">
        <v>173.0</v>
      </c>
      <c r="B174" s="12">
        <v>140.6</v>
      </c>
      <c r="C174" s="22" t="s">
        <v>628</v>
      </c>
      <c r="D174" s="12" t="s">
        <v>158</v>
      </c>
      <c r="E174" s="12" t="s">
        <v>259</v>
      </c>
      <c r="F174" s="12">
        <v>60.0</v>
      </c>
      <c r="G174" s="12">
        <v>31.6</v>
      </c>
      <c r="H174" s="12" t="s">
        <v>629</v>
      </c>
      <c r="I174" s="12" t="s">
        <v>630</v>
      </c>
      <c r="J174" s="12">
        <v>1.9</v>
      </c>
      <c r="K174" s="12">
        <v>15.9</v>
      </c>
      <c r="L174" s="12">
        <v>4.6</v>
      </c>
      <c r="M174" s="12">
        <v>2.2</v>
      </c>
      <c r="N174" s="12">
        <v>0.8</v>
      </c>
      <c r="O174" s="12">
        <v>0.4</v>
      </c>
      <c r="P174" s="12">
        <v>1.8</v>
      </c>
      <c r="Q174" s="12">
        <v>-1.2</v>
      </c>
    </row>
    <row r="175">
      <c r="A175" s="12">
        <v>174.0</v>
      </c>
      <c r="B175" s="12">
        <v>138.5</v>
      </c>
      <c r="C175" s="22" t="s">
        <v>631</v>
      </c>
      <c r="D175" s="12" t="s">
        <v>44</v>
      </c>
      <c r="E175" s="12" t="s">
        <v>291</v>
      </c>
      <c r="F175" s="12">
        <v>28.0</v>
      </c>
      <c r="G175" s="12">
        <v>24.9</v>
      </c>
      <c r="H175" s="12" t="s">
        <v>632</v>
      </c>
      <c r="I175" s="12" t="s">
        <v>633</v>
      </c>
      <c r="J175" s="12">
        <v>0.0</v>
      </c>
      <c r="K175" s="12">
        <v>6.6</v>
      </c>
      <c r="L175" s="12">
        <v>6.6</v>
      </c>
      <c r="M175" s="12">
        <v>5.9</v>
      </c>
      <c r="N175" s="12">
        <v>1.1</v>
      </c>
      <c r="O175" s="12">
        <v>0.6</v>
      </c>
      <c r="P175" s="12">
        <v>2.1</v>
      </c>
      <c r="Q175" s="12">
        <v>-1.22</v>
      </c>
    </row>
    <row r="176">
      <c r="A176" s="12">
        <v>175.0</v>
      </c>
      <c r="B176" s="12">
        <v>143.7</v>
      </c>
      <c r="C176" s="22" t="s">
        <v>634</v>
      </c>
      <c r="D176" s="12" t="s">
        <v>97</v>
      </c>
      <c r="E176" s="12" t="s">
        <v>236</v>
      </c>
      <c r="F176" s="12">
        <v>55.0</v>
      </c>
      <c r="G176" s="12">
        <v>17.2</v>
      </c>
      <c r="H176" s="12" t="s">
        <v>635</v>
      </c>
      <c r="I176" s="12" t="s">
        <v>636</v>
      </c>
      <c r="J176" s="12">
        <v>0.8</v>
      </c>
      <c r="K176" s="12">
        <v>7.5</v>
      </c>
      <c r="L176" s="12">
        <v>5.1</v>
      </c>
      <c r="M176" s="12">
        <v>0.6</v>
      </c>
      <c r="N176" s="12">
        <v>1.0</v>
      </c>
      <c r="O176" s="12">
        <v>1.2</v>
      </c>
      <c r="P176" s="12">
        <v>0.5</v>
      </c>
      <c r="Q176" s="12">
        <v>-1.27</v>
      </c>
    </row>
    <row r="177">
      <c r="A177" s="12">
        <v>176.0</v>
      </c>
      <c r="B177" s="12">
        <v>133.6</v>
      </c>
      <c r="C177" s="22" t="s">
        <v>637</v>
      </c>
      <c r="D177" s="12" t="s">
        <v>72</v>
      </c>
      <c r="E177" s="12" t="s">
        <v>169</v>
      </c>
      <c r="F177" s="12">
        <v>73.0</v>
      </c>
      <c r="G177" s="12">
        <v>28.0</v>
      </c>
      <c r="H177" s="12" t="s">
        <v>638</v>
      </c>
      <c r="I177" s="12" t="s">
        <v>639</v>
      </c>
      <c r="J177" s="12">
        <v>0.9</v>
      </c>
      <c r="K177" s="12">
        <v>11.9</v>
      </c>
      <c r="L177" s="12">
        <v>3.8</v>
      </c>
      <c r="M177" s="12">
        <v>2.6</v>
      </c>
      <c r="N177" s="12">
        <v>1.0</v>
      </c>
      <c r="O177" s="12">
        <v>0.3</v>
      </c>
      <c r="P177" s="12">
        <v>1.5</v>
      </c>
      <c r="Q177" s="12">
        <v>-1.36</v>
      </c>
    </row>
    <row r="178">
      <c r="A178" s="12">
        <v>177.0</v>
      </c>
      <c r="B178" s="188"/>
      <c r="C178" s="22" t="s">
        <v>640</v>
      </c>
      <c r="D178" s="12" t="s">
        <v>158</v>
      </c>
      <c r="E178" s="12" t="s">
        <v>144</v>
      </c>
      <c r="F178" s="12">
        <v>68.0</v>
      </c>
      <c r="G178" s="12">
        <v>24.8</v>
      </c>
      <c r="H178" s="12" t="s">
        <v>641</v>
      </c>
      <c r="I178" s="12" t="s">
        <v>642</v>
      </c>
      <c r="J178" s="12">
        <v>2.2</v>
      </c>
      <c r="K178" s="12">
        <v>12.0</v>
      </c>
      <c r="L178" s="12">
        <v>3.2</v>
      </c>
      <c r="M178" s="12">
        <v>2.6</v>
      </c>
      <c r="N178" s="12">
        <v>0.8</v>
      </c>
      <c r="O178" s="12">
        <v>0.3</v>
      </c>
      <c r="P178" s="12">
        <v>1.0</v>
      </c>
      <c r="Q178" s="12">
        <v>-1.36</v>
      </c>
    </row>
    <row r="179">
      <c r="A179" s="12">
        <v>178.0</v>
      </c>
      <c r="B179" s="188"/>
      <c r="C179" s="22" t="s">
        <v>643</v>
      </c>
      <c r="D179" s="12" t="s">
        <v>44</v>
      </c>
      <c r="E179" s="12" t="s">
        <v>243</v>
      </c>
      <c r="F179" s="12">
        <v>44.0</v>
      </c>
      <c r="G179" s="12">
        <v>19.8</v>
      </c>
      <c r="H179" s="12" t="s">
        <v>644</v>
      </c>
      <c r="I179" s="12" t="s">
        <v>645</v>
      </c>
      <c r="J179" s="12">
        <v>1.8</v>
      </c>
      <c r="K179" s="12">
        <v>7.6</v>
      </c>
      <c r="L179" s="12">
        <v>3.2</v>
      </c>
      <c r="M179" s="12">
        <v>3.5</v>
      </c>
      <c r="N179" s="12">
        <v>1.1</v>
      </c>
      <c r="O179" s="12">
        <v>0.5</v>
      </c>
      <c r="P179" s="12">
        <v>1.4</v>
      </c>
      <c r="Q179" s="12">
        <v>-1.37</v>
      </c>
    </row>
    <row r="180">
      <c r="A180" s="12">
        <v>179.0</v>
      </c>
      <c r="B180" s="12">
        <v>146.7</v>
      </c>
      <c r="C180" s="22" t="s">
        <v>646</v>
      </c>
      <c r="D180" s="12" t="s">
        <v>647</v>
      </c>
      <c r="E180" s="12" t="s">
        <v>173</v>
      </c>
      <c r="F180" s="12">
        <v>58.0</v>
      </c>
      <c r="G180" s="12">
        <v>24.0</v>
      </c>
      <c r="H180" s="12" t="s">
        <v>648</v>
      </c>
      <c r="I180" s="12" t="s">
        <v>649</v>
      </c>
      <c r="J180" s="12">
        <v>1.3</v>
      </c>
      <c r="K180" s="12">
        <v>9.0</v>
      </c>
      <c r="L180" s="12">
        <v>4.8</v>
      </c>
      <c r="M180" s="12">
        <v>2.8</v>
      </c>
      <c r="N180" s="12">
        <v>0.8</v>
      </c>
      <c r="O180" s="12">
        <v>0.6</v>
      </c>
      <c r="P180" s="12">
        <v>1.5</v>
      </c>
      <c r="Q180" s="12">
        <v>-1.38</v>
      </c>
    </row>
    <row r="181">
      <c r="A181" s="12">
        <v>180.0</v>
      </c>
      <c r="B181" s="12">
        <v>143.9</v>
      </c>
      <c r="C181" s="22" t="s">
        <v>650</v>
      </c>
      <c r="D181" s="12" t="s">
        <v>56</v>
      </c>
      <c r="E181" s="12" t="s">
        <v>74</v>
      </c>
      <c r="F181" s="12">
        <v>70.0</v>
      </c>
      <c r="G181" s="12">
        <v>30.0</v>
      </c>
      <c r="H181" s="12" t="s">
        <v>651</v>
      </c>
      <c r="I181" s="12" t="s">
        <v>652</v>
      </c>
      <c r="J181" s="12">
        <v>2.4</v>
      </c>
      <c r="K181" s="12">
        <v>14.5</v>
      </c>
      <c r="L181" s="12">
        <v>2.5</v>
      </c>
      <c r="M181" s="12">
        <v>1.6</v>
      </c>
      <c r="N181" s="12">
        <v>1.2</v>
      </c>
      <c r="O181" s="12">
        <v>0.2</v>
      </c>
      <c r="P181" s="12">
        <v>0.7</v>
      </c>
      <c r="Q181" s="12">
        <v>-1.4</v>
      </c>
    </row>
    <row r="182">
      <c r="A182" s="12">
        <v>181.0</v>
      </c>
      <c r="B182" s="12">
        <v>143.3</v>
      </c>
      <c r="C182" s="22" t="s">
        <v>653</v>
      </c>
      <c r="D182" s="12" t="s">
        <v>125</v>
      </c>
      <c r="E182" s="12" t="s">
        <v>35</v>
      </c>
      <c r="F182" s="12">
        <v>67.0</v>
      </c>
      <c r="G182" s="12">
        <v>27.5</v>
      </c>
      <c r="H182" s="12" t="s">
        <v>654</v>
      </c>
      <c r="I182" s="12" t="s">
        <v>655</v>
      </c>
      <c r="J182" s="12">
        <v>1.8</v>
      </c>
      <c r="K182" s="12">
        <v>16.7</v>
      </c>
      <c r="L182" s="12">
        <v>4.7</v>
      </c>
      <c r="M182" s="12">
        <v>2.6</v>
      </c>
      <c r="N182" s="12">
        <v>0.7</v>
      </c>
      <c r="O182" s="12">
        <v>0.2</v>
      </c>
      <c r="P182" s="12">
        <v>1.6</v>
      </c>
      <c r="Q182" s="12">
        <v>-1.43</v>
      </c>
    </row>
    <row r="183">
      <c r="A183" s="12">
        <v>182.0</v>
      </c>
      <c r="B183" s="12">
        <v>142.5</v>
      </c>
      <c r="C183" s="22" t="s">
        <v>656</v>
      </c>
      <c r="D183" s="12" t="s">
        <v>158</v>
      </c>
      <c r="E183" s="12" t="s">
        <v>40</v>
      </c>
      <c r="F183" s="12">
        <v>79.0</v>
      </c>
      <c r="G183" s="12">
        <v>30.2</v>
      </c>
      <c r="H183" s="12" t="s">
        <v>658</v>
      </c>
      <c r="I183" s="12" t="s">
        <v>659</v>
      </c>
      <c r="J183" s="12">
        <v>1.1</v>
      </c>
      <c r="K183" s="12">
        <v>11.0</v>
      </c>
      <c r="L183" s="12">
        <v>5.5</v>
      </c>
      <c r="M183" s="12">
        <v>2.2</v>
      </c>
      <c r="N183" s="12">
        <v>0.9</v>
      </c>
      <c r="O183" s="12">
        <v>0.6</v>
      </c>
      <c r="P183" s="12">
        <v>1.0</v>
      </c>
      <c r="Q183" s="12">
        <v>-1.44</v>
      </c>
    </row>
    <row r="184">
      <c r="A184" s="12">
        <v>183.0</v>
      </c>
      <c r="B184" s="12">
        <v>139.0</v>
      </c>
      <c r="C184" s="22" t="s">
        <v>660</v>
      </c>
      <c r="D184" s="12" t="s">
        <v>72</v>
      </c>
      <c r="E184" s="12" t="s">
        <v>93</v>
      </c>
      <c r="F184" s="12">
        <v>68.0</v>
      </c>
      <c r="G184" s="12">
        <v>30.4</v>
      </c>
      <c r="H184" s="12" t="s">
        <v>661</v>
      </c>
      <c r="I184" s="12" t="s">
        <v>662</v>
      </c>
      <c r="J184" s="12">
        <v>1.4</v>
      </c>
      <c r="K184" s="12">
        <v>13.6</v>
      </c>
      <c r="L184" s="12">
        <v>4.1</v>
      </c>
      <c r="M184" s="12">
        <v>1.5</v>
      </c>
      <c r="N184" s="12">
        <v>1.1</v>
      </c>
      <c r="O184" s="12">
        <v>0.7</v>
      </c>
      <c r="P184" s="12">
        <v>1.6</v>
      </c>
      <c r="Q184" s="12">
        <v>-1.45</v>
      </c>
    </row>
    <row r="185">
      <c r="A185" s="12">
        <v>184.0</v>
      </c>
      <c r="B185" s="12">
        <v>138.9</v>
      </c>
      <c r="C185" s="22" t="s">
        <v>663</v>
      </c>
      <c r="D185" s="12" t="s">
        <v>158</v>
      </c>
      <c r="E185" s="12" t="s">
        <v>148</v>
      </c>
      <c r="F185" s="12">
        <v>64.0</v>
      </c>
      <c r="G185" s="12">
        <v>28.6</v>
      </c>
      <c r="H185" s="12" t="s">
        <v>664</v>
      </c>
      <c r="I185" s="12" t="s">
        <v>665</v>
      </c>
      <c r="J185" s="12">
        <v>1.9</v>
      </c>
      <c r="K185" s="12">
        <v>17.4</v>
      </c>
      <c r="L185" s="12">
        <v>3.4</v>
      </c>
      <c r="M185" s="12">
        <v>4.3</v>
      </c>
      <c r="N185" s="12">
        <v>0.5</v>
      </c>
      <c r="O185" s="12">
        <v>0.2</v>
      </c>
      <c r="P185" s="12">
        <v>2.6</v>
      </c>
      <c r="Q185" s="12">
        <v>-1.46</v>
      </c>
    </row>
    <row r="186">
      <c r="A186" s="12">
        <v>185.0</v>
      </c>
      <c r="B186" s="188"/>
      <c r="C186" s="22" t="s">
        <v>666</v>
      </c>
      <c r="D186" s="12" t="s">
        <v>71</v>
      </c>
      <c r="E186" s="12" t="s">
        <v>173</v>
      </c>
      <c r="F186" s="12">
        <v>60.0</v>
      </c>
      <c r="G186" s="12">
        <v>25.4</v>
      </c>
      <c r="H186" s="12" t="s">
        <v>667</v>
      </c>
      <c r="I186" s="12" t="s">
        <v>668</v>
      </c>
      <c r="J186" s="12">
        <v>2.7</v>
      </c>
      <c r="K186" s="12">
        <v>10.8</v>
      </c>
      <c r="L186" s="12">
        <v>3.0</v>
      </c>
      <c r="M186" s="12">
        <v>2.5</v>
      </c>
      <c r="N186" s="12">
        <v>0.6</v>
      </c>
      <c r="O186" s="12">
        <v>0.1</v>
      </c>
      <c r="P186" s="12">
        <v>1.1</v>
      </c>
      <c r="Q186" s="12">
        <v>-1.47</v>
      </c>
    </row>
    <row r="187">
      <c r="A187" s="12">
        <v>186.0</v>
      </c>
      <c r="B187" s="12">
        <v>139.1</v>
      </c>
      <c r="C187" s="22" t="s">
        <v>669</v>
      </c>
      <c r="D187" s="12" t="s">
        <v>34</v>
      </c>
      <c r="E187" s="12" t="s">
        <v>67</v>
      </c>
      <c r="F187" s="12">
        <v>74.0</v>
      </c>
      <c r="G187" s="12">
        <v>20.1</v>
      </c>
      <c r="H187" s="12" t="s">
        <v>670</v>
      </c>
      <c r="I187" s="12" t="s">
        <v>671</v>
      </c>
      <c r="J187" s="12">
        <v>0.0</v>
      </c>
      <c r="K187" s="12">
        <v>9.8</v>
      </c>
      <c r="L187" s="12">
        <v>10.6</v>
      </c>
      <c r="M187" s="12">
        <v>0.6</v>
      </c>
      <c r="N187" s="12">
        <v>1.1</v>
      </c>
      <c r="O187" s="12">
        <v>0.7</v>
      </c>
      <c r="P187" s="12">
        <v>1.4</v>
      </c>
      <c r="Q187" s="12">
        <v>-1.5</v>
      </c>
    </row>
    <row r="188">
      <c r="A188" s="12">
        <v>187.0</v>
      </c>
      <c r="B188" s="12">
        <v>141.7</v>
      </c>
      <c r="C188" s="22" t="s">
        <v>672</v>
      </c>
      <c r="D188" s="12" t="s">
        <v>44</v>
      </c>
      <c r="E188" s="12" t="s">
        <v>236</v>
      </c>
      <c r="F188" s="12">
        <v>72.0</v>
      </c>
      <c r="G188" s="12">
        <v>21.9</v>
      </c>
      <c r="H188" s="12" t="s">
        <v>673</v>
      </c>
      <c r="I188" s="12" t="s">
        <v>674</v>
      </c>
      <c r="J188" s="12">
        <v>1.3</v>
      </c>
      <c r="K188" s="12">
        <v>11.5</v>
      </c>
      <c r="L188" s="12">
        <v>3.9</v>
      </c>
      <c r="M188" s="12">
        <v>3.1</v>
      </c>
      <c r="N188" s="12">
        <v>0.7</v>
      </c>
      <c r="O188" s="12">
        <v>0.5</v>
      </c>
      <c r="P188" s="12">
        <v>1.4</v>
      </c>
      <c r="Q188" s="12">
        <v>-1.51</v>
      </c>
    </row>
    <row r="189">
      <c r="A189" s="12">
        <v>188.0</v>
      </c>
      <c r="B189" s="12">
        <v>140.9</v>
      </c>
      <c r="C189" s="22" t="s">
        <v>675</v>
      </c>
      <c r="D189" s="12" t="s">
        <v>71</v>
      </c>
      <c r="E189" s="12" t="s">
        <v>180</v>
      </c>
      <c r="F189" s="12">
        <v>67.0</v>
      </c>
      <c r="G189" s="12">
        <v>20.2</v>
      </c>
      <c r="H189" s="12" t="s">
        <v>676</v>
      </c>
      <c r="I189" s="12" t="s">
        <v>677</v>
      </c>
      <c r="J189" s="12">
        <v>1.3</v>
      </c>
      <c r="K189" s="12">
        <v>6.7</v>
      </c>
      <c r="L189" s="12">
        <v>2.5</v>
      </c>
      <c r="M189" s="12">
        <v>2.4</v>
      </c>
      <c r="N189" s="12">
        <v>1.3</v>
      </c>
      <c r="O189" s="12">
        <v>0.4</v>
      </c>
      <c r="P189" s="12">
        <v>1.1</v>
      </c>
      <c r="Q189" s="12">
        <v>-1.54</v>
      </c>
    </row>
    <row r="190">
      <c r="A190" s="12">
        <v>189.0</v>
      </c>
      <c r="B190" s="12">
        <v>139.4</v>
      </c>
      <c r="C190" s="22" t="s">
        <v>678</v>
      </c>
      <c r="D190" s="12" t="s">
        <v>97</v>
      </c>
      <c r="E190" s="12" t="s">
        <v>106</v>
      </c>
      <c r="F190" s="12">
        <v>70.0</v>
      </c>
      <c r="G190" s="12">
        <v>28.5</v>
      </c>
      <c r="H190" s="12" t="s">
        <v>679</v>
      </c>
      <c r="I190" s="12" t="s">
        <v>487</v>
      </c>
      <c r="J190" s="12">
        <v>1.7</v>
      </c>
      <c r="K190" s="12">
        <v>14.6</v>
      </c>
      <c r="L190" s="12">
        <v>4.7</v>
      </c>
      <c r="M190" s="12">
        <v>1.9</v>
      </c>
      <c r="N190" s="12">
        <v>0.8</v>
      </c>
      <c r="O190" s="12">
        <v>0.6</v>
      </c>
      <c r="P190" s="12">
        <v>1.3</v>
      </c>
      <c r="Q190" s="12">
        <v>-1.55</v>
      </c>
    </row>
    <row r="191">
      <c r="A191" s="12">
        <v>190.0</v>
      </c>
      <c r="B191" s="188"/>
      <c r="C191" s="22" t="s">
        <v>680</v>
      </c>
      <c r="D191" s="12" t="s">
        <v>73</v>
      </c>
      <c r="E191" s="12" t="s">
        <v>63</v>
      </c>
      <c r="F191" s="12">
        <v>65.0</v>
      </c>
      <c r="G191" s="12">
        <v>24.1</v>
      </c>
      <c r="H191" s="12" t="s">
        <v>681</v>
      </c>
      <c r="I191" s="12" t="s">
        <v>682</v>
      </c>
      <c r="J191" s="12">
        <v>0.4</v>
      </c>
      <c r="K191" s="12">
        <v>7.6</v>
      </c>
      <c r="L191" s="12">
        <v>7.1</v>
      </c>
      <c r="M191" s="12">
        <v>2.2</v>
      </c>
      <c r="N191" s="12">
        <v>1.2</v>
      </c>
      <c r="O191" s="12">
        <v>0.3</v>
      </c>
      <c r="P191" s="12">
        <v>1.2</v>
      </c>
      <c r="Q191" s="12">
        <v>-1.57</v>
      </c>
    </row>
    <row r="192">
      <c r="A192" s="12">
        <v>191.0</v>
      </c>
      <c r="B192" s="188"/>
      <c r="C192" s="22" t="s">
        <v>683</v>
      </c>
      <c r="D192" s="12" t="s">
        <v>158</v>
      </c>
      <c r="E192" s="12" t="s">
        <v>67</v>
      </c>
      <c r="F192" s="12">
        <v>68.0</v>
      </c>
      <c r="G192" s="12">
        <v>30.0</v>
      </c>
      <c r="H192" s="12" t="s">
        <v>684</v>
      </c>
      <c r="I192" s="12" t="s">
        <v>685</v>
      </c>
      <c r="J192" s="12">
        <v>1.3</v>
      </c>
      <c r="K192" s="12">
        <v>10.5</v>
      </c>
      <c r="L192" s="12">
        <v>4.9</v>
      </c>
      <c r="M192" s="12">
        <v>2.1</v>
      </c>
      <c r="N192" s="12">
        <v>0.9</v>
      </c>
      <c r="O192" s="12">
        <v>0.5</v>
      </c>
      <c r="P192" s="12">
        <v>1.2</v>
      </c>
      <c r="Q192" s="12">
        <v>-1.63</v>
      </c>
    </row>
    <row r="193">
      <c r="A193" s="12">
        <v>192.0</v>
      </c>
      <c r="B193" s="12">
        <v>139.1</v>
      </c>
      <c r="C193" s="22" t="s">
        <v>686</v>
      </c>
      <c r="D193" s="12" t="s">
        <v>44</v>
      </c>
      <c r="E193" s="12" t="s">
        <v>40</v>
      </c>
      <c r="F193" s="12">
        <v>72.0</v>
      </c>
      <c r="G193" s="12">
        <v>29.2</v>
      </c>
      <c r="H193" s="12" t="s">
        <v>687</v>
      </c>
      <c r="I193" s="12" t="s">
        <v>688</v>
      </c>
      <c r="J193" s="12">
        <v>1.0</v>
      </c>
      <c r="K193" s="12">
        <v>14.8</v>
      </c>
      <c r="L193" s="12">
        <v>5.9</v>
      </c>
      <c r="M193" s="12">
        <v>5.4</v>
      </c>
      <c r="N193" s="12">
        <v>1.2</v>
      </c>
      <c r="O193" s="12">
        <v>0.4</v>
      </c>
      <c r="P193" s="12">
        <v>3.1</v>
      </c>
      <c r="Q193" s="12">
        <v>-1.65</v>
      </c>
    </row>
    <row r="194">
      <c r="A194" s="12">
        <v>193.0</v>
      </c>
      <c r="B194" s="12">
        <v>138.6</v>
      </c>
      <c r="C194" s="22" t="s">
        <v>689</v>
      </c>
      <c r="D194" s="12" t="s">
        <v>56</v>
      </c>
      <c r="E194" s="12" t="s">
        <v>287</v>
      </c>
      <c r="F194" s="12">
        <v>43.0</v>
      </c>
      <c r="G194" s="12">
        <v>26.7</v>
      </c>
      <c r="H194" s="12" t="s">
        <v>690</v>
      </c>
      <c r="I194" s="12" t="s">
        <v>691</v>
      </c>
      <c r="J194" s="12">
        <v>1.6</v>
      </c>
      <c r="K194" s="12">
        <v>12.1</v>
      </c>
      <c r="L194" s="12">
        <v>3.2</v>
      </c>
      <c r="M194" s="12">
        <v>3.5</v>
      </c>
      <c r="N194" s="12">
        <v>0.5</v>
      </c>
      <c r="O194" s="12">
        <v>0.2</v>
      </c>
      <c r="P194" s="12">
        <v>1.2</v>
      </c>
      <c r="Q194" s="12">
        <v>-1.74</v>
      </c>
    </row>
    <row r="195">
      <c r="A195" s="12">
        <v>194.0</v>
      </c>
      <c r="B195" s="12">
        <v>144.9</v>
      </c>
      <c r="C195" s="22" t="s">
        <v>692</v>
      </c>
      <c r="D195" s="12" t="s">
        <v>158</v>
      </c>
      <c r="E195" s="12" t="s">
        <v>110</v>
      </c>
      <c r="F195" s="12">
        <v>69.0</v>
      </c>
      <c r="G195" s="12">
        <v>27.5</v>
      </c>
      <c r="H195" s="12" t="s">
        <v>693</v>
      </c>
      <c r="I195" s="12" t="s">
        <v>694</v>
      </c>
      <c r="J195" s="12">
        <v>1.6</v>
      </c>
      <c r="K195" s="12">
        <v>12.2</v>
      </c>
      <c r="L195" s="12">
        <v>3.7</v>
      </c>
      <c r="M195" s="12">
        <v>4.2</v>
      </c>
      <c r="N195" s="12">
        <v>1.0</v>
      </c>
      <c r="O195" s="12">
        <v>0.4</v>
      </c>
      <c r="P195" s="12">
        <v>1.5</v>
      </c>
      <c r="Q195" s="12">
        <v>-1.74</v>
      </c>
    </row>
    <row r="196">
      <c r="A196" s="12">
        <v>195.0</v>
      </c>
      <c r="B196" s="12">
        <v>144.6</v>
      </c>
      <c r="C196" s="22" t="s">
        <v>695</v>
      </c>
      <c r="D196" s="12" t="s">
        <v>158</v>
      </c>
      <c r="E196" s="12" t="s">
        <v>169</v>
      </c>
      <c r="F196" s="12">
        <v>67.0</v>
      </c>
      <c r="G196" s="12">
        <v>26.4</v>
      </c>
      <c r="H196" s="12" t="s">
        <v>696</v>
      </c>
      <c r="I196" s="12" t="s">
        <v>697</v>
      </c>
      <c r="J196" s="12">
        <v>2.6</v>
      </c>
      <c r="K196" s="12">
        <v>12.5</v>
      </c>
      <c r="L196" s="12">
        <v>2.5</v>
      </c>
      <c r="M196" s="12">
        <v>2.5</v>
      </c>
      <c r="N196" s="12">
        <v>0.6</v>
      </c>
      <c r="O196" s="12">
        <v>0.2</v>
      </c>
      <c r="P196" s="12">
        <v>1.3</v>
      </c>
      <c r="Q196" s="12">
        <v>-1.75</v>
      </c>
    </row>
    <row r="197">
      <c r="A197" s="12">
        <v>196.0</v>
      </c>
      <c r="B197" s="12">
        <v>142.6</v>
      </c>
      <c r="C197" s="22" t="s">
        <v>698</v>
      </c>
      <c r="D197" s="12" t="s">
        <v>62</v>
      </c>
      <c r="E197" s="12" t="s">
        <v>169</v>
      </c>
      <c r="F197" s="12">
        <v>52.0</v>
      </c>
      <c r="G197" s="12">
        <v>25.4</v>
      </c>
      <c r="H197" s="12" t="s">
        <v>699</v>
      </c>
      <c r="I197" s="12" t="s">
        <v>700</v>
      </c>
      <c r="J197" s="12">
        <v>1.8</v>
      </c>
      <c r="K197" s="12">
        <v>10.4</v>
      </c>
      <c r="L197" s="12">
        <v>5.3</v>
      </c>
      <c r="M197" s="12">
        <v>2.4</v>
      </c>
      <c r="N197" s="12">
        <v>0.8</v>
      </c>
      <c r="O197" s="12">
        <v>0.4</v>
      </c>
      <c r="P197" s="12">
        <v>1.2</v>
      </c>
      <c r="Q197" s="12">
        <v>-1.78</v>
      </c>
    </row>
    <row r="198">
      <c r="A198" s="12">
        <v>197.0</v>
      </c>
      <c r="B198" s="188"/>
      <c r="C198" s="22" t="s">
        <v>701</v>
      </c>
      <c r="D198" s="12" t="s">
        <v>56</v>
      </c>
      <c r="E198" s="12" t="s">
        <v>169</v>
      </c>
      <c r="F198" s="12">
        <v>60.0</v>
      </c>
      <c r="G198" s="12">
        <v>25.2</v>
      </c>
      <c r="H198" s="12" t="s">
        <v>703</v>
      </c>
      <c r="I198" s="12" t="s">
        <v>704</v>
      </c>
      <c r="J198" s="12">
        <v>1.7</v>
      </c>
      <c r="K198" s="12">
        <v>10.4</v>
      </c>
      <c r="L198" s="12">
        <v>2.9</v>
      </c>
      <c r="M198" s="12">
        <v>2.7</v>
      </c>
      <c r="N198" s="12">
        <v>0.9</v>
      </c>
      <c r="O198" s="12">
        <v>0.3</v>
      </c>
      <c r="P198" s="12">
        <v>1.2</v>
      </c>
      <c r="Q198" s="12">
        <v>-1.8</v>
      </c>
    </row>
    <row r="199">
      <c r="A199" s="12">
        <v>198.0</v>
      </c>
      <c r="B199" s="188"/>
      <c r="C199" s="22" t="s">
        <v>705</v>
      </c>
      <c r="D199" s="12" t="s">
        <v>56</v>
      </c>
      <c r="E199" s="12" t="s">
        <v>102</v>
      </c>
      <c r="F199" s="12">
        <v>64.0</v>
      </c>
      <c r="G199" s="12">
        <v>20.4</v>
      </c>
      <c r="H199" s="12" t="s">
        <v>706</v>
      </c>
      <c r="I199" s="12" t="s">
        <v>707</v>
      </c>
      <c r="J199" s="12">
        <v>0.6</v>
      </c>
      <c r="K199" s="12">
        <v>7.2</v>
      </c>
      <c r="L199" s="12">
        <v>3.2</v>
      </c>
      <c r="M199" s="12">
        <v>4.2</v>
      </c>
      <c r="N199" s="12">
        <v>1.0</v>
      </c>
      <c r="O199" s="12">
        <v>0.4</v>
      </c>
      <c r="P199" s="12">
        <v>1.3</v>
      </c>
      <c r="Q199" s="12">
        <v>-1.84</v>
      </c>
    </row>
    <row r="200">
      <c r="A200" s="12">
        <v>199.0</v>
      </c>
      <c r="B200" s="12">
        <v>139.1</v>
      </c>
      <c r="C200" s="22" t="s">
        <v>708</v>
      </c>
      <c r="D200" s="12" t="s">
        <v>158</v>
      </c>
      <c r="E200" s="12" t="s">
        <v>243</v>
      </c>
      <c r="F200" s="12">
        <v>78.0</v>
      </c>
      <c r="G200" s="12">
        <v>27.2</v>
      </c>
      <c r="H200" s="12" t="s">
        <v>709</v>
      </c>
      <c r="I200" s="12" t="s">
        <v>710</v>
      </c>
      <c r="J200" s="12">
        <v>1.1</v>
      </c>
      <c r="K200" s="12">
        <v>10.2</v>
      </c>
      <c r="L200" s="12">
        <v>2.8</v>
      </c>
      <c r="M200" s="12">
        <v>2.8</v>
      </c>
      <c r="N200" s="12">
        <v>0.8</v>
      </c>
      <c r="O200" s="12">
        <v>0.4</v>
      </c>
      <c r="P200" s="12">
        <v>1.3</v>
      </c>
      <c r="Q200" s="12">
        <v>-1.88</v>
      </c>
    </row>
    <row r="201">
      <c r="A201" s="12">
        <v>200.0</v>
      </c>
      <c r="B201" s="12">
        <v>143.0</v>
      </c>
      <c r="C201" s="22" t="s">
        <v>711</v>
      </c>
      <c r="D201" s="12" t="s">
        <v>158</v>
      </c>
      <c r="E201" s="12" t="s">
        <v>89</v>
      </c>
      <c r="F201" s="12">
        <v>68.0</v>
      </c>
      <c r="G201" s="12">
        <v>29.0</v>
      </c>
      <c r="H201" s="12" t="s">
        <v>712</v>
      </c>
      <c r="I201" s="12" t="s">
        <v>713</v>
      </c>
      <c r="J201" s="12">
        <v>1.4</v>
      </c>
      <c r="K201" s="12">
        <v>16.8</v>
      </c>
      <c r="L201" s="12">
        <v>4.3</v>
      </c>
      <c r="M201" s="12">
        <v>1.8</v>
      </c>
      <c r="N201" s="12">
        <v>0.7</v>
      </c>
      <c r="O201" s="12">
        <v>0.2</v>
      </c>
      <c r="P201" s="12">
        <v>1.9</v>
      </c>
      <c r="Q201" s="12">
        <v>-1.89</v>
      </c>
    </row>
    <row r="202">
      <c r="A202" s="12">
        <v>201.0</v>
      </c>
      <c r="B202" s="188"/>
      <c r="C202" s="22" t="s">
        <v>714</v>
      </c>
      <c r="D202" s="12" t="s">
        <v>158</v>
      </c>
      <c r="E202" s="12" t="s">
        <v>136</v>
      </c>
      <c r="F202" s="12">
        <v>64.0</v>
      </c>
      <c r="G202" s="12">
        <v>28.9</v>
      </c>
      <c r="H202" s="12" t="s">
        <v>715</v>
      </c>
      <c r="I202" s="12" t="s">
        <v>716</v>
      </c>
      <c r="J202" s="12">
        <v>1.6</v>
      </c>
      <c r="K202" s="12">
        <v>11.0</v>
      </c>
      <c r="L202" s="12">
        <v>3.6</v>
      </c>
      <c r="M202" s="12">
        <v>2.3</v>
      </c>
      <c r="N202" s="12">
        <v>1.0</v>
      </c>
      <c r="O202" s="12">
        <v>0.3</v>
      </c>
      <c r="P202" s="12">
        <v>1.3</v>
      </c>
      <c r="Q202" s="12">
        <v>-1.97</v>
      </c>
    </row>
    <row r="203">
      <c r="A203" s="12">
        <v>202.0</v>
      </c>
      <c r="B203" s="188"/>
      <c r="C203" s="22" t="s">
        <v>717</v>
      </c>
      <c r="D203" s="12" t="s">
        <v>97</v>
      </c>
      <c r="E203" s="12" t="s">
        <v>40</v>
      </c>
      <c r="F203" s="12">
        <v>78.0</v>
      </c>
      <c r="G203" s="12">
        <v>24.5</v>
      </c>
      <c r="H203" s="12" t="s">
        <v>718</v>
      </c>
      <c r="I203" s="12" t="s">
        <v>719</v>
      </c>
      <c r="J203" s="12">
        <v>0.8</v>
      </c>
      <c r="K203" s="12">
        <v>9.5</v>
      </c>
      <c r="L203" s="12">
        <v>4.6</v>
      </c>
      <c r="M203" s="12">
        <v>1.5</v>
      </c>
      <c r="N203" s="12">
        <v>0.7</v>
      </c>
      <c r="O203" s="12">
        <v>1.5</v>
      </c>
      <c r="P203" s="12">
        <v>1.0</v>
      </c>
      <c r="Q203" s="12">
        <v>-1.97</v>
      </c>
    </row>
    <row r="204">
      <c r="A204" s="12">
        <v>203.0</v>
      </c>
      <c r="B204" s="188"/>
      <c r="C204" s="22" t="s">
        <v>720</v>
      </c>
      <c r="D204" s="12" t="s">
        <v>34</v>
      </c>
      <c r="E204" s="12" t="s">
        <v>209</v>
      </c>
      <c r="F204" s="12">
        <v>67.0</v>
      </c>
      <c r="G204" s="12">
        <v>22.0</v>
      </c>
      <c r="H204" s="12" t="s">
        <v>721</v>
      </c>
      <c r="I204" s="12" t="s">
        <v>722</v>
      </c>
      <c r="J204" s="12">
        <v>0.6</v>
      </c>
      <c r="K204" s="12">
        <v>8.5</v>
      </c>
      <c r="L204" s="12">
        <v>5.2</v>
      </c>
      <c r="M204" s="12">
        <v>1.4</v>
      </c>
      <c r="N204" s="12">
        <v>0.5</v>
      </c>
      <c r="O204" s="12">
        <v>1.0</v>
      </c>
      <c r="P204" s="12">
        <v>0.9</v>
      </c>
      <c r="Q204" s="12">
        <v>-2.02</v>
      </c>
    </row>
    <row r="205">
      <c r="A205" s="12">
        <v>204.0</v>
      </c>
      <c r="B205" s="188"/>
      <c r="C205" s="22" t="s">
        <v>723</v>
      </c>
      <c r="D205" s="12" t="s">
        <v>158</v>
      </c>
      <c r="E205" s="12" t="s">
        <v>159</v>
      </c>
      <c r="F205" s="12">
        <v>74.0</v>
      </c>
      <c r="G205" s="12">
        <v>25.8</v>
      </c>
      <c r="H205" s="12" t="s">
        <v>724</v>
      </c>
      <c r="I205" s="12" t="s">
        <v>725</v>
      </c>
      <c r="J205" s="12">
        <v>1.8</v>
      </c>
      <c r="K205" s="12">
        <v>9.5</v>
      </c>
      <c r="L205" s="12">
        <v>2.5</v>
      </c>
      <c r="M205" s="12">
        <v>2.9</v>
      </c>
      <c r="N205" s="12">
        <v>0.9</v>
      </c>
      <c r="O205" s="12">
        <v>0.6</v>
      </c>
      <c r="P205" s="12">
        <v>1.2</v>
      </c>
      <c r="Q205" s="12">
        <v>-2.07</v>
      </c>
    </row>
    <row r="206">
      <c r="A206" s="12">
        <v>205.0</v>
      </c>
      <c r="B206" s="188"/>
      <c r="C206" s="22" t="s">
        <v>726</v>
      </c>
      <c r="D206" s="12" t="s">
        <v>62</v>
      </c>
      <c r="E206" s="12" t="s">
        <v>89</v>
      </c>
      <c r="F206" s="12">
        <v>60.0</v>
      </c>
      <c r="G206" s="12">
        <v>16.5</v>
      </c>
      <c r="H206" s="12" t="s">
        <v>727</v>
      </c>
      <c r="I206" s="12" t="s">
        <v>728</v>
      </c>
      <c r="J206" s="12">
        <v>0.0</v>
      </c>
      <c r="K206" s="12">
        <v>7.7</v>
      </c>
      <c r="L206" s="12">
        <v>4.8</v>
      </c>
      <c r="M206" s="12">
        <v>0.9</v>
      </c>
      <c r="N206" s="12">
        <v>0.6</v>
      </c>
      <c r="O206" s="12">
        <v>1.4</v>
      </c>
      <c r="P206" s="12">
        <v>0.8</v>
      </c>
      <c r="Q206" s="12">
        <v>-2.14</v>
      </c>
    </row>
    <row r="207">
      <c r="A207" s="12">
        <v>206.0</v>
      </c>
      <c r="B207" s="12">
        <v>146.0</v>
      </c>
      <c r="C207" s="22" t="s">
        <v>729</v>
      </c>
      <c r="D207" s="12" t="s">
        <v>97</v>
      </c>
      <c r="E207" s="12" t="s">
        <v>98</v>
      </c>
      <c r="F207" s="12">
        <v>80.0</v>
      </c>
      <c r="G207" s="12">
        <v>23.5</v>
      </c>
      <c r="H207" s="12" t="s">
        <v>730</v>
      </c>
      <c r="I207" s="12" t="s">
        <v>731</v>
      </c>
      <c r="J207" s="12">
        <v>2.6</v>
      </c>
      <c r="K207" s="12">
        <v>9.6</v>
      </c>
      <c r="L207" s="12">
        <v>3.8</v>
      </c>
      <c r="M207" s="12">
        <v>1.2</v>
      </c>
      <c r="N207" s="12">
        <v>0.5</v>
      </c>
      <c r="O207" s="12">
        <v>0.4</v>
      </c>
      <c r="P207" s="12">
        <v>0.5</v>
      </c>
      <c r="Q207" s="12">
        <v>-2.2</v>
      </c>
    </row>
    <row r="208">
      <c r="A208" s="12">
        <v>207.0</v>
      </c>
      <c r="B208" s="188"/>
      <c r="C208" s="22" t="s">
        <v>732</v>
      </c>
      <c r="D208" s="12" t="s">
        <v>158</v>
      </c>
      <c r="E208" s="12" t="s">
        <v>67</v>
      </c>
      <c r="F208" s="12">
        <v>68.0</v>
      </c>
      <c r="G208" s="12">
        <v>27.6</v>
      </c>
      <c r="H208" s="12" t="s">
        <v>734</v>
      </c>
      <c r="I208" s="12" t="s">
        <v>736</v>
      </c>
      <c r="J208" s="12">
        <v>2.0</v>
      </c>
      <c r="K208" s="12">
        <v>11.6</v>
      </c>
      <c r="L208" s="12">
        <v>1.9</v>
      </c>
      <c r="M208" s="12">
        <v>2.3</v>
      </c>
      <c r="N208" s="12">
        <v>0.8</v>
      </c>
      <c r="O208" s="12">
        <v>0.4</v>
      </c>
      <c r="P208" s="12">
        <v>1.3</v>
      </c>
      <c r="Q208" s="12">
        <v>-2.24</v>
      </c>
    </row>
    <row r="209">
      <c r="A209" s="12">
        <v>208.0</v>
      </c>
      <c r="B209" s="12">
        <v>146.5</v>
      </c>
      <c r="C209" s="22" t="s">
        <v>737</v>
      </c>
      <c r="D209" s="12" t="s">
        <v>97</v>
      </c>
      <c r="E209" s="12" t="s">
        <v>93</v>
      </c>
      <c r="F209" s="12">
        <v>60.0</v>
      </c>
      <c r="G209" s="12">
        <v>27.4</v>
      </c>
      <c r="H209" s="12" t="s">
        <v>739</v>
      </c>
      <c r="I209" s="12" t="s">
        <v>740</v>
      </c>
      <c r="J209" s="12">
        <v>1.6</v>
      </c>
      <c r="K209" s="12">
        <v>14.3</v>
      </c>
      <c r="L209" s="12">
        <v>3.8</v>
      </c>
      <c r="M209" s="12">
        <v>1.4</v>
      </c>
      <c r="N209" s="12">
        <v>0.6</v>
      </c>
      <c r="O209" s="12">
        <v>0.3</v>
      </c>
      <c r="P209" s="12">
        <v>1.2</v>
      </c>
      <c r="Q209" s="12">
        <v>-2.26</v>
      </c>
    </row>
    <row r="210">
      <c r="A210" s="12">
        <v>209.0</v>
      </c>
      <c r="B210" s="188"/>
      <c r="C210" s="22" t="s">
        <v>742</v>
      </c>
      <c r="D210" s="12" t="s">
        <v>56</v>
      </c>
      <c r="E210" s="12" t="s">
        <v>45</v>
      </c>
      <c r="F210" s="12">
        <v>78.0</v>
      </c>
      <c r="G210" s="12">
        <v>22.1</v>
      </c>
      <c r="H210" s="12" t="s">
        <v>745</v>
      </c>
      <c r="I210" s="12" t="s">
        <v>746</v>
      </c>
      <c r="J210" s="12">
        <v>1.3</v>
      </c>
      <c r="K210" s="12">
        <v>7.4</v>
      </c>
      <c r="L210" s="12">
        <v>2.5</v>
      </c>
      <c r="M210" s="12">
        <v>1.6</v>
      </c>
      <c r="N210" s="12">
        <v>1.0</v>
      </c>
      <c r="O210" s="12">
        <v>0.5</v>
      </c>
      <c r="P210" s="12">
        <v>0.6</v>
      </c>
      <c r="Q210" s="12">
        <v>-2.35</v>
      </c>
    </row>
    <row r="211">
      <c r="A211" s="12">
        <v>210.0</v>
      </c>
      <c r="B211" s="188"/>
      <c r="C211" s="22" t="s">
        <v>747</v>
      </c>
      <c r="D211" s="12" t="s">
        <v>97</v>
      </c>
      <c r="E211" s="12" t="s">
        <v>102</v>
      </c>
      <c r="F211" s="12">
        <v>62.0</v>
      </c>
      <c r="G211" s="12">
        <v>24.8</v>
      </c>
      <c r="H211" s="12" t="s">
        <v>748</v>
      </c>
      <c r="I211" s="12" t="s">
        <v>749</v>
      </c>
      <c r="J211" s="12">
        <v>1.5</v>
      </c>
      <c r="K211" s="12">
        <v>6.2</v>
      </c>
      <c r="L211" s="12">
        <v>4.2</v>
      </c>
      <c r="M211" s="12">
        <v>1.9</v>
      </c>
      <c r="N211" s="12">
        <v>0.8</v>
      </c>
      <c r="O211" s="12">
        <v>0.6</v>
      </c>
      <c r="P211" s="12">
        <v>0.7</v>
      </c>
      <c r="Q211" s="12">
        <v>-2.44</v>
      </c>
    </row>
    <row r="212">
      <c r="A212" s="12">
        <v>211.0</v>
      </c>
      <c r="B212" s="12">
        <v>142.2</v>
      </c>
      <c r="C212" s="22" t="s">
        <v>750</v>
      </c>
      <c r="D212" s="12" t="s">
        <v>97</v>
      </c>
      <c r="E212" s="12" t="s">
        <v>35</v>
      </c>
      <c r="F212" s="12">
        <v>80.0</v>
      </c>
      <c r="G212" s="12">
        <v>27.3</v>
      </c>
      <c r="H212" s="12" t="s">
        <v>751</v>
      </c>
      <c r="I212" s="12" t="s">
        <v>752</v>
      </c>
      <c r="J212" s="12">
        <v>1.5</v>
      </c>
      <c r="K212" s="12">
        <v>12.2</v>
      </c>
      <c r="L212" s="12">
        <v>3.4</v>
      </c>
      <c r="M212" s="12">
        <v>1.2</v>
      </c>
      <c r="N212" s="12">
        <v>0.6</v>
      </c>
      <c r="O212" s="12">
        <v>0.1</v>
      </c>
      <c r="P212" s="12">
        <v>0.8</v>
      </c>
      <c r="Q212" s="12">
        <v>-2.52</v>
      </c>
    </row>
    <row r="213">
      <c r="A213" s="12">
        <v>212.0</v>
      </c>
      <c r="B213" s="188"/>
      <c r="C213" s="22" t="s">
        <v>753</v>
      </c>
      <c r="D213" s="12" t="s">
        <v>34</v>
      </c>
      <c r="E213" s="12" t="s">
        <v>93</v>
      </c>
      <c r="F213" s="12">
        <v>59.0</v>
      </c>
      <c r="G213" s="12">
        <v>18.6</v>
      </c>
      <c r="H213" s="12" t="s">
        <v>754</v>
      </c>
      <c r="I213" s="12" t="s">
        <v>755</v>
      </c>
      <c r="J213" s="12">
        <v>0.3</v>
      </c>
      <c r="K213" s="12">
        <v>5.9</v>
      </c>
      <c r="L213" s="12">
        <v>4.9</v>
      </c>
      <c r="M213" s="12">
        <v>1.7</v>
      </c>
      <c r="N213" s="12">
        <v>0.9</v>
      </c>
      <c r="O213" s="12">
        <v>0.4</v>
      </c>
      <c r="P213" s="12">
        <v>0.7</v>
      </c>
      <c r="Q213" s="12">
        <v>-2.52</v>
      </c>
    </row>
    <row r="214">
      <c r="A214" s="12">
        <v>213.0</v>
      </c>
      <c r="B214" s="12">
        <v>143.0</v>
      </c>
      <c r="C214" s="22" t="s">
        <v>756</v>
      </c>
      <c r="D214" s="12" t="s">
        <v>44</v>
      </c>
      <c r="E214" s="12" t="s">
        <v>98</v>
      </c>
      <c r="F214" s="12">
        <v>74.0</v>
      </c>
      <c r="G214" s="12">
        <v>24.3</v>
      </c>
      <c r="H214" s="12" t="s">
        <v>758</v>
      </c>
      <c r="I214" s="12" t="s">
        <v>759</v>
      </c>
      <c r="J214" s="12">
        <v>2.0</v>
      </c>
      <c r="K214" s="12">
        <v>10.5</v>
      </c>
      <c r="L214" s="12">
        <v>3.5</v>
      </c>
      <c r="M214" s="12">
        <v>3.4</v>
      </c>
      <c r="N214" s="12">
        <v>0.5</v>
      </c>
      <c r="O214" s="12">
        <v>0.1</v>
      </c>
      <c r="P214" s="12">
        <v>1.0</v>
      </c>
      <c r="Q214" s="12">
        <v>-2.54</v>
      </c>
    </row>
    <row r="215">
      <c r="A215" s="12">
        <v>214.0</v>
      </c>
      <c r="B215" s="12">
        <v>140.4</v>
      </c>
      <c r="C215" s="22" t="s">
        <v>760</v>
      </c>
      <c r="D215" s="12" t="s">
        <v>73</v>
      </c>
      <c r="E215" s="12" t="s">
        <v>89</v>
      </c>
      <c r="F215" s="12">
        <v>68.0</v>
      </c>
      <c r="G215" s="12">
        <v>20.6</v>
      </c>
      <c r="H215" s="12" t="s">
        <v>761</v>
      </c>
      <c r="I215" s="12" t="s">
        <v>762</v>
      </c>
      <c r="J215" s="12">
        <v>1.4</v>
      </c>
      <c r="K215" s="12">
        <v>9.7</v>
      </c>
      <c r="L215" s="12">
        <v>3.7</v>
      </c>
      <c r="M215" s="12">
        <v>1.4</v>
      </c>
      <c r="N215" s="12">
        <v>0.5</v>
      </c>
      <c r="O215" s="12">
        <v>0.4</v>
      </c>
      <c r="P215" s="12">
        <v>0.8</v>
      </c>
      <c r="Q215" s="12">
        <v>-2.57</v>
      </c>
    </row>
    <row r="216">
      <c r="A216" s="12">
        <v>215.0</v>
      </c>
      <c r="B216" s="12">
        <v>140.0</v>
      </c>
      <c r="C216" s="22" t="s">
        <v>767</v>
      </c>
      <c r="D216" s="12" t="s">
        <v>34</v>
      </c>
      <c r="E216" s="12" t="s">
        <v>236</v>
      </c>
      <c r="F216" s="12">
        <v>67.0</v>
      </c>
      <c r="G216" s="12">
        <v>17.5</v>
      </c>
      <c r="H216" s="12" t="s">
        <v>770</v>
      </c>
      <c r="I216" s="12" t="s">
        <v>771</v>
      </c>
      <c r="J216" s="12">
        <v>0.6</v>
      </c>
      <c r="K216" s="12">
        <v>10.3</v>
      </c>
      <c r="L216" s="12">
        <v>4.2</v>
      </c>
      <c r="M216" s="12">
        <v>1.3</v>
      </c>
      <c r="N216" s="12">
        <v>0.5</v>
      </c>
      <c r="O216" s="12">
        <v>0.2</v>
      </c>
      <c r="P216" s="12">
        <v>1.2</v>
      </c>
      <c r="Q216" s="12">
        <v>-2.59</v>
      </c>
    </row>
    <row r="217">
      <c r="A217" s="12">
        <v>216.0</v>
      </c>
      <c r="B217" s="188"/>
      <c r="C217" s="22" t="s">
        <v>772</v>
      </c>
      <c r="D217" s="12" t="s">
        <v>62</v>
      </c>
      <c r="E217" s="12" t="s">
        <v>173</v>
      </c>
      <c r="F217" s="12">
        <v>64.0</v>
      </c>
      <c r="G217" s="12">
        <v>22.8</v>
      </c>
      <c r="H217" s="12" t="s">
        <v>773</v>
      </c>
      <c r="I217" s="12" t="s">
        <v>774</v>
      </c>
      <c r="J217" s="12">
        <v>1.4</v>
      </c>
      <c r="K217" s="12">
        <v>9.4</v>
      </c>
      <c r="L217" s="12">
        <v>5.1</v>
      </c>
      <c r="M217" s="12">
        <v>1.6</v>
      </c>
      <c r="N217" s="12">
        <v>0.6</v>
      </c>
      <c r="O217" s="12">
        <v>0.7</v>
      </c>
      <c r="P217" s="12">
        <v>0.9</v>
      </c>
      <c r="Q217" s="12">
        <v>-2.66</v>
      </c>
    </row>
    <row r="218">
      <c r="A218" s="12">
        <v>217.0</v>
      </c>
      <c r="B218" s="188"/>
      <c r="C218" s="22" t="s">
        <v>775</v>
      </c>
      <c r="D218" s="12" t="s">
        <v>158</v>
      </c>
      <c r="E218" s="12" t="s">
        <v>259</v>
      </c>
      <c r="F218" s="12">
        <v>63.0</v>
      </c>
      <c r="G218" s="12">
        <v>20.0</v>
      </c>
      <c r="H218" s="12" t="s">
        <v>776</v>
      </c>
      <c r="I218" s="12" t="s">
        <v>777</v>
      </c>
      <c r="J218" s="12">
        <v>1.0</v>
      </c>
      <c r="K218" s="12">
        <v>4.9</v>
      </c>
      <c r="L218" s="12">
        <v>2.1</v>
      </c>
      <c r="M218" s="12">
        <v>1.1</v>
      </c>
      <c r="N218" s="12">
        <v>1.5</v>
      </c>
      <c r="O218" s="12">
        <v>0.6</v>
      </c>
      <c r="P218" s="12">
        <v>0.5</v>
      </c>
      <c r="Q218" s="12">
        <v>-2.72</v>
      </c>
    </row>
    <row r="219">
      <c r="A219" s="12">
        <v>218.0</v>
      </c>
      <c r="B219" s="188"/>
      <c r="C219" s="22" t="s">
        <v>778</v>
      </c>
      <c r="D219" s="12" t="s">
        <v>34</v>
      </c>
      <c r="E219" s="12" t="s">
        <v>259</v>
      </c>
      <c r="F219" s="12">
        <v>38.0</v>
      </c>
      <c r="G219" s="12">
        <v>15.4</v>
      </c>
      <c r="H219" s="12" t="s">
        <v>779</v>
      </c>
      <c r="I219" s="12" t="s">
        <v>780</v>
      </c>
      <c r="J219" s="12">
        <v>0.0</v>
      </c>
      <c r="K219" s="12">
        <v>5.3</v>
      </c>
      <c r="L219" s="12">
        <v>5.5</v>
      </c>
      <c r="M219" s="12">
        <v>0.9</v>
      </c>
      <c r="N219" s="12">
        <v>0.5</v>
      </c>
      <c r="O219" s="12">
        <v>0.9</v>
      </c>
      <c r="P219" s="12">
        <v>0.7</v>
      </c>
      <c r="Q219" s="12">
        <v>-2.73</v>
      </c>
    </row>
    <row r="220">
      <c r="A220" s="12">
        <v>219.0</v>
      </c>
      <c r="B220" s="188"/>
      <c r="C220" s="22" t="s">
        <v>781</v>
      </c>
      <c r="D220" s="12" t="s">
        <v>158</v>
      </c>
      <c r="E220" s="12" t="s">
        <v>74</v>
      </c>
      <c r="F220" s="12">
        <v>68.0</v>
      </c>
      <c r="G220" s="12">
        <v>27.1</v>
      </c>
      <c r="H220" s="12" t="s">
        <v>782</v>
      </c>
      <c r="I220" s="12" t="s">
        <v>783</v>
      </c>
      <c r="J220" s="12">
        <v>1.8</v>
      </c>
      <c r="K220" s="12">
        <v>9.8</v>
      </c>
      <c r="L220" s="12">
        <v>3.0</v>
      </c>
      <c r="M220" s="12">
        <v>1.7</v>
      </c>
      <c r="N220" s="12">
        <v>0.7</v>
      </c>
      <c r="O220" s="12">
        <v>0.4</v>
      </c>
      <c r="P220" s="12">
        <v>1.2</v>
      </c>
      <c r="Q220" s="12">
        <v>-2.79</v>
      </c>
    </row>
    <row r="221">
      <c r="A221" s="12">
        <v>220.0</v>
      </c>
      <c r="B221" s="188"/>
      <c r="C221" s="22" t="s">
        <v>784</v>
      </c>
      <c r="D221" s="12" t="s">
        <v>56</v>
      </c>
      <c r="E221" s="12" t="s">
        <v>57</v>
      </c>
      <c r="F221" s="12">
        <v>74.0</v>
      </c>
      <c r="G221" s="12">
        <v>24.2</v>
      </c>
      <c r="H221" s="12" t="s">
        <v>785</v>
      </c>
      <c r="I221" s="12" t="s">
        <v>211</v>
      </c>
      <c r="J221" s="12">
        <v>1.5</v>
      </c>
      <c r="K221" s="12">
        <v>10.9</v>
      </c>
      <c r="L221" s="12">
        <v>2.4</v>
      </c>
      <c r="M221" s="12">
        <v>4.4</v>
      </c>
      <c r="N221" s="12">
        <v>0.6</v>
      </c>
      <c r="O221" s="12">
        <v>0.2</v>
      </c>
      <c r="P221" s="12">
        <v>1.2</v>
      </c>
      <c r="Q221" s="12">
        <v>-2.8</v>
      </c>
    </row>
    <row r="222">
      <c r="A222" s="12">
        <v>221.0</v>
      </c>
      <c r="B222" s="12">
        <v>138.6</v>
      </c>
      <c r="C222" s="22" t="s">
        <v>786</v>
      </c>
      <c r="D222" s="12" t="s">
        <v>158</v>
      </c>
      <c r="E222" s="12" t="s">
        <v>180</v>
      </c>
      <c r="F222" s="12">
        <v>70.0</v>
      </c>
      <c r="G222" s="12">
        <v>29.0</v>
      </c>
      <c r="H222" s="12" t="s">
        <v>787</v>
      </c>
      <c r="I222" s="12" t="s">
        <v>788</v>
      </c>
      <c r="J222" s="12">
        <v>1.8</v>
      </c>
      <c r="K222" s="12">
        <v>13.0</v>
      </c>
      <c r="L222" s="12">
        <v>3.2</v>
      </c>
      <c r="M222" s="12">
        <v>2.0</v>
      </c>
      <c r="N222" s="12">
        <v>0.9</v>
      </c>
      <c r="O222" s="12">
        <v>0.2</v>
      </c>
      <c r="P222" s="12">
        <v>1.3</v>
      </c>
      <c r="Q222" s="12">
        <v>-2.82</v>
      </c>
    </row>
    <row r="223">
      <c r="A223" s="12">
        <v>222.0</v>
      </c>
      <c r="B223" s="188"/>
      <c r="C223" s="22" t="s">
        <v>789</v>
      </c>
      <c r="D223" s="12" t="s">
        <v>158</v>
      </c>
      <c r="E223" s="12" t="s">
        <v>173</v>
      </c>
      <c r="F223" s="12">
        <v>64.0</v>
      </c>
      <c r="G223" s="12">
        <v>20.7</v>
      </c>
      <c r="H223" s="12" t="s">
        <v>790</v>
      </c>
      <c r="I223" s="12" t="s">
        <v>791</v>
      </c>
      <c r="J223" s="12">
        <v>0.8</v>
      </c>
      <c r="K223" s="12">
        <v>4.7</v>
      </c>
      <c r="L223" s="12">
        <v>4.4</v>
      </c>
      <c r="M223" s="12">
        <v>1.7</v>
      </c>
      <c r="N223" s="12">
        <v>1.0</v>
      </c>
      <c r="O223" s="12">
        <v>0.6</v>
      </c>
      <c r="P223" s="12">
        <v>0.7</v>
      </c>
      <c r="Q223" s="12">
        <v>-2.83</v>
      </c>
    </row>
    <row r="224">
      <c r="A224" s="12">
        <v>223.0</v>
      </c>
      <c r="B224" s="188"/>
      <c r="C224" s="22" t="s">
        <v>792</v>
      </c>
      <c r="D224" s="12" t="s">
        <v>97</v>
      </c>
      <c r="E224" s="12" t="s">
        <v>118</v>
      </c>
      <c r="F224" s="12">
        <v>76.0</v>
      </c>
      <c r="G224" s="12">
        <v>24.2</v>
      </c>
      <c r="H224" s="12" t="s">
        <v>793</v>
      </c>
      <c r="I224" s="12" t="s">
        <v>794</v>
      </c>
      <c r="J224" s="12">
        <v>1.8</v>
      </c>
      <c r="K224" s="12">
        <v>7.2</v>
      </c>
      <c r="L224" s="12">
        <v>4.3</v>
      </c>
      <c r="M224" s="12">
        <v>2.8</v>
      </c>
      <c r="N224" s="12">
        <v>0.7</v>
      </c>
      <c r="O224" s="12">
        <v>0.5</v>
      </c>
      <c r="P224" s="12">
        <v>1.1</v>
      </c>
      <c r="Q224" s="12">
        <v>-2.86</v>
      </c>
    </row>
    <row r="225">
      <c r="A225" s="12">
        <v>224.0</v>
      </c>
      <c r="B225" s="12">
        <v>142.2</v>
      </c>
      <c r="C225" s="22" t="s">
        <v>795</v>
      </c>
      <c r="D225" s="12" t="s">
        <v>97</v>
      </c>
      <c r="E225" s="12" t="s">
        <v>106</v>
      </c>
      <c r="F225" s="12">
        <v>69.0</v>
      </c>
      <c r="G225" s="12">
        <v>20.5</v>
      </c>
      <c r="H225" s="12" t="s">
        <v>796</v>
      </c>
      <c r="I225" s="12" t="s">
        <v>797</v>
      </c>
      <c r="J225" s="12">
        <v>0.3</v>
      </c>
      <c r="K225" s="12">
        <v>6.4</v>
      </c>
      <c r="L225" s="12">
        <v>3.6</v>
      </c>
      <c r="M225" s="12">
        <v>3.7</v>
      </c>
      <c r="N225" s="12">
        <v>0.8</v>
      </c>
      <c r="O225" s="12">
        <v>0.6</v>
      </c>
      <c r="P225" s="12">
        <v>1.1</v>
      </c>
      <c r="Q225" s="12">
        <v>-2.87</v>
      </c>
    </row>
    <row r="226">
      <c r="A226" s="12">
        <v>225.0</v>
      </c>
      <c r="B226" s="188"/>
      <c r="C226" s="22" t="s">
        <v>798</v>
      </c>
      <c r="D226" s="12" t="s">
        <v>34</v>
      </c>
      <c r="E226" s="12" t="s">
        <v>98</v>
      </c>
      <c r="F226" s="12">
        <v>67.0</v>
      </c>
      <c r="G226" s="12">
        <v>15.6</v>
      </c>
      <c r="H226" s="12" t="s">
        <v>799</v>
      </c>
      <c r="I226" s="12" t="s">
        <v>800</v>
      </c>
      <c r="J226" s="12">
        <v>0.0</v>
      </c>
      <c r="K226" s="12">
        <v>5.3</v>
      </c>
      <c r="L226" s="12">
        <v>4.0</v>
      </c>
      <c r="M226" s="12">
        <v>1.1</v>
      </c>
      <c r="N226" s="12">
        <v>0.3</v>
      </c>
      <c r="O226" s="12">
        <v>0.9</v>
      </c>
      <c r="P226" s="12">
        <v>0.4</v>
      </c>
      <c r="Q226" s="12">
        <v>-2.96</v>
      </c>
    </row>
    <row r="227">
      <c r="A227" s="12">
        <v>226.0</v>
      </c>
      <c r="B227" s="12">
        <v>144.4</v>
      </c>
      <c r="C227" s="22" t="s">
        <v>801</v>
      </c>
      <c r="D227" s="12" t="s">
        <v>97</v>
      </c>
      <c r="E227" s="12" t="s">
        <v>291</v>
      </c>
      <c r="F227" s="12">
        <v>62.0</v>
      </c>
      <c r="G227" s="12">
        <v>26.9</v>
      </c>
      <c r="H227" s="12" t="s">
        <v>802</v>
      </c>
      <c r="I227" s="12" t="s">
        <v>153</v>
      </c>
      <c r="J227" s="12">
        <v>2.2</v>
      </c>
      <c r="K227" s="12">
        <v>16.5</v>
      </c>
      <c r="L227" s="12">
        <v>2.9</v>
      </c>
      <c r="M227" s="12">
        <v>1.9</v>
      </c>
      <c r="N227" s="12">
        <v>0.5</v>
      </c>
      <c r="O227" s="12">
        <v>0.1</v>
      </c>
      <c r="P227" s="12">
        <v>1.8</v>
      </c>
      <c r="Q227" s="12">
        <v>-2.96</v>
      </c>
    </row>
    <row r="228">
      <c r="A228" s="12">
        <v>227.0</v>
      </c>
      <c r="B228" s="188"/>
      <c r="C228" s="22" t="s">
        <v>803</v>
      </c>
      <c r="D228" s="12" t="s">
        <v>34</v>
      </c>
      <c r="E228" s="12" t="s">
        <v>291</v>
      </c>
      <c r="F228" s="12">
        <v>64.0</v>
      </c>
      <c r="G228" s="12">
        <v>18.0</v>
      </c>
      <c r="H228" s="12" t="s">
        <v>804</v>
      </c>
      <c r="I228" s="12" t="s">
        <v>805</v>
      </c>
      <c r="J228" s="12">
        <v>0.1</v>
      </c>
      <c r="K228" s="12">
        <v>8.0</v>
      </c>
      <c r="L228" s="12">
        <v>7.3</v>
      </c>
      <c r="M228" s="12">
        <v>1.5</v>
      </c>
      <c r="N228" s="12">
        <v>0.5</v>
      </c>
      <c r="O228" s="12">
        <v>0.9</v>
      </c>
      <c r="P228" s="12">
        <v>1.4</v>
      </c>
      <c r="Q228" s="12">
        <v>-2.99</v>
      </c>
    </row>
    <row r="229">
      <c r="A229" s="12">
        <v>228.0</v>
      </c>
      <c r="B229" s="188"/>
      <c r="C229" s="22" t="s">
        <v>806</v>
      </c>
      <c r="D229" s="12" t="s">
        <v>97</v>
      </c>
      <c r="E229" s="12" t="s">
        <v>110</v>
      </c>
      <c r="F229" s="12">
        <v>71.0</v>
      </c>
      <c r="G229" s="12">
        <v>27.0</v>
      </c>
      <c r="H229" s="12" t="s">
        <v>807</v>
      </c>
      <c r="I229" s="12" t="s">
        <v>808</v>
      </c>
      <c r="J229" s="12">
        <v>1.1</v>
      </c>
      <c r="K229" s="12">
        <v>8.8</v>
      </c>
      <c r="L229" s="12">
        <v>3.0</v>
      </c>
      <c r="M229" s="12">
        <v>1.7</v>
      </c>
      <c r="N229" s="12">
        <v>0.9</v>
      </c>
      <c r="O229" s="12">
        <v>0.5</v>
      </c>
      <c r="P229" s="12">
        <v>0.7</v>
      </c>
      <c r="Q229" s="12">
        <v>-2.99</v>
      </c>
    </row>
    <row r="230">
      <c r="A230" s="12">
        <v>229.0</v>
      </c>
      <c r="B230" s="188"/>
      <c r="C230" s="22" t="s">
        <v>809</v>
      </c>
      <c r="D230" s="12" t="s">
        <v>56</v>
      </c>
      <c r="E230" s="12" t="s">
        <v>74</v>
      </c>
      <c r="F230" s="12">
        <v>62.0</v>
      </c>
      <c r="G230" s="12">
        <v>16.8</v>
      </c>
      <c r="H230" s="12" t="s">
        <v>813</v>
      </c>
      <c r="I230" s="12" t="s">
        <v>814</v>
      </c>
      <c r="J230" s="12">
        <v>0.6</v>
      </c>
      <c r="K230" s="12">
        <v>5.0</v>
      </c>
      <c r="L230" s="12">
        <v>2.3</v>
      </c>
      <c r="M230" s="12">
        <v>2.7</v>
      </c>
      <c r="N230" s="12">
        <v>1.3</v>
      </c>
      <c r="O230" s="12">
        <v>0.2</v>
      </c>
      <c r="P230" s="12">
        <v>0.5</v>
      </c>
      <c r="Q230" s="12">
        <v>-2.99</v>
      </c>
    </row>
    <row r="231">
      <c r="A231" s="12">
        <v>230.0</v>
      </c>
      <c r="B231" s="12">
        <v>143.8</v>
      </c>
      <c r="C231" s="22" t="s">
        <v>815</v>
      </c>
      <c r="D231" s="12" t="s">
        <v>71</v>
      </c>
      <c r="E231" s="12" t="s">
        <v>222</v>
      </c>
      <c r="F231" s="12">
        <v>74.0</v>
      </c>
      <c r="G231" s="12">
        <v>25.1</v>
      </c>
      <c r="H231" s="12" t="s">
        <v>817</v>
      </c>
      <c r="I231" s="12" t="s">
        <v>818</v>
      </c>
      <c r="J231" s="12">
        <v>2.6</v>
      </c>
      <c r="K231" s="12">
        <v>11.1</v>
      </c>
      <c r="L231" s="12">
        <v>3.3</v>
      </c>
      <c r="M231" s="12">
        <v>1.3</v>
      </c>
      <c r="N231" s="12">
        <v>0.7</v>
      </c>
      <c r="O231" s="12">
        <v>0.1</v>
      </c>
      <c r="P231" s="12">
        <v>0.8</v>
      </c>
      <c r="Q231" s="12">
        <v>-3.05</v>
      </c>
    </row>
    <row r="232">
      <c r="A232" s="12">
        <v>231.0</v>
      </c>
      <c r="B232" s="188"/>
      <c r="C232" s="22" t="s">
        <v>819</v>
      </c>
      <c r="D232" s="12" t="s">
        <v>71</v>
      </c>
      <c r="E232" s="12" t="s">
        <v>40</v>
      </c>
      <c r="F232" s="12">
        <v>64.0</v>
      </c>
      <c r="G232" s="12">
        <v>23.0</v>
      </c>
      <c r="H232" s="12" t="s">
        <v>820</v>
      </c>
      <c r="I232" s="12" t="s">
        <v>821</v>
      </c>
      <c r="J232" s="12">
        <v>1.9</v>
      </c>
      <c r="K232" s="12">
        <v>10.5</v>
      </c>
      <c r="L232" s="12">
        <v>2.8</v>
      </c>
      <c r="M232" s="12">
        <v>2.2</v>
      </c>
      <c r="N232" s="12">
        <v>0.8</v>
      </c>
      <c r="O232" s="12">
        <v>0.3</v>
      </c>
      <c r="P232" s="12">
        <v>1.1</v>
      </c>
      <c r="Q232" s="12">
        <v>-3.1</v>
      </c>
    </row>
    <row r="233">
      <c r="A233" s="12">
        <v>232.0</v>
      </c>
      <c r="B233" s="12">
        <v>143.2</v>
      </c>
      <c r="C233" s="22" t="s">
        <v>822</v>
      </c>
      <c r="D233" s="12" t="s">
        <v>62</v>
      </c>
      <c r="E233" s="12" t="s">
        <v>35</v>
      </c>
      <c r="F233" s="12">
        <v>60.0</v>
      </c>
      <c r="G233" s="12">
        <v>17.7</v>
      </c>
      <c r="H233" s="12" t="s">
        <v>823</v>
      </c>
      <c r="I233" s="12" t="s">
        <v>824</v>
      </c>
      <c r="J233" s="12">
        <v>0.7</v>
      </c>
      <c r="K233" s="12">
        <v>9.1</v>
      </c>
      <c r="L233" s="12">
        <v>4.7</v>
      </c>
      <c r="M233" s="12">
        <v>2.3</v>
      </c>
      <c r="N233" s="12">
        <v>0.4</v>
      </c>
      <c r="O233" s="12">
        <v>0.6</v>
      </c>
      <c r="P233" s="12">
        <v>1.6</v>
      </c>
      <c r="Q233" s="12">
        <v>-3.13</v>
      </c>
    </row>
    <row r="234">
      <c r="A234" s="12">
        <v>233.0</v>
      </c>
      <c r="B234" s="12">
        <v>143.1</v>
      </c>
      <c r="C234" s="22" t="s">
        <v>825</v>
      </c>
      <c r="D234" s="12" t="s">
        <v>62</v>
      </c>
      <c r="E234" s="12" t="s">
        <v>136</v>
      </c>
      <c r="F234" s="12">
        <v>77.0</v>
      </c>
      <c r="G234" s="12">
        <v>25.9</v>
      </c>
      <c r="H234" s="12" t="s">
        <v>826</v>
      </c>
      <c r="I234" s="12" t="s">
        <v>827</v>
      </c>
      <c r="J234" s="12">
        <v>1.5</v>
      </c>
      <c r="K234" s="12">
        <v>8.9</v>
      </c>
      <c r="L234" s="12">
        <v>4.3</v>
      </c>
      <c r="M234" s="12">
        <v>1.9</v>
      </c>
      <c r="N234" s="12">
        <v>0.5</v>
      </c>
      <c r="O234" s="12">
        <v>0.4</v>
      </c>
      <c r="P234" s="12">
        <v>1.2</v>
      </c>
      <c r="Q234" s="12">
        <v>-3.15</v>
      </c>
    </row>
    <row r="235">
      <c r="A235" s="12">
        <v>234.0</v>
      </c>
      <c r="B235" s="12">
        <v>140.3</v>
      </c>
      <c r="C235" s="22" t="s">
        <v>828</v>
      </c>
      <c r="D235" s="12" t="s">
        <v>574</v>
      </c>
      <c r="E235" s="12" t="s">
        <v>291</v>
      </c>
      <c r="F235" s="12">
        <v>68.0</v>
      </c>
      <c r="G235" s="12">
        <v>27.4</v>
      </c>
      <c r="H235" s="12" t="s">
        <v>829</v>
      </c>
      <c r="I235" s="12" t="s">
        <v>830</v>
      </c>
      <c r="J235" s="12">
        <v>1.6</v>
      </c>
      <c r="K235" s="12">
        <v>7.8</v>
      </c>
      <c r="L235" s="12">
        <v>4.4</v>
      </c>
      <c r="M235" s="12">
        <v>1.4</v>
      </c>
      <c r="N235" s="12">
        <v>0.8</v>
      </c>
      <c r="O235" s="12">
        <v>0.5</v>
      </c>
      <c r="P235" s="12">
        <v>0.8</v>
      </c>
      <c r="Q235" s="12">
        <v>-3.18</v>
      </c>
    </row>
    <row r="236">
      <c r="A236" s="12">
        <v>235.0</v>
      </c>
      <c r="B236" s="188"/>
      <c r="C236" s="22" t="s">
        <v>831</v>
      </c>
      <c r="D236" s="12" t="s">
        <v>62</v>
      </c>
      <c r="E236" s="12" t="s">
        <v>222</v>
      </c>
      <c r="F236" s="12">
        <v>62.0</v>
      </c>
      <c r="G236" s="12">
        <v>14.2</v>
      </c>
      <c r="H236" s="12" t="s">
        <v>832</v>
      </c>
      <c r="I236" s="12" t="s">
        <v>833</v>
      </c>
      <c r="J236" s="12">
        <v>0.1</v>
      </c>
      <c r="K236" s="12">
        <v>5.4</v>
      </c>
      <c r="L236" s="12">
        <v>4.6</v>
      </c>
      <c r="M236" s="12">
        <v>0.8</v>
      </c>
      <c r="N236" s="12">
        <v>0.7</v>
      </c>
      <c r="O236" s="12">
        <v>0.8</v>
      </c>
      <c r="P236" s="12">
        <v>0.7</v>
      </c>
      <c r="Q236" s="12">
        <v>-3.24</v>
      </c>
    </row>
    <row r="237">
      <c r="A237" s="12">
        <v>236.0</v>
      </c>
      <c r="B237" s="188"/>
      <c r="C237" s="22" t="s">
        <v>834</v>
      </c>
      <c r="D237" s="12" t="s">
        <v>62</v>
      </c>
      <c r="E237" s="12" t="s">
        <v>40</v>
      </c>
      <c r="F237" s="12">
        <v>65.0</v>
      </c>
      <c r="G237" s="12">
        <v>18.4</v>
      </c>
      <c r="H237" s="12" t="s">
        <v>835</v>
      </c>
      <c r="I237" s="12" t="s">
        <v>836</v>
      </c>
      <c r="J237" s="12">
        <v>1.2</v>
      </c>
      <c r="K237" s="12">
        <v>8.6</v>
      </c>
      <c r="L237" s="12">
        <v>4.8</v>
      </c>
      <c r="M237" s="12">
        <v>2.1</v>
      </c>
      <c r="N237" s="12">
        <v>0.5</v>
      </c>
      <c r="O237" s="12">
        <v>0.2</v>
      </c>
      <c r="P237" s="12">
        <v>1.3</v>
      </c>
      <c r="Q237" s="12">
        <v>-3.25</v>
      </c>
    </row>
    <row r="238">
      <c r="A238" s="12">
        <v>237.0</v>
      </c>
      <c r="B238" s="188"/>
      <c r="C238" s="22" t="s">
        <v>837</v>
      </c>
      <c r="D238" s="12" t="s">
        <v>62</v>
      </c>
      <c r="E238" s="12" t="s">
        <v>63</v>
      </c>
      <c r="F238" s="12">
        <v>52.0</v>
      </c>
      <c r="G238" s="12">
        <v>17.2</v>
      </c>
      <c r="H238" s="12" t="s">
        <v>838</v>
      </c>
      <c r="I238" s="12" t="s">
        <v>839</v>
      </c>
      <c r="J238" s="12">
        <v>0.9</v>
      </c>
      <c r="K238" s="12">
        <v>9.7</v>
      </c>
      <c r="L238" s="12">
        <v>5.0</v>
      </c>
      <c r="M238" s="12">
        <v>1.1</v>
      </c>
      <c r="N238" s="12">
        <v>0.3</v>
      </c>
      <c r="O238" s="12">
        <v>0.7</v>
      </c>
      <c r="P238" s="12">
        <v>1.1</v>
      </c>
      <c r="Q238" s="12">
        <v>-3.34</v>
      </c>
    </row>
    <row r="239">
      <c r="A239" s="12">
        <v>238.0</v>
      </c>
      <c r="B239" s="188"/>
      <c r="C239" s="22" t="s">
        <v>840</v>
      </c>
      <c r="D239" s="12" t="s">
        <v>44</v>
      </c>
      <c r="E239" s="12" t="s">
        <v>159</v>
      </c>
      <c r="F239" s="12">
        <v>68.0</v>
      </c>
      <c r="G239" s="12">
        <v>22.8</v>
      </c>
      <c r="H239" s="12" t="s">
        <v>841</v>
      </c>
      <c r="I239" s="12" t="s">
        <v>842</v>
      </c>
      <c r="J239" s="12">
        <v>1.6</v>
      </c>
      <c r="K239" s="12">
        <v>11.0</v>
      </c>
      <c r="L239" s="12">
        <v>2.1</v>
      </c>
      <c r="M239" s="12">
        <v>2.8</v>
      </c>
      <c r="N239" s="12">
        <v>0.7</v>
      </c>
      <c r="O239" s="12">
        <v>0.0</v>
      </c>
      <c r="P239" s="12">
        <v>1.4</v>
      </c>
      <c r="Q239" s="12">
        <v>-3.35</v>
      </c>
    </row>
    <row r="240">
      <c r="A240" s="12">
        <v>239.0</v>
      </c>
      <c r="B240" s="188"/>
      <c r="C240" s="22" t="s">
        <v>843</v>
      </c>
      <c r="D240" s="12" t="s">
        <v>62</v>
      </c>
      <c r="E240" s="12" t="s">
        <v>98</v>
      </c>
      <c r="F240" s="12">
        <v>62.0</v>
      </c>
      <c r="G240" s="12">
        <v>20.2</v>
      </c>
      <c r="H240" s="12" t="s">
        <v>844</v>
      </c>
      <c r="I240" s="12" t="s">
        <v>845</v>
      </c>
      <c r="J240" s="12">
        <v>0.7</v>
      </c>
      <c r="K240" s="12">
        <v>7.2</v>
      </c>
      <c r="L240" s="12">
        <v>4.9</v>
      </c>
      <c r="M240" s="12">
        <v>1.6</v>
      </c>
      <c r="N240" s="12">
        <v>1.0</v>
      </c>
      <c r="O240" s="12">
        <v>0.7</v>
      </c>
      <c r="P240" s="12">
        <v>0.7</v>
      </c>
      <c r="Q240" s="12">
        <v>-3.41</v>
      </c>
    </row>
    <row r="241">
      <c r="A241" s="12">
        <v>240.0</v>
      </c>
      <c r="B241" s="12">
        <v>143.5</v>
      </c>
      <c r="C241" s="22" t="s">
        <v>846</v>
      </c>
      <c r="D241" s="12" t="s">
        <v>158</v>
      </c>
      <c r="E241" s="12" t="s">
        <v>126</v>
      </c>
      <c r="F241" s="12">
        <v>68.0</v>
      </c>
      <c r="G241" s="12">
        <v>28.2</v>
      </c>
      <c r="H241" s="12" t="s">
        <v>847</v>
      </c>
      <c r="I241" s="12" t="s">
        <v>848</v>
      </c>
      <c r="J241" s="12">
        <v>2.0</v>
      </c>
      <c r="K241" s="12">
        <v>11.4</v>
      </c>
      <c r="L241" s="12">
        <v>2.9</v>
      </c>
      <c r="M241" s="12">
        <v>1.5</v>
      </c>
      <c r="N241" s="12">
        <v>0.8</v>
      </c>
      <c r="O241" s="12">
        <v>0.0</v>
      </c>
      <c r="P241" s="12">
        <v>1.1</v>
      </c>
      <c r="Q241" s="12">
        <v>-3.51</v>
      </c>
    </row>
    <row r="242">
      <c r="A242" s="12">
        <v>241.0</v>
      </c>
      <c r="B242" s="188"/>
      <c r="C242" s="22" t="s">
        <v>849</v>
      </c>
      <c r="D242" s="12" t="s">
        <v>72</v>
      </c>
      <c r="E242" s="12" t="s">
        <v>222</v>
      </c>
      <c r="F242" s="12">
        <v>67.0</v>
      </c>
      <c r="G242" s="12">
        <v>25.4</v>
      </c>
      <c r="H242" s="12" t="s">
        <v>850</v>
      </c>
      <c r="I242" s="12" t="s">
        <v>851</v>
      </c>
      <c r="J242" s="12">
        <v>0.5</v>
      </c>
      <c r="K242" s="12">
        <v>10.3</v>
      </c>
      <c r="L242" s="12">
        <v>3.7</v>
      </c>
      <c r="M242" s="12">
        <v>1.7</v>
      </c>
      <c r="N242" s="12">
        <v>1.3</v>
      </c>
      <c r="O242" s="12">
        <v>0.4</v>
      </c>
      <c r="P242" s="12">
        <v>1.6</v>
      </c>
      <c r="Q242" s="12">
        <v>-3.53</v>
      </c>
    </row>
    <row r="243">
      <c r="A243" s="12">
        <v>242.0</v>
      </c>
      <c r="B243" s="188"/>
      <c r="C243" s="22" t="s">
        <v>852</v>
      </c>
      <c r="D243" s="12" t="s">
        <v>34</v>
      </c>
      <c r="E243" s="12" t="s">
        <v>102</v>
      </c>
      <c r="F243" s="12">
        <v>58.0</v>
      </c>
      <c r="G243" s="12">
        <v>15.8</v>
      </c>
      <c r="H243" s="12" t="s">
        <v>853</v>
      </c>
      <c r="I243" s="12" t="s">
        <v>854</v>
      </c>
      <c r="J243" s="12">
        <v>0.8</v>
      </c>
      <c r="K243" s="12">
        <v>6.1</v>
      </c>
      <c r="L243" s="12">
        <v>4.9</v>
      </c>
      <c r="M243" s="12">
        <v>0.9</v>
      </c>
      <c r="N243" s="12">
        <v>0.4</v>
      </c>
      <c r="O243" s="12">
        <v>1.1</v>
      </c>
      <c r="P243" s="12">
        <v>0.7</v>
      </c>
      <c r="Q243" s="12">
        <v>-3.57</v>
      </c>
    </row>
    <row r="244">
      <c r="A244" s="12">
        <v>243.0</v>
      </c>
      <c r="B244" s="188"/>
      <c r="C244" s="22" t="s">
        <v>855</v>
      </c>
      <c r="D244" s="12" t="s">
        <v>97</v>
      </c>
      <c r="E244" s="12" t="s">
        <v>102</v>
      </c>
      <c r="F244" s="12">
        <v>64.0</v>
      </c>
      <c r="G244" s="12">
        <v>21.8</v>
      </c>
      <c r="H244" s="12" t="s">
        <v>856</v>
      </c>
      <c r="I244" s="12" t="s">
        <v>857</v>
      </c>
      <c r="J244" s="12">
        <v>0.9</v>
      </c>
      <c r="K244" s="12">
        <v>8.0</v>
      </c>
      <c r="L244" s="12">
        <v>3.3</v>
      </c>
      <c r="M244" s="12">
        <v>0.9</v>
      </c>
      <c r="N244" s="12">
        <v>0.7</v>
      </c>
      <c r="O244" s="12">
        <v>0.7</v>
      </c>
      <c r="P244" s="12">
        <v>0.7</v>
      </c>
      <c r="Q244" s="12">
        <v>-3.62</v>
      </c>
    </row>
    <row r="245">
      <c r="A245" s="12">
        <v>244.0</v>
      </c>
      <c r="B245" s="188"/>
      <c r="C245" s="22" t="s">
        <v>858</v>
      </c>
      <c r="D245" s="12" t="s">
        <v>56</v>
      </c>
      <c r="E245" s="12" t="s">
        <v>45</v>
      </c>
      <c r="F245" s="12">
        <v>75.0</v>
      </c>
      <c r="G245" s="12">
        <v>18.0</v>
      </c>
      <c r="H245" s="12" t="s">
        <v>859</v>
      </c>
      <c r="I245" s="12" t="s">
        <v>860</v>
      </c>
      <c r="J245" s="12">
        <v>2.0</v>
      </c>
      <c r="K245" s="12">
        <v>8.5</v>
      </c>
      <c r="L245" s="12">
        <v>2.3</v>
      </c>
      <c r="M245" s="12">
        <v>1.2</v>
      </c>
      <c r="N245" s="12">
        <v>0.6</v>
      </c>
      <c r="O245" s="12">
        <v>0.2</v>
      </c>
      <c r="P245" s="12">
        <v>0.6</v>
      </c>
      <c r="Q245" s="12">
        <v>-3.72</v>
      </c>
    </row>
    <row r="246">
      <c r="A246" s="12">
        <v>245.0</v>
      </c>
      <c r="B246" s="188"/>
      <c r="C246" s="22" t="s">
        <v>861</v>
      </c>
      <c r="D246" s="12" t="s">
        <v>158</v>
      </c>
      <c r="E246" s="12" t="s">
        <v>57</v>
      </c>
      <c r="F246" s="12">
        <v>58.0</v>
      </c>
      <c r="G246" s="12">
        <v>21.4</v>
      </c>
      <c r="H246" s="12" t="s">
        <v>862</v>
      </c>
      <c r="I246" s="12" t="s">
        <v>863</v>
      </c>
      <c r="J246" s="12">
        <v>0.9</v>
      </c>
      <c r="K246" s="12">
        <v>8.5</v>
      </c>
      <c r="L246" s="12">
        <v>3.8</v>
      </c>
      <c r="M246" s="12">
        <v>2.3</v>
      </c>
      <c r="N246" s="12">
        <v>0.8</v>
      </c>
      <c r="O246" s="12">
        <v>0.2</v>
      </c>
      <c r="P246" s="12">
        <v>1.2</v>
      </c>
      <c r="Q246" s="12">
        <v>-3.76</v>
      </c>
    </row>
    <row r="247">
      <c r="A247" s="12">
        <v>246.0</v>
      </c>
      <c r="B247" s="188"/>
      <c r="C247" s="22" t="s">
        <v>864</v>
      </c>
      <c r="D247" s="12" t="s">
        <v>44</v>
      </c>
      <c r="E247" s="12" t="s">
        <v>287</v>
      </c>
      <c r="F247" s="12">
        <v>68.0</v>
      </c>
      <c r="G247" s="12">
        <v>28.7</v>
      </c>
      <c r="H247" s="12" t="s">
        <v>865</v>
      </c>
      <c r="I247" s="12" t="s">
        <v>866</v>
      </c>
      <c r="J247" s="12">
        <v>1.6</v>
      </c>
      <c r="K247" s="12">
        <v>11.0</v>
      </c>
      <c r="L247" s="12">
        <v>4.1</v>
      </c>
      <c r="M247" s="12">
        <v>3.3</v>
      </c>
      <c r="N247" s="12">
        <v>0.5</v>
      </c>
      <c r="O247" s="12">
        <v>0.2</v>
      </c>
      <c r="P247" s="12">
        <v>1.5</v>
      </c>
      <c r="Q247" s="12">
        <v>-3.76</v>
      </c>
    </row>
    <row r="248">
      <c r="A248" s="12">
        <v>247.0</v>
      </c>
      <c r="B248" s="188"/>
      <c r="C248" s="22" t="s">
        <v>867</v>
      </c>
      <c r="D248" s="12" t="s">
        <v>56</v>
      </c>
      <c r="E248" s="12" t="s">
        <v>102</v>
      </c>
      <c r="F248" s="12">
        <v>66.0</v>
      </c>
      <c r="G248" s="12">
        <v>18.0</v>
      </c>
      <c r="H248" s="12" t="s">
        <v>868</v>
      </c>
      <c r="I248" s="12" t="s">
        <v>611</v>
      </c>
      <c r="J248" s="12">
        <v>1.8</v>
      </c>
      <c r="K248" s="12">
        <v>10.2</v>
      </c>
      <c r="L248" s="12">
        <v>2.1</v>
      </c>
      <c r="M248" s="12">
        <v>3.0</v>
      </c>
      <c r="N248" s="12">
        <v>0.7</v>
      </c>
      <c r="O248" s="12">
        <v>0.2</v>
      </c>
      <c r="P248" s="12">
        <v>1.4</v>
      </c>
      <c r="Q248" s="12">
        <v>-3.78</v>
      </c>
    </row>
    <row r="249">
      <c r="A249" s="12">
        <v>248.0</v>
      </c>
      <c r="B249" s="188"/>
      <c r="C249" s="22" t="s">
        <v>869</v>
      </c>
      <c r="D249" s="12" t="s">
        <v>97</v>
      </c>
      <c r="E249" s="12" t="s">
        <v>173</v>
      </c>
      <c r="F249" s="12">
        <v>64.0</v>
      </c>
      <c r="G249" s="12">
        <v>22.6</v>
      </c>
      <c r="H249" s="12" t="s">
        <v>870</v>
      </c>
      <c r="I249" s="12" t="s">
        <v>871</v>
      </c>
      <c r="J249" s="12">
        <v>1.9</v>
      </c>
      <c r="K249" s="12">
        <v>12.9</v>
      </c>
      <c r="L249" s="12">
        <v>3.6</v>
      </c>
      <c r="M249" s="12">
        <v>1.1</v>
      </c>
      <c r="N249" s="12">
        <v>0.5</v>
      </c>
      <c r="O249" s="12">
        <v>0.4</v>
      </c>
      <c r="P249" s="12">
        <v>1.2</v>
      </c>
      <c r="Q249" s="12">
        <v>-3.81</v>
      </c>
    </row>
    <row r="250">
      <c r="A250" s="12">
        <v>249.0</v>
      </c>
      <c r="B250" s="188"/>
      <c r="C250" s="22" t="s">
        <v>872</v>
      </c>
      <c r="D250" s="12" t="s">
        <v>34</v>
      </c>
      <c r="E250" s="12" t="s">
        <v>98</v>
      </c>
      <c r="F250" s="12">
        <v>36.0</v>
      </c>
      <c r="G250" s="12">
        <v>12.1</v>
      </c>
      <c r="H250" s="12" t="s">
        <v>873</v>
      </c>
      <c r="I250" s="12" t="s">
        <v>874</v>
      </c>
      <c r="J250" s="12">
        <v>0.0</v>
      </c>
      <c r="K250" s="12">
        <v>5.6</v>
      </c>
      <c r="L250" s="12">
        <v>4.5</v>
      </c>
      <c r="M250" s="12">
        <v>0.7</v>
      </c>
      <c r="N250" s="12">
        <v>0.4</v>
      </c>
      <c r="O250" s="12">
        <v>0.8</v>
      </c>
      <c r="P250" s="12">
        <v>0.5</v>
      </c>
      <c r="Q250" s="12">
        <v>-3.84</v>
      </c>
    </row>
    <row r="251">
      <c r="A251" s="12">
        <v>250.0</v>
      </c>
      <c r="B251" s="188"/>
      <c r="C251" s="22" t="s">
        <v>875</v>
      </c>
      <c r="D251" s="12" t="s">
        <v>56</v>
      </c>
      <c r="E251" s="12" t="s">
        <v>173</v>
      </c>
      <c r="F251" s="12">
        <v>34.0</v>
      </c>
      <c r="G251" s="12">
        <v>14.5</v>
      </c>
      <c r="H251" s="12" t="s">
        <v>876</v>
      </c>
      <c r="I251" s="12" t="s">
        <v>877</v>
      </c>
      <c r="J251" s="12">
        <v>0.8</v>
      </c>
      <c r="K251" s="12">
        <v>7.5</v>
      </c>
      <c r="L251" s="12">
        <v>1.9</v>
      </c>
      <c r="M251" s="12">
        <v>2.6</v>
      </c>
      <c r="N251" s="12">
        <v>1.0</v>
      </c>
      <c r="O251" s="12">
        <v>0.3</v>
      </c>
      <c r="P251" s="12">
        <v>1.5</v>
      </c>
      <c r="Q251" s="12">
        <v>-3.86</v>
      </c>
    </row>
    <row r="252">
      <c r="A252" s="12">
        <v>251.0</v>
      </c>
      <c r="B252" s="188"/>
      <c r="C252" s="22" t="s">
        <v>878</v>
      </c>
      <c r="D252" s="12" t="s">
        <v>97</v>
      </c>
      <c r="E252" s="12" t="s">
        <v>148</v>
      </c>
      <c r="F252" s="12">
        <v>60.0</v>
      </c>
      <c r="G252" s="12">
        <v>23.4</v>
      </c>
      <c r="H252" s="12" t="s">
        <v>879</v>
      </c>
      <c r="I252" s="12" t="s">
        <v>880</v>
      </c>
      <c r="J252" s="12">
        <v>1.4</v>
      </c>
      <c r="K252" s="12">
        <v>9.8</v>
      </c>
      <c r="L252" s="12">
        <v>4.1</v>
      </c>
      <c r="M252" s="12">
        <v>2.2</v>
      </c>
      <c r="N252" s="12">
        <v>0.5</v>
      </c>
      <c r="O252" s="12">
        <v>0.2</v>
      </c>
      <c r="P252" s="12">
        <v>1.9</v>
      </c>
      <c r="Q252" s="12">
        <v>-3.92</v>
      </c>
    </row>
    <row r="253">
      <c r="A253" s="12">
        <v>252.0</v>
      </c>
      <c r="B253" s="12">
        <v>143.9</v>
      </c>
      <c r="C253" s="22" t="s">
        <v>881</v>
      </c>
      <c r="D253" s="12" t="s">
        <v>62</v>
      </c>
      <c r="E253" s="12" t="s">
        <v>140</v>
      </c>
      <c r="F253" s="12">
        <v>64.0</v>
      </c>
      <c r="G253" s="12">
        <v>20.4</v>
      </c>
      <c r="H253" s="12" t="s">
        <v>882</v>
      </c>
      <c r="I253" s="12" t="s">
        <v>883</v>
      </c>
      <c r="J253" s="12">
        <v>0.4</v>
      </c>
      <c r="K253" s="12">
        <v>7.7</v>
      </c>
      <c r="L253" s="12">
        <v>5.8</v>
      </c>
      <c r="M253" s="12">
        <v>1.1</v>
      </c>
      <c r="N253" s="12">
        <v>0.5</v>
      </c>
      <c r="O253" s="12">
        <v>0.7</v>
      </c>
      <c r="P253" s="12">
        <v>1.0</v>
      </c>
      <c r="Q253" s="12">
        <v>-4.01</v>
      </c>
    </row>
    <row r="254">
      <c r="A254" s="12">
        <v>253.0</v>
      </c>
      <c r="B254" s="188"/>
      <c r="C254" s="22" t="s">
        <v>884</v>
      </c>
      <c r="D254" s="12" t="s">
        <v>44</v>
      </c>
      <c r="E254" s="12" t="s">
        <v>222</v>
      </c>
      <c r="F254" s="12">
        <v>68.0</v>
      </c>
      <c r="G254" s="12">
        <v>19.0</v>
      </c>
      <c r="H254" s="12" t="s">
        <v>885</v>
      </c>
      <c r="I254" s="12" t="s">
        <v>886</v>
      </c>
      <c r="J254" s="12">
        <v>1.3</v>
      </c>
      <c r="K254" s="12">
        <v>8.3</v>
      </c>
      <c r="L254" s="12">
        <v>1.8</v>
      </c>
      <c r="M254" s="12">
        <v>3.4</v>
      </c>
      <c r="N254" s="12">
        <v>0.6</v>
      </c>
      <c r="O254" s="12">
        <v>0.2</v>
      </c>
      <c r="P254" s="12">
        <v>1.3</v>
      </c>
      <c r="Q254" s="12">
        <v>-4.02</v>
      </c>
    </row>
    <row r="255">
      <c r="A255" s="12">
        <v>254.0</v>
      </c>
      <c r="B255" s="188"/>
      <c r="C255" s="22" t="s">
        <v>887</v>
      </c>
      <c r="D255" s="12" t="s">
        <v>62</v>
      </c>
      <c r="E255" s="12" t="s">
        <v>144</v>
      </c>
      <c r="F255" s="12">
        <v>62.0</v>
      </c>
      <c r="G255" s="12">
        <v>19.4</v>
      </c>
      <c r="H255" s="12" t="s">
        <v>888</v>
      </c>
      <c r="I255" s="12" t="s">
        <v>889</v>
      </c>
      <c r="J255" s="12">
        <v>1.4</v>
      </c>
      <c r="K255" s="12">
        <v>8.0</v>
      </c>
      <c r="L255" s="12">
        <v>4.5</v>
      </c>
      <c r="M255" s="12">
        <v>1.1</v>
      </c>
      <c r="N255" s="12">
        <v>0.4</v>
      </c>
      <c r="O255" s="12">
        <v>0.4</v>
      </c>
      <c r="P255" s="12">
        <v>0.8</v>
      </c>
      <c r="Q255" s="12">
        <v>-4.04</v>
      </c>
    </row>
    <row r="256">
      <c r="A256" s="12">
        <v>255.0</v>
      </c>
      <c r="B256" s="12">
        <v>145.1</v>
      </c>
      <c r="C256" s="22" t="s">
        <v>890</v>
      </c>
      <c r="D256" s="12" t="s">
        <v>62</v>
      </c>
      <c r="E256" s="12" t="s">
        <v>222</v>
      </c>
      <c r="F256" s="12">
        <v>54.0</v>
      </c>
      <c r="G256" s="12">
        <v>22.0</v>
      </c>
      <c r="H256" s="12" t="s">
        <v>891</v>
      </c>
      <c r="I256" s="12" t="s">
        <v>892</v>
      </c>
      <c r="J256" s="12">
        <v>1.1</v>
      </c>
      <c r="K256" s="12">
        <v>8.4</v>
      </c>
      <c r="L256" s="12">
        <v>5.6</v>
      </c>
      <c r="M256" s="12">
        <v>1.1</v>
      </c>
      <c r="N256" s="12">
        <v>0.3</v>
      </c>
      <c r="O256" s="12">
        <v>0.6</v>
      </c>
      <c r="P256" s="12">
        <v>1.1</v>
      </c>
      <c r="Q256" s="12">
        <v>-4.05</v>
      </c>
    </row>
    <row r="257">
      <c r="A257" s="12">
        <v>256.0</v>
      </c>
      <c r="B257" s="188"/>
      <c r="C257" s="22" t="s">
        <v>893</v>
      </c>
      <c r="D257" s="12" t="s">
        <v>97</v>
      </c>
      <c r="E257" s="12" t="s">
        <v>110</v>
      </c>
      <c r="F257" s="12">
        <v>78.0</v>
      </c>
      <c r="G257" s="12">
        <v>21.4</v>
      </c>
      <c r="H257" s="12" t="s">
        <v>894</v>
      </c>
      <c r="I257" s="12" t="s">
        <v>895</v>
      </c>
      <c r="J257" s="12">
        <v>2.0</v>
      </c>
      <c r="K257" s="12">
        <v>9.1</v>
      </c>
      <c r="L257" s="12">
        <v>3.0</v>
      </c>
      <c r="M257" s="12">
        <v>1.1</v>
      </c>
      <c r="N257" s="12">
        <v>0.4</v>
      </c>
      <c r="O257" s="12">
        <v>0.2</v>
      </c>
      <c r="P257" s="12">
        <v>0.8</v>
      </c>
      <c r="Q257" s="12">
        <v>-4.09</v>
      </c>
    </row>
    <row r="258">
      <c r="A258" s="12">
        <v>257.0</v>
      </c>
      <c r="B258" s="188"/>
      <c r="C258" s="22" t="s">
        <v>896</v>
      </c>
      <c r="D258" s="12" t="s">
        <v>44</v>
      </c>
      <c r="E258" s="12" t="s">
        <v>209</v>
      </c>
      <c r="F258" s="12">
        <v>60.0</v>
      </c>
      <c r="G258" s="12">
        <v>18.0</v>
      </c>
      <c r="H258" s="12" t="s">
        <v>897</v>
      </c>
      <c r="I258" s="12" t="s">
        <v>898</v>
      </c>
      <c r="J258" s="12">
        <v>1.3</v>
      </c>
      <c r="K258" s="12">
        <v>7.4</v>
      </c>
      <c r="L258" s="12">
        <v>2.1</v>
      </c>
      <c r="M258" s="12">
        <v>2.4</v>
      </c>
      <c r="N258" s="12">
        <v>1.0</v>
      </c>
      <c r="O258" s="12">
        <v>0.2</v>
      </c>
      <c r="P258" s="12">
        <v>0.9</v>
      </c>
      <c r="Q258" s="12">
        <v>-4.12</v>
      </c>
    </row>
    <row r="259">
      <c r="A259" s="12">
        <v>258.0</v>
      </c>
      <c r="B259" s="188"/>
      <c r="C259" s="22" t="s">
        <v>899</v>
      </c>
      <c r="D259" s="12" t="s">
        <v>97</v>
      </c>
      <c r="E259" s="12" t="s">
        <v>287</v>
      </c>
      <c r="F259" s="12">
        <v>10.0</v>
      </c>
      <c r="G259" s="12">
        <v>20.6</v>
      </c>
      <c r="H259" s="12" t="s">
        <v>900</v>
      </c>
      <c r="I259" s="12" t="s">
        <v>901</v>
      </c>
      <c r="J259" s="12">
        <v>1.3</v>
      </c>
      <c r="K259" s="12">
        <v>9.3</v>
      </c>
      <c r="L259" s="12">
        <v>3.7</v>
      </c>
      <c r="M259" s="12">
        <v>1.0</v>
      </c>
      <c r="N259" s="12">
        <v>0.6</v>
      </c>
      <c r="O259" s="12">
        <v>0.1</v>
      </c>
      <c r="P259" s="12">
        <v>0.6</v>
      </c>
      <c r="Q259" s="12">
        <v>-4.14</v>
      </c>
    </row>
    <row r="260">
      <c r="A260" s="12">
        <v>259.0</v>
      </c>
      <c r="B260" s="188"/>
      <c r="C260" s="22" t="s">
        <v>902</v>
      </c>
      <c r="D260" s="12" t="s">
        <v>56</v>
      </c>
      <c r="E260" s="12" t="s">
        <v>67</v>
      </c>
      <c r="F260" s="12">
        <v>71.0</v>
      </c>
      <c r="G260" s="12">
        <v>22.4</v>
      </c>
      <c r="H260" s="12" t="s">
        <v>903</v>
      </c>
      <c r="I260" s="12" t="s">
        <v>904</v>
      </c>
      <c r="J260" s="12">
        <v>1.3</v>
      </c>
      <c r="K260" s="12">
        <v>9.9</v>
      </c>
      <c r="L260" s="12">
        <v>2.0</v>
      </c>
      <c r="M260" s="12">
        <v>3.5</v>
      </c>
      <c r="N260" s="12">
        <v>0.6</v>
      </c>
      <c r="O260" s="12">
        <v>0.1</v>
      </c>
      <c r="P260" s="12">
        <v>1.4</v>
      </c>
      <c r="Q260" s="12">
        <v>-4.16</v>
      </c>
    </row>
    <row r="261">
      <c r="A261" s="12">
        <v>260.0</v>
      </c>
      <c r="B261" s="188"/>
      <c r="C261" s="22" t="s">
        <v>905</v>
      </c>
      <c r="D261" s="12" t="s">
        <v>34</v>
      </c>
      <c r="E261" s="12" t="s">
        <v>236</v>
      </c>
      <c r="F261" s="12">
        <v>60.0</v>
      </c>
      <c r="G261" s="12">
        <v>14.4</v>
      </c>
      <c r="H261" s="12" t="s">
        <v>906</v>
      </c>
      <c r="I261" s="12" t="s">
        <v>907</v>
      </c>
      <c r="J261" s="12">
        <v>0.1</v>
      </c>
      <c r="K261" s="12">
        <v>4.9</v>
      </c>
      <c r="L261" s="12">
        <v>4.4</v>
      </c>
      <c r="M261" s="12">
        <v>1.2</v>
      </c>
      <c r="N261" s="12">
        <v>0.5</v>
      </c>
      <c r="O261" s="12">
        <v>1.0</v>
      </c>
      <c r="P261" s="12">
        <v>0.7</v>
      </c>
      <c r="Q261" s="12">
        <v>-4.17</v>
      </c>
    </row>
    <row r="262">
      <c r="A262" s="12">
        <v>261.0</v>
      </c>
      <c r="B262" s="12">
        <v>141.7</v>
      </c>
      <c r="C262" s="22" t="s">
        <v>908</v>
      </c>
      <c r="D262" s="12" t="s">
        <v>44</v>
      </c>
      <c r="E262" s="12" t="s">
        <v>35</v>
      </c>
      <c r="F262" s="12">
        <v>68.0</v>
      </c>
      <c r="G262" s="12">
        <v>24.0</v>
      </c>
      <c r="H262" s="12" t="s">
        <v>909</v>
      </c>
      <c r="I262" s="12" t="s">
        <v>910</v>
      </c>
      <c r="J262" s="12">
        <v>0.4</v>
      </c>
      <c r="K262" s="12">
        <v>7.5</v>
      </c>
      <c r="L262" s="12">
        <v>3.1</v>
      </c>
      <c r="M262" s="12">
        <v>2.6</v>
      </c>
      <c r="N262" s="12">
        <v>0.8</v>
      </c>
      <c r="O262" s="12">
        <v>0.4</v>
      </c>
      <c r="P262" s="12">
        <v>1.0</v>
      </c>
      <c r="Q262" s="12">
        <v>-4.19</v>
      </c>
    </row>
    <row r="263">
      <c r="A263" s="12">
        <v>262.0</v>
      </c>
      <c r="B263" s="188"/>
      <c r="C263" s="22" t="s">
        <v>911</v>
      </c>
      <c r="D263" s="12" t="s">
        <v>158</v>
      </c>
      <c r="E263" s="12" t="s">
        <v>106</v>
      </c>
      <c r="F263" s="12">
        <v>42.0</v>
      </c>
      <c r="G263" s="12">
        <v>14.8</v>
      </c>
      <c r="H263" s="12" t="s">
        <v>912</v>
      </c>
      <c r="I263" s="12" t="s">
        <v>913</v>
      </c>
      <c r="J263" s="12">
        <v>0.5</v>
      </c>
      <c r="K263" s="12">
        <v>4.9</v>
      </c>
      <c r="L263" s="12">
        <v>2.6</v>
      </c>
      <c r="M263" s="12">
        <v>1.1</v>
      </c>
      <c r="N263" s="12">
        <v>0.9</v>
      </c>
      <c r="O263" s="12">
        <v>0.3</v>
      </c>
      <c r="P263" s="12">
        <v>0.6</v>
      </c>
      <c r="Q263" s="12">
        <v>-4.2</v>
      </c>
    </row>
    <row r="264">
      <c r="A264" s="12">
        <v>263.0</v>
      </c>
      <c r="B264" s="12">
        <v>145.3</v>
      </c>
      <c r="C264" s="22" t="s">
        <v>914</v>
      </c>
      <c r="D264" s="12" t="s">
        <v>72</v>
      </c>
      <c r="E264" s="12" t="s">
        <v>243</v>
      </c>
      <c r="F264" s="12">
        <v>60.0</v>
      </c>
      <c r="G264" s="12">
        <v>23.8</v>
      </c>
      <c r="H264" s="12" t="s">
        <v>915</v>
      </c>
      <c r="I264" s="12" t="s">
        <v>916</v>
      </c>
      <c r="J264" s="12">
        <v>0.5</v>
      </c>
      <c r="K264" s="12">
        <v>7.4</v>
      </c>
      <c r="L264" s="12">
        <v>3.9</v>
      </c>
      <c r="M264" s="12">
        <v>1.1</v>
      </c>
      <c r="N264" s="12">
        <v>0.5</v>
      </c>
      <c r="O264" s="12">
        <v>1.2</v>
      </c>
      <c r="P264" s="12">
        <v>1.3</v>
      </c>
      <c r="Q264" s="12">
        <v>-4.2</v>
      </c>
    </row>
    <row r="265">
      <c r="A265" s="12">
        <v>264.0</v>
      </c>
      <c r="B265" s="188"/>
      <c r="C265" s="22" t="s">
        <v>917</v>
      </c>
      <c r="D265" s="12" t="s">
        <v>73</v>
      </c>
      <c r="E265" s="12" t="s">
        <v>126</v>
      </c>
      <c r="F265" s="12">
        <v>50.0</v>
      </c>
      <c r="G265" s="12">
        <v>15.4</v>
      </c>
      <c r="H265" s="12" t="s">
        <v>918</v>
      </c>
      <c r="I265" s="12" t="s">
        <v>919</v>
      </c>
      <c r="J265" s="12">
        <v>0.0</v>
      </c>
      <c r="K265" s="12">
        <v>5.7</v>
      </c>
      <c r="L265" s="12">
        <v>4.1</v>
      </c>
      <c r="M265" s="12">
        <v>1.5</v>
      </c>
      <c r="N265" s="12">
        <v>0.6</v>
      </c>
      <c r="O265" s="12">
        <v>0.3</v>
      </c>
      <c r="P265" s="12">
        <v>0.7</v>
      </c>
      <c r="Q265" s="12">
        <v>-4.22</v>
      </c>
    </row>
    <row r="266">
      <c r="A266" s="12">
        <v>265.0</v>
      </c>
      <c r="B266" s="188"/>
      <c r="C266" s="22" t="s">
        <v>920</v>
      </c>
      <c r="D266" s="12" t="s">
        <v>158</v>
      </c>
      <c r="E266" s="12" t="s">
        <v>106</v>
      </c>
      <c r="F266" s="12">
        <v>68.0</v>
      </c>
      <c r="G266" s="12">
        <v>19.8</v>
      </c>
      <c r="H266" s="12" t="s">
        <v>921</v>
      </c>
      <c r="I266" s="12" t="s">
        <v>922</v>
      </c>
      <c r="J266" s="12">
        <v>1.2</v>
      </c>
      <c r="K266" s="12">
        <v>8.5</v>
      </c>
      <c r="L266" s="12">
        <v>3.1</v>
      </c>
      <c r="M266" s="12">
        <v>1.1</v>
      </c>
      <c r="N266" s="12">
        <v>0.6</v>
      </c>
      <c r="O266" s="12">
        <v>0.3</v>
      </c>
      <c r="P266" s="12">
        <v>0.8</v>
      </c>
      <c r="Q266" s="12">
        <v>-4.25</v>
      </c>
    </row>
    <row r="267">
      <c r="A267" s="12">
        <v>266.0</v>
      </c>
      <c r="B267" s="188"/>
      <c r="C267" s="22" t="s">
        <v>923</v>
      </c>
      <c r="D267" s="12" t="s">
        <v>56</v>
      </c>
      <c r="E267" s="12" t="s">
        <v>291</v>
      </c>
      <c r="F267" s="12">
        <v>40.0</v>
      </c>
      <c r="G267" s="12">
        <v>20.4</v>
      </c>
      <c r="H267" s="12" t="s">
        <v>924</v>
      </c>
      <c r="I267" s="12" t="s">
        <v>925</v>
      </c>
      <c r="J267" s="12">
        <v>0.7</v>
      </c>
      <c r="K267" s="12">
        <v>7.0</v>
      </c>
      <c r="L267" s="12">
        <v>2.2</v>
      </c>
      <c r="M267" s="12">
        <v>4.4</v>
      </c>
      <c r="N267" s="12">
        <v>0.9</v>
      </c>
      <c r="O267" s="12">
        <v>0.3</v>
      </c>
      <c r="P267" s="12">
        <v>1.5</v>
      </c>
      <c r="Q267" s="12">
        <v>-4.26</v>
      </c>
    </row>
    <row r="268">
      <c r="A268" s="12">
        <v>267.0</v>
      </c>
      <c r="B268" s="188"/>
      <c r="C268" s="22" t="s">
        <v>926</v>
      </c>
      <c r="D268" s="12" t="s">
        <v>158</v>
      </c>
      <c r="E268" s="12" t="s">
        <v>57</v>
      </c>
      <c r="F268" s="12">
        <v>60.0</v>
      </c>
      <c r="G268" s="12">
        <v>22.1</v>
      </c>
      <c r="H268" s="12" t="s">
        <v>927</v>
      </c>
      <c r="I268" s="12" t="s">
        <v>928</v>
      </c>
      <c r="J268" s="12">
        <v>1.7</v>
      </c>
      <c r="K268" s="12">
        <v>8.2</v>
      </c>
      <c r="L268" s="12">
        <v>2.3</v>
      </c>
      <c r="M268" s="12">
        <v>1.5</v>
      </c>
      <c r="N268" s="12">
        <v>0.6</v>
      </c>
      <c r="O268" s="12">
        <v>0.2</v>
      </c>
      <c r="P268" s="12">
        <v>0.7</v>
      </c>
      <c r="Q268" s="12">
        <v>-4.27</v>
      </c>
    </row>
    <row r="269">
      <c r="A269" s="12">
        <v>268.0</v>
      </c>
      <c r="B269" s="188"/>
      <c r="C269" s="22" t="s">
        <v>929</v>
      </c>
      <c r="D269" s="12" t="s">
        <v>97</v>
      </c>
      <c r="E269" s="12" t="s">
        <v>243</v>
      </c>
      <c r="F269" s="12">
        <v>58.0</v>
      </c>
      <c r="G269" s="12">
        <v>18.9</v>
      </c>
      <c r="H269" s="12" t="s">
        <v>930</v>
      </c>
      <c r="I269" s="12" t="s">
        <v>931</v>
      </c>
      <c r="J269" s="12">
        <v>1.0</v>
      </c>
      <c r="K269" s="12">
        <v>5.7</v>
      </c>
      <c r="L269" s="12">
        <v>4.1</v>
      </c>
      <c r="M269" s="12">
        <v>1.1</v>
      </c>
      <c r="N269" s="12">
        <v>0.5</v>
      </c>
      <c r="O269" s="12">
        <v>0.5</v>
      </c>
      <c r="P269" s="12">
        <v>0.7</v>
      </c>
      <c r="Q269" s="12">
        <v>-4.31</v>
      </c>
    </row>
    <row r="270">
      <c r="A270" s="12">
        <v>269.0</v>
      </c>
      <c r="B270" s="188"/>
      <c r="C270" s="22" t="s">
        <v>932</v>
      </c>
      <c r="D270" s="12" t="s">
        <v>56</v>
      </c>
      <c r="E270" s="12" t="s">
        <v>63</v>
      </c>
      <c r="F270" s="12">
        <v>60.0</v>
      </c>
      <c r="G270" s="12">
        <v>24.4</v>
      </c>
      <c r="H270" s="12" t="s">
        <v>933</v>
      </c>
      <c r="I270" s="12" t="s">
        <v>934</v>
      </c>
      <c r="J270" s="12">
        <v>1.5</v>
      </c>
      <c r="K270" s="12">
        <v>8.4</v>
      </c>
      <c r="L270" s="12">
        <v>1.9</v>
      </c>
      <c r="M270" s="12">
        <v>2.3</v>
      </c>
      <c r="N270" s="12">
        <v>0.9</v>
      </c>
      <c r="O270" s="12">
        <v>0.1</v>
      </c>
      <c r="P270" s="12">
        <v>1.2</v>
      </c>
      <c r="Q270" s="12">
        <v>-4.32</v>
      </c>
    </row>
    <row r="271">
      <c r="A271" s="12">
        <v>270.0</v>
      </c>
      <c r="B271" s="188"/>
      <c r="C271" s="22" t="s">
        <v>935</v>
      </c>
      <c r="D271" s="12" t="s">
        <v>97</v>
      </c>
      <c r="E271" s="12" t="s">
        <v>35</v>
      </c>
      <c r="F271" s="12">
        <v>60.0</v>
      </c>
      <c r="G271" s="12">
        <v>17.4</v>
      </c>
      <c r="H271" s="12" t="s">
        <v>936</v>
      </c>
      <c r="I271" s="12" t="s">
        <v>937</v>
      </c>
      <c r="J271" s="12">
        <v>1.4</v>
      </c>
      <c r="K271" s="12">
        <v>6.8</v>
      </c>
      <c r="L271" s="12">
        <v>2.7</v>
      </c>
      <c r="M271" s="12">
        <v>1.2</v>
      </c>
      <c r="N271" s="12">
        <v>0.6</v>
      </c>
      <c r="O271" s="12">
        <v>0.5</v>
      </c>
      <c r="P271" s="12">
        <v>0.7</v>
      </c>
      <c r="Q271" s="12">
        <v>-4.37</v>
      </c>
    </row>
    <row r="272">
      <c r="A272" s="12">
        <v>271.0</v>
      </c>
      <c r="B272" s="188"/>
      <c r="C272" s="22" t="s">
        <v>938</v>
      </c>
      <c r="D272" s="12" t="s">
        <v>34</v>
      </c>
      <c r="E272" s="12" t="s">
        <v>148</v>
      </c>
      <c r="F272" s="12">
        <v>70.0</v>
      </c>
      <c r="G272" s="12">
        <v>14.6</v>
      </c>
      <c r="H272" s="12" t="s">
        <v>939</v>
      </c>
      <c r="I272" s="12" t="s">
        <v>940</v>
      </c>
      <c r="J272" s="12">
        <v>0.1</v>
      </c>
      <c r="K272" s="12">
        <v>4.8</v>
      </c>
      <c r="L272" s="12">
        <v>4.0</v>
      </c>
      <c r="M272" s="12">
        <v>0.9</v>
      </c>
      <c r="N272" s="12">
        <v>0.4</v>
      </c>
      <c r="O272" s="12">
        <v>0.9</v>
      </c>
      <c r="P272" s="12">
        <v>0.7</v>
      </c>
      <c r="Q272" s="12">
        <v>-4.38</v>
      </c>
    </row>
    <row r="273">
      <c r="A273" s="12">
        <v>272.0</v>
      </c>
      <c r="B273" s="188"/>
      <c r="C273" s="22" t="s">
        <v>941</v>
      </c>
      <c r="D273" s="12" t="s">
        <v>158</v>
      </c>
      <c r="E273" s="12" t="s">
        <v>74</v>
      </c>
      <c r="F273" s="12">
        <v>70.0</v>
      </c>
      <c r="G273" s="12">
        <v>23.6</v>
      </c>
      <c r="H273" s="12" t="s">
        <v>942</v>
      </c>
      <c r="I273" s="12" t="s">
        <v>943</v>
      </c>
      <c r="J273" s="12">
        <v>1.3</v>
      </c>
      <c r="K273" s="12">
        <v>6.7</v>
      </c>
      <c r="L273" s="12">
        <v>4.0</v>
      </c>
      <c r="M273" s="12">
        <v>1.8</v>
      </c>
      <c r="N273" s="12">
        <v>0.6</v>
      </c>
      <c r="O273" s="12">
        <v>0.2</v>
      </c>
      <c r="P273" s="12">
        <v>0.6</v>
      </c>
      <c r="Q273" s="12">
        <v>-4.4</v>
      </c>
    </row>
    <row r="274">
      <c r="A274" s="12">
        <v>273.0</v>
      </c>
      <c r="B274" s="188"/>
      <c r="C274" s="22" t="s">
        <v>944</v>
      </c>
      <c r="D274" s="12" t="s">
        <v>73</v>
      </c>
      <c r="E274" s="12" t="s">
        <v>259</v>
      </c>
      <c r="F274" s="12">
        <v>68.0</v>
      </c>
      <c r="G274" s="12">
        <v>20.2</v>
      </c>
      <c r="H274" s="12" t="s">
        <v>945</v>
      </c>
      <c r="I274" s="12" t="s">
        <v>946</v>
      </c>
      <c r="J274" s="12">
        <v>0.7</v>
      </c>
      <c r="K274" s="12">
        <v>6.2</v>
      </c>
      <c r="L274" s="12">
        <v>4.0</v>
      </c>
      <c r="M274" s="12">
        <v>1.0</v>
      </c>
      <c r="N274" s="12">
        <v>0.8</v>
      </c>
      <c r="O274" s="12">
        <v>0.4</v>
      </c>
      <c r="P274" s="12">
        <v>1.0</v>
      </c>
      <c r="Q274" s="12">
        <v>-4.41</v>
      </c>
    </row>
    <row r="275">
      <c r="A275" s="12">
        <v>274.0</v>
      </c>
      <c r="B275" s="188"/>
      <c r="C275" s="22" t="s">
        <v>947</v>
      </c>
      <c r="D275" s="12" t="s">
        <v>158</v>
      </c>
      <c r="E275" s="12" t="s">
        <v>136</v>
      </c>
      <c r="F275" s="12">
        <v>40.0</v>
      </c>
      <c r="G275" s="12">
        <v>23.4</v>
      </c>
      <c r="H275" s="12" t="s">
        <v>948</v>
      </c>
      <c r="I275" s="12" t="s">
        <v>949</v>
      </c>
      <c r="J275" s="12">
        <v>0.8</v>
      </c>
      <c r="K275" s="12">
        <v>6.6</v>
      </c>
      <c r="L275" s="12">
        <v>3.6</v>
      </c>
      <c r="M275" s="12">
        <v>3.1</v>
      </c>
      <c r="N275" s="12">
        <v>1.0</v>
      </c>
      <c r="O275" s="12">
        <v>0.5</v>
      </c>
      <c r="P275" s="12">
        <v>1.2</v>
      </c>
      <c r="Q275" s="12">
        <v>-4.45</v>
      </c>
    </row>
    <row r="276">
      <c r="A276" s="12">
        <v>275.0</v>
      </c>
      <c r="B276" s="188"/>
      <c r="C276" s="22" t="s">
        <v>950</v>
      </c>
      <c r="D276" s="12" t="s">
        <v>158</v>
      </c>
      <c r="E276" s="12" t="s">
        <v>169</v>
      </c>
      <c r="F276" s="12">
        <v>60.0</v>
      </c>
      <c r="G276" s="12">
        <v>17.2</v>
      </c>
      <c r="H276" s="12" t="s">
        <v>951</v>
      </c>
      <c r="I276" s="12" t="s">
        <v>952</v>
      </c>
      <c r="J276" s="12">
        <v>1.7</v>
      </c>
      <c r="K276" s="12">
        <v>10.0</v>
      </c>
      <c r="L276" s="12">
        <v>2.3</v>
      </c>
      <c r="M276" s="12">
        <v>1.5</v>
      </c>
      <c r="N276" s="12">
        <v>0.5</v>
      </c>
      <c r="O276" s="12">
        <v>0.2</v>
      </c>
      <c r="P276" s="12">
        <v>0.8</v>
      </c>
      <c r="Q276" s="12">
        <v>-4.5</v>
      </c>
    </row>
    <row r="277">
      <c r="A277" s="12">
        <v>276.0</v>
      </c>
      <c r="B277" s="188"/>
      <c r="C277" s="22" t="s">
        <v>953</v>
      </c>
      <c r="D277" s="12" t="s">
        <v>97</v>
      </c>
      <c r="E277" s="12" t="s">
        <v>110</v>
      </c>
      <c r="F277" s="12">
        <v>44.0</v>
      </c>
      <c r="G277" s="12">
        <v>19.3</v>
      </c>
      <c r="H277" s="12" t="s">
        <v>954</v>
      </c>
      <c r="I277" s="12" t="s">
        <v>955</v>
      </c>
      <c r="J277" s="12">
        <v>1.2</v>
      </c>
      <c r="K277" s="12">
        <v>4.9</v>
      </c>
      <c r="L277" s="12">
        <v>3.6</v>
      </c>
      <c r="M277" s="12">
        <v>0.8</v>
      </c>
      <c r="N277" s="12">
        <v>0.7</v>
      </c>
      <c r="O277" s="12">
        <v>0.5</v>
      </c>
      <c r="P277" s="12">
        <v>0.4</v>
      </c>
      <c r="Q277" s="12">
        <v>-4.54</v>
      </c>
    </row>
    <row r="278">
      <c r="A278" s="12">
        <v>277.0</v>
      </c>
      <c r="B278" s="188"/>
      <c r="C278" s="22" t="s">
        <v>956</v>
      </c>
      <c r="D278" s="12" t="s">
        <v>158</v>
      </c>
      <c r="E278" s="12" t="s">
        <v>45</v>
      </c>
      <c r="F278" s="12">
        <v>74.0</v>
      </c>
      <c r="G278" s="12">
        <v>15.8</v>
      </c>
      <c r="H278" s="12" t="s">
        <v>957</v>
      </c>
      <c r="I278" s="12" t="s">
        <v>958</v>
      </c>
      <c r="J278" s="12">
        <v>0.7</v>
      </c>
      <c r="K278" s="12">
        <v>6.5</v>
      </c>
      <c r="L278" s="12">
        <v>2.5</v>
      </c>
      <c r="M278" s="12">
        <v>1.1</v>
      </c>
      <c r="N278" s="12">
        <v>0.6</v>
      </c>
      <c r="O278" s="12">
        <v>0.2</v>
      </c>
      <c r="P278" s="12">
        <v>0.7</v>
      </c>
      <c r="Q278" s="12">
        <v>-4.57</v>
      </c>
    </row>
    <row r="279">
      <c r="A279" s="12">
        <v>278.0</v>
      </c>
      <c r="B279" s="188"/>
      <c r="C279" s="22" t="s">
        <v>959</v>
      </c>
      <c r="D279" s="12" t="s">
        <v>56</v>
      </c>
      <c r="E279" s="12" t="s">
        <v>291</v>
      </c>
      <c r="F279" s="12">
        <v>46.0</v>
      </c>
      <c r="G279" s="12">
        <v>20.3</v>
      </c>
      <c r="H279" s="12" t="s">
        <v>960</v>
      </c>
      <c r="I279" s="12" t="s">
        <v>961</v>
      </c>
      <c r="J279" s="12">
        <v>0.7</v>
      </c>
      <c r="K279" s="12">
        <v>8.1</v>
      </c>
      <c r="L279" s="12">
        <v>2.5</v>
      </c>
      <c r="M279" s="12">
        <v>2.9</v>
      </c>
      <c r="N279" s="12">
        <v>0.4</v>
      </c>
      <c r="O279" s="12">
        <v>0.2</v>
      </c>
      <c r="P279" s="12">
        <v>1.2</v>
      </c>
      <c r="Q279" s="12">
        <v>-4.58</v>
      </c>
    </row>
    <row r="280">
      <c r="A280" s="12">
        <v>279.0</v>
      </c>
      <c r="B280" s="188"/>
      <c r="C280" s="22" t="s">
        <v>962</v>
      </c>
      <c r="D280" s="12" t="s">
        <v>62</v>
      </c>
      <c r="E280" s="12" t="s">
        <v>169</v>
      </c>
      <c r="F280" s="12">
        <v>48.0</v>
      </c>
      <c r="G280" s="12">
        <v>15.5</v>
      </c>
      <c r="H280" s="12" t="s">
        <v>963</v>
      </c>
      <c r="I280" s="12" t="s">
        <v>964</v>
      </c>
      <c r="J280" s="12">
        <v>1.3</v>
      </c>
      <c r="K280" s="12">
        <v>7.2</v>
      </c>
      <c r="L280" s="12">
        <v>5.3</v>
      </c>
      <c r="M280" s="12">
        <v>1.7</v>
      </c>
      <c r="N280" s="12">
        <v>0.3</v>
      </c>
      <c r="O280" s="12">
        <v>0.2</v>
      </c>
      <c r="P280" s="12">
        <v>0.9</v>
      </c>
      <c r="Q280" s="12">
        <v>-4.59</v>
      </c>
    </row>
    <row r="281">
      <c r="A281" s="12">
        <v>280.0</v>
      </c>
      <c r="B281" s="188"/>
      <c r="C281" s="22" t="s">
        <v>965</v>
      </c>
      <c r="D281" s="12" t="s">
        <v>73</v>
      </c>
      <c r="E281" s="12" t="s">
        <v>89</v>
      </c>
      <c r="F281" s="12">
        <v>42.0</v>
      </c>
      <c r="G281" s="12">
        <v>14.2</v>
      </c>
      <c r="H281" s="12" t="s">
        <v>966</v>
      </c>
      <c r="I281" s="12" t="s">
        <v>967</v>
      </c>
      <c r="J281" s="12">
        <v>0.9</v>
      </c>
      <c r="K281" s="12">
        <v>5.1</v>
      </c>
      <c r="L281" s="12">
        <v>2.7</v>
      </c>
      <c r="M281" s="12">
        <v>1.7</v>
      </c>
      <c r="N281" s="12">
        <v>0.6</v>
      </c>
      <c r="O281" s="12">
        <v>0.5</v>
      </c>
      <c r="P281" s="12">
        <v>0.7</v>
      </c>
      <c r="Q281" s="12">
        <v>-4.66</v>
      </c>
    </row>
    <row r="282">
      <c r="A282" s="12">
        <v>281.0</v>
      </c>
      <c r="B282" s="188"/>
      <c r="C282" s="22" t="s">
        <v>968</v>
      </c>
      <c r="D282" s="12" t="s">
        <v>72</v>
      </c>
      <c r="E282" s="12" t="s">
        <v>287</v>
      </c>
      <c r="F282" s="12">
        <v>60.0</v>
      </c>
      <c r="G282" s="12">
        <v>16.4</v>
      </c>
      <c r="H282" s="12" t="s">
        <v>969</v>
      </c>
      <c r="I282" s="12" t="s">
        <v>970</v>
      </c>
      <c r="J282" s="12">
        <v>1.3</v>
      </c>
      <c r="K282" s="12">
        <v>6.0</v>
      </c>
      <c r="L282" s="12">
        <v>2.4</v>
      </c>
      <c r="M282" s="12">
        <v>1.7</v>
      </c>
      <c r="N282" s="12">
        <v>0.7</v>
      </c>
      <c r="O282" s="12">
        <v>0.3</v>
      </c>
      <c r="P282" s="12">
        <v>1.2</v>
      </c>
      <c r="Q282" s="12">
        <v>-4.67</v>
      </c>
    </row>
    <row r="283">
      <c r="A283" s="12">
        <v>282.0</v>
      </c>
      <c r="B283" s="188"/>
      <c r="C283" s="22" t="s">
        <v>971</v>
      </c>
      <c r="D283" s="12" t="s">
        <v>97</v>
      </c>
      <c r="E283" s="12" t="s">
        <v>159</v>
      </c>
      <c r="F283" s="12">
        <v>54.0</v>
      </c>
      <c r="G283" s="12">
        <v>9.8</v>
      </c>
      <c r="H283" s="12" t="s">
        <v>972</v>
      </c>
      <c r="I283" s="12" t="s">
        <v>973</v>
      </c>
      <c r="J283" s="12">
        <v>0.3</v>
      </c>
      <c r="K283" s="12">
        <v>5.2</v>
      </c>
      <c r="L283" s="12">
        <v>2.3</v>
      </c>
      <c r="M283" s="12">
        <v>0.7</v>
      </c>
      <c r="N283" s="12">
        <v>0.5</v>
      </c>
      <c r="O283" s="12">
        <v>0.6</v>
      </c>
      <c r="P283" s="12">
        <v>0.3</v>
      </c>
      <c r="Q283" s="12">
        <v>-4.68</v>
      </c>
    </row>
    <row r="284">
      <c r="A284" s="12">
        <v>283.0</v>
      </c>
      <c r="B284" s="12">
        <v>142.6</v>
      </c>
      <c r="C284" s="22" t="s">
        <v>974</v>
      </c>
      <c r="D284" s="12" t="s">
        <v>97</v>
      </c>
      <c r="E284" s="12" t="s">
        <v>180</v>
      </c>
      <c r="F284" s="12">
        <v>45.0</v>
      </c>
      <c r="G284" s="12">
        <v>17.1</v>
      </c>
      <c r="H284" s="12" t="s">
        <v>975</v>
      </c>
      <c r="I284" s="12" t="s">
        <v>976</v>
      </c>
      <c r="J284" s="12">
        <v>1.6</v>
      </c>
      <c r="K284" s="12">
        <v>11.4</v>
      </c>
      <c r="L284" s="12">
        <v>3.5</v>
      </c>
      <c r="M284" s="12">
        <v>0.7</v>
      </c>
      <c r="N284" s="12">
        <v>0.6</v>
      </c>
      <c r="O284" s="12">
        <v>0.3</v>
      </c>
      <c r="P284" s="12">
        <v>0.9</v>
      </c>
      <c r="Q284" s="12">
        <v>-4.72</v>
      </c>
    </row>
    <row r="285">
      <c r="A285" s="12">
        <v>284.0</v>
      </c>
      <c r="B285" s="188"/>
      <c r="C285" s="22" t="s">
        <v>977</v>
      </c>
      <c r="D285" s="12" t="s">
        <v>34</v>
      </c>
      <c r="E285" s="12" t="s">
        <v>118</v>
      </c>
      <c r="F285" s="12">
        <v>65.0</v>
      </c>
      <c r="G285" s="12">
        <v>16.4</v>
      </c>
      <c r="H285" s="12" t="s">
        <v>978</v>
      </c>
      <c r="I285" s="12" t="s">
        <v>979</v>
      </c>
      <c r="J285" s="12">
        <v>0.0</v>
      </c>
      <c r="K285" s="12">
        <v>6.7</v>
      </c>
      <c r="L285" s="12">
        <v>5.7</v>
      </c>
      <c r="M285" s="12">
        <v>1.8</v>
      </c>
      <c r="N285" s="12">
        <v>0.4</v>
      </c>
      <c r="O285" s="12">
        <v>0.4</v>
      </c>
      <c r="P285" s="12">
        <v>0.9</v>
      </c>
      <c r="Q285" s="12">
        <v>-4.79</v>
      </c>
    </row>
    <row r="286">
      <c r="A286" s="12">
        <v>285.0</v>
      </c>
      <c r="B286" s="188"/>
      <c r="C286" s="22" t="s">
        <v>980</v>
      </c>
      <c r="D286" s="12" t="s">
        <v>158</v>
      </c>
      <c r="E286" s="12" t="s">
        <v>291</v>
      </c>
      <c r="F286" s="12">
        <v>45.0</v>
      </c>
      <c r="G286" s="12">
        <v>21.5</v>
      </c>
      <c r="H286" s="12" t="s">
        <v>981</v>
      </c>
      <c r="I286" s="12" t="s">
        <v>982</v>
      </c>
      <c r="J286" s="12">
        <v>1.1</v>
      </c>
      <c r="K286" s="12">
        <v>8.6</v>
      </c>
      <c r="L286" s="12">
        <v>3.5</v>
      </c>
      <c r="M286" s="12">
        <v>1.5</v>
      </c>
      <c r="N286" s="12">
        <v>0.7</v>
      </c>
      <c r="O286" s="12">
        <v>0.2</v>
      </c>
      <c r="P286" s="12">
        <v>1.4</v>
      </c>
      <c r="Q286" s="12">
        <v>-4.82</v>
      </c>
    </row>
    <row r="287">
      <c r="A287" s="12">
        <v>286.0</v>
      </c>
      <c r="B287" s="188"/>
      <c r="C287" s="22" t="s">
        <v>983</v>
      </c>
      <c r="D287" s="12" t="s">
        <v>34</v>
      </c>
      <c r="E287" s="12" t="s">
        <v>173</v>
      </c>
      <c r="F287" s="12">
        <v>22.0</v>
      </c>
      <c r="G287" s="12">
        <v>8.8</v>
      </c>
      <c r="H287" s="12" t="s">
        <v>984</v>
      </c>
      <c r="I287" s="12" t="s">
        <v>985</v>
      </c>
      <c r="J287" s="12">
        <v>0.6</v>
      </c>
      <c r="K287" s="12">
        <v>4.6</v>
      </c>
      <c r="L287" s="12">
        <v>2.0</v>
      </c>
      <c r="M287" s="12">
        <v>0.7</v>
      </c>
      <c r="N287" s="12">
        <v>0.3</v>
      </c>
      <c r="O287" s="12">
        <v>0.4</v>
      </c>
      <c r="P287" s="12">
        <v>0.4</v>
      </c>
      <c r="Q287" s="12">
        <v>-4.82</v>
      </c>
    </row>
    <row r="288">
      <c r="A288" s="12">
        <v>287.0</v>
      </c>
      <c r="B288" s="188"/>
      <c r="C288" s="22" t="s">
        <v>986</v>
      </c>
      <c r="D288" s="12" t="s">
        <v>158</v>
      </c>
      <c r="E288" s="12" t="s">
        <v>63</v>
      </c>
      <c r="F288" s="12">
        <v>67.0</v>
      </c>
      <c r="G288" s="12">
        <v>22.0</v>
      </c>
      <c r="H288" s="12" t="s">
        <v>987</v>
      </c>
      <c r="I288" s="12" t="s">
        <v>988</v>
      </c>
      <c r="J288" s="12">
        <v>1.0</v>
      </c>
      <c r="K288" s="12">
        <v>6.5</v>
      </c>
      <c r="L288" s="12">
        <v>3.3</v>
      </c>
      <c r="M288" s="12">
        <v>1.2</v>
      </c>
      <c r="N288" s="12">
        <v>0.4</v>
      </c>
      <c r="O288" s="12">
        <v>0.4</v>
      </c>
      <c r="P288" s="12">
        <v>0.7</v>
      </c>
      <c r="Q288" s="12">
        <v>-4.9</v>
      </c>
    </row>
    <row r="289">
      <c r="A289" s="12">
        <v>288.0</v>
      </c>
      <c r="B289" s="188"/>
      <c r="C289" s="22" t="s">
        <v>989</v>
      </c>
      <c r="D289" s="12" t="s">
        <v>72</v>
      </c>
      <c r="E289" s="12" t="s">
        <v>118</v>
      </c>
      <c r="F289" s="12">
        <v>48.0</v>
      </c>
      <c r="G289" s="12">
        <v>15.1</v>
      </c>
      <c r="H289" s="12" t="s">
        <v>990</v>
      </c>
      <c r="I289" s="12" t="s">
        <v>991</v>
      </c>
      <c r="J289" s="12">
        <v>0.1</v>
      </c>
      <c r="K289" s="12">
        <v>4.1</v>
      </c>
      <c r="L289" s="12">
        <v>3.4</v>
      </c>
      <c r="M289" s="12">
        <v>0.4</v>
      </c>
      <c r="N289" s="12">
        <v>0.6</v>
      </c>
      <c r="O289" s="12">
        <v>1.1</v>
      </c>
      <c r="P289" s="12">
        <v>0.4</v>
      </c>
      <c r="Q289" s="12">
        <v>-4.93</v>
      </c>
    </row>
    <row r="290">
      <c r="A290" s="12">
        <v>289.0</v>
      </c>
      <c r="B290" s="188"/>
      <c r="C290" s="22" t="s">
        <v>992</v>
      </c>
      <c r="D290" s="12" t="s">
        <v>34</v>
      </c>
      <c r="E290" s="12" t="s">
        <v>140</v>
      </c>
      <c r="F290" s="12">
        <v>42.0</v>
      </c>
      <c r="G290" s="12">
        <v>16.4</v>
      </c>
      <c r="H290" s="12" t="s">
        <v>993</v>
      </c>
      <c r="I290" s="12" t="s">
        <v>994</v>
      </c>
      <c r="J290" s="12">
        <v>0.0</v>
      </c>
      <c r="K290" s="12">
        <v>3.3</v>
      </c>
      <c r="L290" s="12">
        <v>4.8</v>
      </c>
      <c r="M290" s="12">
        <v>0.6</v>
      </c>
      <c r="N290" s="12">
        <v>0.3</v>
      </c>
      <c r="O290" s="12">
        <v>0.6</v>
      </c>
      <c r="P290" s="12">
        <v>0.5</v>
      </c>
      <c r="Q290" s="12">
        <v>-4.95</v>
      </c>
    </row>
    <row r="291">
      <c r="A291" s="12">
        <v>290.0</v>
      </c>
      <c r="B291" s="188"/>
      <c r="C291" s="22" t="s">
        <v>995</v>
      </c>
      <c r="D291" s="12" t="s">
        <v>71</v>
      </c>
      <c r="E291" s="12" t="s">
        <v>63</v>
      </c>
      <c r="F291" s="12">
        <v>64.0</v>
      </c>
      <c r="G291" s="12">
        <v>17.4</v>
      </c>
      <c r="H291" s="12" t="s">
        <v>996</v>
      </c>
      <c r="I291" s="12" t="s">
        <v>997</v>
      </c>
      <c r="J291" s="12">
        <v>1.1</v>
      </c>
      <c r="K291" s="12">
        <v>9.0</v>
      </c>
      <c r="L291" s="12">
        <v>3.3</v>
      </c>
      <c r="M291" s="12">
        <v>1.1</v>
      </c>
      <c r="N291" s="12">
        <v>0.3</v>
      </c>
      <c r="O291" s="12">
        <v>0.4</v>
      </c>
      <c r="P291" s="12">
        <v>0.7</v>
      </c>
      <c r="Q291" s="12">
        <v>-4.99</v>
      </c>
    </row>
    <row r="292">
      <c r="A292" s="12">
        <v>291.0</v>
      </c>
      <c r="B292" s="188"/>
      <c r="C292" s="22" t="s">
        <v>998</v>
      </c>
      <c r="D292" s="12" t="s">
        <v>158</v>
      </c>
      <c r="E292" s="12" t="s">
        <v>118</v>
      </c>
      <c r="F292" s="12">
        <v>64.0</v>
      </c>
      <c r="G292" s="12">
        <v>17.8</v>
      </c>
      <c r="H292" s="12" t="s">
        <v>999</v>
      </c>
      <c r="I292" s="12" t="s">
        <v>1000</v>
      </c>
      <c r="J292" s="12">
        <v>1.3</v>
      </c>
      <c r="K292" s="12">
        <v>7.2</v>
      </c>
      <c r="L292" s="12">
        <v>2.7</v>
      </c>
      <c r="M292" s="12">
        <v>1.2</v>
      </c>
      <c r="N292" s="12">
        <v>0.4</v>
      </c>
      <c r="O292" s="12">
        <v>0.1</v>
      </c>
      <c r="P292" s="12">
        <v>0.9</v>
      </c>
      <c r="Q292" s="12">
        <v>-5.03</v>
      </c>
    </row>
    <row r="293">
      <c r="A293" s="12">
        <v>292.0</v>
      </c>
      <c r="B293" s="188"/>
      <c r="C293" s="22" t="s">
        <v>1001</v>
      </c>
      <c r="D293" s="12" t="s">
        <v>62</v>
      </c>
      <c r="E293" s="12" t="s">
        <v>126</v>
      </c>
      <c r="F293" s="12">
        <v>65.0</v>
      </c>
      <c r="G293" s="12">
        <v>13.4</v>
      </c>
      <c r="H293" s="12" t="s">
        <v>1002</v>
      </c>
      <c r="I293" s="12" t="s">
        <v>700</v>
      </c>
      <c r="J293" s="12">
        <v>0.6</v>
      </c>
      <c r="K293" s="12">
        <v>6.3</v>
      </c>
      <c r="L293" s="12">
        <v>3.8</v>
      </c>
      <c r="M293" s="12">
        <v>0.3</v>
      </c>
      <c r="N293" s="12">
        <v>0.4</v>
      </c>
      <c r="O293" s="12">
        <v>0.5</v>
      </c>
      <c r="P293" s="12">
        <v>0.4</v>
      </c>
      <c r="Q293" s="12">
        <v>-5.07</v>
      </c>
    </row>
    <row r="294">
      <c r="A294" s="12">
        <v>293.0</v>
      </c>
      <c r="B294" s="298"/>
      <c r="C294" s="22" t="s">
        <v>1003</v>
      </c>
      <c r="D294" s="12" t="s">
        <v>34</v>
      </c>
      <c r="E294" s="12" t="s">
        <v>259</v>
      </c>
      <c r="F294" s="12">
        <v>58.0</v>
      </c>
      <c r="G294" s="12">
        <v>14.3</v>
      </c>
      <c r="H294" s="12" t="s">
        <v>1004</v>
      </c>
      <c r="I294" s="12" t="s">
        <v>1005</v>
      </c>
      <c r="J294" s="12">
        <v>1.1</v>
      </c>
      <c r="K294" s="12">
        <v>7.3</v>
      </c>
      <c r="L294" s="12">
        <v>3.0</v>
      </c>
      <c r="M294" s="12">
        <v>0.8</v>
      </c>
      <c r="N294" s="12">
        <v>0.4</v>
      </c>
      <c r="O294" s="12">
        <v>0.5</v>
      </c>
      <c r="P294" s="12">
        <v>0.6</v>
      </c>
      <c r="Q294" s="12">
        <v>-5.12</v>
      </c>
    </row>
    <row r="295">
      <c r="A295" s="12">
        <v>294.0</v>
      </c>
      <c r="B295" s="298"/>
      <c r="C295" s="22" t="s">
        <v>1006</v>
      </c>
      <c r="D295" s="12" t="s">
        <v>56</v>
      </c>
      <c r="E295" s="12" t="s">
        <v>236</v>
      </c>
      <c r="F295" s="12">
        <v>50.0</v>
      </c>
      <c r="G295" s="12">
        <v>18.0</v>
      </c>
      <c r="H295" s="12" t="s">
        <v>1007</v>
      </c>
      <c r="I295" s="12" t="s">
        <v>1008</v>
      </c>
      <c r="J295" s="12">
        <v>1.3</v>
      </c>
      <c r="K295" s="12">
        <v>5.6</v>
      </c>
      <c r="L295" s="12">
        <v>1.4</v>
      </c>
      <c r="M295" s="12">
        <v>1.1</v>
      </c>
      <c r="N295" s="12">
        <v>0.7</v>
      </c>
      <c r="O295" s="12">
        <v>0.2</v>
      </c>
      <c r="P295" s="12">
        <v>0.4</v>
      </c>
      <c r="Q295" s="12">
        <v>-5.15</v>
      </c>
    </row>
    <row r="296">
      <c r="A296" s="12">
        <v>295.0</v>
      </c>
      <c r="B296" s="298"/>
      <c r="C296" s="22" t="s">
        <v>1009</v>
      </c>
      <c r="D296" s="12" t="s">
        <v>56</v>
      </c>
      <c r="E296" s="12" t="s">
        <v>57</v>
      </c>
      <c r="F296" s="12">
        <v>20.0</v>
      </c>
      <c r="G296" s="12">
        <v>16.7</v>
      </c>
      <c r="H296" s="12" t="s">
        <v>1010</v>
      </c>
      <c r="I296" s="12" t="s">
        <v>1011</v>
      </c>
      <c r="J296" s="12">
        <v>0.8</v>
      </c>
      <c r="K296" s="12">
        <v>6.4</v>
      </c>
      <c r="L296" s="12">
        <v>2.2</v>
      </c>
      <c r="M296" s="12">
        <v>2.3</v>
      </c>
      <c r="N296" s="12">
        <v>0.3</v>
      </c>
      <c r="O296" s="12">
        <v>0.1</v>
      </c>
      <c r="P296" s="12">
        <v>0.7</v>
      </c>
      <c r="Q296" s="12">
        <v>-5.19</v>
      </c>
    </row>
    <row r="297">
      <c r="A297" s="12">
        <v>296.0</v>
      </c>
      <c r="B297" s="188"/>
      <c r="C297" s="22" t="s">
        <v>1012</v>
      </c>
      <c r="D297" s="12" t="s">
        <v>73</v>
      </c>
      <c r="E297" s="12" t="s">
        <v>159</v>
      </c>
      <c r="F297" s="12">
        <v>44.0</v>
      </c>
      <c r="G297" s="12">
        <v>8.8</v>
      </c>
      <c r="H297" s="12" t="s">
        <v>1013</v>
      </c>
      <c r="I297" s="12" t="s">
        <v>1014</v>
      </c>
      <c r="J297" s="12">
        <v>0.3</v>
      </c>
      <c r="K297" s="12">
        <v>4.9</v>
      </c>
      <c r="L297" s="12">
        <v>3.4</v>
      </c>
      <c r="M297" s="12">
        <v>1.4</v>
      </c>
      <c r="N297" s="12">
        <v>0.3</v>
      </c>
      <c r="O297" s="12">
        <v>0.2</v>
      </c>
      <c r="P297" s="12">
        <v>0.2</v>
      </c>
      <c r="Q297" s="12">
        <v>-5.25</v>
      </c>
    </row>
    <row r="298">
      <c r="A298" s="12">
        <v>297.0</v>
      </c>
      <c r="B298" s="12">
        <v>139.8</v>
      </c>
      <c r="C298" s="22" t="s">
        <v>1015</v>
      </c>
      <c r="D298" s="12" t="s">
        <v>34</v>
      </c>
      <c r="E298" s="12" t="s">
        <v>180</v>
      </c>
      <c r="F298" s="12">
        <v>60.0</v>
      </c>
      <c r="G298" s="12">
        <v>17.8</v>
      </c>
      <c r="H298" s="12" t="s">
        <v>1016</v>
      </c>
      <c r="I298" s="12" t="s">
        <v>1017</v>
      </c>
      <c r="J298" s="12">
        <v>0.0</v>
      </c>
      <c r="K298" s="12">
        <v>5.7</v>
      </c>
      <c r="L298" s="12">
        <v>7.7</v>
      </c>
      <c r="M298" s="12">
        <v>1.5</v>
      </c>
      <c r="N298" s="12">
        <v>0.6</v>
      </c>
      <c r="O298" s="12">
        <v>0.7</v>
      </c>
      <c r="P298" s="12">
        <v>1.3</v>
      </c>
      <c r="Q298" s="12">
        <v>-5.26</v>
      </c>
    </row>
    <row r="299">
      <c r="A299" s="12">
        <v>298.0</v>
      </c>
      <c r="B299" s="298"/>
      <c r="C299" s="22" t="s">
        <v>1018</v>
      </c>
      <c r="D299" s="12" t="s">
        <v>34</v>
      </c>
      <c r="E299" s="12" t="s">
        <v>89</v>
      </c>
      <c r="F299" s="12">
        <v>50.0</v>
      </c>
      <c r="G299" s="12">
        <v>15.4</v>
      </c>
      <c r="H299" s="12" t="s">
        <v>1019</v>
      </c>
      <c r="I299" s="12" t="s">
        <v>1020</v>
      </c>
      <c r="J299" s="12">
        <v>0.0</v>
      </c>
      <c r="K299" s="12">
        <v>7.1</v>
      </c>
      <c r="L299" s="12">
        <v>4.8</v>
      </c>
      <c r="M299" s="12">
        <v>0.7</v>
      </c>
      <c r="N299" s="12">
        <v>0.2</v>
      </c>
      <c r="O299" s="12">
        <v>0.5</v>
      </c>
      <c r="P299" s="12">
        <v>0.9</v>
      </c>
      <c r="Q299" s="12">
        <v>-5.26</v>
      </c>
    </row>
    <row r="300">
      <c r="A300" s="12">
        <v>299.0</v>
      </c>
      <c r="B300" s="188"/>
      <c r="C300" s="22" t="s">
        <v>1021</v>
      </c>
      <c r="D300" s="12" t="s">
        <v>71</v>
      </c>
      <c r="E300" s="12" t="s">
        <v>136</v>
      </c>
      <c r="F300" s="12">
        <v>60.0</v>
      </c>
      <c r="G300" s="12">
        <v>15.9</v>
      </c>
      <c r="H300" s="12" t="s">
        <v>1022</v>
      </c>
      <c r="I300" s="12" t="s">
        <v>1023</v>
      </c>
      <c r="J300" s="12">
        <v>1.2</v>
      </c>
      <c r="K300" s="12">
        <v>7.0</v>
      </c>
      <c r="L300" s="12">
        <v>1.5</v>
      </c>
      <c r="M300" s="12">
        <v>1.3</v>
      </c>
      <c r="N300" s="12">
        <v>0.5</v>
      </c>
      <c r="O300" s="12">
        <v>0.1</v>
      </c>
      <c r="P300" s="12">
        <v>0.6</v>
      </c>
      <c r="Q300" s="12">
        <v>-5.3</v>
      </c>
    </row>
    <row r="301">
      <c r="A301" s="12">
        <v>300.0</v>
      </c>
      <c r="B301" s="298"/>
      <c r="C301" s="22" t="s">
        <v>1024</v>
      </c>
      <c r="D301" s="12" t="s">
        <v>62</v>
      </c>
      <c r="E301" s="12" t="s">
        <v>45</v>
      </c>
      <c r="F301" s="12">
        <v>69.0</v>
      </c>
      <c r="G301" s="12">
        <v>14.5</v>
      </c>
      <c r="H301" s="12" t="s">
        <v>1025</v>
      </c>
      <c r="I301" s="12" t="s">
        <v>1026</v>
      </c>
      <c r="J301" s="12">
        <v>0.8</v>
      </c>
      <c r="K301" s="12">
        <v>4.6</v>
      </c>
      <c r="L301" s="12">
        <v>3.8</v>
      </c>
      <c r="M301" s="12">
        <v>1.5</v>
      </c>
      <c r="N301" s="12">
        <v>0.5</v>
      </c>
      <c r="O301" s="12">
        <v>0.3</v>
      </c>
      <c r="P301" s="12">
        <v>0.6</v>
      </c>
      <c r="Q301" s="12">
        <v>-5.34</v>
      </c>
    </row>
    <row r="302">
      <c r="A302" s="12">
        <v>301.0</v>
      </c>
      <c r="B302" s="298"/>
      <c r="C302" s="22" t="s">
        <v>1027</v>
      </c>
      <c r="D302" s="12" t="s">
        <v>34</v>
      </c>
      <c r="E302" s="12" t="s">
        <v>209</v>
      </c>
      <c r="F302" s="12">
        <v>40.0</v>
      </c>
      <c r="G302" s="12">
        <v>13.3</v>
      </c>
      <c r="H302" s="12" t="s">
        <v>1028</v>
      </c>
      <c r="I302" s="12" t="s">
        <v>1029</v>
      </c>
      <c r="J302" s="12">
        <v>0.0</v>
      </c>
      <c r="K302" s="12">
        <v>4.2</v>
      </c>
      <c r="L302" s="12">
        <v>3.3</v>
      </c>
      <c r="M302" s="12">
        <v>0.7</v>
      </c>
      <c r="N302" s="12">
        <v>0.3</v>
      </c>
      <c r="O302" s="12">
        <v>0.7</v>
      </c>
      <c r="P302" s="12">
        <v>0.8</v>
      </c>
      <c r="Q302" s="12">
        <v>-5.4</v>
      </c>
    </row>
    <row r="303">
      <c r="A303" s="12">
        <v>302.0</v>
      </c>
      <c r="B303" s="298"/>
      <c r="C303" s="22" t="s">
        <v>1030</v>
      </c>
      <c r="D303" s="12" t="s">
        <v>34</v>
      </c>
      <c r="E303" s="12" t="s">
        <v>169</v>
      </c>
      <c r="F303" s="12">
        <v>38.0</v>
      </c>
      <c r="G303" s="12">
        <v>11.4</v>
      </c>
      <c r="H303" s="12" t="s">
        <v>1031</v>
      </c>
      <c r="I303" s="12" t="s">
        <v>1032</v>
      </c>
      <c r="J303" s="12">
        <v>0.2</v>
      </c>
      <c r="K303" s="12">
        <v>6.0</v>
      </c>
      <c r="L303" s="12">
        <v>3.6</v>
      </c>
      <c r="M303" s="12">
        <v>0.4</v>
      </c>
      <c r="N303" s="12">
        <v>0.2</v>
      </c>
      <c r="O303" s="12">
        <v>0.4</v>
      </c>
      <c r="P303" s="12">
        <v>0.5</v>
      </c>
      <c r="Q303" s="12">
        <v>-5.43</v>
      </c>
    </row>
    <row r="304">
      <c r="A304" s="12">
        <v>303.0</v>
      </c>
      <c r="B304" s="188"/>
      <c r="C304" s="22" t="s">
        <v>1033</v>
      </c>
      <c r="D304" s="12" t="s">
        <v>44</v>
      </c>
      <c r="E304" s="12" t="s">
        <v>144</v>
      </c>
      <c r="F304" s="12">
        <v>30.0</v>
      </c>
      <c r="G304" s="12">
        <v>14.5</v>
      </c>
      <c r="H304" s="12" t="s">
        <v>1034</v>
      </c>
      <c r="I304" s="12" t="s">
        <v>1035</v>
      </c>
      <c r="J304" s="12">
        <v>0.8</v>
      </c>
      <c r="K304" s="12">
        <v>6.1</v>
      </c>
      <c r="L304" s="12">
        <v>2.7</v>
      </c>
      <c r="M304" s="12">
        <v>1.1</v>
      </c>
      <c r="N304" s="12">
        <v>0.5</v>
      </c>
      <c r="O304" s="12">
        <v>0.3</v>
      </c>
      <c r="P304" s="12">
        <v>0.8</v>
      </c>
      <c r="Q304" s="12">
        <v>-5.44</v>
      </c>
    </row>
    <row r="305">
      <c r="A305" s="12">
        <v>304.0</v>
      </c>
      <c r="B305" s="188"/>
      <c r="C305" s="22" t="s">
        <v>1036</v>
      </c>
      <c r="D305" s="12" t="s">
        <v>158</v>
      </c>
      <c r="E305" s="12" t="s">
        <v>159</v>
      </c>
      <c r="F305" s="12">
        <v>50.0</v>
      </c>
      <c r="G305" s="12">
        <v>15.1</v>
      </c>
      <c r="H305" s="12" t="s">
        <v>1037</v>
      </c>
      <c r="I305" s="12" t="s">
        <v>1038</v>
      </c>
      <c r="J305" s="12">
        <v>1.1</v>
      </c>
      <c r="K305" s="12">
        <v>4.2</v>
      </c>
      <c r="L305" s="12">
        <v>1.9</v>
      </c>
      <c r="M305" s="12">
        <v>2.4</v>
      </c>
      <c r="N305" s="12">
        <v>0.5</v>
      </c>
      <c r="O305" s="12">
        <v>0.1</v>
      </c>
      <c r="P305" s="12">
        <v>0.8</v>
      </c>
      <c r="Q305" s="12">
        <v>-5.48</v>
      </c>
    </row>
    <row r="306">
      <c r="A306" s="12">
        <v>305.0</v>
      </c>
      <c r="B306" s="12">
        <v>140.6</v>
      </c>
      <c r="C306" s="22" t="s">
        <v>1039</v>
      </c>
      <c r="D306" s="12" t="s">
        <v>158</v>
      </c>
      <c r="E306" s="12" t="s">
        <v>222</v>
      </c>
      <c r="F306" s="12">
        <v>65.0</v>
      </c>
      <c r="G306" s="12">
        <v>18.3</v>
      </c>
      <c r="H306" s="12" t="s">
        <v>1040</v>
      </c>
      <c r="I306" s="12" t="s">
        <v>1041</v>
      </c>
      <c r="J306" s="12">
        <v>1.8</v>
      </c>
      <c r="K306" s="12">
        <v>9.3</v>
      </c>
      <c r="L306" s="12">
        <v>2.2</v>
      </c>
      <c r="M306" s="12">
        <v>1.2</v>
      </c>
      <c r="N306" s="12">
        <v>0.4</v>
      </c>
      <c r="O306" s="12">
        <v>0.1</v>
      </c>
      <c r="P306" s="12">
        <v>0.6</v>
      </c>
      <c r="Q306" s="12">
        <v>-5.48</v>
      </c>
    </row>
    <row r="307">
      <c r="A307" s="12">
        <v>306.0</v>
      </c>
      <c r="B307" s="12">
        <v>144.0</v>
      </c>
      <c r="C307" s="22" t="s">
        <v>1042</v>
      </c>
      <c r="D307" s="12" t="s">
        <v>56</v>
      </c>
      <c r="E307" s="12" t="s">
        <v>136</v>
      </c>
      <c r="F307" s="12">
        <v>62.0</v>
      </c>
      <c r="G307" s="12">
        <v>15.7</v>
      </c>
      <c r="H307" s="12" t="s">
        <v>1043</v>
      </c>
      <c r="I307" s="12" t="s">
        <v>1044</v>
      </c>
      <c r="J307" s="12">
        <v>0.9</v>
      </c>
      <c r="K307" s="12">
        <v>6.6</v>
      </c>
      <c r="L307" s="12">
        <v>2.2</v>
      </c>
      <c r="M307" s="12">
        <v>2.1</v>
      </c>
      <c r="N307" s="12">
        <v>0.7</v>
      </c>
      <c r="O307" s="12">
        <v>0.1</v>
      </c>
      <c r="P307" s="12">
        <v>0.9</v>
      </c>
      <c r="Q307" s="12">
        <v>-5.49</v>
      </c>
    </row>
    <row r="308">
      <c r="A308" s="12">
        <v>307.0</v>
      </c>
      <c r="B308" s="298"/>
      <c r="C308" s="22" t="s">
        <v>1045</v>
      </c>
      <c r="D308" s="12" t="s">
        <v>56</v>
      </c>
      <c r="E308" s="12" t="s">
        <v>126</v>
      </c>
      <c r="F308" s="12">
        <v>70.0</v>
      </c>
      <c r="G308" s="12">
        <v>18.8</v>
      </c>
      <c r="H308" s="12" t="s">
        <v>1046</v>
      </c>
      <c r="I308" s="12" t="s">
        <v>1047</v>
      </c>
      <c r="J308" s="12">
        <v>1.0</v>
      </c>
      <c r="K308" s="12">
        <v>6.6</v>
      </c>
      <c r="L308" s="12">
        <v>1.6</v>
      </c>
      <c r="M308" s="12">
        <v>2.5</v>
      </c>
      <c r="N308" s="12">
        <v>0.5</v>
      </c>
      <c r="O308" s="12">
        <v>0.1</v>
      </c>
      <c r="P308" s="12">
        <v>0.8</v>
      </c>
      <c r="Q308" s="12">
        <v>-5.5</v>
      </c>
    </row>
    <row r="309">
      <c r="A309" s="12">
        <v>308.0</v>
      </c>
      <c r="B309" s="298"/>
      <c r="C309" s="22" t="s">
        <v>1048</v>
      </c>
      <c r="D309" s="12" t="s">
        <v>158</v>
      </c>
      <c r="E309" s="12" t="s">
        <v>118</v>
      </c>
      <c r="F309" s="12">
        <v>62.0</v>
      </c>
      <c r="G309" s="12">
        <v>16.4</v>
      </c>
      <c r="H309" s="12" t="s">
        <v>1049</v>
      </c>
      <c r="I309" s="12" t="s">
        <v>1050</v>
      </c>
      <c r="J309" s="12">
        <v>0.7</v>
      </c>
      <c r="K309" s="12">
        <v>5.8</v>
      </c>
      <c r="L309" s="12">
        <v>2.9</v>
      </c>
      <c r="M309" s="12">
        <v>1.2</v>
      </c>
      <c r="N309" s="12">
        <v>0.8</v>
      </c>
      <c r="O309" s="12">
        <v>0.4</v>
      </c>
      <c r="P309" s="12">
        <v>0.7</v>
      </c>
      <c r="Q309" s="12">
        <v>-5.51</v>
      </c>
    </row>
    <row r="310">
      <c r="A310" s="12">
        <v>309.0</v>
      </c>
      <c r="B310" s="298"/>
      <c r="C310" s="22" t="s">
        <v>1051</v>
      </c>
      <c r="D310" s="12" t="s">
        <v>71</v>
      </c>
      <c r="E310" s="12" t="s">
        <v>98</v>
      </c>
      <c r="F310" s="12">
        <v>40.0</v>
      </c>
      <c r="G310" s="12">
        <v>12.1</v>
      </c>
      <c r="H310" s="12" t="s">
        <v>1052</v>
      </c>
      <c r="I310" s="12" t="s">
        <v>1053</v>
      </c>
      <c r="J310" s="12">
        <v>0.3</v>
      </c>
      <c r="K310" s="12">
        <v>4.2</v>
      </c>
      <c r="L310" s="12">
        <v>1.9</v>
      </c>
      <c r="M310" s="12">
        <v>1.1</v>
      </c>
      <c r="N310" s="12">
        <v>0.9</v>
      </c>
      <c r="O310" s="12">
        <v>0.4</v>
      </c>
      <c r="P310" s="12">
        <v>0.8</v>
      </c>
      <c r="Q310" s="12">
        <v>-5.54</v>
      </c>
    </row>
    <row r="311">
      <c r="A311" s="12">
        <v>310.0</v>
      </c>
      <c r="B311" s="188"/>
      <c r="C311" s="22" t="s">
        <v>1054</v>
      </c>
      <c r="D311" s="12" t="s">
        <v>62</v>
      </c>
      <c r="E311" s="12" t="s">
        <v>118</v>
      </c>
      <c r="F311" s="12">
        <v>34.0</v>
      </c>
      <c r="G311" s="12">
        <v>11.1</v>
      </c>
      <c r="H311" s="12" t="s">
        <v>1055</v>
      </c>
      <c r="I311" s="12" t="s">
        <v>1056</v>
      </c>
      <c r="J311" s="12">
        <v>0.3</v>
      </c>
      <c r="K311" s="12">
        <v>4.9</v>
      </c>
      <c r="L311" s="12">
        <v>3.1</v>
      </c>
      <c r="M311" s="12">
        <v>0.5</v>
      </c>
      <c r="N311" s="12">
        <v>0.2</v>
      </c>
      <c r="O311" s="12">
        <v>0.6</v>
      </c>
      <c r="P311" s="12">
        <v>0.7</v>
      </c>
      <c r="Q311" s="12">
        <v>-5.55</v>
      </c>
    </row>
    <row r="312">
      <c r="A312" s="12">
        <v>311.0</v>
      </c>
      <c r="B312" s="298"/>
      <c r="C312" s="22" t="s">
        <v>1057</v>
      </c>
      <c r="D312" s="12" t="s">
        <v>56</v>
      </c>
      <c r="E312" s="12" t="s">
        <v>140</v>
      </c>
      <c r="F312" s="12">
        <v>50.0</v>
      </c>
      <c r="G312" s="12">
        <v>14.1</v>
      </c>
      <c r="H312" s="12" t="s">
        <v>1058</v>
      </c>
      <c r="I312" s="12" t="s">
        <v>1059</v>
      </c>
      <c r="J312" s="12">
        <v>1.1</v>
      </c>
      <c r="K312" s="12">
        <v>6.7</v>
      </c>
      <c r="L312" s="12">
        <v>1.4</v>
      </c>
      <c r="M312" s="12">
        <v>2.6</v>
      </c>
      <c r="N312" s="12">
        <v>0.5</v>
      </c>
      <c r="O312" s="12">
        <v>0.1</v>
      </c>
      <c r="P312" s="12">
        <v>0.9</v>
      </c>
      <c r="Q312" s="12">
        <v>-5.57</v>
      </c>
    </row>
    <row r="313">
      <c r="A313" s="12">
        <v>312.0</v>
      </c>
      <c r="B313" s="298"/>
      <c r="C313" s="22" t="s">
        <v>1060</v>
      </c>
      <c r="D313" s="12" t="s">
        <v>56</v>
      </c>
      <c r="E313" s="12" t="s">
        <v>118</v>
      </c>
      <c r="F313" s="12">
        <v>60.0</v>
      </c>
      <c r="G313" s="12">
        <v>14.1</v>
      </c>
      <c r="H313" s="12" t="s">
        <v>1061</v>
      </c>
      <c r="I313" s="12" t="s">
        <v>1062</v>
      </c>
      <c r="J313" s="12">
        <v>0.7</v>
      </c>
      <c r="K313" s="12">
        <v>5.3</v>
      </c>
      <c r="L313" s="12">
        <v>1.8</v>
      </c>
      <c r="M313" s="12">
        <v>2.6</v>
      </c>
      <c r="N313" s="12">
        <v>0.4</v>
      </c>
      <c r="O313" s="12">
        <v>0.2</v>
      </c>
      <c r="P313" s="12">
        <v>0.4</v>
      </c>
      <c r="Q313" s="12">
        <v>-5.57</v>
      </c>
    </row>
    <row r="314">
      <c r="A314" s="12">
        <v>313.0</v>
      </c>
      <c r="B314" s="188"/>
      <c r="C314" s="22" t="s">
        <v>1063</v>
      </c>
      <c r="D314" s="12" t="s">
        <v>97</v>
      </c>
      <c r="E314" s="12" t="s">
        <v>102</v>
      </c>
      <c r="F314" s="12">
        <v>65.0</v>
      </c>
      <c r="G314" s="12">
        <v>20.8</v>
      </c>
      <c r="H314" s="12" t="s">
        <v>1064</v>
      </c>
      <c r="I314" s="12" t="s">
        <v>1065</v>
      </c>
      <c r="J314" s="12">
        <v>0.8</v>
      </c>
      <c r="K314" s="12">
        <v>6.4</v>
      </c>
      <c r="L314" s="12">
        <v>2.0</v>
      </c>
      <c r="M314" s="12">
        <v>1.3</v>
      </c>
      <c r="N314" s="12">
        <v>0.5</v>
      </c>
      <c r="O314" s="12">
        <v>0.2</v>
      </c>
      <c r="P314" s="12">
        <v>0.5</v>
      </c>
      <c r="Q314" s="12">
        <v>-5.58</v>
      </c>
    </row>
    <row r="315">
      <c r="A315" s="12">
        <v>314.0</v>
      </c>
      <c r="B315" s="188"/>
      <c r="C315" s="22" t="s">
        <v>1066</v>
      </c>
      <c r="D315" s="12" t="s">
        <v>56</v>
      </c>
      <c r="E315" s="12" t="s">
        <v>236</v>
      </c>
      <c r="F315" s="12">
        <v>70.0</v>
      </c>
      <c r="G315" s="12">
        <v>20.0</v>
      </c>
      <c r="H315" s="12" t="s">
        <v>1067</v>
      </c>
      <c r="I315" s="12" t="s">
        <v>1068</v>
      </c>
      <c r="J315" s="12">
        <v>0.7</v>
      </c>
      <c r="K315" s="12">
        <v>6.1</v>
      </c>
      <c r="L315" s="12">
        <v>2.7</v>
      </c>
      <c r="M315" s="12">
        <v>1.7</v>
      </c>
      <c r="N315" s="12">
        <v>0.7</v>
      </c>
      <c r="O315" s="12">
        <v>0.4</v>
      </c>
      <c r="P315" s="12">
        <v>1.1</v>
      </c>
      <c r="Q315" s="12">
        <v>-5.59</v>
      </c>
    </row>
    <row r="316">
      <c r="A316" s="12">
        <v>315.0</v>
      </c>
      <c r="B316" s="298"/>
      <c r="C316" s="22" t="s">
        <v>1069</v>
      </c>
      <c r="D316" s="12" t="s">
        <v>158</v>
      </c>
      <c r="E316" s="12" t="s">
        <v>63</v>
      </c>
      <c r="F316" s="12">
        <v>40.0</v>
      </c>
      <c r="G316" s="12">
        <v>17.5</v>
      </c>
      <c r="H316" s="12" t="s">
        <v>1070</v>
      </c>
      <c r="I316" s="12" t="s">
        <v>1071</v>
      </c>
      <c r="J316" s="12">
        <v>0.7</v>
      </c>
      <c r="K316" s="12">
        <v>5.8</v>
      </c>
      <c r="L316" s="12">
        <v>1.7</v>
      </c>
      <c r="M316" s="12">
        <v>0.9</v>
      </c>
      <c r="N316" s="12">
        <v>0.8</v>
      </c>
      <c r="O316" s="12">
        <v>0.3</v>
      </c>
      <c r="P316" s="12">
        <v>0.7</v>
      </c>
      <c r="Q316" s="12">
        <v>-5.6</v>
      </c>
    </row>
    <row r="317">
      <c r="A317" s="12">
        <v>316.0</v>
      </c>
      <c r="B317" s="298"/>
      <c r="C317" s="22" t="s">
        <v>1072</v>
      </c>
      <c r="D317" s="12" t="s">
        <v>71</v>
      </c>
      <c r="E317" s="12" t="s">
        <v>110</v>
      </c>
      <c r="F317" s="12">
        <v>58.0</v>
      </c>
      <c r="G317" s="12">
        <v>14.4</v>
      </c>
      <c r="H317" s="12" t="s">
        <v>1073</v>
      </c>
      <c r="I317" s="12" t="s">
        <v>1074</v>
      </c>
      <c r="J317" s="12">
        <v>1.9</v>
      </c>
      <c r="K317" s="12">
        <v>6.6</v>
      </c>
      <c r="L317" s="12">
        <v>1.7</v>
      </c>
      <c r="M317" s="12">
        <v>1.5</v>
      </c>
      <c r="N317" s="12">
        <v>0.3</v>
      </c>
      <c r="O317" s="12">
        <v>0.1</v>
      </c>
      <c r="P317" s="12">
        <v>0.3</v>
      </c>
      <c r="Q317" s="12">
        <v>-5.63</v>
      </c>
    </row>
    <row r="318">
      <c r="A318" s="12">
        <v>317.0</v>
      </c>
      <c r="B318" s="298"/>
      <c r="C318" s="22" t="s">
        <v>1075</v>
      </c>
      <c r="D318" s="12" t="s">
        <v>158</v>
      </c>
      <c r="E318" s="12" t="s">
        <v>126</v>
      </c>
      <c r="F318" s="12">
        <v>68.0</v>
      </c>
      <c r="G318" s="12">
        <v>20.5</v>
      </c>
      <c r="H318" s="12" t="s">
        <v>1080</v>
      </c>
      <c r="I318" s="12" t="s">
        <v>1081</v>
      </c>
      <c r="J318" s="12">
        <v>1.0</v>
      </c>
      <c r="K318" s="12">
        <v>6.7</v>
      </c>
      <c r="L318" s="12">
        <v>2.5</v>
      </c>
      <c r="M318" s="12">
        <v>1.1</v>
      </c>
      <c r="N318" s="12">
        <v>0.5</v>
      </c>
      <c r="O318" s="12">
        <v>0.4</v>
      </c>
      <c r="P318" s="12">
        <v>0.8</v>
      </c>
      <c r="Q318" s="12">
        <v>-5.63</v>
      </c>
    </row>
    <row r="319">
      <c r="A319" s="12">
        <v>318.0</v>
      </c>
      <c r="B319" s="298"/>
      <c r="C319" s="22" t="s">
        <v>1082</v>
      </c>
      <c r="D319" s="12" t="s">
        <v>97</v>
      </c>
      <c r="E319" s="12" t="s">
        <v>169</v>
      </c>
      <c r="F319" s="12">
        <v>60.0</v>
      </c>
      <c r="G319" s="12">
        <v>16.6</v>
      </c>
      <c r="H319" s="12" t="s">
        <v>1083</v>
      </c>
      <c r="I319" s="12" t="s">
        <v>1084</v>
      </c>
      <c r="J319" s="12">
        <v>0.8</v>
      </c>
      <c r="K319" s="12">
        <v>4.6</v>
      </c>
      <c r="L319" s="12">
        <v>2.9</v>
      </c>
      <c r="M319" s="12">
        <v>0.8</v>
      </c>
      <c r="N319" s="12">
        <v>0.6</v>
      </c>
      <c r="O319" s="12">
        <v>0.3</v>
      </c>
      <c r="P319" s="12">
        <v>0.6</v>
      </c>
      <c r="Q319" s="12">
        <v>-5.64</v>
      </c>
    </row>
    <row r="320">
      <c r="A320" s="12">
        <v>319.0</v>
      </c>
      <c r="B320" s="298"/>
      <c r="C320" s="22" t="s">
        <v>1085</v>
      </c>
      <c r="D320" s="12" t="s">
        <v>56</v>
      </c>
      <c r="E320" s="12" t="s">
        <v>35</v>
      </c>
      <c r="F320" s="12">
        <v>65.0</v>
      </c>
      <c r="G320" s="12">
        <v>19.7</v>
      </c>
      <c r="H320" s="12" t="s">
        <v>1086</v>
      </c>
      <c r="I320" s="12" t="s">
        <v>1087</v>
      </c>
      <c r="J320" s="12">
        <v>1.1</v>
      </c>
      <c r="K320" s="12">
        <v>8.6</v>
      </c>
      <c r="L320" s="12">
        <v>2.1</v>
      </c>
      <c r="M320" s="12">
        <v>1.8</v>
      </c>
      <c r="N320" s="12">
        <v>0.4</v>
      </c>
      <c r="O320" s="12">
        <v>0.1</v>
      </c>
      <c r="P320" s="12">
        <v>1.1</v>
      </c>
      <c r="Q320" s="12">
        <v>-5.66</v>
      </c>
    </row>
    <row r="321">
      <c r="A321" s="12">
        <v>320.0</v>
      </c>
      <c r="B321" s="298"/>
      <c r="C321" s="22" t="s">
        <v>1088</v>
      </c>
      <c r="D321" s="12" t="s">
        <v>34</v>
      </c>
      <c r="E321" s="12" t="s">
        <v>35</v>
      </c>
      <c r="F321" s="12">
        <v>20.0</v>
      </c>
      <c r="G321" s="12">
        <v>8.8</v>
      </c>
      <c r="H321" s="12" t="s">
        <v>1089</v>
      </c>
      <c r="I321" s="12" t="s">
        <v>1090</v>
      </c>
      <c r="J321" s="12">
        <v>0.0</v>
      </c>
      <c r="K321" s="12">
        <v>3.3</v>
      </c>
      <c r="L321" s="12">
        <v>3.4</v>
      </c>
      <c r="M321" s="12">
        <v>0.9</v>
      </c>
      <c r="N321" s="12">
        <v>0.3</v>
      </c>
      <c r="O321" s="12">
        <v>0.6</v>
      </c>
      <c r="P321" s="12">
        <v>0.7</v>
      </c>
      <c r="Q321" s="12">
        <v>-5.7</v>
      </c>
    </row>
    <row r="322">
      <c r="A322" s="12">
        <v>321.0</v>
      </c>
      <c r="B322" s="298"/>
      <c r="C322" s="22" t="s">
        <v>1091</v>
      </c>
      <c r="D322" s="12" t="s">
        <v>62</v>
      </c>
      <c r="E322" s="12" t="s">
        <v>57</v>
      </c>
      <c r="F322" s="12">
        <v>40.0</v>
      </c>
      <c r="G322" s="12">
        <v>18.5</v>
      </c>
      <c r="H322" s="12" t="s">
        <v>1092</v>
      </c>
      <c r="I322" s="12" t="s">
        <v>1093</v>
      </c>
      <c r="J322" s="12">
        <v>0.7</v>
      </c>
      <c r="K322" s="12">
        <v>4.3</v>
      </c>
      <c r="L322" s="12">
        <v>2.9</v>
      </c>
      <c r="M322" s="12">
        <v>1.2</v>
      </c>
      <c r="N322" s="12">
        <v>0.3</v>
      </c>
      <c r="O322" s="12">
        <v>0.6</v>
      </c>
      <c r="P322" s="12">
        <v>0.6</v>
      </c>
      <c r="Q322" s="12">
        <v>-5.71</v>
      </c>
    </row>
    <row r="323">
      <c r="A323" s="12">
        <v>322.0</v>
      </c>
      <c r="B323" s="298"/>
      <c r="C323" s="22" t="s">
        <v>1094</v>
      </c>
      <c r="D323" s="188"/>
      <c r="E323" s="12" t="s">
        <v>67</v>
      </c>
      <c r="F323" s="12">
        <v>60.0</v>
      </c>
      <c r="G323" s="12">
        <v>12.4</v>
      </c>
      <c r="H323" s="12" t="s">
        <v>1095</v>
      </c>
      <c r="I323" s="12" t="s">
        <v>1096</v>
      </c>
      <c r="J323" s="12">
        <v>0.9</v>
      </c>
      <c r="K323" s="12">
        <v>5.7</v>
      </c>
      <c r="L323" s="12">
        <v>2.7</v>
      </c>
      <c r="M323" s="12">
        <v>0.8</v>
      </c>
      <c r="N323" s="12">
        <v>0.4</v>
      </c>
      <c r="O323" s="12">
        <v>0.4</v>
      </c>
      <c r="P323" s="12">
        <v>0.8</v>
      </c>
      <c r="Q323" s="12">
        <v>-5.73</v>
      </c>
    </row>
    <row r="324">
      <c r="A324" s="12">
        <v>323.0</v>
      </c>
      <c r="B324" s="298"/>
      <c r="C324" s="22" t="s">
        <v>1097</v>
      </c>
      <c r="D324" s="12" t="s">
        <v>73</v>
      </c>
      <c r="E324" s="12" t="s">
        <v>148</v>
      </c>
      <c r="F324" s="12">
        <v>54.0</v>
      </c>
      <c r="G324" s="12">
        <v>15.2</v>
      </c>
      <c r="H324" s="12" t="s">
        <v>1098</v>
      </c>
      <c r="I324" s="12" t="s">
        <v>1099</v>
      </c>
      <c r="J324" s="12">
        <v>0.4</v>
      </c>
      <c r="K324" s="12">
        <v>6.2</v>
      </c>
      <c r="L324" s="12">
        <v>3.1</v>
      </c>
      <c r="M324" s="12">
        <v>1.0</v>
      </c>
      <c r="N324" s="12">
        <v>0.4</v>
      </c>
      <c r="O324" s="12">
        <v>0.6</v>
      </c>
      <c r="P324" s="12">
        <v>0.8</v>
      </c>
      <c r="Q324" s="12">
        <v>-5.76</v>
      </c>
    </row>
    <row r="325">
      <c r="A325" s="12">
        <v>324.0</v>
      </c>
      <c r="B325" s="298"/>
      <c r="C325" s="22" t="s">
        <v>1100</v>
      </c>
      <c r="D325" s="12" t="s">
        <v>62</v>
      </c>
      <c r="E325" s="12" t="s">
        <v>63</v>
      </c>
      <c r="F325" s="12">
        <v>70.0</v>
      </c>
      <c r="G325" s="12">
        <v>13.6</v>
      </c>
      <c r="H325" s="12" t="s">
        <v>1101</v>
      </c>
      <c r="I325" s="12" t="s">
        <v>1102</v>
      </c>
      <c r="J325" s="12">
        <v>0.0</v>
      </c>
      <c r="K325" s="12">
        <v>5.0</v>
      </c>
      <c r="L325" s="12">
        <v>3.2</v>
      </c>
      <c r="M325" s="12">
        <v>0.6</v>
      </c>
      <c r="N325" s="12">
        <v>0.5</v>
      </c>
      <c r="O325" s="12">
        <v>0.4</v>
      </c>
      <c r="P325" s="12">
        <v>0.7</v>
      </c>
      <c r="Q325" s="12">
        <v>-5.76</v>
      </c>
    </row>
    <row r="326">
      <c r="A326" s="12">
        <v>325.0</v>
      </c>
      <c r="B326" s="298"/>
      <c r="C326" s="22" t="s">
        <v>1103</v>
      </c>
      <c r="D326" s="12" t="s">
        <v>34</v>
      </c>
      <c r="E326" s="12" t="s">
        <v>287</v>
      </c>
      <c r="F326" s="12">
        <v>54.0</v>
      </c>
      <c r="G326" s="12">
        <v>13.4</v>
      </c>
      <c r="H326" s="12" t="s">
        <v>1104</v>
      </c>
      <c r="I326" s="12" t="s">
        <v>1105</v>
      </c>
      <c r="J326" s="12">
        <v>0.1</v>
      </c>
      <c r="K326" s="12">
        <v>4.9</v>
      </c>
      <c r="L326" s="12">
        <v>3.9</v>
      </c>
      <c r="M326" s="12">
        <v>0.5</v>
      </c>
      <c r="N326" s="12">
        <v>0.2</v>
      </c>
      <c r="O326" s="12">
        <v>0.5</v>
      </c>
      <c r="P326" s="12">
        <v>0.6</v>
      </c>
      <c r="Q326" s="12">
        <v>-5.77</v>
      </c>
    </row>
    <row r="327">
      <c r="A327" s="12">
        <v>326.0</v>
      </c>
      <c r="B327" s="298"/>
      <c r="C327" s="22" t="s">
        <v>1106</v>
      </c>
      <c r="D327" s="12" t="s">
        <v>34</v>
      </c>
      <c r="E327" s="12" t="s">
        <v>180</v>
      </c>
      <c r="F327" s="12">
        <v>44.0</v>
      </c>
      <c r="G327" s="12">
        <v>12.4</v>
      </c>
      <c r="H327" s="12" t="s">
        <v>1107</v>
      </c>
      <c r="I327" s="12" t="s">
        <v>1108</v>
      </c>
      <c r="J327" s="12">
        <v>0.2</v>
      </c>
      <c r="K327" s="12">
        <v>5.3</v>
      </c>
      <c r="L327" s="12">
        <v>3.3</v>
      </c>
      <c r="M327" s="12">
        <v>1.0</v>
      </c>
      <c r="N327" s="12">
        <v>0.3</v>
      </c>
      <c r="O327" s="12">
        <v>0.5</v>
      </c>
      <c r="P327" s="12">
        <v>0.7</v>
      </c>
      <c r="Q327" s="12">
        <v>-5.8</v>
      </c>
    </row>
    <row r="328">
      <c r="A328" s="12">
        <v>327.0</v>
      </c>
      <c r="B328" s="298"/>
      <c r="C328" s="22" t="s">
        <v>1109</v>
      </c>
      <c r="D328" s="12" t="s">
        <v>56</v>
      </c>
      <c r="E328" s="12" t="s">
        <v>110</v>
      </c>
      <c r="F328" s="12">
        <v>55.0</v>
      </c>
      <c r="G328" s="12">
        <v>12.4</v>
      </c>
      <c r="H328" s="12" t="s">
        <v>1110</v>
      </c>
      <c r="I328" s="12" t="s">
        <v>1111</v>
      </c>
      <c r="J328" s="12">
        <v>0.2</v>
      </c>
      <c r="K328" s="12">
        <v>5.5</v>
      </c>
      <c r="L328" s="12">
        <v>2.1</v>
      </c>
      <c r="M328" s="12">
        <v>2.3</v>
      </c>
      <c r="N328" s="12">
        <v>0.4</v>
      </c>
      <c r="O328" s="12">
        <v>0.3</v>
      </c>
      <c r="P328" s="12">
        <v>0.9</v>
      </c>
      <c r="Q328" s="12">
        <v>-5.83</v>
      </c>
    </row>
    <row r="329">
      <c r="A329" s="12">
        <v>328.0</v>
      </c>
      <c r="B329" s="298"/>
      <c r="C329" s="22" t="s">
        <v>1112</v>
      </c>
      <c r="D329" s="12" t="s">
        <v>71</v>
      </c>
      <c r="E329" s="12" t="s">
        <v>209</v>
      </c>
      <c r="F329" s="12">
        <v>64.0</v>
      </c>
      <c r="G329" s="12">
        <v>18.8</v>
      </c>
      <c r="H329" s="12" t="s">
        <v>1113</v>
      </c>
      <c r="I329" s="12" t="s">
        <v>1114</v>
      </c>
      <c r="J329" s="12">
        <v>1.8</v>
      </c>
      <c r="K329" s="12">
        <v>8.6</v>
      </c>
      <c r="L329" s="12">
        <v>2.4</v>
      </c>
      <c r="M329" s="12">
        <v>1.2</v>
      </c>
      <c r="N329" s="12">
        <v>0.3</v>
      </c>
      <c r="O329" s="12">
        <v>0.1</v>
      </c>
      <c r="P329" s="12">
        <v>0.7</v>
      </c>
      <c r="Q329" s="12">
        <v>-5.83</v>
      </c>
    </row>
    <row r="330">
      <c r="A330" s="12">
        <v>329.0</v>
      </c>
      <c r="B330" s="188"/>
      <c r="C330" s="22" t="s">
        <v>1115</v>
      </c>
      <c r="D330" s="12" t="s">
        <v>97</v>
      </c>
      <c r="E330" s="12" t="s">
        <v>259</v>
      </c>
      <c r="F330" s="12">
        <v>65.0</v>
      </c>
      <c r="G330" s="12">
        <v>17.1</v>
      </c>
      <c r="H330" s="12" t="s">
        <v>1116</v>
      </c>
      <c r="I330" s="12" t="s">
        <v>1117</v>
      </c>
      <c r="J330" s="12">
        <v>0.4</v>
      </c>
      <c r="K330" s="12">
        <v>6.4</v>
      </c>
      <c r="L330" s="12">
        <v>4.8</v>
      </c>
      <c r="M330" s="12">
        <v>0.8</v>
      </c>
      <c r="N330" s="12">
        <v>0.4</v>
      </c>
      <c r="O330" s="12">
        <v>0.3</v>
      </c>
      <c r="P330" s="12">
        <v>0.7</v>
      </c>
      <c r="Q330" s="12">
        <v>-5.83</v>
      </c>
    </row>
    <row r="331">
      <c r="A331" s="12">
        <v>330.0</v>
      </c>
      <c r="B331" s="298"/>
      <c r="C331" s="22" t="s">
        <v>1118</v>
      </c>
      <c r="D331" s="12" t="s">
        <v>56</v>
      </c>
      <c r="E331" s="12" t="s">
        <v>136</v>
      </c>
      <c r="F331" s="12">
        <v>58.0</v>
      </c>
      <c r="G331" s="12">
        <v>16.5</v>
      </c>
      <c r="H331" s="12" t="s">
        <v>1119</v>
      </c>
      <c r="I331" s="12" t="s">
        <v>937</v>
      </c>
      <c r="J331" s="12">
        <v>0.6</v>
      </c>
      <c r="K331" s="12">
        <v>6.0</v>
      </c>
      <c r="L331" s="12">
        <v>1.3</v>
      </c>
      <c r="M331" s="12">
        <v>3.7</v>
      </c>
      <c r="N331" s="12">
        <v>0.4</v>
      </c>
      <c r="O331" s="12">
        <v>0.1</v>
      </c>
      <c r="P331" s="12">
        <v>1.4</v>
      </c>
      <c r="Q331" s="12">
        <v>-5.85</v>
      </c>
    </row>
    <row r="332">
      <c r="A332" s="12">
        <v>331.0</v>
      </c>
      <c r="B332" s="298"/>
      <c r="C332" s="22" t="s">
        <v>1120</v>
      </c>
      <c r="D332" s="12" t="s">
        <v>73</v>
      </c>
      <c r="E332" s="12" t="s">
        <v>45</v>
      </c>
      <c r="F332" s="12">
        <v>58.0</v>
      </c>
      <c r="G332" s="12">
        <v>14.2</v>
      </c>
      <c r="H332" s="12" t="s">
        <v>1121</v>
      </c>
      <c r="I332" s="12" t="s">
        <v>1122</v>
      </c>
      <c r="J332" s="12">
        <v>0.7</v>
      </c>
      <c r="K332" s="12">
        <v>4.8</v>
      </c>
      <c r="L332" s="12">
        <v>3.0</v>
      </c>
      <c r="M332" s="12">
        <v>1.3</v>
      </c>
      <c r="N332" s="12">
        <v>0.5</v>
      </c>
      <c r="O332" s="12">
        <v>0.2</v>
      </c>
      <c r="P332" s="12">
        <v>0.4</v>
      </c>
      <c r="Q332" s="12">
        <v>-5.85</v>
      </c>
    </row>
    <row r="333">
      <c r="A333" s="12">
        <v>332.0</v>
      </c>
      <c r="B333" s="298"/>
      <c r="C333" s="22" t="s">
        <v>1123</v>
      </c>
      <c r="D333" s="12" t="s">
        <v>56</v>
      </c>
      <c r="E333" s="12" t="s">
        <v>144</v>
      </c>
      <c r="F333" s="12">
        <v>50.0</v>
      </c>
      <c r="G333" s="12">
        <v>12.2</v>
      </c>
      <c r="H333" s="12" t="s">
        <v>1124</v>
      </c>
      <c r="I333" s="12" t="s">
        <v>1125</v>
      </c>
      <c r="J333" s="12">
        <v>0.6</v>
      </c>
      <c r="K333" s="12">
        <v>3.4</v>
      </c>
      <c r="L333" s="12">
        <v>1.3</v>
      </c>
      <c r="M333" s="12">
        <v>2.4</v>
      </c>
      <c r="N333" s="12">
        <v>0.6</v>
      </c>
      <c r="O333" s="12">
        <v>0.1</v>
      </c>
      <c r="P333" s="12">
        <v>0.5</v>
      </c>
      <c r="Q333" s="12">
        <v>-5.87</v>
      </c>
    </row>
    <row r="334">
      <c r="A334" s="12">
        <v>333.0</v>
      </c>
      <c r="B334" s="298"/>
      <c r="C334" s="22" t="s">
        <v>1126</v>
      </c>
      <c r="D334" s="12" t="s">
        <v>71</v>
      </c>
      <c r="E334" s="12" t="s">
        <v>89</v>
      </c>
      <c r="F334" s="12">
        <v>60.0</v>
      </c>
      <c r="G334" s="12">
        <v>18.6</v>
      </c>
      <c r="H334" s="12" t="s">
        <v>1127</v>
      </c>
      <c r="I334" s="12" t="s">
        <v>1128</v>
      </c>
      <c r="J334" s="12">
        <v>0.8</v>
      </c>
      <c r="K334" s="12">
        <v>5.1</v>
      </c>
      <c r="L334" s="12">
        <v>2.8</v>
      </c>
      <c r="M334" s="12">
        <v>0.6</v>
      </c>
      <c r="N334" s="12">
        <v>0.5</v>
      </c>
      <c r="O334" s="12">
        <v>0.2</v>
      </c>
      <c r="P334" s="12">
        <v>0.5</v>
      </c>
      <c r="Q334" s="12">
        <v>-6.01</v>
      </c>
    </row>
    <row r="335">
      <c r="A335" s="12">
        <v>334.0</v>
      </c>
      <c r="B335" s="298"/>
      <c r="C335" s="22" t="s">
        <v>1129</v>
      </c>
      <c r="D335" s="12" t="s">
        <v>158</v>
      </c>
      <c r="E335" s="12" t="s">
        <v>89</v>
      </c>
      <c r="F335" s="12">
        <v>56.0</v>
      </c>
      <c r="G335" s="12">
        <v>16.4</v>
      </c>
      <c r="H335" s="12" t="s">
        <v>1130</v>
      </c>
      <c r="I335" s="12" t="s">
        <v>1131</v>
      </c>
      <c r="J335" s="12">
        <v>1.0</v>
      </c>
      <c r="K335" s="12">
        <v>5.1</v>
      </c>
      <c r="L335" s="12">
        <v>1.8</v>
      </c>
      <c r="M335" s="12">
        <v>1.1</v>
      </c>
      <c r="N335" s="12">
        <v>0.7</v>
      </c>
      <c r="O335" s="12">
        <v>0.0</v>
      </c>
      <c r="P335" s="12">
        <v>0.3</v>
      </c>
      <c r="Q335" s="12">
        <v>-6.02</v>
      </c>
    </row>
    <row r="336">
      <c r="A336" s="12">
        <v>335.0</v>
      </c>
      <c r="B336" s="188"/>
      <c r="C336" s="22" t="s">
        <v>1132</v>
      </c>
      <c r="D336" s="12" t="s">
        <v>97</v>
      </c>
      <c r="E336" s="12" t="s">
        <v>67</v>
      </c>
      <c r="F336" s="12">
        <v>44.0</v>
      </c>
      <c r="G336" s="12">
        <v>15.1</v>
      </c>
      <c r="H336" s="12" t="s">
        <v>1133</v>
      </c>
      <c r="I336" s="12" t="s">
        <v>1134</v>
      </c>
      <c r="J336" s="12">
        <v>0.4</v>
      </c>
      <c r="K336" s="12">
        <v>6.7</v>
      </c>
      <c r="L336" s="12">
        <v>3.1</v>
      </c>
      <c r="M336" s="12">
        <v>0.9</v>
      </c>
      <c r="N336" s="12">
        <v>0.3</v>
      </c>
      <c r="O336" s="12">
        <v>0.2</v>
      </c>
      <c r="P336" s="12">
        <v>0.7</v>
      </c>
      <c r="Q336" s="12">
        <v>-6.04</v>
      </c>
    </row>
    <row r="337">
      <c r="A337" s="12">
        <v>336.0</v>
      </c>
      <c r="B337" s="298"/>
      <c r="C337" s="22" t="s">
        <v>1135</v>
      </c>
      <c r="D337" s="12" t="s">
        <v>34</v>
      </c>
      <c r="E337" s="12" t="s">
        <v>57</v>
      </c>
      <c r="F337" s="12">
        <v>64.0</v>
      </c>
      <c r="G337" s="12">
        <v>13.4</v>
      </c>
      <c r="H337" s="12" t="s">
        <v>1136</v>
      </c>
      <c r="I337" s="12" t="s">
        <v>1137</v>
      </c>
      <c r="J337" s="12">
        <v>0.0</v>
      </c>
      <c r="K337" s="12">
        <v>4.2</v>
      </c>
      <c r="L337" s="12">
        <v>3.1</v>
      </c>
      <c r="M337" s="12">
        <v>0.9</v>
      </c>
      <c r="N337" s="12">
        <v>0.4</v>
      </c>
      <c r="O337" s="12">
        <v>0.3</v>
      </c>
      <c r="P337" s="12">
        <v>0.6</v>
      </c>
      <c r="Q337" s="12">
        <v>-6.11</v>
      </c>
    </row>
    <row r="338">
      <c r="A338" s="12">
        <v>337.0</v>
      </c>
      <c r="B338" s="298"/>
      <c r="C338" s="22" t="s">
        <v>1138</v>
      </c>
      <c r="D338" s="12" t="s">
        <v>34</v>
      </c>
      <c r="E338" s="12" t="s">
        <v>209</v>
      </c>
      <c r="F338" s="12">
        <v>60.0</v>
      </c>
      <c r="G338" s="12">
        <v>15.9</v>
      </c>
      <c r="H338" s="12" t="s">
        <v>1139</v>
      </c>
      <c r="I338" s="12" t="s">
        <v>1140</v>
      </c>
      <c r="J338" s="12">
        <v>0.0</v>
      </c>
      <c r="K338" s="12">
        <v>6.3</v>
      </c>
      <c r="L338" s="12">
        <v>3.3</v>
      </c>
      <c r="M338" s="12">
        <v>0.2</v>
      </c>
      <c r="N338" s="12">
        <v>0.4</v>
      </c>
      <c r="O338" s="12">
        <v>0.9</v>
      </c>
      <c r="P338" s="12">
        <v>0.7</v>
      </c>
      <c r="Q338" s="12">
        <v>-6.11</v>
      </c>
    </row>
    <row r="339">
      <c r="A339" s="12">
        <v>338.0</v>
      </c>
      <c r="B339" s="298"/>
      <c r="C339" s="22" t="s">
        <v>1141</v>
      </c>
      <c r="D339" s="12" t="s">
        <v>97</v>
      </c>
      <c r="E339" s="12" t="s">
        <v>173</v>
      </c>
      <c r="F339" s="12">
        <v>35.0</v>
      </c>
      <c r="G339" s="12">
        <v>14.8</v>
      </c>
      <c r="H339" s="12" t="s">
        <v>1142</v>
      </c>
      <c r="I339" s="12" t="s">
        <v>1143</v>
      </c>
      <c r="J339" s="12">
        <v>0.9</v>
      </c>
      <c r="K339" s="12">
        <v>5.9</v>
      </c>
      <c r="L339" s="12">
        <v>2.3</v>
      </c>
      <c r="M339" s="12">
        <v>1.0</v>
      </c>
      <c r="N339" s="12">
        <v>0.5</v>
      </c>
      <c r="O339" s="12">
        <v>0.2</v>
      </c>
      <c r="P339" s="12">
        <v>0.8</v>
      </c>
      <c r="Q339" s="12">
        <v>-6.13</v>
      </c>
    </row>
    <row r="340">
      <c r="A340" s="12">
        <v>339.0</v>
      </c>
      <c r="B340" s="12">
        <v>142.7</v>
      </c>
      <c r="C340" s="22" t="s">
        <v>1144</v>
      </c>
      <c r="D340" s="12" t="s">
        <v>34</v>
      </c>
      <c r="E340" s="12" t="s">
        <v>169</v>
      </c>
      <c r="F340" s="12">
        <v>50.0</v>
      </c>
      <c r="G340" s="12">
        <v>16.1</v>
      </c>
      <c r="H340" s="12" t="s">
        <v>1145</v>
      </c>
      <c r="I340" s="12" t="s">
        <v>1146</v>
      </c>
      <c r="J340" s="12">
        <v>0.2</v>
      </c>
      <c r="K340" s="12">
        <v>6.3</v>
      </c>
      <c r="L340" s="12">
        <v>3.9</v>
      </c>
      <c r="M340" s="12">
        <v>0.6</v>
      </c>
      <c r="N340" s="12">
        <v>0.2</v>
      </c>
      <c r="O340" s="12">
        <v>0.7</v>
      </c>
      <c r="P340" s="12">
        <v>0.6</v>
      </c>
      <c r="Q340" s="12">
        <v>-6.15</v>
      </c>
    </row>
    <row r="341">
      <c r="A341" s="12">
        <v>340.0</v>
      </c>
      <c r="B341" s="298"/>
      <c r="C341" s="22" t="s">
        <v>1147</v>
      </c>
      <c r="D341" s="12" t="s">
        <v>72</v>
      </c>
      <c r="E341" s="12" t="s">
        <v>236</v>
      </c>
      <c r="F341" s="12">
        <v>52.0</v>
      </c>
      <c r="G341" s="12">
        <v>15.2</v>
      </c>
      <c r="H341" s="12" t="s">
        <v>1148</v>
      </c>
      <c r="I341" s="12" t="s">
        <v>1149</v>
      </c>
      <c r="J341" s="12">
        <v>0.6</v>
      </c>
      <c r="K341" s="12">
        <v>5.4</v>
      </c>
      <c r="L341" s="12">
        <v>1.7</v>
      </c>
      <c r="M341" s="12">
        <v>0.8</v>
      </c>
      <c r="N341" s="12">
        <v>0.4</v>
      </c>
      <c r="O341" s="12">
        <v>0.2</v>
      </c>
      <c r="P341" s="12">
        <v>0.6</v>
      </c>
      <c r="Q341" s="12">
        <v>-6.17</v>
      </c>
    </row>
    <row r="342">
      <c r="A342" s="12">
        <v>341.0</v>
      </c>
      <c r="B342" s="12">
        <v>142.3</v>
      </c>
      <c r="C342" s="22" t="s">
        <v>1150</v>
      </c>
      <c r="D342" s="12" t="s">
        <v>97</v>
      </c>
      <c r="E342" s="12" t="s">
        <v>222</v>
      </c>
      <c r="F342" s="12">
        <v>40.0</v>
      </c>
      <c r="G342" s="12">
        <v>14.4</v>
      </c>
      <c r="H342" s="12" t="s">
        <v>1151</v>
      </c>
      <c r="I342" s="12" t="s">
        <v>1152</v>
      </c>
      <c r="J342" s="12">
        <v>1.2</v>
      </c>
      <c r="K342" s="12">
        <v>6.2</v>
      </c>
      <c r="L342" s="12">
        <v>2.0</v>
      </c>
      <c r="M342" s="12">
        <v>0.9</v>
      </c>
      <c r="N342" s="12">
        <v>0.4</v>
      </c>
      <c r="O342" s="12">
        <v>0.2</v>
      </c>
      <c r="P342" s="12">
        <v>0.7</v>
      </c>
      <c r="Q342" s="12">
        <v>-6.19</v>
      </c>
    </row>
    <row r="343">
      <c r="A343" s="12">
        <v>342.0</v>
      </c>
      <c r="B343" s="298"/>
      <c r="C343" s="22" t="s">
        <v>1153</v>
      </c>
      <c r="D343" s="12" t="s">
        <v>56</v>
      </c>
      <c r="E343" s="12" t="s">
        <v>57</v>
      </c>
      <c r="F343" s="12">
        <v>71.0</v>
      </c>
      <c r="G343" s="12">
        <v>14.2</v>
      </c>
      <c r="H343" s="12" t="s">
        <v>1154</v>
      </c>
      <c r="I343" s="12" t="s">
        <v>1155</v>
      </c>
      <c r="J343" s="12">
        <v>1.2</v>
      </c>
      <c r="K343" s="12">
        <v>8.0</v>
      </c>
      <c r="L343" s="12">
        <v>1.9</v>
      </c>
      <c r="M343" s="12">
        <v>1.5</v>
      </c>
      <c r="N343" s="12">
        <v>0.3</v>
      </c>
      <c r="O343" s="12">
        <v>0.1</v>
      </c>
      <c r="P343" s="12">
        <v>0.9</v>
      </c>
      <c r="Q343" s="12">
        <v>-6.25</v>
      </c>
    </row>
    <row r="344">
      <c r="A344" s="12">
        <v>343.0</v>
      </c>
      <c r="B344" s="298"/>
      <c r="C344" s="22" t="s">
        <v>1156</v>
      </c>
      <c r="D344" s="12" t="s">
        <v>73</v>
      </c>
      <c r="E344" s="12" t="s">
        <v>222</v>
      </c>
      <c r="F344" s="12">
        <v>44.0</v>
      </c>
      <c r="G344" s="12">
        <v>15.1</v>
      </c>
      <c r="H344" s="12" t="s">
        <v>1157</v>
      </c>
      <c r="I344" s="12" t="s">
        <v>1158</v>
      </c>
      <c r="J344" s="12">
        <v>0.7</v>
      </c>
      <c r="K344" s="12">
        <v>5.3</v>
      </c>
      <c r="L344" s="12">
        <v>2.7</v>
      </c>
      <c r="M344" s="12">
        <v>0.4</v>
      </c>
      <c r="N344" s="12">
        <v>0.4</v>
      </c>
      <c r="O344" s="12">
        <v>0.3</v>
      </c>
      <c r="P344" s="12">
        <v>0.9</v>
      </c>
      <c r="Q344" s="12">
        <v>-6.33</v>
      </c>
    </row>
    <row r="345">
      <c r="A345" s="12">
        <v>344.0</v>
      </c>
      <c r="B345" s="298"/>
      <c r="C345" s="22" t="s">
        <v>1159</v>
      </c>
      <c r="D345" s="12" t="s">
        <v>56</v>
      </c>
      <c r="E345" s="12" t="s">
        <v>243</v>
      </c>
      <c r="F345" s="12">
        <v>64.0</v>
      </c>
      <c r="G345" s="12">
        <v>13.2</v>
      </c>
      <c r="H345" s="12" t="s">
        <v>1160</v>
      </c>
      <c r="I345" s="12" t="s">
        <v>1161</v>
      </c>
      <c r="J345" s="12">
        <v>1.0</v>
      </c>
      <c r="K345" s="12">
        <v>4.8</v>
      </c>
      <c r="L345" s="12">
        <v>1.2</v>
      </c>
      <c r="M345" s="12">
        <v>1.4</v>
      </c>
      <c r="N345" s="12">
        <v>0.5</v>
      </c>
      <c r="O345" s="12">
        <v>0.2</v>
      </c>
      <c r="P345" s="12">
        <v>0.5</v>
      </c>
      <c r="Q345" s="12">
        <v>-6.35</v>
      </c>
    </row>
    <row r="346">
      <c r="A346" s="12">
        <v>345.0</v>
      </c>
      <c r="B346" s="298"/>
      <c r="C346" s="22" t="s">
        <v>1162</v>
      </c>
      <c r="D346" s="12" t="s">
        <v>73</v>
      </c>
      <c r="E346" s="12" t="s">
        <v>136</v>
      </c>
      <c r="F346" s="12">
        <v>60.0</v>
      </c>
      <c r="G346" s="12">
        <v>18.9</v>
      </c>
      <c r="H346" s="12" t="s">
        <v>1163</v>
      </c>
      <c r="I346" s="12" t="s">
        <v>1164</v>
      </c>
      <c r="J346" s="12">
        <v>0.8</v>
      </c>
      <c r="K346" s="12">
        <v>5.9</v>
      </c>
      <c r="L346" s="12">
        <v>2.4</v>
      </c>
      <c r="M346" s="12">
        <v>0.6</v>
      </c>
      <c r="N346" s="12">
        <v>0.7</v>
      </c>
      <c r="O346" s="12">
        <v>0.1</v>
      </c>
      <c r="P346" s="12">
        <v>0.8</v>
      </c>
      <c r="Q346" s="12">
        <v>-6.38</v>
      </c>
    </row>
    <row r="347">
      <c r="A347" s="12">
        <v>346.0</v>
      </c>
      <c r="B347" s="298"/>
      <c r="C347" s="22" t="s">
        <v>1165</v>
      </c>
      <c r="D347" s="12" t="s">
        <v>73</v>
      </c>
      <c r="E347" s="12" t="s">
        <v>74</v>
      </c>
      <c r="F347" s="12">
        <v>50.0</v>
      </c>
      <c r="G347" s="12">
        <v>12.1</v>
      </c>
      <c r="H347" s="12" t="s">
        <v>1166</v>
      </c>
      <c r="I347" s="12" t="s">
        <v>1167</v>
      </c>
      <c r="J347" s="12">
        <v>0.6</v>
      </c>
      <c r="K347" s="12">
        <v>5.5</v>
      </c>
      <c r="L347" s="12">
        <v>2.1</v>
      </c>
      <c r="M347" s="12">
        <v>0.5</v>
      </c>
      <c r="N347" s="12">
        <v>0.3</v>
      </c>
      <c r="O347" s="12">
        <v>0.4</v>
      </c>
      <c r="P347" s="12">
        <v>0.5</v>
      </c>
      <c r="Q347" s="12">
        <v>-6.47</v>
      </c>
    </row>
    <row r="348">
      <c r="A348" s="12">
        <v>347.0</v>
      </c>
      <c r="B348" s="298"/>
      <c r="C348" s="22" t="s">
        <v>1168</v>
      </c>
      <c r="D348" s="12" t="s">
        <v>158</v>
      </c>
      <c r="E348" s="12" t="s">
        <v>74</v>
      </c>
      <c r="F348" s="12">
        <v>50.0</v>
      </c>
      <c r="G348" s="12">
        <v>14.2</v>
      </c>
      <c r="H348" s="12" t="s">
        <v>1169</v>
      </c>
      <c r="I348" s="12" t="s">
        <v>1170</v>
      </c>
      <c r="J348" s="12">
        <v>0.4</v>
      </c>
      <c r="K348" s="12">
        <v>3.1</v>
      </c>
      <c r="L348" s="12">
        <v>2.8</v>
      </c>
      <c r="M348" s="12">
        <v>1.3</v>
      </c>
      <c r="N348" s="12">
        <v>0.4</v>
      </c>
      <c r="O348" s="12">
        <v>0.2</v>
      </c>
      <c r="P348" s="12">
        <v>0.7</v>
      </c>
      <c r="Q348" s="12">
        <v>-6.5</v>
      </c>
    </row>
    <row r="349">
      <c r="A349" s="12">
        <v>348.0</v>
      </c>
      <c r="B349" s="298"/>
      <c r="C349" s="22" t="s">
        <v>1171</v>
      </c>
      <c r="D349" s="12" t="s">
        <v>71</v>
      </c>
      <c r="E349" s="12" t="s">
        <v>110</v>
      </c>
      <c r="F349" s="12">
        <v>30.0</v>
      </c>
      <c r="G349" s="12">
        <v>15.4</v>
      </c>
      <c r="H349" s="12" t="s">
        <v>1172</v>
      </c>
      <c r="I349" s="12" t="s">
        <v>1173</v>
      </c>
      <c r="J349" s="12">
        <v>0.5</v>
      </c>
      <c r="K349" s="12">
        <v>6.4</v>
      </c>
      <c r="L349" s="12">
        <v>2.3</v>
      </c>
      <c r="M349" s="12">
        <v>1.2</v>
      </c>
      <c r="N349" s="12">
        <v>0.4</v>
      </c>
      <c r="O349" s="12">
        <v>0.2</v>
      </c>
      <c r="P349" s="12">
        <v>1.0</v>
      </c>
      <c r="Q349" s="12">
        <v>-6.53</v>
      </c>
    </row>
    <row r="350">
      <c r="A350" s="12">
        <v>349.0</v>
      </c>
      <c r="B350" s="298"/>
      <c r="C350" s="22" t="s">
        <v>1174</v>
      </c>
      <c r="D350" s="12" t="s">
        <v>56</v>
      </c>
      <c r="E350" s="12" t="s">
        <v>291</v>
      </c>
      <c r="F350" s="12">
        <v>40.0</v>
      </c>
      <c r="G350" s="12">
        <v>14.9</v>
      </c>
      <c r="H350" s="12" t="s">
        <v>1175</v>
      </c>
      <c r="I350" s="12" t="s">
        <v>1176</v>
      </c>
      <c r="J350" s="12">
        <v>1.0</v>
      </c>
      <c r="K350" s="12">
        <v>6.9</v>
      </c>
      <c r="L350" s="12">
        <v>1.6</v>
      </c>
      <c r="M350" s="12">
        <v>2.0</v>
      </c>
      <c r="N350" s="12">
        <v>0.7</v>
      </c>
      <c r="O350" s="12">
        <v>0.2</v>
      </c>
      <c r="P350" s="12">
        <v>1.5</v>
      </c>
      <c r="Q350" s="12">
        <v>-6.54</v>
      </c>
    </row>
    <row r="351">
      <c r="A351" s="12">
        <v>350.0</v>
      </c>
      <c r="B351" s="298"/>
      <c r="C351" s="22" t="s">
        <v>1177</v>
      </c>
      <c r="D351" s="12" t="s">
        <v>71</v>
      </c>
      <c r="E351" s="12" t="s">
        <v>243</v>
      </c>
      <c r="F351" s="12">
        <v>50.0</v>
      </c>
      <c r="G351" s="12">
        <v>15.0</v>
      </c>
      <c r="H351" s="12" t="s">
        <v>1178</v>
      </c>
      <c r="I351" s="12" t="s">
        <v>1179</v>
      </c>
      <c r="J351" s="12">
        <v>0.9</v>
      </c>
      <c r="K351" s="12">
        <v>5.6</v>
      </c>
      <c r="L351" s="12">
        <v>2.1</v>
      </c>
      <c r="M351" s="12">
        <v>1.0</v>
      </c>
      <c r="N351" s="12">
        <v>0.5</v>
      </c>
      <c r="O351" s="12">
        <v>0.2</v>
      </c>
      <c r="P351" s="12">
        <v>0.6</v>
      </c>
      <c r="Q351" s="12">
        <v>-6.54</v>
      </c>
    </row>
    <row r="352">
      <c r="A352" s="12">
        <v>351.0</v>
      </c>
      <c r="B352" s="298"/>
      <c r="C352" s="22" t="s">
        <v>1180</v>
      </c>
      <c r="D352" s="12" t="s">
        <v>34</v>
      </c>
      <c r="E352" s="12" t="s">
        <v>144</v>
      </c>
      <c r="F352" s="12">
        <v>54.0</v>
      </c>
      <c r="G352" s="12">
        <v>9.4</v>
      </c>
      <c r="H352" s="12" t="s">
        <v>1181</v>
      </c>
      <c r="I352" s="12" t="s">
        <v>1182</v>
      </c>
      <c r="J352" s="12">
        <v>0.0</v>
      </c>
      <c r="K352" s="12">
        <v>2.6</v>
      </c>
      <c r="L352" s="12">
        <v>3.0</v>
      </c>
      <c r="M352" s="12">
        <v>1.0</v>
      </c>
      <c r="N352" s="12">
        <v>0.2</v>
      </c>
      <c r="O352" s="12">
        <v>0.7</v>
      </c>
      <c r="P352" s="12">
        <v>0.7</v>
      </c>
      <c r="Q352" s="12">
        <v>-6.55</v>
      </c>
    </row>
    <row r="353">
      <c r="A353" s="12">
        <v>352.0</v>
      </c>
      <c r="B353" s="12">
        <v>135.6</v>
      </c>
      <c r="C353" s="22" t="s">
        <v>1183</v>
      </c>
      <c r="D353" s="12" t="s">
        <v>62</v>
      </c>
      <c r="E353" s="12" t="s">
        <v>106</v>
      </c>
      <c r="F353" s="12">
        <v>68.0</v>
      </c>
      <c r="G353" s="12">
        <v>10.4</v>
      </c>
      <c r="H353" s="12" t="s">
        <v>1184</v>
      </c>
      <c r="I353" s="12" t="s">
        <v>1185</v>
      </c>
      <c r="J353" s="12">
        <v>0.0</v>
      </c>
      <c r="K353" s="12">
        <v>3.0</v>
      </c>
      <c r="L353" s="12">
        <v>3.9</v>
      </c>
      <c r="M353" s="12">
        <v>1.1</v>
      </c>
      <c r="N353" s="12">
        <v>0.3</v>
      </c>
      <c r="O353" s="12">
        <v>0.3</v>
      </c>
      <c r="P353" s="12">
        <v>0.3</v>
      </c>
      <c r="Q353" s="12">
        <v>-6.57</v>
      </c>
    </row>
    <row r="354">
      <c r="A354" s="12">
        <v>353.0</v>
      </c>
      <c r="B354" s="298"/>
      <c r="C354" s="22" t="s">
        <v>1186</v>
      </c>
      <c r="D354" s="12" t="s">
        <v>62</v>
      </c>
      <c r="E354" s="12" t="s">
        <v>209</v>
      </c>
      <c r="F354" s="12">
        <v>36.0</v>
      </c>
      <c r="G354" s="12">
        <v>12.1</v>
      </c>
      <c r="H354" s="12" t="s">
        <v>1187</v>
      </c>
      <c r="I354" s="12" t="s">
        <v>1188</v>
      </c>
      <c r="J354" s="12">
        <v>0.5</v>
      </c>
      <c r="K354" s="12">
        <v>4.3</v>
      </c>
      <c r="L354" s="12">
        <v>2.7</v>
      </c>
      <c r="M354" s="12">
        <v>0.7</v>
      </c>
      <c r="N354" s="12">
        <v>0.4</v>
      </c>
      <c r="O354" s="12">
        <v>0.2</v>
      </c>
      <c r="P354" s="12">
        <v>0.4</v>
      </c>
      <c r="Q354" s="12">
        <v>-6.66</v>
      </c>
    </row>
    <row r="355">
      <c r="A355" s="12">
        <v>354.0</v>
      </c>
      <c r="B355" s="298"/>
      <c r="C355" s="22" t="s">
        <v>1189</v>
      </c>
      <c r="D355" s="12" t="s">
        <v>97</v>
      </c>
      <c r="E355" s="12" t="s">
        <v>209</v>
      </c>
      <c r="F355" s="12">
        <v>22.0</v>
      </c>
      <c r="G355" s="12">
        <v>11.1</v>
      </c>
      <c r="H355" s="12" t="s">
        <v>1190</v>
      </c>
      <c r="I355" s="12" t="s">
        <v>1011</v>
      </c>
      <c r="J355" s="12">
        <v>0.4</v>
      </c>
      <c r="K355" s="12">
        <v>4.4</v>
      </c>
      <c r="L355" s="12">
        <v>2.0</v>
      </c>
      <c r="M355" s="12">
        <v>0.5</v>
      </c>
      <c r="N355" s="12">
        <v>0.5</v>
      </c>
      <c r="O355" s="12">
        <v>0.1</v>
      </c>
      <c r="P355" s="12">
        <v>0.3</v>
      </c>
      <c r="Q355" s="12">
        <v>-6.74</v>
      </c>
    </row>
    <row r="356">
      <c r="A356" s="12">
        <v>355.0</v>
      </c>
      <c r="B356" s="298"/>
      <c r="C356" s="22" t="s">
        <v>1191</v>
      </c>
      <c r="D356" s="12" t="s">
        <v>56</v>
      </c>
      <c r="E356" s="12" t="s">
        <v>169</v>
      </c>
      <c r="F356" s="12">
        <v>10.0</v>
      </c>
      <c r="G356" s="12">
        <v>8.8</v>
      </c>
      <c r="H356" s="12" t="s">
        <v>1192</v>
      </c>
      <c r="I356" s="12" t="s">
        <v>1193</v>
      </c>
      <c r="J356" s="12">
        <v>0.4</v>
      </c>
      <c r="K356" s="12">
        <v>2.6</v>
      </c>
      <c r="L356" s="12">
        <v>1.2</v>
      </c>
      <c r="M356" s="12">
        <v>1.1</v>
      </c>
      <c r="N356" s="12">
        <v>0.6</v>
      </c>
      <c r="O356" s="12">
        <v>0.2</v>
      </c>
      <c r="P356" s="12">
        <v>0.3</v>
      </c>
      <c r="Q356" s="12">
        <v>-6.75</v>
      </c>
    </row>
    <row r="357">
      <c r="A357" s="12">
        <v>356.0</v>
      </c>
      <c r="B357" s="298"/>
      <c r="C357" s="22" t="s">
        <v>1194</v>
      </c>
      <c r="D357" s="12" t="s">
        <v>62</v>
      </c>
      <c r="E357" s="12" t="s">
        <v>40</v>
      </c>
      <c r="F357" s="12">
        <v>58.0</v>
      </c>
      <c r="G357" s="12">
        <v>12.1</v>
      </c>
      <c r="H357" s="12" t="s">
        <v>1195</v>
      </c>
      <c r="I357" s="12" t="s">
        <v>1196</v>
      </c>
      <c r="J357" s="12">
        <v>0.2</v>
      </c>
      <c r="K357" s="12">
        <v>4.3</v>
      </c>
      <c r="L357" s="12">
        <v>2.5</v>
      </c>
      <c r="M357" s="12">
        <v>0.5</v>
      </c>
      <c r="N357" s="12">
        <v>0.3</v>
      </c>
      <c r="O357" s="12">
        <v>0.6</v>
      </c>
      <c r="P357" s="12">
        <v>0.5</v>
      </c>
      <c r="Q357" s="12">
        <v>-6.76</v>
      </c>
    </row>
    <row r="358">
      <c r="A358" s="12">
        <v>357.0</v>
      </c>
      <c r="B358" s="298"/>
      <c r="C358" s="22" t="s">
        <v>1197</v>
      </c>
      <c r="D358" s="12" t="s">
        <v>56</v>
      </c>
      <c r="E358" s="12" t="s">
        <v>93</v>
      </c>
      <c r="F358" s="12">
        <v>40.0</v>
      </c>
      <c r="G358" s="12">
        <v>15.4</v>
      </c>
      <c r="H358" s="12" t="s">
        <v>1198</v>
      </c>
      <c r="I358" s="12" t="s">
        <v>1199</v>
      </c>
      <c r="J358" s="12">
        <v>0.7</v>
      </c>
      <c r="K358" s="12">
        <v>6.4</v>
      </c>
      <c r="L358" s="12">
        <v>2.6</v>
      </c>
      <c r="M358" s="12">
        <v>2.1</v>
      </c>
      <c r="N358" s="12">
        <v>0.6</v>
      </c>
      <c r="O358" s="12">
        <v>0.4</v>
      </c>
      <c r="P358" s="12">
        <v>0.8</v>
      </c>
      <c r="Q358" s="12">
        <v>-6.79</v>
      </c>
    </row>
    <row r="359">
      <c r="A359" s="12">
        <v>358.0</v>
      </c>
      <c r="B359" s="298"/>
      <c r="C359" s="22" t="s">
        <v>1200</v>
      </c>
      <c r="D359" s="12" t="s">
        <v>62</v>
      </c>
      <c r="E359" s="12" t="s">
        <v>291</v>
      </c>
      <c r="F359" s="12">
        <v>44.0</v>
      </c>
      <c r="G359" s="12">
        <v>10.1</v>
      </c>
      <c r="H359" s="12" t="s">
        <v>1201</v>
      </c>
      <c r="I359" s="12" t="s">
        <v>1202</v>
      </c>
      <c r="J359" s="12">
        <v>0.3</v>
      </c>
      <c r="K359" s="12">
        <v>4.5</v>
      </c>
      <c r="L359" s="12">
        <v>2.2</v>
      </c>
      <c r="M359" s="12">
        <v>1.1</v>
      </c>
      <c r="N359" s="12">
        <v>0.3</v>
      </c>
      <c r="O359" s="12">
        <v>0.2</v>
      </c>
      <c r="P359" s="12">
        <v>0.7</v>
      </c>
      <c r="Q359" s="12">
        <v>-6.83</v>
      </c>
    </row>
    <row r="360">
      <c r="A360" s="12">
        <v>359.0</v>
      </c>
      <c r="B360" s="298"/>
      <c r="C360" s="22" t="s">
        <v>1203</v>
      </c>
      <c r="D360" s="12" t="s">
        <v>158</v>
      </c>
      <c r="E360" s="12" t="s">
        <v>93</v>
      </c>
      <c r="F360" s="12">
        <v>54.0</v>
      </c>
      <c r="G360" s="12">
        <v>12.7</v>
      </c>
      <c r="H360" s="12" t="s">
        <v>1204</v>
      </c>
      <c r="I360" s="12" t="s">
        <v>1205</v>
      </c>
      <c r="J360" s="12">
        <v>1.1</v>
      </c>
      <c r="K360" s="12">
        <v>4.5</v>
      </c>
      <c r="L360" s="12">
        <v>1.3</v>
      </c>
      <c r="M360" s="12">
        <v>0.5</v>
      </c>
      <c r="N360" s="12">
        <v>0.3</v>
      </c>
      <c r="O360" s="12">
        <v>0.1</v>
      </c>
      <c r="P360" s="12">
        <v>0.3</v>
      </c>
      <c r="Q360" s="12">
        <v>-6.85</v>
      </c>
    </row>
    <row r="361">
      <c r="A361" s="12">
        <v>360.0</v>
      </c>
      <c r="B361" s="298"/>
      <c r="C361" s="22" t="s">
        <v>1206</v>
      </c>
      <c r="D361" s="12" t="s">
        <v>72</v>
      </c>
      <c r="E361" s="12" t="s">
        <v>93</v>
      </c>
      <c r="F361" s="12">
        <v>52.0</v>
      </c>
      <c r="G361" s="12">
        <v>17.4</v>
      </c>
      <c r="H361" s="12" t="s">
        <v>1207</v>
      </c>
      <c r="I361" s="12" t="s">
        <v>1208</v>
      </c>
      <c r="J361" s="12">
        <v>0.5</v>
      </c>
      <c r="K361" s="12">
        <v>6.5</v>
      </c>
      <c r="L361" s="12">
        <v>1.2</v>
      </c>
      <c r="M361" s="12">
        <v>1.5</v>
      </c>
      <c r="N361" s="12">
        <v>0.5</v>
      </c>
      <c r="O361" s="12">
        <v>0.2</v>
      </c>
      <c r="P361" s="12">
        <v>1.4</v>
      </c>
      <c r="Q361" s="12">
        <v>-6.88</v>
      </c>
    </row>
    <row r="362">
      <c r="A362" s="12">
        <v>361.0</v>
      </c>
      <c r="B362" s="298"/>
      <c r="C362" s="22" t="s">
        <v>1209</v>
      </c>
      <c r="D362" s="12" t="s">
        <v>34</v>
      </c>
      <c r="E362" s="12" t="s">
        <v>67</v>
      </c>
      <c r="F362" s="12">
        <v>44.0</v>
      </c>
      <c r="G362" s="12">
        <v>11.2</v>
      </c>
      <c r="H362" s="12" t="s">
        <v>1210</v>
      </c>
      <c r="I362" s="12" t="s">
        <v>1211</v>
      </c>
      <c r="J362" s="12">
        <v>0.0</v>
      </c>
      <c r="K362" s="12">
        <v>3.9</v>
      </c>
      <c r="L362" s="12">
        <v>1.9</v>
      </c>
      <c r="M362" s="12">
        <v>0.4</v>
      </c>
      <c r="N362" s="12">
        <v>0.4</v>
      </c>
      <c r="O362" s="12">
        <v>0.6</v>
      </c>
      <c r="P362" s="12">
        <v>0.8</v>
      </c>
      <c r="Q362" s="12">
        <v>-6.89</v>
      </c>
    </row>
    <row r="363">
      <c r="A363" s="12">
        <v>362.0</v>
      </c>
      <c r="B363" s="298"/>
      <c r="C363" s="22" t="s">
        <v>1212</v>
      </c>
      <c r="D363" s="12" t="s">
        <v>72</v>
      </c>
      <c r="E363" s="12" t="s">
        <v>148</v>
      </c>
      <c r="F363" s="12">
        <v>64.0</v>
      </c>
      <c r="G363" s="12">
        <v>17.3</v>
      </c>
      <c r="H363" s="12" t="s">
        <v>1213</v>
      </c>
      <c r="I363" s="12" t="s">
        <v>1214</v>
      </c>
      <c r="J363" s="12">
        <v>0.3</v>
      </c>
      <c r="K363" s="12">
        <v>5.5</v>
      </c>
      <c r="L363" s="12">
        <v>1.4</v>
      </c>
      <c r="M363" s="12">
        <v>0.7</v>
      </c>
      <c r="N363" s="12">
        <v>0.3</v>
      </c>
      <c r="O363" s="12">
        <v>0.3</v>
      </c>
      <c r="P363" s="12">
        <v>0.9</v>
      </c>
      <c r="Q363" s="12">
        <v>-7.0</v>
      </c>
    </row>
    <row r="364">
      <c r="A364" s="12">
        <v>363.0</v>
      </c>
      <c r="B364" s="298"/>
      <c r="C364" s="22" t="s">
        <v>1215</v>
      </c>
      <c r="D364" s="12" t="s">
        <v>158</v>
      </c>
      <c r="E364" s="12" t="s">
        <v>74</v>
      </c>
      <c r="F364" s="12">
        <v>54.0</v>
      </c>
      <c r="G364" s="12">
        <v>13.8</v>
      </c>
      <c r="H364" s="12" t="s">
        <v>1216</v>
      </c>
      <c r="I364" s="12" t="s">
        <v>1217</v>
      </c>
      <c r="J364" s="12">
        <v>0.8</v>
      </c>
      <c r="K364" s="12">
        <v>5.1</v>
      </c>
      <c r="L364" s="12">
        <v>2.3</v>
      </c>
      <c r="M364" s="12">
        <v>0.7</v>
      </c>
      <c r="N364" s="12">
        <v>0.4</v>
      </c>
      <c r="O364" s="12">
        <v>0.2</v>
      </c>
      <c r="P364" s="12">
        <v>0.8</v>
      </c>
      <c r="Q364" s="12">
        <v>-7.05</v>
      </c>
    </row>
    <row r="365">
      <c r="A365" s="12">
        <v>364.0</v>
      </c>
      <c r="B365" s="298"/>
      <c r="C365" s="22" t="s">
        <v>1218</v>
      </c>
      <c r="D365" s="12" t="s">
        <v>34</v>
      </c>
      <c r="E365" s="12" t="s">
        <v>287</v>
      </c>
      <c r="F365" s="12">
        <v>30.0</v>
      </c>
      <c r="G365" s="12">
        <v>7.9</v>
      </c>
      <c r="H365" s="12" t="s">
        <v>1219</v>
      </c>
      <c r="I365" s="12" t="s">
        <v>1220</v>
      </c>
      <c r="J365" s="12">
        <v>0.5</v>
      </c>
      <c r="K365" s="12">
        <v>4.4</v>
      </c>
      <c r="L365" s="12">
        <v>1.9</v>
      </c>
      <c r="M365" s="12">
        <v>0.7</v>
      </c>
      <c r="N365" s="12">
        <v>0.3</v>
      </c>
      <c r="O365" s="12">
        <v>0.4</v>
      </c>
      <c r="P365" s="12">
        <v>0.5</v>
      </c>
      <c r="Q365" s="12">
        <v>-7.11</v>
      </c>
    </row>
    <row r="366">
      <c r="A366" s="12">
        <v>365.0</v>
      </c>
      <c r="B366" s="298"/>
      <c r="C366" s="22" t="s">
        <v>1221</v>
      </c>
      <c r="D366" s="12" t="s">
        <v>56</v>
      </c>
      <c r="E366" s="12" t="s">
        <v>180</v>
      </c>
      <c r="F366" s="12">
        <v>40.0</v>
      </c>
      <c r="G366" s="12">
        <v>10.4</v>
      </c>
      <c r="H366" s="12" t="s">
        <v>1222</v>
      </c>
      <c r="I366" s="12" t="s">
        <v>1223</v>
      </c>
      <c r="J366" s="12">
        <v>0.6</v>
      </c>
      <c r="K366" s="12">
        <v>3.8</v>
      </c>
      <c r="L366" s="12">
        <v>1.0</v>
      </c>
      <c r="M366" s="12">
        <v>1.1</v>
      </c>
      <c r="N366" s="12">
        <v>0.4</v>
      </c>
      <c r="O366" s="12">
        <v>0.1</v>
      </c>
      <c r="P366" s="12">
        <v>0.4</v>
      </c>
      <c r="Q366" s="12">
        <v>-7.12</v>
      </c>
    </row>
    <row r="367">
      <c r="A367" s="12">
        <v>366.0</v>
      </c>
      <c r="B367" s="298"/>
      <c r="C367" s="22" t="s">
        <v>1224</v>
      </c>
      <c r="D367" s="12" t="s">
        <v>44</v>
      </c>
      <c r="E367" s="12" t="s">
        <v>173</v>
      </c>
      <c r="F367" s="12">
        <v>22.0</v>
      </c>
      <c r="G367" s="12">
        <v>11.4</v>
      </c>
      <c r="H367" s="12" t="s">
        <v>1225</v>
      </c>
      <c r="I367" s="12" t="s">
        <v>1226</v>
      </c>
      <c r="J367" s="12">
        <v>0.5</v>
      </c>
      <c r="K367" s="12">
        <v>5.4</v>
      </c>
      <c r="L367" s="12">
        <v>1.3</v>
      </c>
      <c r="M367" s="12">
        <v>1.9</v>
      </c>
      <c r="N367" s="12">
        <v>0.2</v>
      </c>
      <c r="O367" s="12">
        <v>0.1</v>
      </c>
      <c r="P367" s="12">
        <v>0.8</v>
      </c>
      <c r="Q367" s="12">
        <v>-7.12</v>
      </c>
    </row>
    <row r="368">
      <c r="A368" s="12">
        <v>367.0</v>
      </c>
      <c r="B368" s="298"/>
      <c r="C368" s="22" t="s">
        <v>1227</v>
      </c>
      <c r="D368" s="12" t="s">
        <v>158</v>
      </c>
      <c r="E368" s="12" t="s">
        <v>98</v>
      </c>
      <c r="F368" s="12">
        <v>20.0</v>
      </c>
      <c r="G368" s="12">
        <v>11.1</v>
      </c>
      <c r="H368" s="12" t="s">
        <v>1228</v>
      </c>
      <c r="I368" s="12" t="s">
        <v>1229</v>
      </c>
      <c r="J368" s="12">
        <v>0.3</v>
      </c>
      <c r="K368" s="12">
        <v>2.0</v>
      </c>
      <c r="L368" s="12">
        <v>2.7</v>
      </c>
      <c r="M368" s="12">
        <v>0.7</v>
      </c>
      <c r="N368" s="12">
        <v>0.7</v>
      </c>
      <c r="O368" s="12">
        <v>0.1</v>
      </c>
      <c r="P368" s="12">
        <v>0.4</v>
      </c>
      <c r="Q368" s="12">
        <v>-7.13</v>
      </c>
    </row>
    <row r="369">
      <c r="A369" s="12">
        <v>368.0</v>
      </c>
      <c r="B369" s="298"/>
      <c r="C369" s="22" t="s">
        <v>1230</v>
      </c>
      <c r="D369" s="12" t="s">
        <v>72</v>
      </c>
      <c r="E369" s="12" t="s">
        <v>259</v>
      </c>
      <c r="F369" s="12">
        <v>30.0</v>
      </c>
      <c r="G369" s="12">
        <v>10.0</v>
      </c>
      <c r="H369" s="12" t="s">
        <v>1231</v>
      </c>
      <c r="I369" s="12" t="s">
        <v>1232</v>
      </c>
      <c r="J369" s="12">
        <v>0.6</v>
      </c>
      <c r="K369" s="12">
        <v>5.3</v>
      </c>
      <c r="L369" s="12">
        <v>1.7</v>
      </c>
      <c r="M369" s="12">
        <v>1.2</v>
      </c>
      <c r="N369" s="12">
        <v>0.4</v>
      </c>
      <c r="O369" s="12">
        <v>0.3</v>
      </c>
      <c r="P369" s="12">
        <v>0.7</v>
      </c>
      <c r="Q369" s="12">
        <v>-7.14</v>
      </c>
    </row>
    <row r="370">
      <c r="A370" s="12">
        <v>369.0</v>
      </c>
      <c r="B370" s="298"/>
      <c r="C370" s="22" t="s">
        <v>1233</v>
      </c>
      <c r="D370" s="12" t="s">
        <v>97</v>
      </c>
      <c r="E370" s="12" t="s">
        <v>144</v>
      </c>
      <c r="F370" s="12">
        <v>60.0</v>
      </c>
      <c r="G370" s="12">
        <v>10.4</v>
      </c>
      <c r="H370" s="12" t="s">
        <v>1234</v>
      </c>
      <c r="I370" s="12" t="s">
        <v>1235</v>
      </c>
      <c r="J370" s="12">
        <v>0.4</v>
      </c>
      <c r="K370" s="12">
        <v>4.0</v>
      </c>
      <c r="L370" s="12">
        <v>1.8</v>
      </c>
      <c r="M370" s="12">
        <v>0.7</v>
      </c>
      <c r="N370" s="12">
        <v>0.4</v>
      </c>
      <c r="O370" s="12">
        <v>0.2</v>
      </c>
      <c r="P370" s="12">
        <v>0.5</v>
      </c>
      <c r="Q370" s="12">
        <v>-7.14</v>
      </c>
    </row>
    <row r="371">
      <c r="A371" s="12">
        <v>370.0</v>
      </c>
      <c r="B371" s="298"/>
      <c r="C371" s="22" t="s">
        <v>1236</v>
      </c>
      <c r="D371" s="12" t="s">
        <v>72</v>
      </c>
      <c r="E371" s="12" t="s">
        <v>291</v>
      </c>
      <c r="F371" s="12">
        <v>20.0</v>
      </c>
      <c r="G371" s="12">
        <v>13.5</v>
      </c>
      <c r="H371" s="12" t="s">
        <v>1237</v>
      </c>
      <c r="I371" s="12" t="s">
        <v>1238</v>
      </c>
      <c r="J371" s="12">
        <v>0.5</v>
      </c>
      <c r="K371" s="12">
        <v>4.4</v>
      </c>
      <c r="L371" s="12">
        <v>2.7</v>
      </c>
      <c r="M371" s="12">
        <v>0.9</v>
      </c>
      <c r="N371" s="12">
        <v>0.2</v>
      </c>
      <c r="O371" s="12">
        <v>0.1</v>
      </c>
      <c r="P371" s="12">
        <v>0.4</v>
      </c>
      <c r="Q371" s="12">
        <v>-7.18</v>
      </c>
    </row>
    <row r="372">
      <c r="A372" s="12">
        <v>371.0</v>
      </c>
      <c r="B372" s="298"/>
      <c r="C372" s="22" t="s">
        <v>1239</v>
      </c>
      <c r="D372" s="12" t="s">
        <v>56</v>
      </c>
      <c r="E372" s="12" t="s">
        <v>259</v>
      </c>
      <c r="F372" s="12">
        <v>40.0</v>
      </c>
      <c r="G372" s="12">
        <v>11.1</v>
      </c>
      <c r="H372" s="12" t="s">
        <v>1240</v>
      </c>
      <c r="I372" s="12" t="s">
        <v>1241</v>
      </c>
      <c r="J372" s="12">
        <v>1.0</v>
      </c>
      <c r="K372" s="12">
        <v>4.4</v>
      </c>
      <c r="L372" s="12">
        <v>1.1</v>
      </c>
      <c r="M372" s="12">
        <v>1.7</v>
      </c>
      <c r="N372" s="12">
        <v>0.4</v>
      </c>
      <c r="O372" s="12">
        <v>0.1</v>
      </c>
      <c r="P372" s="12">
        <v>0.5</v>
      </c>
      <c r="Q372" s="12">
        <v>-7.24</v>
      </c>
    </row>
    <row r="373">
      <c r="A373" s="12">
        <v>372.0</v>
      </c>
      <c r="B373" s="298"/>
      <c r="C373" s="22" t="s">
        <v>1242</v>
      </c>
      <c r="D373" s="12" t="s">
        <v>72</v>
      </c>
      <c r="E373" s="12" t="s">
        <v>67</v>
      </c>
      <c r="F373" s="12">
        <v>20.0</v>
      </c>
      <c r="G373" s="12">
        <v>8.4</v>
      </c>
      <c r="H373" s="12" t="s">
        <v>1243</v>
      </c>
      <c r="I373" s="12" t="s">
        <v>1244</v>
      </c>
      <c r="J373" s="12">
        <v>0.5</v>
      </c>
      <c r="K373" s="12">
        <v>4.3</v>
      </c>
      <c r="L373" s="12">
        <v>1.5</v>
      </c>
      <c r="M373" s="12">
        <v>0.4</v>
      </c>
      <c r="N373" s="12">
        <v>0.4</v>
      </c>
      <c r="O373" s="12">
        <v>0.1</v>
      </c>
      <c r="P373" s="12">
        <v>0.6</v>
      </c>
      <c r="Q373" s="12">
        <v>-7.31</v>
      </c>
    </row>
    <row r="374">
      <c r="A374" s="12">
        <v>373.0</v>
      </c>
      <c r="B374" s="298"/>
      <c r="C374" s="22" t="s">
        <v>1245</v>
      </c>
      <c r="D374" s="12" t="s">
        <v>34</v>
      </c>
      <c r="E374" s="12" t="s">
        <v>144</v>
      </c>
      <c r="F374" s="12">
        <v>40.0</v>
      </c>
      <c r="G374" s="12">
        <v>9.4</v>
      </c>
      <c r="H374" s="12" t="s">
        <v>1246</v>
      </c>
      <c r="I374" s="12" t="s">
        <v>1247</v>
      </c>
      <c r="J374" s="12">
        <v>0.1</v>
      </c>
      <c r="K374" s="12">
        <v>2.8</v>
      </c>
      <c r="L374" s="12">
        <v>2.7</v>
      </c>
      <c r="M374" s="12">
        <v>0.8</v>
      </c>
      <c r="N374" s="12">
        <v>0.3</v>
      </c>
      <c r="O374" s="12">
        <v>0.3</v>
      </c>
      <c r="P374" s="12">
        <v>0.4</v>
      </c>
      <c r="Q374" s="12">
        <v>-7.32</v>
      </c>
    </row>
    <row r="375">
      <c r="A375" s="12">
        <v>374.0</v>
      </c>
      <c r="B375" s="298"/>
      <c r="C375" s="22" t="s">
        <v>1248</v>
      </c>
      <c r="D375" s="12" t="s">
        <v>71</v>
      </c>
      <c r="E375" s="12" t="s">
        <v>98</v>
      </c>
      <c r="F375" s="12">
        <v>40.0</v>
      </c>
      <c r="G375" s="12">
        <v>11.1</v>
      </c>
      <c r="H375" s="12" t="s">
        <v>1249</v>
      </c>
      <c r="I375" s="12" t="s">
        <v>1250</v>
      </c>
      <c r="J375" s="12">
        <v>0.7</v>
      </c>
      <c r="K375" s="12">
        <v>4.1</v>
      </c>
      <c r="L375" s="12">
        <v>2.0</v>
      </c>
      <c r="M375" s="12">
        <v>0.9</v>
      </c>
      <c r="N375" s="12">
        <v>0.2</v>
      </c>
      <c r="O375" s="12">
        <v>0.0</v>
      </c>
      <c r="P375" s="12">
        <v>0.5</v>
      </c>
      <c r="Q375" s="12">
        <v>-7.37</v>
      </c>
    </row>
    <row r="376">
      <c r="A376" s="12">
        <v>375.0</v>
      </c>
      <c r="B376" s="298"/>
      <c r="C376" s="22" t="s">
        <v>1251</v>
      </c>
      <c r="D376" s="12" t="s">
        <v>56</v>
      </c>
      <c r="E376" s="12" t="s">
        <v>74</v>
      </c>
      <c r="F376" s="12">
        <v>58.0</v>
      </c>
      <c r="G376" s="12">
        <v>10.4</v>
      </c>
      <c r="H376" s="12" t="s">
        <v>1252</v>
      </c>
      <c r="I376" s="12" t="s">
        <v>1253</v>
      </c>
      <c r="J376" s="12">
        <v>1.2</v>
      </c>
      <c r="K376" s="12">
        <v>4.5</v>
      </c>
      <c r="L376" s="12">
        <v>1.2</v>
      </c>
      <c r="M376" s="12">
        <v>0.6</v>
      </c>
      <c r="N376" s="12">
        <v>0.2</v>
      </c>
      <c r="O376" s="12">
        <v>0.0</v>
      </c>
      <c r="P376" s="12">
        <v>0.2</v>
      </c>
      <c r="Q376" s="12">
        <v>-7.38</v>
      </c>
    </row>
    <row r="377">
      <c r="A377" s="12">
        <v>376.0</v>
      </c>
      <c r="B377" s="298"/>
      <c r="C377" s="22" t="s">
        <v>1254</v>
      </c>
      <c r="D377" s="12" t="s">
        <v>44</v>
      </c>
      <c r="E377" s="12" t="s">
        <v>148</v>
      </c>
      <c r="F377" s="12">
        <v>50.0</v>
      </c>
      <c r="G377" s="12">
        <v>15.5</v>
      </c>
      <c r="H377" s="12" t="s">
        <v>1255</v>
      </c>
      <c r="I377" s="12" t="s">
        <v>1256</v>
      </c>
      <c r="J377" s="12">
        <v>0.4</v>
      </c>
      <c r="K377" s="12">
        <v>6.3</v>
      </c>
      <c r="L377" s="12">
        <v>1.1</v>
      </c>
      <c r="M377" s="12">
        <v>1.7</v>
      </c>
      <c r="N377" s="12">
        <v>0.6</v>
      </c>
      <c r="O377" s="12">
        <v>0.1</v>
      </c>
      <c r="P377" s="12">
        <v>1.3</v>
      </c>
      <c r="Q377" s="12">
        <v>-7.41</v>
      </c>
    </row>
    <row r="378">
      <c r="A378" s="12">
        <v>377.0</v>
      </c>
      <c r="B378" s="298"/>
      <c r="C378" s="22" t="s">
        <v>1257</v>
      </c>
      <c r="D378" s="12" t="s">
        <v>44</v>
      </c>
      <c r="E378" s="12" t="s">
        <v>236</v>
      </c>
      <c r="F378" s="12">
        <v>20.0</v>
      </c>
      <c r="G378" s="12">
        <v>11.1</v>
      </c>
      <c r="H378" s="12" t="s">
        <v>1258</v>
      </c>
      <c r="I378" s="12" t="s">
        <v>1259</v>
      </c>
      <c r="J378" s="12">
        <v>0.6</v>
      </c>
      <c r="K378" s="12">
        <v>3.6</v>
      </c>
      <c r="L378" s="12">
        <v>1.0</v>
      </c>
      <c r="M378" s="12">
        <v>1.9</v>
      </c>
      <c r="N378" s="12">
        <v>0.3</v>
      </c>
      <c r="O378" s="12">
        <v>0.1</v>
      </c>
      <c r="P378" s="12">
        <v>0.5</v>
      </c>
      <c r="Q378" s="12">
        <v>-7.42</v>
      </c>
    </row>
    <row r="379">
      <c r="A379" s="12">
        <v>378.0</v>
      </c>
      <c r="B379" s="298"/>
      <c r="C379" s="22" t="s">
        <v>1260</v>
      </c>
      <c r="D379" s="12" t="s">
        <v>34</v>
      </c>
      <c r="E379" s="12" t="s">
        <v>40</v>
      </c>
      <c r="F379" s="12">
        <v>30.0</v>
      </c>
      <c r="G379" s="12">
        <v>10.0</v>
      </c>
      <c r="H379" s="12" t="s">
        <v>1261</v>
      </c>
      <c r="I379" s="12" t="s">
        <v>1262</v>
      </c>
      <c r="J379" s="12">
        <v>0.0</v>
      </c>
      <c r="K379" s="12">
        <v>3.5</v>
      </c>
      <c r="L379" s="12">
        <v>3.7</v>
      </c>
      <c r="M379" s="12">
        <v>0.6</v>
      </c>
      <c r="N379" s="12">
        <v>0.2</v>
      </c>
      <c r="O379" s="12">
        <v>0.4</v>
      </c>
      <c r="P379" s="12">
        <v>0.7</v>
      </c>
      <c r="Q379" s="12">
        <v>-7.44</v>
      </c>
    </row>
    <row r="380">
      <c r="A380" s="12">
        <v>379.0</v>
      </c>
      <c r="B380" s="298"/>
      <c r="C380" s="22" t="s">
        <v>1263</v>
      </c>
      <c r="D380" s="12" t="s">
        <v>71</v>
      </c>
      <c r="E380" s="12" t="s">
        <v>169</v>
      </c>
      <c r="F380" s="12">
        <v>40.0</v>
      </c>
      <c r="G380" s="12">
        <v>12.4</v>
      </c>
      <c r="H380" s="12" t="s">
        <v>1264</v>
      </c>
      <c r="I380" s="12" t="s">
        <v>1241</v>
      </c>
      <c r="J380" s="12">
        <v>0.4</v>
      </c>
      <c r="K380" s="12">
        <v>4.0</v>
      </c>
      <c r="L380" s="12">
        <v>1.3</v>
      </c>
      <c r="M380" s="12">
        <v>1.2</v>
      </c>
      <c r="N380" s="12">
        <v>0.3</v>
      </c>
      <c r="O380" s="12">
        <v>0.1</v>
      </c>
      <c r="P380" s="12">
        <v>0.6</v>
      </c>
      <c r="Q380" s="12">
        <v>-7.46</v>
      </c>
    </row>
    <row r="381">
      <c r="A381" s="12">
        <v>380.0</v>
      </c>
      <c r="B381" s="298"/>
      <c r="C381" s="22" t="s">
        <v>1265</v>
      </c>
      <c r="D381" s="12" t="s">
        <v>97</v>
      </c>
      <c r="E381" s="12" t="s">
        <v>140</v>
      </c>
      <c r="F381" s="12">
        <v>20.0</v>
      </c>
      <c r="G381" s="12">
        <v>8.8</v>
      </c>
      <c r="H381" s="12" t="s">
        <v>1266</v>
      </c>
      <c r="I381" s="12" t="s">
        <v>1267</v>
      </c>
      <c r="J381" s="12">
        <v>0.3</v>
      </c>
      <c r="K381" s="12">
        <v>3.5</v>
      </c>
      <c r="L381" s="12">
        <v>1.5</v>
      </c>
      <c r="M381" s="12">
        <v>0.6</v>
      </c>
      <c r="N381" s="12">
        <v>0.3</v>
      </c>
      <c r="O381" s="12">
        <v>0.2</v>
      </c>
      <c r="P381" s="12">
        <v>0.3</v>
      </c>
      <c r="Q381" s="12">
        <v>-7.48</v>
      </c>
    </row>
    <row r="382">
      <c r="A382" s="12">
        <v>381.0</v>
      </c>
      <c r="B382" s="298"/>
      <c r="C382" s="22" t="s">
        <v>1268</v>
      </c>
      <c r="D382" s="12" t="s">
        <v>158</v>
      </c>
      <c r="E382" s="12" t="s">
        <v>148</v>
      </c>
      <c r="F382" s="12">
        <v>30.0</v>
      </c>
      <c r="G382" s="12">
        <v>14.9</v>
      </c>
      <c r="H382" s="12" t="s">
        <v>1269</v>
      </c>
      <c r="I382" s="12" t="s">
        <v>1270</v>
      </c>
      <c r="J382" s="12">
        <v>1.2</v>
      </c>
      <c r="K382" s="12">
        <v>5.8</v>
      </c>
      <c r="L382" s="12">
        <v>1.9</v>
      </c>
      <c r="M382" s="12">
        <v>0.8</v>
      </c>
      <c r="N382" s="12">
        <v>0.2</v>
      </c>
      <c r="O382" s="12">
        <v>0.1</v>
      </c>
      <c r="P382" s="12">
        <v>0.4</v>
      </c>
      <c r="Q382" s="12">
        <v>-7.5</v>
      </c>
    </row>
    <row r="383">
      <c r="A383" s="12">
        <v>382.0</v>
      </c>
      <c r="B383" s="298"/>
      <c r="C383" s="22" t="s">
        <v>1271</v>
      </c>
      <c r="D383" s="12" t="s">
        <v>56</v>
      </c>
      <c r="E383" s="12" t="s">
        <v>136</v>
      </c>
      <c r="F383" s="12">
        <v>30.0</v>
      </c>
      <c r="G383" s="12">
        <v>13.1</v>
      </c>
      <c r="H383" s="12" t="s">
        <v>1272</v>
      </c>
      <c r="I383" s="12" t="s">
        <v>1273</v>
      </c>
      <c r="J383" s="12">
        <v>1.1</v>
      </c>
      <c r="K383" s="12">
        <v>5.5</v>
      </c>
      <c r="L383" s="12">
        <v>1.3</v>
      </c>
      <c r="M383" s="12">
        <v>1.1</v>
      </c>
      <c r="N383" s="12">
        <v>0.2</v>
      </c>
      <c r="O383" s="12">
        <v>0.1</v>
      </c>
      <c r="P383" s="12">
        <v>0.7</v>
      </c>
      <c r="Q383" s="12">
        <v>-7.51</v>
      </c>
    </row>
    <row r="384">
      <c r="A384" s="12">
        <v>383.0</v>
      </c>
      <c r="B384" s="298"/>
      <c r="C384" s="22" t="s">
        <v>1274</v>
      </c>
      <c r="D384" s="12" t="s">
        <v>73</v>
      </c>
      <c r="E384" s="12" t="s">
        <v>40</v>
      </c>
      <c r="F384" s="12">
        <v>40.0</v>
      </c>
      <c r="G384" s="12">
        <v>8.8</v>
      </c>
      <c r="H384" s="12" t="s">
        <v>1275</v>
      </c>
      <c r="I384" s="12" t="s">
        <v>1276</v>
      </c>
      <c r="J384" s="12">
        <v>0.4</v>
      </c>
      <c r="K384" s="12">
        <v>3.0</v>
      </c>
      <c r="L384" s="12">
        <v>1.3</v>
      </c>
      <c r="M384" s="12">
        <v>0.8</v>
      </c>
      <c r="N384" s="12">
        <v>0.2</v>
      </c>
      <c r="O384" s="12">
        <v>0.1</v>
      </c>
      <c r="P384" s="12">
        <v>0.4</v>
      </c>
      <c r="Q384" s="12">
        <v>-7.52</v>
      </c>
    </row>
    <row r="385">
      <c r="A385" s="12">
        <v>384.0</v>
      </c>
      <c r="B385" s="298"/>
      <c r="C385" s="22" t="s">
        <v>1277</v>
      </c>
      <c r="D385" s="12" t="s">
        <v>44</v>
      </c>
      <c r="E385" s="12" t="s">
        <v>136</v>
      </c>
      <c r="F385" s="12">
        <v>30.0</v>
      </c>
      <c r="G385" s="12">
        <v>8.4</v>
      </c>
      <c r="H385" s="12" t="s">
        <v>1278</v>
      </c>
      <c r="I385" s="12" t="s">
        <v>1279</v>
      </c>
      <c r="J385" s="12">
        <v>0.4</v>
      </c>
      <c r="K385" s="12">
        <v>3.5</v>
      </c>
      <c r="L385" s="12">
        <v>1.0</v>
      </c>
      <c r="M385" s="12">
        <v>0.9</v>
      </c>
      <c r="N385" s="12">
        <v>0.3</v>
      </c>
      <c r="O385" s="12">
        <v>0.0</v>
      </c>
      <c r="P385" s="12">
        <v>0.4</v>
      </c>
      <c r="Q385" s="12">
        <v>-7.53</v>
      </c>
    </row>
    <row r="386">
      <c r="A386" s="12">
        <v>385.0</v>
      </c>
      <c r="B386" s="298"/>
      <c r="C386" s="22" t="s">
        <v>1280</v>
      </c>
      <c r="D386" s="12" t="s">
        <v>73</v>
      </c>
      <c r="E386" s="12" t="s">
        <v>40</v>
      </c>
      <c r="F386" s="12">
        <v>10.0</v>
      </c>
      <c r="G386" s="12">
        <v>8.8</v>
      </c>
      <c r="H386" s="12" t="s">
        <v>1281</v>
      </c>
      <c r="I386" s="12" t="s">
        <v>1282</v>
      </c>
      <c r="J386" s="12">
        <v>0.2</v>
      </c>
      <c r="K386" s="12">
        <v>4.2</v>
      </c>
      <c r="L386" s="12">
        <v>1.7</v>
      </c>
      <c r="M386" s="12">
        <v>0.5</v>
      </c>
      <c r="N386" s="12">
        <v>0.2</v>
      </c>
      <c r="O386" s="12">
        <v>0.4</v>
      </c>
      <c r="P386" s="12">
        <v>0.5</v>
      </c>
      <c r="Q386" s="12">
        <v>-7.53</v>
      </c>
    </row>
    <row r="387">
      <c r="A387" s="12">
        <v>386.0</v>
      </c>
      <c r="B387" s="298"/>
      <c r="C387" s="22" t="s">
        <v>1283</v>
      </c>
      <c r="D387" s="12" t="s">
        <v>62</v>
      </c>
      <c r="E387" s="12" t="s">
        <v>180</v>
      </c>
      <c r="F387" s="12">
        <v>30.0</v>
      </c>
      <c r="G387" s="12">
        <v>11.4</v>
      </c>
      <c r="H387" s="12" t="s">
        <v>1284</v>
      </c>
      <c r="I387" s="12" t="s">
        <v>1285</v>
      </c>
      <c r="J387" s="12">
        <v>0.4</v>
      </c>
      <c r="K387" s="12">
        <v>4.5</v>
      </c>
      <c r="L387" s="12">
        <v>1.5</v>
      </c>
      <c r="M387" s="12">
        <v>0.7</v>
      </c>
      <c r="N387" s="12">
        <v>0.2</v>
      </c>
      <c r="O387" s="12">
        <v>0.2</v>
      </c>
      <c r="P387" s="12">
        <v>0.4</v>
      </c>
      <c r="Q387" s="12">
        <v>-7.57</v>
      </c>
    </row>
    <row r="388">
      <c r="A388" s="12">
        <v>387.0</v>
      </c>
      <c r="B388" s="298"/>
      <c r="C388" s="22" t="s">
        <v>1286</v>
      </c>
      <c r="D388" s="12" t="s">
        <v>158</v>
      </c>
      <c r="E388" s="12" t="s">
        <v>236</v>
      </c>
      <c r="F388" s="12">
        <v>40.0</v>
      </c>
      <c r="G388" s="12">
        <v>14.4</v>
      </c>
      <c r="H388" s="12" t="s">
        <v>1287</v>
      </c>
      <c r="I388" s="12" t="s">
        <v>1288</v>
      </c>
      <c r="J388" s="12">
        <v>1.1</v>
      </c>
      <c r="K388" s="12">
        <v>4.0</v>
      </c>
      <c r="L388" s="12">
        <v>1.6</v>
      </c>
      <c r="M388" s="12">
        <v>0.5</v>
      </c>
      <c r="N388" s="12">
        <v>0.2</v>
      </c>
      <c r="O388" s="12">
        <v>0.1</v>
      </c>
      <c r="P388" s="12">
        <v>0.3</v>
      </c>
      <c r="Q388" s="12">
        <v>-7.61</v>
      </c>
    </row>
    <row r="389">
      <c r="A389" s="12">
        <v>388.0</v>
      </c>
      <c r="B389" s="298"/>
      <c r="C389" s="22" t="s">
        <v>1289</v>
      </c>
      <c r="D389" s="12" t="s">
        <v>97</v>
      </c>
      <c r="E389" s="12" t="s">
        <v>169</v>
      </c>
      <c r="F389" s="12">
        <v>55.0</v>
      </c>
      <c r="G389" s="12">
        <v>10.2</v>
      </c>
      <c r="H389" s="12" t="s">
        <v>1290</v>
      </c>
      <c r="I389" s="12" t="s">
        <v>1291</v>
      </c>
      <c r="J389" s="12">
        <v>0.6</v>
      </c>
      <c r="K389" s="12">
        <v>3.7</v>
      </c>
      <c r="L389" s="12">
        <v>1.6</v>
      </c>
      <c r="M389" s="12">
        <v>0.5</v>
      </c>
      <c r="N389" s="12">
        <v>0.2</v>
      </c>
      <c r="O389" s="12">
        <v>0.2</v>
      </c>
      <c r="P389" s="12">
        <v>0.4</v>
      </c>
      <c r="Q389" s="12">
        <v>-7.62</v>
      </c>
    </row>
    <row r="390">
      <c r="A390" s="12">
        <v>389.0</v>
      </c>
      <c r="B390" s="298"/>
      <c r="C390" s="22" t="s">
        <v>1292</v>
      </c>
      <c r="D390" s="12" t="s">
        <v>34</v>
      </c>
      <c r="E390" s="12" t="s">
        <v>140</v>
      </c>
      <c r="F390" s="12">
        <v>28.0</v>
      </c>
      <c r="G390" s="12">
        <v>8.8</v>
      </c>
      <c r="H390" s="12" t="s">
        <v>1293</v>
      </c>
      <c r="I390" s="12" t="s">
        <v>1294</v>
      </c>
      <c r="J390" s="12">
        <v>0.0</v>
      </c>
      <c r="K390" s="12">
        <v>3.0</v>
      </c>
      <c r="L390" s="12">
        <v>2.6</v>
      </c>
      <c r="M390" s="12">
        <v>0.3</v>
      </c>
      <c r="N390" s="12">
        <v>0.2</v>
      </c>
      <c r="O390" s="12">
        <v>0.6</v>
      </c>
      <c r="P390" s="12">
        <v>0.6</v>
      </c>
      <c r="Q390" s="12">
        <v>-7.68</v>
      </c>
    </row>
    <row r="391">
      <c r="A391" s="12">
        <v>390.0</v>
      </c>
      <c r="B391" s="298"/>
      <c r="C391" s="22" t="s">
        <v>1295</v>
      </c>
      <c r="D391" s="12" t="s">
        <v>72</v>
      </c>
      <c r="E391" s="12" t="s">
        <v>209</v>
      </c>
      <c r="F391" s="12">
        <v>30.0</v>
      </c>
      <c r="G391" s="12">
        <v>11.1</v>
      </c>
      <c r="H391" s="12" t="s">
        <v>1296</v>
      </c>
      <c r="I391" s="12" t="s">
        <v>1297</v>
      </c>
      <c r="J391" s="12">
        <v>1.2</v>
      </c>
      <c r="K391" s="12">
        <v>4.4</v>
      </c>
      <c r="L391" s="12">
        <v>1.1</v>
      </c>
      <c r="M391" s="12">
        <v>0.5</v>
      </c>
      <c r="N391" s="12">
        <v>0.2</v>
      </c>
      <c r="O391" s="12">
        <v>0.0</v>
      </c>
      <c r="P391" s="12">
        <v>0.4</v>
      </c>
      <c r="Q391" s="12">
        <v>-7.7</v>
      </c>
    </row>
    <row r="392">
      <c r="A392" s="12">
        <v>391.0</v>
      </c>
      <c r="B392" s="298"/>
      <c r="C392" s="22" t="s">
        <v>1298</v>
      </c>
      <c r="D392" s="12" t="s">
        <v>97</v>
      </c>
      <c r="E392" s="12" t="s">
        <v>45</v>
      </c>
      <c r="F392" s="12">
        <v>30.0</v>
      </c>
      <c r="G392" s="12">
        <v>10.4</v>
      </c>
      <c r="H392" s="12" t="s">
        <v>1299</v>
      </c>
      <c r="I392" s="12" t="s">
        <v>1300</v>
      </c>
      <c r="J392" s="12">
        <v>0.5</v>
      </c>
      <c r="K392" s="12">
        <v>3.7</v>
      </c>
      <c r="L392" s="12">
        <v>1.8</v>
      </c>
      <c r="M392" s="12">
        <v>0.9</v>
      </c>
      <c r="N392" s="12">
        <v>0.3</v>
      </c>
      <c r="O392" s="12">
        <v>0.1</v>
      </c>
      <c r="P392" s="12">
        <v>0.5</v>
      </c>
      <c r="Q392" s="12">
        <v>-7.72</v>
      </c>
    </row>
    <row r="393">
      <c r="A393" s="12">
        <v>392.0</v>
      </c>
      <c r="B393" s="298"/>
      <c r="C393" s="22" t="s">
        <v>1301</v>
      </c>
      <c r="D393" s="12" t="s">
        <v>97</v>
      </c>
      <c r="E393" s="12" t="s">
        <v>259</v>
      </c>
      <c r="F393" s="12">
        <v>48.0</v>
      </c>
      <c r="G393" s="12">
        <v>11.2</v>
      </c>
      <c r="H393" s="12" t="s">
        <v>1302</v>
      </c>
      <c r="I393" s="12" t="s">
        <v>1303</v>
      </c>
      <c r="J393" s="12">
        <v>0.4</v>
      </c>
      <c r="K393" s="12">
        <v>3.2</v>
      </c>
      <c r="L393" s="12">
        <v>1.9</v>
      </c>
      <c r="M393" s="12">
        <v>0.7</v>
      </c>
      <c r="N393" s="12">
        <v>0.4</v>
      </c>
      <c r="O393" s="12">
        <v>0.2</v>
      </c>
      <c r="P393" s="12">
        <v>0.5</v>
      </c>
      <c r="Q393" s="12">
        <v>-7.73</v>
      </c>
    </row>
    <row r="394">
      <c r="A394" s="12">
        <v>393.0</v>
      </c>
      <c r="B394" s="298"/>
      <c r="C394" s="22" t="s">
        <v>1304</v>
      </c>
      <c r="D394" s="12" t="s">
        <v>71</v>
      </c>
      <c r="E394" s="12" t="s">
        <v>126</v>
      </c>
      <c r="F394" s="12">
        <v>57.0</v>
      </c>
      <c r="G394" s="12">
        <v>8.4</v>
      </c>
      <c r="H394" s="12" t="s">
        <v>1305</v>
      </c>
      <c r="I394" s="12" t="s">
        <v>1306</v>
      </c>
      <c r="J394" s="12">
        <v>0.4</v>
      </c>
      <c r="K394" s="12">
        <v>2.6</v>
      </c>
      <c r="L394" s="12">
        <v>1.2</v>
      </c>
      <c r="M394" s="12">
        <v>0.8</v>
      </c>
      <c r="N394" s="12">
        <v>0.4</v>
      </c>
      <c r="O394" s="12">
        <v>0.1</v>
      </c>
      <c r="P394" s="12">
        <v>0.3</v>
      </c>
      <c r="Q394" s="12">
        <v>-7.89</v>
      </c>
    </row>
    <row r="395">
      <c r="A395" s="12">
        <v>394.0</v>
      </c>
      <c r="B395" s="298"/>
      <c r="C395" s="22" t="s">
        <v>1307</v>
      </c>
      <c r="D395" s="12" t="s">
        <v>71</v>
      </c>
      <c r="E395" s="12" t="s">
        <v>159</v>
      </c>
      <c r="F395" s="12">
        <v>30.0</v>
      </c>
      <c r="G395" s="12">
        <v>8.2</v>
      </c>
      <c r="H395" s="12" t="s">
        <v>1308</v>
      </c>
      <c r="I395" s="12" t="s">
        <v>1309</v>
      </c>
      <c r="J395" s="12">
        <v>0.4</v>
      </c>
      <c r="K395" s="12">
        <v>4.2</v>
      </c>
      <c r="L395" s="12">
        <v>0.7</v>
      </c>
      <c r="M395" s="12">
        <v>0.4</v>
      </c>
      <c r="N395" s="12">
        <v>0.2</v>
      </c>
      <c r="O395" s="12">
        <v>0.2</v>
      </c>
      <c r="P395" s="12">
        <v>0.4</v>
      </c>
      <c r="Q395" s="12">
        <v>-7.92</v>
      </c>
    </row>
    <row r="396">
      <c r="A396" s="12">
        <v>395.0</v>
      </c>
      <c r="B396" s="298"/>
      <c r="C396" s="22" t="s">
        <v>1310</v>
      </c>
      <c r="D396" s="12" t="s">
        <v>44</v>
      </c>
      <c r="E396" s="12" t="s">
        <v>126</v>
      </c>
      <c r="F396" s="12">
        <v>20.0</v>
      </c>
      <c r="G396" s="12">
        <v>8.0</v>
      </c>
      <c r="H396" s="12" t="s">
        <v>1311</v>
      </c>
      <c r="I396" s="12" t="s">
        <v>1312</v>
      </c>
      <c r="J396" s="12">
        <v>0.2</v>
      </c>
      <c r="K396" s="12">
        <v>2.5</v>
      </c>
      <c r="L396" s="12">
        <v>0.7</v>
      </c>
      <c r="M396" s="12">
        <v>1.2</v>
      </c>
      <c r="N396" s="12">
        <v>0.4</v>
      </c>
      <c r="O396" s="12">
        <v>0.1</v>
      </c>
      <c r="P396" s="12">
        <v>0.4</v>
      </c>
      <c r="Q396" s="12">
        <v>-8.02</v>
      </c>
    </row>
    <row r="397">
      <c r="A397" s="12">
        <v>396.0</v>
      </c>
      <c r="B397" s="298"/>
      <c r="C397" s="22" t="s">
        <v>1313</v>
      </c>
      <c r="D397" s="12" t="s">
        <v>56</v>
      </c>
      <c r="E397" s="12" t="s">
        <v>35</v>
      </c>
      <c r="F397" s="12">
        <v>58.0</v>
      </c>
      <c r="G397" s="12">
        <v>12.4</v>
      </c>
      <c r="H397" s="12" t="s">
        <v>1314</v>
      </c>
      <c r="I397" s="12" t="s">
        <v>1315</v>
      </c>
      <c r="J397" s="12">
        <v>0.3</v>
      </c>
      <c r="K397" s="12">
        <v>3.7</v>
      </c>
      <c r="L397" s="12">
        <v>1.4</v>
      </c>
      <c r="M397" s="12">
        <v>2.2</v>
      </c>
      <c r="N397" s="12">
        <v>0.4</v>
      </c>
      <c r="O397" s="12">
        <v>0.1</v>
      </c>
      <c r="P397" s="12">
        <v>1.0</v>
      </c>
      <c r="Q397" s="12">
        <v>-8.03</v>
      </c>
    </row>
    <row r="398">
      <c r="A398" s="12">
        <v>397.0</v>
      </c>
      <c r="B398" s="298"/>
      <c r="C398" s="22" t="s">
        <v>1316</v>
      </c>
      <c r="D398" s="12" t="s">
        <v>158</v>
      </c>
      <c r="E398" s="12" t="s">
        <v>243</v>
      </c>
      <c r="F398" s="12">
        <v>20.0</v>
      </c>
      <c r="G398" s="12">
        <v>8.4</v>
      </c>
      <c r="H398" s="12" t="s">
        <v>1317</v>
      </c>
      <c r="I398" s="12" t="s">
        <v>1318</v>
      </c>
      <c r="J398" s="12">
        <v>0.2</v>
      </c>
      <c r="K398" s="12">
        <v>2.5</v>
      </c>
      <c r="L398" s="12">
        <v>1.4</v>
      </c>
      <c r="M398" s="12">
        <v>1.0</v>
      </c>
      <c r="N398" s="12">
        <v>0.4</v>
      </c>
      <c r="O398" s="12">
        <v>0.2</v>
      </c>
      <c r="P398" s="12">
        <v>0.4</v>
      </c>
      <c r="Q398" s="12">
        <v>-8.03</v>
      </c>
    </row>
    <row r="399">
      <c r="A399" s="12">
        <v>398.0</v>
      </c>
      <c r="B399" s="298"/>
      <c r="C399" s="22" t="s">
        <v>1319</v>
      </c>
      <c r="D399" s="12" t="s">
        <v>158</v>
      </c>
      <c r="E399" s="12" t="s">
        <v>93</v>
      </c>
      <c r="F399" s="12">
        <v>20.0</v>
      </c>
      <c r="G399" s="12">
        <v>8.8</v>
      </c>
      <c r="H399" s="12" t="s">
        <v>1320</v>
      </c>
      <c r="I399" s="12" t="s">
        <v>1321</v>
      </c>
      <c r="J399" s="12">
        <v>0.4</v>
      </c>
      <c r="K399" s="12">
        <v>2.2</v>
      </c>
      <c r="L399" s="12">
        <v>1.0</v>
      </c>
      <c r="M399" s="12">
        <v>0.8</v>
      </c>
      <c r="N399" s="12">
        <v>0.2</v>
      </c>
      <c r="O399" s="12">
        <v>0.1</v>
      </c>
      <c r="P399" s="12">
        <v>0.3</v>
      </c>
      <c r="Q399" s="12">
        <v>-8.11</v>
      </c>
    </row>
    <row r="400">
      <c r="A400" s="12">
        <v>399.0</v>
      </c>
      <c r="B400" s="298"/>
      <c r="C400" s="22" t="s">
        <v>1322</v>
      </c>
      <c r="D400" s="12" t="s">
        <v>62</v>
      </c>
      <c r="E400" s="12" t="s">
        <v>287</v>
      </c>
      <c r="F400" s="12">
        <v>24.0</v>
      </c>
      <c r="G400" s="12">
        <v>8.8</v>
      </c>
      <c r="H400" s="12" t="s">
        <v>1323</v>
      </c>
      <c r="I400" s="12" t="s">
        <v>1324</v>
      </c>
      <c r="J400" s="12">
        <v>0.1</v>
      </c>
      <c r="K400" s="12">
        <v>3.1</v>
      </c>
      <c r="L400" s="12">
        <v>1.6</v>
      </c>
      <c r="M400" s="12">
        <v>0.6</v>
      </c>
      <c r="N400" s="12">
        <v>0.2</v>
      </c>
      <c r="O400" s="12">
        <v>0.2</v>
      </c>
      <c r="P400" s="12">
        <v>0.3</v>
      </c>
      <c r="Q400" s="12">
        <v>-8.13</v>
      </c>
    </row>
    <row r="401">
      <c r="A401" s="12">
        <v>400.0</v>
      </c>
      <c r="B401" s="298"/>
      <c r="C401" s="22" t="s">
        <v>1325</v>
      </c>
      <c r="D401" s="12" t="s">
        <v>44</v>
      </c>
      <c r="E401" s="12" t="s">
        <v>67</v>
      </c>
      <c r="F401" s="12">
        <v>40.0</v>
      </c>
      <c r="G401" s="12">
        <v>8.4</v>
      </c>
      <c r="H401" s="12" t="s">
        <v>1326</v>
      </c>
      <c r="I401" s="12" t="s">
        <v>1327</v>
      </c>
      <c r="J401" s="12">
        <v>0.5</v>
      </c>
      <c r="K401" s="12">
        <v>2.9</v>
      </c>
      <c r="L401" s="12">
        <v>1.0</v>
      </c>
      <c r="M401" s="12">
        <v>0.4</v>
      </c>
      <c r="N401" s="12">
        <v>0.2</v>
      </c>
      <c r="O401" s="12">
        <v>0.0</v>
      </c>
      <c r="P401" s="12">
        <v>0.3</v>
      </c>
      <c r="Q401" s="12">
        <v>-8.17</v>
      </c>
    </row>
    <row r="486">
      <c r="J486" s="312"/>
    </row>
    <row r="607">
      <c r="J607" s="312"/>
    </row>
    <row r="728">
      <c r="J728" s="312"/>
    </row>
    <row r="849">
      <c r="J849" s="312"/>
    </row>
    <row r="970">
      <c r="J970" s="312"/>
    </row>
    <row r="1091">
      <c r="J1091" s="312"/>
    </row>
    <row r="1212">
      <c r="J1212" s="312"/>
    </row>
    <row r="1333">
      <c r="J1333" s="312"/>
    </row>
    <row r="1454">
      <c r="J1454" s="312"/>
    </row>
    <row r="1575">
      <c r="J1575" s="312"/>
    </row>
    <row r="1696">
      <c r="J1696" s="312"/>
    </row>
    <row r="1817">
      <c r="J1817" s="312"/>
    </row>
    <row r="1938">
      <c r="J1938" s="312"/>
    </row>
    <row r="2059">
      <c r="J2059" s="312"/>
    </row>
    <row r="2180">
      <c r="J2180" s="312"/>
    </row>
    <row r="2301">
      <c r="J2301" s="312"/>
    </row>
    <row r="2422">
      <c r="J2422" s="312"/>
    </row>
    <row r="2543">
      <c r="J2543" s="312"/>
    </row>
    <row r="2664">
      <c r="J2664" s="312"/>
    </row>
    <row r="2785">
      <c r="J2785" s="312"/>
    </row>
    <row r="2906">
      <c r="J2906" s="312"/>
    </row>
    <row r="3027">
      <c r="J3027" s="312"/>
    </row>
    <row r="3148">
      <c r="J3148" s="312"/>
    </row>
    <row r="3269">
      <c r="J3269" s="312"/>
    </row>
    <row r="3390">
      <c r="J3390" s="312"/>
    </row>
    <row r="3511">
      <c r="J3511" s="312"/>
    </row>
  </sheetData>
  <autoFilter ref="$A$1:$Q$401"/>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s>
  <drawing r:id="rId4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3" width="18.5"/>
  </cols>
  <sheetData>
    <row r="1">
      <c r="A1" s="5" t="s">
        <v>1</v>
      </c>
      <c r="B1" s="5" t="s">
        <v>2</v>
      </c>
      <c r="C1" s="5" t="s">
        <v>1076</v>
      </c>
      <c r="D1" s="5" t="s">
        <v>4</v>
      </c>
      <c r="E1" s="5" t="s">
        <v>5</v>
      </c>
      <c r="F1" s="5" t="s">
        <v>6</v>
      </c>
      <c r="G1" s="5" t="s">
        <v>7</v>
      </c>
      <c r="H1" s="5" t="s">
        <v>1077</v>
      </c>
      <c r="I1" s="303" t="s">
        <v>8</v>
      </c>
      <c r="J1" s="5" t="s">
        <v>1078</v>
      </c>
      <c r="K1" s="303" t="s">
        <v>9</v>
      </c>
      <c r="L1" s="304" t="s">
        <v>1079</v>
      </c>
      <c r="M1" s="5" t="s">
        <v>11</v>
      </c>
      <c r="N1" s="5" t="s">
        <v>12</v>
      </c>
      <c r="O1" s="5" t="s">
        <v>14</v>
      </c>
      <c r="P1" s="5" t="s">
        <v>15</v>
      </c>
      <c r="Q1" s="5" t="s">
        <v>16</v>
      </c>
      <c r="R1" s="5" t="s">
        <v>17</v>
      </c>
      <c r="S1" s="5" t="s">
        <v>463</v>
      </c>
      <c r="T1" s="5" t="s">
        <v>464</v>
      </c>
      <c r="U1" s="5"/>
      <c r="V1" s="37"/>
      <c r="W1" s="166"/>
      <c r="X1" s="37"/>
      <c r="Y1" s="37"/>
      <c r="Z1" s="37"/>
      <c r="AA1" s="37"/>
      <c r="AB1" s="37"/>
      <c r="AC1" s="37"/>
    </row>
    <row r="2">
      <c r="A2" s="5">
        <v>1.0</v>
      </c>
      <c r="B2" s="5">
        <f>PasteHashtag!B2</f>
        <v>2</v>
      </c>
      <c r="C2" s="305" t="str">
        <f>PasteHashtag!C2</f>
        <v>Victor Wembanyama</v>
      </c>
      <c r="D2" s="5" t="str">
        <f>PasteHashtag!D2</f>
        <v>C</v>
      </c>
      <c r="E2" s="5" t="str">
        <f>PasteHashtag!E2</f>
        <v>SA</v>
      </c>
      <c r="F2" s="5">
        <f>PasteHashtag!F2</f>
        <v>70</v>
      </c>
      <c r="G2" s="5">
        <f>PasteHashtag!G2</f>
        <v>31.1</v>
      </c>
      <c r="H2" s="5">
        <f>MID(PasteHashtag!H2,1+FIND("(",PasteHashtag!H2),FIND("/",PasteHashtag!H2)-FIND("(",PasteHashtag!H2)-1)*1</f>
        <v>8.8</v>
      </c>
      <c r="I2" s="5">
        <f>LEFT(PasteHashtag!H2,FIND("(",PasteHashtag!H2)-1)*1</f>
        <v>0.473</v>
      </c>
      <c r="J2" s="5">
        <f>MID(PasteHashtag!I2,1+FIND("(",PasteHashtag!I2),FIND("/",PasteHashtag!I2)-FIND("(",PasteHashtag!I2)-1)*1</f>
        <v>4.5</v>
      </c>
      <c r="K2" s="5">
        <f>LEFT(PasteHashtag!I2,FIND("(",PasteHashtag!I2)-1)*1</f>
        <v>0.802</v>
      </c>
      <c r="L2" s="5">
        <f>PasteHashtag!J2</f>
        <v>2</v>
      </c>
      <c r="M2" s="5">
        <f>PasteHashtag!K2</f>
        <v>24.1</v>
      </c>
      <c r="N2" s="5">
        <f>PasteHashtag!L2</f>
        <v>11.6</v>
      </c>
      <c r="O2" s="5">
        <f>PasteHashtag!M2</f>
        <v>4.4</v>
      </c>
      <c r="P2" s="5">
        <f>PasteHashtag!N2</f>
        <v>1.4</v>
      </c>
      <c r="Q2" s="5">
        <f>PasteHashtag!O2</f>
        <v>3.9</v>
      </c>
      <c r="R2" s="5">
        <f>PasteHashtag!P2</f>
        <v>3.4</v>
      </c>
      <c r="S2" s="5">
        <f>Mid(PasteHashtag!H2,FIND("/",PasteHashtag!H2)+1,LEN(PasteHashtag!H2)-FIND("/",PasteHashtag!H2)-1)*1</f>
        <v>18.6</v>
      </c>
      <c r="T2" s="306">
        <f>Mid(PasteHashtag!I2,FIND("/",PasteHashtag!I2)+1,LEN(PasteHashtag!I2)-FIND("/",PasteHashtag!I2)-1)*1</f>
        <v>5.6</v>
      </c>
      <c r="U2" s="306"/>
      <c r="V2" s="307"/>
      <c r="W2" s="308" t="s">
        <v>763</v>
      </c>
      <c r="X2" s="309" t="s">
        <v>764</v>
      </c>
      <c r="Y2" s="309" t="s">
        <v>765</v>
      </c>
      <c r="Z2" s="309" t="s">
        <v>766</v>
      </c>
    </row>
    <row r="3">
      <c r="A3" s="5">
        <v>2.0</v>
      </c>
      <c r="B3" s="5">
        <f>PasteHashtag!B3</f>
        <v>2.4</v>
      </c>
      <c r="C3" s="305" t="str">
        <f>PasteHashtag!C3</f>
        <v>Nikola Jokic</v>
      </c>
      <c r="D3" s="5" t="str">
        <f>PasteHashtag!D3</f>
        <v>C</v>
      </c>
      <c r="E3" s="5" t="str">
        <f>PasteHashtag!E3</f>
        <v>DEN</v>
      </c>
      <c r="F3" s="5">
        <f>PasteHashtag!F3</f>
        <v>75</v>
      </c>
      <c r="G3" s="5">
        <f>PasteHashtag!G3</f>
        <v>34.1</v>
      </c>
      <c r="H3" s="5">
        <f>MID(PasteHashtag!H3,1+FIND("(",PasteHashtag!H3),FIND("/",PasteHashtag!H3)-FIND("(",PasteHashtag!H3)-1)*1</f>
        <v>10.4</v>
      </c>
      <c r="I3" s="5">
        <f>LEFT(PasteHashtag!H3,FIND("(",PasteHashtag!H3)-1)*1</f>
        <v>0.585</v>
      </c>
      <c r="J3" s="5">
        <f>MID(PasteHashtag!I3,1+FIND("(",PasteHashtag!I3),FIND("/",PasteHashtag!I3)-FIND("(",PasteHashtag!I3)-1)*1</f>
        <v>4.8</v>
      </c>
      <c r="K3" s="5">
        <f>LEFT(PasteHashtag!I3,FIND("(",PasteHashtag!I3)-1)*1</f>
        <v>0.819</v>
      </c>
      <c r="L3" s="5">
        <f>PasteHashtag!J3</f>
        <v>1.1</v>
      </c>
      <c r="M3" s="5">
        <f>PasteHashtag!K3</f>
        <v>26.7</v>
      </c>
      <c r="N3" s="5">
        <f>PasteHashtag!L3</f>
        <v>12.1</v>
      </c>
      <c r="O3" s="5">
        <f>PasteHashtag!M3</f>
        <v>9</v>
      </c>
      <c r="P3" s="5">
        <f>PasteHashtag!N3</f>
        <v>1.4</v>
      </c>
      <c r="Q3" s="5">
        <f>PasteHashtag!O3</f>
        <v>0.9</v>
      </c>
      <c r="R3" s="5">
        <f>PasteHashtag!P3</f>
        <v>3</v>
      </c>
      <c r="S3" s="5">
        <f>Mid(PasteHashtag!H3,FIND("/",PasteHashtag!H3)+1,LEN(PasteHashtag!H3)-FIND("/",PasteHashtag!H3)-1)*1</f>
        <v>17.8</v>
      </c>
      <c r="T3" s="306">
        <f>Mid(PasteHashtag!I3,FIND("/",PasteHashtag!I3)+1,LEN(PasteHashtag!I3)-FIND("/",PasteHashtag!I3)-1)*1</f>
        <v>5.8</v>
      </c>
      <c r="U3" s="26"/>
      <c r="V3" s="310" t="s">
        <v>180</v>
      </c>
      <c r="W3" s="311">
        <v>4.0</v>
      </c>
      <c r="X3" s="12">
        <v>4.0</v>
      </c>
      <c r="Y3" s="12">
        <v>4.0</v>
      </c>
      <c r="Z3" s="12">
        <v>12.0</v>
      </c>
      <c r="AB3" s="12" t="s">
        <v>35</v>
      </c>
    </row>
    <row r="4">
      <c r="A4" s="5">
        <v>3.0</v>
      </c>
      <c r="B4" s="5">
        <f>PasteHashtag!B4</f>
        <v>4.5</v>
      </c>
      <c r="C4" s="305" t="str">
        <f>PasteHashtag!C4</f>
        <v>Shai Gilgeous-Alexander</v>
      </c>
      <c r="D4" s="5" t="str">
        <f>PasteHashtag!D4</f>
        <v>PG</v>
      </c>
      <c r="E4" s="5" t="str">
        <f>PasteHashtag!E4</f>
        <v>OKC</v>
      </c>
      <c r="F4" s="5">
        <f>PasteHashtag!F4</f>
        <v>73</v>
      </c>
      <c r="G4" s="5">
        <f>PasteHashtag!G4</f>
        <v>33.5</v>
      </c>
      <c r="H4" s="5">
        <f>MID(PasteHashtag!H4,1+FIND("(",PasteHashtag!H4),FIND("/",PasteHashtag!H4)-FIND("(",PasteHashtag!H4)-1)*1</f>
        <v>10.2</v>
      </c>
      <c r="I4" s="5">
        <f>LEFT(PasteHashtag!H4,FIND("(",PasteHashtag!H4)-1)*1</f>
        <v>0.524</v>
      </c>
      <c r="J4" s="5">
        <f>MID(PasteHashtag!I4,1+FIND("(",PasteHashtag!I4),FIND("/",PasteHashtag!I4)-FIND("(",PasteHashtag!I4)-1)*1</f>
        <v>8.1</v>
      </c>
      <c r="K4" s="5">
        <f>LEFT(PasteHashtag!I4,FIND("(",PasteHashtag!I4)-1)*1</f>
        <v>0.88</v>
      </c>
      <c r="L4" s="5">
        <f>PasteHashtag!J4</f>
        <v>1.4</v>
      </c>
      <c r="M4" s="5">
        <f>PasteHashtag!K4</f>
        <v>29.9</v>
      </c>
      <c r="N4" s="5">
        <f>PasteHashtag!L4</f>
        <v>5.1</v>
      </c>
      <c r="O4" s="5">
        <f>PasteHashtag!M4</f>
        <v>6.5</v>
      </c>
      <c r="P4" s="5">
        <f>PasteHashtag!N4</f>
        <v>1.9</v>
      </c>
      <c r="Q4" s="5">
        <f>PasteHashtag!O4</f>
        <v>0.9</v>
      </c>
      <c r="R4" s="5">
        <f>PasteHashtag!P4</f>
        <v>2.4</v>
      </c>
      <c r="S4" s="5">
        <f>Mid(PasteHashtag!H4,FIND("/",PasteHashtag!H4)+1,LEN(PasteHashtag!H4)-FIND("/",PasteHashtag!H4)-1)*1</f>
        <v>19.5</v>
      </c>
      <c r="T4" s="306">
        <f>Mid(PasteHashtag!I4,FIND("/",PasteHashtag!I4)+1,LEN(PasteHashtag!I4)-FIND("/",PasteHashtag!I4)-1)*1</f>
        <v>9.2</v>
      </c>
      <c r="U4" s="26"/>
      <c r="V4" s="310" t="s">
        <v>102</v>
      </c>
      <c r="W4" s="311">
        <v>4.0</v>
      </c>
      <c r="X4" s="12">
        <v>4.0</v>
      </c>
      <c r="Y4" s="12">
        <v>4.0</v>
      </c>
      <c r="Z4" s="12">
        <v>12.0</v>
      </c>
      <c r="AB4" s="12" t="s">
        <v>40</v>
      </c>
    </row>
    <row r="5">
      <c r="A5" s="5">
        <v>4.0</v>
      </c>
      <c r="B5" s="5">
        <f>PasteHashtag!B5</f>
        <v>3.8</v>
      </c>
      <c r="C5" s="305" t="str">
        <f>PasteHashtag!C5</f>
        <v>Luka Doncic</v>
      </c>
      <c r="D5" s="5" t="str">
        <f>PasteHashtag!D5</f>
        <v>PG,SG</v>
      </c>
      <c r="E5" s="5" t="str">
        <f>PasteHashtag!E5</f>
        <v>DAL</v>
      </c>
      <c r="F5" s="5">
        <f>PasteHashtag!F5</f>
        <v>68</v>
      </c>
      <c r="G5" s="5">
        <f>PasteHashtag!G5</f>
        <v>36.8</v>
      </c>
      <c r="H5" s="5">
        <f>MID(PasteHashtag!H5,1+FIND("(",PasteHashtag!H5),FIND("/",PasteHashtag!H5)-FIND("(",PasteHashtag!H5)-1)*1</f>
        <v>11.3</v>
      </c>
      <c r="I5" s="5">
        <f>LEFT(PasteHashtag!H5,FIND("(",PasteHashtag!H5)-1)*1</f>
        <v>0.491</v>
      </c>
      <c r="J5" s="5">
        <f>MID(PasteHashtag!I5,1+FIND("(",PasteHashtag!I5),FIND("/",PasteHashtag!I5)-FIND("(",PasteHashtag!I5)-1)*1</f>
        <v>7.6</v>
      </c>
      <c r="K5" s="5">
        <f>LEFT(PasteHashtag!I5,FIND("(",PasteHashtag!I5)-1)*1</f>
        <v>0.792</v>
      </c>
      <c r="L5" s="5">
        <f>PasteHashtag!J5</f>
        <v>4.1</v>
      </c>
      <c r="M5" s="5">
        <f>PasteHashtag!K5</f>
        <v>34.4</v>
      </c>
      <c r="N5" s="5">
        <f>PasteHashtag!L5</f>
        <v>9.3</v>
      </c>
      <c r="O5" s="5">
        <f>PasteHashtag!M5</f>
        <v>9.9</v>
      </c>
      <c r="P5" s="5">
        <f>PasteHashtag!N5</f>
        <v>1.4</v>
      </c>
      <c r="Q5" s="5">
        <f>PasteHashtag!O5</f>
        <v>0.5</v>
      </c>
      <c r="R5" s="5">
        <f>PasteHashtag!P5</f>
        <v>3.8</v>
      </c>
      <c r="S5" s="5">
        <f>Mid(PasteHashtag!H5,FIND("/",PasteHashtag!H5)+1,LEN(PasteHashtag!H5)-FIND("/",PasteHashtag!H5)-1)*1</f>
        <v>23</v>
      </c>
      <c r="T5" s="306">
        <f>Mid(PasteHashtag!I5,FIND("/",PasteHashtag!I5)+1,LEN(PasteHashtag!I5)-FIND("/",PasteHashtag!I5)-1)*1</f>
        <v>9.7</v>
      </c>
      <c r="U5" s="26"/>
      <c r="V5" s="310" t="s">
        <v>169</v>
      </c>
      <c r="W5" s="311">
        <v>4.0</v>
      </c>
      <c r="X5" s="12">
        <v>4.0</v>
      </c>
      <c r="Y5" s="12">
        <v>4.0</v>
      </c>
      <c r="Z5" s="12">
        <v>12.0</v>
      </c>
      <c r="AB5" s="12" t="s">
        <v>45</v>
      </c>
    </row>
    <row r="6">
      <c r="A6" s="5">
        <v>5.0</v>
      </c>
      <c r="B6" s="5">
        <f>PasteHashtag!B6</f>
        <v>7.4</v>
      </c>
      <c r="C6" s="305" t="str">
        <f>PasteHashtag!C6</f>
        <v>Anthony Davis</v>
      </c>
      <c r="D6" s="5" t="str">
        <f>PasteHashtag!D6</f>
        <v>PF,C</v>
      </c>
      <c r="E6" s="5" t="str">
        <f>PasteHashtag!E6</f>
        <v>LAL</v>
      </c>
      <c r="F6" s="5">
        <f>PasteHashtag!F6</f>
        <v>67</v>
      </c>
      <c r="G6" s="5">
        <f>PasteHashtag!G6</f>
        <v>34.5</v>
      </c>
      <c r="H6" s="5">
        <f>MID(PasteHashtag!H6,1+FIND("(",PasteHashtag!H6),FIND("/",PasteHashtag!H6)-FIND("(",PasteHashtag!H6)-1)*1</f>
        <v>9.5</v>
      </c>
      <c r="I6" s="5">
        <f>LEFT(PasteHashtag!H6,FIND("(",PasteHashtag!H6)-1)*1</f>
        <v>0.559</v>
      </c>
      <c r="J6" s="5">
        <f>MID(PasteHashtag!I6,1+FIND("(",PasteHashtag!I6),FIND("/",PasteHashtag!I6)-FIND("(",PasteHashtag!I6)-1)*1</f>
        <v>5.8</v>
      </c>
      <c r="K6" s="5">
        <f>LEFT(PasteHashtag!I6,FIND("(",PasteHashtag!I6)-1)*1</f>
        <v>0.802</v>
      </c>
      <c r="L6" s="5">
        <f>PasteHashtag!J6</f>
        <v>0.4</v>
      </c>
      <c r="M6" s="5">
        <f>PasteHashtag!K6</f>
        <v>25.2</v>
      </c>
      <c r="N6" s="5">
        <f>PasteHashtag!L6</f>
        <v>12.7</v>
      </c>
      <c r="O6" s="5">
        <f>PasteHashtag!M6</f>
        <v>3.6</v>
      </c>
      <c r="P6" s="5">
        <f>PasteHashtag!N6</f>
        <v>1.2</v>
      </c>
      <c r="Q6" s="5">
        <f>PasteHashtag!O6</f>
        <v>2.3</v>
      </c>
      <c r="R6" s="5">
        <f>PasteHashtag!P6</f>
        <v>2.1</v>
      </c>
      <c r="S6" s="5">
        <f>Mid(PasteHashtag!H6,FIND("/",PasteHashtag!H6)+1,LEN(PasteHashtag!H6)-FIND("/",PasteHashtag!H6)-1)*1</f>
        <v>17</v>
      </c>
      <c r="T6" s="306">
        <f>Mid(PasteHashtag!I6,FIND("/",PasteHashtag!I6)+1,LEN(PasteHashtag!I6)-FIND("/",PasteHashtag!I6)-1)*1</f>
        <v>7.3</v>
      </c>
      <c r="U6" s="26"/>
      <c r="V6" s="310" t="s">
        <v>67</v>
      </c>
      <c r="W6" s="311">
        <v>4.0</v>
      </c>
      <c r="X6" s="12">
        <v>4.0</v>
      </c>
      <c r="Y6" s="12">
        <v>4.0</v>
      </c>
      <c r="Z6" s="12">
        <v>12.0</v>
      </c>
      <c r="AB6" s="12" t="s">
        <v>57</v>
      </c>
    </row>
    <row r="7">
      <c r="A7" s="5">
        <v>6.0</v>
      </c>
      <c r="B7" s="5">
        <f>PasteHashtag!B7</f>
        <v>9.6</v>
      </c>
      <c r="C7" s="305" t="str">
        <f>PasteHashtag!C7</f>
        <v>Joel Embiid</v>
      </c>
      <c r="D7" s="5" t="str">
        <f>PasteHashtag!D7</f>
        <v>C</v>
      </c>
      <c r="E7" s="5" t="str">
        <f>PasteHashtag!E7</f>
        <v>PHI</v>
      </c>
      <c r="F7" s="5">
        <f>PasteHashtag!F7</f>
        <v>60</v>
      </c>
      <c r="G7" s="5">
        <f>PasteHashtag!G7</f>
        <v>31.4</v>
      </c>
      <c r="H7" s="5">
        <f>MID(PasteHashtag!H7,1+FIND("(",PasteHashtag!H7),FIND("/",PasteHashtag!H7)-FIND("(",PasteHashtag!H7)-1)*1</f>
        <v>9.1</v>
      </c>
      <c r="I7" s="5">
        <f>LEFT(PasteHashtag!H7,FIND("(",PasteHashtag!H7)-1)*1</f>
        <v>0.518</v>
      </c>
      <c r="J7" s="5">
        <f>MID(PasteHashtag!I7,1+FIND("(",PasteHashtag!I7),FIND("/",PasteHashtag!I7)-FIND("(",PasteHashtag!I7)-1)*1</f>
        <v>8.7</v>
      </c>
      <c r="K7" s="5">
        <f>LEFT(PasteHashtag!I7,FIND("(",PasteHashtag!I7)-1)*1</f>
        <v>0.871</v>
      </c>
      <c r="L7" s="5">
        <f>PasteHashtag!J7</f>
        <v>1.3</v>
      </c>
      <c r="M7" s="5">
        <f>PasteHashtag!K7</f>
        <v>28.1</v>
      </c>
      <c r="N7" s="5">
        <f>PasteHashtag!L7</f>
        <v>10</v>
      </c>
      <c r="O7" s="5">
        <f>PasteHashtag!M7</f>
        <v>3.9</v>
      </c>
      <c r="P7" s="5">
        <f>PasteHashtag!N7</f>
        <v>0.9</v>
      </c>
      <c r="Q7" s="5">
        <f>PasteHashtag!O7</f>
        <v>1.4</v>
      </c>
      <c r="R7" s="5">
        <f>PasteHashtag!P7</f>
        <v>3.3</v>
      </c>
      <c r="S7" s="5">
        <f>Mid(PasteHashtag!H7,FIND("/",PasteHashtag!H7)+1,LEN(PasteHashtag!H7)-FIND("/",PasteHashtag!H7)-1)*1</f>
        <v>17.6</v>
      </c>
      <c r="T7" s="306">
        <f>Mid(PasteHashtag!I7,FIND("/",PasteHashtag!I7)+1,LEN(PasteHashtag!I7)-FIND("/",PasteHashtag!I7)-1)*1</f>
        <v>9.9</v>
      </c>
      <c r="U7" s="26"/>
      <c r="V7" s="310" t="s">
        <v>148</v>
      </c>
      <c r="W7" s="311">
        <v>4.0</v>
      </c>
      <c r="X7" s="12">
        <v>4.0</v>
      </c>
      <c r="Y7" s="12">
        <v>4.0</v>
      </c>
      <c r="Z7" s="12">
        <v>12.0</v>
      </c>
      <c r="AB7" s="12" t="s">
        <v>67</v>
      </c>
    </row>
    <row r="8">
      <c r="A8" s="5">
        <v>7.0</v>
      </c>
      <c r="B8" s="5">
        <f>PasteHashtag!B8</f>
        <v>6.7</v>
      </c>
      <c r="C8" s="305" t="str">
        <f>PasteHashtag!C8</f>
        <v>Giannis Antetokounmpo</v>
      </c>
      <c r="D8" s="5" t="str">
        <f>PasteHashtag!D8</f>
        <v>PF,C</v>
      </c>
      <c r="E8" s="5" t="str">
        <f>PasteHashtag!E8</f>
        <v>MIL</v>
      </c>
      <c r="F8" s="5">
        <f>PasteHashtag!F8</f>
        <v>71</v>
      </c>
      <c r="G8" s="5">
        <f>PasteHashtag!G8</f>
        <v>34.6</v>
      </c>
      <c r="H8" s="5">
        <f>MID(PasteHashtag!H8,1+FIND("(",PasteHashtag!H8),FIND("/",PasteHashtag!H8)-FIND("(",PasteHashtag!H8)-1)*1</f>
        <v>11.8</v>
      </c>
      <c r="I8" s="5">
        <f>LEFT(PasteHashtag!H8,FIND("(",PasteHashtag!H8)-1)*1</f>
        <v>0.614</v>
      </c>
      <c r="J8" s="5">
        <f>MID(PasteHashtag!I8,1+FIND("(",PasteHashtag!I8),FIND("/",PasteHashtag!I8)-FIND("(",PasteHashtag!I8)-1)*1</f>
        <v>7</v>
      </c>
      <c r="K8" s="5">
        <f>LEFT(PasteHashtag!I8,FIND("(",PasteHashtag!I8)-1)*1</f>
        <v>0.671</v>
      </c>
      <c r="L8" s="5">
        <f>PasteHashtag!J8</f>
        <v>0.6</v>
      </c>
      <c r="M8" s="5">
        <f>PasteHashtag!K8</f>
        <v>31.1</v>
      </c>
      <c r="N8" s="5">
        <f>PasteHashtag!L8</f>
        <v>11.8</v>
      </c>
      <c r="O8" s="5">
        <f>PasteHashtag!M8</f>
        <v>6.7</v>
      </c>
      <c r="P8" s="5">
        <f>PasteHashtag!N8</f>
        <v>1.2</v>
      </c>
      <c r="Q8" s="5">
        <f>PasteHashtag!O8</f>
        <v>1.1</v>
      </c>
      <c r="R8" s="5">
        <f>PasteHashtag!P8</f>
        <v>3.4</v>
      </c>
      <c r="S8" s="5">
        <f>Mid(PasteHashtag!H8,FIND("/",PasteHashtag!H8)+1,LEN(PasteHashtag!H8)-FIND("/",PasteHashtag!H8)-1)*1</f>
        <v>19.2</v>
      </c>
      <c r="T8" s="306">
        <f>Mid(PasteHashtag!I8,FIND("/",PasteHashtag!I8)+1,LEN(PasteHashtag!I8)-FIND("/",PasteHashtag!I8)-1)*1</f>
        <v>10.5</v>
      </c>
      <c r="U8" s="26"/>
      <c r="V8" s="310" t="s">
        <v>93</v>
      </c>
      <c r="W8" s="311">
        <v>4.0</v>
      </c>
      <c r="X8" s="12">
        <v>4.0</v>
      </c>
      <c r="Y8" s="12">
        <v>3.0</v>
      </c>
      <c r="Z8" s="12">
        <v>11.0</v>
      </c>
      <c r="AB8" s="12" t="s">
        <v>63</v>
      </c>
    </row>
    <row r="9">
      <c r="A9" s="5">
        <v>8.0</v>
      </c>
      <c r="B9" s="5">
        <f>PasteHashtag!B9</f>
        <v>8.4</v>
      </c>
      <c r="C9" s="305" t="str">
        <f>PasteHashtag!C9</f>
        <v>Tyrese Haliburton</v>
      </c>
      <c r="D9" s="5" t="str">
        <f>PasteHashtag!D9</f>
        <v>PG,SG</v>
      </c>
      <c r="E9" s="5" t="str">
        <f>PasteHashtag!E9</f>
        <v>IND</v>
      </c>
      <c r="F9" s="5">
        <f>PasteHashtag!F9</f>
        <v>69</v>
      </c>
      <c r="G9" s="5">
        <f>PasteHashtag!G9</f>
        <v>33.6</v>
      </c>
      <c r="H9" s="5">
        <f>MID(PasteHashtag!H9,1+FIND("(",PasteHashtag!H9),FIND("/",PasteHashtag!H9)-FIND("(",PasteHashtag!H9)-1)*1</f>
        <v>7.5</v>
      </c>
      <c r="I9" s="5">
        <f>LEFT(PasteHashtag!H9,FIND("(",PasteHashtag!H9)-1)*1</f>
        <v>0.483</v>
      </c>
      <c r="J9" s="5">
        <f>MID(PasteHashtag!I9,1+FIND("(",PasteHashtag!I9),FIND("/",PasteHashtag!I9)-FIND("(",PasteHashtag!I9)-1)*1</f>
        <v>3.1</v>
      </c>
      <c r="K9" s="5">
        <f>LEFT(PasteHashtag!I9,FIND("(",PasteHashtag!I9)-1)*1</f>
        <v>0.862</v>
      </c>
      <c r="L9" s="5">
        <f>PasteHashtag!J9</f>
        <v>3</v>
      </c>
      <c r="M9" s="5">
        <f>PasteHashtag!K9</f>
        <v>21.1</v>
      </c>
      <c r="N9" s="5">
        <f>PasteHashtag!L9</f>
        <v>3.9</v>
      </c>
      <c r="O9" s="5">
        <f>PasteHashtag!M9</f>
        <v>11.1</v>
      </c>
      <c r="P9" s="5">
        <f>PasteHashtag!N9</f>
        <v>1.4</v>
      </c>
      <c r="Q9" s="5">
        <f>PasteHashtag!O9</f>
        <v>0.7</v>
      </c>
      <c r="R9" s="5">
        <f>PasteHashtag!P9</f>
        <v>2.5</v>
      </c>
      <c r="S9" s="5">
        <f>Mid(PasteHashtag!H9,FIND("/",PasteHashtag!H9)+1,LEN(PasteHashtag!H9)-FIND("/",PasteHashtag!H9)-1)*1</f>
        <v>15.6</v>
      </c>
      <c r="T9" s="306">
        <f>Mid(PasteHashtag!I9,FIND("/",PasteHashtag!I9)+1,LEN(PasteHashtag!I9)-FIND("/",PasteHashtag!I9)-1)*1</f>
        <v>3.5</v>
      </c>
      <c r="U9" s="26"/>
      <c r="V9" s="310" t="s">
        <v>291</v>
      </c>
      <c r="W9" s="311">
        <v>3.0</v>
      </c>
      <c r="X9" s="12">
        <v>5.0</v>
      </c>
      <c r="Y9" s="12">
        <v>3.0</v>
      </c>
      <c r="Z9" s="12">
        <v>11.0</v>
      </c>
      <c r="AB9" s="12" t="s">
        <v>74</v>
      </c>
    </row>
    <row r="10">
      <c r="A10" s="5">
        <v>9.0</v>
      </c>
      <c r="B10" s="5">
        <f>PasteHashtag!B10</f>
        <v>12.5</v>
      </c>
      <c r="C10" s="305" t="str">
        <f>PasteHashtag!C10</f>
        <v>Trae Young</v>
      </c>
      <c r="D10" s="5" t="str">
        <f>PasteHashtag!D10</f>
        <v>PG</v>
      </c>
      <c r="E10" s="5" t="str">
        <f>PasteHashtag!E10</f>
        <v>ATL</v>
      </c>
      <c r="F10" s="5">
        <f>PasteHashtag!F10</f>
        <v>72</v>
      </c>
      <c r="G10" s="5">
        <f>PasteHashtag!G10</f>
        <v>35.2</v>
      </c>
      <c r="H10" s="5">
        <f>MID(PasteHashtag!H10,1+FIND("(",PasteHashtag!H10),FIND("/",PasteHashtag!H10)-FIND("(",PasteHashtag!H10)-1)*1</f>
        <v>8.4</v>
      </c>
      <c r="I10" s="5">
        <f>LEFT(PasteHashtag!H10,FIND("(",PasteHashtag!H10)-1)*1</f>
        <v>0.432</v>
      </c>
      <c r="J10" s="5">
        <f>MID(PasteHashtag!I10,1+FIND("(",PasteHashtag!I10),FIND("/",PasteHashtag!I10)-FIND("(",PasteHashtag!I10)-1)*1</f>
        <v>7.8</v>
      </c>
      <c r="K10" s="5">
        <f>LEFT(PasteHashtag!I10,FIND("(",PasteHashtag!I10)-1)*1</f>
        <v>0.877</v>
      </c>
      <c r="L10" s="5">
        <f>PasteHashtag!J10</f>
        <v>3.4</v>
      </c>
      <c r="M10" s="5">
        <f>PasteHashtag!K10</f>
        <v>28.1</v>
      </c>
      <c r="N10" s="5">
        <f>PasteHashtag!L10</f>
        <v>2.9</v>
      </c>
      <c r="O10" s="5">
        <f>PasteHashtag!M10</f>
        <v>10.8</v>
      </c>
      <c r="P10" s="5">
        <f>PasteHashtag!N10</f>
        <v>1.2</v>
      </c>
      <c r="Q10" s="5">
        <f>PasteHashtag!O10</f>
        <v>0.2</v>
      </c>
      <c r="R10" s="5">
        <f>PasteHashtag!P10</f>
        <v>4.2</v>
      </c>
      <c r="S10" s="5">
        <f>Mid(PasteHashtag!H10,FIND("/",PasteHashtag!H10)+1,LEN(PasteHashtag!H10)-FIND("/",PasteHashtag!H10)-1)*1</f>
        <v>19.5</v>
      </c>
      <c r="T10" s="306">
        <f>Mid(PasteHashtag!I10,FIND("/",PasteHashtag!I10)+1,LEN(PasteHashtag!I10)-FIND("/",PasteHashtag!I10)-1)*1</f>
        <v>8.9</v>
      </c>
      <c r="U10" s="26"/>
      <c r="V10" s="310" t="s">
        <v>136</v>
      </c>
      <c r="W10" s="311">
        <v>4.0</v>
      </c>
      <c r="X10" s="12">
        <v>3.0</v>
      </c>
      <c r="Y10" s="12">
        <v>4.0</v>
      </c>
      <c r="Z10" s="12">
        <v>11.0</v>
      </c>
      <c r="AB10" s="12" t="s">
        <v>89</v>
      </c>
    </row>
    <row r="11">
      <c r="A11" s="5">
        <v>10.0</v>
      </c>
      <c r="B11" s="5">
        <f>PasteHashtag!B11</f>
        <v>9.5</v>
      </c>
      <c r="C11" s="305" t="str">
        <f>PasteHashtag!C11</f>
        <v>Jayson Tatum</v>
      </c>
      <c r="D11" s="5" t="str">
        <f>PasteHashtag!D11</f>
        <v>SF,PF</v>
      </c>
      <c r="E11" s="5" t="str">
        <f>PasteHashtag!E11</f>
        <v>BOS</v>
      </c>
      <c r="F11" s="5">
        <f>PasteHashtag!F11</f>
        <v>75</v>
      </c>
      <c r="G11" s="5">
        <f>PasteHashtag!G11</f>
        <v>35.8</v>
      </c>
      <c r="H11" s="5">
        <f>MID(PasteHashtag!H11,1+FIND("(",PasteHashtag!H11),FIND("/",PasteHashtag!H11)-FIND("(",PasteHashtag!H11)-1)*1</f>
        <v>9.4</v>
      </c>
      <c r="I11" s="5">
        <f>LEFT(PasteHashtag!H11,FIND("(",PasteHashtag!H11)-1)*1</f>
        <v>0.469</v>
      </c>
      <c r="J11" s="5">
        <f>MID(PasteHashtag!I11,1+FIND("(",PasteHashtag!I11),FIND("/",PasteHashtag!I11)-FIND("(",PasteHashtag!I11)-1)*1</f>
        <v>6.1</v>
      </c>
      <c r="K11" s="5">
        <f>LEFT(PasteHashtag!I11,FIND("(",PasteHashtag!I11)-1)*1</f>
        <v>0.836</v>
      </c>
      <c r="L11" s="5">
        <f>PasteHashtag!J11</f>
        <v>2.9</v>
      </c>
      <c r="M11" s="5">
        <f>PasteHashtag!K11</f>
        <v>27.9</v>
      </c>
      <c r="N11" s="5">
        <f>PasteHashtag!L11</f>
        <v>9</v>
      </c>
      <c r="O11" s="5">
        <f>PasteHashtag!M11</f>
        <v>5.1</v>
      </c>
      <c r="P11" s="5">
        <f>PasteHashtag!N11</f>
        <v>1.1</v>
      </c>
      <c r="Q11" s="5">
        <f>PasteHashtag!O11</f>
        <v>0.7</v>
      </c>
      <c r="R11" s="5">
        <f>PasteHashtag!P11</f>
        <v>2.5</v>
      </c>
      <c r="S11" s="5">
        <f>Mid(PasteHashtag!H11,FIND("/",PasteHashtag!H11)+1,LEN(PasteHashtag!H11)-FIND("/",PasteHashtag!H11)-1)*1</f>
        <v>20.1</v>
      </c>
      <c r="T11" s="306">
        <f>Mid(PasteHashtag!I11,FIND("/",PasteHashtag!I11)+1,LEN(PasteHashtag!I11)-FIND("/",PasteHashtag!I11)-1)*1</f>
        <v>7.3</v>
      </c>
      <c r="U11" s="26"/>
      <c r="V11" s="310" t="s">
        <v>110</v>
      </c>
      <c r="W11" s="311">
        <v>4.0</v>
      </c>
      <c r="X11" s="12">
        <v>3.0</v>
      </c>
      <c r="Y11" s="12">
        <v>4.0</v>
      </c>
      <c r="Z11" s="12">
        <v>11.0</v>
      </c>
      <c r="AB11" s="12" t="s">
        <v>93</v>
      </c>
    </row>
    <row r="12">
      <c r="A12" s="5">
        <v>11.0</v>
      </c>
      <c r="B12" s="5">
        <f>PasteHashtag!B12</f>
        <v>16.2</v>
      </c>
      <c r="C12" s="305" t="str">
        <f>PasteHashtag!C12</f>
        <v>James Harden</v>
      </c>
      <c r="D12" s="5" t="str">
        <f>PasteHashtag!D12</f>
        <v>PG,SG</v>
      </c>
      <c r="E12" s="5" t="str">
        <f>PasteHashtag!E12</f>
        <v>LAC</v>
      </c>
      <c r="F12" s="5">
        <f>PasteHashtag!F12</f>
        <v>68</v>
      </c>
      <c r="G12" s="5">
        <f>PasteHashtag!G12</f>
        <v>34.5</v>
      </c>
      <c r="H12" s="5">
        <f>MID(PasteHashtag!H12,1+FIND("(",PasteHashtag!H12),FIND("/",PasteHashtag!H12)-FIND("(",PasteHashtag!H12)-1)*1</f>
        <v>6.5</v>
      </c>
      <c r="I12" s="5">
        <f>LEFT(PasteHashtag!H12,FIND("(",PasteHashtag!H12)-1)*1</f>
        <v>0.438</v>
      </c>
      <c r="J12" s="5">
        <f>MID(PasteHashtag!I12,1+FIND("(",PasteHashtag!I12),FIND("/",PasteHashtag!I12)-FIND("(",PasteHashtag!I12)-1)*1</f>
        <v>4.7</v>
      </c>
      <c r="K12" s="5">
        <f>LEFT(PasteHashtag!I12,FIND("(",PasteHashtag!I12)-1)*1</f>
        <v>0.871</v>
      </c>
      <c r="L12" s="5">
        <f>PasteHashtag!J12</f>
        <v>2.8</v>
      </c>
      <c r="M12" s="5">
        <f>PasteHashtag!K12</f>
        <v>20.4</v>
      </c>
      <c r="N12" s="5">
        <f>PasteHashtag!L12</f>
        <v>6.1</v>
      </c>
      <c r="O12" s="5">
        <f>PasteHashtag!M12</f>
        <v>10.4</v>
      </c>
      <c r="P12" s="5">
        <f>PasteHashtag!N12</f>
        <v>1.1</v>
      </c>
      <c r="Q12" s="5">
        <f>PasteHashtag!O12</f>
        <v>0.7</v>
      </c>
      <c r="R12" s="5">
        <f>PasteHashtag!P12</f>
        <v>2.9</v>
      </c>
      <c r="S12" s="5">
        <f>Mid(PasteHashtag!H12,FIND("/",PasteHashtag!H12)+1,LEN(PasteHashtag!H12)-FIND("/",PasteHashtag!H12)-1)*1</f>
        <v>14.8</v>
      </c>
      <c r="T12" s="306">
        <f>Mid(PasteHashtag!I12,FIND("/",PasteHashtag!I12)+1,LEN(PasteHashtag!I12)-FIND("/",PasteHashtag!I12)-1)*1</f>
        <v>5.3</v>
      </c>
      <c r="U12" s="26"/>
      <c r="V12" s="310" t="s">
        <v>40</v>
      </c>
      <c r="W12" s="311">
        <v>3.0</v>
      </c>
      <c r="X12" s="12">
        <v>4.0</v>
      </c>
      <c r="Y12" s="12">
        <v>4.0</v>
      </c>
      <c r="Z12" s="12">
        <v>11.0</v>
      </c>
      <c r="AB12" s="12" t="s">
        <v>98</v>
      </c>
    </row>
    <row r="13">
      <c r="A13" s="5">
        <v>12.0</v>
      </c>
      <c r="B13" s="5">
        <f>PasteHashtag!B13</f>
        <v>12.4</v>
      </c>
      <c r="C13" s="305" t="str">
        <f>PasteHashtag!C13</f>
        <v>Stephen Curry</v>
      </c>
      <c r="D13" s="5" t="str">
        <f>PasteHashtag!D13</f>
        <v>PG,SG</v>
      </c>
      <c r="E13" s="5" t="str">
        <f>PasteHashtag!E13</f>
        <v>GS</v>
      </c>
      <c r="F13" s="5">
        <f>PasteHashtag!F13</f>
        <v>68</v>
      </c>
      <c r="G13" s="5">
        <f>PasteHashtag!G13</f>
        <v>31.4</v>
      </c>
      <c r="H13" s="5">
        <f>MID(PasteHashtag!H13,1+FIND("(",PasteHashtag!H13),FIND("/",PasteHashtag!H13)-FIND("(",PasteHashtag!H13)-1)*1</f>
        <v>8.8</v>
      </c>
      <c r="I13" s="5">
        <f>LEFT(PasteHashtag!H13,FIND("(",PasteHashtag!H13)-1)*1</f>
        <v>0.469</v>
      </c>
      <c r="J13" s="5">
        <f>MID(PasteHashtag!I13,1+FIND("(",PasteHashtag!I13),FIND("/",PasteHashtag!I13)-FIND("(",PasteHashtag!I13)-1)*1</f>
        <v>4</v>
      </c>
      <c r="K13" s="5">
        <f>LEFT(PasteHashtag!I13,FIND("(",PasteHashtag!I13)-1)*1</f>
        <v>0.918</v>
      </c>
      <c r="L13" s="5">
        <f>PasteHashtag!J13</f>
        <v>4.8</v>
      </c>
      <c r="M13" s="5">
        <f>PasteHashtag!K13</f>
        <v>26.4</v>
      </c>
      <c r="N13" s="5">
        <f>PasteHashtag!L13</f>
        <v>4.5</v>
      </c>
      <c r="O13" s="5">
        <f>PasteHashtag!M13</f>
        <v>5.3</v>
      </c>
      <c r="P13" s="5">
        <f>PasteHashtag!N13</f>
        <v>0.8</v>
      </c>
      <c r="Q13" s="5">
        <f>PasteHashtag!O13</f>
        <v>0.4</v>
      </c>
      <c r="R13" s="5">
        <f>PasteHashtag!P13</f>
        <v>2.8</v>
      </c>
      <c r="S13" s="5">
        <f>Mid(PasteHashtag!H13,FIND("/",PasteHashtag!H13)+1,LEN(PasteHashtag!H13)-FIND("/",PasteHashtag!H13)-1)*1</f>
        <v>18.7</v>
      </c>
      <c r="T13" s="306">
        <f>Mid(PasteHashtag!I13,FIND("/",PasteHashtag!I13)+1,LEN(PasteHashtag!I13)-FIND("/",PasteHashtag!I13)-1)*1</f>
        <v>4.4</v>
      </c>
      <c r="U13" s="26"/>
      <c r="V13" s="310" t="s">
        <v>222</v>
      </c>
      <c r="W13" s="311">
        <v>4.0</v>
      </c>
      <c r="X13" s="12">
        <v>3.0</v>
      </c>
      <c r="Y13" s="12">
        <v>4.0</v>
      </c>
      <c r="Z13" s="12">
        <v>11.0</v>
      </c>
      <c r="AB13" s="12" t="s">
        <v>102</v>
      </c>
    </row>
    <row r="14">
      <c r="A14" s="5">
        <v>13.0</v>
      </c>
      <c r="B14" s="5">
        <f>PasteHashtag!B14</f>
        <v>17</v>
      </c>
      <c r="C14" s="305" t="str">
        <f>PasteHashtag!C14</f>
        <v>Donovan Mitchell</v>
      </c>
      <c r="D14" s="5" t="str">
        <f>PasteHashtag!D14</f>
        <v>PG,SG</v>
      </c>
      <c r="E14" s="5" t="str">
        <f>PasteHashtag!E14</f>
        <v>CLE</v>
      </c>
      <c r="F14" s="5">
        <f>PasteHashtag!F14</f>
        <v>67</v>
      </c>
      <c r="G14" s="5">
        <f>PasteHashtag!G14</f>
        <v>33.7</v>
      </c>
      <c r="H14" s="5">
        <f>MID(PasteHashtag!H14,1+FIND("(",PasteHashtag!H14),FIND("/",PasteHashtag!H14)-FIND("(",PasteHashtag!H14)-1)*1</f>
        <v>9.1</v>
      </c>
      <c r="I14" s="5">
        <f>LEFT(PasteHashtag!H14,FIND("(",PasteHashtag!H14)-1)*1</f>
        <v>0.468</v>
      </c>
      <c r="J14" s="5">
        <f>MID(PasteHashtag!I14,1+FIND("(",PasteHashtag!I14),FIND("/",PasteHashtag!I14)-FIND("(",PasteHashtag!I14)-1)*1</f>
        <v>4.6</v>
      </c>
      <c r="K14" s="5">
        <f>LEFT(PasteHashtag!I14,FIND("(",PasteHashtag!I14)-1)*1</f>
        <v>0.866</v>
      </c>
      <c r="L14" s="5">
        <f>PasteHashtag!J14</f>
        <v>3.3</v>
      </c>
      <c r="M14" s="5">
        <f>PasteHashtag!K14</f>
        <v>26.2</v>
      </c>
      <c r="N14" s="5">
        <f>PasteHashtag!L14</f>
        <v>4.4</v>
      </c>
      <c r="O14" s="5">
        <f>PasteHashtag!M14</f>
        <v>5.4</v>
      </c>
      <c r="P14" s="5">
        <f>PasteHashtag!N14</f>
        <v>1.6</v>
      </c>
      <c r="Q14" s="5">
        <f>PasteHashtag!O14</f>
        <v>0.4</v>
      </c>
      <c r="R14" s="5">
        <f>PasteHashtag!P14</f>
        <v>2.8</v>
      </c>
      <c r="S14" s="5">
        <f>Mid(PasteHashtag!H14,FIND("/",PasteHashtag!H14)+1,LEN(PasteHashtag!H14)-FIND("/",PasteHashtag!H14)-1)*1</f>
        <v>19.5</v>
      </c>
      <c r="T14" s="306">
        <f>Mid(PasteHashtag!I14,FIND("/",PasteHashtag!I14)+1,LEN(PasteHashtag!I14)-FIND("/",PasteHashtag!I14)-1)*1</f>
        <v>5.4</v>
      </c>
      <c r="U14" s="26"/>
      <c r="V14" s="310" t="s">
        <v>106</v>
      </c>
      <c r="W14" s="311">
        <v>4.0</v>
      </c>
      <c r="X14" s="12">
        <v>3.0</v>
      </c>
      <c r="Y14" s="12">
        <v>4.0</v>
      </c>
      <c r="Z14" s="12">
        <v>11.0</v>
      </c>
      <c r="AB14" s="12" t="s">
        <v>106</v>
      </c>
    </row>
    <row r="15">
      <c r="A15" s="5">
        <v>14.0</v>
      </c>
      <c r="B15" s="5">
        <f>PasteHashtag!B15</f>
        <v>26.6</v>
      </c>
      <c r="C15" s="305" t="str">
        <f>PasteHashtag!C15</f>
        <v>Kyrie Irving</v>
      </c>
      <c r="D15" s="5" t="str">
        <f>PasteHashtag!D15</f>
        <v>PG,SG</v>
      </c>
      <c r="E15" s="5" t="str">
        <f>PasteHashtag!E15</f>
        <v>DAL</v>
      </c>
      <c r="F15" s="5">
        <f>PasteHashtag!F15</f>
        <v>61</v>
      </c>
      <c r="G15" s="5">
        <f>PasteHashtag!G15</f>
        <v>34.8</v>
      </c>
      <c r="H15" s="5">
        <f>MID(PasteHashtag!H15,1+FIND("(",PasteHashtag!H15),FIND("/",PasteHashtag!H15)-FIND("(",PasteHashtag!H15)-1)*1</f>
        <v>9.2</v>
      </c>
      <c r="I15" s="5">
        <f>LEFT(PasteHashtag!H15,FIND("(",PasteHashtag!H15)-1)*1</f>
        <v>0.495</v>
      </c>
      <c r="J15" s="5">
        <f>MID(PasteHashtag!I15,1+FIND("(",PasteHashtag!I15),FIND("/",PasteHashtag!I15)-FIND("(",PasteHashtag!I15)-1)*1</f>
        <v>3.2</v>
      </c>
      <c r="K15" s="5">
        <f>LEFT(PasteHashtag!I15,FIND("(",PasteHashtag!I15)-1)*1</f>
        <v>0.907</v>
      </c>
      <c r="L15" s="5">
        <f>PasteHashtag!J15</f>
        <v>3</v>
      </c>
      <c r="M15" s="5">
        <f>PasteHashtag!K15</f>
        <v>24.6</v>
      </c>
      <c r="N15" s="5">
        <f>PasteHashtag!L15</f>
        <v>4.9</v>
      </c>
      <c r="O15" s="5">
        <f>PasteHashtag!M15</f>
        <v>5.2</v>
      </c>
      <c r="P15" s="5">
        <f>PasteHashtag!N15</f>
        <v>1.2</v>
      </c>
      <c r="Q15" s="5">
        <f>PasteHashtag!O15</f>
        <v>0.6</v>
      </c>
      <c r="R15" s="5">
        <f>PasteHashtag!P15</f>
        <v>1.8</v>
      </c>
      <c r="S15" s="5">
        <f>Mid(PasteHashtag!H15,FIND("/",PasteHashtag!H15)+1,LEN(PasteHashtag!H15)-FIND("/",PasteHashtag!H15)-1)*1</f>
        <v>18.6</v>
      </c>
      <c r="T15" s="306">
        <f>Mid(PasteHashtag!I15,FIND("/",PasteHashtag!I15)+1,LEN(PasteHashtag!I15)-FIND("/",PasteHashtag!I15)-1)*1</f>
        <v>3.6</v>
      </c>
      <c r="U15" s="26"/>
      <c r="V15" s="310" t="s">
        <v>89</v>
      </c>
      <c r="W15" s="311">
        <v>3.0</v>
      </c>
      <c r="X15" s="12">
        <v>4.0</v>
      </c>
      <c r="Y15" s="12">
        <v>4.0</v>
      </c>
      <c r="Z15" s="12">
        <v>11.0</v>
      </c>
      <c r="AB15" s="12" t="s">
        <v>110</v>
      </c>
    </row>
    <row r="16">
      <c r="A16" s="5">
        <v>15.0</v>
      </c>
      <c r="B16" s="5">
        <f>PasteHashtag!B16</f>
        <v>18.3</v>
      </c>
      <c r="C16" s="305" t="str">
        <f>PasteHashtag!C16</f>
        <v>Kevin Durant</v>
      </c>
      <c r="D16" s="5" t="str">
        <f>PasteHashtag!D16</f>
        <v>SF,PF</v>
      </c>
      <c r="E16" s="5" t="str">
        <f>PasteHashtag!E16</f>
        <v>PHO</v>
      </c>
      <c r="F16" s="5">
        <f>PasteHashtag!F16</f>
        <v>65</v>
      </c>
      <c r="G16" s="5">
        <f>PasteHashtag!G16</f>
        <v>35.2</v>
      </c>
      <c r="H16" s="5">
        <f>MID(PasteHashtag!H16,1+FIND("(",PasteHashtag!H16),FIND("/",PasteHashtag!H16)-FIND("(",PasteHashtag!H16)-1)*1</f>
        <v>9.5</v>
      </c>
      <c r="I16" s="5">
        <f>LEFT(PasteHashtag!H16,FIND("(",PasteHashtag!H16)-1)*1</f>
        <v>0.52</v>
      </c>
      <c r="J16" s="5">
        <f>MID(PasteHashtag!I16,1+FIND("(",PasteHashtag!I16),FIND("/",PasteHashtag!I16)-FIND("(",PasteHashtag!I16)-1)*1</f>
        <v>4.6</v>
      </c>
      <c r="K16" s="5">
        <f>LEFT(PasteHashtag!I16,FIND("(",PasteHashtag!I16)-1)*1</f>
        <v>0.846</v>
      </c>
      <c r="L16" s="5">
        <f>PasteHashtag!J16</f>
        <v>2.1</v>
      </c>
      <c r="M16" s="5">
        <f>PasteHashtag!K16</f>
        <v>25.7</v>
      </c>
      <c r="N16" s="5">
        <f>PasteHashtag!L16</f>
        <v>6.4</v>
      </c>
      <c r="O16" s="5">
        <f>PasteHashtag!M16</f>
        <v>4.8</v>
      </c>
      <c r="P16" s="5">
        <f>PasteHashtag!N16</f>
        <v>0.8</v>
      </c>
      <c r="Q16" s="5">
        <f>PasteHashtag!O16</f>
        <v>1.2</v>
      </c>
      <c r="R16" s="5">
        <f>PasteHashtag!P16</f>
        <v>3.2</v>
      </c>
      <c r="S16" s="5">
        <f>Mid(PasteHashtag!H16,FIND("/",PasteHashtag!H16)+1,LEN(PasteHashtag!H16)-FIND("/",PasteHashtag!H16)-1)*1</f>
        <v>18.3</v>
      </c>
      <c r="T16" s="306">
        <f>Mid(PasteHashtag!I16,FIND("/",PasteHashtag!I16)+1,LEN(PasteHashtag!I16)-FIND("/",PasteHashtag!I16)-1)*1</f>
        <v>5.5</v>
      </c>
      <c r="U16" s="26"/>
      <c r="V16" s="310" t="s">
        <v>173</v>
      </c>
      <c r="W16" s="311">
        <v>4.0</v>
      </c>
      <c r="X16" s="12">
        <v>4.0</v>
      </c>
      <c r="Y16" s="12">
        <v>3.0</v>
      </c>
      <c r="Z16" s="12">
        <v>11.0</v>
      </c>
      <c r="AB16" s="12" t="s">
        <v>57</v>
      </c>
    </row>
    <row r="17">
      <c r="A17" s="5">
        <v>16.0</v>
      </c>
      <c r="B17" s="5">
        <f>PasteHashtag!B17</f>
        <v>24.2</v>
      </c>
      <c r="C17" s="305" t="str">
        <f>PasteHashtag!C17</f>
        <v>LeBron James</v>
      </c>
      <c r="D17" s="5" t="str">
        <f>PasteHashtag!D17</f>
        <v>SF,PF</v>
      </c>
      <c r="E17" s="5" t="str">
        <f>PasteHashtag!E17</f>
        <v>LAL</v>
      </c>
      <c r="F17" s="5">
        <f>PasteHashtag!F17</f>
        <v>67</v>
      </c>
      <c r="G17" s="5">
        <f>PasteHashtag!G17</f>
        <v>34</v>
      </c>
      <c r="H17" s="5">
        <f>MID(PasteHashtag!H17,1+FIND("(",PasteHashtag!H17),FIND("/",PasteHashtag!H17)-FIND("(",PasteHashtag!H17)-1)*1</f>
        <v>9.4</v>
      </c>
      <c r="I17" s="5">
        <f>LEFT(PasteHashtag!H17,FIND("(",PasteHashtag!H17)-1)*1</f>
        <v>0.535</v>
      </c>
      <c r="J17" s="5">
        <f>MID(PasteHashtag!I17,1+FIND("(",PasteHashtag!I17),FIND("/",PasteHashtag!I17)-FIND("(",PasteHashtag!I17)-1)*1</f>
        <v>4.3</v>
      </c>
      <c r="K17" s="5">
        <f>LEFT(PasteHashtag!I17,FIND("(",PasteHashtag!I17)-1)*1</f>
        <v>0.758</v>
      </c>
      <c r="L17" s="5">
        <f>PasteHashtag!J17</f>
        <v>2.1</v>
      </c>
      <c r="M17" s="5">
        <f>PasteHashtag!K17</f>
        <v>25.2</v>
      </c>
      <c r="N17" s="5">
        <f>PasteHashtag!L17</f>
        <v>7.2</v>
      </c>
      <c r="O17" s="5">
        <f>PasteHashtag!M17</f>
        <v>8.2</v>
      </c>
      <c r="P17" s="5">
        <f>PasteHashtag!N17</f>
        <v>1.1</v>
      </c>
      <c r="Q17" s="5">
        <f>PasteHashtag!O17</f>
        <v>0.5</v>
      </c>
      <c r="R17" s="5">
        <f>PasteHashtag!P17</f>
        <v>3.3</v>
      </c>
      <c r="S17" s="5">
        <f>Mid(PasteHashtag!H17,FIND("/",PasteHashtag!H17)+1,LEN(PasteHashtag!H17)-FIND("/",PasteHashtag!H17)-1)*1</f>
        <v>17.6</v>
      </c>
      <c r="T17" s="306">
        <f>Mid(PasteHashtag!I17,FIND("/",PasteHashtag!I17)+1,LEN(PasteHashtag!I17)-FIND("/",PasteHashtag!I17)-1)*1</f>
        <v>5.6</v>
      </c>
      <c r="U17" s="26"/>
      <c r="V17" s="310" t="s">
        <v>74</v>
      </c>
      <c r="W17" s="311">
        <v>4.0</v>
      </c>
      <c r="X17" s="12">
        <v>4.0</v>
      </c>
      <c r="Y17" s="12">
        <v>3.0</v>
      </c>
      <c r="Z17" s="12">
        <v>11.0</v>
      </c>
      <c r="AB17" s="12" t="s">
        <v>118</v>
      </c>
    </row>
    <row r="18">
      <c r="A18" s="5">
        <v>17.0</v>
      </c>
      <c r="B18" s="5">
        <f>PasteHashtag!B18</f>
        <v>19</v>
      </c>
      <c r="C18" s="305" t="str">
        <f>PasteHashtag!C18</f>
        <v>Scottie Barnes</v>
      </c>
      <c r="D18" s="5" t="str">
        <f>PasteHashtag!D18</f>
        <v>SG,SF,PF</v>
      </c>
      <c r="E18" s="5" t="str">
        <f>PasteHashtag!E18</f>
        <v>TOR</v>
      </c>
      <c r="F18" s="5">
        <f>PasteHashtag!F18</f>
        <v>70</v>
      </c>
      <c r="G18" s="5">
        <f>PasteHashtag!G18</f>
        <v>34.8</v>
      </c>
      <c r="H18" s="5">
        <f>MID(PasteHashtag!H18,1+FIND("(",PasteHashtag!H18),FIND("/",PasteHashtag!H18)-FIND("(",PasteHashtag!H18)-1)*1</f>
        <v>7</v>
      </c>
      <c r="I18" s="5">
        <f>LEFT(PasteHashtag!H18,FIND("(",PasteHashtag!H18)-1)*1</f>
        <v>0.479</v>
      </c>
      <c r="J18" s="5">
        <f>MID(PasteHashtag!I18,1+FIND("(",PasteHashtag!I18),FIND("/",PasteHashtag!I18)-FIND("(",PasteHashtag!I18)-1)*1</f>
        <v>3.5</v>
      </c>
      <c r="K18" s="5">
        <f>LEFT(PasteHashtag!I18,FIND("(",PasteHashtag!I18)-1)*1</f>
        <v>0.791</v>
      </c>
      <c r="L18" s="5">
        <f>PasteHashtag!J18</f>
        <v>1.7</v>
      </c>
      <c r="M18" s="5">
        <f>PasteHashtag!K18</f>
        <v>19.1</v>
      </c>
      <c r="N18" s="5">
        <f>PasteHashtag!L18</f>
        <v>8.3</v>
      </c>
      <c r="O18" s="5">
        <f>PasteHashtag!M18</f>
        <v>6</v>
      </c>
      <c r="P18" s="5">
        <f>PasteHashtag!N18</f>
        <v>1.3</v>
      </c>
      <c r="Q18" s="5">
        <f>PasteHashtag!O18</f>
        <v>1.5</v>
      </c>
      <c r="R18" s="5">
        <f>PasteHashtag!P18</f>
        <v>2.4</v>
      </c>
      <c r="S18" s="5">
        <f>Mid(PasteHashtag!H18,FIND("/",PasteHashtag!H18)+1,LEN(PasteHashtag!H18)-FIND("/",PasteHashtag!H18)-1)*1</f>
        <v>14.5</v>
      </c>
      <c r="T18" s="306">
        <f>Mid(PasteHashtag!I18,FIND("/",PasteHashtag!I18)+1,LEN(PasteHashtag!I18)-FIND("/",PasteHashtag!I18)-1)*1</f>
        <v>4.4</v>
      </c>
      <c r="U18" s="26"/>
      <c r="V18" s="310" t="s">
        <v>45</v>
      </c>
      <c r="W18" s="311">
        <v>4.0</v>
      </c>
      <c r="X18" s="12">
        <v>4.0</v>
      </c>
      <c r="Y18" s="12">
        <v>3.0</v>
      </c>
      <c r="Z18" s="12">
        <v>11.0</v>
      </c>
      <c r="AB18" s="12" t="s">
        <v>63</v>
      </c>
    </row>
    <row r="19">
      <c r="A19" s="5">
        <v>18.0</v>
      </c>
      <c r="B19" s="5">
        <f>PasteHashtag!B19</f>
        <v>24.3</v>
      </c>
      <c r="C19" s="305" t="str">
        <f>PasteHashtag!C19</f>
        <v>Damian Lillard</v>
      </c>
      <c r="D19" s="5" t="str">
        <f>PasteHashtag!D19</f>
        <v>PG</v>
      </c>
      <c r="E19" s="5" t="str">
        <f>PasteHashtag!E19</f>
        <v>MIL</v>
      </c>
      <c r="F19" s="5">
        <f>PasteHashtag!F19</f>
        <v>70</v>
      </c>
      <c r="G19" s="5">
        <f>PasteHashtag!G19</f>
        <v>35.2</v>
      </c>
      <c r="H19" s="5">
        <f>MID(PasteHashtag!H19,1+FIND("(",PasteHashtag!H19),FIND("/",PasteHashtag!H19)-FIND("(",PasteHashtag!H19)-1)*1</f>
        <v>7.7</v>
      </c>
      <c r="I19" s="5">
        <f>LEFT(PasteHashtag!H19,FIND("(",PasteHashtag!H19)-1)*1</f>
        <v>0.432</v>
      </c>
      <c r="J19" s="5">
        <f>MID(PasteHashtag!I19,1+FIND("(",PasteHashtag!I19),FIND("/",PasteHashtag!I19)-FIND("(",PasteHashtag!I19)-1)*1</f>
        <v>6.5</v>
      </c>
      <c r="K19" s="5">
        <f>LEFT(PasteHashtag!I19,FIND("(",PasteHashtag!I19)-1)*1</f>
        <v>0.918</v>
      </c>
      <c r="L19" s="5">
        <f>PasteHashtag!J19</f>
        <v>3.1</v>
      </c>
      <c r="M19" s="5">
        <f>PasteHashtag!K19</f>
        <v>24.9</v>
      </c>
      <c r="N19" s="5">
        <f>PasteHashtag!L19</f>
        <v>4.5</v>
      </c>
      <c r="O19" s="5">
        <f>PasteHashtag!M19</f>
        <v>7.1</v>
      </c>
      <c r="P19" s="5">
        <f>PasteHashtag!N19</f>
        <v>0.9</v>
      </c>
      <c r="Q19" s="5">
        <f>PasteHashtag!O19</f>
        <v>0.3</v>
      </c>
      <c r="R19" s="5">
        <f>PasteHashtag!P19</f>
        <v>2.9</v>
      </c>
      <c r="S19" s="5">
        <f>Mid(PasteHashtag!H19,FIND("/",PasteHashtag!H19)+1,LEN(PasteHashtag!H19)-FIND("/",PasteHashtag!H19)-1)*1</f>
        <v>17.8</v>
      </c>
      <c r="T19" s="306">
        <f>Mid(PasteHashtag!I19,FIND("/",PasteHashtag!I19)+1,LEN(PasteHashtag!I19)-FIND("/",PasteHashtag!I19)-1)*1</f>
        <v>7</v>
      </c>
      <c r="U19" s="26"/>
      <c r="V19" s="310" t="s">
        <v>259</v>
      </c>
      <c r="W19" s="311">
        <v>4.0</v>
      </c>
      <c r="X19" s="12">
        <v>3.0</v>
      </c>
      <c r="Y19" s="12">
        <v>4.0</v>
      </c>
      <c r="Z19" s="12">
        <v>11.0</v>
      </c>
      <c r="AB19" s="12" t="s">
        <v>126</v>
      </c>
    </row>
    <row r="20">
      <c r="A20" s="5">
        <v>19.0</v>
      </c>
      <c r="B20" s="5">
        <f>PasteHashtag!B20</f>
        <v>20</v>
      </c>
      <c r="C20" s="305" t="str">
        <f>PasteHashtag!C20</f>
        <v>Devin Booker</v>
      </c>
      <c r="D20" s="5" t="str">
        <f>PasteHashtag!D20</f>
        <v>PG,SG</v>
      </c>
      <c r="E20" s="5" t="str">
        <f>PasteHashtag!E20</f>
        <v>PHO</v>
      </c>
      <c r="F20" s="5">
        <f>PasteHashtag!F20</f>
        <v>68</v>
      </c>
      <c r="G20" s="5">
        <f>PasteHashtag!G20</f>
        <v>35.1</v>
      </c>
      <c r="H20" s="5">
        <f>MID(PasteHashtag!H20,1+FIND("(",PasteHashtag!H20),FIND("/",PasteHashtag!H20)-FIND("(",PasteHashtag!H20)-1)*1</f>
        <v>9.9</v>
      </c>
      <c r="I20" s="5">
        <f>LEFT(PasteHashtag!H20,FIND("(",PasteHashtag!H20)-1)*1</f>
        <v>0.49</v>
      </c>
      <c r="J20" s="5">
        <f>MID(PasteHashtag!I20,1+FIND("(",PasteHashtag!I20),FIND("/",PasteHashtag!I20)-FIND("(",PasteHashtag!I20)-1)*1</f>
        <v>5.9</v>
      </c>
      <c r="K20" s="5">
        <f>LEFT(PasteHashtag!I20,FIND("(",PasteHashtag!I20)-1)*1</f>
        <v>0.873</v>
      </c>
      <c r="L20" s="5">
        <f>PasteHashtag!J20</f>
        <v>2.2</v>
      </c>
      <c r="M20" s="5">
        <f>PasteHashtag!K20</f>
        <v>27.8</v>
      </c>
      <c r="N20" s="5">
        <f>PasteHashtag!L20</f>
        <v>4.5</v>
      </c>
      <c r="O20" s="5">
        <f>PasteHashtag!M20</f>
        <v>5.5</v>
      </c>
      <c r="P20" s="5">
        <f>PasteHashtag!N20</f>
        <v>1</v>
      </c>
      <c r="Q20" s="5">
        <f>PasteHashtag!O20</f>
        <v>0.4</v>
      </c>
      <c r="R20" s="5">
        <f>PasteHashtag!P20</f>
        <v>2.7</v>
      </c>
      <c r="S20" s="5">
        <f>Mid(PasteHashtag!H20,FIND("/",PasteHashtag!H20)+1,LEN(PasteHashtag!H20)-FIND("/",PasteHashtag!H20)-1)*1</f>
        <v>20.1</v>
      </c>
      <c r="T20" s="306">
        <f>Mid(PasteHashtag!I20,FIND("/",PasteHashtag!I20)+1,LEN(PasteHashtag!I20)-FIND("/",PasteHashtag!I20)-1)*1</f>
        <v>6.8</v>
      </c>
      <c r="U20" s="26"/>
      <c r="V20" s="310" t="s">
        <v>144</v>
      </c>
      <c r="W20" s="311">
        <v>4.0</v>
      </c>
      <c r="X20" s="12">
        <v>3.0</v>
      </c>
      <c r="Y20" s="12">
        <v>4.0</v>
      </c>
      <c r="Z20" s="12">
        <v>11.0</v>
      </c>
      <c r="AB20" s="12" t="s">
        <v>74</v>
      </c>
    </row>
    <row r="21">
      <c r="A21" s="5">
        <v>20.0</v>
      </c>
      <c r="B21" s="5">
        <f>PasteHashtag!B21</f>
        <v>22.3</v>
      </c>
      <c r="C21" s="305" t="str">
        <f>PasteHashtag!C21</f>
        <v>LaMelo Ball</v>
      </c>
      <c r="D21" s="5" t="str">
        <f>PasteHashtag!D21</f>
        <v>PG,SG</v>
      </c>
      <c r="E21" s="5" t="str">
        <f>PasteHashtag!E21</f>
        <v>CHA</v>
      </c>
      <c r="F21" s="5">
        <f>PasteHashtag!F21</f>
        <v>58</v>
      </c>
      <c r="G21" s="5">
        <f>PasteHashtag!G21</f>
        <v>32.4</v>
      </c>
      <c r="H21" s="5">
        <f>MID(PasteHashtag!H21,1+FIND("(",PasteHashtag!H21),FIND("/",PasteHashtag!H21)-FIND("(",PasteHashtag!H21)-1)*1</f>
        <v>8.2</v>
      </c>
      <c r="I21" s="5">
        <f>LEFT(PasteHashtag!H21,FIND("(",PasteHashtag!H21)-1)*1</f>
        <v>0.427</v>
      </c>
      <c r="J21" s="5">
        <f>MID(PasteHashtag!I21,1+FIND("(",PasteHashtag!I21),FIND("/",PasteHashtag!I21)-FIND("(",PasteHashtag!I21)-1)*1</f>
        <v>3.2</v>
      </c>
      <c r="K21" s="5">
        <f>LEFT(PasteHashtag!I21,FIND("(",PasteHashtag!I21)-1)*1</f>
        <v>0.857</v>
      </c>
      <c r="L21" s="5">
        <f>PasteHashtag!J21</f>
        <v>3.6</v>
      </c>
      <c r="M21" s="5">
        <f>PasteHashtag!K21</f>
        <v>23.2</v>
      </c>
      <c r="N21" s="5">
        <f>PasteHashtag!L21</f>
        <v>5.7</v>
      </c>
      <c r="O21" s="5">
        <f>PasteHashtag!M21</f>
        <v>8.6</v>
      </c>
      <c r="P21" s="5">
        <f>PasteHashtag!N21</f>
        <v>1.6</v>
      </c>
      <c r="Q21" s="5">
        <f>PasteHashtag!O21</f>
        <v>0.3</v>
      </c>
      <c r="R21" s="5">
        <f>PasteHashtag!P21</f>
        <v>3.5</v>
      </c>
      <c r="S21" s="5">
        <f>Mid(PasteHashtag!H21,FIND("/",PasteHashtag!H21)+1,LEN(PasteHashtag!H21)-FIND("/",PasteHashtag!H21)-1)*1</f>
        <v>19.2</v>
      </c>
      <c r="T21" s="306">
        <f>Mid(PasteHashtag!I21,FIND("/",PasteHashtag!I21)+1,LEN(PasteHashtag!I21)-FIND("/",PasteHashtag!I21)-1)*1</f>
        <v>3.7</v>
      </c>
      <c r="U21" s="26"/>
      <c r="V21" s="310" t="s">
        <v>35</v>
      </c>
      <c r="W21" s="311">
        <v>3.0</v>
      </c>
      <c r="X21" s="12">
        <v>4.0</v>
      </c>
      <c r="Y21" s="12">
        <v>4.0</v>
      </c>
      <c r="Z21" s="12">
        <v>11.0</v>
      </c>
      <c r="AB21" s="12" t="s">
        <v>118</v>
      </c>
    </row>
    <row r="22">
      <c r="A22" s="5">
        <v>21.0</v>
      </c>
      <c r="B22" s="5">
        <f>PasteHashtag!B22</f>
        <v>22.1</v>
      </c>
      <c r="C22" s="305" t="str">
        <f>PasteHashtag!C22</f>
        <v>Karl-Anthony Towns</v>
      </c>
      <c r="D22" s="5" t="str">
        <f>PasteHashtag!D22</f>
        <v>PF,C</v>
      </c>
      <c r="E22" s="5" t="str">
        <f>PasteHashtag!E22</f>
        <v>NY</v>
      </c>
      <c r="F22" s="5">
        <f>PasteHashtag!F22</f>
        <v>67</v>
      </c>
      <c r="G22" s="5">
        <f>PasteHashtag!G22</f>
        <v>33.7</v>
      </c>
      <c r="H22" s="5">
        <f>MID(PasteHashtag!H22,1+FIND("(",PasteHashtag!H22),FIND("/",PasteHashtag!H22)-FIND("(",PasteHashtag!H22)-1)*1</f>
        <v>7.4</v>
      </c>
      <c r="I22" s="5">
        <f>LEFT(PasteHashtag!H22,FIND("(",PasteHashtag!H22)-1)*1</f>
        <v>0.501</v>
      </c>
      <c r="J22" s="5">
        <f>MID(PasteHashtag!I22,1+FIND("(",PasteHashtag!I22),FIND("/",PasteHashtag!I22)-FIND("(",PasteHashtag!I22)-1)*1</f>
        <v>4.4</v>
      </c>
      <c r="K22" s="5">
        <f>LEFT(PasteHashtag!I22,FIND("(",PasteHashtag!I22)-1)*1</f>
        <v>0.873</v>
      </c>
      <c r="L22" s="5">
        <f>PasteHashtag!J22</f>
        <v>2.2</v>
      </c>
      <c r="M22" s="5">
        <f>PasteHashtag!K22</f>
        <v>21.4</v>
      </c>
      <c r="N22" s="5">
        <f>PasteHashtag!L22</f>
        <v>9.5</v>
      </c>
      <c r="O22" s="5">
        <f>PasteHashtag!M22</f>
        <v>3.3</v>
      </c>
      <c r="P22" s="5">
        <f>PasteHashtag!N22</f>
        <v>0.7</v>
      </c>
      <c r="Q22" s="5">
        <f>PasteHashtag!O22</f>
        <v>1</v>
      </c>
      <c r="R22" s="5">
        <f>PasteHashtag!P22</f>
        <v>2.9</v>
      </c>
      <c r="S22" s="5">
        <f>Mid(PasteHashtag!H22,FIND("/",PasteHashtag!H22)+1,LEN(PasteHashtag!H22)-FIND("/",PasteHashtag!H22)-1)*1</f>
        <v>14.8</v>
      </c>
      <c r="T22" s="306">
        <f>Mid(PasteHashtag!I22,FIND("/",PasteHashtag!I22)+1,LEN(PasteHashtag!I22)-FIND("/",PasteHashtag!I22)-1)*1</f>
        <v>5.1</v>
      </c>
      <c r="U22" s="26"/>
      <c r="V22" s="310" t="s">
        <v>287</v>
      </c>
      <c r="W22" s="311">
        <v>3.0</v>
      </c>
      <c r="X22" s="12">
        <v>5.0</v>
      </c>
      <c r="Y22" s="12">
        <v>3.0</v>
      </c>
      <c r="Z22" s="12">
        <v>11.0</v>
      </c>
      <c r="AB22" s="12" t="s">
        <v>136</v>
      </c>
    </row>
    <row r="23">
      <c r="A23" s="5">
        <v>22.0</v>
      </c>
      <c r="B23" s="5">
        <f>PasteHashtag!B23</f>
        <v>14.6</v>
      </c>
      <c r="C23" s="305" t="str">
        <f>PasteHashtag!C23</f>
        <v>Domantas Sabonis</v>
      </c>
      <c r="D23" s="5" t="str">
        <f>PasteHashtag!D23</f>
        <v>C</v>
      </c>
      <c r="E23" s="5" t="str">
        <f>PasteHashtag!E23</f>
        <v>SAC</v>
      </c>
      <c r="F23" s="5">
        <f>PasteHashtag!F23</f>
        <v>77</v>
      </c>
      <c r="G23" s="5">
        <f>PasteHashtag!G23</f>
        <v>35.6</v>
      </c>
      <c r="H23" s="5">
        <f>MID(PasteHashtag!H23,1+FIND("(",PasteHashtag!H23),FIND("/",PasteHashtag!H23)-FIND("(",PasteHashtag!H23)-1)*1</f>
        <v>7.2</v>
      </c>
      <c r="I23" s="5">
        <f>LEFT(PasteHashtag!H23,FIND("(",PasteHashtag!H23)-1)*1</f>
        <v>0.6</v>
      </c>
      <c r="J23" s="5">
        <f>MID(PasteHashtag!I23,1+FIND("(",PasteHashtag!I23),FIND("/",PasteHashtag!I23)-FIND("(",PasteHashtag!I23)-1)*1</f>
        <v>3.9</v>
      </c>
      <c r="K23" s="5">
        <f>LEFT(PasteHashtag!I23,FIND("(",PasteHashtag!I23)-1)*1</f>
        <v>0.725</v>
      </c>
      <c r="L23" s="5">
        <f>PasteHashtag!J23</f>
        <v>0.4</v>
      </c>
      <c r="M23" s="5">
        <f>PasteHashtag!K23</f>
        <v>18.8</v>
      </c>
      <c r="N23" s="5">
        <f>PasteHashtag!L23</f>
        <v>13.2</v>
      </c>
      <c r="O23" s="5">
        <f>PasteHashtag!M23</f>
        <v>7.9</v>
      </c>
      <c r="P23" s="5">
        <f>PasteHashtag!N23</f>
        <v>0.9</v>
      </c>
      <c r="Q23" s="5">
        <f>PasteHashtag!O23</f>
        <v>0.6</v>
      </c>
      <c r="R23" s="5">
        <f>PasteHashtag!P23</f>
        <v>3.2</v>
      </c>
      <c r="S23" s="5">
        <f>Mid(PasteHashtag!H23,FIND("/",PasteHashtag!H23)+1,LEN(PasteHashtag!H23)-FIND("/",PasteHashtag!H23)-1)*1</f>
        <v>12.1</v>
      </c>
      <c r="T23" s="306">
        <f>Mid(PasteHashtag!I23,FIND("/",PasteHashtag!I23)+1,LEN(PasteHashtag!I23)-FIND("/",PasteHashtag!I23)-1)*1</f>
        <v>5.4</v>
      </c>
      <c r="U23" s="26"/>
      <c r="V23" s="310" t="s">
        <v>98</v>
      </c>
      <c r="W23" s="311">
        <v>3.0</v>
      </c>
      <c r="X23" s="12">
        <v>4.0</v>
      </c>
      <c r="Y23" s="12">
        <v>3.0</v>
      </c>
      <c r="Z23" s="12">
        <v>10.0</v>
      </c>
      <c r="AB23" s="12" t="s">
        <v>144</v>
      </c>
    </row>
    <row r="24">
      <c r="A24" s="5">
        <v>23.0</v>
      </c>
      <c r="B24" s="5">
        <f>PasteHashtag!B24</f>
        <v>30.1</v>
      </c>
      <c r="C24" s="305" t="str">
        <f>PasteHashtag!C24</f>
        <v>Lauri Markkanen</v>
      </c>
      <c r="D24" s="5" t="str">
        <f>PasteHashtag!D24</f>
        <v>SF,PF</v>
      </c>
      <c r="E24" s="5" t="str">
        <f>PasteHashtag!E24</f>
        <v>UTA</v>
      </c>
      <c r="F24" s="5">
        <f>PasteHashtag!F24</f>
        <v>64</v>
      </c>
      <c r="G24" s="5">
        <f>PasteHashtag!G24</f>
        <v>33.5</v>
      </c>
      <c r="H24" s="5">
        <f>MID(PasteHashtag!H24,1+FIND("(",PasteHashtag!H24),FIND("/",PasteHashtag!H24)-FIND("(",PasteHashtag!H24)-1)*1</f>
        <v>8.3</v>
      </c>
      <c r="I24" s="5">
        <f>LEFT(PasteHashtag!H24,FIND("(",PasteHashtag!H24)-1)*1</f>
        <v>0.483</v>
      </c>
      <c r="J24" s="5">
        <f>MID(PasteHashtag!I24,1+FIND("(",PasteHashtag!I24),FIND("/",PasteHashtag!I24)-FIND("(",PasteHashtag!I24)-1)*1</f>
        <v>4.9</v>
      </c>
      <c r="K24" s="5">
        <f>LEFT(PasteHashtag!I24,FIND("(",PasteHashtag!I24)-1)*1</f>
        <v>0.884</v>
      </c>
      <c r="L24" s="5">
        <f>PasteHashtag!J24</f>
        <v>3.1</v>
      </c>
      <c r="M24" s="5">
        <f>PasteHashtag!K24</f>
        <v>24.5</v>
      </c>
      <c r="N24" s="5">
        <f>PasteHashtag!L24</f>
        <v>8.4</v>
      </c>
      <c r="O24" s="5">
        <f>PasteHashtag!M24</f>
        <v>1.9</v>
      </c>
      <c r="P24" s="5">
        <f>PasteHashtag!N24</f>
        <v>0.8</v>
      </c>
      <c r="Q24" s="5">
        <f>PasteHashtag!O24</f>
        <v>0.5</v>
      </c>
      <c r="R24" s="5">
        <f>PasteHashtag!P24</f>
        <v>1.7</v>
      </c>
      <c r="S24" s="5">
        <f>Mid(PasteHashtag!H24,FIND("/",PasteHashtag!H24)+1,LEN(PasteHashtag!H24)-FIND("/",PasteHashtag!H24)-1)*1</f>
        <v>17.1</v>
      </c>
      <c r="T24" s="306">
        <f>Mid(PasteHashtag!I24,FIND("/",PasteHashtag!I24)+1,LEN(PasteHashtag!I24)-FIND("/",PasteHashtag!I24)-1)*1</f>
        <v>5.6</v>
      </c>
      <c r="U24" s="26"/>
      <c r="V24" s="310" t="s">
        <v>243</v>
      </c>
      <c r="W24" s="311">
        <v>2.0</v>
      </c>
      <c r="X24" s="12">
        <v>4.0</v>
      </c>
      <c r="Y24" s="12">
        <v>4.0</v>
      </c>
      <c r="Z24" s="12">
        <v>10.0</v>
      </c>
      <c r="AB24" s="12" t="s">
        <v>140</v>
      </c>
    </row>
    <row r="25">
      <c r="A25" s="5">
        <v>24.0</v>
      </c>
      <c r="B25" s="5">
        <f>PasteHashtag!B25</f>
        <v>17.6</v>
      </c>
      <c r="C25" s="305" t="str">
        <f>PasteHashtag!C25</f>
        <v>Chet Holmgren</v>
      </c>
      <c r="D25" s="5" t="str">
        <f>PasteHashtag!D25</f>
        <v>PF,C</v>
      </c>
      <c r="E25" s="5" t="str">
        <f>PasteHashtag!E25</f>
        <v>OKC</v>
      </c>
      <c r="F25" s="5">
        <f>PasteHashtag!F25</f>
        <v>75</v>
      </c>
      <c r="G25" s="5">
        <f>PasteHashtag!G25</f>
        <v>30.6</v>
      </c>
      <c r="H25" s="5">
        <f>MID(PasteHashtag!H25,1+FIND("(",PasteHashtag!H25),FIND("/",PasteHashtag!H25)-FIND("(",PasteHashtag!H25)-1)*1</f>
        <v>6.5</v>
      </c>
      <c r="I25" s="5">
        <f>LEFT(PasteHashtag!H25,FIND("(",PasteHashtag!H25)-1)*1</f>
        <v>0.53</v>
      </c>
      <c r="J25" s="5">
        <f>MID(PasteHashtag!I25,1+FIND("(",PasteHashtag!I25),FIND("/",PasteHashtag!I25)-FIND("(",PasteHashtag!I25)-1)*1</f>
        <v>2.8</v>
      </c>
      <c r="K25" s="5">
        <f>LEFT(PasteHashtag!I25,FIND("(",PasteHashtag!I25)-1)*1</f>
        <v>0.793</v>
      </c>
      <c r="L25" s="5">
        <f>PasteHashtag!J25</f>
        <v>1.7</v>
      </c>
      <c r="M25" s="5">
        <f>PasteHashtag!K25</f>
        <v>17.4</v>
      </c>
      <c r="N25" s="5">
        <f>PasteHashtag!L25</f>
        <v>8.1</v>
      </c>
      <c r="O25" s="5">
        <f>PasteHashtag!M25</f>
        <v>2.6</v>
      </c>
      <c r="P25" s="5">
        <f>PasteHashtag!N25</f>
        <v>0.7</v>
      </c>
      <c r="Q25" s="5">
        <f>PasteHashtag!O25</f>
        <v>2.3</v>
      </c>
      <c r="R25" s="5">
        <f>PasteHashtag!P25</f>
        <v>1.7</v>
      </c>
      <c r="S25" s="5">
        <f>Mid(PasteHashtag!H25,FIND("/",PasteHashtag!H25)+1,LEN(PasteHashtag!H25)-FIND("/",PasteHashtag!H25)-1)*1</f>
        <v>12.2</v>
      </c>
      <c r="T25" s="306">
        <f>Mid(PasteHashtag!I25,FIND("/",PasteHashtag!I25)+1,LEN(PasteHashtag!I25)-FIND("/",PasteHashtag!I25)-1)*1</f>
        <v>3.5</v>
      </c>
      <c r="U25" s="26"/>
      <c r="V25" s="310" t="s">
        <v>57</v>
      </c>
      <c r="W25" s="311">
        <v>4.0</v>
      </c>
      <c r="X25" s="12">
        <v>4.0</v>
      </c>
      <c r="Y25" s="12">
        <v>2.0</v>
      </c>
      <c r="Z25" s="12">
        <v>10.0</v>
      </c>
      <c r="AB25" s="12" t="s">
        <v>148</v>
      </c>
    </row>
    <row r="26">
      <c r="A26" s="5">
        <v>25.0</v>
      </c>
      <c r="B26" s="5">
        <f>PasteHashtag!B26</f>
        <v>19.1</v>
      </c>
      <c r="C26" s="305" t="str">
        <f>PasteHashtag!C26</f>
        <v>Jalen Brunson</v>
      </c>
      <c r="D26" s="5" t="str">
        <f>PasteHashtag!D26</f>
        <v>PG</v>
      </c>
      <c r="E26" s="5" t="str">
        <f>PasteHashtag!E26</f>
        <v>NY</v>
      </c>
      <c r="F26" s="5">
        <f>PasteHashtag!F26</f>
        <v>74</v>
      </c>
      <c r="G26" s="5">
        <f>PasteHashtag!G26</f>
        <v>34.9</v>
      </c>
      <c r="H26" s="5">
        <f>MID(PasteHashtag!H26,1+FIND("(",PasteHashtag!H26),FIND("/",PasteHashtag!H26)-FIND("(",PasteHashtag!H26)-1)*1</f>
        <v>9.8</v>
      </c>
      <c r="I26" s="5">
        <f>LEFT(PasteHashtag!H26,FIND("(",PasteHashtag!H26)-1)*1</f>
        <v>0.484</v>
      </c>
      <c r="J26" s="5">
        <f>MID(PasteHashtag!I26,1+FIND("(",PasteHashtag!I26),FIND("/",PasteHashtag!I26)-FIND("(",PasteHashtag!I26)-1)*1</f>
        <v>5.3</v>
      </c>
      <c r="K26" s="5">
        <f>LEFT(PasteHashtag!I26,FIND("(",PasteHashtag!I26)-1)*1</f>
        <v>0.839</v>
      </c>
      <c r="L26" s="5">
        <f>PasteHashtag!J26</f>
        <v>2.7</v>
      </c>
      <c r="M26" s="5">
        <f>PasteHashtag!K26</f>
        <v>27.7</v>
      </c>
      <c r="N26" s="5">
        <f>PasteHashtag!L26</f>
        <v>3.7</v>
      </c>
      <c r="O26" s="5">
        <f>PasteHashtag!M26</f>
        <v>7</v>
      </c>
      <c r="P26" s="5">
        <f>PasteHashtag!N26</f>
        <v>0.9</v>
      </c>
      <c r="Q26" s="5">
        <f>PasteHashtag!O26</f>
        <v>0.2</v>
      </c>
      <c r="R26" s="5">
        <f>PasteHashtag!P26</f>
        <v>2.3</v>
      </c>
      <c r="S26" s="5">
        <f>Mid(PasteHashtag!H26,FIND("/",PasteHashtag!H26)+1,LEN(PasteHashtag!H26)-FIND("/",PasteHashtag!H26)-1)*1</f>
        <v>20.3</v>
      </c>
      <c r="T26" s="306">
        <f>Mid(PasteHashtag!I26,FIND("/",PasteHashtag!I26)+1,LEN(PasteHashtag!I26)-FIND("/",PasteHashtag!I26)-1)*1</f>
        <v>6.4</v>
      </c>
      <c r="U26" s="26"/>
      <c r="V26" s="310" t="s">
        <v>63</v>
      </c>
      <c r="W26" s="311">
        <v>3.0</v>
      </c>
      <c r="X26" s="12">
        <v>4.0</v>
      </c>
      <c r="Y26" s="12">
        <v>3.0</v>
      </c>
      <c r="Z26" s="12">
        <v>10.0</v>
      </c>
      <c r="AB26" s="12" t="s">
        <v>45</v>
      </c>
    </row>
    <row r="27">
      <c r="A27" s="5">
        <v>26.0</v>
      </c>
      <c r="B27" s="5">
        <f>PasteHashtag!B27</f>
        <v>10.1</v>
      </c>
      <c r="C27" s="305" t="str">
        <f>PasteHashtag!C27</f>
        <v>Anthony Edwards</v>
      </c>
      <c r="D27" s="5" t="str">
        <f>PasteHashtag!D27</f>
        <v>SG,SF</v>
      </c>
      <c r="E27" s="5" t="str">
        <f>PasteHashtag!E27</f>
        <v>MIN</v>
      </c>
      <c r="F27" s="5">
        <f>PasteHashtag!F27</f>
        <v>79</v>
      </c>
      <c r="G27" s="5">
        <f>PasteHashtag!G27</f>
        <v>35.4</v>
      </c>
      <c r="H27" s="5">
        <f>MID(PasteHashtag!H27,1+FIND("(",PasteHashtag!H27),FIND("/",PasteHashtag!H27)-FIND("(",PasteHashtag!H27)-1)*1</f>
        <v>9.3</v>
      </c>
      <c r="I27" s="5">
        <f>LEFT(PasteHashtag!H27,FIND("(",PasteHashtag!H27)-1)*1</f>
        <v>0.46</v>
      </c>
      <c r="J27" s="5">
        <f>MID(PasteHashtag!I27,1+FIND("(",PasteHashtag!I27),FIND("/",PasteHashtag!I27)-FIND("(",PasteHashtag!I27)-1)*1</f>
        <v>5</v>
      </c>
      <c r="K27" s="5">
        <f>LEFT(PasteHashtag!I27,FIND("(",PasteHashtag!I27)-1)*1</f>
        <v>0.823</v>
      </c>
      <c r="L27" s="5">
        <f>PasteHashtag!J27</f>
        <v>2.5</v>
      </c>
      <c r="M27" s="5">
        <f>PasteHashtag!K27</f>
        <v>26.2</v>
      </c>
      <c r="N27" s="5">
        <f>PasteHashtag!L27</f>
        <v>5.5</v>
      </c>
      <c r="O27" s="5">
        <f>PasteHashtag!M27</f>
        <v>5.2</v>
      </c>
      <c r="P27" s="5">
        <f>PasteHashtag!N27</f>
        <v>1.4</v>
      </c>
      <c r="Q27" s="5">
        <f>PasteHashtag!O27</f>
        <v>0.7</v>
      </c>
      <c r="R27" s="5">
        <f>PasteHashtag!P27</f>
        <v>3.1</v>
      </c>
      <c r="S27" s="5">
        <f>Mid(PasteHashtag!H27,FIND("/",PasteHashtag!H27)+1,LEN(PasteHashtag!H27)-FIND("/",PasteHashtag!H27)-1)*1</f>
        <v>20.3</v>
      </c>
      <c r="T27" s="306">
        <f>Mid(PasteHashtag!I27,FIND("/",PasteHashtag!I27)+1,LEN(PasteHashtag!I27)-FIND("/",PasteHashtag!I27)-1)*1</f>
        <v>6.1</v>
      </c>
      <c r="U27" s="26"/>
      <c r="V27" s="310" t="s">
        <v>159</v>
      </c>
      <c r="W27" s="311">
        <v>4.0</v>
      </c>
      <c r="X27" s="12">
        <v>3.0</v>
      </c>
      <c r="Y27" s="12">
        <v>3.0</v>
      </c>
      <c r="Z27" s="12">
        <v>10.0</v>
      </c>
      <c r="AB27" s="12" t="s">
        <v>102</v>
      </c>
    </row>
    <row r="28">
      <c r="A28" s="5">
        <v>27.0</v>
      </c>
      <c r="B28" s="5">
        <f>PasteHashtag!B28</f>
        <v>32.1</v>
      </c>
      <c r="C28" s="305" t="str">
        <f>PasteHashtag!C28</f>
        <v>Paul George</v>
      </c>
      <c r="D28" s="5" t="str">
        <f>PasteHashtag!D28</f>
        <v>SG,SF,PF</v>
      </c>
      <c r="E28" s="5" t="str">
        <f>PasteHashtag!E28</f>
        <v>PHI</v>
      </c>
      <c r="F28" s="5">
        <f>PasteHashtag!F28</f>
        <v>60</v>
      </c>
      <c r="G28" s="5">
        <f>PasteHashtag!G28</f>
        <v>33</v>
      </c>
      <c r="H28" s="5">
        <f>MID(PasteHashtag!H28,1+FIND("(",PasteHashtag!H28),FIND("/",PasteHashtag!H28)-FIND("(",PasteHashtag!H28)-1)*1</f>
        <v>7.7</v>
      </c>
      <c r="I28" s="5">
        <f>LEFT(PasteHashtag!H28,FIND("(",PasteHashtag!H28)-1)*1</f>
        <v>0.465</v>
      </c>
      <c r="J28" s="5">
        <f>MID(PasteHashtag!I28,1+FIND("(",PasteHashtag!I28),FIND("/",PasteHashtag!I28)-FIND("(",PasteHashtag!I28)-1)*1</f>
        <v>3.8</v>
      </c>
      <c r="K28" s="5">
        <f>LEFT(PasteHashtag!I28,FIND("(",PasteHashtag!I28)-1)*1</f>
        <v>0.889</v>
      </c>
      <c r="L28" s="5">
        <f>PasteHashtag!J28</f>
        <v>3</v>
      </c>
      <c r="M28" s="5">
        <f>PasteHashtag!K28</f>
        <v>22.1</v>
      </c>
      <c r="N28" s="5">
        <f>PasteHashtag!L28</f>
        <v>5</v>
      </c>
      <c r="O28" s="5">
        <f>PasteHashtag!M28</f>
        <v>3.4</v>
      </c>
      <c r="P28" s="5">
        <f>PasteHashtag!N28</f>
        <v>1.4</v>
      </c>
      <c r="Q28" s="5">
        <f>PasteHashtag!O28</f>
        <v>0.4</v>
      </c>
      <c r="R28" s="5">
        <f>PasteHashtag!P28</f>
        <v>2.4</v>
      </c>
      <c r="S28" s="5">
        <f>Mid(PasteHashtag!H28,FIND("/",PasteHashtag!H28)+1,LEN(PasteHashtag!H28)-FIND("/",PasteHashtag!H28)-1)*1</f>
        <v>16.5</v>
      </c>
      <c r="T28" s="306">
        <f>Mid(PasteHashtag!I28,FIND("/",PasteHashtag!I28)+1,LEN(PasteHashtag!I28)-FIND("/",PasteHashtag!I28)-1)*1</f>
        <v>4.3</v>
      </c>
      <c r="U28" s="26"/>
      <c r="V28" s="310" t="s">
        <v>209</v>
      </c>
      <c r="W28" s="311">
        <v>4.0</v>
      </c>
      <c r="X28" s="12">
        <v>2.0</v>
      </c>
      <c r="Y28" s="12">
        <v>4.0</v>
      </c>
      <c r="Z28" s="12">
        <v>10.0</v>
      </c>
      <c r="AB28" s="12" t="s">
        <v>140</v>
      </c>
    </row>
    <row r="29">
      <c r="A29" s="5">
        <v>28.0</v>
      </c>
      <c r="B29" s="5">
        <f>PasteHashtag!B29</f>
        <v>36</v>
      </c>
      <c r="C29" s="305" t="str">
        <f>PasteHashtag!C29</f>
        <v>Jalen Williams</v>
      </c>
      <c r="D29" s="5" t="str">
        <f>PasteHashtag!D29</f>
        <v>SG,SF,PF</v>
      </c>
      <c r="E29" s="5" t="str">
        <f>PasteHashtag!E29</f>
        <v>OKC</v>
      </c>
      <c r="F29" s="5">
        <f>PasteHashtag!F29</f>
        <v>73</v>
      </c>
      <c r="G29" s="5">
        <f>PasteHashtag!G29</f>
        <v>32.2</v>
      </c>
      <c r="H29" s="5">
        <f>MID(PasteHashtag!H29,1+FIND("(",PasteHashtag!H29),FIND("/",PasteHashtag!H29)-FIND("(",PasteHashtag!H29)-1)*1</f>
        <v>7.8</v>
      </c>
      <c r="I29" s="5">
        <f>LEFT(PasteHashtag!H29,FIND("(",PasteHashtag!H29)-1)*1</f>
        <v>0.536</v>
      </c>
      <c r="J29" s="5">
        <f>MID(PasteHashtag!I29,1+FIND("(",PasteHashtag!I29),FIND("/",PasteHashtag!I29)-FIND("(",PasteHashtag!I29)-1)*1</f>
        <v>2.8</v>
      </c>
      <c r="K29" s="5">
        <f>LEFT(PasteHashtag!I29,FIND("(",PasteHashtag!I29)-1)*1</f>
        <v>0.822</v>
      </c>
      <c r="L29" s="5">
        <f>PasteHashtag!J29</f>
        <v>1.7</v>
      </c>
      <c r="M29" s="5">
        <f>PasteHashtag!K29</f>
        <v>20</v>
      </c>
      <c r="N29" s="5">
        <f>PasteHashtag!L29</f>
        <v>4.6</v>
      </c>
      <c r="O29" s="5">
        <f>PasteHashtag!M29</f>
        <v>4.9</v>
      </c>
      <c r="P29" s="5">
        <f>PasteHashtag!N29</f>
        <v>1.2</v>
      </c>
      <c r="Q29" s="5">
        <f>PasteHashtag!O29</f>
        <v>0.6</v>
      </c>
      <c r="R29" s="5">
        <f>PasteHashtag!P29</f>
        <v>1.8</v>
      </c>
      <c r="S29" s="5">
        <f>Mid(PasteHashtag!H29,FIND("/",PasteHashtag!H29)+1,LEN(PasteHashtag!H29)-FIND("/",PasteHashtag!H29)-1)*1</f>
        <v>14.5</v>
      </c>
      <c r="T29" s="306">
        <f>Mid(PasteHashtag!I29,FIND("/",PasteHashtag!I29)+1,LEN(PasteHashtag!I29)-FIND("/",PasteHashtag!I29)-1)*1</f>
        <v>3.4</v>
      </c>
      <c r="U29" s="26"/>
      <c r="V29" s="310" t="s">
        <v>140</v>
      </c>
      <c r="W29" s="311">
        <v>3.0</v>
      </c>
      <c r="X29" s="12">
        <v>3.0</v>
      </c>
      <c r="Y29" s="12">
        <v>4.0</v>
      </c>
      <c r="Z29" s="12">
        <v>10.0</v>
      </c>
      <c r="AB29" s="12" t="s">
        <v>67</v>
      </c>
    </row>
    <row r="30">
      <c r="A30" s="5">
        <v>29.0</v>
      </c>
      <c r="B30" s="5">
        <f>PasteHashtag!B30</f>
        <v>46</v>
      </c>
      <c r="C30" s="305" t="str">
        <f>PasteHashtag!C30</f>
        <v>Jimmy Butler</v>
      </c>
      <c r="D30" s="5" t="str">
        <f>PasteHashtag!D30</f>
        <v>SF,PF</v>
      </c>
      <c r="E30" s="5" t="str">
        <f>PasteHashtag!E30</f>
        <v>MIA</v>
      </c>
      <c r="F30" s="5">
        <f>PasteHashtag!F30</f>
        <v>60</v>
      </c>
      <c r="G30" s="5">
        <f>PasteHashtag!G30</f>
        <v>33.1</v>
      </c>
      <c r="H30" s="5">
        <f>MID(PasteHashtag!H30,1+FIND("(",PasteHashtag!H30),FIND("/",PasteHashtag!H30)-FIND("(",PasteHashtag!H30)-1)*1</f>
        <v>6.5</v>
      </c>
      <c r="I30" s="5">
        <f>LEFT(PasteHashtag!H30,FIND("(",PasteHashtag!H30)-1)*1</f>
        <v>0.492</v>
      </c>
      <c r="J30" s="5">
        <f>MID(PasteHashtag!I30,1+FIND("(",PasteHashtag!I30),FIND("/",PasteHashtag!I30)-FIND("(",PasteHashtag!I30)-1)*1</f>
        <v>6.9</v>
      </c>
      <c r="K30" s="5">
        <f>LEFT(PasteHashtag!I30,FIND("(",PasteHashtag!I30)-1)*1</f>
        <v>0.855</v>
      </c>
      <c r="L30" s="5">
        <f>PasteHashtag!J30</f>
        <v>0.8</v>
      </c>
      <c r="M30" s="5">
        <f>PasteHashtag!K30</f>
        <v>20.7</v>
      </c>
      <c r="N30" s="5">
        <f>PasteHashtag!L30</f>
        <v>5.4</v>
      </c>
      <c r="O30" s="5">
        <f>PasteHashtag!M30</f>
        <v>5.1</v>
      </c>
      <c r="P30" s="5">
        <f>PasteHashtag!N30</f>
        <v>1.3</v>
      </c>
      <c r="Q30" s="5">
        <f>PasteHashtag!O30</f>
        <v>0.3</v>
      </c>
      <c r="R30" s="5">
        <f>PasteHashtag!P30</f>
        <v>1.6</v>
      </c>
      <c r="S30" s="5">
        <f>Mid(PasteHashtag!H30,FIND("/",PasteHashtag!H30)+1,LEN(PasteHashtag!H30)-FIND("/",PasteHashtag!H30)-1)*1</f>
        <v>13.2</v>
      </c>
      <c r="T30" s="306">
        <f>Mid(PasteHashtag!I30,FIND("/",PasteHashtag!I30)+1,LEN(PasteHashtag!I30)-FIND("/",PasteHashtag!I30)-1)*1</f>
        <v>8.1</v>
      </c>
      <c r="U30" s="26"/>
      <c r="V30" s="310" t="s">
        <v>118</v>
      </c>
      <c r="W30" s="311">
        <v>3.0</v>
      </c>
      <c r="X30" s="12">
        <v>4.0</v>
      </c>
      <c r="Y30" s="12">
        <v>3.0</v>
      </c>
      <c r="Z30" s="12">
        <v>10.0</v>
      </c>
      <c r="AB30" s="12" t="s">
        <v>159</v>
      </c>
    </row>
    <row r="31">
      <c r="A31" s="5">
        <v>30.0</v>
      </c>
      <c r="B31" s="5">
        <f>PasteHashtag!B31</f>
        <v>37.3</v>
      </c>
      <c r="C31" s="305" t="str">
        <f>PasteHashtag!C31</f>
        <v>Jaren Jackson Jr.</v>
      </c>
      <c r="D31" s="5" t="str">
        <f>PasteHashtag!D31</f>
        <v>PF,C</v>
      </c>
      <c r="E31" s="5" t="str">
        <f>PasteHashtag!E31</f>
        <v>MEM</v>
      </c>
      <c r="F31" s="5">
        <f>PasteHashtag!F31</f>
        <v>68</v>
      </c>
      <c r="G31" s="5">
        <f>PasteHashtag!G31</f>
        <v>31.2</v>
      </c>
      <c r="H31" s="5">
        <f>MID(PasteHashtag!H31,1+FIND("(",PasteHashtag!H31),FIND("/",PasteHashtag!H31)-FIND("(",PasteHashtag!H31)-1)*1</f>
        <v>7.5</v>
      </c>
      <c r="I31" s="5">
        <f>LEFT(PasteHashtag!H31,FIND("(",PasteHashtag!H31)-1)*1</f>
        <v>0.47</v>
      </c>
      <c r="J31" s="5">
        <f>MID(PasteHashtag!I31,1+FIND("(",PasteHashtag!I31),FIND("/",PasteHashtag!I31)-FIND("(",PasteHashtag!I31)-1)*1</f>
        <v>4.6</v>
      </c>
      <c r="K31" s="5">
        <f>LEFT(PasteHashtag!I31,FIND("(",PasteHashtag!I31)-1)*1</f>
        <v>0.8</v>
      </c>
      <c r="L31" s="5">
        <f>PasteHashtag!J31</f>
        <v>1.7</v>
      </c>
      <c r="M31" s="5">
        <f>PasteHashtag!K31</f>
        <v>21.3</v>
      </c>
      <c r="N31" s="5">
        <f>PasteHashtag!L31</f>
        <v>6.3</v>
      </c>
      <c r="O31" s="5">
        <f>PasteHashtag!M31</f>
        <v>1.7</v>
      </c>
      <c r="P31" s="5">
        <f>PasteHashtag!N31</f>
        <v>1.2</v>
      </c>
      <c r="Q31" s="5">
        <f>PasteHashtag!O31</f>
        <v>1.9</v>
      </c>
      <c r="R31" s="5">
        <f>PasteHashtag!P31</f>
        <v>2.1</v>
      </c>
      <c r="S31" s="5">
        <f>Mid(PasteHashtag!H31,FIND("/",PasteHashtag!H31)+1,LEN(PasteHashtag!H31)-FIND("/",PasteHashtag!H31)-1)*1</f>
        <v>15.9</v>
      </c>
      <c r="T31" s="306">
        <f>Mid(PasteHashtag!I31,FIND("/",PasteHashtag!I31)+1,LEN(PasteHashtag!I31)-FIND("/",PasteHashtag!I31)-1)*1</f>
        <v>5.8</v>
      </c>
      <c r="U31" s="26"/>
      <c r="V31" s="310" t="s">
        <v>126</v>
      </c>
      <c r="W31" s="311">
        <v>3.0</v>
      </c>
      <c r="X31" s="12">
        <v>4.0</v>
      </c>
      <c r="Y31" s="12">
        <v>3.0</v>
      </c>
      <c r="Z31" s="12">
        <v>10.0</v>
      </c>
      <c r="AB31" s="12" t="s">
        <v>169</v>
      </c>
    </row>
    <row r="32">
      <c r="A32" s="5">
        <v>31.0</v>
      </c>
      <c r="B32" s="5">
        <f>PasteHashtag!B32</f>
        <v>27.8</v>
      </c>
      <c r="C32" s="305" t="str">
        <f>PasteHashtag!C32</f>
        <v>Tyrese Maxey</v>
      </c>
      <c r="D32" s="5" t="str">
        <f>PasteHashtag!D32</f>
        <v>PG,SG</v>
      </c>
      <c r="E32" s="5" t="str">
        <f>PasteHashtag!E32</f>
        <v>PHI</v>
      </c>
      <c r="F32" s="5">
        <f>PasteHashtag!F32</f>
        <v>70</v>
      </c>
      <c r="G32" s="5">
        <f>PasteHashtag!G32</f>
        <v>36.2</v>
      </c>
      <c r="H32" s="5">
        <f>MID(PasteHashtag!H32,1+FIND("(",PasteHashtag!H32),FIND("/",PasteHashtag!H32)-FIND("(",PasteHashtag!H32)-1)*1</f>
        <v>8.7</v>
      </c>
      <c r="I32" s="5">
        <f>LEFT(PasteHashtag!H32,FIND("(",PasteHashtag!H32)-1)*1</f>
        <v>0.462</v>
      </c>
      <c r="J32" s="5">
        <f>MID(PasteHashtag!I32,1+FIND("(",PasteHashtag!I32),FIND("/",PasteHashtag!I32)-FIND("(",PasteHashtag!I32)-1)*1</f>
        <v>4.1</v>
      </c>
      <c r="K32" s="5">
        <f>LEFT(PasteHashtag!I32,FIND("(",PasteHashtag!I32)-1)*1</f>
        <v>0.859</v>
      </c>
      <c r="L32" s="5">
        <f>PasteHashtag!J32</f>
        <v>3</v>
      </c>
      <c r="M32" s="5">
        <f>PasteHashtag!K32</f>
        <v>24.4</v>
      </c>
      <c r="N32" s="5">
        <f>PasteHashtag!L32</f>
        <v>3.5</v>
      </c>
      <c r="O32" s="5">
        <f>PasteHashtag!M32</f>
        <v>5.9</v>
      </c>
      <c r="P32" s="5">
        <f>PasteHashtag!N32</f>
        <v>1</v>
      </c>
      <c r="Q32" s="5">
        <f>PasteHashtag!O32</f>
        <v>0.3</v>
      </c>
      <c r="R32" s="5">
        <f>PasteHashtag!P32</f>
        <v>1.6</v>
      </c>
      <c r="S32" s="5">
        <f>Mid(PasteHashtag!H32,FIND("/",PasteHashtag!H32)+1,LEN(PasteHashtag!H32)-FIND("/",PasteHashtag!H32)-1)*1</f>
        <v>18.8</v>
      </c>
      <c r="T32" s="306">
        <f>Mid(PasteHashtag!I32,FIND("/",PasteHashtag!I32)+1,LEN(PasteHashtag!I32)-FIND("/",PasteHashtag!I32)-1)*1</f>
        <v>4.8</v>
      </c>
      <c r="U32" s="26"/>
      <c r="V32" s="310" t="s">
        <v>236</v>
      </c>
      <c r="W32" s="311">
        <v>2.0</v>
      </c>
      <c r="X32" s="12">
        <v>4.0</v>
      </c>
      <c r="Y32" s="12">
        <v>3.0</v>
      </c>
      <c r="Z32" s="12">
        <v>9.0</v>
      </c>
      <c r="AB32" s="12" t="s">
        <v>180</v>
      </c>
    </row>
    <row r="33">
      <c r="A33" s="5">
        <v>32.0</v>
      </c>
      <c r="B33" s="5">
        <f>PasteHashtag!B33</f>
        <v>38.4</v>
      </c>
      <c r="C33" s="305" t="str">
        <f>PasteHashtag!C33</f>
        <v>Fred VanVleet</v>
      </c>
      <c r="D33" s="5" t="str">
        <f>PasteHashtag!D33</f>
        <v>PG</v>
      </c>
      <c r="E33" s="5" t="str">
        <f>PasteHashtag!E33</f>
        <v>HOU</v>
      </c>
      <c r="F33" s="5">
        <f>PasteHashtag!F33</f>
        <v>70</v>
      </c>
      <c r="G33" s="5">
        <f>PasteHashtag!G33</f>
        <v>36</v>
      </c>
      <c r="H33" s="5">
        <f>MID(PasteHashtag!H33,1+FIND("(",PasteHashtag!H33),FIND("/",PasteHashtag!H33)-FIND("(",PasteHashtag!H33)-1)*1</f>
        <v>5.7</v>
      </c>
      <c r="I33" s="5">
        <f>LEFT(PasteHashtag!H33,FIND("(",PasteHashtag!H33)-1)*1</f>
        <v>0.406</v>
      </c>
      <c r="J33" s="5">
        <f>MID(PasteHashtag!I33,1+FIND("(",PasteHashtag!I33),FIND("/",PasteHashtag!I33)-FIND("(",PasteHashtag!I33)-1)*1</f>
        <v>3</v>
      </c>
      <c r="K33" s="5">
        <f>LEFT(PasteHashtag!I33,FIND("(",PasteHashtag!I33)-1)*1</f>
        <v>0.874</v>
      </c>
      <c r="L33" s="5">
        <f>PasteHashtag!J33</f>
        <v>2.9</v>
      </c>
      <c r="M33" s="5">
        <f>PasteHashtag!K33</f>
        <v>17.3</v>
      </c>
      <c r="N33" s="5">
        <f>PasteHashtag!L33</f>
        <v>3.7</v>
      </c>
      <c r="O33" s="5">
        <f>PasteHashtag!M33</f>
        <v>7.6</v>
      </c>
      <c r="P33" s="5">
        <f>PasteHashtag!N33</f>
        <v>1.4</v>
      </c>
      <c r="Q33" s="5">
        <f>PasteHashtag!O33</f>
        <v>0.7</v>
      </c>
      <c r="R33" s="5">
        <f>PasteHashtag!P33</f>
        <v>1.8</v>
      </c>
      <c r="S33" s="5">
        <f>Mid(PasteHashtag!H33,FIND("/",PasteHashtag!H33)+1,LEN(PasteHashtag!H33)-FIND("/",PasteHashtag!H33)-1)*1</f>
        <v>14.1</v>
      </c>
      <c r="T33" s="306">
        <f>Mid(PasteHashtag!I33,FIND("/",PasteHashtag!I33)+1,LEN(PasteHashtag!I33)-FIND("/",PasteHashtag!I33)-1)*1</f>
        <v>3.4</v>
      </c>
      <c r="U33" s="26"/>
      <c r="V33" s="26"/>
      <c r="W33" s="26"/>
      <c r="AB33" s="12" t="s">
        <v>173</v>
      </c>
    </row>
    <row r="34">
      <c r="A34" s="5">
        <v>33.0</v>
      </c>
      <c r="B34" s="5">
        <f>PasteHashtag!B34</f>
        <v>41.4</v>
      </c>
      <c r="C34" s="305" t="str">
        <f>PasteHashtag!C34</f>
        <v>Jalen Johnson</v>
      </c>
      <c r="D34" s="5" t="str">
        <f>PasteHashtag!D34</f>
        <v>PF</v>
      </c>
      <c r="E34" s="5" t="str">
        <f>PasteHashtag!E34</f>
        <v>ATL</v>
      </c>
      <c r="F34" s="5">
        <f>PasteHashtag!F34</f>
        <v>68</v>
      </c>
      <c r="G34" s="5">
        <f>PasteHashtag!G34</f>
        <v>34.2</v>
      </c>
      <c r="H34" s="5">
        <f>MID(PasteHashtag!H34,1+FIND("(",PasteHashtag!H34),FIND("/",PasteHashtag!H34)-FIND("(",PasteHashtag!H34)-1)*1</f>
        <v>7.3</v>
      </c>
      <c r="I34" s="5">
        <f>LEFT(PasteHashtag!H34,FIND("(",PasteHashtag!H34)-1)*1</f>
        <v>0.503</v>
      </c>
      <c r="J34" s="5">
        <f>MID(PasteHashtag!I34,1+FIND("(",PasteHashtag!I34),FIND("/",PasteHashtag!I34)-FIND("(",PasteHashtag!I34)-1)*1</f>
        <v>2.1</v>
      </c>
      <c r="K34" s="5">
        <f>LEFT(PasteHashtag!I34,FIND("(",PasteHashtag!I34)-1)*1</f>
        <v>0.747</v>
      </c>
      <c r="L34" s="5">
        <f>PasteHashtag!J34</f>
        <v>1.4</v>
      </c>
      <c r="M34" s="5">
        <f>PasteHashtag!K34</f>
        <v>18.2</v>
      </c>
      <c r="N34" s="5">
        <f>PasteHashtag!L34</f>
        <v>9.2</v>
      </c>
      <c r="O34" s="5">
        <f>PasteHashtag!M34</f>
        <v>3.5</v>
      </c>
      <c r="P34" s="5">
        <f>PasteHashtag!N34</f>
        <v>1.3</v>
      </c>
      <c r="Q34" s="5">
        <f>PasteHashtag!O34</f>
        <v>1</v>
      </c>
      <c r="R34" s="5">
        <f>PasteHashtag!P34</f>
        <v>1.7</v>
      </c>
      <c r="S34" s="5">
        <f>Mid(PasteHashtag!H34,FIND("/",PasteHashtag!H34)+1,LEN(PasteHashtag!H34)-FIND("/",PasteHashtag!H34)-1)*1</f>
        <v>14.5</v>
      </c>
      <c r="T34" s="306">
        <f>Mid(PasteHashtag!I34,FIND("/",PasteHashtag!I34)+1,LEN(PasteHashtag!I34)-FIND("/",PasteHashtag!I34)-1)*1</f>
        <v>2.9</v>
      </c>
      <c r="U34" s="26"/>
      <c r="V34" s="26"/>
      <c r="W34" s="26"/>
      <c r="AB34" s="12" t="s">
        <v>67</v>
      </c>
    </row>
    <row r="35">
      <c r="A35" s="5">
        <v>34.0</v>
      </c>
      <c r="B35" s="5">
        <f>PasteHashtag!B35</f>
        <v>26.1</v>
      </c>
      <c r="C35" s="305" t="str">
        <f>PasteHashtag!C35</f>
        <v>De'Aaron Fox</v>
      </c>
      <c r="D35" s="5" t="str">
        <f>PasteHashtag!D35</f>
        <v>PG</v>
      </c>
      <c r="E35" s="5" t="str">
        <f>PasteHashtag!E35</f>
        <v>SAC</v>
      </c>
      <c r="F35" s="5">
        <f>PasteHashtag!F35</f>
        <v>72</v>
      </c>
      <c r="G35" s="5">
        <f>PasteHashtag!G35</f>
        <v>34.5</v>
      </c>
      <c r="H35" s="5">
        <f>MID(PasteHashtag!H35,1+FIND("(",PasteHashtag!H35),FIND("/",PasteHashtag!H35)-FIND("(",PasteHashtag!H35)-1)*1</f>
        <v>9.2</v>
      </c>
      <c r="I35" s="5">
        <f>LEFT(PasteHashtag!H35,FIND("(",PasteHashtag!H35)-1)*1</f>
        <v>0.472</v>
      </c>
      <c r="J35" s="5">
        <f>MID(PasteHashtag!I35,1+FIND("(",PasteHashtag!I35),FIND("/",PasteHashtag!I35)-FIND("(",PasteHashtag!I35)-1)*1</f>
        <v>4.3</v>
      </c>
      <c r="K35" s="5">
        <f>LEFT(PasteHashtag!I35,FIND("(",PasteHashtag!I35)-1)*1</f>
        <v>0.759</v>
      </c>
      <c r="L35" s="5">
        <f>PasteHashtag!J35</f>
        <v>2.5</v>
      </c>
      <c r="M35" s="5">
        <f>PasteHashtag!K35</f>
        <v>25.1</v>
      </c>
      <c r="N35" s="5">
        <f>PasteHashtag!L35</f>
        <v>4.2</v>
      </c>
      <c r="O35" s="5">
        <f>PasteHashtag!M35</f>
        <v>5.5</v>
      </c>
      <c r="P35" s="5">
        <f>PasteHashtag!N35</f>
        <v>1.7</v>
      </c>
      <c r="Q35" s="5">
        <f>PasteHashtag!O35</f>
        <v>0.4</v>
      </c>
      <c r="R35" s="5">
        <f>PasteHashtag!P35</f>
        <v>2.5</v>
      </c>
      <c r="S35" s="5">
        <f>Mid(PasteHashtag!H35,FIND("/",PasteHashtag!H35)+1,LEN(PasteHashtag!H35)-FIND("/",PasteHashtag!H35)-1)*1</f>
        <v>19.4</v>
      </c>
      <c r="T35" s="306">
        <f>Mid(PasteHashtag!I35,FIND("/",PasteHashtag!I35)+1,LEN(PasteHashtag!I35)-FIND("/",PasteHashtag!I35)-1)*1</f>
        <v>5.6</v>
      </c>
      <c r="U35" s="26"/>
      <c r="V35" s="26"/>
      <c r="W35" s="26"/>
      <c r="AB35" s="12" t="s">
        <v>144</v>
      </c>
    </row>
    <row r="36">
      <c r="A36" s="5">
        <v>35.0</v>
      </c>
      <c r="B36" s="5">
        <f>PasteHashtag!B36</f>
        <v>48.4</v>
      </c>
      <c r="C36" s="305" t="str">
        <f>PasteHashtag!C36</f>
        <v>Derrick White</v>
      </c>
      <c r="D36" s="5" t="str">
        <f>PasteHashtag!D36</f>
        <v>PG,SG</v>
      </c>
      <c r="E36" s="5" t="str">
        <f>PasteHashtag!E36</f>
        <v>BOS</v>
      </c>
      <c r="F36" s="5">
        <f>PasteHashtag!F36</f>
        <v>75</v>
      </c>
      <c r="G36" s="5">
        <f>PasteHashtag!G36</f>
        <v>32.8</v>
      </c>
      <c r="H36" s="5">
        <f>MID(PasteHashtag!H36,1+FIND("(",PasteHashtag!H36),FIND("/",PasteHashtag!H36)-FIND("(",PasteHashtag!H36)-1)*1</f>
        <v>5.2</v>
      </c>
      <c r="I36" s="5">
        <f>LEFT(PasteHashtag!H36,FIND("(",PasteHashtag!H36)-1)*1</f>
        <v>0.461</v>
      </c>
      <c r="J36" s="5">
        <f>MID(PasteHashtag!I36,1+FIND("(",PasteHashtag!I36),FIND("/",PasteHashtag!I36)-FIND("(",PasteHashtag!I36)-1)*1</f>
        <v>2.2</v>
      </c>
      <c r="K36" s="5">
        <f>LEFT(PasteHashtag!I36,FIND("(",PasteHashtag!I36)-1)*1</f>
        <v>0.888</v>
      </c>
      <c r="L36" s="5">
        <f>PasteHashtag!J36</f>
        <v>2.7</v>
      </c>
      <c r="M36" s="5">
        <f>PasteHashtag!K36</f>
        <v>15.2</v>
      </c>
      <c r="N36" s="5">
        <f>PasteHashtag!L36</f>
        <v>4.3</v>
      </c>
      <c r="O36" s="5">
        <f>PasteHashtag!M36</f>
        <v>4.9</v>
      </c>
      <c r="P36" s="5">
        <f>PasteHashtag!N36</f>
        <v>0.9</v>
      </c>
      <c r="Q36" s="5">
        <f>PasteHashtag!O36</f>
        <v>1.2</v>
      </c>
      <c r="R36" s="5">
        <f>PasteHashtag!P36</f>
        <v>1.5</v>
      </c>
      <c r="S36" s="5">
        <f>Mid(PasteHashtag!H36,FIND("/",PasteHashtag!H36)+1,LEN(PasteHashtag!H36)-FIND("/",PasteHashtag!H36)-1)*1</f>
        <v>11.3</v>
      </c>
      <c r="T36" s="306">
        <f>Mid(PasteHashtag!I36,FIND("/",PasteHashtag!I36)+1,LEN(PasteHashtag!I36)-FIND("/",PasteHashtag!I36)-1)*1</f>
        <v>2.4</v>
      </c>
      <c r="U36" s="26"/>
      <c r="V36" s="26"/>
      <c r="W36" s="26"/>
      <c r="AB36" s="12" t="s">
        <v>98</v>
      </c>
    </row>
    <row r="37">
      <c r="A37" s="5">
        <v>36.0</v>
      </c>
      <c r="B37" s="5">
        <f>PasteHashtag!B37</f>
        <v>35.2</v>
      </c>
      <c r="C37" s="305" t="str">
        <f>PasteHashtag!C37</f>
        <v>Ja Morant</v>
      </c>
      <c r="D37" s="5" t="str">
        <f>PasteHashtag!D37</f>
        <v>PG</v>
      </c>
      <c r="E37" s="5" t="str">
        <f>PasteHashtag!E37</f>
        <v>MEM</v>
      </c>
      <c r="F37" s="5">
        <f>PasteHashtag!F37</f>
        <v>63</v>
      </c>
      <c r="G37" s="5">
        <f>PasteHashtag!G37</f>
        <v>33.6</v>
      </c>
      <c r="H37" s="5">
        <f>MID(PasteHashtag!H37,1+FIND("(",PasteHashtag!H37),FIND("/",PasteHashtag!H37)-FIND("(",PasteHashtag!H37)-1)*1</f>
        <v>9.2</v>
      </c>
      <c r="I37" s="5">
        <f>LEFT(PasteHashtag!H37,FIND("(",PasteHashtag!H37)-1)*1</f>
        <v>0.47</v>
      </c>
      <c r="J37" s="5">
        <f>MID(PasteHashtag!I37,1+FIND("(",PasteHashtag!I37),FIND("/",PasteHashtag!I37)-FIND("(",PasteHashtag!I37)-1)*1</f>
        <v>5.8</v>
      </c>
      <c r="K37" s="5">
        <f>LEFT(PasteHashtag!I37,FIND("(",PasteHashtag!I37)-1)*1</f>
        <v>0.788</v>
      </c>
      <c r="L37" s="5">
        <f>PasteHashtag!J37</f>
        <v>1.5</v>
      </c>
      <c r="M37" s="5">
        <f>PasteHashtag!K37</f>
        <v>25.8</v>
      </c>
      <c r="N37" s="5">
        <f>PasteHashtag!L37</f>
        <v>5.9</v>
      </c>
      <c r="O37" s="5">
        <f>PasteHashtag!M37</f>
        <v>8.2</v>
      </c>
      <c r="P37" s="5">
        <f>PasteHashtag!N37</f>
        <v>0.9</v>
      </c>
      <c r="Q37" s="5">
        <f>PasteHashtag!O37</f>
        <v>0.5</v>
      </c>
      <c r="R37" s="5">
        <f>PasteHashtag!P37</f>
        <v>3</v>
      </c>
      <c r="S37" s="5">
        <f>Mid(PasteHashtag!H37,FIND("/",PasteHashtag!H37)+1,LEN(PasteHashtag!H37)-FIND("/",PasteHashtag!H37)-1)*1</f>
        <v>19.6</v>
      </c>
      <c r="T37" s="306">
        <f>Mid(PasteHashtag!I37,FIND("/",PasteHashtag!I37)+1,LEN(PasteHashtag!I37)-FIND("/",PasteHashtag!I37)-1)*1</f>
        <v>7.4</v>
      </c>
      <c r="U37" s="26"/>
      <c r="V37" s="26"/>
      <c r="W37" s="26"/>
      <c r="AB37" s="12" t="s">
        <v>173</v>
      </c>
    </row>
    <row r="38">
      <c r="A38" s="5">
        <v>37.0</v>
      </c>
      <c r="B38" s="5">
        <f>PasteHashtag!B38</f>
        <v>54.1</v>
      </c>
      <c r="C38" s="305" t="str">
        <f>PasteHashtag!C38</f>
        <v>DeMar DeRozan</v>
      </c>
      <c r="D38" s="5" t="str">
        <f>PasteHashtag!D38</f>
        <v>SF,PF</v>
      </c>
      <c r="E38" s="5" t="str">
        <f>PasteHashtag!E38</f>
        <v>SAC</v>
      </c>
      <c r="F38" s="5">
        <f>PasteHashtag!F38</f>
        <v>76</v>
      </c>
      <c r="G38" s="5">
        <f>PasteHashtag!G38</f>
        <v>34.9</v>
      </c>
      <c r="H38" s="5">
        <f>MID(PasteHashtag!H38,1+FIND("(",PasteHashtag!H38),FIND("/",PasteHashtag!H38)-FIND("(",PasteHashtag!H38)-1)*1</f>
        <v>7.5</v>
      </c>
      <c r="I38" s="5">
        <f>LEFT(PasteHashtag!H38,FIND("(",PasteHashtag!H38)-1)*1</f>
        <v>0.486</v>
      </c>
      <c r="J38" s="5">
        <f>MID(PasteHashtag!I38,1+FIND("(",PasteHashtag!I38),FIND("/",PasteHashtag!I38)-FIND("(",PasteHashtag!I38)-1)*1</f>
        <v>6</v>
      </c>
      <c r="K38" s="5">
        <f>LEFT(PasteHashtag!I38,FIND("(",PasteHashtag!I38)-1)*1</f>
        <v>0.863</v>
      </c>
      <c r="L38" s="5">
        <f>PasteHashtag!J38</f>
        <v>1.1</v>
      </c>
      <c r="M38" s="5">
        <f>PasteHashtag!K38</f>
        <v>22.1</v>
      </c>
      <c r="N38" s="5">
        <f>PasteHashtag!L38</f>
        <v>3.8</v>
      </c>
      <c r="O38" s="5">
        <f>PasteHashtag!M38</f>
        <v>3.9</v>
      </c>
      <c r="P38" s="5">
        <f>PasteHashtag!N38</f>
        <v>1.1</v>
      </c>
      <c r="Q38" s="5">
        <f>PasteHashtag!O38</f>
        <v>0.6</v>
      </c>
      <c r="R38" s="5">
        <f>PasteHashtag!P38</f>
        <v>1.7</v>
      </c>
      <c r="S38" s="5">
        <f>Mid(PasteHashtag!H38,FIND("/",PasteHashtag!H38)+1,LEN(PasteHashtag!H38)-FIND("/",PasteHashtag!H38)-1)*1</f>
        <v>15.4</v>
      </c>
      <c r="T38" s="306">
        <f>Mid(PasteHashtag!I38,FIND("/",PasteHashtag!I38)+1,LEN(PasteHashtag!I38)-FIND("/",PasteHashtag!I38)-1)*1</f>
        <v>7</v>
      </c>
      <c r="U38" s="26"/>
      <c r="V38" s="26"/>
      <c r="W38" s="26"/>
      <c r="AB38" s="12" t="s">
        <v>110</v>
      </c>
    </row>
    <row r="39">
      <c r="A39" s="5">
        <v>38.0</v>
      </c>
      <c r="B39" s="5">
        <f>PasteHashtag!B39</f>
        <v>39</v>
      </c>
      <c r="C39" s="305" t="str">
        <f>PasteHashtag!C39</f>
        <v>Evan Mobley</v>
      </c>
      <c r="D39" s="5" t="str">
        <f>PasteHashtag!D39</f>
        <v>PF,C</v>
      </c>
      <c r="E39" s="5" t="str">
        <f>PasteHashtag!E39</f>
        <v>CLE</v>
      </c>
      <c r="F39" s="5">
        <f>PasteHashtag!F39</f>
        <v>68</v>
      </c>
      <c r="G39" s="5">
        <f>PasteHashtag!G39</f>
        <v>32</v>
      </c>
      <c r="H39" s="5">
        <f>MID(PasteHashtag!H39,1+FIND("(",PasteHashtag!H39),FIND("/",PasteHashtag!H39)-FIND("(",PasteHashtag!H39)-1)*1</f>
        <v>6.5</v>
      </c>
      <c r="I39" s="5">
        <f>LEFT(PasteHashtag!H39,FIND("(",PasteHashtag!H39)-1)*1</f>
        <v>0.573</v>
      </c>
      <c r="J39" s="5">
        <f>MID(PasteHashtag!I39,1+FIND("(",PasteHashtag!I39),FIND("/",PasteHashtag!I39)-FIND("(",PasteHashtag!I39)-1)*1</f>
        <v>2.6</v>
      </c>
      <c r="K39" s="5">
        <f>LEFT(PasteHashtag!I39,FIND("(",PasteHashtag!I39)-1)*1</f>
        <v>0.726</v>
      </c>
      <c r="L39" s="5">
        <f>PasteHashtag!J39</f>
        <v>0.4</v>
      </c>
      <c r="M39" s="5">
        <f>PasteHashtag!K39</f>
        <v>16.1</v>
      </c>
      <c r="N39" s="5">
        <f>PasteHashtag!L39</f>
        <v>9.2</v>
      </c>
      <c r="O39" s="5">
        <f>PasteHashtag!M39</f>
        <v>3.4</v>
      </c>
      <c r="P39" s="5">
        <f>PasteHashtag!N39</f>
        <v>0.9</v>
      </c>
      <c r="Q39" s="5">
        <f>PasteHashtag!O39</f>
        <v>1.5</v>
      </c>
      <c r="R39" s="5">
        <f>PasteHashtag!P39</f>
        <v>1.8</v>
      </c>
      <c r="S39" s="5">
        <f>Mid(PasteHashtag!H39,FIND("/",PasteHashtag!H39)+1,LEN(PasteHashtag!H39)-FIND("/",PasteHashtag!H39)-1)*1</f>
        <v>11.4</v>
      </c>
      <c r="T39" s="306">
        <f>Mid(PasteHashtag!I39,FIND("/",PasteHashtag!I39)+1,LEN(PasteHashtag!I39)-FIND("/",PasteHashtag!I39)-1)*1</f>
        <v>3.6</v>
      </c>
      <c r="U39" s="26"/>
      <c r="V39" s="26"/>
      <c r="W39" s="26"/>
      <c r="AB39" s="12" t="s">
        <v>173</v>
      </c>
    </row>
    <row r="40">
      <c r="A40" s="5">
        <v>39.0</v>
      </c>
      <c r="B40" s="5">
        <f>PasteHashtag!B40</f>
        <v>49.1</v>
      </c>
      <c r="C40" s="305" t="str">
        <f>PasteHashtag!C40</f>
        <v>Kawhi Leonard</v>
      </c>
      <c r="D40" s="5" t="str">
        <f>PasteHashtag!D40</f>
        <v>SG,SF,PF</v>
      </c>
      <c r="E40" s="5" t="str">
        <f>PasteHashtag!E40</f>
        <v>LAC</v>
      </c>
      <c r="F40" s="5">
        <f>PasteHashtag!F40</f>
        <v>48</v>
      </c>
      <c r="G40" s="5">
        <f>PasteHashtag!G40</f>
        <v>30</v>
      </c>
      <c r="H40" s="5">
        <f>MID(PasteHashtag!H40,1+FIND("(",PasteHashtag!H40),FIND("/",PasteHashtag!H40)-FIND("(",PasteHashtag!H40)-1)*1</f>
        <v>7.5</v>
      </c>
      <c r="I40" s="5">
        <f>LEFT(PasteHashtag!H40,FIND("(",PasteHashtag!H40)-1)*1</f>
        <v>0.507</v>
      </c>
      <c r="J40" s="5">
        <f>MID(PasteHashtag!I40,1+FIND("(",PasteHashtag!I40),FIND("/",PasteHashtag!I40)-FIND("(",PasteHashtag!I40)-1)*1</f>
        <v>3.5</v>
      </c>
      <c r="K40" s="5">
        <f>LEFT(PasteHashtag!I40,FIND("(",PasteHashtag!I40)-1)*1</f>
        <v>0.859</v>
      </c>
      <c r="L40" s="5">
        <f>PasteHashtag!J40</f>
        <v>1.7</v>
      </c>
      <c r="M40" s="5">
        <f>PasteHashtag!K40</f>
        <v>20.2</v>
      </c>
      <c r="N40" s="5">
        <f>PasteHashtag!L40</f>
        <v>5.4</v>
      </c>
      <c r="O40" s="5">
        <f>PasteHashtag!M40</f>
        <v>3.2</v>
      </c>
      <c r="P40" s="5">
        <f>PasteHashtag!N40</f>
        <v>1.1</v>
      </c>
      <c r="Q40" s="5">
        <f>PasteHashtag!O40</f>
        <v>0.5</v>
      </c>
      <c r="R40" s="5">
        <f>PasteHashtag!P40</f>
        <v>1.6</v>
      </c>
      <c r="S40" s="5">
        <f>Mid(PasteHashtag!H40,FIND("/",PasteHashtag!H40)+1,LEN(PasteHashtag!H40)-FIND("/",PasteHashtag!H40)-1)*1</f>
        <v>14.7</v>
      </c>
      <c r="T40" s="306">
        <f>Mid(PasteHashtag!I40,FIND("/",PasteHashtag!I40)+1,LEN(PasteHashtag!I40)-FIND("/",PasteHashtag!I40)-1)*1</f>
        <v>4.1</v>
      </c>
      <c r="U40" s="26"/>
      <c r="V40" s="26"/>
      <c r="W40" s="26"/>
      <c r="AB40" s="12" t="s">
        <v>45</v>
      </c>
    </row>
    <row r="41">
      <c r="A41" s="5">
        <v>40.0</v>
      </c>
      <c r="B41" s="5">
        <f>PasteHashtag!B41</f>
        <v>44.1</v>
      </c>
      <c r="C41" s="305" t="str">
        <f>PasteHashtag!C41</f>
        <v>Desmond Bane</v>
      </c>
      <c r="D41" s="5" t="str">
        <f>PasteHashtag!D41</f>
        <v>SG,SF</v>
      </c>
      <c r="E41" s="5" t="str">
        <f>PasteHashtag!E41</f>
        <v>MEM</v>
      </c>
      <c r="F41" s="5">
        <f>PasteHashtag!F41</f>
        <v>68</v>
      </c>
      <c r="G41" s="5">
        <f>PasteHashtag!G41</f>
        <v>32.8</v>
      </c>
      <c r="H41" s="5">
        <f>MID(PasteHashtag!H41,1+FIND("(",PasteHashtag!H41),FIND("/",PasteHashtag!H41)-FIND("(",PasteHashtag!H41)-1)*1</f>
        <v>7.7</v>
      </c>
      <c r="I41" s="5">
        <f>LEFT(PasteHashtag!H41,FIND("(",PasteHashtag!H41)-1)*1</f>
        <v>0.472</v>
      </c>
      <c r="J41" s="5">
        <f>MID(PasteHashtag!I41,1+FIND("(",PasteHashtag!I41),FIND("/",PasteHashtag!I41)-FIND("(",PasteHashtag!I41)-1)*1</f>
        <v>3.1</v>
      </c>
      <c r="K41" s="5">
        <f>LEFT(PasteHashtag!I41,FIND("(",PasteHashtag!I41)-1)*1</f>
        <v>0.877</v>
      </c>
      <c r="L41" s="5">
        <f>PasteHashtag!J41</f>
        <v>2.9</v>
      </c>
      <c r="M41" s="5">
        <f>PasteHashtag!K41</f>
        <v>21.4</v>
      </c>
      <c r="N41" s="5">
        <f>PasteHashtag!L41</f>
        <v>4.5</v>
      </c>
      <c r="O41" s="5">
        <f>PasteHashtag!M41</f>
        <v>4.4</v>
      </c>
      <c r="P41" s="5">
        <f>PasteHashtag!N41</f>
        <v>1</v>
      </c>
      <c r="Q41" s="5">
        <f>PasteHashtag!O41</f>
        <v>0.4</v>
      </c>
      <c r="R41" s="5">
        <f>PasteHashtag!P41</f>
        <v>2.3</v>
      </c>
      <c r="S41" s="5">
        <f>Mid(PasteHashtag!H41,FIND("/",PasteHashtag!H41)+1,LEN(PasteHashtag!H41)-FIND("/",PasteHashtag!H41)-1)*1</f>
        <v>16.4</v>
      </c>
      <c r="T41" s="306">
        <f>Mid(PasteHashtag!I41,FIND("/",PasteHashtag!I41)+1,LEN(PasteHashtag!I41)-FIND("/",PasteHashtag!I41)-1)*1</f>
        <v>3.5</v>
      </c>
      <c r="U41" s="26"/>
      <c r="V41" s="26"/>
      <c r="W41" s="26"/>
      <c r="AB41" s="12" t="s">
        <v>93</v>
      </c>
    </row>
    <row r="42">
      <c r="A42" s="5">
        <v>41.0</v>
      </c>
      <c r="B42" s="5">
        <f>PasteHashtag!B42</f>
        <v>35.6</v>
      </c>
      <c r="C42" s="305" t="str">
        <f>PasteHashtag!C42</f>
        <v>Dejounte Murray</v>
      </c>
      <c r="D42" s="5" t="str">
        <f>PasteHashtag!D42</f>
        <v>PG,SG</v>
      </c>
      <c r="E42" s="5" t="str">
        <f>PasteHashtag!E42</f>
        <v>NO</v>
      </c>
      <c r="F42" s="5">
        <f>PasteHashtag!F42</f>
        <v>74</v>
      </c>
      <c r="G42" s="5">
        <f>PasteHashtag!G42</f>
        <v>32</v>
      </c>
      <c r="H42" s="5">
        <f>MID(PasteHashtag!H42,1+FIND("(",PasteHashtag!H42),FIND("/",PasteHashtag!H42)-FIND("(",PasteHashtag!H42)-1)*1</f>
        <v>7.6</v>
      </c>
      <c r="I42" s="5">
        <f>LEFT(PasteHashtag!H42,FIND("(",PasteHashtag!H42)-1)*1</f>
        <v>0.462</v>
      </c>
      <c r="J42" s="5">
        <f>MID(PasteHashtag!I42,1+FIND("(",PasteHashtag!I42),FIND("/",PasteHashtag!I42)-FIND("(",PasteHashtag!I42)-1)*1</f>
        <v>2.2</v>
      </c>
      <c r="K42" s="5">
        <f>LEFT(PasteHashtag!I42,FIND("(",PasteHashtag!I42)-1)*1</f>
        <v>0.809</v>
      </c>
      <c r="L42" s="5">
        <f>PasteHashtag!J42</f>
        <v>2.2</v>
      </c>
      <c r="M42" s="5">
        <f>PasteHashtag!K42</f>
        <v>19.5</v>
      </c>
      <c r="N42" s="5">
        <f>PasteHashtag!L42</f>
        <v>5.2</v>
      </c>
      <c r="O42" s="5">
        <f>PasteHashtag!M42</f>
        <v>6.5</v>
      </c>
      <c r="P42" s="5">
        <f>PasteHashtag!N42</f>
        <v>1.4</v>
      </c>
      <c r="Q42" s="5">
        <f>PasteHashtag!O42</f>
        <v>0.3</v>
      </c>
      <c r="R42" s="5">
        <f>PasteHashtag!P42</f>
        <v>2.1</v>
      </c>
      <c r="S42" s="5">
        <f>Mid(PasteHashtag!H42,FIND("/",PasteHashtag!H42)+1,LEN(PasteHashtag!H42)-FIND("/",PasteHashtag!H42)-1)*1</f>
        <v>16.4</v>
      </c>
      <c r="T42" s="306">
        <f>Mid(PasteHashtag!I42,FIND("/",PasteHashtag!I42)+1,LEN(PasteHashtag!I42)-FIND("/",PasteHashtag!I42)-1)*1</f>
        <v>2.7</v>
      </c>
      <c r="U42" s="26"/>
      <c r="V42" s="26"/>
      <c r="W42" s="26"/>
      <c r="AB42" s="12" t="s">
        <v>209</v>
      </c>
    </row>
    <row r="43">
      <c r="A43" s="5">
        <v>42.0</v>
      </c>
      <c r="B43" s="5">
        <f>PasteHashtag!B43</f>
        <v>27.7</v>
      </c>
      <c r="C43" s="305" t="str">
        <f>PasteHashtag!C43</f>
        <v>Alperen Sengün</v>
      </c>
      <c r="D43" s="5" t="str">
        <f>PasteHashtag!D43</f>
        <v>C</v>
      </c>
      <c r="E43" s="5" t="str">
        <f>PasteHashtag!E43</f>
        <v>HOU</v>
      </c>
      <c r="F43" s="5">
        <f>PasteHashtag!F43</f>
        <v>72</v>
      </c>
      <c r="G43" s="5">
        <f>PasteHashtag!G43</f>
        <v>32.6</v>
      </c>
      <c r="H43" s="5">
        <f>MID(PasteHashtag!H43,1+FIND("(",PasteHashtag!H43),FIND("/",PasteHashtag!H43)-FIND("(",PasteHashtag!H43)-1)*1</f>
        <v>7.6</v>
      </c>
      <c r="I43" s="5">
        <f>LEFT(PasteHashtag!H43,FIND("(",PasteHashtag!H43)-1)*1</f>
        <v>0.544</v>
      </c>
      <c r="J43" s="5">
        <f>MID(PasteHashtag!I43,1+FIND("(",PasteHashtag!I43),FIND("/",PasteHashtag!I43)-FIND("(",PasteHashtag!I43)-1)*1</f>
        <v>3.9</v>
      </c>
      <c r="K43" s="5">
        <f>LEFT(PasteHashtag!I43,FIND("(",PasteHashtag!I43)-1)*1</f>
        <v>0.713</v>
      </c>
      <c r="L43" s="5">
        <f>PasteHashtag!J43</f>
        <v>0.4</v>
      </c>
      <c r="M43" s="5">
        <f>PasteHashtag!K43</f>
        <v>19.4</v>
      </c>
      <c r="N43" s="5">
        <f>PasteHashtag!L43</f>
        <v>9.9</v>
      </c>
      <c r="O43" s="5">
        <f>PasteHashtag!M43</f>
        <v>5.4</v>
      </c>
      <c r="P43" s="5">
        <f>PasteHashtag!N43</f>
        <v>1.2</v>
      </c>
      <c r="Q43" s="5">
        <f>PasteHashtag!O43</f>
        <v>0.8</v>
      </c>
      <c r="R43" s="5">
        <f>PasteHashtag!P43</f>
        <v>2.8</v>
      </c>
      <c r="S43" s="5">
        <f>Mid(PasteHashtag!H43,FIND("/",PasteHashtag!H43)+1,LEN(PasteHashtag!H43)-FIND("/",PasteHashtag!H43)-1)*1</f>
        <v>13.9</v>
      </c>
      <c r="T43" s="306">
        <f>Mid(PasteHashtag!I43,FIND("/",PasteHashtag!I43)+1,LEN(PasteHashtag!I43)-FIND("/",PasteHashtag!I43)-1)*1</f>
        <v>5.4</v>
      </c>
      <c r="U43" s="26"/>
      <c r="V43" s="26"/>
      <c r="W43" s="26"/>
      <c r="AB43" s="12" t="s">
        <v>40</v>
      </c>
    </row>
    <row r="44">
      <c r="A44" s="5">
        <v>43.0</v>
      </c>
      <c r="B44" s="5">
        <f>PasteHashtag!B44</f>
        <v>32.2</v>
      </c>
      <c r="C44" s="305" t="str">
        <f>PasteHashtag!C44</f>
        <v>Bam Adebayo</v>
      </c>
      <c r="D44" s="5" t="str">
        <f>PasteHashtag!D44</f>
        <v>C</v>
      </c>
      <c r="E44" s="5" t="str">
        <f>PasteHashtag!E44</f>
        <v>MIA</v>
      </c>
      <c r="F44" s="5">
        <f>PasteHashtag!F44</f>
        <v>73</v>
      </c>
      <c r="G44" s="5">
        <f>PasteHashtag!G44</f>
        <v>34.4</v>
      </c>
      <c r="H44" s="5">
        <f>MID(PasteHashtag!H44,1+FIND("(",PasteHashtag!H44),FIND("/",PasteHashtag!H44)-FIND("(",PasteHashtag!H44)-1)*1</f>
        <v>7.8</v>
      </c>
      <c r="I44" s="5">
        <f>LEFT(PasteHashtag!H44,FIND("(",PasteHashtag!H44)-1)*1</f>
        <v>0.531</v>
      </c>
      <c r="J44" s="5">
        <f>MID(PasteHashtag!I44,1+FIND("(",PasteHashtag!I44),FIND("/",PasteHashtag!I44)-FIND("(",PasteHashtag!I44)-1)*1</f>
        <v>4.1</v>
      </c>
      <c r="K44" s="5">
        <f>LEFT(PasteHashtag!I44,FIND("(",PasteHashtag!I44)-1)*1</f>
        <v>0.743</v>
      </c>
      <c r="L44" s="5">
        <f>PasteHashtag!J44</f>
        <v>0.2</v>
      </c>
      <c r="M44" s="5">
        <f>PasteHashtag!K44</f>
        <v>20</v>
      </c>
      <c r="N44" s="5">
        <f>PasteHashtag!L44</f>
        <v>10.4</v>
      </c>
      <c r="O44" s="5">
        <f>PasteHashtag!M44</f>
        <v>3.9</v>
      </c>
      <c r="P44" s="5">
        <f>PasteHashtag!N44</f>
        <v>1.2</v>
      </c>
      <c r="Q44" s="5">
        <f>PasteHashtag!O44</f>
        <v>0.9</v>
      </c>
      <c r="R44" s="5">
        <f>PasteHashtag!P44</f>
        <v>2.4</v>
      </c>
      <c r="S44" s="5">
        <f>Mid(PasteHashtag!H44,FIND("/",PasteHashtag!H44)+1,LEN(PasteHashtag!H44)-FIND("/",PasteHashtag!H44)-1)*1</f>
        <v>14.8</v>
      </c>
      <c r="T44" s="306">
        <f>Mid(PasteHashtag!I44,FIND("/",PasteHashtag!I44)+1,LEN(PasteHashtag!I44)-FIND("/",PasteHashtag!I44)-1)*1</f>
        <v>5.5</v>
      </c>
      <c r="U44" s="26"/>
      <c r="V44" s="26"/>
      <c r="W44" s="26"/>
      <c r="AB44" s="12" t="s">
        <v>180</v>
      </c>
    </row>
    <row r="45">
      <c r="A45" s="5">
        <v>44.0</v>
      </c>
      <c r="B45" s="5">
        <f>PasteHashtag!B45</f>
        <v>103.3</v>
      </c>
      <c r="C45" s="305" t="str">
        <f>PasteHashtag!C45</f>
        <v>Kristaps Porzingis</v>
      </c>
      <c r="D45" s="5" t="str">
        <f>PasteHashtag!D45</f>
        <v>PF,C</v>
      </c>
      <c r="E45" s="5" t="str">
        <f>PasteHashtag!E45</f>
        <v>BOS</v>
      </c>
      <c r="F45" s="5">
        <f>PasteHashtag!F45</f>
        <v>40</v>
      </c>
      <c r="G45" s="5">
        <f>PasteHashtag!G45</f>
        <v>27.1</v>
      </c>
      <c r="H45" s="5">
        <f>MID(PasteHashtag!H45,1+FIND("(",PasteHashtag!H45),FIND("/",PasteHashtag!H45)-FIND("(",PasteHashtag!H45)-1)*1</f>
        <v>6.1</v>
      </c>
      <c r="I45" s="5">
        <f>LEFT(PasteHashtag!H45,FIND("(",PasteHashtag!H45)-1)*1</f>
        <v>0.484</v>
      </c>
      <c r="J45" s="5">
        <f>MID(PasteHashtag!I45,1+FIND("(",PasteHashtag!I45),FIND("/",PasteHashtag!I45)-FIND("(",PasteHashtag!I45)-1)*1</f>
        <v>3.8</v>
      </c>
      <c r="K45" s="5">
        <f>LEFT(PasteHashtag!I45,FIND("(",PasteHashtag!I45)-1)*1</f>
        <v>0.848</v>
      </c>
      <c r="L45" s="5">
        <f>PasteHashtag!J45</f>
        <v>1.8</v>
      </c>
      <c r="M45" s="5">
        <f>PasteHashtag!K45</f>
        <v>17.8</v>
      </c>
      <c r="N45" s="5">
        <f>PasteHashtag!L45</f>
        <v>6.7</v>
      </c>
      <c r="O45" s="5">
        <f>PasteHashtag!M45</f>
        <v>2</v>
      </c>
      <c r="P45" s="5">
        <f>PasteHashtag!N45</f>
        <v>0.7</v>
      </c>
      <c r="Q45" s="5">
        <f>PasteHashtag!O45</f>
        <v>1.5</v>
      </c>
      <c r="R45" s="5">
        <f>PasteHashtag!P45</f>
        <v>1.6</v>
      </c>
      <c r="S45" s="5">
        <f>Mid(PasteHashtag!H45,FIND("/",PasteHashtag!H45)+1,LEN(PasteHashtag!H45)-FIND("/",PasteHashtag!H45)-1)*1</f>
        <v>12.6</v>
      </c>
      <c r="T45" s="306">
        <f>Mid(PasteHashtag!I45,FIND("/",PasteHashtag!I45)+1,LEN(PasteHashtag!I45)-FIND("/",PasteHashtag!I45)-1)*1</f>
        <v>4.5</v>
      </c>
      <c r="U45" s="26"/>
      <c r="V45" s="26"/>
      <c r="W45" s="26"/>
      <c r="AB45" s="12" t="s">
        <v>169</v>
      </c>
    </row>
    <row r="46">
      <c r="A46" s="5">
        <v>45.0</v>
      </c>
      <c r="B46" s="5">
        <f>PasteHashtag!B46</f>
        <v>34</v>
      </c>
      <c r="C46" s="305" t="str">
        <f>PasteHashtag!C46</f>
        <v>Cade Cunningham</v>
      </c>
      <c r="D46" s="5" t="str">
        <f>PasteHashtag!D46</f>
        <v>PG,SG</v>
      </c>
      <c r="E46" s="5" t="str">
        <f>PasteHashtag!E46</f>
        <v>DET</v>
      </c>
      <c r="F46" s="5">
        <f>PasteHashtag!F46</f>
        <v>64</v>
      </c>
      <c r="G46" s="5">
        <f>PasteHashtag!G46</f>
        <v>33.7</v>
      </c>
      <c r="H46" s="5">
        <f>MID(PasteHashtag!H46,1+FIND("(",PasteHashtag!H46),FIND("/",PasteHashtag!H46)-FIND("(",PasteHashtag!H46)-1)*1</f>
        <v>8.8</v>
      </c>
      <c r="I46" s="5">
        <f>LEFT(PasteHashtag!H46,FIND("(",PasteHashtag!H46)-1)*1</f>
        <v>0.45</v>
      </c>
      <c r="J46" s="5">
        <f>MID(PasteHashtag!I46,1+FIND("(",PasteHashtag!I46),FIND("/",PasteHashtag!I46)-FIND("(",PasteHashtag!I46)-1)*1</f>
        <v>3.8</v>
      </c>
      <c r="K46" s="5">
        <f>LEFT(PasteHashtag!I46,FIND("(",PasteHashtag!I46)-1)*1</f>
        <v>0.865</v>
      </c>
      <c r="L46" s="5">
        <f>PasteHashtag!J46</f>
        <v>1.9</v>
      </c>
      <c r="M46" s="5">
        <f>PasteHashtag!K46</f>
        <v>23.2</v>
      </c>
      <c r="N46" s="5">
        <f>PasteHashtag!L46</f>
        <v>4.7</v>
      </c>
      <c r="O46" s="5">
        <f>PasteHashtag!M46</f>
        <v>7.8</v>
      </c>
      <c r="P46" s="5">
        <f>PasteHashtag!N46</f>
        <v>0.9</v>
      </c>
      <c r="Q46" s="5">
        <f>PasteHashtag!O46</f>
        <v>0.4</v>
      </c>
      <c r="R46" s="5">
        <f>PasteHashtag!P46</f>
        <v>3.5</v>
      </c>
      <c r="S46" s="5">
        <f>Mid(PasteHashtag!H46,FIND("/",PasteHashtag!H46)+1,LEN(PasteHashtag!H46)-FIND("/",PasteHashtag!H46)-1)*1</f>
        <v>19.5</v>
      </c>
      <c r="T46" s="306">
        <f>Mid(PasteHashtag!I46,FIND("/",PasteHashtag!I46)+1,LEN(PasteHashtag!I46)-FIND("/",PasteHashtag!I46)-1)*1</f>
        <v>4.4</v>
      </c>
      <c r="U46" s="26"/>
      <c r="V46" s="26"/>
      <c r="W46" s="26"/>
      <c r="AB46" s="12" t="s">
        <v>98</v>
      </c>
    </row>
    <row r="47">
      <c r="A47" s="5">
        <v>46.0</v>
      </c>
      <c r="B47" s="5">
        <f>PasteHashtag!B47</f>
        <v>45</v>
      </c>
      <c r="C47" s="305" t="str">
        <f>PasteHashtag!C47</f>
        <v>Myles Turner</v>
      </c>
      <c r="D47" s="5" t="str">
        <f>PasteHashtag!D47</f>
        <v>C</v>
      </c>
      <c r="E47" s="5" t="str">
        <f>PasteHashtag!E47</f>
        <v>IND</v>
      </c>
      <c r="F47" s="5">
        <f>PasteHashtag!F47</f>
        <v>72</v>
      </c>
      <c r="G47" s="5">
        <f>PasteHashtag!G47</f>
        <v>28.8</v>
      </c>
      <c r="H47" s="5">
        <f>MID(PasteHashtag!H47,1+FIND("(",PasteHashtag!H47),FIND("/",PasteHashtag!H47)-FIND("(",PasteHashtag!H47)-1)*1</f>
        <v>6.1</v>
      </c>
      <c r="I47" s="5">
        <f>LEFT(PasteHashtag!H47,FIND("(",PasteHashtag!H47)-1)*1</f>
        <v>0.535</v>
      </c>
      <c r="J47" s="5">
        <f>MID(PasteHashtag!I47,1+FIND("(",PasteHashtag!I47),FIND("/",PasteHashtag!I47)-FIND("(",PasteHashtag!I47)-1)*1</f>
        <v>3.2</v>
      </c>
      <c r="K47" s="5">
        <f>LEFT(PasteHashtag!I47,FIND("(",PasteHashtag!I47)-1)*1</f>
        <v>0.778</v>
      </c>
      <c r="L47" s="5">
        <f>PasteHashtag!J47</f>
        <v>1.5</v>
      </c>
      <c r="M47" s="5">
        <f>PasteHashtag!K47</f>
        <v>17</v>
      </c>
      <c r="N47" s="5">
        <f>PasteHashtag!L47</f>
        <v>7</v>
      </c>
      <c r="O47" s="5">
        <f>PasteHashtag!M47</f>
        <v>1.3</v>
      </c>
      <c r="P47" s="5">
        <f>PasteHashtag!N47</f>
        <v>0.5</v>
      </c>
      <c r="Q47" s="5">
        <f>PasteHashtag!O47</f>
        <v>2</v>
      </c>
      <c r="R47" s="5">
        <f>PasteHashtag!P47</f>
        <v>1.5</v>
      </c>
      <c r="S47" s="5">
        <f>Mid(PasteHashtag!H47,FIND("/",PasteHashtag!H47)+1,LEN(PasteHashtag!H47)-FIND("/",PasteHashtag!H47)-1)*1</f>
        <v>11.5</v>
      </c>
      <c r="T47" s="306">
        <f>Mid(PasteHashtag!I47,FIND("/",PasteHashtag!I47)+1,LEN(PasteHashtag!I47)-FIND("/",PasteHashtag!I47)-1)*1</f>
        <v>4.1</v>
      </c>
      <c r="U47" s="26"/>
      <c r="V47" s="26"/>
      <c r="W47" s="26"/>
      <c r="AB47" s="12" t="s">
        <v>89</v>
      </c>
    </row>
    <row r="48">
      <c r="A48" s="5">
        <v>47.0</v>
      </c>
      <c r="B48" s="5">
        <f>PasteHashtag!B48</f>
        <v>53.8</v>
      </c>
      <c r="C48" s="305" t="str">
        <f>PasteHashtag!C48</f>
        <v>Immanuel Quickley</v>
      </c>
      <c r="D48" s="5" t="str">
        <f>PasteHashtag!D48</f>
        <v>PG,SG</v>
      </c>
      <c r="E48" s="5" t="str">
        <f>PasteHashtag!E48</f>
        <v>TOR</v>
      </c>
      <c r="F48" s="5">
        <f>PasteHashtag!F48</f>
        <v>72</v>
      </c>
      <c r="G48" s="5">
        <f>PasteHashtag!G48</f>
        <v>33.3</v>
      </c>
      <c r="H48" s="5">
        <f>MID(PasteHashtag!H48,1+FIND("(",PasteHashtag!H48),FIND("/",PasteHashtag!H48)-FIND("(",PasteHashtag!H48)-1)*1</f>
        <v>6.4</v>
      </c>
      <c r="I48" s="5">
        <f>LEFT(PasteHashtag!H48,FIND("(",PasteHashtag!H48)-1)*1</f>
        <v>0.44</v>
      </c>
      <c r="J48" s="5">
        <f>MID(PasteHashtag!I48,1+FIND("(",PasteHashtag!I48),FIND("/",PasteHashtag!I48)-FIND("(",PasteHashtag!I48)-1)*1</f>
        <v>3.2</v>
      </c>
      <c r="K48" s="5">
        <f>LEFT(PasteHashtag!I48,FIND("(",PasteHashtag!I48)-1)*1</f>
        <v>0.849</v>
      </c>
      <c r="L48" s="5">
        <f>PasteHashtag!J48</f>
        <v>2.6</v>
      </c>
      <c r="M48" s="5">
        <f>PasteHashtag!K48</f>
        <v>18.7</v>
      </c>
      <c r="N48" s="5">
        <f>PasteHashtag!L48</f>
        <v>4.6</v>
      </c>
      <c r="O48" s="5">
        <f>PasteHashtag!M48</f>
        <v>6.8</v>
      </c>
      <c r="P48" s="5">
        <f>PasteHashtag!N48</f>
        <v>1.1</v>
      </c>
      <c r="Q48" s="5">
        <f>PasteHashtag!O48</f>
        <v>0.2</v>
      </c>
      <c r="R48" s="5">
        <f>PasteHashtag!P48</f>
        <v>1.6</v>
      </c>
      <c r="S48" s="5">
        <f>Mid(PasteHashtag!H48,FIND("/",PasteHashtag!H48)+1,LEN(PasteHashtag!H48)-FIND("/",PasteHashtag!H48)-1)*1</f>
        <v>14.7</v>
      </c>
      <c r="T48" s="306">
        <f>Mid(PasteHashtag!I48,FIND("/",PasteHashtag!I48)+1,LEN(PasteHashtag!I48)-FIND("/",PasteHashtag!I48)-1)*1</f>
        <v>3.8</v>
      </c>
      <c r="U48" s="26"/>
      <c r="V48" s="26"/>
      <c r="W48" s="26"/>
      <c r="AB48" s="12" t="s">
        <v>222</v>
      </c>
    </row>
    <row r="49">
      <c r="A49" s="5">
        <v>48.0</v>
      </c>
      <c r="B49" s="5">
        <f>PasteHashtag!B49</f>
        <v>52.7</v>
      </c>
      <c r="C49" s="305" t="str">
        <f>PasteHashtag!C49</f>
        <v>Jamal Murray</v>
      </c>
      <c r="D49" s="5" t="str">
        <f>PasteHashtag!D49</f>
        <v>PG,SG</v>
      </c>
      <c r="E49" s="5" t="str">
        <f>PasteHashtag!E49</f>
        <v>DEN</v>
      </c>
      <c r="F49" s="5">
        <f>PasteHashtag!F49</f>
        <v>60</v>
      </c>
      <c r="G49" s="5">
        <f>PasteHashtag!G49</f>
        <v>31.1</v>
      </c>
      <c r="H49" s="5">
        <f>MID(PasteHashtag!H49,1+FIND("(",PasteHashtag!H49),FIND("/",PasteHashtag!H49)-FIND("(",PasteHashtag!H49)-1)*1</f>
        <v>7.4</v>
      </c>
      <c r="I49" s="5">
        <f>LEFT(PasteHashtag!H49,FIND("(",PasteHashtag!H49)-1)*1</f>
        <v>0.471</v>
      </c>
      <c r="J49" s="5">
        <f>MID(PasteHashtag!I49,1+FIND("(",PasteHashtag!I49),FIND("/",PasteHashtag!I49)-FIND("(",PasteHashtag!I49)-1)*1</f>
        <v>2.6</v>
      </c>
      <c r="K49" s="5">
        <f>LEFT(PasteHashtag!I49,FIND("(",PasteHashtag!I49)-1)*1</f>
        <v>0.841</v>
      </c>
      <c r="L49" s="5">
        <f>PasteHashtag!J49</f>
        <v>2.5</v>
      </c>
      <c r="M49" s="5">
        <f>PasteHashtag!K49</f>
        <v>20</v>
      </c>
      <c r="N49" s="5">
        <f>PasteHashtag!L49</f>
        <v>3.9</v>
      </c>
      <c r="O49" s="5">
        <f>PasteHashtag!M49</f>
        <v>6.1</v>
      </c>
      <c r="P49" s="5">
        <f>PasteHashtag!N49</f>
        <v>1</v>
      </c>
      <c r="Q49" s="5">
        <f>PasteHashtag!O49</f>
        <v>0.5</v>
      </c>
      <c r="R49" s="5">
        <f>PasteHashtag!P49</f>
        <v>2.1</v>
      </c>
      <c r="S49" s="5">
        <f>Mid(PasteHashtag!H49,FIND("/",PasteHashtag!H49)+1,LEN(PasteHashtag!H49)-FIND("/",PasteHashtag!H49)-1)*1</f>
        <v>15.8</v>
      </c>
      <c r="T49" s="306">
        <f>Mid(PasteHashtag!I49,FIND("/",PasteHashtag!I49)+1,LEN(PasteHashtag!I49)-FIND("/",PasteHashtag!I49)-1)*1</f>
        <v>3.1</v>
      </c>
      <c r="U49" s="26"/>
      <c r="V49" s="26"/>
      <c r="W49" s="26"/>
      <c r="AB49" s="12" t="s">
        <v>126</v>
      </c>
    </row>
    <row r="50">
      <c r="A50" s="5">
        <v>49.0</v>
      </c>
      <c r="B50" s="5">
        <f>PasteHashtag!B50</f>
        <v>46.1</v>
      </c>
      <c r="C50" s="305" t="str">
        <f>PasteHashtag!C50</f>
        <v>Franz Wagner</v>
      </c>
      <c r="D50" s="5" t="str">
        <f>PasteHashtag!D50</f>
        <v>SF,PF</v>
      </c>
      <c r="E50" s="5" t="str">
        <f>PasteHashtag!E50</f>
        <v>ORL</v>
      </c>
      <c r="F50" s="5">
        <f>PasteHashtag!F50</f>
        <v>76</v>
      </c>
      <c r="G50" s="5">
        <f>PasteHashtag!G50</f>
        <v>33.1</v>
      </c>
      <c r="H50" s="5">
        <f>MID(PasteHashtag!H50,1+FIND("(",PasteHashtag!H50),FIND("/",PasteHashtag!H50)-FIND("(",PasteHashtag!H50)-1)*1</f>
        <v>7.2</v>
      </c>
      <c r="I50" s="5">
        <f>LEFT(PasteHashtag!H50,FIND("(",PasteHashtag!H50)-1)*1</f>
        <v>0.483</v>
      </c>
      <c r="J50" s="5">
        <f>MID(PasteHashtag!I50,1+FIND("(",PasteHashtag!I50),FIND("/",PasteHashtag!I50)-FIND("(",PasteHashtag!I50)-1)*1</f>
        <v>3.7</v>
      </c>
      <c r="K50" s="5">
        <f>LEFT(PasteHashtag!I50,FIND("(",PasteHashtag!I50)-1)*1</f>
        <v>0.845</v>
      </c>
      <c r="L50" s="5">
        <f>PasteHashtag!J50</f>
        <v>1.4</v>
      </c>
      <c r="M50" s="5">
        <f>PasteHashtag!K50</f>
        <v>19.6</v>
      </c>
      <c r="N50" s="5">
        <f>PasteHashtag!L50</f>
        <v>5.4</v>
      </c>
      <c r="O50" s="5">
        <f>PasteHashtag!M50</f>
        <v>3.9</v>
      </c>
      <c r="P50" s="5">
        <f>PasteHashtag!N50</f>
        <v>1.2</v>
      </c>
      <c r="Q50" s="5">
        <f>PasteHashtag!O50</f>
        <v>0.4</v>
      </c>
      <c r="R50" s="5">
        <f>PasteHashtag!P50</f>
        <v>2</v>
      </c>
      <c r="S50" s="5">
        <f>Mid(PasteHashtag!H50,FIND("/",PasteHashtag!H50)+1,LEN(PasteHashtag!H50)-FIND("/",PasteHashtag!H50)-1)*1</f>
        <v>15</v>
      </c>
      <c r="T50" s="306">
        <f>Mid(PasteHashtag!I50,FIND("/",PasteHashtag!I50)+1,LEN(PasteHashtag!I50)-FIND("/",PasteHashtag!I50)-1)*1</f>
        <v>4.3</v>
      </c>
      <c r="U50" s="26"/>
      <c r="V50" s="26"/>
      <c r="W50" s="26"/>
      <c r="AB50" s="12" t="s">
        <v>144</v>
      </c>
    </row>
    <row r="51">
      <c r="A51" s="5">
        <v>50.0</v>
      </c>
      <c r="B51" s="5">
        <f>PasteHashtag!B51</f>
        <v>66.6</v>
      </c>
      <c r="C51" s="305" t="str">
        <f>PasteHashtag!C51</f>
        <v>Tobias Harris</v>
      </c>
      <c r="D51" s="5" t="str">
        <f>PasteHashtag!D51</f>
        <v>SF,PF</v>
      </c>
      <c r="E51" s="5" t="str">
        <f>PasteHashtag!E51</f>
        <v>DET</v>
      </c>
      <c r="F51" s="5">
        <f>PasteHashtag!F51</f>
        <v>69</v>
      </c>
      <c r="G51" s="5">
        <f>PasteHashtag!G51</f>
        <v>31.9</v>
      </c>
      <c r="H51" s="5">
        <f>MID(PasteHashtag!H51,1+FIND("(",PasteHashtag!H51),FIND("/",PasteHashtag!H51)-FIND("(",PasteHashtag!H51)-1)*1</f>
        <v>6.8</v>
      </c>
      <c r="I51" s="5">
        <f>LEFT(PasteHashtag!H51,FIND("(",PasteHashtag!H51)-1)*1</f>
        <v>0.482</v>
      </c>
      <c r="J51" s="5">
        <f>MID(PasteHashtag!I51,1+FIND("(",PasteHashtag!I51),FIND("/",PasteHashtag!I51)-FIND("(",PasteHashtag!I51)-1)*1</f>
        <v>2.5</v>
      </c>
      <c r="K51" s="5">
        <f>LEFT(PasteHashtag!I51,FIND("(",PasteHashtag!I51)-1)*1</f>
        <v>0.878</v>
      </c>
      <c r="L51" s="5">
        <f>PasteHashtag!J51</f>
        <v>1.6</v>
      </c>
      <c r="M51" s="5">
        <f>PasteHashtag!K51</f>
        <v>17.6</v>
      </c>
      <c r="N51" s="5">
        <f>PasteHashtag!L51</f>
        <v>6.3</v>
      </c>
      <c r="O51" s="5">
        <f>PasteHashtag!M51</f>
        <v>3</v>
      </c>
      <c r="P51" s="5">
        <f>PasteHashtag!N51</f>
        <v>1</v>
      </c>
      <c r="Q51" s="5">
        <f>PasteHashtag!O51</f>
        <v>0.6</v>
      </c>
      <c r="R51" s="5">
        <f>PasteHashtag!P51</f>
        <v>1.3</v>
      </c>
      <c r="S51" s="5">
        <f>Mid(PasteHashtag!H51,FIND("/",PasteHashtag!H51)+1,LEN(PasteHashtag!H51)-FIND("/",PasteHashtag!H51)-1)*1</f>
        <v>14.1</v>
      </c>
      <c r="T51" s="306">
        <f>Mid(PasteHashtag!I51,FIND("/",PasteHashtag!I51)+1,LEN(PasteHashtag!I51)-FIND("/",PasteHashtag!I51)-1)*1</f>
        <v>2.9</v>
      </c>
      <c r="U51" s="26"/>
      <c r="V51" s="26"/>
      <c r="W51" s="26"/>
      <c r="AB51" s="12" t="s">
        <v>236</v>
      </c>
    </row>
    <row r="52">
      <c r="A52" s="5">
        <v>51.0</v>
      </c>
      <c r="B52" s="5">
        <f>PasteHashtag!B52</f>
        <v>55.2</v>
      </c>
      <c r="C52" s="305" t="str">
        <f>PasteHashtag!C52</f>
        <v>Nikola Vucevic</v>
      </c>
      <c r="D52" s="5" t="str">
        <f>PasteHashtag!D52</f>
        <v>PF,C</v>
      </c>
      <c r="E52" s="5" t="str">
        <f>PasteHashtag!E52</f>
        <v>CHI</v>
      </c>
      <c r="F52" s="5">
        <f>PasteHashtag!F52</f>
        <v>75</v>
      </c>
      <c r="G52" s="5">
        <f>PasteHashtag!G52</f>
        <v>33.2</v>
      </c>
      <c r="H52" s="5">
        <f>MID(PasteHashtag!H52,1+FIND("(",PasteHashtag!H52),FIND("/",PasteHashtag!H52)-FIND("(",PasteHashtag!H52)-1)*1</f>
        <v>7.1</v>
      </c>
      <c r="I52" s="5">
        <f>LEFT(PasteHashtag!H52,FIND("(",PasteHashtag!H52)-1)*1</f>
        <v>0.482</v>
      </c>
      <c r="J52" s="5">
        <f>MID(PasteHashtag!I52,1+FIND("(",PasteHashtag!I52),FIND("/",PasteHashtag!I52)-FIND("(",PasteHashtag!I52)-1)*1</f>
        <v>1.5</v>
      </c>
      <c r="K52" s="5">
        <f>LEFT(PasteHashtag!I52,FIND("(",PasteHashtag!I52)-1)*1</f>
        <v>0.817</v>
      </c>
      <c r="L52" s="5">
        <f>PasteHashtag!J52</f>
        <v>1.4</v>
      </c>
      <c r="M52" s="5">
        <f>PasteHashtag!K52</f>
        <v>17.1</v>
      </c>
      <c r="N52" s="5">
        <f>PasteHashtag!L52</f>
        <v>10.4</v>
      </c>
      <c r="O52" s="5">
        <f>PasteHashtag!M52</f>
        <v>3.3</v>
      </c>
      <c r="P52" s="5">
        <f>PasteHashtag!N52</f>
        <v>0.7</v>
      </c>
      <c r="Q52" s="5">
        <f>PasteHashtag!O52</f>
        <v>0.7</v>
      </c>
      <c r="R52" s="5">
        <f>PasteHashtag!P52</f>
        <v>1.6</v>
      </c>
      <c r="S52" s="5">
        <f>Mid(PasteHashtag!H52,FIND("/",PasteHashtag!H52)+1,LEN(PasteHashtag!H52)-FIND("/",PasteHashtag!H52)-1)*1</f>
        <v>14.8</v>
      </c>
      <c r="T52" s="306">
        <f>Mid(PasteHashtag!I52,FIND("/",PasteHashtag!I52)+1,LEN(PasteHashtag!I52)-FIND("/",PasteHashtag!I52)-1)*1</f>
        <v>1.8</v>
      </c>
      <c r="U52" s="26"/>
      <c r="V52" s="26"/>
      <c r="W52" s="26"/>
      <c r="AB52" s="12" t="s">
        <v>159</v>
      </c>
    </row>
    <row r="53">
      <c r="A53" s="5">
        <v>52.0</v>
      </c>
      <c r="B53" s="5">
        <f>PasteHashtag!B53</f>
        <v>53.2</v>
      </c>
      <c r="C53" s="305" t="str">
        <f>PasteHashtag!C53</f>
        <v>Jarrett Allen</v>
      </c>
      <c r="D53" s="5" t="str">
        <f>PasteHashtag!D53</f>
        <v>C</v>
      </c>
      <c r="E53" s="5" t="str">
        <f>PasteHashtag!E53</f>
        <v>CLE</v>
      </c>
      <c r="F53" s="5">
        <f>PasteHashtag!F53</f>
        <v>70</v>
      </c>
      <c r="G53" s="5">
        <f>PasteHashtag!G53</f>
        <v>30.8</v>
      </c>
      <c r="H53" s="5">
        <f>MID(PasteHashtag!H53,1+FIND("(",PasteHashtag!H53),FIND("/",PasteHashtag!H53)-FIND("(",PasteHashtag!H53)-1)*1</f>
        <v>6.2</v>
      </c>
      <c r="I53" s="5">
        <f>LEFT(PasteHashtag!H53,FIND("(",PasteHashtag!H53)-1)*1</f>
        <v>0.637</v>
      </c>
      <c r="J53" s="5">
        <f>MID(PasteHashtag!I53,1+FIND("(",PasteHashtag!I53),FIND("/",PasteHashtag!I53)-FIND("(",PasteHashtag!I53)-1)*1</f>
        <v>2.6</v>
      </c>
      <c r="K53" s="5">
        <f>LEFT(PasteHashtag!I53,FIND("(",PasteHashtag!I53)-1)*1</f>
        <v>0.735</v>
      </c>
      <c r="L53" s="5">
        <f>PasteHashtag!J53</f>
        <v>0</v>
      </c>
      <c r="M53" s="5">
        <f>PasteHashtag!K53</f>
        <v>14.9</v>
      </c>
      <c r="N53" s="5">
        <f>PasteHashtag!L53</f>
        <v>9.9</v>
      </c>
      <c r="O53" s="5">
        <f>PasteHashtag!M53</f>
        <v>2.2</v>
      </c>
      <c r="P53" s="5">
        <f>PasteHashtag!N53</f>
        <v>0.7</v>
      </c>
      <c r="Q53" s="5">
        <f>PasteHashtag!O53</f>
        <v>1.1</v>
      </c>
      <c r="R53" s="5">
        <f>PasteHashtag!P53</f>
        <v>1.4</v>
      </c>
      <c r="S53" s="5">
        <f>Mid(PasteHashtag!H53,FIND("/",PasteHashtag!H53)+1,LEN(PasteHashtag!H53)-FIND("/",PasteHashtag!H53)-1)*1</f>
        <v>9.7</v>
      </c>
      <c r="T53" s="306">
        <f>Mid(PasteHashtag!I53,FIND("/",PasteHashtag!I53)+1,LEN(PasteHashtag!I53)-FIND("/",PasteHashtag!I53)-1)*1</f>
        <v>3.6</v>
      </c>
      <c r="U53" s="26"/>
      <c r="V53" s="26"/>
      <c r="W53" s="26"/>
      <c r="AB53" s="12" t="s">
        <v>110</v>
      </c>
    </row>
    <row r="54">
      <c r="A54" s="5">
        <v>53.0</v>
      </c>
      <c r="B54" s="5">
        <f>PasteHashtag!B54</f>
        <v>46.4</v>
      </c>
      <c r="C54" s="305" t="str">
        <f>PasteHashtag!C54</f>
        <v>Rudy Gobert</v>
      </c>
      <c r="D54" s="5" t="str">
        <f>PasteHashtag!D54</f>
        <v>C</v>
      </c>
      <c r="E54" s="5" t="str">
        <f>PasteHashtag!E54</f>
        <v>MIN</v>
      </c>
      <c r="F54" s="5">
        <f>PasteHashtag!F54</f>
        <v>73</v>
      </c>
      <c r="G54" s="5">
        <f>PasteHashtag!G54</f>
        <v>33.6</v>
      </c>
      <c r="H54" s="5">
        <f>MID(PasteHashtag!H54,1+FIND("(",PasteHashtag!H54),FIND("/",PasteHashtag!H54)-FIND("(",PasteHashtag!H54)-1)*1</f>
        <v>5.5</v>
      </c>
      <c r="I54" s="5">
        <f>LEFT(PasteHashtag!H54,FIND("(",PasteHashtag!H54)-1)*1</f>
        <v>0.66</v>
      </c>
      <c r="J54" s="5">
        <f>MID(PasteHashtag!I54,1+FIND("(",PasteHashtag!I54),FIND("/",PasteHashtag!I54)-FIND("(",PasteHashtag!I54)-1)*1</f>
        <v>3.4</v>
      </c>
      <c r="K54" s="5">
        <f>LEFT(PasteHashtag!I54,FIND("(",PasteHashtag!I54)-1)*1</f>
        <v>0.642</v>
      </c>
      <c r="L54" s="5">
        <f>PasteHashtag!J54</f>
        <v>0</v>
      </c>
      <c r="M54" s="5">
        <f>PasteHashtag!K54</f>
        <v>14.3</v>
      </c>
      <c r="N54" s="5">
        <f>PasteHashtag!L54</f>
        <v>12.9</v>
      </c>
      <c r="O54" s="5">
        <f>PasteHashtag!M54</f>
        <v>1.4</v>
      </c>
      <c r="P54" s="5">
        <f>PasteHashtag!N54</f>
        <v>0.8</v>
      </c>
      <c r="Q54" s="5">
        <f>PasteHashtag!O54</f>
        <v>1.8</v>
      </c>
      <c r="R54" s="5">
        <f>PasteHashtag!P54</f>
        <v>1.7</v>
      </c>
      <c r="S54" s="5">
        <f>Mid(PasteHashtag!H54,FIND("/",PasteHashtag!H54)+1,LEN(PasteHashtag!H54)-FIND("/",PasteHashtag!H54)-1)*1</f>
        <v>8.3</v>
      </c>
      <c r="T54" s="306">
        <f>Mid(PasteHashtag!I54,FIND("/",PasteHashtag!I54)+1,LEN(PasteHashtag!I54)-FIND("/",PasteHashtag!I54)-1)*1</f>
        <v>5.2</v>
      </c>
      <c r="U54" s="26"/>
      <c r="V54" s="26"/>
      <c r="W54" s="26"/>
      <c r="AB54" s="12" t="s">
        <v>243</v>
      </c>
    </row>
    <row r="55">
      <c r="A55" s="5">
        <v>54.0</v>
      </c>
      <c r="B55" s="5">
        <f>PasteHashtag!B55</f>
        <v>62.6</v>
      </c>
      <c r="C55" s="305" t="str">
        <f>PasteHashtag!C55</f>
        <v>Darius Garland</v>
      </c>
      <c r="D55" s="5" t="str">
        <f>PasteHashtag!D55</f>
        <v>PG</v>
      </c>
      <c r="E55" s="5" t="str">
        <f>PasteHashtag!E55</f>
        <v>CLE</v>
      </c>
      <c r="F55" s="5">
        <f>PasteHashtag!F55</f>
        <v>68</v>
      </c>
      <c r="G55" s="5">
        <f>PasteHashtag!G55</f>
        <v>33</v>
      </c>
      <c r="H55" s="5">
        <f>MID(PasteHashtag!H55,1+FIND("(",PasteHashtag!H55),FIND("/",PasteHashtag!H55)-FIND("(",PasteHashtag!H55)-1)*1</f>
        <v>6.9</v>
      </c>
      <c r="I55" s="5">
        <f>LEFT(PasteHashtag!H55,FIND("(",PasteHashtag!H55)-1)*1</f>
        <v>0.455</v>
      </c>
      <c r="J55" s="5">
        <f>MID(PasteHashtag!I55,1+FIND("(",PasteHashtag!I55),FIND("/",PasteHashtag!I55)-FIND("(",PasteHashtag!I55)-1)*1</f>
        <v>3.2</v>
      </c>
      <c r="K55" s="5">
        <f>LEFT(PasteHashtag!I55,FIND("(",PasteHashtag!I55)-1)*1</f>
        <v>0.85</v>
      </c>
      <c r="L55" s="5">
        <f>PasteHashtag!J55</f>
        <v>2.3</v>
      </c>
      <c r="M55" s="5">
        <f>PasteHashtag!K55</f>
        <v>19.3</v>
      </c>
      <c r="N55" s="5">
        <f>PasteHashtag!L55</f>
        <v>2.6</v>
      </c>
      <c r="O55" s="5">
        <f>PasteHashtag!M55</f>
        <v>7</v>
      </c>
      <c r="P55" s="5">
        <f>PasteHashtag!N55</f>
        <v>1.2</v>
      </c>
      <c r="Q55" s="5">
        <f>PasteHashtag!O55</f>
        <v>0.1</v>
      </c>
      <c r="R55" s="5">
        <f>PasteHashtag!P55</f>
        <v>2.9</v>
      </c>
      <c r="S55" s="5">
        <f>Mid(PasteHashtag!H55,FIND("/",PasteHashtag!H55)+1,LEN(PasteHashtag!H55)-FIND("/",PasteHashtag!H55)-1)*1</f>
        <v>15.1</v>
      </c>
      <c r="T55" s="306">
        <f>Mid(PasteHashtag!I55,FIND("/",PasteHashtag!I55)+1,LEN(PasteHashtag!I55)-FIND("/",PasteHashtag!I55)-1)*1</f>
        <v>3.8</v>
      </c>
      <c r="U55" s="26"/>
      <c r="V55" s="26"/>
      <c r="W55" s="26"/>
      <c r="AB55" s="12" t="s">
        <v>110</v>
      </c>
    </row>
    <row r="56">
      <c r="A56" s="5">
        <v>55.0</v>
      </c>
      <c r="B56" s="5">
        <f>PasteHashtag!B56</f>
        <v>40.9</v>
      </c>
      <c r="C56" s="305" t="str">
        <f>PasteHashtag!C56</f>
        <v>Jaylen Brown</v>
      </c>
      <c r="D56" s="5" t="str">
        <f>PasteHashtag!D56</f>
        <v>SG,SF</v>
      </c>
      <c r="E56" s="5" t="str">
        <f>PasteHashtag!E56</f>
        <v>BOS</v>
      </c>
      <c r="F56" s="5">
        <f>PasteHashtag!F56</f>
        <v>70</v>
      </c>
      <c r="G56" s="5">
        <f>PasteHashtag!G56</f>
        <v>33.8</v>
      </c>
      <c r="H56" s="5">
        <f>MID(PasteHashtag!H56,1+FIND("(",PasteHashtag!H56),FIND("/",PasteHashtag!H56)-FIND("(",PasteHashtag!H56)-1)*1</f>
        <v>9.4</v>
      </c>
      <c r="I56" s="5">
        <f>LEFT(PasteHashtag!H56,FIND("(",PasteHashtag!H56)-1)*1</f>
        <v>0.495</v>
      </c>
      <c r="J56" s="5">
        <f>MID(PasteHashtag!I56,1+FIND("(",PasteHashtag!I56),FIND("/",PasteHashtag!I56)-FIND("(",PasteHashtag!I56)-1)*1</f>
        <v>3.4</v>
      </c>
      <c r="K56" s="5">
        <f>LEFT(PasteHashtag!I56,FIND("(",PasteHashtag!I56)-1)*1</f>
        <v>0.737</v>
      </c>
      <c r="L56" s="5">
        <f>PasteHashtag!J56</f>
        <v>2.2</v>
      </c>
      <c r="M56" s="5">
        <f>PasteHashtag!K56</f>
        <v>24.4</v>
      </c>
      <c r="N56" s="5">
        <f>PasteHashtag!L56</f>
        <v>6.1</v>
      </c>
      <c r="O56" s="5">
        <f>PasteHashtag!M56</f>
        <v>3.5</v>
      </c>
      <c r="P56" s="5">
        <f>PasteHashtag!N56</f>
        <v>1.1</v>
      </c>
      <c r="Q56" s="5">
        <f>PasteHashtag!O56</f>
        <v>0.5</v>
      </c>
      <c r="R56" s="5">
        <f>PasteHashtag!P56</f>
        <v>2.6</v>
      </c>
      <c r="S56" s="5">
        <f>Mid(PasteHashtag!H56,FIND("/",PasteHashtag!H56)+1,LEN(PasteHashtag!H56)-FIND("/",PasteHashtag!H56)-1)*1</f>
        <v>19</v>
      </c>
      <c r="T56" s="306">
        <f>Mid(PasteHashtag!I56,FIND("/",PasteHashtag!I56)+1,LEN(PasteHashtag!I56)-FIND("/",PasteHashtag!I56)-1)*1</f>
        <v>4.6</v>
      </c>
      <c r="U56" s="26"/>
      <c r="V56" s="26"/>
      <c r="W56" s="26"/>
      <c r="AB56" s="12" t="s">
        <v>98</v>
      </c>
    </row>
    <row r="57">
      <c r="A57" s="5">
        <v>56.0</v>
      </c>
      <c r="B57" s="5">
        <f>PasteHashtag!B57</f>
        <v>60.8</v>
      </c>
      <c r="C57" s="305" t="str">
        <f>PasteHashtag!C57</f>
        <v>Deandre Ayton</v>
      </c>
      <c r="D57" s="5" t="str">
        <f>PasteHashtag!D57</f>
        <v>C</v>
      </c>
      <c r="E57" s="5" t="str">
        <f>PasteHashtag!E57</f>
        <v>POR</v>
      </c>
      <c r="F57" s="5">
        <f>PasteHashtag!F57</f>
        <v>65</v>
      </c>
      <c r="G57" s="5">
        <f>PasteHashtag!G57</f>
        <v>31</v>
      </c>
      <c r="H57" s="5">
        <f>MID(PasteHashtag!H57,1+FIND("(",PasteHashtag!H57),FIND("/",PasteHashtag!H57)-FIND("(",PasteHashtag!H57)-1)*1</f>
        <v>7.6</v>
      </c>
      <c r="I57" s="5">
        <f>LEFT(PasteHashtag!H57,FIND("(",PasteHashtag!H57)-1)*1</f>
        <v>0.571</v>
      </c>
      <c r="J57" s="5">
        <f>MID(PasteHashtag!I57,1+FIND("(",PasteHashtag!I57),FIND("/",PasteHashtag!I57)-FIND("(",PasteHashtag!I57)-1)*1</f>
        <v>1.8</v>
      </c>
      <c r="K57" s="5">
        <f>LEFT(PasteHashtag!I57,FIND("(",PasteHashtag!I57)-1)*1</f>
        <v>0.778</v>
      </c>
      <c r="L57" s="5">
        <f>PasteHashtag!J57</f>
        <v>0.1</v>
      </c>
      <c r="M57" s="5">
        <f>PasteHashtag!K57</f>
        <v>17</v>
      </c>
      <c r="N57" s="5">
        <f>PasteHashtag!L57</f>
        <v>10.3</v>
      </c>
      <c r="O57" s="5">
        <f>PasteHashtag!M57</f>
        <v>1.7</v>
      </c>
      <c r="P57" s="5">
        <f>PasteHashtag!N57</f>
        <v>0.8</v>
      </c>
      <c r="Q57" s="5">
        <f>PasteHashtag!O57</f>
        <v>0.8</v>
      </c>
      <c r="R57" s="5">
        <f>PasteHashtag!P57</f>
        <v>1.8</v>
      </c>
      <c r="S57" s="5">
        <f>Mid(PasteHashtag!H57,FIND("/",PasteHashtag!H57)+1,LEN(PasteHashtag!H57)-FIND("/",PasteHashtag!H57)-1)*1</f>
        <v>13.3</v>
      </c>
      <c r="T57" s="306">
        <f>Mid(PasteHashtag!I57,FIND("/",PasteHashtag!I57)+1,LEN(PasteHashtag!I57)-FIND("/",PasteHashtag!I57)-1)*1</f>
        <v>2.3</v>
      </c>
      <c r="U57" s="26"/>
      <c r="V57" s="26"/>
      <c r="W57" s="26"/>
      <c r="AB57" s="12" t="s">
        <v>118</v>
      </c>
    </row>
    <row r="58">
      <c r="A58" s="5">
        <v>57.0</v>
      </c>
      <c r="B58" s="5">
        <f>PasteHashtag!B58</f>
        <v>72.6</v>
      </c>
      <c r="C58" s="305" t="str">
        <f>PasteHashtag!C58</f>
        <v>Bradley Beal</v>
      </c>
      <c r="D58" s="5" t="str">
        <f>PasteHashtag!D58</f>
        <v>PG,SG</v>
      </c>
      <c r="E58" s="5" t="str">
        <f>PasteHashtag!E58</f>
        <v>PHO</v>
      </c>
      <c r="F58" s="5">
        <f>PasteHashtag!F58</f>
        <v>50</v>
      </c>
      <c r="G58" s="5">
        <f>PasteHashtag!G58</f>
        <v>32</v>
      </c>
      <c r="H58" s="5">
        <f>MID(PasteHashtag!H58,1+FIND("(",PasteHashtag!H58),FIND("/",PasteHashtag!H58)-FIND("(",PasteHashtag!H58)-1)*1</f>
        <v>7.2</v>
      </c>
      <c r="I58" s="5">
        <f>LEFT(PasteHashtag!H58,FIND("(",PasteHashtag!H58)-1)*1</f>
        <v>0.509</v>
      </c>
      <c r="J58" s="5">
        <f>MID(PasteHashtag!I58,1+FIND("(",PasteHashtag!I58),FIND("/",PasteHashtag!I58)-FIND("(",PasteHashtag!I58)-1)*1</f>
        <v>2.6</v>
      </c>
      <c r="K58" s="5">
        <f>LEFT(PasteHashtag!I58,FIND("(",PasteHashtag!I58)-1)*1</f>
        <v>0.821</v>
      </c>
      <c r="L58" s="5">
        <f>PasteHashtag!J58</f>
        <v>1.9</v>
      </c>
      <c r="M58" s="5">
        <f>PasteHashtag!K58</f>
        <v>18.9</v>
      </c>
      <c r="N58" s="5">
        <f>PasteHashtag!L58</f>
        <v>3.8</v>
      </c>
      <c r="O58" s="5">
        <f>PasteHashtag!M58</f>
        <v>4.2</v>
      </c>
      <c r="P58" s="5">
        <f>PasteHashtag!N58</f>
        <v>1</v>
      </c>
      <c r="Q58" s="5">
        <f>PasteHashtag!O58</f>
        <v>0.5</v>
      </c>
      <c r="R58" s="5">
        <f>PasteHashtag!P58</f>
        <v>2.4</v>
      </c>
      <c r="S58" s="5">
        <f>Mid(PasteHashtag!H58,FIND("/",PasteHashtag!H58)+1,LEN(PasteHashtag!H58)-FIND("/",PasteHashtag!H58)-1)*1</f>
        <v>14.2</v>
      </c>
      <c r="T58" s="306">
        <f>Mid(PasteHashtag!I58,FIND("/",PasteHashtag!I58)+1,LEN(PasteHashtag!I58)-FIND("/",PasteHashtag!I58)-1)*1</f>
        <v>3.1</v>
      </c>
      <c r="U58" s="26"/>
      <c r="V58" s="26"/>
      <c r="W58" s="26"/>
      <c r="AB58" s="12" t="s">
        <v>259</v>
      </c>
    </row>
    <row r="59">
      <c r="A59" s="5">
        <v>58.0</v>
      </c>
      <c r="B59" s="5">
        <f>PasteHashtag!B59</f>
        <v>74</v>
      </c>
      <c r="C59" s="305" t="str">
        <f>PasteHashtag!C59</f>
        <v>D'Angelo Russell</v>
      </c>
      <c r="D59" s="5" t="str">
        <f>PasteHashtag!D59</f>
        <v>PG</v>
      </c>
      <c r="E59" s="5" t="str">
        <f>PasteHashtag!E59</f>
        <v>LAL</v>
      </c>
      <c r="F59" s="5">
        <f>PasteHashtag!F59</f>
        <v>72</v>
      </c>
      <c r="G59" s="5">
        <f>PasteHashtag!G59</f>
        <v>32.6</v>
      </c>
      <c r="H59" s="5">
        <f>MID(PasteHashtag!H59,1+FIND("(",PasteHashtag!H59),FIND("/",PasteHashtag!H59)-FIND("(",PasteHashtag!H59)-1)*1</f>
        <v>6.2</v>
      </c>
      <c r="I59" s="5">
        <f>LEFT(PasteHashtag!H59,FIND("(",PasteHashtag!H59)-1)*1</f>
        <v>0.457</v>
      </c>
      <c r="J59" s="5">
        <f>MID(PasteHashtag!I59,1+FIND("(",PasteHashtag!I59),FIND("/",PasteHashtag!I59)-FIND("(",PasteHashtag!I59)-1)*1</f>
        <v>2.3</v>
      </c>
      <c r="K59" s="5">
        <f>LEFT(PasteHashtag!I59,FIND("(",PasteHashtag!I59)-1)*1</f>
        <v>0.829</v>
      </c>
      <c r="L59" s="5">
        <f>PasteHashtag!J59</f>
        <v>2.9</v>
      </c>
      <c r="M59" s="5">
        <f>PasteHashtag!K59</f>
        <v>17.5</v>
      </c>
      <c r="N59" s="5">
        <f>PasteHashtag!L59</f>
        <v>3.1</v>
      </c>
      <c r="O59" s="5">
        <f>PasteHashtag!M59</f>
        <v>6</v>
      </c>
      <c r="P59" s="5">
        <f>PasteHashtag!N59</f>
        <v>1</v>
      </c>
      <c r="Q59" s="5">
        <f>PasteHashtag!O59</f>
        <v>0.5</v>
      </c>
      <c r="R59" s="5">
        <f>PasteHashtag!P59</f>
        <v>2.4</v>
      </c>
      <c r="S59" s="5">
        <f>Mid(PasteHashtag!H59,FIND("/",PasteHashtag!H59)+1,LEN(PasteHashtag!H59)-FIND("/",PasteHashtag!H59)-1)*1</f>
        <v>13.5</v>
      </c>
      <c r="T59" s="306">
        <f>Mid(PasteHashtag!I59,FIND("/",PasteHashtag!I59)+1,LEN(PasteHashtag!I59)-FIND("/",PasteHashtag!I59)-1)*1</f>
        <v>2.8</v>
      </c>
      <c r="U59" s="26"/>
      <c r="V59" s="26"/>
      <c r="W59" s="26"/>
      <c r="AB59" s="12" t="s">
        <v>63</v>
      </c>
    </row>
    <row r="60">
      <c r="A60" s="5">
        <v>59.0</v>
      </c>
      <c r="B60" s="5">
        <f>PasteHashtag!B60</f>
        <v>53.8</v>
      </c>
      <c r="C60" s="305" t="str">
        <f>PasteHashtag!C60</f>
        <v>Jalen Duren</v>
      </c>
      <c r="D60" s="5" t="str">
        <f>PasteHashtag!D60</f>
        <v>C</v>
      </c>
      <c r="E60" s="5" t="str">
        <f>PasteHashtag!E60</f>
        <v>DET</v>
      </c>
      <c r="F60" s="5">
        <f>PasteHashtag!F60</f>
        <v>68</v>
      </c>
      <c r="G60" s="5">
        <f>PasteHashtag!G60</f>
        <v>30</v>
      </c>
      <c r="H60" s="5">
        <f>MID(PasteHashtag!H60,1+FIND("(",PasteHashtag!H60),FIND("/",PasteHashtag!H60)-FIND("(",PasteHashtag!H60)-1)*1</f>
        <v>5.3</v>
      </c>
      <c r="I60" s="5">
        <f>LEFT(PasteHashtag!H60,FIND("(",PasteHashtag!H60)-1)*1</f>
        <v>0.628</v>
      </c>
      <c r="J60" s="5">
        <f>MID(PasteHashtag!I60,1+FIND("(",PasteHashtag!I60),FIND("/",PasteHashtag!I60)-FIND("(",PasteHashtag!I60)-1)*1</f>
        <v>2.1</v>
      </c>
      <c r="K60" s="5">
        <f>LEFT(PasteHashtag!I60,FIND("(",PasteHashtag!I60)-1)*1</f>
        <v>0.781</v>
      </c>
      <c r="L60" s="5">
        <f>PasteHashtag!J60</f>
        <v>0</v>
      </c>
      <c r="M60" s="5">
        <f>PasteHashtag!K60</f>
        <v>12.8</v>
      </c>
      <c r="N60" s="5">
        <f>PasteHashtag!L60</f>
        <v>10.9</v>
      </c>
      <c r="O60" s="5">
        <f>PasteHashtag!M60</f>
        <v>2</v>
      </c>
      <c r="P60" s="5">
        <f>PasteHashtag!N60</f>
        <v>0.6</v>
      </c>
      <c r="Q60" s="5">
        <f>PasteHashtag!O60</f>
        <v>0.9</v>
      </c>
      <c r="R60" s="5">
        <f>PasteHashtag!P60</f>
        <v>1.9</v>
      </c>
      <c r="S60" s="5">
        <f>Mid(PasteHashtag!H60,FIND("/",PasteHashtag!H60)+1,LEN(PasteHashtag!H60)-FIND("/",PasteHashtag!H60)-1)*1</f>
        <v>8.5</v>
      </c>
      <c r="T60" s="306">
        <f>Mid(PasteHashtag!I60,FIND("/",PasteHashtag!I60)+1,LEN(PasteHashtag!I60)-FIND("/",PasteHashtag!I60)-1)*1</f>
        <v>2.7</v>
      </c>
      <c r="U60" s="26"/>
      <c r="V60" s="26"/>
      <c r="W60" s="26"/>
      <c r="AB60" s="12" t="s">
        <v>222</v>
      </c>
    </row>
    <row r="61">
      <c r="A61" s="5">
        <v>60.0</v>
      </c>
      <c r="B61" s="5">
        <f>PasteHashtag!B61</f>
        <v>78.5</v>
      </c>
      <c r="C61" s="305" t="str">
        <f>PasteHashtag!C61</f>
        <v>Jrue Holiday</v>
      </c>
      <c r="D61" s="5" t="str">
        <f>PasteHashtag!D61</f>
        <v>PG,SG</v>
      </c>
      <c r="E61" s="5" t="str">
        <f>PasteHashtag!E61</f>
        <v>BOS</v>
      </c>
      <c r="F61" s="5">
        <f>PasteHashtag!F61</f>
        <v>68</v>
      </c>
      <c r="G61" s="5">
        <f>PasteHashtag!G61</f>
        <v>32.5</v>
      </c>
      <c r="H61" s="5">
        <f>MID(PasteHashtag!H61,1+FIND("(",PasteHashtag!H61),FIND("/",PasteHashtag!H61)-FIND("(",PasteHashtag!H61)-1)*1</f>
        <v>5.1</v>
      </c>
      <c r="I61" s="5">
        <f>LEFT(PasteHashtag!H61,FIND("(",PasteHashtag!H61)-1)*1</f>
        <v>0.477</v>
      </c>
      <c r="J61" s="5">
        <f>MID(PasteHashtag!I61,1+FIND("(",PasteHashtag!I61),FIND("/",PasteHashtag!I61)-FIND("(",PasteHashtag!I61)-1)*1</f>
        <v>1.2</v>
      </c>
      <c r="K61" s="5">
        <f>LEFT(PasteHashtag!I61,FIND("(",PasteHashtag!I61)-1)*1</f>
        <v>0.847</v>
      </c>
      <c r="L61" s="5">
        <f>PasteHashtag!J61</f>
        <v>2.2</v>
      </c>
      <c r="M61" s="5">
        <f>PasteHashtag!K61</f>
        <v>13.5</v>
      </c>
      <c r="N61" s="5">
        <f>PasteHashtag!L61</f>
        <v>5.3</v>
      </c>
      <c r="O61" s="5">
        <f>PasteHashtag!M61</f>
        <v>5.1</v>
      </c>
      <c r="P61" s="5">
        <f>PasteHashtag!N61</f>
        <v>1</v>
      </c>
      <c r="Q61" s="5">
        <f>PasteHashtag!O61</f>
        <v>0.6</v>
      </c>
      <c r="R61" s="5">
        <f>PasteHashtag!P61</f>
        <v>2.4</v>
      </c>
      <c r="S61" s="5">
        <f>Mid(PasteHashtag!H61,FIND("/",PasteHashtag!H61)+1,LEN(PasteHashtag!H61)-FIND("/",PasteHashtag!H61)-1)*1</f>
        <v>10.6</v>
      </c>
      <c r="T61" s="306">
        <f>Mid(PasteHashtag!I61,FIND("/",PasteHashtag!I61)+1,LEN(PasteHashtag!I61)-FIND("/",PasteHashtag!I61)-1)*1</f>
        <v>1.4</v>
      </c>
      <c r="U61" s="26"/>
      <c r="V61" s="26"/>
      <c r="W61" s="26"/>
      <c r="AB61" s="12" t="s">
        <v>98</v>
      </c>
    </row>
    <row r="62">
      <c r="A62" s="5">
        <v>61.0</v>
      </c>
      <c r="B62" s="5">
        <f>PasteHashtag!B62</f>
        <v>46.6</v>
      </c>
      <c r="C62" s="305" t="str">
        <f>PasteHashtag!C62</f>
        <v>Zion Williamson</v>
      </c>
      <c r="D62" s="5" t="str">
        <f>PasteHashtag!D62</f>
        <v>PF,C</v>
      </c>
      <c r="E62" s="5" t="str">
        <f>PasteHashtag!E62</f>
        <v>NO</v>
      </c>
      <c r="F62" s="5">
        <f>PasteHashtag!F62</f>
        <v>67</v>
      </c>
      <c r="G62" s="5">
        <f>PasteHashtag!G62</f>
        <v>32.1</v>
      </c>
      <c r="H62" s="5">
        <f>MID(PasteHashtag!H62,1+FIND("(",PasteHashtag!H62),FIND("/",PasteHashtag!H62)-FIND("(",PasteHashtag!H62)-1)*1</f>
        <v>8.8</v>
      </c>
      <c r="I62" s="5">
        <f>LEFT(PasteHashtag!H62,FIND("(",PasteHashtag!H62)-1)*1</f>
        <v>0.573</v>
      </c>
      <c r="J62" s="5">
        <f>MID(PasteHashtag!I62,1+FIND("(",PasteHashtag!I62),FIND("/",PasteHashtag!I62)-FIND("(",PasteHashtag!I62)-1)*1</f>
        <v>5</v>
      </c>
      <c r="K62" s="5">
        <f>LEFT(PasteHashtag!I62,FIND("(",PasteHashtag!I62)-1)*1</f>
        <v>0.714</v>
      </c>
      <c r="L62" s="5">
        <f>PasteHashtag!J62</f>
        <v>0.1</v>
      </c>
      <c r="M62" s="5">
        <f>PasteHashtag!K62</f>
        <v>22.8</v>
      </c>
      <c r="N62" s="5">
        <f>PasteHashtag!L62</f>
        <v>6.2</v>
      </c>
      <c r="O62" s="5">
        <f>PasteHashtag!M62</f>
        <v>5</v>
      </c>
      <c r="P62" s="5">
        <f>PasteHashtag!N62</f>
        <v>1.1</v>
      </c>
      <c r="Q62" s="5">
        <f>PasteHashtag!O62</f>
        <v>0.7</v>
      </c>
      <c r="R62" s="5">
        <f>PasteHashtag!P62</f>
        <v>3</v>
      </c>
      <c r="S62" s="5">
        <f>Mid(PasteHashtag!H62,FIND("/",PasteHashtag!H62)+1,LEN(PasteHashtag!H62)-FIND("/",PasteHashtag!H62)-1)*1</f>
        <v>15.4</v>
      </c>
      <c r="T62" s="306">
        <f>Mid(PasteHashtag!I62,FIND("/",PasteHashtag!I62)+1,LEN(PasteHashtag!I62)-FIND("/",PasteHashtag!I62)-1)*1</f>
        <v>7.1</v>
      </c>
      <c r="U62" s="26"/>
      <c r="V62" s="26"/>
      <c r="W62" s="26"/>
      <c r="AB62" s="12" t="s">
        <v>222</v>
      </c>
    </row>
    <row r="63">
      <c r="A63" s="5">
        <v>62.0</v>
      </c>
      <c r="B63" s="5">
        <f>PasteHashtag!B63</f>
        <v>48.3</v>
      </c>
      <c r="C63" s="305" t="str">
        <f>PasteHashtag!C63</f>
        <v>Pascal Siakam</v>
      </c>
      <c r="D63" s="5" t="str">
        <f>PasteHashtag!D63</f>
        <v>SF,PF</v>
      </c>
      <c r="E63" s="5" t="str">
        <f>PasteHashtag!E63</f>
        <v>IND</v>
      </c>
      <c r="F63" s="5">
        <f>PasteHashtag!F63</f>
        <v>74</v>
      </c>
      <c r="G63" s="5">
        <f>PasteHashtag!G63</f>
        <v>32</v>
      </c>
      <c r="H63" s="5">
        <f>MID(PasteHashtag!H63,1+FIND("(",PasteHashtag!H63),FIND("/",PasteHashtag!H63)-FIND("(",PasteHashtag!H63)-1)*1</f>
        <v>8.1</v>
      </c>
      <c r="I63" s="5">
        <f>LEFT(PasteHashtag!H63,FIND("(",PasteHashtag!H63)-1)*1</f>
        <v>0.539</v>
      </c>
      <c r="J63" s="5">
        <f>MID(PasteHashtag!I63,1+FIND("(",PasteHashtag!I63),FIND("/",PasteHashtag!I63)-FIND("(",PasteHashtag!I63)-1)*1</f>
        <v>3.8</v>
      </c>
      <c r="K63" s="5">
        <f>LEFT(PasteHashtag!I63,FIND("(",PasteHashtag!I63)-1)*1</f>
        <v>0.742</v>
      </c>
      <c r="L63" s="5">
        <f>PasteHashtag!J63</f>
        <v>1.1</v>
      </c>
      <c r="M63" s="5">
        <f>PasteHashtag!K63</f>
        <v>21.1</v>
      </c>
      <c r="N63" s="5">
        <f>PasteHashtag!L63</f>
        <v>7.5</v>
      </c>
      <c r="O63" s="5">
        <f>PasteHashtag!M63</f>
        <v>3.9</v>
      </c>
      <c r="P63" s="5">
        <f>PasteHashtag!N63</f>
        <v>0.8</v>
      </c>
      <c r="Q63" s="5">
        <f>PasteHashtag!O63</f>
        <v>0.4</v>
      </c>
      <c r="R63" s="5">
        <f>PasteHashtag!P63</f>
        <v>1.5</v>
      </c>
      <c r="S63" s="5">
        <f>Mid(PasteHashtag!H63,FIND("/",PasteHashtag!H63)+1,LEN(PasteHashtag!H63)-FIND("/",PasteHashtag!H63)-1)*1</f>
        <v>15</v>
      </c>
      <c r="T63" s="306">
        <f>Mid(PasteHashtag!I63,FIND("/",PasteHashtag!I63)+1,LEN(PasteHashtag!I63)-FIND("/",PasteHashtag!I63)-1)*1</f>
        <v>5.1</v>
      </c>
      <c r="U63" s="26"/>
      <c r="V63" s="26"/>
      <c r="W63" s="26"/>
      <c r="AB63" s="12" t="s">
        <v>209</v>
      </c>
    </row>
    <row r="64">
      <c r="A64" s="5">
        <v>63.0</v>
      </c>
      <c r="B64" s="5">
        <f>PasteHashtag!B64</f>
        <v>63</v>
      </c>
      <c r="C64" s="305" t="str">
        <f>PasteHashtag!C64</f>
        <v>Zach LaVine</v>
      </c>
      <c r="D64" s="5" t="str">
        <f>PasteHashtag!D64</f>
        <v>SG,SF</v>
      </c>
      <c r="E64" s="5" t="str">
        <f>PasteHashtag!E64</f>
        <v>CHI</v>
      </c>
      <c r="F64" s="5">
        <f>PasteHashtag!F64</f>
        <v>64</v>
      </c>
      <c r="G64" s="5">
        <f>PasteHashtag!G64</f>
        <v>34.4</v>
      </c>
      <c r="H64" s="5">
        <f>MID(PasteHashtag!H64,1+FIND("(",PasteHashtag!H64),FIND("/",PasteHashtag!H64)-FIND("(",PasteHashtag!H64)-1)*1</f>
        <v>7.5</v>
      </c>
      <c r="I64" s="5">
        <f>LEFT(PasteHashtag!H64,FIND("(",PasteHashtag!H64)-1)*1</f>
        <v>0.459</v>
      </c>
      <c r="J64" s="5">
        <f>MID(PasteHashtag!I64,1+FIND("(",PasteHashtag!I64),FIND("/",PasteHashtag!I64)-FIND("(",PasteHashtag!I64)-1)*1</f>
        <v>4.2</v>
      </c>
      <c r="K64" s="5">
        <f>LEFT(PasteHashtag!I64,FIND("(",PasteHashtag!I64)-1)*1</f>
        <v>0.845</v>
      </c>
      <c r="L64" s="5">
        <f>PasteHashtag!J64</f>
        <v>2.5</v>
      </c>
      <c r="M64" s="5">
        <f>PasteHashtag!K64</f>
        <v>21.6</v>
      </c>
      <c r="N64" s="5">
        <f>PasteHashtag!L64</f>
        <v>4.5</v>
      </c>
      <c r="O64" s="5">
        <f>PasteHashtag!M64</f>
        <v>4</v>
      </c>
      <c r="P64" s="5">
        <f>PasteHashtag!N64</f>
        <v>0.9</v>
      </c>
      <c r="Q64" s="5">
        <f>PasteHashtag!O64</f>
        <v>0.3</v>
      </c>
      <c r="R64" s="5">
        <f>PasteHashtag!P64</f>
        <v>2.3</v>
      </c>
      <c r="S64" s="5">
        <f>Mid(PasteHashtag!H64,FIND("/",PasteHashtag!H64)+1,LEN(PasteHashtag!H64)-FIND("/",PasteHashtag!H64)-1)*1</f>
        <v>16.3</v>
      </c>
      <c r="T64" s="306">
        <f>Mid(PasteHashtag!I64,FIND("/",PasteHashtag!I64)+1,LEN(PasteHashtag!I64)-FIND("/",PasteHashtag!I64)-1)*1</f>
        <v>5</v>
      </c>
      <c r="U64" s="26"/>
      <c r="V64" s="26"/>
      <c r="W64" s="26"/>
    </row>
    <row r="65">
      <c r="A65" s="5">
        <v>64.0</v>
      </c>
      <c r="B65" s="5">
        <f>PasteHashtag!B65</f>
        <v>86.4</v>
      </c>
      <c r="C65" s="305" t="str">
        <f>PasteHashtag!C65</f>
        <v>Jordan Poole</v>
      </c>
      <c r="D65" s="5" t="str">
        <f>PasteHashtag!D65</f>
        <v>PG,SG</v>
      </c>
      <c r="E65" s="5" t="str">
        <f>PasteHashtag!E65</f>
        <v>WAS</v>
      </c>
      <c r="F65" s="5">
        <f>PasteHashtag!F65</f>
        <v>77</v>
      </c>
      <c r="G65" s="5">
        <f>PasteHashtag!G65</f>
        <v>31.5</v>
      </c>
      <c r="H65" s="5">
        <f>MID(PasteHashtag!H65,1+FIND("(",PasteHashtag!H65),FIND("/",PasteHashtag!H65)-FIND("(",PasteHashtag!H65)-1)*1</f>
        <v>6.9</v>
      </c>
      <c r="I65" s="5">
        <f>LEFT(PasteHashtag!H65,FIND("(",PasteHashtag!H65)-1)*1</f>
        <v>0.422</v>
      </c>
      <c r="J65" s="5">
        <f>MID(PasteHashtag!I65,1+FIND("(",PasteHashtag!I65),FIND("/",PasteHashtag!I65)-FIND("(",PasteHashtag!I65)-1)*1</f>
        <v>3.7</v>
      </c>
      <c r="K65" s="5">
        <f>LEFT(PasteHashtag!I65,FIND("(",PasteHashtag!I65)-1)*1</f>
        <v>0.871</v>
      </c>
      <c r="L65" s="5">
        <f>PasteHashtag!J65</f>
        <v>2.6</v>
      </c>
      <c r="M65" s="5">
        <f>PasteHashtag!K65</f>
        <v>20.1</v>
      </c>
      <c r="N65" s="5">
        <f>PasteHashtag!L65</f>
        <v>2.9</v>
      </c>
      <c r="O65" s="5">
        <f>PasteHashtag!M65</f>
        <v>5.7</v>
      </c>
      <c r="P65" s="5">
        <f>PasteHashtag!N65</f>
        <v>1.1</v>
      </c>
      <c r="Q65" s="5">
        <f>PasteHashtag!O65</f>
        <v>0.3</v>
      </c>
      <c r="R65" s="5">
        <f>PasteHashtag!P65</f>
        <v>2.9</v>
      </c>
      <c r="S65" s="5">
        <f>Mid(PasteHashtag!H65,FIND("/",PasteHashtag!H65)+1,LEN(PasteHashtag!H65)-FIND("/",PasteHashtag!H65)-1)*1</f>
        <v>16.3</v>
      </c>
      <c r="T65" s="306">
        <f>Mid(PasteHashtag!I65,FIND("/",PasteHashtag!I65)+1,LEN(PasteHashtag!I65)-FIND("/",PasteHashtag!I65)-1)*1</f>
        <v>4.2</v>
      </c>
      <c r="U65" s="26"/>
      <c r="V65" s="26"/>
      <c r="W65" s="26"/>
    </row>
    <row r="66">
      <c r="A66" s="5">
        <v>65.0</v>
      </c>
      <c r="B66" s="5">
        <f>PasteHashtag!B66</f>
        <v>63.9</v>
      </c>
      <c r="C66" s="305" t="str">
        <f>PasteHashtag!C66</f>
        <v>Nicolas Claxton</v>
      </c>
      <c r="D66" s="5" t="str">
        <f>PasteHashtag!D66</f>
        <v>C</v>
      </c>
      <c r="E66" s="5" t="str">
        <f>PasteHashtag!E66</f>
        <v>BKN</v>
      </c>
      <c r="F66" s="5">
        <f>PasteHashtag!F66</f>
        <v>72</v>
      </c>
      <c r="G66" s="5">
        <f>PasteHashtag!G66</f>
        <v>30.1</v>
      </c>
      <c r="H66" s="5">
        <f>MID(PasteHashtag!H66,1+FIND("(",PasteHashtag!H66),FIND("/",PasteHashtag!H66)-FIND("(",PasteHashtag!H66)-1)*1</f>
        <v>5.4</v>
      </c>
      <c r="I66" s="5">
        <f>LEFT(PasteHashtag!H66,FIND("(",PasteHashtag!H66)-1)*1</f>
        <v>0.621</v>
      </c>
      <c r="J66" s="5">
        <f>MID(PasteHashtag!I66,1+FIND("(",PasteHashtag!I66),FIND("/",PasteHashtag!I66)-FIND("(",PasteHashtag!I66)-1)*1</f>
        <v>1.7</v>
      </c>
      <c r="K66" s="5">
        <f>LEFT(PasteHashtag!I66,FIND("(",PasteHashtag!I66)-1)*1</f>
        <v>0.555</v>
      </c>
      <c r="L66" s="5">
        <f>PasteHashtag!J66</f>
        <v>0</v>
      </c>
      <c r="M66" s="5">
        <f>PasteHashtag!K66</f>
        <v>12.5</v>
      </c>
      <c r="N66" s="5">
        <f>PasteHashtag!L66</f>
        <v>9.8</v>
      </c>
      <c r="O66" s="5">
        <f>PasteHashtag!M66</f>
        <v>2</v>
      </c>
      <c r="P66" s="5">
        <f>PasteHashtag!N66</f>
        <v>0.8</v>
      </c>
      <c r="Q66" s="5">
        <f>PasteHashtag!O66</f>
        <v>2.2</v>
      </c>
      <c r="R66" s="5">
        <f>PasteHashtag!P66</f>
        <v>1.3</v>
      </c>
      <c r="S66" s="5">
        <f>Mid(PasteHashtag!H66,FIND("/",PasteHashtag!H66)+1,LEN(PasteHashtag!H66)-FIND("/",PasteHashtag!H66)-1)*1</f>
        <v>8.7</v>
      </c>
      <c r="T66" s="306">
        <f>Mid(PasteHashtag!I66,FIND("/",PasteHashtag!I66)+1,LEN(PasteHashtag!I66)-FIND("/",PasteHashtag!I66)-1)*1</f>
        <v>3</v>
      </c>
      <c r="U66" s="26"/>
      <c r="V66" s="26"/>
      <c r="W66" s="26"/>
    </row>
    <row r="67">
      <c r="A67" s="5">
        <v>66.0</v>
      </c>
      <c r="B67" s="5">
        <f>PasteHashtag!B67</f>
        <v>58.2</v>
      </c>
      <c r="C67" s="305" t="str">
        <f>PasteHashtag!C67</f>
        <v>Miles Bridges</v>
      </c>
      <c r="D67" s="5" t="str">
        <f>PasteHashtag!D67</f>
        <v>SF,PF</v>
      </c>
      <c r="E67" s="5" t="str">
        <f>PasteHashtag!E67</f>
        <v>CHA</v>
      </c>
      <c r="F67" s="5">
        <f>PasteHashtag!F67</f>
        <v>73</v>
      </c>
      <c r="G67" s="5">
        <f>PasteHashtag!G67</f>
        <v>36.2</v>
      </c>
      <c r="H67" s="5">
        <f>MID(PasteHashtag!H67,1+FIND("(",PasteHashtag!H67),FIND("/",PasteHashtag!H67)-FIND("(",PasteHashtag!H67)-1)*1</f>
        <v>7.7</v>
      </c>
      <c r="I67" s="5">
        <f>LEFT(PasteHashtag!H67,FIND("(",PasteHashtag!H67)-1)*1</f>
        <v>0.462</v>
      </c>
      <c r="J67" s="5">
        <f>MID(PasteHashtag!I67,1+FIND("(",PasteHashtag!I67),FIND("/",PasteHashtag!I67)-FIND("(",PasteHashtag!I67)-1)*1</f>
        <v>2.4</v>
      </c>
      <c r="K67" s="5">
        <f>LEFT(PasteHashtag!I67,FIND("(",PasteHashtag!I67)-1)*1</f>
        <v>0.824</v>
      </c>
      <c r="L67" s="5">
        <f>PasteHashtag!J67</f>
        <v>2.2</v>
      </c>
      <c r="M67" s="5">
        <f>PasteHashtag!K67</f>
        <v>19.8</v>
      </c>
      <c r="N67" s="5">
        <f>PasteHashtag!L67</f>
        <v>6.9</v>
      </c>
      <c r="O67" s="5">
        <f>PasteHashtag!M67</f>
        <v>3.2</v>
      </c>
      <c r="P67" s="5">
        <f>PasteHashtag!N67</f>
        <v>0.9</v>
      </c>
      <c r="Q67" s="5">
        <f>PasteHashtag!O67</f>
        <v>0.5</v>
      </c>
      <c r="R67" s="5">
        <f>PasteHashtag!P67</f>
        <v>1.9</v>
      </c>
      <c r="S67" s="5">
        <f>Mid(PasteHashtag!H67,FIND("/",PasteHashtag!H67)+1,LEN(PasteHashtag!H67)-FIND("/",PasteHashtag!H67)-1)*1</f>
        <v>16.6</v>
      </c>
      <c r="T67" s="306">
        <f>Mid(PasteHashtag!I67,FIND("/",PasteHashtag!I67)+1,LEN(PasteHashtag!I67)-FIND("/",PasteHashtag!I67)-1)*1</f>
        <v>2.9</v>
      </c>
      <c r="U67" s="26"/>
      <c r="V67" s="26"/>
      <c r="W67" s="26"/>
    </row>
    <row r="68">
      <c r="A68" s="5">
        <v>67.0</v>
      </c>
      <c r="B68" s="5">
        <f>PasteHashtag!B68</f>
        <v>78</v>
      </c>
      <c r="C68" s="305" t="str">
        <f>PasteHashtag!C68</f>
        <v>Tyler Herro</v>
      </c>
      <c r="D68" s="5" t="str">
        <f>PasteHashtag!D68</f>
        <v>PG,SG</v>
      </c>
      <c r="E68" s="5" t="str">
        <f>PasteHashtag!E68</f>
        <v>MIA</v>
      </c>
      <c r="F68" s="5">
        <f>PasteHashtag!F68</f>
        <v>67</v>
      </c>
      <c r="G68" s="5">
        <f>PasteHashtag!G68</f>
        <v>33.6</v>
      </c>
      <c r="H68" s="5">
        <f>MID(PasteHashtag!H68,1+FIND("(",PasteHashtag!H68),FIND("/",PasteHashtag!H68)-FIND("(",PasteHashtag!H68)-1)*1</f>
        <v>7.4</v>
      </c>
      <c r="I68" s="5">
        <f>LEFT(PasteHashtag!H68,FIND("(",PasteHashtag!H68)-1)*1</f>
        <v>0.44</v>
      </c>
      <c r="J68" s="5">
        <f>MID(PasteHashtag!I68,1+FIND("(",PasteHashtag!I68),FIND("/",PasteHashtag!I68)-FIND("(",PasteHashtag!I68)-1)*1</f>
        <v>2.4</v>
      </c>
      <c r="K68" s="5">
        <f>LEFT(PasteHashtag!I68,FIND("(",PasteHashtag!I68)-1)*1</f>
        <v>0.903</v>
      </c>
      <c r="L68" s="5">
        <f>PasteHashtag!J68</f>
        <v>3.1</v>
      </c>
      <c r="M68" s="5">
        <f>PasteHashtag!K68</f>
        <v>20.2</v>
      </c>
      <c r="N68" s="5">
        <f>PasteHashtag!L68</f>
        <v>5.3</v>
      </c>
      <c r="O68" s="5">
        <f>PasteHashtag!M68</f>
        <v>4.3</v>
      </c>
      <c r="P68" s="5">
        <f>PasteHashtag!N68</f>
        <v>0.7</v>
      </c>
      <c r="Q68" s="5">
        <f>PasteHashtag!O68</f>
        <v>0.2</v>
      </c>
      <c r="R68" s="5">
        <f>PasteHashtag!P68</f>
        <v>2.3</v>
      </c>
      <c r="S68" s="5">
        <f>Mid(PasteHashtag!H68,FIND("/",PasteHashtag!H68)+1,LEN(PasteHashtag!H68)-FIND("/",PasteHashtag!H68)-1)*1</f>
        <v>16.8</v>
      </c>
      <c r="T68" s="306">
        <f>Mid(PasteHashtag!I68,FIND("/",PasteHashtag!I68)+1,LEN(PasteHashtag!I68)-FIND("/",PasteHashtag!I68)-1)*1</f>
        <v>2.7</v>
      </c>
      <c r="U68" s="26"/>
      <c r="V68" s="26"/>
      <c r="W68" s="26"/>
    </row>
    <row r="69">
      <c r="A69" s="5">
        <v>68.0</v>
      </c>
      <c r="B69" s="5">
        <f>PasteHashtag!B69</f>
        <v>96.7</v>
      </c>
      <c r="C69" s="305" t="str">
        <f>PasteHashtag!C69</f>
        <v>Trey Murphy III</v>
      </c>
      <c r="D69" s="5" t="str">
        <f>PasteHashtag!D69</f>
        <v>SF,PF</v>
      </c>
      <c r="E69" s="5" t="str">
        <f>PasteHashtag!E69</f>
        <v>NO</v>
      </c>
      <c r="F69" s="5">
        <f>PasteHashtag!F69</f>
        <v>62</v>
      </c>
      <c r="G69" s="5">
        <f>PasteHashtag!G69</f>
        <v>30</v>
      </c>
      <c r="H69" s="5">
        <f>MID(PasteHashtag!H69,1+FIND("(",PasteHashtag!H69),FIND("/",PasteHashtag!H69)-FIND("(",PasteHashtag!H69)-1)*1</f>
        <v>5</v>
      </c>
      <c r="I69" s="5">
        <f>LEFT(PasteHashtag!H69,FIND("(",PasteHashtag!H69)-1)*1</f>
        <v>0.455</v>
      </c>
      <c r="J69" s="5">
        <f>MID(PasteHashtag!I69,1+FIND("(",PasteHashtag!I69),FIND("/",PasteHashtag!I69)-FIND("(",PasteHashtag!I69)-1)*1</f>
        <v>2.3</v>
      </c>
      <c r="K69" s="5">
        <f>LEFT(PasteHashtag!I69,FIND("(",PasteHashtag!I69)-1)*1</f>
        <v>0.864</v>
      </c>
      <c r="L69" s="5">
        <f>PasteHashtag!J69</f>
        <v>2.9</v>
      </c>
      <c r="M69" s="5">
        <f>PasteHashtag!K69</f>
        <v>15.1</v>
      </c>
      <c r="N69" s="5">
        <f>PasteHashtag!L69</f>
        <v>4.3</v>
      </c>
      <c r="O69" s="5">
        <f>PasteHashtag!M69</f>
        <v>1.8</v>
      </c>
      <c r="P69" s="5">
        <f>PasteHashtag!N69</f>
        <v>1.1</v>
      </c>
      <c r="Q69" s="5">
        <f>PasteHashtag!O69</f>
        <v>0.6</v>
      </c>
      <c r="R69" s="5">
        <f>PasteHashtag!P69</f>
        <v>0.7</v>
      </c>
      <c r="S69" s="5">
        <f>Mid(PasteHashtag!H69,FIND("/",PasteHashtag!H69)+1,LEN(PasteHashtag!H69)-FIND("/",PasteHashtag!H69)-1)*1</f>
        <v>11</v>
      </c>
      <c r="T69" s="306">
        <f>Mid(PasteHashtag!I69,FIND("/",PasteHashtag!I69)+1,LEN(PasteHashtag!I69)-FIND("/",PasteHashtag!I69)-1)*1</f>
        <v>2.6</v>
      </c>
      <c r="U69" s="26"/>
      <c r="V69" s="26"/>
      <c r="W69" s="26"/>
    </row>
    <row r="70">
      <c r="A70" s="5">
        <v>69.0</v>
      </c>
      <c r="B70" s="5">
        <f>PasteHashtag!B70</f>
        <v>76.4</v>
      </c>
      <c r="C70" s="305" t="str">
        <f>PasteHashtag!C70</f>
        <v>Isaiah Hartenstein</v>
      </c>
      <c r="D70" s="5" t="str">
        <f>PasteHashtag!D70</f>
        <v>C</v>
      </c>
      <c r="E70" s="5" t="str">
        <f>PasteHashtag!E70</f>
        <v>OKC</v>
      </c>
      <c r="F70" s="5">
        <f>PasteHashtag!F70</f>
        <v>50</v>
      </c>
      <c r="G70" s="5">
        <f>PasteHashtag!G70</f>
        <v>27.9</v>
      </c>
      <c r="H70" s="5">
        <f>MID(PasteHashtag!H70,1+FIND("(",PasteHashtag!H70),FIND("/",PasteHashtag!H70)-FIND("(",PasteHashtag!H70)-1)*1</f>
        <v>3.6</v>
      </c>
      <c r="I70" s="5">
        <f>LEFT(PasteHashtag!H70,FIND("(",PasteHashtag!H70)-1)*1</f>
        <v>0.621</v>
      </c>
      <c r="J70" s="5">
        <f>MID(PasteHashtag!I70,1+FIND("(",PasteHashtag!I70),FIND("/",PasteHashtag!I70)-FIND("(",PasteHashtag!I70)-1)*1</f>
        <v>1.3</v>
      </c>
      <c r="K70" s="5">
        <f>LEFT(PasteHashtag!I70,FIND("(",PasteHashtag!I70)-1)*1</f>
        <v>0.7</v>
      </c>
      <c r="L70" s="5">
        <f>PasteHashtag!J70</f>
        <v>0.1</v>
      </c>
      <c r="M70" s="5">
        <f>PasteHashtag!K70</f>
        <v>8.7</v>
      </c>
      <c r="N70" s="5">
        <f>PasteHashtag!L70</f>
        <v>9</v>
      </c>
      <c r="O70" s="5">
        <f>PasteHashtag!M70</f>
        <v>2.4</v>
      </c>
      <c r="P70" s="5">
        <f>PasteHashtag!N70</f>
        <v>1.1</v>
      </c>
      <c r="Q70" s="5">
        <f>PasteHashtag!O70</f>
        <v>1.2</v>
      </c>
      <c r="R70" s="5">
        <f>PasteHashtag!P70</f>
        <v>1.3</v>
      </c>
      <c r="S70" s="5">
        <f>Mid(PasteHashtag!H70,FIND("/",PasteHashtag!H70)+1,LEN(PasteHashtag!H70)-FIND("/",PasteHashtag!H70)-1)*1</f>
        <v>5.9</v>
      </c>
      <c r="T70" s="306">
        <f>Mid(PasteHashtag!I70,FIND("/",PasteHashtag!I70)+1,LEN(PasteHashtag!I70)-FIND("/",PasteHashtag!I70)-1)*1</f>
        <v>1.9</v>
      </c>
      <c r="U70" s="26"/>
      <c r="V70" s="26"/>
      <c r="W70" s="26"/>
    </row>
    <row r="71">
      <c r="A71" s="5">
        <v>70.0</v>
      </c>
      <c r="B71" s="5">
        <f>PasteHashtag!B71</f>
        <v>93.2</v>
      </c>
      <c r="C71" s="305" t="str">
        <f>PasteHashtag!C71</f>
        <v>Walker Kessler</v>
      </c>
      <c r="D71" s="5" t="str">
        <f>PasteHashtag!D71</f>
        <v>C</v>
      </c>
      <c r="E71" s="5" t="str">
        <f>PasteHashtag!E71</f>
        <v>UTA</v>
      </c>
      <c r="F71" s="5">
        <f>PasteHashtag!F71</f>
        <v>69</v>
      </c>
      <c r="G71" s="5">
        <f>PasteHashtag!G71</f>
        <v>26.1</v>
      </c>
      <c r="H71" s="5">
        <f>MID(PasteHashtag!H71,1+FIND("(",PasteHashtag!H71),FIND("/",PasteHashtag!H71)-FIND("(",PasteHashtag!H71)-1)*1</f>
        <v>4.2</v>
      </c>
      <c r="I71" s="5">
        <f>LEFT(PasteHashtag!H71,FIND("(",PasteHashtag!H71)-1)*1</f>
        <v>0.662</v>
      </c>
      <c r="J71" s="5">
        <f>MID(PasteHashtag!I71,1+FIND("(",PasteHashtag!I71),FIND("/",PasteHashtag!I71)-FIND("(",PasteHashtag!I71)-1)*1</f>
        <v>1.1</v>
      </c>
      <c r="K71" s="5">
        <f>LEFT(PasteHashtag!I71,FIND("(",PasteHashtag!I71)-1)*1</f>
        <v>0.577</v>
      </c>
      <c r="L71" s="5">
        <f>PasteHashtag!J71</f>
        <v>0</v>
      </c>
      <c r="M71" s="5">
        <f>PasteHashtag!K71</f>
        <v>9.5</v>
      </c>
      <c r="N71" s="5">
        <f>PasteHashtag!L71</f>
        <v>8.7</v>
      </c>
      <c r="O71" s="5">
        <f>PasteHashtag!M71</f>
        <v>1</v>
      </c>
      <c r="P71" s="5">
        <f>PasteHashtag!N71</f>
        <v>0.4</v>
      </c>
      <c r="Q71" s="5">
        <f>PasteHashtag!O71</f>
        <v>2.5</v>
      </c>
      <c r="R71" s="5">
        <f>PasteHashtag!P71</f>
        <v>1</v>
      </c>
      <c r="S71" s="5">
        <f>Mid(PasteHashtag!H71,FIND("/",PasteHashtag!H71)+1,LEN(PasteHashtag!H71)-FIND("/",PasteHashtag!H71)-1)*1</f>
        <v>6.3</v>
      </c>
      <c r="T71" s="306">
        <f>Mid(PasteHashtag!I71,FIND("/",PasteHashtag!I71)+1,LEN(PasteHashtag!I71)-FIND("/",PasteHashtag!I71)-1)*1</f>
        <v>1.9</v>
      </c>
      <c r="U71" s="26"/>
      <c r="V71" s="26"/>
      <c r="W71" s="26"/>
    </row>
    <row r="72">
      <c r="A72" s="5">
        <v>71.0</v>
      </c>
      <c r="B72" s="5">
        <f>PasteHashtag!B72</f>
        <v>54.7</v>
      </c>
      <c r="C72" s="305" t="str">
        <f>PasteHashtag!C72</f>
        <v>Mikal Bridges</v>
      </c>
      <c r="D72" s="5" t="str">
        <f>PasteHashtag!D72</f>
        <v>SG,SF,PF</v>
      </c>
      <c r="E72" s="5" t="str">
        <f>PasteHashtag!E72</f>
        <v>NY</v>
      </c>
      <c r="F72" s="5">
        <f>PasteHashtag!F72</f>
        <v>78</v>
      </c>
      <c r="G72" s="5">
        <f>PasteHashtag!G72</f>
        <v>34</v>
      </c>
      <c r="H72" s="5">
        <f>MID(PasteHashtag!H72,1+FIND("(",PasteHashtag!H72),FIND("/",PasteHashtag!H72)-FIND("(",PasteHashtag!H72)-1)*1</f>
        <v>5.5</v>
      </c>
      <c r="I72" s="5">
        <f>LEFT(PasteHashtag!H72,FIND("(",PasteHashtag!H72)-1)*1</f>
        <v>0.454</v>
      </c>
      <c r="J72" s="5">
        <f>MID(PasteHashtag!I72,1+FIND("(",PasteHashtag!I72),FIND("/",PasteHashtag!I72)-FIND("(",PasteHashtag!I72)-1)*1</f>
        <v>2.7</v>
      </c>
      <c r="K72" s="5">
        <f>LEFT(PasteHashtag!I72,FIND("(",PasteHashtag!I72)-1)*1</f>
        <v>0.827</v>
      </c>
      <c r="L72" s="5">
        <f>PasteHashtag!J72</f>
        <v>2.4</v>
      </c>
      <c r="M72" s="5">
        <f>PasteHashtag!K72</f>
        <v>16</v>
      </c>
      <c r="N72" s="5">
        <f>PasteHashtag!L72</f>
        <v>4.1</v>
      </c>
      <c r="O72" s="5">
        <f>PasteHashtag!M72</f>
        <v>3.2</v>
      </c>
      <c r="P72" s="5">
        <f>PasteHashtag!N72</f>
        <v>1.1</v>
      </c>
      <c r="Q72" s="5">
        <f>PasteHashtag!O72</f>
        <v>0.7</v>
      </c>
      <c r="R72" s="5">
        <f>PasteHashtag!P72</f>
        <v>1.6</v>
      </c>
      <c r="S72" s="5">
        <f>Mid(PasteHashtag!H72,FIND("/",PasteHashtag!H72)+1,LEN(PasteHashtag!H72)-FIND("/",PasteHashtag!H72)-1)*1</f>
        <v>12</v>
      </c>
      <c r="T72" s="306">
        <f>Mid(PasteHashtag!I72,FIND("/",PasteHashtag!I72)+1,LEN(PasteHashtag!I72)-FIND("/",PasteHashtag!I72)-1)*1</f>
        <v>3.2</v>
      </c>
      <c r="U72" s="26"/>
      <c r="V72" s="26"/>
      <c r="W72" s="26"/>
    </row>
    <row r="73">
      <c r="A73" s="5">
        <v>72.0</v>
      </c>
      <c r="B73" s="5">
        <f>PasteHashtag!B73</f>
        <v>69.9</v>
      </c>
      <c r="C73" s="305" t="str">
        <f>PasteHashtag!C73</f>
        <v>Brandon Ingram</v>
      </c>
      <c r="D73" s="5" t="str">
        <f>PasteHashtag!D73</f>
        <v>SG,SF,PF</v>
      </c>
      <c r="E73" s="5" t="str">
        <f>PasteHashtag!E73</f>
        <v>NO</v>
      </c>
      <c r="F73" s="5">
        <f>PasteHashtag!F73</f>
        <v>60</v>
      </c>
      <c r="G73" s="5">
        <f>PasteHashtag!G73</f>
        <v>31.8</v>
      </c>
      <c r="H73" s="5">
        <f>MID(PasteHashtag!H73,1+FIND("(",PasteHashtag!H73),FIND("/",PasteHashtag!H73)-FIND("(",PasteHashtag!H73)-1)*1</f>
        <v>7.5</v>
      </c>
      <c r="I73" s="5">
        <f>LEFT(PasteHashtag!H73,FIND("(",PasteHashtag!H73)-1)*1</f>
        <v>0.492</v>
      </c>
      <c r="J73" s="5">
        <f>MID(PasteHashtag!I73,1+FIND("(",PasteHashtag!I73),FIND("/",PasteHashtag!I73)-FIND("(",PasteHashtag!I73)-1)*1</f>
        <v>3.8</v>
      </c>
      <c r="K73" s="5">
        <f>LEFT(PasteHashtag!I73,FIND("(",PasteHashtag!I73)-1)*1</f>
        <v>0.812</v>
      </c>
      <c r="L73" s="5">
        <f>PasteHashtag!J73</f>
        <v>1.3</v>
      </c>
      <c r="M73" s="5">
        <f>PasteHashtag!K73</f>
        <v>20.1</v>
      </c>
      <c r="N73" s="5">
        <f>PasteHashtag!L73</f>
        <v>4.8</v>
      </c>
      <c r="O73" s="5">
        <f>PasteHashtag!M73</f>
        <v>4.6</v>
      </c>
      <c r="P73" s="5">
        <f>PasteHashtag!N73</f>
        <v>0.8</v>
      </c>
      <c r="Q73" s="5">
        <f>PasteHashtag!O73</f>
        <v>0.6</v>
      </c>
      <c r="R73" s="5">
        <f>PasteHashtag!P73</f>
        <v>2.3</v>
      </c>
      <c r="S73" s="5">
        <f>Mid(PasteHashtag!H73,FIND("/",PasteHashtag!H73)+1,LEN(PasteHashtag!H73)-FIND("/",PasteHashtag!H73)-1)*1</f>
        <v>15.3</v>
      </c>
      <c r="T73" s="306">
        <f>Mid(PasteHashtag!I73,FIND("/",PasteHashtag!I73)+1,LEN(PasteHashtag!I73)-FIND("/",PasteHashtag!I73)-1)*1</f>
        <v>4.7</v>
      </c>
      <c r="U73" s="26"/>
      <c r="V73" s="26"/>
      <c r="W73" s="26"/>
    </row>
    <row r="74">
      <c r="A74" s="5">
        <v>73.0</v>
      </c>
      <c r="B74" s="5">
        <f>PasteHashtag!B74</f>
        <v>82</v>
      </c>
      <c r="C74" s="305" t="str">
        <f>PasteHashtag!C74</f>
        <v>Devin Vassell</v>
      </c>
      <c r="D74" s="5" t="str">
        <f>PasteHashtag!D74</f>
        <v>SG,SF</v>
      </c>
      <c r="E74" s="5" t="str">
        <f>PasteHashtag!E74</f>
        <v>SA</v>
      </c>
      <c r="F74" s="5">
        <f>PasteHashtag!F74</f>
        <v>58</v>
      </c>
      <c r="G74" s="5">
        <f>PasteHashtag!G74</f>
        <v>32.5</v>
      </c>
      <c r="H74" s="5">
        <f>MID(PasteHashtag!H74,1+FIND("(",PasteHashtag!H74),FIND("/",PasteHashtag!H74)-FIND("(",PasteHashtag!H74)-1)*1</f>
        <v>7.3</v>
      </c>
      <c r="I74" s="5">
        <f>LEFT(PasteHashtag!H74,FIND("(",PasteHashtag!H74)-1)*1</f>
        <v>0.46</v>
      </c>
      <c r="J74" s="5">
        <f>MID(PasteHashtag!I74,1+FIND("(",PasteHashtag!I74),FIND("/",PasteHashtag!I74)-FIND("(",PasteHashtag!I74)-1)*1</f>
        <v>2.3</v>
      </c>
      <c r="K74" s="5">
        <f>LEFT(PasteHashtag!I74,FIND("(",PasteHashtag!I74)-1)*1</f>
        <v>0.801</v>
      </c>
      <c r="L74" s="5">
        <f>PasteHashtag!J74</f>
        <v>2.6</v>
      </c>
      <c r="M74" s="5">
        <f>PasteHashtag!K74</f>
        <v>19.4</v>
      </c>
      <c r="N74" s="5">
        <f>PasteHashtag!L74</f>
        <v>3.9</v>
      </c>
      <c r="O74" s="5">
        <f>PasteHashtag!M74</f>
        <v>4</v>
      </c>
      <c r="P74" s="5">
        <f>PasteHashtag!N74</f>
        <v>1.1</v>
      </c>
      <c r="Q74" s="5">
        <f>PasteHashtag!O74</f>
        <v>0.4</v>
      </c>
      <c r="R74" s="5">
        <f>PasteHashtag!P74</f>
        <v>1.6</v>
      </c>
      <c r="S74" s="5">
        <f>Mid(PasteHashtag!H74,FIND("/",PasteHashtag!H74)+1,LEN(PasteHashtag!H74)-FIND("/",PasteHashtag!H74)-1)*1</f>
        <v>15.8</v>
      </c>
      <c r="T74" s="306">
        <f>Mid(PasteHashtag!I74,FIND("/",PasteHashtag!I74)+1,LEN(PasteHashtag!I74)-FIND("/",PasteHashtag!I74)-1)*1</f>
        <v>2.9</v>
      </c>
      <c r="U74" s="26"/>
      <c r="V74" s="26"/>
      <c r="W74" s="26"/>
    </row>
    <row r="75">
      <c r="A75" s="5">
        <v>74.0</v>
      </c>
      <c r="B75" s="5">
        <f>PasteHashtag!B75</f>
        <v>79.7</v>
      </c>
      <c r="C75" s="305" t="str">
        <f>PasteHashtag!C75</f>
        <v>Anfernee Simons</v>
      </c>
      <c r="D75" s="5" t="str">
        <f>PasteHashtag!D75</f>
        <v>PG,SG</v>
      </c>
      <c r="E75" s="5" t="str">
        <f>PasteHashtag!E75</f>
        <v>POR</v>
      </c>
      <c r="F75" s="5">
        <f>PasteHashtag!F75</f>
        <v>60</v>
      </c>
      <c r="G75" s="5">
        <f>PasteHashtag!G75</f>
        <v>33.9</v>
      </c>
      <c r="H75" s="5">
        <f>MID(PasteHashtag!H75,1+FIND("(",PasteHashtag!H75),FIND("/",PasteHashtag!H75)-FIND("(",PasteHashtag!H75)-1)*1</f>
        <v>7.6</v>
      </c>
      <c r="I75" s="5">
        <f>LEFT(PasteHashtag!H75,FIND("(",PasteHashtag!H75)-1)*1</f>
        <v>0.44</v>
      </c>
      <c r="J75" s="5">
        <f>MID(PasteHashtag!I75,1+FIND("(",PasteHashtag!I75),FIND("/",PasteHashtag!I75)-FIND("(",PasteHashtag!I75)-1)*1</f>
        <v>3</v>
      </c>
      <c r="K75" s="5">
        <f>LEFT(PasteHashtag!I75,FIND("(",PasteHashtag!I75)-1)*1</f>
        <v>0.905</v>
      </c>
      <c r="L75" s="5">
        <f>PasteHashtag!J75</f>
        <v>3.4</v>
      </c>
      <c r="M75" s="5">
        <f>PasteHashtag!K75</f>
        <v>21.4</v>
      </c>
      <c r="N75" s="5">
        <f>PasteHashtag!L75</f>
        <v>3</v>
      </c>
      <c r="O75" s="5">
        <f>PasteHashtag!M75</f>
        <v>4.9</v>
      </c>
      <c r="P75" s="5">
        <f>PasteHashtag!N75</f>
        <v>0.6</v>
      </c>
      <c r="Q75" s="5">
        <f>PasteHashtag!O75</f>
        <v>0.2</v>
      </c>
      <c r="R75" s="5">
        <f>PasteHashtag!P75</f>
        <v>2.3</v>
      </c>
      <c r="S75" s="5">
        <f>Mid(PasteHashtag!H75,FIND("/",PasteHashtag!H75)+1,LEN(PasteHashtag!H75)-FIND("/",PasteHashtag!H75)-1)*1</f>
        <v>17.2</v>
      </c>
      <c r="T75" s="306">
        <f>Mid(PasteHashtag!I75,FIND("/",PasteHashtag!I75)+1,LEN(PasteHashtag!I75)-FIND("/",PasteHashtag!I75)-1)*1</f>
        <v>3.3</v>
      </c>
      <c r="U75" s="26"/>
      <c r="V75" s="26"/>
      <c r="W75" s="26"/>
    </row>
    <row r="76">
      <c r="A76" s="5">
        <v>75.0</v>
      </c>
      <c r="B76" s="5">
        <f>PasteHashtag!B76</f>
        <v>108.3</v>
      </c>
      <c r="C76" s="305" t="str">
        <f>PasteHashtag!C76</f>
        <v>Dereck Lively II</v>
      </c>
      <c r="D76" s="5" t="str">
        <f>PasteHashtag!D76</f>
        <v>C</v>
      </c>
      <c r="E76" s="5" t="str">
        <f>PasteHashtag!E76</f>
        <v>DAL</v>
      </c>
      <c r="F76" s="5">
        <f>PasteHashtag!F76</f>
        <v>67</v>
      </c>
      <c r="G76" s="5">
        <f>PasteHashtag!G76</f>
        <v>25.8</v>
      </c>
      <c r="H76" s="5">
        <f>MID(PasteHashtag!H76,1+FIND("(",PasteHashtag!H76),FIND("/",PasteHashtag!H76)-FIND("(",PasteHashtag!H76)-1)*1</f>
        <v>4.7</v>
      </c>
      <c r="I76" s="5">
        <f>LEFT(PasteHashtag!H76,FIND("(",PasteHashtag!H76)-1)*1</f>
        <v>0.738</v>
      </c>
      <c r="J76" s="5">
        <f>MID(PasteHashtag!I76,1+FIND("(",PasteHashtag!I76),FIND("/",PasteHashtag!I76)-FIND("(",PasteHashtag!I76)-1)*1</f>
        <v>0.8</v>
      </c>
      <c r="K76" s="5">
        <f>LEFT(PasteHashtag!I76,FIND("(",PasteHashtag!I76)-1)*1</f>
        <v>0.535</v>
      </c>
      <c r="L76" s="5">
        <f>PasteHashtag!J76</f>
        <v>0</v>
      </c>
      <c r="M76" s="5">
        <f>PasteHashtag!K76</f>
        <v>10.1</v>
      </c>
      <c r="N76" s="5">
        <f>PasteHashtag!L76</f>
        <v>7.9</v>
      </c>
      <c r="O76" s="5">
        <f>PasteHashtag!M76</f>
        <v>1.5</v>
      </c>
      <c r="P76" s="5">
        <f>PasteHashtag!N76</f>
        <v>0.8</v>
      </c>
      <c r="Q76" s="5">
        <f>PasteHashtag!O76</f>
        <v>1.6</v>
      </c>
      <c r="R76" s="5">
        <f>PasteHashtag!P76</f>
        <v>1</v>
      </c>
      <c r="S76" s="5">
        <f>Mid(PasteHashtag!H76,FIND("/",PasteHashtag!H76)+1,LEN(PasteHashtag!H76)-FIND("/",PasteHashtag!H76)-1)*1</f>
        <v>6.3</v>
      </c>
      <c r="T76" s="306">
        <f>Mid(PasteHashtag!I76,FIND("/",PasteHashtag!I76)+1,LEN(PasteHashtag!I76)-FIND("/",PasteHashtag!I76)-1)*1</f>
        <v>1.6</v>
      </c>
      <c r="U76" s="26"/>
      <c r="V76" s="26"/>
      <c r="W76" s="26"/>
    </row>
    <row r="77">
      <c r="A77" s="5">
        <v>76.0</v>
      </c>
      <c r="B77" s="5">
        <f>PasteHashtag!B77</f>
        <v>94.9</v>
      </c>
      <c r="C77" s="305" t="str">
        <f>PasteHashtag!C77</f>
        <v>Collin Sexton</v>
      </c>
      <c r="D77" s="5" t="str">
        <f>PasteHashtag!D77</f>
        <v>PG,SG</v>
      </c>
      <c r="E77" s="5" t="str">
        <f>PasteHashtag!E77</f>
        <v>UTA</v>
      </c>
      <c r="F77" s="5">
        <f>PasteHashtag!F77</f>
        <v>70</v>
      </c>
      <c r="G77" s="5">
        <f>PasteHashtag!G77</f>
        <v>30.7</v>
      </c>
      <c r="H77" s="5">
        <f>MID(PasteHashtag!H77,1+FIND("(",PasteHashtag!H77),FIND("/",PasteHashtag!H77)-FIND("(",PasteHashtag!H77)-1)*1</f>
        <v>6.9</v>
      </c>
      <c r="I77" s="5">
        <f>LEFT(PasteHashtag!H77,FIND("(",PasteHashtag!H77)-1)*1</f>
        <v>0.487</v>
      </c>
      <c r="J77" s="5">
        <f>MID(PasteHashtag!I77,1+FIND("(",PasteHashtag!I77),FIND("/",PasteHashtag!I77)-FIND("(",PasteHashtag!I77)-1)*1</f>
        <v>4.5</v>
      </c>
      <c r="K77" s="5">
        <f>LEFT(PasteHashtag!I77,FIND("(",PasteHashtag!I77)-1)*1</f>
        <v>0.843</v>
      </c>
      <c r="L77" s="5">
        <f>PasteHashtag!J77</f>
        <v>1.7</v>
      </c>
      <c r="M77" s="5">
        <f>PasteHashtag!K77</f>
        <v>20</v>
      </c>
      <c r="N77" s="5">
        <f>PasteHashtag!L77</f>
        <v>2.9</v>
      </c>
      <c r="O77" s="5">
        <f>PasteHashtag!M77</f>
        <v>4.9</v>
      </c>
      <c r="P77" s="5">
        <f>PasteHashtag!N77</f>
        <v>0.8</v>
      </c>
      <c r="Q77" s="5">
        <f>PasteHashtag!O77</f>
        <v>0.2</v>
      </c>
      <c r="R77" s="5">
        <f>PasteHashtag!P77</f>
        <v>2.4</v>
      </c>
      <c r="S77" s="5">
        <f>Mid(PasteHashtag!H77,FIND("/",PasteHashtag!H77)+1,LEN(PasteHashtag!H77)-FIND("/",PasteHashtag!H77)-1)*1</f>
        <v>14.2</v>
      </c>
      <c r="T77" s="306">
        <f>Mid(PasteHashtag!I77,FIND("/",PasteHashtag!I77)+1,LEN(PasteHashtag!I77)-FIND("/",PasteHashtag!I77)-1)*1</f>
        <v>5.4</v>
      </c>
      <c r="U77" s="26"/>
      <c r="V77" s="26"/>
      <c r="W77" s="26"/>
    </row>
    <row r="78">
      <c r="A78" s="5">
        <v>77.0</v>
      </c>
      <c r="B78" s="5">
        <f>PasteHashtag!B78</f>
        <v>67.4</v>
      </c>
      <c r="C78" s="305" t="str">
        <f>PasteHashtag!C78</f>
        <v>Josh Giddey</v>
      </c>
      <c r="D78" s="5" t="str">
        <f>PasteHashtag!D78</f>
        <v>SG,SF</v>
      </c>
      <c r="E78" s="5" t="str">
        <f>PasteHashtag!E78</f>
        <v>CHI</v>
      </c>
      <c r="F78" s="5">
        <f>PasteHashtag!F78</f>
        <v>78</v>
      </c>
      <c r="G78" s="5">
        <f>PasteHashtag!G78</f>
        <v>31</v>
      </c>
      <c r="H78" s="5">
        <f>MID(PasteHashtag!H78,1+FIND("(",PasteHashtag!H78),FIND("/",PasteHashtag!H78)-FIND("(",PasteHashtag!H78)-1)*1</f>
        <v>6.7</v>
      </c>
      <c r="I78" s="5">
        <f>LEFT(PasteHashtag!H78,FIND("(",PasteHashtag!H78)-1)*1</f>
        <v>0.479</v>
      </c>
      <c r="J78" s="5">
        <f>MID(PasteHashtag!I78,1+FIND("(",PasteHashtag!I78),FIND("/",PasteHashtag!I78)-FIND("(",PasteHashtag!I78)-1)*1</f>
        <v>1.5</v>
      </c>
      <c r="K78" s="5">
        <f>LEFT(PasteHashtag!I78,FIND("(",PasteHashtag!I78)-1)*1</f>
        <v>0.795</v>
      </c>
      <c r="L78" s="5">
        <f>PasteHashtag!J78</f>
        <v>1.1</v>
      </c>
      <c r="M78" s="5">
        <f>PasteHashtag!K78</f>
        <v>16.1</v>
      </c>
      <c r="N78" s="5">
        <f>PasteHashtag!L78</f>
        <v>7.4</v>
      </c>
      <c r="O78" s="5">
        <f>PasteHashtag!M78</f>
        <v>6.1</v>
      </c>
      <c r="P78" s="5">
        <f>PasteHashtag!N78</f>
        <v>0.8</v>
      </c>
      <c r="Q78" s="5">
        <f>PasteHashtag!O78</f>
        <v>0.5</v>
      </c>
      <c r="R78" s="5">
        <f>PasteHashtag!P78</f>
        <v>2.7</v>
      </c>
      <c r="S78" s="5">
        <f>Mid(PasteHashtag!H78,FIND("/",PasteHashtag!H78)+1,LEN(PasteHashtag!H78)-FIND("/",PasteHashtag!H78)-1)*1</f>
        <v>14.1</v>
      </c>
      <c r="T78" s="306">
        <f>Mid(PasteHashtag!I78,FIND("/",PasteHashtag!I78)+1,LEN(PasteHashtag!I78)-FIND("/",PasteHashtag!I78)-1)*1</f>
        <v>1.9</v>
      </c>
      <c r="U78" s="26"/>
      <c r="V78" s="26"/>
      <c r="W78" s="26"/>
    </row>
    <row r="79">
      <c r="A79" s="5">
        <v>78.0</v>
      </c>
      <c r="B79" s="5">
        <f>PasteHashtag!B79</f>
        <v>99.3</v>
      </c>
      <c r="C79" s="305" t="str">
        <f>PasteHashtag!C79</f>
        <v>Mark Williams</v>
      </c>
      <c r="D79" s="5" t="str">
        <f>PasteHashtag!D79</f>
        <v>C</v>
      </c>
      <c r="E79" s="5" t="str">
        <f>PasteHashtag!E79</f>
        <v>CHA</v>
      </c>
      <c r="F79" s="5">
        <f>PasteHashtag!F79</f>
        <v>55</v>
      </c>
      <c r="G79" s="5">
        <f>PasteHashtag!G79</f>
        <v>26.8</v>
      </c>
      <c r="H79" s="5">
        <f>MID(PasteHashtag!H79,1+FIND("(",PasteHashtag!H79),FIND("/",PasteHashtag!H79)-FIND("(",PasteHashtag!H79)-1)*1</f>
        <v>5.1</v>
      </c>
      <c r="I79" s="5">
        <f>LEFT(PasteHashtag!H79,FIND("(",PasteHashtag!H79)-1)*1</f>
        <v>0.641</v>
      </c>
      <c r="J79" s="5">
        <f>MID(PasteHashtag!I79,1+FIND("(",PasteHashtag!I79),FIND("/",PasteHashtag!I79)-FIND("(",PasteHashtag!I79)-1)*1</f>
        <v>2.3</v>
      </c>
      <c r="K79" s="5">
        <f>LEFT(PasteHashtag!I79,FIND("(",PasteHashtag!I79)-1)*1</f>
        <v>0.704</v>
      </c>
      <c r="L79" s="5">
        <f>PasteHashtag!J79</f>
        <v>0</v>
      </c>
      <c r="M79" s="5">
        <f>PasteHashtag!K79</f>
        <v>12.6</v>
      </c>
      <c r="N79" s="5">
        <f>PasteHashtag!L79</f>
        <v>9.7</v>
      </c>
      <c r="O79" s="5">
        <f>PasteHashtag!M79</f>
        <v>0.8</v>
      </c>
      <c r="P79" s="5">
        <f>PasteHashtag!N79</f>
        <v>0.9</v>
      </c>
      <c r="Q79" s="5">
        <f>PasteHashtag!O79</f>
        <v>1.2</v>
      </c>
      <c r="R79" s="5">
        <f>PasteHashtag!P79</f>
        <v>1.1</v>
      </c>
      <c r="S79" s="5">
        <f>Mid(PasteHashtag!H79,FIND("/",PasteHashtag!H79)+1,LEN(PasteHashtag!H79)-FIND("/",PasteHashtag!H79)-1)*1</f>
        <v>8</v>
      </c>
      <c r="T79" s="306">
        <f>Mid(PasteHashtag!I79,FIND("/",PasteHashtag!I79)+1,LEN(PasteHashtag!I79)-FIND("/",PasteHashtag!I79)-1)*1</f>
        <v>3.2</v>
      </c>
      <c r="U79" s="26"/>
      <c r="V79" s="26"/>
      <c r="W79" s="26"/>
    </row>
    <row r="80">
      <c r="A80" s="5">
        <v>79.0</v>
      </c>
      <c r="B80" s="5">
        <f>PasteHashtag!B80</f>
        <v>101.8</v>
      </c>
      <c r="C80" s="305" t="str">
        <f>PasteHashtag!C80</f>
        <v>Jalen Suggs</v>
      </c>
      <c r="D80" s="5" t="str">
        <f>PasteHashtag!D80</f>
        <v>PG,SG</v>
      </c>
      <c r="E80" s="5" t="str">
        <f>PasteHashtag!E80</f>
        <v>ORL</v>
      </c>
      <c r="F80" s="5">
        <f>PasteHashtag!F80</f>
        <v>72</v>
      </c>
      <c r="G80" s="5">
        <f>PasteHashtag!G80</f>
        <v>30</v>
      </c>
      <c r="H80" s="5">
        <f>MID(PasteHashtag!H80,1+FIND("(",PasteHashtag!H80),FIND("/",PasteHashtag!H80)-FIND("(",PasteHashtag!H80)-1)*1</f>
        <v>5</v>
      </c>
      <c r="I80" s="5">
        <f>LEFT(PasteHashtag!H80,FIND("(",PasteHashtag!H80)-1)*1</f>
        <v>0.465</v>
      </c>
      <c r="J80" s="5">
        <f>MID(PasteHashtag!I80,1+FIND("(",PasteHashtag!I80),FIND("/",PasteHashtag!I80)-FIND("(",PasteHashtag!I80)-1)*1</f>
        <v>1.8</v>
      </c>
      <c r="K80" s="5">
        <f>LEFT(PasteHashtag!I80,FIND("(",PasteHashtag!I80)-1)*1</f>
        <v>0.758</v>
      </c>
      <c r="L80" s="5">
        <f>PasteHashtag!J80</f>
        <v>2.2</v>
      </c>
      <c r="M80" s="5">
        <f>PasteHashtag!K80</f>
        <v>14</v>
      </c>
      <c r="N80" s="5">
        <f>PasteHashtag!L80</f>
        <v>3.5</v>
      </c>
      <c r="O80" s="5">
        <f>PasteHashtag!M80</f>
        <v>3.6</v>
      </c>
      <c r="P80" s="5">
        <f>PasteHashtag!N80</f>
        <v>1.6</v>
      </c>
      <c r="Q80" s="5">
        <f>PasteHashtag!O80</f>
        <v>0.7</v>
      </c>
      <c r="R80" s="5">
        <f>PasteHashtag!P80</f>
        <v>2</v>
      </c>
      <c r="S80" s="5">
        <f>Mid(PasteHashtag!H80,FIND("/",PasteHashtag!H80)+1,LEN(PasteHashtag!H80)-FIND("/",PasteHashtag!H80)-1)*1</f>
        <v>10.7</v>
      </c>
      <c r="T80" s="306">
        <f>Mid(PasteHashtag!I80,FIND("/",PasteHashtag!I80)+1,LEN(PasteHashtag!I80)-FIND("/",PasteHashtag!I80)-1)*1</f>
        <v>2.4</v>
      </c>
      <c r="U80" s="26"/>
      <c r="V80" s="26"/>
      <c r="W80" s="26"/>
    </row>
    <row r="81">
      <c r="A81" s="5">
        <v>80.0</v>
      </c>
      <c r="B81" s="5">
        <f>PasteHashtag!B81</f>
        <v>80.8</v>
      </c>
      <c r="C81" s="305" t="str">
        <f>PasteHashtag!C81</f>
        <v>Jabari Smith Jr.</v>
      </c>
      <c r="D81" s="5" t="str">
        <f>PasteHashtag!D81</f>
        <v>PF,C</v>
      </c>
      <c r="E81" s="5" t="str">
        <f>PasteHashtag!E81</f>
        <v>HOU</v>
      </c>
      <c r="F81" s="5">
        <f>PasteHashtag!F81</f>
        <v>78</v>
      </c>
      <c r="G81" s="5">
        <f>PasteHashtag!G81</f>
        <v>32.2</v>
      </c>
      <c r="H81" s="5">
        <f>MID(PasteHashtag!H81,1+FIND("(",PasteHashtag!H81),FIND("/",PasteHashtag!H81)-FIND("(",PasteHashtag!H81)-1)*1</f>
        <v>5</v>
      </c>
      <c r="I81" s="5">
        <f>LEFT(PasteHashtag!H81,FIND("(",PasteHashtag!H81)-1)*1</f>
        <v>0.463</v>
      </c>
      <c r="J81" s="5">
        <f>MID(PasteHashtag!I81,1+FIND("(",PasteHashtag!I81),FIND("/",PasteHashtag!I81)-FIND("(",PasteHashtag!I81)-1)*1</f>
        <v>2.1</v>
      </c>
      <c r="K81" s="5">
        <f>LEFT(PasteHashtag!I81,FIND("(",PasteHashtag!I81)-1)*1</f>
        <v>0.824</v>
      </c>
      <c r="L81" s="5">
        <f>PasteHashtag!J81</f>
        <v>1.9</v>
      </c>
      <c r="M81" s="5">
        <f>PasteHashtag!K81</f>
        <v>14</v>
      </c>
      <c r="N81" s="5">
        <f>PasteHashtag!L81</f>
        <v>8.4</v>
      </c>
      <c r="O81" s="5">
        <f>PasteHashtag!M81</f>
        <v>1.5</v>
      </c>
      <c r="P81" s="5">
        <f>PasteHashtag!N81</f>
        <v>0.8</v>
      </c>
      <c r="Q81" s="5">
        <f>PasteHashtag!O81</f>
        <v>0.9</v>
      </c>
      <c r="R81" s="5">
        <f>PasteHashtag!P81</f>
        <v>1.3</v>
      </c>
      <c r="S81" s="5">
        <f>Mid(PasteHashtag!H81,FIND("/",PasteHashtag!H81)+1,LEN(PasteHashtag!H81)-FIND("/",PasteHashtag!H81)-1)*1</f>
        <v>10.8</v>
      </c>
      <c r="T81" s="306">
        <f>Mid(PasteHashtag!I81,FIND("/",PasteHashtag!I81)+1,LEN(PasteHashtag!I81)-FIND("/",PasteHashtag!I81)-1)*1</f>
        <v>2.6</v>
      </c>
      <c r="U81" s="26"/>
      <c r="V81" s="26"/>
      <c r="W81" s="26"/>
    </row>
    <row r="82">
      <c r="A82" s="5">
        <v>81.0</v>
      </c>
      <c r="B82" s="5">
        <f>PasteHashtag!B82</f>
        <v>138.9</v>
      </c>
      <c r="C82" s="305" t="str">
        <f>PasteHashtag!C82</f>
        <v>Taylor Hendricks</v>
      </c>
      <c r="D82" s="5" t="str">
        <f>PasteHashtag!D82</f>
        <v>SF,PF</v>
      </c>
      <c r="E82" s="5" t="str">
        <f>PasteHashtag!E82</f>
        <v>UTA</v>
      </c>
      <c r="F82" s="5">
        <f>PasteHashtag!F82</f>
        <v>68</v>
      </c>
      <c r="G82" s="5">
        <f>PasteHashtag!G82</f>
        <v>29.7</v>
      </c>
      <c r="H82" s="5">
        <f>MID(PasteHashtag!H82,1+FIND("(",PasteHashtag!H82),FIND("/",PasteHashtag!H82)-FIND("(",PasteHashtag!H82)-1)*1</f>
        <v>4.3</v>
      </c>
      <c r="I82" s="5">
        <f>LEFT(PasteHashtag!H82,FIND("(",PasteHashtag!H82)-1)*1</f>
        <v>0.471</v>
      </c>
      <c r="J82" s="5">
        <f>MID(PasteHashtag!I82,1+FIND("(",PasteHashtag!I82),FIND("/",PasteHashtag!I82)-FIND("(",PasteHashtag!I82)-1)*1</f>
        <v>0.9</v>
      </c>
      <c r="K82" s="5">
        <f>LEFT(PasteHashtag!I82,FIND("(",PasteHashtag!I82)-1)*1</f>
        <v>0.798</v>
      </c>
      <c r="L82" s="5">
        <f>PasteHashtag!J82</f>
        <v>2</v>
      </c>
      <c r="M82" s="5">
        <f>PasteHashtag!K82</f>
        <v>11.4</v>
      </c>
      <c r="N82" s="5">
        <f>PasteHashtag!L82</f>
        <v>7</v>
      </c>
      <c r="O82" s="5">
        <f>PasteHashtag!M82</f>
        <v>1.2</v>
      </c>
      <c r="P82" s="5">
        <f>PasteHashtag!N82</f>
        <v>1.1</v>
      </c>
      <c r="Q82" s="5">
        <f>PasteHashtag!O82</f>
        <v>1.1</v>
      </c>
      <c r="R82" s="5">
        <f>PasteHashtag!P82</f>
        <v>1</v>
      </c>
      <c r="S82" s="5">
        <f>Mid(PasteHashtag!H82,FIND("/",PasteHashtag!H82)+1,LEN(PasteHashtag!H82)-FIND("/",PasteHashtag!H82)-1)*1</f>
        <v>9</v>
      </c>
      <c r="T82" s="306">
        <f>Mid(PasteHashtag!I82,FIND("/",PasteHashtag!I82)+1,LEN(PasteHashtag!I82)-FIND("/",PasteHashtag!I82)-1)*1</f>
        <v>1.1</v>
      </c>
      <c r="U82" s="26"/>
      <c r="V82" s="26"/>
      <c r="W82" s="26"/>
    </row>
    <row r="83">
      <c r="A83" s="5">
        <v>82.0</v>
      </c>
      <c r="B83" s="5">
        <f>PasteHashtag!B83</f>
        <v>90.4</v>
      </c>
      <c r="C83" s="305" t="str">
        <f>PasteHashtag!C83</f>
        <v>Bogdan Bogdanovic</v>
      </c>
      <c r="D83" s="5" t="str">
        <f>PasteHashtag!D83</f>
        <v>SG,SF</v>
      </c>
      <c r="E83" s="5" t="str">
        <f>PasteHashtag!E83</f>
        <v>ATL</v>
      </c>
      <c r="F83" s="5">
        <f>PasteHashtag!F83</f>
        <v>68</v>
      </c>
      <c r="G83" s="5">
        <f>PasteHashtag!G83</f>
        <v>30.2</v>
      </c>
      <c r="H83" s="5">
        <f>MID(PasteHashtag!H83,1+FIND("(",PasteHashtag!H83),FIND("/",PasteHashtag!H83)-FIND("(",PasteHashtag!H83)-1)*1</f>
        <v>6</v>
      </c>
      <c r="I83" s="5">
        <f>LEFT(PasteHashtag!H83,FIND("(",PasteHashtag!H83)-1)*1</f>
        <v>0.434</v>
      </c>
      <c r="J83" s="5">
        <f>MID(PasteHashtag!I83,1+FIND("(",PasteHashtag!I83),FIND("/",PasteHashtag!I83)-FIND("(",PasteHashtag!I83)-1)*1</f>
        <v>2</v>
      </c>
      <c r="K83" s="5">
        <f>LEFT(PasteHashtag!I83,FIND("(",PasteHashtag!I83)-1)*1</f>
        <v>0.889</v>
      </c>
      <c r="L83" s="5">
        <f>PasteHashtag!J83</f>
        <v>3.1</v>
      </c>
      <c r="M83" s="5">
        <f>PasteHashtag!K83</f>
        <v>17.1</v>
      </c>
      <c r="N83" s="5">
        <f>PasteHashtag!L83</f>
        <v>3.5</v>
      </c>
      <c r="O83" s="5">
        <f>PasteHashtag!M83</f>
        <v>3.2</v>
      </c>
      <c r="P83" s="5">
        <f>PasteHashtag!N83</f>
        <v>1.1</v>
      </c>
      <c r="Q83" s="5">
        <f>PasteHashtag!O83</f>
        <v>0.4</v>
      </c>
      <c r="R83" s="5">
        <f>PasteHashtag!P83</f>
        <v>1.4</v>
      </c>
      <c r="S83" s="5">
        <f>Mid(PasteHashtag!H83,FIND("/",PasteHashtag!H83)+1,LEN(PasteHashtag!H83)-FIND("/",PasteHashtag!H83)-1)*1</f>
        <v>13.7</v>
      </c>
      <c r="T83" s="306">
        <f>Mid(PasteHashtag!I83,FIND("/",PasteHashtag!I83)+1,LEN(PasteHashtag!I83)-FIND("/",PasteHashtag!I83)-1)*1</f>
        <v>2.3</v>
      </c>
      <c r="U83" s="26"/>
      <c r="V83" s="26"/>
      <c r="W83" s="26"/>
    </row>
    <row r="84">
      <c r="A84" s="5">
        <v>83.0</v>
      </c>
      <c r="B84" s="5">
        <f>PasteHashtag!B84</f>
        <v>34.6</v>
      </c>
      <c r="C84" s="305" t="str">
        <f>PasteHashtag!C84</f>
        <v>Paolo Banchero</v>
      </c>
      <c r="D84" s="5" t="str">
        <f>PasteHashtag!D84</f>
        <v>SF,PF</v>
      </c>
      <c r="E84" s="5" t="str">
        <f>PasteHashtag!E84</f>
        <v>ORL</v>
      </c>
      <c r="F84" s="5">
        <f>PasteHashtag!F84</f>
        <v>76</v>
      </c>
      <c r="G84" s="5">
        <f>PasteHashtag!G84</f>
        <v>35.1</v>
      </c>
      <c r="H84" s="5">
        <f>MID(PasteHashtag!H84,1+FIND("(",PasteHashtag!H84),FIND("/",PasteHashtag!H84)-FIND("(",PasteHashtag!H84)-1)*1</f>
        <v>8</v>
      </c>
      <c r="I84" s="5">
        <f>LEFT(PasteHashtag!H84,FIND("(",PasteHashtag!H84)-1)*1</f>
        <v>0.462</v>
      </c>
      <c r="J84" s="5">
        <f>MID(PasteHashtag!I84,1+FIND("(",PasteHashtag!I84),FIND("/",PasteHashtag!I84)-FIND("(",PasteHashtag!I84)-1)*1</f>
        <v>5.4</v>
      </c>
      <c r="K84" s="5">
        <f>LEFT(PasteHashtag!I84,FIND("(",PasteHashtag!I84)-1)*1</f>
        <v>0.731</v>
      </c>
      <c r="L84" s="5">
        <f>PasteHashtag!J84</f>
        <v>1.6</v>
      </c>
      <c r="M84" s="5">
        <f>PasteHashtag!K84</f>
        <v>23.1</v>
      </c>
      <c r="N84" s="5">
        <f>PasteHashtag!L84</f>
        <v>7.4</v>
      </c>
      <c r="O84" s="5">
        <f>PasteHashtag!M84</f>
        <v>5.7</v>
      </c>
      <c r="P84" s="5">
        <f>PasteHashtag!N84</f>
        <v>1</v>
      </c>
      <c r="Q84" s="5">
        <f>PasteHashtag!O84</f>
        <v>0.7</v>
      </c>
      <c r="R84" s="5">
        <f>PasteHashtag!P84</f>
        <v>3</v>
      </c>
      <c r="S84" s="5">
        <f>Mid(PasteHashtag!H84,FIND("/",PasteHashtag!H84)+1,LEN(PasteHashtag!H84)-FIND("/",PasteHashtag!H84)-1)*1</f>
        <v>17.4</v>
      </c>
      <c r="T84" s="306">
        <f>Mid(PasteHashtag!I84,FIND("/",PasteHashtag!I84)+1,LEN(PasteHashtag!I84)-FIND("/",PasteHashtag!I84)-1)*1</f>
        <v>7.4</v>
      </c>
      <c r="U84" s="26"/>
      <c r="V84" s="26"/>
      <c r="W84" s="26"/>
    </row>
    <row r="85">
      <c r="A85" s="5">
        <v>84.0</v>
      </c>
      <c r="B85" s="5">
        <f>PasteHashtag!B85</f>
        <v>87.2</v>
      </c>
      <c r="C85" s="305" t="str">
        <f>PasteHashtag!C85</f>
        <v>Austin Reaves</v>
      </c>
      <c r="D85" s="5" t="str">
        <f>PasteHashtag!D85</f>
        <v>PG,SG</v>
      </c>
      <c r="E85" s="5" t="str">
        <f>PasteHashtag!E85</f>
        <v>LAL</v>
      </c>
      <c r="F85" s="5">
        <f>PasteHashtag!F85</f>
        <v>72</v>
      </c>
      <c r="G85" s="5">
        <f>PasteHashtag!G85</f>
        <v>32.6</v>
      </c>
      <c r="H85" s="5">
        <f>MID(PasteHashtag!H85,1+FIND("(",PasteHashtag!H85),FIND("/",PasteHashtag!H85)-FIND("(",PasteHashtag!H85)-1)*1</f>
        <v>5.2</v>
      </c>
      <c r="I85" s="5">
        <f>LEFT(PasteHashtag!H85,FIND("(",PasteHashtag!H85)-1)*1</f>
        <v>0.482</v>
      </c>
      <c r="J85" s="5">
        <f>MID(PasteHashtag!I85,1+FIND("(",PasteHashtag!I85),FIND("/",PasteHashtag!I85)-FIND("(",PasteHashtag!I85)-1)*1</f>
        <v>3.4</v>
      </c>
      <c r="K85" s="5">
        <f>LEFT(PasteHashtag!I85,FIND("(",PasteHashtag!I85)-1)*1</f>
        <v>0.859</v>
      </c>
      <c r="L85" s="5">
        <f>PasteHashtag!J85</f>
        <v>2</v>
      </c>
      <c r="M85" s="5">
        <f>PasteHashtag!K85</f>
        <v>15.7</v>
      </c>
      <c r="N85" s="5">
        <f>PasteHashtag!L85</f>
        <v>4</v>
      </c>
      <c r="O85" s="5">
        <f>PasteHashtag!M85</f>
        <v>5.1</v>
      </c>
      <c r="P85" s="5">
        <f>PasteHashtag!N85</f>
        <v>0.8</v>
      </c>
      <c r="Q85" s="5">
        <f>PasteHashtag!O85</f>
        <v>0.3</v>
      </c>
      <c r="R85" s="5">
        <f>PasteHashtag!P85</f>
        <v>2</v>
      </c>
      <c r="S85" s="5">
        <f>Mid(PasteHashtag!H85,FIND("/",PasteHashtag!H85)+1,LEN(PasteHashtag!H85)-FIND("/",PasteHashtag!H85)-1)*1</f>
        <v>10.8</v>
      </c>
      <c r="T85" s="306">
        <f>Mid(PasteHashtag!I85,FIND("/",PasteHashtag!I85)+1,LEN(PasteHashtag!I85)-FIND("/",PasteHashtag!I85)-1)*1</f>
        <v>3.9</v>
      </c>
      <c r="U85" s="26"/>
      <c r="V85" s="26"/>
      <c r="W85" s="26"/>
    </row>
    <row r="86">
      <c r="A86" s="5">
        <v>85.0</v>
      </c>
      <c r="B86" s="5">
        <f>PasteHashtag!B86</f>
        <v>81</v>
      </c>
      <c r="C86" s="305" t="str">
        <f>PasteHashtag!C86</f>
        <v>Keegan Murray</v>
      </c>
      <c r="D86" s="5" t="str">
        <f>PasteHashtag!D86</f>
        <v>SF,PF</v>
      </c>
      <c r="E86" s="5" t="str">
        <f>PasteHashtag!E86</f>
        <v>SAC</v>
      </c>
      <c r="F86" s="5">
        <f>PasteHashtag!F86</f>
        <v>78</v>
      </c>
      <c r="G86" s="5">
        <f>PasteHashtag!G86</f>
        <v>33.5</v>
      </c>
      <c r="H86" s="5">
        <f>MID(PasteHashtag!H86,1+FIND("(",PasteHashtag!H86),FIND("/",PasteHashtag!H86)-FIND("(",PasteHashtag!H86)-1)*1</f>
        <v>5.4</v>
      </c>
      <c r="I86" s="5">
        <f>LEFT(PasteHashtag!H86,FIND("(",PasteHashtag!H86)-1)*1</f>
        <v>0.454</v>
      </c>
      <c r="J86" s="5">
        <f>MID(PasteHashtag!I86,1+FIND("(",PasteHashtag!I86),FIND("/",PasteHashtag!I86)-FIND("(",PasteHashtag!I86)-1)*1</f>
        <v>1.1</v>
      </c>
      <c r="K86" s="5">
        <f>LEFT(PasteHashtag!I86,FIND("(",PasteHashtag!I86)-1)*1</f>
        <v>0.836</v>
      </c>
      <c r="L86" s="5">
        <f>PasteHashtag!J86</f>
        <v>2.7</v>
      </c>
      <c r="M86" s="5">
        <f>PasteHashtag!K86</f>
        <v>14.6</v>
      </c>
      <c r="N86" s="5">
        <f>PasteHashtag!L86</f>
        <v>5.4</v>
      </c>
      <c r="O86" s="5">
        <f>PasteHashtag!M86</f>
        <v>1.6</v>
      </c>
      <c r="P86" s="5">
        <f>PasteHashtag!N86</f>
        <v>1</v>
      </c>
      <c r="Q86" s="5">
        <f>PasteHashtag!O86</f>
        <v>0.8</v>
      </c>
      <c r="R86" s="5">
        <f>PasteHashtag!P86</f>
        <v>0.8</v>
      </c>
      <c r="S86" s="5">
        <f>Mid(PasteHashtag!H86,FIND("/",PasteHashtag!H86)+1,LEN(PasteHashtag!H86)-FIND("/",PasteHashtag!H86)-1)*1</f>
        <v>12</v>
      </c>
      <c r="T86" s="306">
        <f>Mid(PasteHashtag!I86,FIND("/",PasteHashtag!I86)+1,LEN(PasteHashtag!I86)-FIND("/",PasteHashtag!I86)-1)*1</f>
        <v>1.3</v>
      </c>
      <c r="U86" s="26"/>
      <c r="V86" s="26"/>
      <c r="W86" s="26"/>
    </row>
    <row r="87">
      <c r="A87" s="5">
        <v>86.0</v>
      </c>
      <c r="B87" s="5">
        <f>PasteHashtag!B87</f>
        <v>117.6</v>
      </c>
      <c r="C87" s="305" t="str">
        <f>PasteHashtag!C87</f>
        <v>Onyeka Okongwu</v>
      </c>
      <c r="D87" s="5" t="str">
        <f>PasteHashtag!D87</f>
        <v>PF,C</v>
      </c>
      <c r="E87" s="5" t="str">
        <f>PasteHashtag!E87</f>
        <v>ATL</v>
      </c>
      <c r="F87" s="5">
        <f>PasteHashtag!F87</f>
        <v>67</v>
      </c>
      <c r="G87" s="5">
        <f>PasteHashtag!G87</f>
        <v>26.8</v>
      </c>
      <c r="H87" s="5">
        <f>MID(PasteHashtag!H87,1+FIND("(",PasteHashtag!H87),FIND("/",PasteHashtag!H87)-FIND("(",PasteHashtag!H87)-1)*1</f>
        <v>4</v>
      </c>
      <c r="I87" s="5">
        <f>LEFT(PasteHashtag!H87,FIND("(",PasteHashtag!H87)-1)*1</f>
        <v>0.617</v>
      </c>
      <c r="J87" s="5">
        <f>MID(PasteHashtag!I87,1+FIND("(",PasteHashtag!I87),FIND("/",PasteHashtag!I87)-FIND("(",PasteHashtag!I87)-1)*1</f>
        <v>2</v>
      </c>
      <c r="K87" s="5">
        <f>LEFT(PasteHashtag!I87,FIND("(",PasteHashtag!I87)-1)*1</f>
        <v>0.785</v>
      </c>
      <c r="L87" s="5">
        <f>PasteHashtag!J87</f>
        <v>0.5</v>
      </c>
      <c r="M87" s="5">
        <f>PasteHashtag!K87</f>
        <v>10.6</v>
      </c>
      <c r="N87" s="5">
        <f>PasteHashtag!L87</f>
        <v>7.6</v>
      </c>
      <c r="O87" s="5">
        <f>PasteHashtag!M87</f>
        <v>1.3</v>
      </c>
      <c r="P87" s="5">
        <f>PasteHashtag!N87</f>
        <v>0.7</v>
      </c>
      <c r="Q87" s="5">
        <f>PasteHashtag!O87</f>
        <v>1.3</v>
      </c>
      <c r="R87" s="5">
        <f>PasteHashtag!P87</f>
        <v>1.1</v>
      </c>
      <c r="S87" s="5">
        <f>Mid(PasteHashtag!H87,FIND("/",PasteHashtag!H87)+1,LEN(PasteHashtag!H87)-FIND("/",PasteHashtag!H87)-1)*1</f>
        <v>6.6</v>
      </c>
      <c r="T87" s="306">
        <f>Mid(PasteHashtag!I87,FIND("/",PasteHashtag!I87)+1,LEN(PasteHashtag!I87)-FIND("/",PasteHashtag!I87)-1)*1</f>
        <v>2.6</v>
      </c>
      <c r="U87" s="26"/>
      <c r="V87" s="26"/>
      <c r="W87" s="26"/>
    </row>
    <row r="88">
      <c r="A88" s="5">
        <v>87.0</v>
      </c>
      <c r="B88" s="5">
        <f>PasteHashtag!B88</f>
        <v>82.6</v>
      </c>
      <c r="C88" s="305" t="str">
        <f>PasteHashtag!C88</f>
        <v>OG Anunoby</v>
      </c>
      <c r="D88" s="5" t="str">
        <f>PasteHashtag!D88</f>
        <v>SF,PF</v>
      </c>
      <c r="E88" s="5" t="str">
        <f>PasteHashtag!E88</f>
        <v>NY</v>
      </c>
      <c r="F88" s="5">
        <f>PasteHashtag!F88</f>
        <v>60</v>
      </c>
      <c r="G88" s="5">
        <f>PasteHashtag!G88</f>
        <v>33.1</v>
      </c>
      <c r="H88" s="5">
        <f>MID(PasteHashtag!H88,1+FIND("(",PasteHashtag!H88),FIND("/",PasteHashtag!H88)-FIND("(",PasteHashtag!H88)-1)*1</f>
        <v>5.8</v>
      </c>
      <c r="I88" s="5">
        <f>LEFT(PasteHashtag!H88,FIND("(",PasteHashtag!H88)-1)*1</f>
        <v>0.48</v>
      </c>
      <c r="J88" s="5">
        <f>MID(PasteHashtag!I88,1+FIND("(",PasteHashtag!I88),FIND("/",PasteHashtag!I88)-FIND("(",PasteHashtag!I88)-1)*1</f>
        <v>1.3</v>
      </c>
      <c r="K88" s="5">
        <f>LEFT(PasteHashtag!I88,FIND("(",PasteHashtag!I88)-1)*1</f>
        <v>0.77</v>
      </c>
      <c r="L88" s="5">
        <f>PasteHashtag!J88</f>
        <v>2</v>
      </c>
      <c r="M88" s="5">
        <f>PasteHashtag!K88</f>
        <v>14.8</v>
      </c>
      <c r="N88" s="5">
        <f>PasteHashtag!L88</f>
        <v>4.1</v>
      </c>
      <c r="O88" s="5">
        <f>PasteHashtag!M88</f>
        <v>2</v>
      </c>
      <c r="P88" s="5">
        <f>PasteHashtag!N88</f>
        <v>1.5</v>
      </c>
      <c r="Q88" s="5">
        <f>PasteHashtag!O88</f>
        <v>0.7</v>
      </c>
      <c r="R88" s="5">
        <f>PasteHashtag!P88</f>
        <v>1.8</v>
      </c>
      <c r="S88" s="5">
        <f>Mid(PasteHashtag!H88,FIND("/",PasteHashtag!H88)+1,LEN(PasteHashtag!H88)-FIND("/",PasteHashtag!H88)-1)*1</f>
        <v>12</v>
      </c>
      <c r="T88" s="306">
        <f>Mid(PasteHashtag!I88,FIND("/",PasteHashtag!I88)+1,LEN(PasteHashtag!I88)-FIND("/",PasteHashtag!I88)-1)*1</f>
        <v>1.7</v>
      </c>
      <c r="U88" s="26"/>
      <c r="V88" s="26"/>
      <c r="W88" s="26"/>
    </row>
    <row r="89">
      <c r="A89" s="5">
        <v>88.0</v>
      </c>
      <c r="B89" s="5">
        <f>PasteHashtag!B89</f>
        <v>86.5</v>
      </c>
      <c r="C89" s="305" t="str">
        <f>PasteHashtag!C89</f>
        <v>Coby White</v>
      </c>
      <c r="D89" s="5" t="str">
        <f>PasteHashtag!D89</f>
        <v>PG,SG</v>
      </c>
      <c r="E89" s="5" t="str">
        <f>PasteHashtag!E89</f>
        <v>CHI</v>
      </c>
      <c r="F89" s="5">
        <f>PasteHashtag!F89</f>
        <v>76</v>
      </c>
      <c r="G89" s="5">
        <f>PasteHashtag!G89</f>
        <v>35.5</v>
      </c>
      <c r="H89" s="5">
        <f>MID(PasteHashtag!H89,1+FIND("(",PasteHashtag!H89),FIND("/",PasteHashtag!H89)-FIND("(",PasteHashtag!H89)-1)*1</f>
        <v>6.5</v>
      </c>
      <c r="I89" s="5">
        <f>LEFT(PasteHashtag!H89,FIND("(",PasteHashtag!H89)-1)*1</f>
        <v>0.446</v>
      </c>
      <c r="J89" s="5">
        <f>MID(PasteHashtag!I89,1+FIND("(",PasteHashtag!I89),FIND("/",PasteHashtag!I89)-FIND("(",PasteHashtag!I89)-1)*1</f>
        <v>2.3</v>
      </c>
      <c r="K89" s="5">
        <f>LEFT(PasteHashtag!I89,FIND("(",PasteHashtag!I89)-1)*1</f>
        <v>0.843</v>
      </c>
      <c r="L89" s="5">
        <f>PasteHashtag!J89</f>
        <v>2.7</v>
      </c>
      <c r="M89" s="5">
        <f>PasteHashtag!K89</f>
        <v>18</v>
      </c>
      <c r="N89" s="5">
        <f>PasteHashtag!L89</f>
        <v>4.6</v>
      </c>
      <c r="O89" s="5">
        <f>PasteHashtag!M89</f>
        <v>4.9</v>
      </c>
      <c r="P89" s="5">
        <f>PasteHashtag!N89</f>
        <v>0.9</v>
      </c>
      <c r="Q89" s="5">
        <f>PasteHashtag!O89</f>
        <v>0.2</v>
      </c>
      <c r="R89" s="5">
        <f>PasteHashtag!P89</f>
        <v>2</v>
      </c>
      <c r="S89" s="5">
        <f>Mid(PasteHashtag!H89,FIND("/",PasteHashtag!H89)+1,LEN(PasteHashtag!H89)-FIND("/",PasteHashtag!H89)-1)*1</f>
        <v>14.6</v>
      </c>
      <c r="T89" s="306">
        <f>Mid(PasteHashtag!I89,FIND("/",PasteHashtag!I89)+1,LEN(PasteHashtag!I89)-FIND("/",PasteHashtag!I89)-1)*1</f>
        <v>2.7</v>
      </c>
      <c r="U89" s="26"/>
      <c r="V89" s="26"/>
      <c r="W89" s="26"/>
    </row>
    <row r="90">
      <c r="A90" s="5">
        <v>89.0</v>
      </c>
      <c r="B90" s="5">
        <f>PasteHashtag!B90</f>
        <v>73.3</v>
      </c>
      <c r="C90" s="305" t="str">
        <f>PasteHashtag!C90</f>
        <v>Michael Porter Jr.</v>
      </c>
      <c r="D90" s="5" t="str">
        <f>PasteHashtag!D90</f>
        <v>SF,PF</v>
      </c>
      <c r="E90" s="5" t="str">
        <f>PasteHashtag!E90</f>
        <v>DEN</v>
      </c>
      <c r="F90" s="5">
        <f>PasteHashtag!F90</f>
        <v>74</v>
      </c>
      <c r="G90" s="5">
        <f>PasteHashtag!G90</f>
        <v>31.8</v>
      </c>
      <c r="H90" s="5">
        <f>MID(PasteHashtag!H90,1+FIND("(",PasteHashtag!H90),FIND("/",PasteHashtag!H90)-FIND("(",PasteHashtag!H90)-1)*1</f>
        <v>6.6</v>
      </c>
      <c r="I90" s="5">
        <f>LEFT(PasteHashtag!H90,FIND("(",PasteHashtag!H90)-1)*1</f>
        <v>0.485</v>
      </c>
      <c r="J90" s="5">
        <f>MID(PasteHashtag!I90,1+FIND("(",PasteHashtag!I90),FIND("/",PasteHashtag!I90)-FIND("(",PasteHashtag!I90)-1)*1</f>
        <v>1.4</v>
      </c>
      <c r="K90" s="5">
        <f>LEFT(PasteHashtag!I90,FIND("(",PasteHashtag!I90)-1)*1</f>
        <v>0.818</v>
      </c>
      <c r="L90" s="5">
        <f>PasteHashtag!J90</f>
        <v>2.9</v>
      </c>
      <c r="M90" s="5">
        <f>PasteHashtag!K90</f>
        <v>17.5</v>
      </c>
      <c r="N90" s="5">
        <f>PasteHashtag!L90</f>
        <v>6.5</v>
      </c>
      <c r="O90" s="5">
        <f>PasteHashtag!M90</f>
        <v>1.4</v>
      </c>
      <c r="P90" s="5">
        <f>PasteHashtag!N90</f>
        <v>0.6</v>
      </c>
      <c r="Q90" s="5">
        <f>PasteHashtag!O90</f>
        <v>0.6</v>
      </c>
      <c r="R90" s="5">
        <f>PasteHashtag!P90</f>
        <v>1.2</v>
      </c>
      <c r="S90" s="5">
        <f>Mid(PasteHashtag!H90,FIND("/",PasteHashtag!H90)+1,LEN(PasteHashtag!H90)-FIND("/",PasteHashtag!H90)-1)*1</f>
        <v>13.6</v>
      </c>
      <c r="T90" s="306">
        <f>Mid(PasteHashtag!I90,FIND("/",PasteHashtag!I90)+1,LEN(PasteHashtag!I90)-FIND("/",PasteHashtag!I90)-1)*1</f>
        <v>1.7</v>
      </c>
      <c r="U90" s="26"/>
      <c r="V90" s="26"/>
      <c r="W90" s="26"/>
    </row>
    <row r="91">
      <c r="A91" s="5">
        <v>90.0</v>
      </c>
      <c r="B91" s="5">
        <f>PasteHashtag!B91</f>
        <v>102</v>
      </c>
      <c r="C91" s="305" t="str">
        <f>PasteHashtag!C91</f>
        <v>Alex Caruso</v>
      </c>
      <c r="D91" s="5" t="str">
        <f>PasteHashtag!D91</f>
        <v>SG,SF</v>
      </c>
      <c r="E91" s="5" t="str">
        <f>PasteHashtag!E91</f>
        <v>OKC</v>
      </c>
      <c r="F91" s="5">
        <f>PasteHashtag!F91</f>
        <v>68</v>
      </c>
      <c r="G91" s="5">
        <f>PasteHashtag!G91</f>
        <v>28.7</v>
      </c>
      <c r="H91" s="5">
        <f>MID(PasteHashtag!H91,1+FIND("(",PasteHashtag!H91),FIND("/",PasteHashtag!H91)-FIND("(",PasteHashtag!H91)-1)*1</f>
        <v>3.1</v>
      </c>
      <c r="I91" s="5">
        <f>LEFT(PasteHashtag!H91,FIND("(",PasteHashtag!H91)-1)*1</f>
        <v>0.463</v>
      </c>
      <c r="J91" s="5">
        <f>MID(PasteHashtag!I91,1+FIND("(",PasteHashtag!I91),FIND("/",PasteHashtag!I91)-FIND("(",PasteHashtag!I91)-1)*1</f>
        <v>1.1</v>
      </c>
      <c r="K91" s="5">
        <f>LEFT(PasteHashtag!I91,FIND("(",PasteHashtag!I91)-1)*1</f>
        <v>0.785</v>
      </c>
      <c r="L91" s="5">
        <f>PasteHashtag!J91</f>
        <v>1.5</v>
      </c>
      <c r="M91" s="5">
        <f>PasteHashtag!K91</f>
        <v>8.7</v>
      </c>
      <c r="N91" s="5">
        <f>PasteHashtag!L91</f>
        <v>3.8</v>
      </c>
      <c r="O91" s="5">
        <f>PasteHashtag!M91</f>
        <v>3.5</v>
      </c>
      <c r="P91" s="5">
        <f>PasteHashtag!N91</f>
        <v>1.6</v>
      </c>
      <c r="Q91" s="5">
        <f>PasteHashtag!O91</f>
        <v>0.9</v>
      </c>
      <c r="R91" s="5">
        <f>PasteHashtag!P91</f>
        <v>1.4</v>
      </c>
      <c r="S91" s="5">
        <f>Mid(PasteHashtag!H91,FIND("/",PasteHashtag!H91)+1,LEN(PasteHashtag!H91)-FIND("/",PasteHashtag!H91)-1)*1</f>
        <v>6.6</v>
      </c>
      <c r="T91" s="306">
        <f>Mid(PasteHashtag!I91,FIND("/",PasteHashtag!I91)+1,LEN(PasteHashtag!I91)-FIND("/",PasteHashtag!I91)-1)*1</f>
        <v>1.4</v>
      </c>
      <c r="U91" s="26"/>
      <c r="V91" s="26"/>
      <c r="W91" s="26"/>
    </row>
    <row r="92">
      <c r="A92" s="5">
        <v>91.0</v>
      </c>
      <c r="B92" s="5">
        <f>PasteHashtag!B92</f>
        <v>96.2</v>
      </c>
      <c r="C92" s="305" t="str">
        <f>PasteHashtag!C92</f>
        <v>Herbert Jones</v>
      </c>
      <c r="D92" s="5" t="str">
        <f>PasteHashtag!D92</f>
        <v>SF,PF</v>
      </c>
      <c r="E92" s="5" t="str">
        <f>PasteHashtag!E92</f>
        <v>NO</v>
      </c>
      <c r="F92" s="5">
        <f>PasteHashtag!F92</f>
        <v>71</v>
      </c>
      <c r="G92" s="5">
        <f>PasteHashtag!G92</f>
        <v>30.2</v>
      </c>
      <c r="H92" s="5">
        <f>MID(PasteHashtag!H92,1+FIND("(",PasteHashtag!H92),FIND("/",PasteHashtag!H92)-FIND("(",PasteHashtag!H92)-1)*1</f>
        <v>3.7</v>
      </c>
      <c r="I92" s="5">
        <f>LEFT(PasteHashtag!H92,FIND("(",PasteHashtag!H92)-1)*1</f>
        <v>0.484</v>
      </c>
      <c r="J92" s="5">
        <f>MID(PasteHashtag!I92,1+FIND("(",PasteHashtag!I92),FIND("/",PasteHashtag!I92)-FIND("(",PasteHashtag!I92)-1)*1</f>
        <v>1.8</v>
      </c>
      <c r="K92" s="5">
        <f>LEFT(PasteHashtag!I92,FIND("(",PasteHashtag!I92)-1)*1</f>
        <v>0.852</v>
      </c>
      <c r="L92" s="5">
        <f>PasteHashtag!J92</f>
        <v>1.2</v>
      </c>
      <c r="M92" s="5">
        <f>PasteHashtag!K92</f>
        <v>10.5</v>
      </c>
      <c r="N92" s="5">
        <f>PasteHashtag!L92</f>
        <v>4.2</v>
      </c>
      <c r="O92" s="5">
        <f>PasteHashtag!M92</f>
        <v>2.6</v>
      </c>
      <c r="P92" s="5">
        <f>PasteHashtag!N92</f>
        <v>1.4</v>
      </c>
      <c r="Q92" s="5">
        <f>PasteHashtag!O92</f>
        <v>0.9</v>
      </c>
      <c r="R92" s="5">
        <f>PasteHashtag!P92</f>
        <v>1.3</v>
      </c>
      <c r="S92" s="5">
        <f>Mid(PasteHashtag!H92,FIND("/",PasteHashtag!H92)+1,LEN(PasteHashtag!H92)-FIND("/",PasteHashtag!H92)-1)*1</f>
        <v>7.7</v>
      </c>
      <c r="T92" s="306">
        <f>Mid(PasteHashtag!I92,FIND("/",PasteHashtag!I92)+1,LEN(PasteHashtag!I92)-FIND("/",PasteHashtag!I92)-1)*1</f>
        <v>2.2</v>
      </c>
      <c r="U92" s="26"/>
      <c r="V92" s="26"/>
      <c r="W92" s="26"/>
    </row>
    <row r="93">
      <c r="A93" s="5">
        <v>92.0</v>
      </c>
      <c r="B93" s="5">
        <f>PasteHashtag!B93</f>
        <v>104.5</v>
      </c>
      <c r="C93" s="305" t="str">
        <f>PasteHashtag!C93</f>
        <v>Daniel Gafford</v>
      </c>
      <c r="D93" s="5" t="str">
        <f>PasteHashtag!D93</f>
        <v>PF,C</v>
      </c>
      <c r="E93" s="5" t="str">
        <f>PasteHashtag!E93</f>
        <v>DAL</v>
      </c>
      <c r="F93" s="5">
        <f>PasteHashtag!F93</f>
        <v>75</v>
      </c>
      <c r="G93" s="5">
        <f>PasteHashtag!G93</f>
        <v>24.5</v>
      </c>
      <c r="H93" s="5">
        <f>MID(PasteHashtag!H93,1+FIND("(",PasteHashtag!H93),FIND("/",PasteHashtag!H93)-FIND("(",PasteHashtag!H93)-1)*1</f>
        <v>4.3</v>
      </c>
      <c r="I93" s="5">
        <f>LEFT(PasteHashtag!H93,FIND("(",PasteHashtag!H93)-1)*1</f>
        <v>0.729</v>
      </c>
      <c r="J93" s="5">
        <f>MID(PasteHashtag!I93,1+FIND("(",PasteHashtag!I93),FIND("/",PasteHashtag!I93)-FIND("(",PasteHashtag!I93)-1)*1</f>
        <v>1.7</v>
      </c>
      <c r="K93" s="5">
        <f>LEFT(PasteHashtag!I93,FIND("(",PasteHashtag!I93)-1)*1</f>
        <v>0.675</v>
      </c>
      <c r="L93" s="5">
        <f>PasteHashtag!J93</f>
        <v>0</v>
      </c>
      <c r="M93" s="5">
        <f>PasteHashtag!K93</f>
        <v>10.3</v>
      </c>
      <c r="N93" s="5">
        <f>PasteHashtag!L93</f>
        <v>6.8</v>
      </c>
      <c r="O93" s="5">
        <f>PasteHashtag!M93</f>
        <v>1.4</v>
      </c>
      <c r="P93" s="5">
        <f>PasteHashtag!N93</f>
        <v>0.7</v>
      </c>
      <c r="Q93" s="5">
        <f>PasteHashtag!O93</f>
        <v>1.7</v>
      </c>
      <c r="R93" s="5">
        <f>PasteHashtag!P93</f>
        <v>1.1</v>
      </c>
      <c r="S93" s="5">
        <f>Mid(PasteHashtag!H93,FIND("/",PasteHashtag!H93)+1,LEN(PasteHashtag!H93)-FIND("/",PasteHashtag!H93)-1)*1</f>
        <v>5.9</v>
      </c>
      <c r="T93" s="306">
        <f>Mid(PasteHashtag!I93,FIND("/",PasteHashtag!I93)+1,LEN(PasteHashtag!I93)-FIND("/",PasteHashtag!I93)-1)*1</f>
        <v>2.5</v>
      </c>
      <c r="U93" s="26"/>
      <c r="V93" s="26"/>
      <c r="W93" s="26"/>
    </row>
    <row r="94">
      <c r="A94" s="5">
        <v>93.0</v>
      </c>
      <c r="B94" s="5">
        <f>PasteHashtag!B94</f>
        <v>101.4</v>
      </c>
      <c r="C94" s="305" t="str">
        <f>PasteHashtag!C94</f>
        <v>Draymond Green</v>
      </c>
      <c r="D94" s="5" t="str">
        <f>PasteHashtag!D94</f>
        <v>PF,C</v>
      </c>
      <c r="E94" s="5" t="str">
        <f>PasteHashtag!E94</f>
        <v>GS</v>
      </c>
      <c r="F94" s="5">
        <f>PasteHashtag!F94</f>
        <v>58</v>
      </c>
      <c r="G94" s="5">
        <f>PasteHashtag!G94</f>
        <v>27.3</v>
      </c>
      <c r="H94" s="5">
        <f>MID(PasteHashtag!H94,1+FIND("(",PasteHashtag!H94),FIND("/",PasteHashtag!H94)-FIND("(",PasteHashtag!H94)-1)*1</f>
        <v>3.3</v>
      </c>
      <c r="I94" s="5">
        <f>LEFT(PasteHashtag!H94,FIND("(",PasteHashtag!H94)-1)*1</f>
        <v>0.514</v>
      </c>
      <c r="J94" s="5">
        <f>MID(PasteHashtag!I94,1+FIND("(",PasteHashtag!I94),FIND("/",PasteHashtag!I94)-FIND("(",PasteHashtag!I94)-1)*1</f>
        <v>1</v>
      </c>
      <c r="K94" s="5">
        <f>LEFT(PasteHashtag!I94,FIND("(",PasteHashtag!I94)-1)*1</f>
        <v>0.713</v>
      </c>
      <c r="L94" s="5">
        <f>PasteHashtag!J94</f>
        <v>0.7</v>
      </c>
      <c r="M94" s="5">
        <f>PasteHashtag!K94</f>
        <v>8.2</v>
      </c>
      <c r="N94" s="5">
        <f>PasteHashtag!L94</f>
        <v>6.9</v>
      </c>
      <c r="O94" s="5">
        <f>PasteHashtag!M94</f>
        <v>6.2</v>
      </c>
      <c r="P94" s="5">
        <f>PasteHashtag!N94</f>
        <v>1.1</v>
      </c>
      <c r="Q94" s="5">
        <f>PasteHashtag!O94</f>
        <v>0.8</v>
      </c>
      <c r="R94" s="5">
        <f>PasteHashtag!P94</f>
        <v>2.5</v>
      </c>
      <c r="S94" s="5">
        <f>Mid(PasteHashtag!H94,FIND("/",PasteHashtag!H94)+1,LEN(PasteHashtag!H94)-FIND("/",PasteHashtag!H94)-1)*1</f>
        <v>6.3</v>
      </c>
      <c r="T94" s="306">
        <f>Mid(PasteHashtag!I94,FIND("/",PasteHashtag!I94)+1,LEN(PasteHashtag!I94)-FIND("/",PasteHashtag!I94)-1)*1</f>
        <v>1.4</v>
      </c>
      <c r="U94" s="26"/>
      <c r="V94" s="26"/>
      <c r="W94" s="26"/>
    </row>
    <row r="95">
      <c r="A95" s="5">
        <v>94.0</v>
      </c>
      <c r="B95" s="5">
        <f>PasteHashtag!B95</f>
        <v>92.7</v>
      </c>
      <c r="C95" s="305" t="str">
        <f>PasteHashtag!C95</f>
        <v>Jakob Poeltl</v>
      </c>
      <c r="D95" s="5" t="str">
        <f>PasteHashtag!D95</f>
        <v>C</v>
      </c>
      <c r="E95" s="5" t="str">
        <f>PasteHashtag!E95</f>
        <v>TOR</v>
      </c>
      <c r="F95" s="5">
        <f>PasteHashtag!F95</f>
        <v>68</v>
      </c>
      <c r="G95" s="5">
        <f>PasteHashtag!G95</f>
        <v>26.8</v>
      </c>
      <c r="H95" s="5">
        <f>MID(PasteHashtag!H95,1+FIND("(",PasteHashtag!H95),FIND("/",PasteHashtag!H95)-FIND("(",PasteHashtag!H95)-1)*1</f>
        <v>5.4</v>
      </c>
      <c r="I95" s="5">
        <f>LEFT(PasteHashtag!H95,FIND("(",PasteHashtag!H95)-1)*1</f>
        <v>0.64</v>
      </c>
      <c r="J95" s="5">
        <f>MID(PasteHashtag!I95,1+FIND("(",PasteHashtag!I95),FIND("/",PasteHashtag!I95)-FIND("(",PasteHashtag!I95)-1)*1</f>
        <v>1.5</v>
      </c>
      <c r="K95" s="5">
        <f>LEFT(PasteHashtag!I95,FIND("(",PasteHashtag!I95)-1)*1</f>
        <v>0.575</v>
      </c>
      <c r="L95" s="5">
        <f>PasteHashtag!J95</f>
        <v>0</v>
      </c>
      <c r="M95" s="5">
        <f>PasteHashtag!K95</f>
        <v>12.2</v>
      </c>
      <c r="N95" s="5">
        <f>PasteHashtag!L95</f>
        <v>9.1</v>
      </c>
      <c r="O95" s="5">
        <f>PasteHashtag!M95</f>
        <v>2.7</v>
      </c>
      <c r="P95" s="5">
        <f>PasteHashtag!N95</f>
        <v>0.9</v>
      </c>
      <c r="Q95" s="5">
        <f>PasteHashtag!O95</f>
        <v>1.4</v>
      </c>
      <c r="R95" s="5">
        <f>PasteHashtag!P95</f>
        <v>1.7</v>
      </c>
      <c r="S95" s="5">
        <f>Mid(PasteHashtag!H95,FIND("/",PasteHashtag!H95)+1,LEN(PasteHashtag!H95)-FIND("/",PasteHashtag!H95)-1)*1</f>
        <v>8.4</v>
      </c>
      <c r="T95" s="306">
        <f>Mid(PasteHashtag!I95,FIND("/",PasteHashtag!I95)+1,LEN(PasteHashtag!I95)-FIND("/",PasteHashtag!I95)-1)*1</f>
        <v>2.6</v>
      </c>
      <c r="U95" s="26"/>
      <c r="V95" s="26"/>
      <c r="W95" s="26"/>
    </row>
    <row r="96">
      <c r="A96" s="5">
        <v>95.0</v>
      </c>
      <c r="B96" s="5">
        <f>PasteHashtag!B96</f>
        <v>116.8</v>
      </c>
      <c r="C96" s="305" t="str">
        <f>PasteHashtag!C96</f>
        <v>Amen Thompson</v>
      </c>
      <c r="D96" s="5" t="str">
        <f>PasteHashtag!D96</f>
        <v>SG,SF</v>
      </c>
      <c r="E96" s="5" t="str">
        <f>PasteHashtag!E96</f>
        <v>HOU</v>
      </c>
      <c r="F96" s="5">
        <f>PasteHashtag!F96</f>
        <v>68</v>
      </c>
      <c r="G96" s="5">
        <f>PasteHashtag!G96</f>
        <v>27.2</v>
      </c>
      <c r="H96" s="5">
        <f>MID(PasteHashtag!H96,1+FIND("(",PasteHashtag!H96),FIND("/",PasteHashtag!H96)-FIND("(",PasteHashtag!H96)-1)*1</f>
        <v>4.8</v>
      </c>
      <c r="I96" s="5">
        <f>LEFT(PasteHashtag!H96,FIND("(",PasteHashtag!H96)-1)*1</f>
        <v>0.529</v>
      </c>
      <c r="J96" s="5">
        <f>MID(PasteHashtag!I96,1+FIND("(",PasteHashtag!I96),FIND("/",PasteHashtag!I96)-FIND("(",PasteHashtag!I96)-1)*1</f>
        <v>2.2</v>
      </c>
      <c r="K96" s="5">
        <f>LEFT(PasteHashtag!I96,FIND("(",PasteHashtag!I96)-1)*1</f>
        <v>0.72</v>
      </c>
      <c r="L96" s="5">
        <f>PasteHashtag!J96</f>
        <v>0.3</v>
      </c>
      <c r="M96" s="5">
        <f>PasteHashtag!K96</f>
        <v>12</v>
      </c>
      <c r="N96" s="5">
        <f>PasteHashtag!L96</f>
        <v>7.2</v>
      </c>
      <c r="O96" s="5">
        <f>PasteHashtag!M96</f>
        <v>3.2</v>
      </c>
      <c r="P96" s="5">
        <f>PasteHashtag!N96</f>
        <v>1.5</v>
      </c>
      <c r="Q96" s="5">
        <f>PasteHashtag!O96</f>
        <v>0.8</v>
      </c>
      <c r="R96" s="5">
        <f>PasteHashtag!P96</f>
        <v>1.8</v>
      </c>
      <c r="S96" s="5">
        <f>Mid(PasteHashtag!H96,FIND("/",PasteHashtag!H96)+1,LEN(PasteHashtag!H96)-FIND("/",PasteHashtag!H96)-1)*1</f>
        <v>9</v>
      </c>
      <c r="T96" s="306">
        <f>Mid(PasteHashtag!I96,FIND("/",PasteHashtag!I96)+1,LEN(PasteHashtag!I96)-FIND("/",PasteHashtag!I96)-1)*1</f>
        <v>3.1</v>
      </c>
      <c r="U96" s="26"/>
      <c r="V96" s="26"/>
      <c r="W96" s="26"/>
    </row>
    <row r="97">
      <c r="A97" s="5">
        <v>96.0</v>
      </c>
      <c r="B97" s="5">
        <f>PasteHashtag!B97</f>
        <v>86.9</v>
      </c>
      <c r="C97" s="305" t="str">
        <f>PasteHashtag!C97</f>
        <v>CJ McCollum</v>
      </c>
      <c r="D97" s="5" t="str">
        <f>PasteHashtag!D97</f>
        <v>PG,SG</v>
      </c>
      <c r="E97" s="5" t="str">
        <f>PasteHashtag!E97</f>
        <v>NO</v>
      </c>
      <c r="F97" s="5">
        <f>PasteHashtag!F97</f>
        <v>65</v>
      </c>
      <c r="G97" s="5">
        <f>PasteHashtag!G97</f>
        <v>32</v>
      </c>
      <c r="H97" s="5">
        <f>MID(PasteHashtag!H97,1+FIND("(",PasteHashtag!H97),FIND("/",PasteHashtag!H97)-FIND("(",PasteHashtag!H97)-1)*1</f>
        <v>6.8</v>
      </c>
      <c r="I97" s="5">
        <f>LEFT(PasteHashtag!H97,FIND("(",PasteHashtag!H97)-1)*1</f>
        <v>0.451</v>
      </c>
      <c r="J97" s="5">
        <f>MID(PasteHashtag!I97,1+FIND("(",PasteHashtag!I97),FIND("/",PasteHashtag!I97)-FIND("(",PasteHashtag!I97)-1)*1</f>
        <v>1.9</v>
      </c>
      <c r="K97" s="5">
        <f>LEFT(PasteHashtag!I97,FIND("(",PasteHashtag!I97)-1)*1</f>
        <v>0.814</v>
      </c>
      <c r="L97" s="5">
        <f>PasteHashtag!J97</f>
        <v>2.8</v>
      </c>
      <c r="M97" s="5">
        <f>PasteHashtag!K97</f>
        <v>18.3</v>
      </c>
      <c r="N97" s="5">
        <f>PasteHashtag!L97</f>
        <v>3.9</v>
      </c>
      <c r="O97" s="5">
        <f>PasteHashtag!M97</f>
        <v>4.1</v>
      </c>
      <c r="P97" s="5">
        <f>PasteHashtag!N97</f>
        <v>0.8</v>
      </c>
      <c r="Q97" s="5">
        <f>PasteHashtag!O97</f>
        <v>0.5</v>
      </c>
      <c r="R97" s="5">
        <f>PasteHashtag!P97</f>
        <v>1.9</v>
      </c>
      <c r="S97" s="5">
        <f>Mid(PasteHashtag!H97,FIND("/",PasteHashtag!H97)+1,LEN(PasteHashtag!H97)-FIND("/",PasteHashtag!H97)-1)*1</f>
        <v>15</v>
      </c>
      <c r="T97" s="306">
        <f>Mid(PasteHashtag!I97,FIND("/",PasteHashtag!I97)+1,LEN(PasteHashtag!I97)-FIND("/",PasteHashtag!I97)-1)*1</f>
        <v>2.3</v>
      </c>
      <c r="U97" s="26"/>
      <c r="V97" s="26"/>
      <c r="W97" s="26"/>
    </row>
    <row r="98">
      <c r="A98" s="5">
        <v>97.0</v>
      </c>
      <c r="B98" s="5">
        <f>PasteHashtag!B98</f>
        <v>70.1</v>
      </c>
      <c r="C98" s="305" t="str">
        <f>PasteHashtag!C98</f>
        <v>Cam Thomas</v>
      </c>
      <c r="D98" s="5" t="str">
        <f>PasteHashtag!D98</f>
        <v>SG</v>
      </c>
      <c r="E98" s="5" t="str">
        <f>PasteHashtag!E98</f>
        <v>BKN</v>
      </c>
      <c r="F98" s="5">
        <f>PasteHashtag!F98</f>
        <v>69</v>
      </c>
      <c r="G98" s="5">
        <f>PasteHashtag!G98</f>
        <v>32.1</v>
      </c>
      <c r="H98" s="5">
        <f>MID(PasteHashtag!H98,1+FIND("(",PasteHashtag!H98),FIND("/",PasteHashtag!H98)-FIND("(",PasteHashtag!H98)-1)*1</f>
        <v>9.1</v>
      </c>
      <c r="I98" s="5">
        <f>LEFT(PasteHashtag!H98,FIND("(",PasteHashtag!H98)-1)*1</f>
        <v>0.44</v>
      </c>
      <c r="J98" s="5">
        <f>MID(PasteHashtag!I98,1+FIND("(",PasteHashtag!I98),FIND("/",PasteHashtag!I98)-FIND("(",PasteHashtag!I98)-1)*1</f>
        <v>4.7</v>
      </c>
      <c r="K98" s="5">
        <f>LEFT(PasteHashtag!I98,FIND("(",PasteHashtag!I98)-1)*1</f>
        <v>0.861</v>
      </c>
      <c r="L98" s="5">
        <f>PasteHashtag!J98</f>
        <v>2.6</v>
      </c>
      <c r="M98" s="5">
        <f>PasteHashtag!K98</f>
        <v>25.6</v>
      </c>
      <c r="N98" s="5">
        <f>PasteHashtag!L98</f>
        <v>3.3</v>
      </c>
      <c r="O98" s="5">
        <f>PasteHashtag!M98</f>
        <v>2.9</v>
      </c>
      <c r="P98" s="5">
        <f>PasteHashtag!N98</f>
        <v>0.7</v>
      </c>
      <c r="Q98" s="5">
        <f>PasteHashtag!O98</f>
        <v>0.3</v>
      </c>
      <c r="R98" s="5">
        <f>PasteHashtag!P98</f>
        <v>2</v>
      </c>
      <c r="S98" s="5">
        <f>Mid(PasteHashtag!H98,FIND("/",PasteHashtag!H98)+1,LEN(PasteHashtag!H98)-FIND("/",PasteHashtag!H98)-1)*1</f>
        <v>20.7</v>
      </c>
      <c r="T98" s="306">
        <f>Mid(PasteHashtag!I98,FIND("/",PasteHashtag!I98)+1,LEN(PasteHashtag!I98)-FIND("/",PasteHashtag!I98)-1)*1</f>
        <v>5.5</v>
      </c>
      <c r="U98" s="26"/>
      <c r="V98" s="26"/>
      <c r="W98" s="26"/>
    </row>
    <row r="99">
      <c r="A99" s="5">
        <v>98.0</v>
      </c>
      <c r="B99" s="5">
        <f>PasteHashtag!B99</f>
        <v>136.7</v>
      </c>
      <c r="C99" s="305" t="str">
        <f>PasteHashtag!C99</f>
        <v>Al Horford</v>
      </c>
      <c r="D99" s="5" t="str">
        <f>PasteHashtag!D99</f>
        <v>PF,C</v>
      </c>
      <c r="E99" s="5" t="str">
        <f>PasteHashtag!E99</f>
        <v>BOS</v>
      </c>
      <c r="F99" s="5">
        <f>PasteHashtag!F99</f>
        <v>63</v>
      </c>
      <c r="G99" s="5">
        <f>PasteHashtag!G99</f>
        <v>27.4</v>
      </c>
      <c r="H99" s="5">
        <f>MID(PasteHashtag!H99,1+FIND("(",PasteHashtag!H99),FIND("/",PasteHashtag!H99)-FIND("(",PasteHashtag!H99)-1)*1</f>
        <v>3.7</v>
      </c>
      <c r="I99" s="5">
        <f>LEFT(PasteHashtag!H99,FIND("(",PasteHashtag!H99)-1)*1</f>
        <v>0.493</v>
      </c>
      <c r="J99" s="5">
        <f>MID(PasteHashtag!I99,1+FIND("(",PasteHashtag!I99),FIND("/",PasteHashtag!I99)-FIND("(",PasteHashtag!I99)-1)*1</f>
        <v>0.3</v>
      </c>
      <c r="K99" s="5">
        <f>LEFT(PasteHashtag!I99,FIND("(",PasteHashtag!I99)-1)*1</f>
        <v>0.791</v>
      </c>
      <c r="L99" s="5">
        <f>PasteHashtag!J99</f>
        <v>2.1</v>
      </c>
      <c r="M99" s="5">
        <f>PasteHashtag!K99</f>
        <v>9.8</v>
      </c>
      <c r="N99" s="5">
        <f>PasteHashtag!L99</f>
        <v>6.7</v>
      </c>
      <c r="O99" s="5">
        <f>PasteHashtag!M99</f>
        <v>3</v>
      </c>
      <c r="P99" s="5">
        <f>PasteHashtag!N99</f>
        <v>0.6</v>
      </c>
      <c r="Q99" s="5">
        <f>PasteHashtag!O99</f>
        <v>1</v>
      </c>
      <c r="R99" s="5">
        <f>PasteHashtag!P99</f>
        <v>0.7</v>
      </c>
      <c r="S99" s="5">
        <f>Mid(PasteHashtag!H99,FIND("/",PasteHashtag!H99)+1,LEN(PasteHashtag!H99)-FIND("/",PasteHashtag!H99)-1)*1</f>
        <v>7.4</v>
      </c>
      <c r="T99" s="306">
        <f>Mid(PasteHashtag!I99,FIND("/",PasteHashtag!I99)+1,LEN(PasteHashtag!I99)-FIND("/",PasteHashtag!I99)-1)*1</f>
        <v>0.4</v>
      </c>
      <c r="U99" s="26"/>
      <c r="V99" s="26"/>
      <c r="W99" s="26"/>
    </row>
    <row r="100">
      <c r="A100" s="5">
        <v>99.0</v>
      </c>
      <c r="B100" s="5">
        <f>PasteHashtag!B100</f>
        <v>91.6</v>
      </c>
      <c r="C100" s="305" t="str">
        <f>PasteHashtag!C100</f>
        <v>Ivica Zubac</v>
      </c>
      <c r="D100" s="5" t="str">
        <f>PasteHashtag!D100</f>
        <v>C</v>
      </c>
      <c r="E100" s="5" t="str">
        <f>PasteHashtag!E100</f>
        <v>LAC</v>
      </c>
      <c r="F100" s="5">
        <f>PasteHashtag!F100</f>
        <v>72</v>
      </c>
      <c r="G100" s="5">
        <f>PasteHashtag!G100</f>
        <v>28.5</v>
      </c>
      <c r="H100" s="5">
        <f>MID(PasteHashtag!H100,1+FIND("(",PasteHashtag!H100),FIND("/",PasteHashtag!H100)-FIND("(",PasteHashtag!H100)-1)*1</f>
        <v>5.1</v>
      </c>
      <c r="I100" s="5">
        <f>LEFT(PasteHashtag!H100,FIND("(",PasteHashtag!H100)-1)*1</f>
        <v>0.642</v>
      </c>
      <c r="J100" s="5">
        <f>MID(PasteHashtag!I100,1+FIND("(",PasteHashtag!I100),FIND("/",PasteHashtag!I100)-FIND("(",PasteHashtag!I100)-1)*1</f>
        <v>2.2</v>
      </c>
      <c r="K100" s="5">
        <f>LEFT(PasteHashtag!I100,FIND("(",PasteHashtag!I100)-1)*1</f>
        <v>0.709</v>
      </c>
      <c r="L100" s="5">
        <f>PasteHashtag!J100</f>
        <v>0</v>
      </c>
      <c r="M100" s="5">
        <f>PasteHashtag!K100</f>
        <v>12.3</v>
      </c>
      <c r="N100" s="5">
        <f>PasteHashtag!L100</f>
        <v>10.1</v>
      </c>
      <c r="O100" s="5">
        <f>PasteHashtag!M100</f>
        <v>1.3</v>
      </c>
      <c r="P100" s="5">
        <f>PasteHashtag!N100</f>
        <v>0.4</v>
      </c>
      <c r="Q100" s="5">
        <f>PasteHashtag!O100</f>
        <v>1.4</v>
      </c>
      <c r="R100" s="5">
        <f>PasteHashtag!P100</f>
        <v>1.5</v>
      </c>
      <c r="S100" s="5">
        <f>Mid(PasteHashtag!H100,FIND("/",PasteHashtag!H100)+1,LEN(PasteHashtag!H100)-FIND("/",PasteHashtag!H100)-1)*1</f>
        <v>7.9</v>
      </c>
      <c r="T100" s="306">
        <f>Mid(PasteHashtag!I100,FIND("/",PasteHashtag!I100)+1,LEN(PasteHashtag!I100)-FIND("/",PasteHashtag!I100)-1)*1</f>
        <v>3.1</v>
      </c>
      <c r="U100" s="26"/>
      <c r="V100" s="26"/>
      <c r="W100" s="26"/>
    </row>
    <row r="101">
      <c r="A101" s="5">
        <v>100.0</v>
      </c>
      <c r="B101" s="5">
        <f>PasteHashtag!B101</f>
        <v>111.1</v>
      </c>
      <c r="C101" s="305" t="str">
        <f>PasteHashtag!C101</f>
        <v>Khris Middleton</v>
      </c>
      <c r="D101" s="5" t="str">
        <f>PasteHashtag!D101</f>
        <v>SF</v>
      </c>
      <c r="E101" s="5" t="str">
        <f>PasteHashtag!E101</f>
        <v>MIL</v>
      </c>
      <c r="F101" s="5">
        <f>PasteHashtag!F101</f>
        <v>62</v>
      </c>
      <c r="G101" s="5">
        <f>PasteHashtag!G101</f>
        <v>28.1</v>
      </c>
      <c r="H101" s="5">
        <f>MID(PasteHashtag!H101,1+FIND("(",PasteHashtag!H101),FIND("/",PasteHashtag!H101)-FIND("(",PasteHashtag!H101)-1)*1</f>
        <v>6.2</v>
      </c>
      <c r="I101" s="5">
        <f>LEFT(PasteHashtag!H101,FIND("(",PasteHashtag!H101)-1)*1</f>
        <v>0.482</v>
      </c>
      <c r="J101" s="5">
        <f>MID(PasteHashtag!I101,1+FIND("(",PasteHashtag!I101),FIND("/",PasteHashtag!I101)-FIND("(",PasteHashtag!I101)-1)*1</f>
        <v>2.3</v>
      </c>
      <c r="K101" s="5">
        <f>LEFT(PasteHashtag!I101,FIND("(",PasteHashtag!I101)-1)*1</f>
        <v>0.867</v>
      </c>
      <c r="L101" s="5">
        <f>PasteHashtag!J101</f>
        <v>1.7</v>
      </c>
      <c r="M101" s="5">
        <f>PasteHashtag!K101</f>
        <v>16.4</v>
      </c>
      <c r="N101" s="5">
        <f>PasteHashtag!L101</f>
        <v>4.4</v>
      </c>
      <c r="O101" s="5">
        <f>PasteHashtag!M101</f>
        <v>4.7</v>
      </c>
      <c r="P101" s="5">
        <f>PasteHashtag!N101</f>
        <v>0.8</v>
      </c>
      <c r="Q101" s="5">
        <f>PasteHashtag!O101</f>
        <v>0.2</v>
      </c>
      <c r="R101" s="5">
        <f>PasteHashtag!P101</f>
        <v>2.4</v>
      </c>
      <c r="S101" s="5">
        <f>Mid(PasteHashtag!H101,FIND("/",PasteHashtag!H101)+1,LEN(PasteHashtag!H101)-FIND("/",PasteHashtag!H101)-1)*1</f>
        <v>12.9</v>
      </c>
      <c r="T101" s="306">
        <f>Mid(PasteHashtag!I101,FIND("/",PasteHashtag!I101)+1,LEN(PasteHashtag!I101)-FIND("/",PasteHashtag!I101)-1)*1</f>
        <v>2.6</v>
      </c>
      <c r="U101" s="26"/>
      <c r="V101" s="26"/>
      <c r="W101" s="26"/>
    </row>
    <row r="102">
      <c r="A102" s="5">
        <v>101.0</v>
      </c>
      <c r="B102" s="5">
        <f>PasteHashtag!B102</f>
        <v>132.8</v>
      </c>
      <c r="C102" s="305" t="str">
        <f>PasteHashtag!C102</f>
        <v>Mike Conley</v>
      </c>
      <c r="D102" s="5" t="str">
        <f>PasteHashtag!D102</f>
        <v>PG</v>
      </c>
      <c r="E102" s="5" t="str">
        <f>PasteHashtag!E102</f>
        <v>MIN</v>
      </c>
      <c r="F102" s="5">
        <f>PasteHashtag!F102</f>
        <v>72</v>
      </c>
      <c r="G102" s="5">
        <f>PasteHashtag!G102</f>
        <v>29.1</v>
      </c>
      <c r="H102" s="5">
        <f>MID(PasteHashtag!H102,1+FIND("(",PasteHashtag!H102),FIND("/",PasteHashtag!H102)-FIND("(",PasteHashtag!H102)-1)*1</f>
        <v>3.9</v>
      </c>
      <c r="I102" s="5">
        <f>LEFT(PasteHashtag!H102,FIND("(",PasteHashtag!H102)-1)*1</f>
        <v>0.442</v>
      </c>
      <c r="J102" s="5">
        <f>MID(PasteHashtag!I102,1+FIND("(",PasteHashtag!I102),FIND("/",PasteHashtag!I102)-FIND("(",PasteHashtag!I102)-1)*1</f>
        <v>1.7</v>
      </c>
      <c r="K102" s="5">
        <f>LEFT(PasteHashtag!I102,FIND("(",PasteHashtag!I102)-1)*1</f>
        <v>0.885</v>
      </c>
      <c r="L102" s="5">
        <f>PasteHashtag!J102</f>
        <v>2.2</v>
      </c>
      <c r="M102" s="5">
        <f>PasteHashtag!K102</f>
        <v>11.6</v>
      </c>
      <c r="N102" s="5">
        <f>PasteHashtag!L102</f>
        <v>2.8</v>
      </c>
      <c r="O102" s="5">
        <f>PasteHashtag!M102</f>
        <v>6</v>
      </c>
      <c r="P102" s="5">
        <f>PasteHashtag!N102</f>
        <v>1.1</v>
      </c>
      <c r="Q102" s="5">
        <f>PasteHashtag!O102</f>
        <v>0.2</v>
      </c>
      <c r="R102" s="5">
        <f>PasteHashtag!P102</f>
        <v>1.4</v>
      </c>
      <c r="S102" s="5">
        <f>Mid(PasteHashtag!H102,FIND("/",PasteHashtag!H102)+1,LEN(PasteHashtag!H102)-FIND("/",PasteHashtag!H102)-1)*1</f>
        <v>8.7</v>
      </c>
      <c r="T102" s="306">
        <f>Mid(PasteHashtag!I102,FIND("/",PasteHashtag!I102)+1,LEN(PasteHashtag!I102)-FIND("/",PasteHashtag!I102)-1)*1</f>
        <v>1.9</v>
      </c>
      <c r="U102" s="26"/>
      <c r="V102" s="26"/>
      <c r="W102" s="26"/>
    </row>
    <row r="103">
      <c r="A103" s="5">
        <v>102.0</v>
      </c>
      <c r="B103" s="5">
        <f>PasteHashtag!B103</f>
        <v>88.2</v>
      </c>
      <c r="C103" s="305" t="str">
        <f>PasteHashtag!C103</f>
        <v>Jonas Valanciunas</v>
      </c>
      <c r="D103" s="5" t="str">
        <f>PasteHashtag!D103</f>
        <v>C</v>
      </c>
      <c r="E103" s="5" t="str">
        <f>PasteHashtag!E103</f>
        <v>WAS</v>
      </c>
      <c r="F103" s="5">
        <f>PasteHashtag!F103</f>
        <v>74</v>
      </c>
      <c r="G103" s="5">
        <f>PasteHashtag!G103</f>
        <v>26.8</v>
      </c>
      <c r="H103" s="5">
        <f>MID(PasteHashtag!H103,1+FIND("(",PasteHashtag!H103),FIND("/",PasteHashtag!H103)-FIND("(",PasteHashtag!H103)-1)*1</f>
        <v>5.7</v>
      </c>
      <c r="I103" s="5">
        <f>LEFT(PasteHashtag!H103,FIND("(",PasteHashtag!H103)-1)*1</f>
        <v>0.548</v>
      </c>
      <c r="J103" s="5">
        <f>MID(PasteHashtag!I103,1+FIND("(",PasteHashtag!I103),FIND("/",PasteHashtag!I103)-FIND("(",PasteHashtag!I103)-1)*1</f>
        <v>2.3</v>
      </c>
      <c r="K103" s="5">
        <f>LEFT(PasteHashtag!I103,FIND("(",PasteHashtag!I103)-1)*1</f>
        <v>0.796</v>
      </c>
      <c r="L103" s="5">
        <f>PasteHashtag!J103</f>
        <v>0.5</v>
      </c>
      <c r="M103" s="5">
        <f>PasteHashtag!K103</f>
        <v>14.2</v>
      </c>
      <c r="N103" s="5">
        <f>PasteHashtag!L103</f>
        <v>10.3</v>
      </c>
      <c r="O103" s="5">
        <f>PasteHashtag!M103</f>
        <v>2.1</v>
      </c>
      <c r="P103" s="5">
        <f>PasteHashtag!N103</f>
        <v>0.4</v>
      </c>
      <c r="Q103" s="5">
        <f>PasteHashtag!O103</f>
        <v>0.8</v>
      </c>
      <c r="R103" s="5">
        <f>PasteHashtag!P103</f>
        <v>1.8</v>
      </c>
      <c r="S103" s="5">
        <f>Mid(PasteHashtag!H103,FIND("/",PasteHashtag!H103)+1,LEN(PasteHashtag!H103)-FIND("/",PasteHashtag!H103)-1)*1</f>
        <v>10.4</v>
      </c>
      <c r="T103" s="306">
        <f>Mid(PasteHashtag!I103,FIND("/",PasteHashtag!I103)+1,LEN(PasteHashtag!I103)-FIND("/",PasteHashtag!I103)-1)*1</f>
        <v>2.9</v>
      </c>
      <c r="U103" s="26"/>
      <c r="V103" s="26"/>
      <c r="W103" s="26"/>
    </row>
    <row r="104">
      <c r="A104" s="5">
        <v>103.0</v>
      </c>
      <c r="B104" s="5">
        <f>PasteHashtag!B104</f>
        <v>63</v>
      </c>
      <c r="C104" s="305" t="str">
        <f>PasteHashtag!C104</f>
        <v>Brandon Miller</v>
      </c>
      <c r="D104" s="5" t="str">
        <f>PasteHashtag!D104</f>
        <v>SG,SF</v>
      </c>
      <c r="E104" s="5" t="str">
        <f>PasteHashtag!E104</f>
        <v>CHA</v>
      </c>
      <c r="F104" s="5">
        <f>PasteHashtag!F104</f>
        <v>74</v>
      </c>
      <c r="G104" s="5">
        <f>PasteHashtag!G104</f>
        <v>33</v>
      </c>
      <c r="H104" s="5">
        <f>MID(PasteHashtag!H104,1+FIND("(",PasteHashtag!H104),FIND("/",PasteHashtag!H104)-FIND("(",PasteHashtag!H104)-1)*1</f>
        <v>6.7</v>
      </c>
      <c r="I104" s="5">
        <f>LEFT(PasteHashtag!H104,FIND("(",PasteHashtag!H104)-1)*1</f>
        <v>0.445</v>
      </c>
      <c r="J104" s="5">
        <f>MID(PasteHashtag!I104,1+FIND("(",PasteHashtag!I104),FIND("/",PasteHashtag!I104)-FIND("(",PasteHashtag!I104)-1)*1</f>
        <v>2.1</v>
      </c>
      <c r="K104" s="5">
        <f>LEFT(PasteHashtag!I104,FIND("(",PasteHashtag!I104)-1)*1</f>
        <v>0.837</v>
      </c>
      <c r="L104" s="5">
        <f>PasteHashtag!J104</f>
        <v>2.6</v>
      </c>
      <c r="M104" s="5">
        <f>PasteHashtag!K104</f>
        <v>18.1</v>
      </c>
      <c r="N104" s="5">
        <f>PasteHashtag!L104</f>
        <v>4.4</v>
      </c>
      <c r="O104" s="5">
        <f>PasteHashtag!M104</f>
        <v>2.5</v>
      </c>
      <c r="P104" s="5">
        <f>PasteHashtag!N104</f>
        <v>1</v>
      </c>
      <c r="Q104" s="5">
        <f>PasteHashtag!O104</f>
        <v>0.6</v>
      </c>
      <c r="R104" s="5">
        <f>PasteHashtag!P104</f>
        <v>1.9</v>
      </c>
      <c r="S104" s="5">
        <f>Mid(PasteHashtag!H104,FIND("/",PasteHashtag!H104)+1,LEN(PasteHashtag!H104)-FIND("/",PasteHashtag!H104)-1)*1</f>
        <v>15.1</v>
      </c>
      <c r="T104" s="306">
        <f>Mid(PasteHashtag!I104,FIND("/",PasteHashtag!I104)+1,LEN(PasteHashtag!I104)-FIND("/",PasteHashtag!I104)-1)*1</f>
        <v>2.5</v>
      </c>
      <c r="U104" s="26"/>
      <c r="V104" s="26"/>
      <c r="W104" s="26"/>
    </row>
    <row r="105">
      <c r="A105" s="5">
        <v>104.0</v>
      </c>
      <c r="B105" s="5">
        <f>PasteHashtag!B105</f>
        <v>116.1</v>
      </c>
      <c r="C105" s="305" t="str">
        <f>PasteHashtag!C105</f>
        <v>Tyus Jones</v>
      </c>
      <c r="D105" s="5" t="str">
        <f>PasteHashtag!D105</f>
        <v>PG</v>
      </c>
      <c r="E105" s="5" t="str">
        <f>PasteHashtag!E105</f>
        <v>PHO</v>
      </c>
      <c r="F105" s="5">
        <f>PasteHashtag!F105</f>
        <v>73</v>
      </c>
      <c r="G105" s="5">
        <f>PasteHashtag!G105</f>
        <v>29.4</v>
      </c>
      <c r="H105" s="5">
        <f>MID(PasteHashtag!H105,1+FIND("(",PasteHashtag!H105),FIND("/",PasteHashtag!H105)-FIND("(",PasteHashtag!H105)-1)*1</f>
        <v>4.8</v>
      </c>
      <c r="I105" s="5">
        <f>LEFT(PasteHashtag!H105,FIND("(",PasteHashtag!H105)-1)*1</f>
        <v>0.476</v>
      </c>
      <c r="J105" s="5">
        <f>MID(PasteHashtag!I105,1+FIND("(",PasteHashtag!I105),FIND("/",PasteHashtag!I105)-FIND("(",PasteHashtag!I105)-1)*1</f>
        <v>0.9</v>
      </c>
      <c r="K105" s="5">
        <f>LEFT(PasteHashtag!I105,FIND("(",PasteHashtag!I105)-1)*1</f>
        <v>0.802</v>
      </c>
      <c r="L105" s="5">
        <f>PasteHashtag!J105</f>
        <v>1.7</v>
      </c>
      <c r="M105" s="5">
        <f>PasteHashtag!K105</f>
        <v>12.2</v>
      </c>
      <c r="N105" s="5">
        <f>PasteHashtag!L105</f>
        <v>2.9</v>
      </c>
      <c r="O105" s="5">
        <f>PasteHashtag!M105</f>
        <v>6.8</v>
      </c>
      <c r="P105" s="5">
        <f>PasteHashtag!N105</f>
        <v>1.2</v>
      </c>
      <c r="Q105" s="5">
        <f>PasteHashtag!O105</f>
        <v>0.2</v>
      </c>
      <c r="R105" s="5">
        <f>PasteHashtag!P105</f>
        <v>1.1</v>
      </c>
      <c r="S105" s="5">
        <f>Mid(PasteHashtag!H105,FIND("/",PasteHashtag!H105)+1,LEN(PasteHashtag!H105)-FIND("/",PasteHashtag!H105)-1)*1</f>
        <v>10.1</v>
      </c>
      <c r="T105" s="306">
        <f>Mid(PasteHashtag!I105,FIND("/",PasteHashtag!I105)+1,LEN(PasteHashtag!I105)-FIND("/",PasteHashtag!I105)-1)*1</f>
        <v>1.1</v>
      </c>
      <c r="U105" s="26"/>
      <c r="V105" s="26"/>
      <c r="W105" s="26"/>
    </row>
    <row r="106">
      <c r="A106" s="5">
        <v>105.0</v>
      </c>
      <c r="B106" s="5">
        <f>PasteHashtag!B106</f>
        <v>76.9</v>
      </c>
      <c r="C106" s="305" t="str">
        <f>PasteHashtag!C106</f>
        <v>Brook Lopez</v>
      </c>
      <c r="D106" s="5" t="str">
        <f>PasteHashtag!D106</f>
        <v>C</v>
      </c>
      <c r="E106" s="5" t="str">
        <f>PasteHashtag!E106</f>
        <v>MIL</v>
      </c>
      <c r="F106" s="5">
        <f>PasteHashtag!F106</f>
        <v>70</v>
      </c>
      <c r="G106" s="5">
        <f>PasteHashtag!G106</f>
        <v>28.5</v>
      </c>
      <c r="H106" s="5">
        <f>MID(PasteHashtag!H106,1+FIND("(",PasteHashtag!H106),FIND("/",PasteHashtag!H106)-FIND("(",PasteHashtag!H106)-1)*1</f>
        <v>4.2</v>
      </c>
      <c r="I106" s="5">
        <f>LEFT(PasteHashtag!H106,FIND("(",PasteHashtag!H106)-1)*1</f>
        <v>0.471</v>
      </c>
      <c r="J106" s="5">
        <f>MID(PasteHashtag!I106,1+FIND("(",PasteHashtag!I106),FIND("/",PasteHashtag!I106)-FIND("(",PasteHashtag!I106)-1)*1</f>
        <v>1.4</v>
      </c>
      <c r="K106" s="5">
        <f>LEFT(PasteHashtag!I106,FIND("(",PasteHashtag!I106)-1)*1</f>
        <v>0.803</v>
      </c>
      <c r="L106" s="5">
        <f>PasteHashtag!J106</f>
        <v>1.7</v>
      </c>
      <c r="M106" s="5">
        <f>PasteHashtag!K106</f>
        <v>11.7</v>
      </c>
      <c r="N106" s="5">
        <f>PasteHashtag!L106</f>
        <v>4.9</v>
      </c>
      <c r="O106" s="5">
        <f>PasteHashtag!M106</f>
        <v>1.3</v>
      </c>
      <c r="P106" s="5">
        <f>PasteHashtag!N106</f>
        <v>0.5</v>
      </c>
      <c r="Q106" s="5">
        <f>PasteHashtag!O106</f>
        <v>2</v>
      </c>
      <c r="R106" s="5">
        <f>PasteHashtag!P106</f>
        <v>1</v>
      </c>
      <c r="S106" s="5">
        <f>Mid(PasteHashtag!H106,FIND("/",PasteHashtag!H106)+1,LEN(PasteHashtag!H106)-FIND("/",PasteHashtag!H106)-1)*1</f>
        <v>9</v>
      </c>
      <c r="T106" s="306">
        <f>Mid(PasteHashtag!I106,FIND("/",PasteHashtag!I106)+1,LEN(PasteHashtag!I106)-FIND("/",PasteHashtag!I106)-1)*1</f>
        <v>1.8</v>
      </c>
      <c r="U106" s="26"/>
      <c r="V106" s="26"/>
      <c r="W106" s="26"/>
    </row>
    <row r="107">
      <c r="A107" s="5">
        <v>106.0</v>
      </c>
      <c r="B107" s="5">
        <f>PasteHashtag!B107</f>
        <v>109.6</v>
      </c>
      <c r="C107" s="305" t="str">
        <f>PasteHashtag!C107</f>
        <v>Jerami Grant</v>
      </c>
      <c r="D107" s="5" t="str">
        <f>PasteHashtag!D107</f>
        <v>SF,PF</v>
      </c>
      <c r="E107" s="5" t="str">
        <f>PasteHashtag!E107</f>
        <v>POR</v>
      </c>
      <c r="F107" s="5">
        <f>PasteHashtag!F107</f>
        <v>55</v>
      </c>
      <c r="G107" s="5">
        <f>PasteHashtag!G107</f>
        <v>32.8</v>
      </c>
      <c r="H107" s="5">
        <f>MID(PasteHashtag!H107,1+FIND("(",PasteHashtag!H107),FIND("/",PasteHashtag!H107)-FIND("(",PasteHashtag!H107)-1)*1</f>
        <v>6.6</v>
      </c>
      <c r="I107" s="5">
        <f>LEFT(PasteHashtag!H107,FIND("(",PasteHashtag!H107)-1)*1</f>
        <v>0.463</v>
      </c>
      <c r="J107" s="5">
        <f>MID(PasteHashtag!I107,1+FIND("(",PasteHashtag!I107),FIND("/",PasteHashtag!I107)-FIND("(",PasteHashtag!I107)-1)*1</f>
        <v>4.3</v>
      </c>
      <c r="K107" s="5">
        <f>LEFT(PasteHashtag!I107,FIND("(",PasteHashtag!I107)-1)*1</f>
        <v>0.814</v>
      </c>
      <c r="L107" s="5">
        <f>PasteHashtag!J107</f>
        <v>2.1</v>
      </c>
      <c r="M107" s="5">
        <f>PasteHashtag!K107</f>
        <v>19.7</v>
      </c>
      <c r="N107" s="5">
        <f>PasteHashtag!L107</f>
        <v>3.9</v>
      </c>
      <c r="O107" s="5">
        <f>PasteHashtag!M107</f>
        <v>2.5</v>
      </c>
      <c r="P107" s="5">
        <f>PasteHashtag!N107</f>
        <v>0.8</v>
      </c>
      <c r="Q107" s="5">
        <f>PasteHashtag!O107</f>
        <v>0.7</v>
      </c>
      <c r="R107" s="5">
        <f>PasteHashtag!P107</f>
        <v>1.9</v>
      </c>
      <c r="S107" s="5">
        <f>Mid(PasteHashtag!H107,FIND("/",PasteHashtag!H107)+1,LEN(PasteHashtag!H107)-FIND("/",PasteHashtag!H107)-1)*1</f>
        <v>14.3</v>
      </c>
      <c r="T107" s="306">
        <f>Mid(PasteHashtag!I107,FIND("/",PasteHashtag!I107)+1,LEN(PasteHashtag!I107)-FIND("/",PasteHashtag!I107)-1)*1</f>
        <v>5.3</v>
      </c>
      <c r="U107" s="26"/>
      <c r="V107" s="26"/>
      <c r="W107" s="26"/>
    </row>
    <row r="108">
      <c r="A108" s="5">
        <v>107.0</v>
      </c>
      <c r="B108" s="5">
        <f>PasteHashtag!B108</f>
        <v>82.5</v>
      </c>
      <c r="C108" s="305" t="str">
        <f>PasteHashtag!C108</f>
        <v>Kyle Kuzma</v>
      </c>
      <c r="D108" s="5" t="str">
        <f>PasteHashtag!D108</f>
        <v>PF</v>
      </c>
      <c r="E108" s="5" t="str">
        <f>PasteHashtag!E108</f>
        <v>WAS</v>
      </c>
      <c r="F108" s="5">
        <f>PasteHashtag!F108</f>
        <v>69</v>
      </c>
      <c r="G108" s="5">
        <f>PasteHashtag!G108</f>
        <v>32.1</v>
      </c>
      <c r="H108" s="5">
        <f>MID(PasteHashtag!H108,1+FIND("(",PasteHashtag!H108),FIND("/",PasteHashtag!H108)-FIND("(",PasteHashtag!H108)-1)*1</f>
        <v>8.3</v>
      </c>
      <c r="I108" s="5">
        <f>LEFT(PasteHashtag!H108,FIND("(",PasteHashtag!H108)-1)*1</f>
        <v>0.456</v>
      </c>
      <c r="J108" s="5">
        <f>MID(PasteHashtag!I108,1+FIND("(",PasteHashtag!I108),FIND("/",PasteHashtag!I108)-FIND("(",PasteHashtag!I108)-1)*1</f>
        <v>2.8</v>
      </c>
      <c r="K108" s="5">
        <f>LEFT(PasteHashtag!I108,FIND("(",PasteHashtag!I108)-1)*1</f>
        <v>0.773</v>
      </c>
      <c r="L108" s="5">
        <f>PasteHashtag!J108</f>
        <v>2.3</v>
      </c>
      <c r="M108" s="5">
        <f>PasteHashtag!K108</f>
        <v>21.6</v>
      </c>
      <c r="N108" s="5">
        <f>PasteHashtag!L108</f>
        <v>6.9</v>
      </c>
      <c r="O108" s="5">
        <f>PasteHashtag!M108</f>
        <v>4</v>
      </c>
      <c r="P108" s="5">
        <f>PasteHashtag!N108</f>
        <v>0.5</v>
      </c>
      <c r="Q108" s="5">
        <f>PasteHashtag!O108</f>
        <v>0.6</v>
      </c>
      <c r="R108" s="5">
        <f>PasteHashtag!P108</f>
        <v>2.8</v>
      </c>
      <c r="S108" s="5">
        <f>Mid(PasteHashtag!H108,FIND("/",PasteHashtag!H108)+1,LEN(PasteHashtag!H108)-FIND("/",PasteHashtag!H108)-1)*1</f>
        <v>18.1</v>
      </c>
      <c r="T108" s="306">
        <f>Mid(PasteHashtag!I108,FIND("/",PasteHashtag!I108)+1,LEN(PasteHashtag!I108)-FIND("/",PasteHashtag!I108)-1)*1</f>
        <v>3.6</v>
      </c>
      <c r="U108" s="26"/>
      <c r="V108" s="26"/>
      <c r="W108" s="26"/>
    </row>
    <row r="109">
      <c r="A109" s="5">
        <v>108.0</v>
      </c>
      <c r="B109" s="5">
        <f>PasteHashtag!B109</f>
        <v>132.1</v>
      </c>
      <c r="C109" s="305" t="str">
        <f>PasteHashtag!C109</f>
        <v>Norman Powell</v>
      </c>
      <c r="D109" s="5" t="str">
        <f>PasteHashtag!D109</f>
        <v>SG,SF</v>
      </c>
      <c r="E109" s="5" t="str">
        <f>PasteHashtag!E109</f>
        <v>LAC</v>
      </c>
      <c r="F109" s="5">
        <f>PasteHashtag!F109</f>
        <v>69</v>
      </c>
      <c r="G109" s="5">
        <f>PasteHashtag!G109</f>
        <v>31.8</v>
      </c>
      <c r="H109" s="5">
        <f>MID(PasteHashtag!H109,1+FIND("(",PasteHashtag!H109),FIND("/",PasteHashtag!H109)-FIND("(",PasteHashtag!H109)-1)*1</f>
        <v>6.5</v>
      </c>
      <c r="I109" s="5">
        <f>LEFT(PasteHashtag!H109,FIND("(",PasteHashtag!H109)-1)*1</f>
        <v>0.482</v>
      </c>
      <c r="J109" s="5">
        <f>MID(PasteHashtag!I109,1+FIND("(",PasteHashtag!I109),FIND("/",PasteHashtag!I109)-FIND("(",PasteHashtag!I109)-1)*1</f>
        <v>3.3</v>
      </c>
      <c r="K109" s="5">
        <f>LEFT(PasteHashtag!I109,FIND("(",PasteHashtag!I109)-1)*1</f>
        <v>0.821</v>
      </c>
      <c r="L109" s="5">
        <f>PasteHashtag!J109</f>
        <v>2.6</v>
      </c>
      <c r="M109" s="5">
        <f>PasteHashtag!K109</f>
        <v>18.8</v>
      </c>
      <c r="N109" s="5">
        <f>PasteHashtag!L109</f>
        <v>3.4</v>
      </c>
      <c r="O109" s="5">
        <f>PasteHashtag!M109</f>
        <v>1.7</v>
      </c>
      <c r="P109" s="5">
        <f>PasteHashtag!N109</f>
        <v>0.8</v>
      </c>
      <c r="Q109" s="5">
        <f>PasteHashtag!O109</f>
        <v>0.4</v>
      </c>
      <c r="R109" s="5">
        <f>PasteHashtag!P109</f>
        <v>1.5</v>
      </c>
      <c r="S109" s="5">
        <f>Mid(PasteHashtag!H109,FIND("/",PasteHashtag!H109)+1,LEN(PasteHashtag!H109)-FIND("/",PasteHashtag!H109)-1)*1</f>
        <v>13.4</v>
      </c>
      <c r="T109" s="306">
        <f>Mid(PasteHashtag!I109,FIND("/",PasteHashtag!I109)+1,LEN(PasteHashtag!I109)-FIND("/",PasteHashtag!I109)-1)*1</f>
        <v>4.1</v>
      </c>
      <c r="U109" s="26"/>
      <c r="V109" s="26"/>
      <c r="W109" s="26"/>
    </row>
    <row r="110">
      <c r="A110" s="5">
        <v>109.0</v>
      </c>
      <c r="B110" s="5">
        <f>PasteHashtag!B110</f>
        <v>102.7</v>
      </c>
      <c r="C110" s="305" t="str">
        <f>PasteHashtag!C110</f>
        <v>Clint Capela</v>
      </c>
      <c r="D110" s="5" t="str">
        <f>PasteHashtag!D110</f>
        <v>C</v>
      </c>
      <c r="E110" s="5" t="str">
        <f>PasteHashtag!E110</f>
        <v>ATL</v>
      </c>
      <c r="F110" s="5">
        <f>PasteHashtag!F110</f>
        <v>70</v>
      </c>
      <c r="G110" s="5">
        <f>PasteHashtag!G110</f>
        <v>26</v>
      </c>
      <c r="H110" s="5">
        <f>MID(PasteHashtag!H110,1+FIND("(",PasteHashtag!H110),FIND("/",PasteHashtag!H110)-FIND("(",PasteHashtag!H110)-1)*1</f>
        <v>5</v>
      </c>
      <c r="I110" s="5">
        <f>LEFT(PasteHashtag!H110,FIND("(",PasteHashtag!H110)-1)*1</f>
        <v>0.597</v>
      </c>
      <c r="J110" s="5">
        <f>MID(PasteHashtag!I110,1+FIND("(",PasteHashtag!I110),FIND("/",PasteHashtag!I110)-FIND("(",PasteHashtag!I110)-1)*1</f>
        <v>1.5</v>
      </c>
      <c r="K110" s="5">
        <f>LEFT(PasteHashtag!I110,FIND("(",PasteHashtag!I110)-1)*1</f>
        <v>0.631</v>
      </c>
      <c r="L110" s="5">
        <f>PasteHashtag!J110</f>
        <v>0</v>
      </c>
      <c r="M110" s="5">
        <f>PasteHashtag!K110</f>
        <v>11.5</v>
      </c>
      <c r="N110" s="5">
        <f>PasteHashtag!L110</f>
        <v>10.7</v>
      </c>
      <c r="O110" s="5">
        <f>PasteHashtag!M110</f>
        <v>1.1</v>
      </c>
      <c r="P110" s="5">
        <f>PasteHashtag!N110</f>
        <v>0.6</v>
      </c>
      <c r="Q110" s="5">
        <f>PasteHashtag!O110</f>
        <v>1.3</v>
      </c>
      <c r="R110" s="5">
        <f>PasteHashtag!P110</f>
        <v>0.9</v>
      </c>
      <c r="S110" s="5">
        <f>Mid(PasteHashtag!H110,FIND("/",PasteHashtag!H110)+1,LEN(PasteHashtag!H110)-FIND("/",PasteHashtag!H110)-1)*1</f>
        <v>8.4</v>
      </c>
      <c r="T110" s="306">
        <f>Mid(PasteHashtag!I110,FIND("/",PasteHashtag!I110)+1,LEN(PasteHashtag!I110)-FIND("/",PasteHashtag!I110)-1)*1</f>
        <v>2.4</v>
      </c>
      <c r="U110" s="26"/>
      <c r="V110" s="26"/>
      <c r="W110" s="26"/>
    </row>
    <row r="111">
      <c r="A111" s="5">
        <v>110.0</v>
      </c>
      <c r="B111" s="5">
        <f>PasteHashtag!B111</f>
        <v>125.6</v>
      </c>
      <c r="C111" s="305" t="str">
        <f>PasteHashtag!C111</f>
        <v>Trayce Jackson-Davis</v>
      </c>
      <c r="D111" s="5" t="str">
        <f>PasteHashtag!D111</f>
        <v>PF,C</v>
      </c>
      <c r="E111" s="5" t="str">
        <f>PasteHashtag!E111</f>
        <v>GS</v>
      </c>
      <c r="F111" s="5">
        <f>PasteHashtag!F111</f>
        <v>70</v>
      </c>
      <c r="G111" s="5">
        <f>PasteHashtag!G111</f>
        <v>26.4</v>
      </c>
      <c r="H111" s="5">
        <f>MID(PasteHashtag!H111,1+FIND("(",PasteHashtag!H111),FIND("/",PasteHashtag!H111)-FIND("(",PasteHashtag!H111)-1)*1</f>
        <v>5.2</v>
      </c>
      <c r="I111" s="5">
        <f>LEFT(PasteHashtag!H111,FIND("(",PasteHashtag!H111)-1)*1</f>
        <v>0.703</v>
      </c>
      <c r="J111" s="5">
        <f>MID(PasteHashtag!I111,1+FIND("(",PasteHashtag!I111),FIND("/",PasteHashtag!I111)-FIND("(",PasteHashtag!I111)-1)*1</f>
        <v>1.7</v>
      </c>
      <c r="K111" s="5">
        <f>LEFT(PasteHashtag!I111,FIND("(",PasteHashtag!I111)-1)*1</f>
        <v>0.563</v>
      </c>
      <c r="L111" s="5">
        <f>PasteHashtag!J111</f>
        <v>0</v>
      </c>
      <c r="M111" s="5">
        <f>PasteHashtag!K111</f>
        <v>12.1</v>
      </c>
      <c r="N111" s="5">
        <f>PasteHashtag!L111</f>
        <v>7.6</v>
      </c>
      <c r="O111" s="5">
        <f>PasteHashtag!M111</f>
        <v>1.8</v>
      </c>
      <c r="P111" s="5">
        <f>PasteHashtag!N111</f>
        <v>0.6</v>
      </c>
      <c r="Q111" s="5">
        <f>PasteHashtag!O111</f>
        <v>1.6</v>
      </c>
      <c r="R111" s="5">
        <f>PasteHashtag!P111</f>
        <v>1.1</v>
      </c>
      <c r="S111" s="5">
        <f>Mid(PasteHashtag!H111,FIND("/",PasteHashtag!H111)+1,LEN(PasteHashtag!H111)-FIND("/",PasteHashtag!H111)-1)*1</f>
        <v>7.4</v>
      </c>
      <c r="T111" s="306">
        <f>Mid(PasteHashtag!I111,FIND("/",PasteHashtag!I111)+1,LEN(PasteHashtag!I111)-FIND("/",PasteHashtag!I111)-1)*1</f>
        <v>3</v>
      </c>
      <c r="U111" s="26"/>
      <c r="V111" s="26"/>
      <c r="W111" s="26"/>
    </row>
    <row r="112">
      <c r="A112" s="5">
        <v>111.0</v>
      </c>
      <c r="B112" s="5">
        <f>PasteHashtag!B112</f>
        <v>92.2</v>
      </c>
      <c r="C112" s="305" t="str">
        <f>PasteHashtag!C112</f>
        <v>Jalen Green</v>
      </c>
      <c r="D112" s="5" t="str">
        <f>PasteHashtag!D112</f>
        <v>PG,SG</v>
      </c>
      <c r="E112" s="5" t="str">
        <f>PasteHashtag!E112</f>
        <v>HOU</v>
      </c>
      <c r="F112" s="5">
        <f>PasteHashtag!F112</f>
        <v>76</v>
      </c>
      <c r="G112" s="5">
        <f>PasteHashtag!G112</f>
        <v>32</v>
      </c>
      <c r="H112" s="5">
        <f>MID(PasteHashtag!H112,1+FIND("(",PasteHashtag!H112),FIND("/",PasteHashtag!H112)-FIND("(",PasteHashtag!H112)-1)*1</f>
        <v>7</v>
      </c>
      <c r="I112" s="5">
        <f>LEFT(PasteHashtag!H112,FIND("(",PasteHashtag!H112)-1)*1</f>
        <v>0.429</v>
      </c>
      <c r="J112" s="5">
        <f>MID(PasteHashtag!I112,1+FIND("(",PasteHashtag!I112),FIND("/",PasteHashtag!I112)-FIND("(",PasteHashtag!I112)-1)*1</f>
        <v>4</v>
      </c>
      <c r="K112" s="5">
        <f>LEFT(PasteHashtag!I112,FIND("(",PasteHashtag!I112)-1)*1</f>
        <v>0.807</v>
      </c>
      <c r="L112" s="5">
        <f>PasteHashtag!J112</f>
        <v>2.4</v>
      </c>
      <c r="M112" s="5">
        <f>PasteHashtag!K112</f>
        <v>20.5</v>
      </c>
      <c r="N112" s="5">
        <f>PasteHashtag!L112</f>
        <v>4.9</v>
      </c>
      <c r="O112" s="5">
        <f>PasteHashtag!M112</f>
        <v>3.7</v>
      </c>
      <c r="P112" s="5">
        <f>PasteHashtag!N112</f>
        <v>0.9</v>
      </c>
      <c r="Q112" s="5">
        <f>PasteHashtag!O112</f>
        <v>0.3</v>
      </c>
      <c r="R112" s="5">
        <f>PasteHashtag!P112</f>
        <v>2.4</v>
      </c>
      <c r="S112" s="5">
        <f>Mid(PasteHashtag!H112,FIND("/",PasteHashtag!H112)+1,LEN(PasteHashtag!H112)-FIND("/",PasteHashtag!H112)-1)*1</f>
        <v>16.4</v>
      </c>
      <c r="T112" s="306">
        <f>Mid(PasteHashtag!I112,FIND("/",PasteHashtag!I112)+1,LEN(PasteHashtag!I112)-FIND("/",PasteHashtag!I112)-1)*1</f>
        <v>5</v>
      </c>
      <c r="U112" s="26"/>
      <c r="V112" s="26"/>
      <c r="W112" s="26"/>
    </row>
    <row r="113">
      <c r="A113" s="5">
        <v>112.0</v>
      </c>
      <c r="B113" s="5">
        <f>PasteHashtag!B113</f>
        <v>96.4</v>
      </c>
      <c r="C113" s="305" t="str">
        <f>PasteHashtag!C113</f>
        <v>Naz Reid</v>
      </c>
      <c r="D113" s="5" t="str">
        <f>PasteHashtag!D113</f>
        <v>PF,C</v>
      </c>
      <c r="E113" s="5" t="str">
        <f>PasteHashtag!E113</f>
        <v>MIN</v>
      </c>
      <c r="F113" s="5">
        <f>PasteHashtag!F113</f>
        <v>77</v>
      </c>
      <c r="G113" s="5">
        <f>PasteHashtag!G113</f>
        <v>27.1</v>
      </c>
      <c r="H113" s="5">
        <f>MID(PasteHashtag!H113,1+FIND("(",PasteHashtag!H113),FIND("/",PasteHashtag!H113)-FIND("(",PasteHashtag!H113)-1)*1</f>
        <v>5.5</v>
      </c>
      <c r="I113" s="5">
        <f>LEFT(PasteHashtag!H113,FIND("(",PasteHashtag!H113)-1)*1</f>
        <v>0.472</v>
      </c>
      <c r="J113" s="5">
        <f>MID(PasteHashtag!I113,1+FIND("(",PasteHashtag!I113),FIND("/",PasteHashtag!I113)-FIND("(",PasteHashtag!I113)-1)*1</f>
        <v>1.6</v>
      </c>
      <c r="K113" s="5">
        <f>LEFT(PasteHashtag!I113,FIND("(",PasteHashtag!I113)-1)*1</f>
        <v>0.735</v>
      </c>
      <c r="L113" s="5">
        <f>PasteHashtag!J113</f>
        <v>2</v>
      </c>
      <c r="M113" s="5">
        <f>PasteHashtag!K113</f>
        <v>14.7</v>
      </c>
      <c r="N113" s="5">
        <f>PasteHashtag!L113</f>
        <v>6.2</v>
      </c>
      <c r="O113" s="5">
        <f>PasteHashtag!M113</f>
        <v>1.5</v>
      </c>
      <c r="P113" s="5">
        <f>PasteHashtag!N113</f>
        <v>0.9</v>
      </c>
      <c r="Q113" s="5">
        <f>PasteHashtag!O113</f>
        <v>1</v>
      </c>
      <c r="R113" s="5">
        <f>PasteHashtag!P113</f>
        <v>1.7</v>
      </c>
      <c r="S113" s="5">
        <f>Mid(PasteHashtag!H113,FIND("/",PasteHashtag!H113)+1,LEN(PasteHashtag!H113)-FIND("/",PasteHashtag!H113)-1)*1</f>
        <v>11.7</v>
      </c>
      <c r="T113" s="306">
        <f>Mid(PasteHashtag!I113,FIND("/",PasteHashtag!I113)+1,LEN(PasteHashtag!I113)-FIND("/",PasteHashtag!I113)-1)*1</f>
        <v>2.2</v>
      </c>
      <c r="U113" s="26"/>
      <c r="V113" s="26"/>
      <c r="W113" s="26"/>
    </row>
    <row r="114">
      <c r="A114" s="5">
        <v>113.0</v>
      </c>
      <c r="B114" s="5">
        <f>PasteHashtag!B114</f>
        <v>63.6</v>
      </c>
      <c r="C114" s="305" t="str">
        <f>PasteHashtag!C114</f>
        <v>Julius Randle</v>
      </c>
      <c r="D114" s="5" t="str">
        <f>PasteHashtag!D114</f>
        <v>PF</v>
      </c>
      <c r="E114" s="5" t="str">
        <f>PasteHashtag!E114</f>
        <v>MIN</v>
      </c>
      <c r="F114" s="5">
        <f>PasteHashtag!F114</f>
        <v>68</v>
      </c>
      <c r="G114" s="5">
        <f>PasteHashtag!G114</f>
        <v>32.4</v>
      </c>
      <c r="H114" s="5">
        <f>MID(PasteHashtag!H114,1+FIND("(",PasteHashtag!H114),FIND("/",PasteHashtag!H114)-FIND("(",PasteHashtag!H114)-1)*1</f>
        <v>7.3</v>
      </c>
      <c r="I114" s="5">
        <f>LEFT(PasteHashtag!H114,FIND("(",PasteHashtag!H114)-1)*1</f>
        <v>0.477</v>
      </c>
      <c r="J114" s="5">
        <f>MID(PasteHashtag!I114,1+FIND("(",PasteHashtag!I114),FIND("/",PasteHashtag!I114)-FIND("(",PasteHashtag!I114)-1)*1</f>
        <v>4.2</v>
      </c>
      <c r="K114" s="5">
        <f>LEFT(PasteHashtag!I114,FIND("(",PasteHashtag!I114)-1)*1</f>
        <v>0.78</v>
      </c>
      <c r="L114" s="5">
        <f>PasteHashtag!J114</f>
        <v>1.4</v>
      </c>
      <c r="M114" s="5">
        <f>PasteHashtag!K114</f>
        <v>20.3</v>
      </c>
      <c r="N114" s="5">
        <f>PasteHashtag!L114</f>
        <v>8.5</v>
      </c>
      <c r="O114" s="5">
        <f>PasteHashtag!M114</f>
        <v>3.9</v>
      </c>
      <c r="P114" s="5">
        <f>PasteHashtag!N114</f>
        <v>0.5</v>
      </c>
      <c r="Q114" s="5">
        <f>PasteHashtag!O114</f>
        <v>0.2</v>
      </c>
      <c r="R114" s="5">
        <f>PasteHashtag!P114</f>
        <v>2.6</v>
      </c>
      <c r="S114" s="5">
        <f>Mid(PasteHashtag!H114,FIND("/",PasteHashtag!H114)+1,LEN(PasteHashtag!H114)-FIND("/",PasteHashtag!H114)-1)*1</f>
        <v>15.3</v>
      </c>
      <c r="T114" s="306">
        <f>Mid(PasteHashtag!I114,FIND("/",PasteHashtag!I114)+1,LEN(PasteHashtag!I114)-FIND("/",PasteHashtag!I114)-1)*1</f>
        <v>5.4</v>
      </c>
      <c r="U114" s="26"/>
      <c r="V114" s="26"/>
      <c r="W114" s="26"/>
    </row>
    <row r="115">
      <c r="A115" s="5">
        <v>114.0</v>
      </c>
      <c r="B115" s="5">
        <f>PasteHashtag!B115</f>
        <v>110.3</v>
      </c>
      <c r="C115" s="305" t="str">
        <f>PasteHashtag!C115</f>
        <v>Donte DiVincenzo</v>
      </c>
      <c r="D115" s="5" t="str">
        <f>PasteHashtag!D115</f>
        <v>SG,SF</v>
      </c>
      <c r="E115" s="5" t="str">
        <f>PasteHashtag!E115</f>
        <v>MIN</v>
      </c>
      <c r="F115" s="5">
        <f>PasteHashtag!F115</f>
        <v>73</v>
      </c>
      <c r="G115" s="5">
        <f>PasteHashtag!G115</f>
        <v>27.3</v>
      </c>
      <c r="H115" s="5">
        <f>MID(PasteHashtag!H115,1+FIND("(",PasteHashtag!H115),FIND("/",PasteHashtag!H115)-FIND("(",PasteHashtag!H115)-1)*1</f>
        <v>4.5</v>
      </c>
      <c r="I115" s="5">
        <f>LEFT(PasteHashtag!H115,FIND("(",PasteHashtag!H115)-1)*1</f>
        <v>0.444</v>
      </c>
      <c r="J115" s="5">
        <f>MID(PasteHashtag!I115,1+FIND("(",PasteHashtag!I115),FIND("/",PasteHashtag!I115)-FIND("(",PasteHashtag!I115)-1)*1</f>
        <v>0.9</v>
      </c>
      <c r="K115" s="5">
        <f>LEFT(PasteHashtag!I115,FIND("(",PasteHashtag!I115)-1)*1</f>
        <v>0.786</v>
      </c>
      <c r="L115" s="5">
        <f>PasteHashtag!J115</f>
        <v>2.7</v>
      </c>
      <c r="M115" s="5">
        <f>PasteHashtag!K115</f>
        <v>12.7</v>
      </c>
      <c r="N115" s="5">
        <f>PasteHashtag!L115</f>
        <v>3.9</v>
      </c>
      <c r="O115" s="5">
        <f>PasteHashtag!M115</f>
        <v>3</v>
      </c>
      <c r="P115" s="5">
        <f>PasteHashtag!N115</f>
        <v>1.3</v>
      </c>
      <c r="Q115" s="5">
        <f>PasteHashtag!O115</f>
        <v>0.3</v>
      </c>
      <c r="R115" s="5">
        <f>PasteHashtag!P115</f>
        <v>1.4</v>
      </c>
      <c r="S115" s="5">
        <f>Mid(PasteHashtag!H115,FIND("/",PasteHashtag!H115)+1,LEN(PasteHashtag!H115)-FIND("/",PasteHashtag!H115)-1)*1</f>
        <v>10.1</v>
      </c>
      <c r="T115" s="306">
        <f>Mid(PasteHashtag!I115,FIND("/",PasteHashtag!I115)+1,LEN(PasteHashtag!I115)-FIND("/",PasteHashtag!I115)-1)*1</f>
        <v>1.2</v>
      </c>
      <c r="U115" s="26"/>
      <c r="V115" s="26"/>
      <c r="W115" s="26"/>
    </row>
    <row r="116">
      <c r="A116" s="5">
        <v>115.0</v>
      </c>
      <c r="B116" s="5">
        <f>PasteHashtag!B116</f>
        <v>106.7</v>
      </c>
      <c r="C116" s="305" t="str">
        <f>PasteHashtag!C116</f>
        <v>John Collins</v>
      </c>
      <c r="D116" s="5" t="str">
        <f>PasteHashtag!D116</f>
        <v>PF,C</v>
      </c>
      <c r="E116" s="5" t="str">
        <f>PasteHashtag!E116</f>
        <v>UTA</v>
      </c>
      <c r="F116" s="5">
        <f>PasteHashtag!F116</f>
        <v>67</v>
      </c>
      <c r="G116" s="5">
        <f>PasteHashtag!G116</f>
        <v>27.2</v>
      </c>
      <c r="H116" s="5">
        <f>MID(PasteHashtag!H116,1+FIND("(",PasteHashtag!H116),FIND("/",PasteHashtag!H116)-FIND("(",PasteHashtag!H116)-1)*1</f>
        <v>5.3</v>
      </c>
      <c r="I116" s="5">
        <f>LEFT(PasteHashtag!H116,FIND("(",PasteHashtag!H116)-1)*1</f>
        <v>0.52</v>
      </c>
      <c r="J116" s="5">
        <f>MID(PasteHashtag!I116,1+FIND("(",PasteHashtag!I116),FIND("/",PasteHashtag!I116)-FIND("(",PasteHashtag!I116)-1)*1</f>
        <v>2</v>
      </c>
      <c r="K116" s="5">
        <f>LEFT(PasteHashtag!I116,FIND("(",PasteHashtag!I116)-1)*1</f>
        <v>0.796</v>
      </c>
      <c r="L116" s="5">
        <f>PasteHashtag!J116</f>
        <v>1.1</v>
      </c>
      <c r="M116" s="5">
        <f>PasteHashtag!K116</f>
        <v>13.7</v>
      </c>
      <c r="N116" s="5">
        <f>PasteHashtag!L116</f>
        <v>7.3</v>
      </c>
      <c r="O116" s="5">
        <f>PasteHashtag!M116</f>
        <v>1.1</v>
      </c>
      <c r="P116" s="5">
        <f>PasteHashtag!N116</f>
        <v>0.6</v>
      </c>
      <c r="Q116" s="5">
        <f>PasteHashtag!O116</f>
        <v>0.9</v>
      </c>
      <c r="R116" s="5">
        <f>PasteHashtag!P116</f>
        <v>1.2</v>
      </c>
      <c r="S116" s="5">
        <f>Mid(PasteHashtag!H116,FIND("/",PasteHashtag!H116)+1,LEN(PasteHashtag!H116)-FIND("/",PasteHashtag!H116)-1)*1</f>
        <v>10.2</v>
      </c>
      <c r="T116" s="306">
        <f>Mid(PasteHashtag!I116,FIND("/",PasteHashtag!I116)+1,LEN(PasteHashtag!I116)-FIND("/",PasteHashtag!I116)-1)*1</f>
        <v>2.6</v>
      </c>
      <c r="U116" s="26"/>
      <c r="V116" s="26"/>
      <c r="W116" s="26"/>
    </row>
    <row r="117">
      <c r="A117" s="5">
        <v>116.0</v>
      </c>
      <c r="B117" s="5">
        <f>PasteHashtag!B117</f>
        <v>103.8</v>
      </c>
      <c r="C117" s="305" t="str">
        <f>PasteHashtag!C117</f>
        <v>Chris Paul</v>
      </c>
      <c r="D117" s="5" t="str">
        <f>PasteHashtag!D117</f>
        <v>PG</v>
      </c>
      <c r="E117" s="5" t="str">
        <f>PasteHashtag!E117</f>
        <v>SA</v>
      </c>
      <c r="F117" s="5">
        <f>PasteHashtag!F117</f>
        <v>58</v>
      </c>
      <c r="G117" s="5">
        <f>PasteHashtag!G117</f>
        <v>26.4</v>
      </c>
      <c r="H117" s="5">
        <f>MID(PasteHashtag!H117,1+FIND("(",PasteHashtag!H117),FIND("/",PasteHashtag!H117)-FIND("(",PasteHashtag!H117)-1)*1</f>
        <v>3.8</v>
      </c>
      <c r="I117" s="5">
        <f>LEFT(PasteHashtag!H117,FIND("(",PasteHashtag!H117)-1)*1</f>
        <v>0.441</v>
      </c>
      <c r="J117" s="5">
        <f>MID(PasteHashtag!I117,1+FIND("(",PasteHashtag!I117),FIND("/",PasteHashtag!I117)-FIND("(",PasteHashtag!I117)-1)*1</f>
        <v>1.3</v>
      </c>
      <c r="K117" s="5">
        <f>LEFT(PasteHashtag!I117,FIND("(",PasteHashtag!I117)-1)*1</f>
        <v>0.831</v>
      </c>
      <c r="L117" s="5">
        <f>PasteHashtag!J117</f>
        <v>1.3</v>
      </c>
      <c r="M117" s="5">
        <f>PasteHashtag!K117</f>
        <v>10.2</v>
      </c>
      <c r="N117" s="5">
        <f>PasteHashtag!L117</f>
        <v>3.6</v>
      </c>
      <c r="O117" s="5">
        <f>PasteHashtag!M117</f>
        <v>6.9</v>
      </c>
      <c r="P117" s="5">
        <f>PasteHashtag!N117</f>
        <v>1.2</v>
      </c>
      <c r="Q117" s="5">
        <f>PasteHashtag!O117</f>
        <v>0.2</v>
      </c>
      <c r="R117" s="5">
        <f>PasteHashtag!P117</f>
        <v>1.4</v>
      </c>
      <c r="S117" s="5">
        <f>Mid(PasteHashtag!H117,FIND("/",PasteHashtag!H117)+1,LEN(PasteHashtag!H117)-FIND("/",PasteHashtag!H117)-1)*1</f>
        <v>8.6</v>
      </c>
      <c r="T117" s="306">
        <f>Mid(PasteHashtag!I117,FIND("/",PasteHashtag!I117)+1,LEN(PasteHashtag!I117)-FIND("/",PasteHashtag!I117)-1)*1</f>
        <v>1.6</v>
      </c>
      <c r="U117" s="26"/>
      <c r="V117" s="26"/>
      <c r="W117" s="26"/>
    </row>
    <row r="118">
      <c r="A118" s="5">
        <v>117.0</v>
      </c>
      <c r="B118" s="5">
        <f>PasteHashtag!B118</f>
        <v>84.2</v>
      </c>
      <c r="C118" s="305" t="str">
        <f>PasteHashtag!C118</f>
        <v>Jusuf Nurkic</v>
      </c>
      <c r="D118" s="5" t="str">
        <f>PasteHashtag!D118</f>
        <v>C</v>
      </c>
      <c r="E118" s="5" t="str">
        <f>PasteHashtag!E118</f>
        <v>PHO</v>
      </c>
      <c r="F118" s="5">
        <f>PasteHashtag!F118</f>
        <v>68</v>
      </c>
      <c r="G118" s="5">
        <f>PasteHashtag!G118</f>
        <v>27.5</v>
      </c>
      <c r="H118" s="5">
        <f>MID(PasteHashtag!H118,1+FIND("(",PasteHashtag!H118),FIND("/",PasteHashtag!H118)-FIND("(",PasteHashtag!H118)-1)*1</f>
        <v>4.7</v>
      </c>
      <c r="I118" s="5">
        <f>LEFT(PasteHashtag!H118,FIND("(",PasteHashtag!H118)-1)*1</f>
        <v>0.514</v>
      </c>
      <c r="J118" s="5">
        <f>MID(PasteHashtag!I118,1+FIND("(",PasteHashtag!I118),FIND("/",PasteHashtag!I118)-FIND("(",PasteHashtag!I118)-1)*1</f>
        <v>2.4</v>
      </c>
      <c r="K118" s="5">
        <f>LEFT(PasteHashtag!I118,FIND("(",PasteHashtag!I118)-1)*1</f>
        <v>0.647</v>
      </c>
      <c r="L118" s="5">
        <f>PasteHashtag!J118</f>
        <v>0.5</v>
      </c>
      <c r="M118" s="5">
        <f>PasteHashtag!K118</f>
        <v>12.2</v>
      </c>
      <c r="N118" s="5">
        <f>PasteHashtag!L118</f>
        <v>10.5</v>
      </c>
      <c r="O118" s="5">
        <f>PasteHashtag!M118</f>
        <v>3.6</v>
      </c>
      <c r="P118" s="5">
        <f>PasteHashtag!N118</f>
        <v>1</v>
      </c>
      <c r="Q118" s="5">
        <f>PasteHashtag!O118</f>
        <v>1</v>
      </c>
      <c r="R118" s="5">
        <f>PasteHashtag!P118</f>
        <v>2.4</v>
      </c>
      <c r="S118" s="5">
        <f>Mid(PasteHashtag!H118,FIND("/",PasteHashtag!H118)+1,LEN(PasteHashtag!H118)-FIND("/",PasteHashtag!H118)-1)*1</f>
        <v>9.1</v>
      </c>
      <c r="T118" s="306">
        <f>Mid(PasteHashtag!I118,FIND("/",PasteHashtag!I118)+1,LEN(PasteHashtag!I118)-FIND("/",PasteHashtag!I118)-1)*1</f>
        <v>3.6</v>
      </c>
      <c r="U118" s="26"/>
      <c r="V118" s="26"/>
      <c r="W118" s="26"/>
    </row>
    <row r="119">
      <c r="A119" s="5">
        <v>118.0</v>
      </c>
      <c r="B119" s="5">
        <f>PasteHashtag!B119</f>
        <v>124</v>
      </c>
      <c r="C119" s="305" t="str">
        <f>PasteHashtag!C119</f>
        <v>Cameron Johnson</v>
      </c>
      <c r="D119" s="5" t="str">
        <f>PasteHashtag!D119</f>
        <v>SF,PF</v>
      </c>
      <c r="E119" s="5" t="str">
        <f>PasteHashtag!E119</f>
        <v>BKN</v>
      </c>
      <c r="F119" s="5">
        <f>PasteHashtag!F119</f>
        <v>60</v>
      </c>
      <c r="G119" s="5">
        <f>PasteHashtag!G119</f>
        <v>28.6</v>
      </c>
      <c r="H119" s="5">
        <f>MID(PasteHashtag!H119,1+FIND("(",PasteHashtag!H119),FIND("/",PasteHashtag!H119)-FIND("(",PasteHashtag!H119)-1)*1</f>
        <v>5.2</v>
      </c>
      <c r="I119" s="5">
        <f>LEFT(PasteHashtag!H119,FIND("(",PasteHashtag!H119)-1)*1</f>
        <v>0.457</v>
      </c>
      <c r="J119" s="5">
        <f>MID(PasteHashtag!I119,1+FIND("(",PasteHashtag!I119),FIND("/",PasteHashtag!I119)-FIND("(",PasteHashtag!I119)-1)*1</f>
        <v>1.9</v>
      </c>
      <c r="K119" s="5">
        <f>LEFT(PasteHashtag!I119,FIND("(",PasteHashtag!I119)-1)*1</f>
        <v>0.818</v>
      </c>
      <c r="L119" s="5">
        <f>PasteHashtag!J119</f>
        <v>2.5</v>
      </c>
      <c r="M119" s="5">
        <f>PasteHashtag!K119</f>
        <v>14.7</v>
      </c>
      <c r="N119" s="5">
        <f>PasteHashtag!L119</f>
        <v>4.5</v>
      </c>
      <c r="O119" s="5">
        <f>PasteHashtag!M119</f>
        <v>2.2</v>
      </c>
      <c r="P119" s="5">
        <f>PasteHashtag!N119</f>
        <v>1</v>
      </c>
      <c r="Q119" s="5">
        <f>PasteHashtag!O119</f>
        <v>0.3</v>
      </c>
      <c r="R119" s="5">
        <f>PasteHashtag!P119</f>
        <v>1</v>
      </c>
      <c r="S119" s="5">
        <f>Mid(PasteHashtag!H119,FIND("/",PasteHashtag!H119)+1,LEN(PasteHashtag!H119)-FIND("/",PasteHashtag!H119)-1)*1</f>
        <v>11.3</v>
      </c>
      <c r="T119" s="306">
        <f>Mid(PasteHashtag!I119,FIND("/",PasteHashtag!I119)+1,LEN(PasteHashtag!I119)-FIND("/",PasteHashtag!I119)-1)*1</f>
        <v>2.4</v>
      </c>
      <c r="U119" s="26"/>
      <c r="V119" s="26"/>
      <c r="W119" s="26"/>
    </row>
    <row r="120">
      <c r="A120" s="5">
        <v>119.0</v>
      </c>
      <c r="B120" s="5">
        <f>PasteHashtag!B120</f>
        <v>105.4</v>
      </c>
      <c r="C120" s="305" t="str">
        <f>PasteHashtag!C120</f>
        <v>Terry Rozier</v>
      </c>
      <c r="D120" s="5" t="str">
        <f>PasteHashtag!D120</f>
        <v>PG</v>
      </c>
      <c r="E120" s="5" t="str">
        <f>PasteHashtag!E120</f>
        <v>MIA</v>
      </c>
      <c r="F120" s="5">
        <f>PasteHashtag!F120</f>
        <v>68</v>
      </c>
      <c r="G120" s="5">
        <f>PasteHashtag!G120</f>
        <v>31.6</v>
      </c>
      <c r="H120" s="5">
        <f>MID(PasteHashtag!H120,1+FIND("(",PasteHashtag!H120),FIND("/",PasteHashtag!H120)-FIND("(",PasteHashtag!H120)-1)*1</f>
        <v>6.5</v>
      </c>
      <c r="I120" s="5">
        <f>LEFT(PasteHashtag!H120,FIND("(",PasteHashtag!H120)-1)*1</f>
        <v>0.435</v>
      </c>
      <c r="J120" s="5">
        <f>MID(PasteHashtag!I120,1+FIND("(",PasteHashtag!I120),FIND("/",PasteHashtag!I120)-FIND("(",PasteHashtag!I120)-1)*1</f>
        <v>2.4</v>
      </c>
      <c r="K120" s="5">
        <f>LEFT(PasteHashtag!I120,FIND("(",PasteHashtag!I120)-1)*1</f>
        <v>0.842</v>
      </c>
      <c r="L120" s="5">
        <f>PasteHashtag!J120</f>
        <v>2.2</v>
      </c>
      <c r="M120" s="5">
        <f>PasteHashtag!K120</f>
        <v>17.7</v>
      </c>
      <c r="N120" s="5">
        <f>PasteHashtag!L120</f>
        <v>3.5</v>
      </c>
      <c r="O120" s="5">
        <f>PasteHashtag!M120</f>
        <v>4.5</v>
      </c>
      <c r="P120" s="5">
        <f>PasteHashtag!N120</f>
        <v>1</v>
      </c>
      <c r="Q120" s="5">
        <f>PasteHashtag!O120</f>
        <v>0.3</v>
      </c>
      <c r="R120" s="5">
        <f>PasteHashtag!P120</f>
        <v>1.7</v>
      </c>
      <c r="S120" s="5">
        <f>Mid(PasteHashtag!H120,FIND("/",PasteHashtag!H120)+1,LEN(PasteHashtag!H120)-FIND("/",PasteHashtag!H120)-1)*1</f>
        <v>15</v>
      </c>
      <c r="T120" s="306">
        <f>Mid(PasteHashtag!I120,FIND("/",PasteHashtag!I120)+1,LEN(PasteHashtag!I120)-FIND("/",PasteHashtag!I120)-1)*1</f>
        <v>2.9</v>
      </c>
      <c r="U120" s="26"/>
      <c r="V120" s="26"/>
      <c r="W120" s="26"/>
    </row>
    <row r="121">
      <c r="A121" s="5">
        <v>120.0</v>
      </c>
      <c r="B121" s="5">
        <f>PasteHashtag!B121</f>
        <v>142</v>
      </c>
      <c r="C121" s="305" t="str">
        <f>PasteHashtag!C121</f>
        <v>De'Anthony Melton</v>
      </c>
      <c r="D121" s="5" t="str">
        <f>PasteHashtag!D121</f>
        <v>PG,SG</v>
      </c>
      <c r="E121" s="5" t="str">
        <f>PasteHashtag!E121</f>
        <v>GS</v>
      </c>
      <c r="F121" s="5">
        <f>PasteHashtag!F121</f>
        <v>68</v>
      </c>
      <c r="G121" s="5">
        <f>PasteHashtag!G121</f>
        <v>25.3</v>
      </c>
      <c r="H121" s="5">
        <f>MID(PasteHashtag!H121,1+FIND("(",PasteHashtag!H121),FIND("/",PasteHashtag!H121)-FIND("(",PasteHashtag!H121)-1)*1</f>
        <v>3.5</v>
      </c>
      <c r="I121" s="5">
        <f>LEFT(PasteHashtag!H121,FIND("(",PasteHashtag!H121)-1)*1</f>
        <v>0.42</v>
      </c>
      <c r="J121" s="5">
        <f>MID(PasteHashtag!I121,1+FIND("(",PasteHashtag!I121),FIND("/",PasteHashtag!I121)-FIND("(",PasteHashtag!I121)-1)*1</f>
        <v>1.1</v>
      </c>
      <c r="K121" s="5">
        <f>LEFT(PasteHashtag!I121,FIND("(",PasteHashtag!I121)-1)*1</f>
        <v>0.819</v>
      </c>
      <c r="L121" s="5">
        <f>PasteHashtag!J121</f>
        <v>2</v>
      </c>
      <c r="M121" s="5">
        <f>PasteHashtag!K121</f>
        <v>10.1</v>
      </c>
      <c r="N121" s="5">
        <f>PasteHashtag!L121</f>
        <v>3.8</v>
      </c>
      <c r="O121" s="5">
        <f>PasteHashtag!M121</f>
        <v>2.6</v>
      </c>
      <c r="P121" s="5">
        <f>PasteHashtag!N121</f>
        <v>1.6</v>
      </c>
      <c r="Q121" s="5">
        <f>PasteHashtag!O121</f>
        <v>0.5</v>
      </c>
      <c r="R121" s="5">
        <f>PasteHashtag!P121</f>
        <v>1.2</v>
      </c>
      <c r="S121" s="5">
        <f>Mid(PasteHashtag!H121,FIND("/",PasteHashtag!H121)+1,LEN(PasteHashtag!H121)-FIND("/",PasteHashtag!H121)-1)*1</f>
        <v>8.3</v>
      </c>
      <c r="T121" s="306">
        <f>Mid(PasteHashtag!I121,FIND("/",PasteHashtag!I121)+1,LEN(PasteHashtag!I121)-FIND("/",PasteHashtag!I121)-1)*1</f>
        <v>1.4</v>
      </c>
      <c r="U121" s="26"/>
      <c r="V121" s="26"/>
      <c r="W121" s="26"/>
    </row>
    <row r="122">
      <c r="A122" s="5">
        <v>121.0</v>
      </c>
      <c r="B122" s="5">
        <f>PasteHashtag!B122</f>
        <v>146.3</v>
      </c>
      <c r="C122" s="305" t="str">
        <f>PasteHashtag!C122</f>
        <v>Keon Ellis</v>
      </c>
      <c r="D122" s="5" t="str">
        <f>PasteHashtag!D122</f>
        <v>SG,SF</v>
      </c>
      <c r="E122" s="5" t="str">
        <f>PasteHashtag!E122</f>
        <v>SAC</v>
      </c>
      <c r="F122" s="5">
        <f>PasteHashtag!F122</f>
        <v>68</v>
      </c>
      <c r="G122" s="5">
        <f>PasteHashtag!G122</f>
        <v>26.4</v>
      </c>
      <c r="H122" s="5">
        <f>MID(PasteHashtag!H122,1+FIND("(",PasteHashtag!H122),FIND("/",PasteHashtag!H122)-FIND("(",PasteHashtag!H122)-1)*1</f>
        <v>2.9</v>
      </c>
      <c r="I122" s="5">
        <f>LEFT(PasteHashtag!H122,FIND("(",PasteHashtag!H122)-1)*1</f>
        <v>0.461</v>
      </c>
      <c r="J122" s="5">
        <f>MID(PasteHashtag!I122,1+FIND("(",PasteHashtag!I122),FIND("/",PasteHashtag!I122)-FIND("(",PasteHashtag!I122)-1)*1</f>
        <v>0.8</v>
      </c>
      <c r="K122" s="5">
        <f>LEFT(PasteHashtag!I122,FIND("(",PasteHashtag!I122)-1)*1</f>
        <v>0.735</v>
      </c>
      <c r="L122" s="5">
        <f>PasteHashtag!J122</f>
        <v>1.9</v>
      </c>
      <c r="M122" s="5">
        <f>PasteHashtag!K122</f>
        <v>8.4</v>
      </c>
      <c r="N122" s="5">
        <f>PasteHashtag!L122</f>
        <v>3.3</v>
      </c>
      <c r="O122" s="5">
        <f>PasteHashtag!M122</f>
        <v>2.3</v>
      </c>
      <c r="P122" s="5">
        <f>PasteHashtag!N122</f>
        <v>1.4</v>
      </c>
      <c r="Q122" s="5">
        <f>PasteHashtag!O122</f>
        <v>0.8</v>
      </c>
      <c r="R122" s="5">
        <f>PasteHashtag!P122</f>
        <v>1</v>
      </c>
      <c r="S122" s="5">
        <f>Mid(PasteHashtag!H122,FIND("/",PasteHashtag!H122)+1,LEN(PasteHashtag!H122)-FIND("/",PasteHashtag!H122)-1)*1</f>
        <v>6.2</v>
      </c>
      <c r="T122" s="306">
        <f>Mid(PasteHashtag!I122,FIND("/",PasteHashtag!I122)+1,LEN(PasteHashtag!I122)-FIND("/",PasteHashtag!I122)-1)*1</f>
        <v>1</v>
      </c>
      <c r="U122" s="26"/>
      <c r="V122" s="26"/>
      <c r="W122" s="26"/>
    </row>
    <row r="123">
      <c r="A123" s="5">
        <v>122.0</v>
      </c>
      <c r="B123" s="5">
        <f>PasteHashtag!B123</f>
        <v>116.6</v>
      </c>
      <c r="C123" s="305" t="str">
        <f>PasteHashtag!C123</f>
        <v>Brandin Podziemski</v>
      </c>
      <c r="D123" s="5" t="str">
        <f>PasteHashtag!D123</f>
        <v>SG</v>
      </c>
      <c r="E123" s="5" t="str">
        <f>PasteHashtag!E123</f>
        <v>GS</v>
      </c>
      <c r="F123" s="5">
        <f>PasteHashtag!F123</f>
        <v>74</v>
      </c>
      <c r="G123" s="5">
        <f>PasteHashtag!G123</f>
        <v>29.5</v>
      </c>
      <c r="H123" s="5">
        <f>MID(PasteHashtag!H123,1+FIND("(",PasteHashtag!H123),FIND("/",PasteHashtag!H123)-FIND("(",PasteHashtag!H123)-1)*1</f>
        <v>4.4</v>
      </c>
      <c r="I123" s="5">
        <f>LEFT(PasteHashtag!H123,FIND("(",PasteHashtag!H123)-1)*1</f>
        <v>0.459</v>
      </c>
      <c r="J123" s="5">
        <f>MID(PasteHashtag!I123,1+FIND("(",PasteHashtag!I123),FIND("/",PasteHashtag!I123)-FIND("(",PasteHashtag!I123)-1)*1</f>
        <v>0.9</v>
      </c>
      <c r="K123" s="5">
        <f>LEFT(PasteHashtag!I123,FIND("(",PasteHashtag!I123)-1)*1</f>
        <v>0.664</v>
      </c>
      <c r="L123" s="5">
        <f>PasteHashtag!J123</f>
        <v>1.5</v>
      </c>
      <c r="M123" s="5">
        <f>PasteHashtag!K123</f>
        <v>11.2</v>
      </c>
      <c r="N123" s="5">
        <f>PasteHashtag!L123</f>
        <v>6.9</v>
      </c>
      <c r="O123" s="5">
        <f>PasteHashtag!M123</f>
        <v>4.4</v>
      </c>
      <c r="P123" s="5">
        <f>PasteHashtag!N123</f>
        <v>1.2</v>
      </c>
      <c r="Q123" s="5">
        <f>PasteHashtag!O123</f>
        <v>0.2</v>
      </c>
      <c r="R123" s="5">
        <f>PasteHashtag!P123</f>
        <v>1.4</v>
      </c>
      <c r="S123" s="5">
        <f>Mid(PasteHashtag!H123,FIND("/",PasteHashtag!H123)+1,LEN(PasteHashtag!H123)-FIND("/",PasteHashtag!H123)-1)*1</f>
        <v>9.7</v>
      </c>
      <c r="T123" s="306">
        <f>Mid(PasteHashtag!I123,FIND("/",PasteHashtag!I123)+1,LEN(PasteHashtag!I123)-FIND("/",PasteHashtag!I123)-1)*1</f>
        <v>1.3</v>
      </c>
      <c r="U123" s="26"/>
      <c r="V123" s="26"/>
      <c r="W123" s="26"/>
    </row>
    <row r="124">
      <c r="A124" s="5">
        <v>123.0</v>
      </c>
      <c r="B124" s="5">
        <f>PasteHashtag!B124</f>
        <v>139</v>
      </c>
      <c r="C124" s="305" t="str">
        <f>PasteHashtag!C124</f>
        <v>Dennis Schröder</v>
      </c>
      <c r="D124" s="5" t="str">
        <f>PasteHashtag!D124</f>
        <v>PG</v>
      </c>
      <c r="E124" s="5" t="str">
        <f>PasteHashtag!E124</f>
        <v>BKN</v>
      </c>
      <c r="F124" s="5">
        <f>PasteHashtag!F124</f>
        <v>70</v>
      </c>
      <c r="G124" s="5">
        <f>PasteHashtag!G124</f>
        <v>31</v>
      </c>
      <c r="H124" s="5">
        <f>MID(PasteHashtag!H124,1+FIND("(",PasteHashtag!H124),FIND("/",PasteHashtag!H124)-FIND("(",PasteHashtag!H124)-1)*1</f>
        <v>5.2</v>
      </c>
      <c r="I124" s="5">
        <f>LEFT(PasteHashtag!H124,FIND("(",PasteHashtag!H124)-1)*1</f>
        <v>0.435</v>
      </c>
      <c r="J124" s="5">
        <f>MID(PasteHashtag!I124,1+FIND("(",PasteHashtag!I124),FIND("/",PasteHashtag!I124)-FIND("(",PasteHashtag!I124)-1)*1</f>
        <v>2.9</v>
      </c>
      <c r="K124" s="5">
        <f>LEFT(PasteHashtag!I124,FIND("(",PasteHashtag!I124)-1)*1</f>
        <v>0.847</v>
      </c>
      <c r="L124" s="5">
        <f>PasteHashtag!J124</f>
        <v>1.7</v>
      </c>
      <c r="M124" s="5">
        <f>PasteHashtag!K124</f>
        <v>15.1</v>
      </c>
      <c r="N124" s="5">
        <f>PasteHashtag!L124</f>
        <v>3</v>
      </c>
      <c r="O124" s="5">
        <f>PasteHashtag!M124</f>
        <v>5.9</v>
      </c>
      <c r="P124" s="5">
        <f>PasteHashtag!N124</f>
        <v>0.8</v>
      </c>
      <c r="Q124" s="5">
        <f>PasteHashtag!O124</f>
        <v>0.2</v>
      </c>
      <c r="R124" s="5">
        <f>PasteHashtag!P124</f>
        <v>2</v>
      </c>
      <c r="S124" s="5">
        <f>Mid(PasteHashtag!H124,FIND("/",PasteHashtag!H124)+1,LEN(PasteHashtag!H124)-FIND("/",PasteHashtag!H124)-1)*1</f>
        <v>12</v>
      </c>
      <c r="T124" s="306">
        <f>Mid(PasteHashtag!I124,FIND("/",PasteHashtag!I124)+1,LEN(PasteHashtag!I124)-FIND("/",PasteHashtag!I124)-1)*1</f>
        <v>3.5</v>
      </c>
      <c r="U124" s="26"/>
      <c r="V124" s="26"/>
      <c r="W124" s="26"/>
    </row>
    <row r="125">
      <c r="A125" s="5">
        <v>124.0</v>
      </c>
      <c r="B125" s="5">
        <f>PasteHashtag!B125</f>
        <v>91</v>
      </c>
      <c r="C125" s="305" t="str">
        <f>PasteHashtag!C125</f>
        <v>Jonathan Kuminga</v>
      </c>
      <c r="D125" s="5" t="str">
        <f>PasteHashtag!D125</f>
        <v>PF</v>
      </c>
      <c r="E125" s="5" t="str">
        <f>PasteHashtag!E125</f>
        <v>GS</v>
      </c>
      <c r="F125" s="5">
        <f>PasteHashtag!F125</f>
        <v>72</v>
      </c>
      <c r="G125" s="5">
        <f>PasteHashtag!G125</f>
        <v>28.6</v>
      </c>
      <c r="H125" s="5">
        <f>MID(PasteHashtag!H125,1+FIND("(",PasteHashtag!H125),FIND("/",PasteHashtag!H125)-FIND("(",PasteHashtag!H125)-1)*1</f>
        <v>6.2</v>
      </c>
      <c r="I125" s="5">
        <f>LEFT(PasteHashtag!H125,FIND("(",PasteHashtag!H125)-1)*1</f>
        <v>0.527</v>
      </c>
      <c r="J125" s="5">
        <f>MID(PasteHashtag!I125,1+FIND("(",PasteHashtag!I125),FIND("/",PasteHashtag!I125)-FIND("(",PasteHashtag!I125)-1)*1</f>
        <v>2.9</v>
      </c>
      <c r="K125" s="5">
        <f>LEFT(PasteHashtag!I125,FIND("(",PasteHashtag!I125)-1)*1</f>
        <v>0.759</v>
      </c>
      <c r="L125" s="5">
        <f>PasteHashtag!J125</f>
        <v>0.9</v>
      </c>
      <c r="M125" s="5">
        <f>PasteHashtag!K125</f>
        <v>16.2</v>
      </c>
      <c r="N125" s="5">
        <f>PasteHashtag!L125</f>
        <v>5.1</v>
      </c>
      <c r="O125" s="5">
        <f>PasteHashtag!M125</f>
        <v>2.5</v>
      </c>
      <c r="P125" s="5">
        <f>PasteHashtag!N125</f>
        <v>0.8</v>
      </c>
      <c r="Q125" s="5">
        <f>PasteHashtag!O125</f>
        <v>0.6</v>
      </c>
      <c r="R125" s="5">
        <f>PasteHashtag!P125</f>
        <v>1.9</v>
      </c>
      <c r="S125" s="5">
        <f>Mid(PasteHashtag!H125,FIND("/",PasteHashtag!H125)+1,LEN(PasteHashtag!H125)-FIND("/",PasteHashtag!H125)-1)*1</f>
        <v>11.7</v>
      </c>
      <c r="T125" s="306">
        <f>Mid(PasteHashtag!I125,FIND("/",PasteHashtag!I125)+1,LEN(PasteHashtag!I125)-FIND("/",PasteHashtag!I125)-1)*1</f>
        <v>3.8</v>
      </c>
      <c r="U125" s="26"/>
      <c r="V125" s="26"/>
      <c r="W125" s="26"/>
    </row>
    <row r="126">
      <c r="A126" s="5">
        <v>125.0</v>
      </c>
      <c r="B126" s="5">
        <f>PasteHashtag!B126</f>
        <v>130.7</v>
      </c>
      <c r="C126" s="305" t="str">
        <f>PasteHashtag!C126</f>
        <v>Marcus Smart</v>
      </c>
      <c r="D126" s="5" t="str">
        <f>PasteHashtag!D126</f>
        <v>PG,SG</v>
      </c>
      <c r="E126" s="5" t="str">
        <f>PasteHashtag!E126</f>
        <v>MEM</v>
      </c>
      <c r="F126" s="5">
        <f>PasteHashtag!F126</f>
        <v>65</v>
      </c>
      <c r="G126" s="5">
        <f>PasteHashtag!G126</f>
        <v>31</v>
      </c>
      <c r="H126" s="5">
        <f>MID(PasteHashtag!H126,1+FIND("(",PasteHashtag!H126),FIND("/",PasteHashtag!H126)-FIND("(",PasteHashtag!H126)-1)*1</f>
        <v>4.3</v>
      </c>
      <c r="I126" s="5">
        <f>LEFT(PasteHashtag!H126,FIND("(",PasteHashtag!H126)-1)*1</f>
        <v>0.42</v>
      </c>
      <c r="J126" s="5">
        <f>MID(PasteHashtag!I126,1+FIND("(",PasteHashtag!I126),FIND("/",PasteHashtag!I126)-FIND("(",PasteHashtag!I126)-1)*1</f>
        <v>1.6</v>
      </c>
      <c r="K126" s="5">
        <f>LEFT(PasteHashtag!I126,FIND("(",PasteHashtag!I126)-1)*1</f>
        <v>0.751</v>
      </c>
      <c r="L126" s="5">
        <f>PasteHashtag!J126</f>
        <v>1.9</v>
      </c>
      <c r="M126" s="5">
        <f>PasteHashtag!K126</f>
        <v>12.1</v>
      </c>
      <c r="N126" s="5">
        <f>PasteHashtag!L126</f>
        <v>3</v>
      </c>
      <c r="O126" s="5">
        <f>PasteHashtag!M126</f>
        <v>4.7</v>
      </c>
      <c r="P126" s="5">
        <f>PasteHashtag!N126</f>
        <v>1.6</v>
      </c>
      <c r="Q126" s="5">
        <f>PasteHashtag!O126</f>
        <v>0.3</v>
      </c>
      <c r="R126" s="5">
        <f>PasteHashtag!P126</f>
        <v>2.5</v>
      </c>
      <c r="S126" s="5">
        <f>Mid(PasteHashtag!H126,FIND("/",PasteHashtag!H126)+1,LEN(PasteHashtag!H126)-FIND("/",PasteHashtag!H126)-1)*1</f>
        <v>10.3</v>
      </c>
      <c r="T126" s="306">
        <f>Mid(PasteHashtag!I126,FIND("/",PasteHashtag!I126)+1,LEN(PasteHashtag!I126)-FIND("/",PasteHashtag!I126)-1)*1</f>
        <v>2.1</v>
      </c>
      <c r="U126" s="26"/>
      <c r="V126" s="26"/>
      <c r="W126" s="26"/>
    </row>
    <row r="127">
      <c r="A127" s="5">
        <v>126.0</v>
      </c>
      <c r="B127" s="5">
        <f>PasteHashtag!B127</f>
        <v>144.3</v>
      </c>
      <c r="C127" s="305" t="str">
        <f>PasteHashtag!C127</f>
        <v>Jalen Smith</v>
      </c>
      <c r="D127" s="5" t="str">
        <f>PasteHashtag!D127</f>
        <v>PF,C</v>
      </c>
      <c r="E127" s="5" t="str">
        <f>PasteHashtag!E127</f>
        <v>CHI</v>
      </c>
      <c r="F127" s="5">
        <f>PasteHashtag!F127</f>
        <v>64</v>
      </c>
      <c r="G127" s="5">
        <f>PasteHashtag!G127</f>
        <v>25</v>
      </c>
      <c r="H127" s="5">
        <f>MID(PasteHashtag!H127,1+FIND("(",PasteHashtag!H127),FIND("/",PasteHashtag!H127)-FIND("(",PasteHashtag!H127)-1)*1</f>
        <v>5</v>
      </c>
      <c r="I127" s="5">
        <f>LEFT(PasteHashtag!H127,FIND("(",PasteHashtag!H127)-1)*1</f>
        <v>0.537</v>
      </c>
      <c r="J127" s="5">
        <f>MID(PasteHashtag!I127,1+FIND("(",PasteHashtag!I127),FIND("/",PasteHashtag!I127)-FIND("(",PasteHashtag!I127)-1)*1</f>
        <v>1.7</v>
      </c>
      <c r="K127" s="5">
        <f>LEFT(PasteHashtag!I127,FIND("(",PasteHashtag!I127)-1)*1</f>
        <v>0.711</v>
      </c>
      <c r="L127" s="5">
        <f>PasteHashtag!J127</f>
        <v>1.3</v>
      </c>
      <c r="M127" s="5">
        <f>PasteHashtag!K127</f>
        <v>12.9</v>
      </c>
      <c r="N127" s="5">
        <f>PasteHashtag!L127</f>
        <v>7.6</v>
      </c>
      <c r="O127" s="5">
        <f>PasteHashtag!M127</f>
        <v>1.3</v>
      </c>
      <c r="P127" s="5">
        <f>PasteHashtag!N127</f>
        <v>0.4</v>
      </c>
      <c r="Q127" s="5">
        <f>PasteHashtag!O127</f>
        <v>1</v>
      </c>
      <c r="R127" s="5">
        <f>PasteHashtag!P127</f>
        <v>1.2</v>
      </c>
      <c r="S127" s="5">
        <f>Mid(PasteHashtag!H127,FIND("/",PasteHashtag!H127)+1,LEN(PasteHashtag!H127)-FIND("/",PasteHashtag!H127)-1)*1</f>
        <v>9.2</v>
      </c>
      <c r="T127" s="306">
        <f>Mid(PasteHashtag!I127,FIND("/",PasteHashtag!I127)+1,LEN(PasteHashtag!I127)-FIND("/",PasteHashtag!I127)-1)*1</f>
        <v>2.4</v>
      </c>
      <c r="U127" s="26"/>
      <c r="V127" s="26"/>
      <c r="W127" s="26"/>
    </row>
    <row r="128">
      <c r="A128" s="5">
        <v>127.0</v>
      </c>
      <c r="B128" s="5">
        <f>PasteHashtag!B128</f>
        <v>145.4</v>
      </c>
      <c r="C128" s="305" t="str">
        <f>PasteHashtag!C128</f>
        <v>Corey Kispert</v>
      </c>
      <c r="D128" s="5" t="str">
        <f>PasteHashtag!D128</f>
        <v>SG,SF</v>
      </c>
      <c r="E128" s="5" t="str">
        <f>PasteHashtag!E128</f>
        <v>WAS</v>
      </c>
      <c r="F128" s="5">
        <f>PasteHashtag!F128</f>
        <v>77</v>
      </c>
      <c r="G128" s="5">
        <f>PasteHashtag!G128</f>
        <v>31</v>
      </c>
      <c r="H128" s="5">
        <f>MID(PasteHashtag!H128,1+FIND("(",PasteHashtag!H128),FIND("/",PasteHashtag!H128)-FIND("(",PasteHashtag!H128)-1)*1</f>
        <v>5.4</v>
      </c>
      <c r="I128" s="5">
        <f>LEFT(PasteHashtag!H128,FIND("(",PasteHashtag!H128)-1)*1</f>
        <v>0.484</v>
      </c>
      <c r="J128" s="5">
        <f>MID(PasteHashtag!I128,1+FIND("(",PasteHashtag!I128),FIND("/",PasteHashtag!I128)-FIND("(",PasteHashtag!I128)-1)*1</f>
        <v>1.7</v>
      </c>
      <c r="K128" s="5">
        <f>LEFT(PasteHashtag!I128,FIND("(",PasteHashtag!I128)-1)*1</f>
        <v>0.821</v>
      </c>
      <c r="L128" s="5">
        <f>PasteHashtag!J128</f>
        <v>2.7</v>
      </c>
      <c r="M128" s="5">
        <f>PasteHashtag!K128</f>
        <v>15.1</v>
      </c>
      <c r="N128" s="5">
        <f>PasteHashtag!L128</f>
        <v>3.4</v>
      </c>
      <c r="O128" s="5">
        <f>PasteHashtag!M128</f>
        <v>2.4</v>
      </c>
      <c r="P128" s="5">
        <f>PasteHashtag!N128</f>
        <v>0.7</v>
      </c>
      <c r="Q128" s="5">
        <f>PasteHashtag!O128</f>
        <v>0.2</v>
      </c>
      <c r="R128" s="5">
        <f>PasteHashtag!P128</f>
        <v>1.2</v>
      </c>
      <c r="S128" s="5">
        <f>Mid(PasteHashtag!H128,FIND("/",PasteHashtag!H128)+1,LEN(PasteHashtag!H128)-FIND("/",PasteHashtag!H128)-1)*1</f>
        <v>11.1</v>
      </c>
      <c r="T128" s="306">
        <f>Mid(PasteHashtag!I128,FIND("/",PasteHashtag!I128)+1,LEN(PasteHashtag!I128)-FIND("/",PasteHashtag!I128)-1)*1</f>
        <v>2</v>
      </c>
      <c r="U128" s="26"/>
      <c r="V128" s="26"/>
      <c r="W128" s="26"/>
    </row>
    <row r="129">
      <c r="A129" s="5">
        <v>128.0</v>
      </c>
      <c r="B129" s="5">
        <f>PasteHashtag!B129</f>
        <v>126.5</v>
      </c>
      <c r="C129" s="305" t="str">
        <f>PasteHashtag!C129</f>
        <v>Buddy Hield</v>
      </c>
      <c r="D129" s="5" t="str">
        <f>PasteHashtag!D129</f>
        <v>SG,SF</v>
      </c>
      <c r="E129" s="5" t="str">
        <f>PasteHashtag!E129</f>
        <v>GS</v>
      </c>
      <c r="F129" s="5">
        <f>PasteHashtag!F129</f>
        <v>78</v>
      </c>
      <c r="G129" s="5">
        <f>PasteHashtag!G129</f>
        <v>27.8</v>
      </c>
      <c r="H129" s="5">
        <f>MID(PasteHashtag!H129,1+FIND("(",PasteHashtag!H129),FIND("/",PasteHashtag!H129)-FIND("(",PasteHashtag!H129)-1)*1</f>
        <v>4.8</v>
      </c>
      <c r="I129" s="5">
        <f>LEFT(PasteHashtag!H129,FIND("(",PasteHashtag!H129)-1)*1</f>
        <v>0.445</v>
      </c>
      <c r="J129" s="5">
        <f>MID(PasteHashtag!I129,1+FIND("(",PasteHashtag!I129),FIND("/",PasteHashtag!I129)-FIND("(",PasteHashtag!I129)-1)*1</f>
        <v>0.9</v>
      </c>
      <c r="K129" s="5">
        <f>LEFT(PasteHashtag!I129,FIND("(",PasteHashtag!I129)-1)*1</f>
        <v>0.835</v>
      </c>
      <c r="L129" s="5">
        <f>PasteHashtag!J129</f>
        <v>2.7</v>
      </c>
      <c r="M129" s="5">
        <f>PasteHashtag!K129</f>
        <v>13.2</v>
      </c>
      <c r="N129" s="5">
        <f>PasteHashtag!L129</f>
        <v>3.8</v>
      </c>
      <c r="O129" s="5">
        <f>PasteHashtag!M129</f>
        <v>2.7</v>
      </c>
      <c r="P129" s="5">
        <f>PasteHashtag!N129</f>
        <v>0.9</v>
      </c>
      <c r="Q129" s="5">
        <f>PasteHashtag!O129</f>
        <v>0.4</v>
      </c>
      <c r="R129" s="5">
        <f>PasteHashtag!P129</f>
        <v>1.4</v>
      </c>
      <c r="S129" s="5">
        <f>Mid(PasteHashtag!H129,FIND("/",PasteHashtag!H129)+1,LEN(PasteHashtag!H129)-FIND("/",PasteHashtag!H129)-1)*1</f>
        <v>10.7</v>
      </c>
      <c r="T129" s="306">
        <f>Mid(PasteHashtag!I129,FIND("/",PasteHashtag!I129)+1,LEN(PasteHashtag!I129)-FIND("/",PasteHashtag!I129)-1)*1</f>
        <v>1.1</v>
      </c>
      <c r="U129" s="26"/>
      <c r="V129" s="26"/>
      <c r="W129" s="26"/>
    </row>
    <row r="130">
      <c r="A130" s="5">
        <v>129.0</v>
      </c>
      <c r="B130" s="5">
        <f>PasteHashtag!B130</f>
        <v>106.5</v>
      </c>
      <c r="C130" s="305" t="str">
        <f>PasteHashtag!C130</f>
        <v>Klay Thompson</v>
      </c>
      <c r="D130" s="5" t="str">
        <f>PasteHashtag!D130</f>
        <v>SG,SF</v>
      </c>
      <c r="E130" s="5" t="str">
        <f>PasteHashtag!E130</f>
        <v>DAL</v>
      </c>
      <c r="F130" s="5">
        <f>PasteHashtag!F130</f>
        <v>70</v>
      </c>
      <c r="G130" s="5">
        <f>PasteHashtag!G130</f>
        <v>29.4</v>
      </c>
      <c r="H130" s="5">
        <f>MID(PasteHashtag!H130,1+FIND("(",PasteHashtag!H130),FIND("/",PasteHashtag!H130)-FIND("(",PasteHashtag!H130)-1)*1</f>
        <v>6.2</v>
      </c>
      <c r="I130" s="5">
        <f>LEFT(PasteHashtag!H130,FIND("(",PasteHashtag!H130)-1)*1</f>
        <v>0.434</v>
      </c>
      <c r="J130" s="5">
        <f>MID(PasteHashtag!I130,1+FIND("(",PasteHashtag!I130),FIND("/",PasteHashtag!I130)-FIND("(",PasteHashtag!I130)-1)*1</f>
        <v>1.5</v>
      </c>
      <c r="K130" s="5">
        <f>LEFT(PasteHashtag!I130,FIND("(",PasteHashtag!I130)-1)*1</f>
        <v>0.901</v>
      </c>
      <c r="L130" s="5">
        <f>PasteHashtag!J130</f>
        <v>3.4</v>
      </c>
      <c r="M130" s="5">
        <f>PasteHashtag!K130</f>
        <v>17.2</v>
      </c>
      <c r="N130" s="5">
        <f>PasteHashtag!L130</f>
        <v>3.2</v>
      </c>
      <c r="O130" s="5">
        <f>PasteHashtag!M130</f>
        <v>2</v>
      </c>
      <c r="P130" s="5">
        <f>PasteHashtag!N130</f>
        <v>0.6</v>
      </c>
      <c r="Q130" s="5">
        <f>PasteHashtag!O130</f>
        <v>0.4</v>
      </c>
      <c r="R130" s="5">
        <f>PasteHashtag!P130</f>
        <v>1.4</v>
      </c>
      <c r="S130" s="5">
        <f>Mid(PasteHashtag!H130,FIND("/",PasteHashtag!H130)+1,LEN(PasteHashtag!H130)-FIND("/",PasteHashtag!H130)-1)*1</f>
        <v>14.3</v>
      </c>
      <c r="T130" s="306">
        <f>Mid(PasteHashtag!I130,FIND("/",PasteHashtag!I130)+1,LEN(PasteHashtag!I130)-FIND("/",PasteHashtag!I130)-1)*1</f>
        <v>1.6</v>
      </c>
      <c r="U130" s="26"/>
      <c r="V130" s="26"/>
      <c r="W130" s="26"/>
    </row>
    <row r="131">
      <c r="A131" s="5">
        <v>130.0</v>
      </c>
      <c r="B131" s="5">
        <f>PasteHashtag!B131</f>
        <v>138.2</v>
      </c>
      <c r="C131" s="305" t="str">
        <f>PasteHashtag!C131</f>
        <v>Grayson Allen</v>
      </c>
      <c r="D131" s="5" t="str">
        <f>PasteHashtag!D131</f>
        <v>PG,SG</v>
      </c>
      <c r="E131" s="5" t="str">
        <f>PasteHashtag!E131</f>
        <v>PHO</v>
      </c>
      <c r="F131" s="5">
        <f>PasteHashtag!F131</f>
        <v>73</v>
      </c>
      <c r="G131" s="5">
        <f>PasteHashtag!G131</f>
        <v>27.4</v>
      </c>
      <c r="H131" s="5">
        <f>MID(PasteHashtag!H131,1+FIND("(",PasteHashtag!H131),FIND("/",PasteHashtag!H131)-FIND("(",PasteHashtag!H131)-1)*1</f>
        <v>3.9</v>
      </c>
      <c r="I131" s="5">
        <f>LEFT(PasteHashtag!H131,FIND("(",PasteHashtag!H131)-1)*1</f>
        <v>0.485</v>
      </c>
      <c r="J131" s="5">
        <f>MID(PasteHashtag!I131,1+FIND("(",PasteHashtag!I131),FIND("/",PasteHashtag!I131)-FIND("(",PasteHashtag!I131)-1)*1</f>
        <v>1.5</v>
      </c>
      <c r="K131" s="5">
        <f>LEFT(PasteHashtag!I131,FIND("(",PasteHashtag!I131)-1)*1</f>
        <v>0.893</v>
      </c>
      <c r="L131" s="5">
        <f>PasteHashtag!J131</f>
        <v>2.2</v>
      </c>
      <c r="M131" s="5">
        <f>PasteHashtag!K131</f>
        <v>11.4</v>
      </c>
      <c r="N131" s="5">
        <f>PasteHashtag!L131</f>
        <v>3.3</v>
      </c>
      <c r="O131" s="5">
        <f>PasteHashtag!M131</f>
        <v>2.4</v>
      </c>
      <c r="P131" s="5">
        <f>PasteHashtag!N131</f>
        <v>0.8</v>
      </c>
      <c r="Q131" s="5">
        <f>PasteHashtag!O131</f>
        <v>0.4</v>
      </c>
      <c r="R131" s="5">
        <f>PasteHashtag!P131</f>
        <v>1</v>
      </c>
      <c r="S131" s="5">
        <f>Mid(PasteHashtag!H131,FIND("/",PasteHashtag!H131)+1,LEN(PasteHashtag!H131)-FIND("/",PasteHashtag!H131)-1)*1</f>
        <v>8</v>
      </c>
      <c r="T131" s="306">
        <f>Mid(PasteHashtag!I131,FIND("/",PasteHashtag!I131)+1,LEN(PasteHashtag!I131)-FIND("/",PasteHashtag!I131)-1)*1</f>
        <v>1.7</v>
      </c>
      <c r="U131" s="26"/>
      <c r="V131" s="26"/>
      <c r="W131" s="26"/>
    </row>
    <row r="132">
      <c r="A132" s="5">
        <v>131.0</v>
      </c>
      <c r="B132" s="5">
        <f>PasteHashtag!B132</f>
        <v>144.9</v>
      </c>
      <c r="C132" s="305" t="str">
        <f>PasteHashtag!C132</f>
        <v>Terance Mann</v>
      </c>
      <c r="D132" s="5" t="str">
        <f>PasteHashtag!D132</f>
        <v>SG,SF</v>
      </c>
      <c r="E132" s="5" t="str">
        <f>PasteHashtag!E132</f>
        <v>LAC</v>
      </c>
      <c r="F132" s="5">
        <f>PasteHashtag!F132</f>
        <v>76</v>
      </c>
      <c r="G132" s="5">
        <f>PasteHashtag!G132</f>
        <v>29</v>
      </c>
      <c r="H132" s="5">
        <f>MID(PasteHashtag!H132,1+FIND("(",PasteHashtag!H132),FIND("/",PasteHashtag!H132)-FIND("(",PasteHashtag!H132)-1)*1</f>
        <v>5</v>
      </c>
      <c r="I132" s="5">
        <f>LEFT(PasteHashtag!H132,FIND("(",PasteHashtag!H132)-1)*1</f>
        <v>0.513</v>
      </c>
      <c r="J132" s="5">
        <f>MID(PasteHashtag!I132,1+FIND("(",PasteHashtag!I132),FIND("/",PasteHashtag!I132)-FIND("(",PasteHashtag!I132)-1)*1</f>
        <v>1.5</v>
      </c>
      <c r="K132" s="5">
        <f>LEFT(PasteHashtag!I132,FIND("(",PasteHashtag!I132)-1)*1</f>
        <v>0.806</v>
      </c>
      <c r="L132" s="5">
        <f>PasteHashtag!J132</f>
        <v>1.3</v>
      </c>
      <c r="M132" s="5">
        <f>PasteHashtag!K132</f>
        <v>12.9</v>
      </c>
      <c r="N132" s="5">
        <f>PasteHashtag!L132</f>
        <v>4.8</v>
      </c>
      <c r="O132" s="5">
        <f>PasteHashtag!M132</f>
        <v>2.7</v>
      </c>
      <c r="P132" s="5">
        <f>PasteHashtag!N132</f>
        <v>0.8</v>
      </c>
      <c r="Q132" s="5">
        <f>PasteHashtag!O132</f>
        <v>0.4</v>
      </c>
      <c r="R132" s="5">
        <f>PasteHashtag!P132</f>
        <v>1.1</v>
      </c>
      <c r="S132" s="5">
        <f>Mid(PasteHashtag!H132,FIND("/",PasteHashtag!H132)+1,LEN(PasteHashtag!H132)-FIND("/",PasteHashtag!H132)-1)*1</f>
        <v>9.8</v>
      </c>
      <c r="T132" s="306">
        <f>Mid(PasteHashtag!I132,FIND("/",PasteHashtag!I132)+1,LEN(PasteHashtag!I132)-FIND("/",PasteHashtag!I132)-1)*1</f>
        <v>1.9</v>
      </c>
      <c r="U132" s="26"/>
      <c r="V132" s="26"/>
      <c r="W132" s="26"/>
    </row>
    <row r="133">
      <c r="A133" s="5">
        <v>132.0</v>
      </c>
      <c r="B133" s="5">
        <f>PasteHashtag!B133</f>
        <v>115.9</v>
      </c>
      <c r="C133" s="305" t="str">
        <f>PasteHashtag!C133</f>
        <v>Bobby Portis</v>
      </c>
      <c r="D133" s="5" t="str">
        <f>PasteHashtag!D133</f>
        <v>PF,C</v>
      </c>
      <c r="E133" s="5" t="str">
        <f>PasteHashtag!E133</f>
        <v>MIL</v>
      </c>
      <c r="F133" s="5">
        <f>PasteHashtag!F133</f>
        <v>74</v>
      </c>
      <c r="G133" s="5">
        <f>PasteHashtag!G133</f>
        <v>25.2</v>
      </c>
      <c r="H133" s="5">
        <f>MID(PasteHashtag!H133,1+FIND("(",PasteHashtag!H133),FIND("/",PasteHashtag!H133)-FIND("(",PasteHashtag!H133)-1)*1</f>
        <v>5.8</v>
      </c>
      <c r="I133" s="5">
        <f>LEFT(PasteHashtag!H133,FIND("(",PasteHashtag!H133)-1)*1</f>
        <v>0.502</v>
      </c>
      <c r="J133" s="5">
        <f>MID(PasteHashtag!I133,1+FIND("(",PasteHashtag!I133),FIND("/",PasteHashtag!I133)-FIND("(",PasteHashtag!I133)-1)*1</f>
        <v>1.3</v>
      </c>
      <c r="K133" s="5">
        <f>LEFT(PasteHashtag!I133,FIND("(",PasteHashtag!I133)-1)*1</f>
        <v>0.777</v>
      </c>
      <c r="L133" s="5">
        <f>PasteHashtag!J133</f>
        <v>1.3</v>
      </c>
      <c r="M133" s="5">
        <f>PasteHashtag!K133</f>
        <v>14.1</v>
      </c>
      <c r="N133" s="5">
        <f>PasteHashtag!L133</f>
        <v>8.3</v>
      </c>
      <c r="O133" s="5">
        <f>PasteHashtag!M133</f>
        <v>1.4</v>
      </c>
      <c r="P133" s="5">
        <f>PasteHashtag!N133</f>
        <v>0.7</v>
      </c>
      <c r="Q133" s="5">
        <f>PasteHashtag!O133</f>
        <v>0.3</v>
      </c>
      <c r="R133" s="5">
        <f>PasteHashtag!P133</f>
        <v>1.1</v>
      </c>
      <c r="S133" s="5">
        <f>Mid(PasteHashtag!H133,FIND("/",PasteHashtag!H133)+1,LEN(PasteHashtag!H133)-FIND("/",PasteHashtag!H133)-1)*1</f>
        <v>11.5</v>
      </c>
      <c r="T133" s="306">
        <f>Mid(PasteHashtag!I133,FIND("/",PasteHashtag!I133)+1,LEN(PasteHashtag!I133)-FIND("/",PasteHashtag!I133)-1)*1</f>
        <v>1.7</v>
      </c>
      <c r="U133" s="26"/>
      <c r="V133" s="26"/>
      <c r="W133" s="26"/>
    </row>
    <row r="134">
      <c r="A134" s="5">
        <v>133.0</v>
      </c>
      <c r="B134" s="5">
        <f>PasteHashtag!B134</f>
        <v>118.7</v>
      </c>
      <c r="C134" s="305" t="str">
        <f>PasteHashtag!C134</f>
        <v>Keyonte George</v>
      </c>
      <c r="D134" s="5" t="str">
        <f>PasteHashtag!D134</f>
        <v>PG,SG</v>
      </c>
      <c r="E134" s="5" t="str">
        <f>PasteHashtag!E134</f>
        <v>UTA</v>
      </c>
      <c r="F134" s="5">
        <f>PasteHashtag!F134</f>
        <v>73</v>
      </c>
      <c r="G134" s="5">
        <f>PasteHashtag!G134</f>
        <v>31.6</v>
      </c>
      <c r="H134" s="5">
        <f>MID(PasteHashtag!H134,1+FIND("(",PasteHashtag!H134),FIND("/",PasteHashtag!H134)-FIND("(",PasteHashtag!H134)-1)*1</f>
        <v>5.4</v>
      </c>
      <c r="I134" s="5">
        <f>LEFT(PasteHashtag!H134,FIND("(",PasteHashtag!H134)-1)*1</f>
        <v>0.422</v>
      </c>
      <c r="J134" s="5">
        <f>MID(PasteHashtag!I134,1+FIND("(",PasteHashtag!I134),FIND("/",PasteHashtag!I134)-FIND("(",PasteHashtag!I134)-1)*1</f>
        <v>3</v>
      </c>
      <c r="K134" s="5">
        <f>LEFT(PasteHashtag!I134,FIND("(",PasteHashtag!I134)-1)*1</f>
        <v>0.851</v>
      </c>
      <c r="L134" s="5">
        <f>PasteHashtag!J134</f>
        <v>2.4</v>
      </c>
      <c r="M134" s="5">
        <f>PasteHashtag!K134</f>
        <v>16.3</v>
      </c>
      <c r="N134" s="5">
        <f>PasteHashtag!L134</f>
        <v>3.3</v>
      </c>
      <c r="O134" s="5">
        <f>PasteHashtag!M134</f>
        <v>5.2</v>
      </c>
      <c r="P134" s="5">
        <f>PasteHashtag!N134</f>
        <v>0.6</v>
      </c>
      <c r="Q134" s="5">
        <f>PasteHashtag!O134</f>
        <v>0.2</v>
      </c>
      <c r="R134" s="5">
        <f>PasteHashtag!P134</f>
        <v>2.6</v>
      </c>
      <c r="S134" s="5">
        <f>Mid(PasteHashtag!H134,FIND("/",PasteHashtag!H134)+1,LEN(PasteHashtag!H134)-FIND("/",PasteHashtag!H134)-1)*1</f>
        <v>12.9</v>
      </c>
      <c r="T134" s="306">
        <f>Mid(PasteHashtag!I134,FIND("/",PasteHashtag!I134)+1,LEN(PasteHashtag!I134)-FIND("/",PasteHashtag!I134)-1)*1</f>
        <v>3.5</v>
      </c>
      <c r="U134" s="26"/>
      <c r="V134" s="26"/>
      <c r="W134" s="26"/>
    </row>
    <row r="135">
      <c r="A135" s="5">
        <v>134.0</v>
      </c>
      <c r="B135" s="5">
        <f>PasteHashtag!B135</f>
        <v>140.4</v>
      </c>
      <c r="C135" s="305" t="str">
        <f>PasteHashtag!C135</f>
        <v>Kentavious Caldwell-Pope</v>
      </c>
      <c r="D135" s="5" t="str">
        <f>PasteHashtag!D135</f>
        <v>SG,SF</v>
      </c>
      <c r="E135" s="5" t="str">
        <f>PasteHashtag!E135</f>
        <v>ORL</v>
      </c>
      <c r="F135" s="5">
        <f>PasteHashtag!F135</f>
        <v>76</v>
      </c>
      <c r="G135" s="5">
        <f>PasteHashtag!G135</f>
        <v>30.1</v>
      </c>
      <c r="H135" s="5">
        <f>MID(PasteHashtag!H135,1+FIND("(",PasteHashtag!H135),FIND("/",PasteHashtag!H135)-FIND("(",PasteHashtag!H135)-1)*1</f>
        <v>3.6</v>
      </c>
      <c r="I135" s="5">
        <f>LEFT(PasteHashtag!H135,FIND("(",PasteHashtag!H135)-1)*1</f>
        <v>0.461</v>
      </c>
      <c r="J135" s="5">
        <f>MID(PasteHashtag!I135,1+FIND("(",PasteHashtag!I135),FIND("/",PasteHashtag!I135)-FIND("(",PasteHashtag!I135)-1)*1</f>
        <v>1.3</v>
      </c>
      <c r="K135" s="5">
        <f>LEFT(PasteHashtag!I135,FIND("(",PasteHashtag!I135)-1)*1</f>
        <v>0.861</v>
      </c>
      <c r="L135" s="5">
        <f>PasteHashtag!J135</f>
        <v>1.7</v>
      </c>
      <c r="M135" s="5">
        <f>PasteHashtag!K135</f>
        <v>10.1</v>
      </c>
      <c r="N135" s="5">
        <f>PasteHashtag!L135</f>
        <v>2.5</v>
      </c>
      <c r="O135" s="5">
        <f>PasteHashtag!M135</f>
        <v>2.3</v>
      </c>
      <c r="P135" s="5">
        <f>PasteHashtag!N135</f>
        <v>1.3</v>
      </c>
      <c r="Q135" s="5">
        <f>PasteHashtag!O135</f>
        <v>0.5</v>
      </c>
      <c r="R135" s="5">
        <f>PasteHashtag!P135</f>
        <v>1</v>
      </c>
      <c r="S135" s="5">
        <f>Mid(PasteHashtag!H135,FIND("/",PasteHashtag!H135)+1,LEN(PasteHashtag!H135)-FIND("/",PasteHashtag!H135)-1)*1</f>
        <v>7.8</v>
      </c>
      <c r="T135" s="306">
        <f>Mid(PasteHashtag!I135,FIND("/",PasteHashtag!I135)+1,LEN(PasteHashtag!I135)-FIND("/",PasteHashtag!I135)-1)*1</f>
        <v>1.5</v>
      </c>
      <c r="U135" s="26"/>
      <c r="V135" s="26"/>
      <c r="W135" s="26"/>
    </row>
    <row r="136">
      <c r="A136" s="5">
        <v>135.0</v>
      </c>
      <c r="B136" s="5">
        <f>PasteHashtag!B136</f>
        <v>133.4</v>
      </c>
      <c r="C136" s="305" t="str">
        <f>PasteHashtag!C136</f>
        <v>Alexandre Sarr</v>
      </c>
      <c r="D136" s="5" t="str">
        <f>PasteHashtag!D136</f>
        <v>PF</v>
      </c>
      <c r="E136" s="5" t="str">
        <f>PasteHashtag!E136</f>
        <v>WAS</v>
      </c>
      <c r="F136" s="5">
        <f>PasteHashtag!F136</f>
        <v>69</v>
      </c>
      <c r="G136" s="5">
        <f>PasteHashtag!G136</f>
        <v>29.9</v>
      </c>
      <c r="H136" s="5">
        <f>MID(PasteHashtag!H136,1+FIND("(",PasteHashtag!H136),FIND("/",PasteHashtag!H136)-FIND("(",PasteHashtag!H136)-1)*1</f>
        <v>4.5</v>
      </c>
      <c r="I136" s="5">
        <f>LEFT(PasteHashtag!H136,FIND("(",PasteHashtag!H136)-1)*1</f>
        <v>0.448</v>
      </c>
      <c r="J136" s="5">
        <f>MID(PasteHashtag!I136,1+FIND("(",PasteHashtag!I136),FIND("/",PasteHashtag!I136)-FIND("(",PasteHashtag!I136)-1)*1</f>
        <v>2.4</v>
      </c>
      <c r="K136" s="5">
        <f>LEFT(PasteHashtag!I136,FIND("(",PasteHashtag!I136)-1)*1</f>
        <v>0.711</v>
      </c>
      <c r="L136" s="5">
        <f>PasteHashtag!J136</f>
        <v>0.9</v>
      </c>
      <c r="M136" s="5">
        <f>PasteHashtag!K136</f>
        <v>12.2</v>
      </c>
      <c r="N136" s="5">
        <f>PasteHashtag!L136</f>
        <v>6.4</v>
      </c>
      <c r="O136" s="5">
        <f>PasteHashtag!M136</f>
        <v>1.3</v>
      </c>
      <c r="P136" s="5">
        <f>PasteHashtag!N136</f>
        <v>0.8</v>
      </c>
      <c r="Q136" s="5">
        <f>PasteHashtag!O136</f>
        <v>1.9</v>
      </c>
      <c r="R136" s="5">
        <f>PasteHashtag!P136</f>
        <v>1.3</v>
      </c>
      <c r="S136" s="5">
        <f>Mid(PasteHashtag!H136,FIND("/",PasteHashtag!H136)+1,LEN(PasteHashtag!H136)-FIND("/",PasteHashtag!H136)-1)*1</f>
        <v>10</v>
      </c>
      <c r="T136" s="306">
        <f>Mid(PasteHashtag!I136,FIND("/",PasteHashtag!I136)+1,LEN(PasteHashtag!I136)-FIND("/",PasteHashtag!I136)-1)*1</f>
        <v>3.4</v>
      </c>
      <c r="U136" s="26"/>
      <c r="V136" s="26"/>
      <c r="W136" s="26"/>
    </row>
    <row r="137">
      <c r="A137" s="5">
        <v>136.0</v>
      </c>
      <c r="B137" s="5">
        <f>PasteHashtag!B137</f>
        <v>132.1</v>
      </c>
      <c r="C137" s="305" t="str">
        <f>PasteHashtag!C137</f>
        <v>Jaden Ivey</v>
      </c>
      <c r="D137" s="5" t="str">
        <f>PasteHashtag!D137</f>
        <v>PG,SG</v>
      </c>
      <c r="E137" s="5" t="str">
        <f>PasteHashtag!E137</f>
        <v>DET</v>
      </c>
      <c r="F137" s="5">
        <f>PasteHashtag!F137</f>
        <v>76</v>
      </c>
      <c r="G137" s="5">
        <f>PasteHashtag!G137</f>
        <v>30</v>
      </c>
      <c r="H137" s="5">
        <f>MID(PasteHashtag!H137,1+FIND("(",PasteHashtag!H137),FIND("/",PasteHashtag!H137)-FIND("(",PasteHashtag!H137)-1)*1</f>
        <v>6.4</v>
      </c>
      <c r="I137" s="5">
        <f>LEFT(PasteHashtag!H137,FIND("(",PasteHashtag!H137)-1)*1</f>
        <v>0.435</v>
      </c>
      <c r="J137" s="5">
        <f>MID(PasteHashtag!I137,1+FIND("(",PasteHashtag!I137),FIND("/",PasteHashtag!I137)-FIND("(",PasteHashtag!I137)-1)*1</f>
        <v>3.3</v>
      </c>
      <c r="K137" s="5">
        <f>LEFT(PasteHashtag!I137,FIND("(",PasteHashtag!I137)-1)*1</f>
        <v>0.759</v>
      </c>
      <c r="L137" s="5">
        <f>PasteHashtag!J137</f>
        <v>2.2</v>
      </c>
      <c r="M137" s="5">
        <f>PasteHashtag!K137</f>
        <v>18.4</v>
      </c>
      <c r="N137" s="5">
        <f>PasteHashtag!L137</f>
        <v>3.7</v>
      </c>
      <c r="O137" s="5">
        <f>PasteHashtag!M137</f>
        <v>4.6</v>
      </c>
      <c r="P137" s="5">
        <f>PasteHashtag!N137</f>
        <v>0.8</v>
      </c>
      <c r="Q137" s="5">
        <f>PasteHashtag!O137</f>
        <v>0.6</v>
      </c>
      <c r="R137" s="5">
        <f>PasteHashtag!P137</f>
        <v>2.7</v>
      </c>
      <c r="S137" s="5">
        <f>Mid(PasteHashtag!H137,FIND("/",PasteHashtag!H137)+1,LEN(PasteHashtag!H137)-FIND("/",PasteHashtag!H137)-1)*1</f>
        <v>14.8</v>
      </c>
      <c r="T137" s="306">
        <f>Mid(PasteHashtag!I137,FIND("/",PasteHashtag!I137)+1,LEN(PasteHashtag!I137)-FIND("/",PasteHashtag!I137)-1)*1</f>
        <v>4.4</v>
      </c>
      <c r="U137" s="26"/>
      <c r="V137" s="26"/>
      <c r="W137" s="26"/>
    </row>
    <row r="138">
      <c r="A138" s="5">
        <v>137.0</v>
      </c>
      <c r="B138" s="5">
        <f>PasteHashtag!B138</f>
        <v>107.7</v>
      </c>
      <c r="C138" s="305" t="str">
        <f>PasteHashtag!C138</f>
        <v>RJ Barrett</v>
      </c>
      <c r="D138" s="5" t="str">
        <f>PasteHashtag!D138</f>
        <v>SF,PF</v>
      </c>
      <c r="E138" s="5" t="str">
        <f>PasteHashtag!E138</f>
        <v>TOR</v>
      </c>
      <c r="F138" s="5">
        <f>PasteHashtag!F138</f>
        <v>72</v>
      </c>
      <c r="G138" s="5">
        <f>PasteHashtag!G138</f>
        <v>33.5</v>
      </c>
      <c r="H138" s="5">
        <f>MID(PasteHashtag!H138,1+FIND("(",PasteHashtag!H138),FIND("/",PasteHashtag!H138)-FIND("(",PasteHashtag!H138)-1)*1</f>
        <v>7.9</v>
      </c>
      <c r="I138" s="5">
        <f>LEFT(PasteHashtag!H138,FIND("(",PasteHashtag!H138)-1)*1</f>
        <v>0.482</v>
      </c>
      <c r="J138" s="5">
        <f>MID(PasteHashtag!I138,1+FIND("(",PasteHashtag!I138),FIND("/",PasteHashtag!I138)-FIND("(",PasteHashtag!I138)-1)*1</f>
        <v>3.9</v>
      </c>
      <c r="K138" s="5">
        <f>LEFT(PasteHashtag!I138,FIND("(",PasteHashtag!I138)-1)*1</f>
        <v>0.726</v>
      </c>
      <c r="L138" s="5">
        <f>PasteHashtag!J138</f>
        <v>1.6</v>
      </c>
      <c r="M138" s="5">
        <f>PasteHashtag!K138</f>
        <v>21.2</v>
      </c>
      <c r="N138" s="5">
        <f>PasteHashtag!L138</f>
        <v>6.4</v>
      </c>
      <c r="O138" s="5">
        <f>PasteHashtag!M138</f>
        <v>3.8</v>
      </c>
      <c r="P138" s="5">
        <f>PasteHashtag!N138</f>
        <v>0.6</v>
      </c>
      <c r="Q138" s="5">
        <f>PasteHashtag!O138</f>
        <v>0.4</v>
      </c>
      <c r="R138" s="5">
        <f>PasteHashtag!P138</f>
        <v>2.3</v>
      </c>
      <c r="S138" s="5">
        <f>Mid(PasteHashtag!H138,FIND("/",PasteHashtag!H138)+1,LEN(PasteHashtag!H138)-FIND("/",PasteHashtag!H138)-1)*1</f>
        <v>16.3</v>
      </c>
      <c r="T138" s="306">
        <f>Mid(PasteHashtag!I138,FIND("/",PasteHashtag!I138)+1,LEN(PasteHashtag!I138)-FIND("/",PasteHashtag!I138)-1)*1</f>
        <v>5.4</v>
      </c>
      <c r="U138" s="26"/>
      <c r="V138" s="26"/>
      <c r="W138" s="26"/>
    </row>
    <row r="139">
      <c r="A139" s="5">
        <v>138.0</v>
      </c>
      <c r="B139" s="5">
        <f>PasteHashtag!B139</f>
        <v>134.2</v>
      </c>
      <c r="C139" s="305" t="str">
        <f>PasteHashtag!C139</f>
        <v>P.J. Washington</v>
      </c>
      <c r="D139" s="5" t="str">
        <f>PasteHashtag!D139</f>
        <v>PF</v>
      </c>
      <c r="E139" s="5" t="str">
        <f>PasteHashtag!E139</f>
        <v>DAL</v>
      </c>
      <c r="F139" s="5">
        <f>PasteHashtag!F139</f>
        <v>73</v>
      </c>
      <c r="G139" s="5">
        <f>PasteHashtag!G139</f>
        <v>31.2</v>
      </c>
      <c r="H139" s="5">
        <f>MID(PasteHashtag!H139,1+FIND("(",PasteHashtag!H139),FIND("/",PasteHashtag!H139)-FIND("(",PasteHashtag!H139)-1)*1</f>
        <v>4.5</v>
      </c>
      <c r="I139" s="5">
        <f>LEFT(PasteHashtag!H139,FIND("(",PasteHashtag!H139)-1)*1</f>
        <v>0.431</v>
      </c>
      <c r="J139" s="5">
        <f>MID(PasteHashtag!I139,1+FIND("(",PasteHashtag!I139),FIND("/",PasteHashtag!I139)-FIND("(",PasteHashtag!I139)-1)*1</f>
        <v>1.5</v>
      </c>
      <c r="K139" s="5">
        <f>LEFT(PasteHashtag!I139,FIND("(",PasteHashtag!I139)-1)*1</f>
        <v>0.706</v>
      </c>
      <c r="L139" s="5">
        <f>PasteHashtag!J139</f>
        <v>1.9</v>
      </c>
      <c r="M139" s="5">
        <f>PasteHashtag!K139</f>
        <v>12.4</v>
      </c>
      <c r="N139" s="5">
        <f>PasteHashtag!L139</f>
        <v>5.5</v>
      </c>
      <c r="O139" s="5">
        <f>PasteHashtag!M139</f>
        <v>2.1</v>
      </c>
      <c r="P139" s="5">
        <f>PasteHashtag!N139</f>
        <v>1.1</v>
      </c>
      <c r="Q139" s="5">
        <f>PasteHashtag!O139</f>
        <v>0.9</v>
      </c>
      <c r="R139" s="5">
        <f>PasteHashtag!P139</f>
        <v>1.4</v>
      </c>
      <c r="S139" s="5">
        <f>Mid(PasteHashtag!H139,FIND("/",PasteHashtag!H139)+1,LEN(PasteHashtag!H139)-FIND("/",PasteHashtag!H139)-1)*1</f>
        <v>10.5</v>
      </c>
      <c r="T139" s="306">
        <f>Mid(PasteHashtag!I139,FIND("/",PasteHashtag!I139)+1,LEN(PasteHashtag!I139)-FIND("/",PasteHashtag!I139)-1)*1</f>
        <v>2.1</v>
      </c>
      <c r="U139" s="26"/>
      <c r="V139" s="26"/>
      <c r="W139" s="26"/>
    </row>
    <row r="140">
      <c r="A140" s="5">
        <v>139.0</v>
      </c>
      <c r="B140" s="5">
        <f>PasteHashtag!B140</f>
        <v>129.5</v>
      </c>
      <c r="C140" s="305" t="str">
        <f>PasteHashtag!C140</f>
        <v>Malik Monk</v>
      </c>
      <c r="D140" s="5" t="str">
        <f>PasteHashtag!D140</f>
        <v>SG,SF</v>
      </c>
      <c r="E140" s="5" t="str">
        <f>PasteHashtag!E140</f>
        <v>SAC</v>
      </c>
      <c r="F140" s="5">
        <f>PasteHashtag!F140</f>
        <v>74</v>
      </c>
      <c r="G140" s="5">
        <f>PasteHashtag!G140</f>
        <v>25.8</v>
      </c>
      <c r="H140" s="5">
        <f>MID(PasteHashtag!H140,1+FIND("(",PasteHashtag!H140),FIND("/",PasteHashtag!H140)-FIND("(",PasteHashtag!H140)-1)*1</f>
        <v>5.1</v>
      </c>
      <c r="I140" s="5">
        <f>LEFT(PasteHashtag!H140,FIND("(",PasteHashtag!H140)-1)*1</f>
        <v>0.446</v>
      </c>
      <c r="J140" s="5">
        <f>MID(PasteHashtag!I140,1+FIND("(",PasteHashtag!I140),FIND("/",PasteHashtag!I140)-FIND("(",PasteHashtag!I140)-1)*1</f>
        <v>2.4</v>
      </c>
      <c r="K140" s="5">
        <f>LEFT(PasteHashtag!I140,FIND("(",PasteHashtag!I140)-1)*1</f>
        <v>0.86</v>
      </c>
      <c r="L140" s="5">
        <f>PasteHashtag!J140</f>
        <v>2</v>
      </c>
      <c r="M140" s="5">
        <f>PasteHashtag!K140</f>
        <v>14.5</v>
      </c>
      <c r="N140" s="5">
        <f>PasteHashtag!L140</f>
        <v>2.8</v>
      </c>
      <c r="O140" s="5">
        <f>PasteHashtag!M140</f>
        <v>4.5</v>
      </c>
      <c r="P140" s="5">
        <f>PasteHashtag!N140</f>
        <v>0.6</v>
      </c>
      <c r="Q140" s="5">
        <f>PasteHashtag!O140</f>
        <v>0.4</v>
      </c>
      <c r="R140" s="5">
        <f>PasteHashtag!P140</f>
        <v>2</v>
      </c>
      <c r="S140" s="5">
        <f>Mid(PasteHashtag!H140,FIND("/",PasteHashtag!H140)+1,LEN(PasteHashtag!H140)-FIND("/",PasteHashtag!H140)-1)*1</f>
        <v>11.4</v>
      </c>
      <c r="T140" s="306">
        <f>Mid(PasteHashtag!I140,FIND("/",PasteHashtag!I140)+1,LEN(PasteHashtag!I140)-FIND("/",PasteHashtag!I140)-1)*1</f>
        <v>2.8</v>
      </c>
      <c r="U140" s="26"/>
      <c r="V140" s="26"/>
      <c r="W140" s="26"/>
    </row>
    <row r="141">
      <c r="A141" s="5">
        <v>140.0</v>
      </c>
      <c r="B141" s="5">
        <f>PasteHashtag!B141</f>
        <v>139.5</v>
      </c>
      <c r="C141" s="305" t="str">
        <f>PasteHashtag!C141</f>
        <v>Luguentz Dort</v>
      </c>
      <c r="D141" s="5" t="str">
        <f>PasteHashtag!D141</f>
        <v>SG,SF</v>
      </c>
      <c r="E141" s="5" t="str">
        <f>PasteHashtag!E141</f>
        <v>OKC</v>
      </c>
      <c r="F141" s="5">
        <f>PasteHashtag!F141</f>
        <v>76</v>
      </c>
      <c r="G141" s="5">
        <f>PasteHashtag!G141</f>
        <v>30</v>
      </c>
      <c r="H141" s="5">
        <f>MID(PasteHashtag!H141,1+FIND("(",PasteHashtag!H141),FIND("/",PasteHashtag!H141)-FIND("(",PasteHashtag!H141)-1)*1</f>
        <v>4.2</v>
      </c>
      <c r="I141" s="5">
        <f>LEFT(PasteHashtag!H141,FIND("(",PasteHashtag!H141)-1)*1</f>
        <v>0.433</v>
      </c>
      <c r="J141" s="5">
        <f>MID(PasteHashtag!I141,1+FIND("(",PasteHashtag!I141),FIND("/",PasteHashtag!I141)-FIND("(",PasteHashtag!I141)-1)*1</f>
        <v>1.7</v>
      </c>
      <c r="K141" s="5">
        <f>LEFT(PasteHashtag!I141,FIND("(",PasteHashtag!I141)-1)*1</f>
        <v>0.824</v>
      </c>
      <c r="L141" s="5">
        <f>PasteHashtag!J141</f>
        <v>2</v>
      </c>
      <c r="M141" s="5">
        <f>PasteHashtag!K141</f>
        <v>12</v>
      </c>
      <c r="N141" s="5">
        <f>PasteHashtag!L141</f>
        <v>4.2</v>
      </c>
      <c r="O141" s="5">
        <f>PasteHashtag!M141</f>
        <v>1.8</v>
      </c>
      <c r="P141" s="5">
        <f>PasteHashtag!N141</f>
        <v>1</v>
      </c>
      <c r="Q141" s="5">
        <f>PasteHashtag!O141</f>
        <v>0.7</v>
      </c>
      <c r="R141" s="5">
        <f>PasteHashtag!P141</f>
        <v>1.1</v>
      </c>
      <c r="S141" s="5">
        <f>Mid(PasteHashtag!H141,FIND("/",PasteHashtag!H141)+1,LEN(PasteHashtag!H141)-FIND("/",PasteHashtag!H141)-1)*1</f>
        <v>9.7</v>
      </c>
      <c r="T141" s="306">
        <f>Mid(PasteHashtag!I141,FIND("/",PasteHashtag!I141)+1,LEN(PasteHashtag!I141)-FIND("/",PasteHashtag!I141)-1)*1</f>
        <v>2.1</v>
      </c>
      <c r="U141" s="26"/>
      <c r="V141" s="26"/>
      <c r="W141" s="26"/>
    </row>
    <row r="142">
      <c r="A142" s="5">
        <v>141.0</v>
      </c>
      <c r="B142" s="5">
        <f>PasteHashtag!B142</f>
        <v>138.1</v>
      </c>
      <c r="C142" s="305" t="str">
        <f>PasteHashtag!C142</f>
        <v>Ausar Thompson</v>
      </c>
      <c r="D142" s="5" t="str">
        <f>PasteHashtag!D142</f>
        <v>SF,PF</v>
      </c>
      <c r="E142" s="5" t="str">
        <f>PasteHashtag!E142</f>
        <v>DET</v>
      </c>
      <c r="F142" s="5">
        <f>PasteHashtag!F142</f>
        <v>69</v>
      </c>
      <c r="G142" s="5">
        <f>PasteHashtag!G142</f>
        <v>28.1</v>
      </c>
      <c r="H142" s="5">
        <f>MID(PasteHashtag!H142,1+FIND("(",PasteHashtag!H142),FIND("/",PasteHashtag!H142)-FIND("(",PasteHashtag!H142)-1)*1</f>
        <v>4.4</v>
      </c>
      <c r="I142" s="5">
        <f>LEFT(PasteHashtag!H142,FIND("(",PasteHashtag!H142)-1)*1</f>
        <v>0.493</v>
      </c>
      <c r="J142" s="5">
        <f>MID(PasteHashtag!I142,1+FIND("(",PasteHashtag!I142),FIND("/",PasteHashtag!I142)-FIND("(",PasteHashtag!I142)-1)*1</f>
        <v>1.3</v>
      </c>
      <c r="K142" s="5">
        <f>LEFT(PasteHashtag!I142,FIND("(",PasteHashtag!I142)-1)*1</f>
        <v>0.624</v>
      </c>
      <c r="L142" s="5">
        <f>PasteHashtag!J142</f>
        <v>0.4</v>
      </c>
      <c r="M142" s="5">
        <f>PasteHashtag!K142</f>
        <v>10.6</v>
      </c>
      <c r="N142" s="5">
        <f>PasteHashtag!L142</f>
        <v>7.2</v>
      </c>
      <c r="O142" s="5">
        <f>PasteHashtag!M142</f>
        <v>2.2</v>
      </c>
      <c r="P142" s="5">
        <f>PasteHashtag!N142</f>
        <v>1.2</v>
      </c>
      <c r="Q142" s="5">
        <f>PasteHashtag!O142</f>
        <v>1.1</v>
      </c>
      <c r="R142" s="5">
        <f>PasteHashtag!P142</f>
        <v>1.5</v>
      </c>
      <c r="S142" s="5">
        <f>Mid(PasteHashtag!H142,FIND("/",PasteHashtag!H142)+1,LEN(PasteHashtag!H142)-FIND("/",PasteHashtag!H142)-1)*1</f>
        <v>9</v>
      </c>
      <c r="T142" s="306">
        <f>Mid(PasteHashtag!I142,FIND("/",PasteHashtag!I142)+1,LEN(PasteHashtag!I142)-FIND("/",PasteHashtag!I142)-1)*1</f>
        <v>2.1</v>
      </c>
      <c r="U142" s="26"/>
      <c r="V142" s="26"/>
      <c r="W142" s="26"/>
    </row>
    <row r="143">
      <c r="A143" s="5">
        <v>142.0</v>
      </c>
      <c r="B143" s="5">
        <f>PasteHashtag!B143</f>
        <v>136.5</v>
      </c>
      <c r="C143" s="305" t="str">
        <f>PasteHashtag!C143</f>
        <v>Rui Hachimura</v>
      </c>
      <c r="D143" s="5" t="str">
        <f>PasteHashtag!D143</f>
        <v>SF,PF</v>
      </c>
      <c r="E143" s="5" t="str">
        <f>PasteHashtag!E143</f>
        <v>LAL</v>
      </c>
      <c r="F143" s="5">
        <f>PasteHashtag!F143</f>
        <v>66</v>
      </c>
      <c r="G143" s="5">
        <f>PasteHashtag!G143</f>
        <v>29.2</v>
      </c>
      <c r="H143" s="5">
        <f>MID(PasteHashtag!H143,1+FIND("(",PasteHashtag!H143),FIND("/",PasteHashtag!H143)-FIND("(",PasteHashtag!H143)-1)*1</f>
        <v>5.8</v>
      </c>
      <c r="I143" s="5">
        <f>LEFT(PasteHashtag!H143,FIND("(",PasteHashtag!H143)-1)*1</f>
        <v>0.514</v>
      </c>
      <c r="J143" s="5">
        <f>MID(PasteHashtag!I143,1+FIND("(",PasteHashtag!I143),FIND("/",PasteHashtag!I143)-FIND("(",PasteHashtag!I143)-1)*1</f>
        <v>1.7</v>
      </c>
      <c r="K143" s="5">
        <f>LEFT(PasteHashtag!I143,FIND("(",PasteHashtag!I143)-1)*1</f>
        <v>0.74</v>
      </c>
      <c r="L143" s="5">
        <f>PasteHashtag!J143</f>
        <v>1.5</v>
      </c>
      <c r="M143" s="5">
        <f>PasteHashtag!K143</f>
        <v>14.8</v>
      </c>
      <c r="N143" s="5">
        <f>PasteHashtag!L143</f>
        <v>5.2</v>
      </c>
      <c r="O143" s="5">
        <f>PasteHashtag!M143</f>
        <v>1.3</v>
      </c>
      <c r="P143" s="5">
        <f>PasteHashtag!N143</f>
        <v>0.7</v>
      </c>
      <c r="Q143" s="5">
        <f>PasteHashtag!O143</f>
        <v>0.5</v>
      </c>
      <c r="R143" s="5">
        <f>PasteHashtag!P143</f>
        <v>0.9</v>
      </c>
      <c r="S143" s="5">
        <f>Mid(PasteHashtag!H143,FIND("/",PasteHashtag!H143)+1,LEN(PasteHashtag!H143)-FIND("/",PasteHashtag!H143)-1)*1</f>
        <v>11.3</v>
      </c>
      <c r="T143" s="306">
        <f>Mid(PasteHashtag!I143,FIND("/",PasteHashtag!I143)+1,LEN(PasteHashtag!I143)-FIND("/",PasteHashtag!I143)-1)*1</f>
        <v>2.3</v>
      </c>
      <c r="U143" s="26"/>
      <c r="V143" s="26"/>
      <c r="W143" s="26"/>
    </row>
    <row r="144">
      <c r="A144" s="5">
        <v>143.0</v>
      </c>
      <c r="B144" s="5">
        <f>PasteHashtag!B144</f>
        <v>116.3</v>
      </c>
      <c r="C144" s="305" t="str">
        <f>PasteHashtag!C144</f>
        <v>Josh Hart</v>
      </c>
      <c r="D144" s="5" t="str">
        <f>PasteHashtag!D144</f>
        <v>SF,PF</v>
      </c>
      <c r="E144" s="5" t="str">
        <f>PasteHashtag!E144</f>
        <v>NY</v>
      </c>
      <c r="F144" s="5">
        <f>PasteHashtag!F144</f>
        <v>76</v>
      </c>
      <c r="G144" s="5">
        <f>PasteHashtag!G144</f>
        <v>32.2</v>
      </c>
      <c r="H144" s="5">
        <f>MID(PasteHashtag!H144,1+FIND("(",PasteHashtag!H144),FIND("/",PasteHashtag!H144)-FIND("(",PasteHashtag!H144)-1)*1</f>
        <v>3.4</v>
      </c>
      <c r="I144" s="5">
        <f>LEFT(PasteHashtag!H144,FIND("(",PasteHashtag!H144)-1)*1</f>
        <v>0.457</v>
      </c>
      <c r="J144" s="5">
        <f>MID(PasteHashtag!I144,1+FIND("(",PasteHashtag!I144),FIND("/",PasteHashtag!I144)-FIND("(",PasteHashtag!I144)-1)*1</f>
        <v>1.4</v>
      </c>
      <c r="K144" s="5">
        <f>LEFT(PasteHashtag!I144,FIND("(",PasteHashtag!I144)-1)*1</f>
        <v>0.765</v>
      </c>
      <c r="L144" s="5">
        <f>PasteHashtag!J144</f>
        <v>0.9</v>
      </c>
      <c r="M144" s="5">
        <f>PasteHashtag!K144</f>
        <v>9.1</v>
      </c>
      <c r="N144" s="5">
        <f>PasteHashtag!L144</f>
        <v>7.9</v>
      </c>
      <c r="O144" s="5">
        <f>PasteHashtag!M144</f>
        <v>3.9</v>
      </c>
      <c r="P144" s="5">
        <f>PasteHashtag!N144</f>
        <v>1</v>
      </c>
      <c r="Q144" s="5">
        <f>PasteHashtag!O144</f>
        <v>0.3</v>
      </c>
      <c r="R144" s="5">
        <f>PasteHashtag!P144</f>
        <v>1.7</v>
      </c>
      <c r="S144" s="5">
        <f>Mid(PasteHashtag!H144,FIND("/",PasteHashtag!H144)+1,LEN(PasteHashtag!H144)-FIND("/",PasteHashtag!H144)-1)*1</f>
        <v>7.5</v>
      </c>
      <c r="T144" s="306">
        <f>Mid(PasteHashtag!I144,FIND("/",PasteHashtag!I144)+1,LEN(PasteHashtag!I144)-FIND("/",PasteHashtag!I144)-1)*1</f>
        <v>1.8</v>
      </c>
      <c r="U144" s="26"/>
      <c r="V144" s="26"/>
      <c r="W144" s="26"/>
    </row>
    <row r="145">
      <c r="A145" s="5">
        <v>144.0</v>
      </c>
      <c r="B145" s="5">
        <f>PasteHashtag!B145</f>
        <v>142.1</v>
      </c>
      <c r="C145" s="305" t="str">
        <f>PasteHashtag!C145</f>
        <v>Wendell Carter Jr.</v>
      </c>
      <c r="D145" s="5" t="str">
        <f>PasteHashtag!D145</f>
        <v>C</v>
      </c>
      <c r="E145" s="5" t="str">
        <f>PasteHashtag!E145</f>
        <v>ORL</v>
      </c>
      <c r="F145" s="5">
        <f>PasteHashtag!F145</f>
        <v>58</v>
      </c>
      <c r="G145" s="5">
        <f>PasteHashtag!G145</f>
        <v>27.1</v>
      </c>
      <c r="H145" s="5">
        <f>MID(PasteHashtag!H145,1+FIND("(",PasteHashtag!H145),FIND("/",PasteHashtag!H145)-FIND("(",PasteHashtag!H145)-1)*1</f>
        <v>4.8</v>
      </c>
      <c r="I145" s="5">
        <f>LEFT(PasteHashtag!H145,FIND("(",PasteHashtag!H145)-1)*1</f>
        <v>0.525</v>
      </c>
      <c r="J145" s="5">
        <f>MID(PasteHashtag!I145,1+FIND("(",PasteHashtag!I145),FIND("/",PasteHashtag!I145)-FIND("(",PasteHashtag!I145)-1)*1</f>
        <v>2.1</v>
      </c>
      <c r="K145" s="5">
        <f>LEFT(PasteHashtag!I145,FIND("(",PasteHashtag!I145)-1)*1</f>
        <v>0.722</v>
      </c>
      <c r="L145" s="5">
        <f>PasteHashtag!J145</f>
        <v>1.3</v>
      </c>
      <c r="M145" s="5">
        <f>PasteHashtag!K145</f>
        <v>13</v>
      </c>
      <c r="N145" s="5">
        <f>PasteHashtag!L145</f>
        <v>7.7</v>
      </c>
      <c r="O145" s="5">
        <f>PasteHashtag!M145</f>
        <v>2</v>
      </c>
      <c r="P145" s="5">
        <f>PasteHashtag!N145</f>
        <v>0.6</v>
      </c>
      <c r="Q145" s="5">
        <f>PasteHashtag!O145</f>
        <v>0.5</v>
      </c>
      <c r="R145" s="5">
        <f>PasteHashtag!P145</f>
        <v>1.5</v>
      </c>
      <c r="S145" s="5">
        <f>Mid(PasteHashtag!H145,FIND("/",PasteHashtag!H145)+1,LEN(PasteHashtag!H145)-FIND("/",PasteHashtag!H145)-1)*1</f>
        <v>9.2</v>
      </c>
      <c r="T145" s="306">
        <f>Mid(PasteHashtag!I145,FIND("/",PasteHashtag!I145)+1,LEN(PasteHashtag!I145)-FIND("/",PasteHashtag!I145)-1)*1</f>
        <v>2.9</v>
      </c>
      <c r="U145" s="26"/>
      <c r="V145" s="26"/>
      <c r="W145" s="26"/>
    </row>
    <row r="146">
      <c r="A146" s="5">
        <v>145.0</v>
      </c>
      <c r="B146" s="5">
        <f>PasteHashtag!B146</f>
        <v>141.7</v>
      </c>
      <c r="C146" s="305" t="str">
        <f>PasteHashtag!C146</f>
        <v>Jeremy Sochan</v>
      </c>
      <c r="D146" s="5" t="str">
        <f>PasteHashtag!D146</f>
        <v>SF,PF</v>
      </c>
      <c r="E146" s="5" t="str">
        <f>PasteHashtag!E146</f>
        <v>SA</v>
      </c>
      <c r="F146" s="5">
        <f>PasteHashtag!F146</f>
        <v>72</v>
      </c>
      <c r="G146" s="5">
        <f>PasteHashtag!G146</f>
        <v>31.2</v>
      </c>
      <c r="H146" s="5">
        <f>MID(PasteHashtag!H146,1+FIND("(",PasteHashtag!H146),FIND("/",PasteHashtag!H146)-FIND("(",PasteHashtag!H146)-1)*1</f>
        <v>4.9</v>
      </c>
      <c r="I146" s="5">
        <f>LEFT(PasteHashtag!H146,FIND("(",PasteHashtag!H146)-1)*1</f>
        <v>0.444</v>
      </c>
      <c r="J146" s="5">
        <f>MID(PasteHashtag!I146,1+FIND("(",PasteHashtag!I146),FIND("/",PasteHashtag!I146)-FIND("(",PasteHashtag!I146)-1)*1</f>
        <v>1.7</v>
      </c>
      <c r="K146" s="5">
        <f>LEFT(PasteHashtag!I146,FIND("(",PasteHashtag!I146)-1)*1</f>
        <v>0.77</v>
      </c>
      <c r="L146" s="5">
        <f>PasteHashtag!J146</f>
        <v>1</v>
      </c>
      <c r="M146" s="5">
        <f>PasteHashtag!K146</f>
        <v>12.4</v>
      </c>
      <c r="N146" s="5">
        <f>PasteHashtag!L146</f>
        <v>6.8</v>
      </c>
      <c r="O146" s="5">
        <f>PasteHashtag!M146</f>
        <v>3.2</v>
      </c>
      <c r="P146" s="5">
        <f>PasteHashtag!N146</f>
        <v>1</v>
      </c>
      <c r="Q146" s="5">
        <f>PasteHashtag!O146</f>
        <v>0.6</v>
      </c>
      <c r="R146" s="5">
        <f>PasteHashtag!P146</f>
        <v>2</v>
      </c>
      <c r="S146" s="5">
        <f>Mid(PasteHashtag!H146,FIND("/",PasteHashtag!H146)+1,LEN(PasteHashtag!H146)-FIND("/",PasteHashtag!H146)-1)*1</f>
        <v>11</v>
      </c>
      <c r="T146" s="306">
        <f>Mid(PasteHashtag!I146,FIND("/",PasteHashtag!I146)+1,LEN(PasteHashtag!I146)-FIND("/",PasteHashtag!I146)-1)*1</f>
        <v>2.2</v>
      </c>
      <c r="U146" s="26"/>
      <c r="V146" s="26"/>
      <c r="W146" s="26"/>
    </row>
    <row r="147">
      <c r="A147" s="5">
        <v>146.0</v>
      </c>
      <c r="B147" s="5">
        <f>PasteHashtag!B147</f>
        <v>137.4</v>
      </c>
      <c r="C147" s="305" t="str">
        <f>PasteHashtag!C147</f>
        <v>Aaron Nesmith</v>
      </c>
      <c r="D147" s="5" t="str">
        <f>PasteHashtag!D147</f>
        <v>SF,PF</v>
      </c>
      <c r="E147" s="5" t="str">
        <f>PasteHashtag!E147</f>
        <v>IND</v>
      </c>
      <c r="F147" s="5">
        <f>PasteHashtag!F147</f>
        <v>72</v>
      </c>
      <c r="G147" s="5">
        <f>PasteHashtag!G147</f>
        <v>28.7</v>
      </c>
      <c r="H147" s="5">
        <f>MID(PasteHashtag!H147,1+FIND("(",PasteHashtag!H147),FIND("/",PasteHashtag!H147)-FIND("(",PasteHashtag!H147)-1)*1</f>
        <v>4.2</v>
      </c>
      <c r="I147" s="5">
        <f>LEFT(PasteHashtag!H147,FIND("(",PasteHashtag!H147)-1)*1</f>
        <v>0.477</v>
      </c>
      <c r="J147" s="5">
        <f>MID(PasteHashtag!I147,1+FIND("(",PasteHashtag!I147),FIND("/",PasteHashtag!I147)-FIND("(",PasteHashtag!I147)-1)*1</f>
        <v>1.6</v>
      </c>
      <c r="K147" s="5">
        <f>LEFT(PasteHashtag!I147,FIND("(",PasteHashtag!I147)-1)*1</f>
        <v>0.796</v>
      </c>
      <c r="L147" s="5">
        <f>PasteHashtag!J147</f>
        <v>1.9</v>
      </c>
      <c r="M147" s="5">
        <f>PasteHashtag!K147</f>
        <v>11.9</v>
      </c>
      <c r="N147" s="5">
        <f>PasteHashtag!L147</f>
        <v>4.1</v>
      </c>
      <c r="O147" s="5">
        <f>PasteHashtag!M147</f>
        <v>1.5</v>
      </c>
      <c r="P147" s="5">
        <f>PasteHashtag!N147</f>
        <v>0.9</v>
      </c>
      <c r="Q147" s="5">
        <f>PasteHashtag!O147</f>
        <v>0.6</v>
      </c>
      <c r="R147" s="5">
        <f>PasteHashtag!P147</f>
        <v>1</v>
      </c>
      <c r="S147" s="5">
        <f>Mid(PasteHashtag!H147,FIND("/",PasteHashtag!H147)+1,LEN(PasteHashtag!H147)-FIND("/",PasteHashtag!H147)-1)*1</f>
        <v>8.8</v>
      </c>
      <c r="T147" s="306">
        <f>Mid(PasteHashtag!I147,FIND("/",PasteHashtag!I147)+1,LEN(PasteHashtag!I147)-FIND("/",PasteHashtag!I147)-1)*1</f>
        <v>2</v>
      </c>
      <c r="U147" s="26"/>
      <c r="V147" s="26"/>
      <c r="W147" s="26"/>
    </row>
    <row r="148">
      <c r="A148" s="5">
        <v>147.0</v>
      </c>
      <c r="B148" s="5" t="str">
        <f>PasteHashtag!B148</f>
        <v/>
      </c>
      <c r="C148" s="305" t="str">
        <f>PasteHashtag!C148</f>
        <v>Brandon Clarke</v>
      </c>
      <c r="D148" s="5" t="str">
        <f>PasteHashtag!D148</f>
        <v>PF,C</v>
      </c>
      <c r="E148" s="5" t="str">
        <f>PasteHashtag!E148</f>
        <v>MEM</v>
      </c>
      <c r="F148" s="5">
        <f>PasteHashtag!F148</f>
        <v>60</v>
      </c>
      <c r="G148" s="5">
        <f>PasteHashtag!G148</f>
        <v>22.5</v>
      </c>
      <c r="H148" s="5">
        <f>MID(PasteHashtag!H148,1+FIND("(",PasteHashtag!H148),FIND("/",PasteHashtag!H148)-FIND("(",PasteHashtag!H148)-1)*1</f>
        <v>4.8</v>
      </c>
      <c r="I148" s="5">
        <f>LEFT(PasteHashtag!H148,FIND("(",PasteHashtag!H148)-1)*1</f>
        <v>0.642</v>
      </c>
      <c r="J148" s="5">
        <f>MID(PasteHashtag!I148,1+FIND("(",PasteHashtag!I148),FIND("/",PasteHashtag!I148)-FIND("(",PasteHashtag!I148)-1)*1</f>
        <v>1.8</v>
      </c>
      <c r="K148" s="5">
        <f>LEFT(PasteHashtag!I148,FIND("(",PasteHashtag!I148)-1)*1</f>
        <v>0.695</v>
      </c>
      <c r="L148" s="5">
        <f>PasteHashtag!J148</f>
        <v>0</v>
      </c>
      <c r="M148" s="5">
        <f>PasteHashtag!K148</f>
        <v>11.4</v>
      </c>
      <c r="N148" s="5">
        <f>PasteHashtag!L148</f>
        <v>6.2</v>
      </c>
      <c r="O148" s="5">
        <f>PasteHashtag!M148</f>
        <v>1.5</v>
      </c>
      <c r="P148" s="5">
        <f>PasteHashtag!N148</f>
        <v>0.7</v>
      </c>
      <c r="Q148" s="5">
        <f>PasteHashtag!O148</f>
        <v>0.8</v>
      </c>
      <c r="R148" s="5">
        <f>PasteHashtag!P148</f>
        <v>1.1</v>
      </c>
      <c r="S148" s="5">
        <f>Mid(PasteHashtag!H148,FIND("/",PasteHashtag!H148)+1,LEN(PasteHashtag!H148)-FIND("/",PasteHashtag!H148)-1)*1</f>
        <v>7.4</v>
      </c>
      <c r="T148" s="306">
        <f>Mid(PasteHashtag!I148,FIND("/",PasteHashtag!I148)+1,LEN(PasteHashtag!I148)-FIND("/",PasteHashtag!I148)-1)*1</f>
        <v>2.6</v>
      </c>
      <c r="U148" s="26"/>
      <c r="V148" s="26"/>
      <c r="W148" s="26"/>
    </row>
    <row r="149">
      <c r="A149" s="5">
        <v>148.0</v>
      </c>
      <c r="B149" s="5">
        <f>PasteHashtag!B149</f>
        <v>143.1</v>
      </c>
      <c r="C149" s="305" t="str">
        <f>PasteHashtag!C149</f>
        <v>Marvin Bagley III</v>
      </c>
      <c r="D149" s="5" t="str">
        <f>PasteHashtag!D149</f>
        <v>PF,C</v>
      </c>
      <c r="E149" s="5" t="str">
        <f>PasteHashtag!E149</f>
        <v>WAS</v>
      </c>
      <c r="F149" s="5">
        <f>PasteHashtag!F149</f>
        <v>55</v>
      </c>
      <c r="G149" s="5">
        <f>PasteHashtag!G149</f>
        <v>25.4</v>
      </c>
      <c r="H149" s="5">
        <f>MID(PasteHashtag!H149,1+FIND("(",PasteHashtag!H149),FIND("/",PasteHashtag!H149)-FIND("(",PasteHashtag!H149)-1)*1</f>
        <v>5.5</v>
      </c>
      <c r="I149" s="5">
        <f>LEFT(PasteHashtag!H149,FIND("(",PasteHashtag!H149)-1)*1</f>
        <v>0.558</v>
      </c>
      <c r="J149" s="5">
        <f>MID(PasteHashtag!I149,1+FIND("(",PasteHashtag!I149),FIND("/",PasteHashtag!I149)-FIND("(",PasteHashtag!I149)-1)*1</f>
        <v>2.2</v>
      </c>
      <c r="K149" s="5">
        <f>LEFT(PasteHashtag!I149,FIND("(",PasteHashtag!I149)-1)*1</f>
        <v>0.755</v>
      </c>
      <c r="L149" s="5">
        <f>PasteHashtag!J149</f>
        <v>0.3</v>
      </c>
      <c r="M149" s="5">
        <f>PasteHashtag!K149</f>
        <v>13.4</v>
      </c>
      <c r="N149" s="5">
        <f>PasteHashtag!L149</f>
        <v>7.2</v>
      </c>
      <c r="O149" s="5">
        <f>PasteHashtag!M149</f>
        <v>1.1</v>
      </c>
      <c r="P149" s="5">
        <f>PasteHashtag!N149</f>
        <v>0.5</v>
      </c>
      <c r="Q149" s="5">
        <f>PasteHashtag!O149</f>
        <v>0.8</v>
      </c>
      <c r="R149" s="5">
        <f>PasteHashtag!P149</f>
        <v>1.3</v>
      </c>
      <c r="S149" s="5">
        <f>Mid(PasteHashtag!H149,FIND("/",PasteHashtag!H149)+1,LEN(PasteHashtag!H149)-FIND("/",PasteHashtag!H149)-1)*1</f>
        <v>9.8</v>
      </c>
      <c r="T149" s="306">
        <f>Mid(PasteHashtag!I149,FIND("/",PasteHashtag!I149)+1,LEN(PasteHashtag!I149)-FIND("/",PasteHashtag!I149)-1)*1</f>
        <v>2.9</v>
      </c>
      <c r="U149" s="26"/>
      <c r="V149" s="26"/>
      <c r="W149" s="26"/>
    </row>
    <row r="150">
      <c r="A150" s="5">
        <v>149.0</v>
      </c>
      <c r="B150" s="5">
        <f>PasteHashtag!B150</f>
        <v>140.3</v>
      </c>
      <c r="C150" s="305" t="str">
        <f>PasteHashtag!C150</f>
        <v>Kelly Olynyk</v>
      </c>
      <c r="D150" s="5" t="str">
        <f>PasteHashtag!D150</f>
        <v>C</v>
      </c>
      <c r="E150" s="5" t="str">
        <f>PasteHashtag!E150</f>
        <v>TOR</v>
      </c>
      <c r="F150" s="5">
        <f>PasteHashtag!F150</f>
        <v>69</v>
      </c>
      <c r="G150" s="5">
        <f>PasteHashtag!G150</f>
        <v>22.4</v>
      </c>
      <c r="H150" s="5">
        <f>MID(PasteHashtag!H150,1+FIND("(",PasteHashtag!H150),FIND("/",PasteHashtag!H150)-FIND("(",PasteHashtag!H150)-1)*1</f>
        <v>3.3</v>
      </c>
      <c r="I150" s="5">
        <f>LEFT(PasteHashtag!H150,FIND("(",PasteHashtag!H150)-1)*1</f>
        <v>0.526</v>
      </c>
      <c r="J150" s="5">
        <f>MID(PasteHashtag!I150,1+FIND("(",PasteHashtag!I150),FIND("/",PasteHashtag!I150)-FIND("(",PasteHashtag!I150)-1)*1</f>
        <v>2</v>
      </c>
      <c r="K150" s="5">
        <f>LEFT(PasteHashtag!I150,FIND("(",PasteHashtag!I150)-1)*1</f>
        <v>0.834</v>
      </c>
      <c r="L150" s="5">
        <f>PasteHashtag!J150</f>
        <v>0.9</v>
      </c>
      <c r="M150" s="5">
        <f>PasteHashtag!K150</f>
        <v>9.6</v>
      </c>
      <c r="N150" s="5">
        <f>PasteHashtag!L150</f>
        <v>5</v>
      </c>
      <c r="O150" s="5">
        <f>PasteHashtag!M150</f>
        <v>3.4</v>
      </c>
      <c r="P150" s="5">
        <f>PasteHashtag!N150</f>
        <v>0.8</v>
      </c>
      <c r="Q150" s="5">
        <f>PasteHashtag!O150</f>
        <v>0.4</v>
      </c>
      <c r="R150" s="5">
        <f>PasteHashtag!P150</f>
        <v>1.9</v>
      </c>
      <c r="S150" s="5">
        <f>Mid(PasteHashtag!H150,FIND("/",PasteHashtag!H150)+1,LEN(PasteHashtag!H150)-FIND("/",PasteHashtag!H150)-1)*1</f>
        <v>6.3</v>
      </c>
      <c r="T150" s="306">
        <f>Mid(PasteHashtag!I150,FIND("/",PasteHashtag!I150)+1,LEN(PasteHashtag!I150)-FIND("/",PasteHashtag!I150)-1)*1</f>
        <v>2.4</v>
      </c>
      <c r="U150" s="26"/>
      <c r="V150" s="26"/>
      <c r="W150" s="26"/>
    </row>
    <row r="151">
      <c r="A151" s="5">
        <v>150.0</v>
      </c>
      <c r="B151" s="5">
        <f>PasteHashtag!B151</f>
        <v>144.6</v>
      </c>
      <c r="C151" s="305" t="str">
        <f>PasteHashtag!C151</f>
        <v>Bilal Coulibaly</v>
      </c>
      <c r="D151" s="5" t="str">
        <f>PasteHashtag!D151</f>
        <v>SG,SF</v>
      </c>
      <c r="E151" s="5" t="str">
        <f>PasteHashtag!E151</f>
        <v>WAS</v>
      </c>
      <c r="F151" s="5">
        <f>PasteHashtag!F151</f>
        <v>68</v>
      </c>
      <c r="G151" s="5">
        <f>PasteHashtag!G151</f>
        <v>30.2</v>
      </c>
      <c r="H151" s="5">
        <f>MID(PasteHashtag!H151,1+FIND("(",PasteHashtag!H151),FIND("/",PasteHashtag!H151)-FIND("(",PasteHashtag!H151)-1)*1</f>
        <v>4</v>
      </c>
      <c r="I151" s="5">
        <f>LEFT(PasteHashtag!H151,FIND("(",PasteHashtag!H151)-1)*1</f>
        <v>0.441</v>
      </c>
      <c r="J151" s="5">
        <f>MID(PasteHashtag!I151,1+FIND("(",PasteHashtag!I151),FIND("/",PasteHashtag!I151)-FIND("(",PasteHashtag!I151)-1)*1</f>
        <v>1.9</v>
      </c>
      <c r="K151" s="5">
        <f>LEFT(PasteHashtag!I151,FIND("(",PasteHashtag!I151)-1)*1</f>
        <v>0.706</v>
      </c>
      <c r="L151" s="5">
        <f>PasteHashtag!J151</f>
        <v>1.3</v>
      </c>
      <c r="M151" s="5">
        <f>PasteHashtag!K151</f>
        <v>11.2</v>
      </c>
      <c r="N151" s="5">
        <f>PasteHashtag!L151</f>
        <v>5.3</v>
      </c>
      <c r="O151" s="5">
        <f>PasteHashtag!M151</f>
        <v>2.3</v>
      </c>
      <c r="P151" s="5">
        <f>PasteHashtag!N151</f>
        <v>1.2</v>
      </c>
      <c r="Q151" s="5">
        <f>PasteHashtag!O151</f>
        <v>1</v>
      </c>
      <c r="R151" s="5">
        <f>PasteHashtag!P151</f>
        <v>1.8</v>
      </c>
      <c r="S151" s="5">
        <f>Mid(PasteHashtag!H151,FIND("/",PasteHashtag!H151)+1,LEN(PasteHashtag!H151)-FIND("/",PasteHashtag!H151)-1)*1</f>
        <v>9</v>
      </c>
      <c r="T151" s="306">
        <f>Mid(PasteHashtag!I151,FIND("/",PasteHashtag!I151)+1,LEN(PasteHashtag!I151)-FIND("/",PasteHashtag!I151)-1)*1</f>
        <v>2.7</v>
      </c>
      <c r="U151" s="26"/>
      <c r="V151" s="26"/>
      <c r="W151" s="26"/>
    </row>
    <row r="152">
      <c r="A152" s="5">
        <v>151.0</v>
      </c>
      <c r="B152" s="5">
        <f>PasteHashtag!B152</f>
        <v>144.2</v>
      </c>
      <c r="C152" s="305" t="str">
        <f>PasteHashtag!C152</f>
        <v>Kevin Porter Jr.</v>
      </c>
      <c r="D152" s="5" t="str">
        <f>PasteHashtag!D152</f>
        <v>PG</v>
      </c>
      <c r="E152" s="5" t="str">
        <f>PasteHashtag!E152</f>
        <v>LAC</v>
      </c>
      <c r="F152" s="5">
        <f>PasteHashtag!F152</f>
        <v>65</v>
      </c>
      <c r="G152" s="5">
        <f>PasteHashtag!G152</f>
        <v>26.2</v>
      </c>
      <c r="H152" s="5">
        <f>MID(PasteHashtag!H152,1+FIND("(",PasteHashtag!H152),FIND("/",PasteHashtag!H152)-FIND("(",PasteHashtag!H152)-1)*1</f>
        <v>4.9</v>
      </c>
      <c r="I152" s="5">
        <f>LEFT(PasteHashtag!H152,FIND("(",PasteHashtag!H152)-1)*1</f>
        <v>0.442</v>
      </c>
      <c r="J152" s="5">
        <f>MID(PasteHashtag!I152,1+FIND("(",PasteHashtag!I152),FIND("/",PasteHashtag!I152)-FIND("(",PasteHashtag!I152)-1)*1</f>
        <v>2.6</v>
      </c>
      <c r="K152" s="5">
        <f>LEFT(PasteHashtag!I152,FIND("(",PasteHashtag!I152)-1)*1</f>
        <v>0.785</v>
      </c>
      <c r="L152" s="5">
        <f>PasteHashtag!J152</f>
        <v>1.8</v>
      </c>
      <c r="M152" s="5">
        <f>PasteHashtag!K152</f>
        <v>14.2</v>
      </c>
      <c r="N152" s="5">
        <f>PasteHashtag!L152</f>
        <v>3.9</v>
      </c>
      <c r="O152" s="5">
        <f>PasteHashtag!M152</f>
        <v>4.3</v>
      </c>
      <c r="P152" s="5">
        <f>PasteHashtag!N152</f>
        <v>1</v>
      </c>
      <c r="Q152" s="5">
        <f>PasteHashtag!O152</f>
        <v>0.2</v>
      </c>
      <c r="R152" s="5">
        <f>PasteHashtag!P152</f>
        <v>2.4</v>
      </c>
      <c r="S152" s="5">
        <f>Mid(PasteHashtag!H152,FIND("/",PasteHashtag!H152)+1,LEN(PasteHashtag!H152)-FIND("/",PasteHashtag!H152)-1)*1</f>
        <v>11.1</v>
      </c>
      <c r="T152" s="306">
        <f>Mid(PasteHashtag!I152,FIND("/",PasteHashtag!I152)+1,LEN(PasteHashtag!I152)-FIND("/",PasteHashtag!I152)-1)*1</f>
        <v>3.3</v>
      </c>
      <c r="U152" s="26"/>
      <c r="V152" s="26"/>
      <c r="W152" s="26"/>
    </row>
    <row r="153">
      <c r="A153" s="5">
        <v>152.0</v>
      </c>
      <c r="B153" s="5">
        <f>PasteHashtag!B153</f>
        <v>149.5</v>
      </c>
      <c r="C153" s="305" t="str">
        <f>PasteHashtag!C153</f>
        <v>Bruce Brown</v>
      </c>
      <c r="D153" s="5" t="str">
        <f>PasteHashtag!D153</f>
        <v>SG,SF</v>
      </c>
      <c r="E153" s="5" t="str">
        <f>PasteHashtag!E153</f>
        <v>TOR</v>
      </c>
      <c r="F153" s="5">
        <f>PasteHashtag!F153</f>
        <v>72</v>
      </c>
      <c r="G153" s="5">
        <f>PasteHashtag!G153</f>
        <v>28.5</v>
      </c>
      <c r="H153" s="5">
        <f>MID(PasteHashtag!H153,1+FIND("(",PasteHashtag!H153),FIND("/",PasteHashtag!H153)-FIND("(",PasteHashtag!H153)-1)*1</f>
        <v>4.4</v>
      </c>
      <c r="I153" s="5">
        <f>LEFT(PasteHashtag!H153,FIND("(",PasteHashtag!H153)-1)*1</f>
        <v>0.481</v>
      </c>
      <c r="J153" s="5">
        <f>MID(PasteHashtag!I153,1+FIND("(",PasteHashtag!I153),FIND("/",PasteHashtag!I153)-FIND("(",PasteHashtag!I153)-1)*1</f>
        <v>1.6</v>
      </c>
      <c r="K153" s="5">
        <f>LEFT(PasteHashtag!I153,FIND("(",PasteHashtag!I153)-1)*1</f>
        <v>0.79</v>
      </c>
      <c r="L153" s="5">
        <f>PasteHashtag!J153</f>
        <v>1</v>
      </c>
      <c r="M153" s="5">
        <f>PasteHashtag!K153</f>
        <v>11.5</v>
      </c>
      <c r="N153" s="5">
        <f>PasteHashtag!L153</f>
        <v>4.3</v>
      </c>
      <c r="O153" s="5">
        <f>PasteHashtag!M153</f>
        <v>3.2</v>
      </c>
      <c r="P153" s="5">
        <f>PasteHashtag!N153</f>
        <v>1</v>
      </c>
      <c r="Q153" s="5">
        <f>PasteHashtag!O153</f>
        <v>0.5</v>
      </c>
      <c r="R153" s="5">
        <f>PasteHashtag!P153</f>
        <v>1.5</v>
      </c>
      <c r="S153" s="5">
        <f>Mid(PasteHashtag!H153,FIND("/",PasteHashtag!H153)+1,LEN(PasteHashtag!H153)-FIND("/",PasteHashtag!H153)-1)*1</f>
        <v>9.2</v>
      </c>
      <c r="T153" s="306">
        <f>Mid(PasteHashtag!I153,FIND("/",PasteHashtag!I153)+1,LEN(PasteHashtag!I153)-FIND("/",PasteHashtag!I153)-1)*1</f>
        <v>2.1</v>
      </c>
      <c r="U153" s="26"/>
      <c r="V153" s="26"/>
      <c r="W153" s="26"/>
    </row>
    <row r="154">
      <c r="A154" s="5">
        <v>153.0</v>
      </c>
      <c r="B154" s="5">
        <f>PasteHashtag!B154</f>
        <v>142.5</v>
      </c>
      <c r="C154" s="305" t="str">
        <f>PasteHashtag!C154</f>
        <v>Kelly Oubre Jr.</v>
      </c>
      <c r="D154" s="5" t="str">
        <f>PasteHashtag!D154</f>
        <v>SG,SF</v>
      </c>
      <c r="E154" s="5" t="str">
        <f>PasteHashtag!E154</f>
        <v>PHI</v>
      </c>
      <c r="F154" s="5">
        <f>PasteHashtag!F154</f>
        <v>65</v>
      </c>
      <c r="G154" s="5">
        <f>PasteHashtag!G154</f>
        <v>30</v>
      </c>
      <c r="H154" s="5">
        <f>MID(PasteHashtag!H154,1+FIND("(",PasteHashtag!H154),FIND("/",PasteHashtag!H154)-FIND("(",PasteHashtag!H154)-1)*1</f>
        <v>6.1</v>
      </c>
      <c r="I154" s="5">
        <f>LEFT(PasteHashtag!H154,FIND("(",PasteHashtag!H154)-1)*1</f>
        <v>0.435</v>
      </c>
      <c r="J154" s="5">
        <f>MID(PasteHashtag!I154,1+FIND("(",PasteHashtag!I154),FIND("/",PasteHashtag!I154)-FIND("(",PasteHashtag!I154)-1)*1</f>
        <v>2.6</v>
      </c>
      <c r="K154" s="5">
        <f>LEFT(PasteHashtag!I154,FIND("(",PasteHashtag!I154)-1)*1</f>
        <v>0.76</v>
      </c>
      <c r="L154" s="5">
        <f>PasteHashtag!J154</f>
        <v>1.8</v>
      </c>
      <c r="M154" s="5">
        <f>PasteHashtag!K154</f>
        <v>16.6</v>
      </c>
      <c r="N154" s="5">
        <f>PasteHashtag!L154</f>
        <v>5</v>
      </c>
      <c r="O154" s="5">
        <f>PasteHashtag!M154</f>
        <v>1.3</v>
      </c>
      <c r="P154" s="5">
        <f>PasteHashtag!N154</f>
        <v>1.2</v>
      </c>
      <c r="Q154" s="5">
        <f>PasteHashtag!O154</f>
        <v>0.6</v>
      </c>
      <c r="R154" s="5">
        <f>PasteHashtag!P154</f>
        <v>1.3</v>
      </c>
      <c r="S154" s="5">
        <f>Mid(PasteHashtag!H154,FIND("/",PasteHashtag!H154)+1,LEN(PasteHashtag!H154)-FIND("/",PasteHashtag!H154)-1)*1</f>
        <v>14.1</v>
      </c>
      <c r="T154" s="306">
        <f>Mid(PasteHashtag!I154,FIND("/",PasteHashtag!I154)+1,LEN(PasteHashtag!I154)-FIND("/",PasteHashtag!I154)-1)*1</f>
        <v>3.4</v>
      </c>
      <c r="U154" s="26"/>
      <c r="V154" s="26"/>
      <c r="W154" s="26"/>
    </row>
    <row r="155">
      <c r="A155" s="5">
        <v>154.0</v>
      </c>
      <c r="B155" s="5">
        <f>PasteHashtag!B155</f>
        <v>145.5</v>
      </c>
      <c r="C155" s="305" t="str">
        <f>PasteHashtag!C155</f>
        <v>Nick Richards</v>
      </c>
      <c r="D155" s="5" t="str">
        <f>PasteHashtag!D155</f>
        <v>C</v>
      </c>
      <c r="E155" s="5" t="str">
        <f>PasteHashtag!E155</f>
        <v>CHA</v>
      </c>
      <c r="F155" s="5">
        <f>PasteHashtag!F155</f>
        <v>67</v>
      </c>
      <c r="G155" s="5">
        <f>PasteHashtag!G155</f>
        <v>25.2</v>
      </c>
      <c r="H155" s="5">
        <f>MID(PasteHashtag!H155,1+FIND("(",PasteHashtag!H155),FIND("/",PasteHashtag!H155)-FIND("(",PasteHashtag!H155)-1)*1</f>
        <v>3.8</v>
      </c>
      <c r="I155" s="5">
        <f>LEFT(PasteHashtag!H155,FIND("(",PasteHashtag!H155)-1)*1</f>
        <v>0.656</v>
      </c>
      <c r="J155" s="5">
        <f>MID(PasteHashtag!I155,1+FIND("(",PasteHashtag!I155),FIND("/",PasteHashtag!I155)-FIND("(",PasteHashtag!I155)-1)*1</f>
        <v>2.3</v>
      </c>
      <c r="K155" s="5">
        <f>LEFT(PasteHashtag!I155,FIND("(",PasteHashtag!I155)-1)*1</f>
        <v>0.743</v>
      </c>
      <c r="L155" s="5">
        <f>PasteHashtag!J155</f>
        <v>0</v>
      </c>
      <c r="M155" s="5">
        <f>PasteHashtag!K155</f>
        <v>9.8</v>
      </c>
      <c r="N155" s="5">
        <f>PasteHashtag!L155</f>
        <v>8</v>
      </c>
      <c r="O155" s="5">
        <f>PasteHashtag!M155</f>
        <v>0.8</v>
      </c>
      <c r="P155" s="5">
        <f>PasteHashtag!N155</f>
        <v>0.3</v>
      </c>
      <c r="Q155" s="5">
        <f>PasteHashtag!O155</f>
        <v>1.1</v>
      </c>
      <c r="R155" s="5">
        <f>PasteHashtag!P155</f>
        <v>1.1</v>
      </c>
      <c r="S155" s="5">
        <f>Mid(PasteHashtag!H155,FIND("/",PasteHashtag!H155)+1,LEN(PasteHashtag!H155)-FIND("/",PasteHashtag!H155)-1)*1</f>
        <v>5.8</v>
      </c>
      <c r="T155" s="306">
        <f>Mid(PasteHashtag!I155,FIND("/",PasteHashtag!I155)+1,LEN(PasteHashtag!I155)-FIND("/",PasteHashtag!I155)-1)*1</f>
        <v>3</v>
      </c>
      <c r="U155" s="26"/>
      <c r="V155" s="26"/>
      <c r="W155" s="26"/>
    </row>
    <row r="156">
      <c r="A156" s="5">
        <v>155.0</v>
      </c>
      <c r="B156" s="5">
        <f>PasteHashtag!B156</f>
        <v>144.2</v>
      </c>
      <c r="C156" s="305" t="str">
        <f>PasteHashtag!C156</f>
        <v>Noah Clowney</v>
      </c>
      <c r="D156" s="5" t="str">
        <f>PasteHashtag!D156</f>
        <v>SF,PF,C</v>
      </c>
      <c r="E156" s="5" t="str">
        <f>PasteHashtag!E156</f>
        <v>BKN</v>
      </c>
      <c r="F156" s="5">
        <f>PasteHashtag!F156</f>
        <v>67</v>
      </c>
      <c r="G156" s="5">
        <f>PasteHashtag!G156</f>
        <v>24.2</v>
      </c>
      <c r="H156" s="5">
        <f>MID(PasteHashtag!H156,1+FIND("(",PasteHashtag!H156),FIND("/",PasteHashtag!H156)-FIND("(",PasteHashtag!H156)-1)*1</f>
        <v>3.7</v>
      </c>
      <c r="I156" s="5">
        <f>LEFT(PasteHashtag!H156,FIND("(",PasteHashtag!H156)-1)*1</f>
        <v>0.552</v>
      </c>
      <c r="J156" s="5">
        <f>MID(PasteHashtag!I156,1+FIND("(",PasteHashtag!I156),FIND("/",PasteHashtag!I156)-FIND("(",PasteHashtag!I156)-1)*1</f>
        <v>1.6</v>
      </c>
      <c r="K156" s="5">
        <f>LEFT(PasteHashtag!I156,FIND("(",PasteHashtag!I156)-1)*1</f>
        <v>0.728</v>
      </c>
      <c r="L156" s="5">
        <f>PasteHashtag!J156</f>
        <v>0.9</v>
      </c>
      <c r="M156" s="5">
        <f>PasteHashtag!K156</f>
        <v>9.7</v>
      </c>
      <c r="N156" s="5">
        <f>PasteHashtag!L156</f>
        <v>5.8</v>
      </c>
      <c r="O156" s="5">
        <f>PasteHashtag!M156</f>
        <v>1.3</v>
      </c>
      <c r="P156" s="5">
        <f>PasteHashtag!N156</f>
        <v>0.6</v>
      </c>
      <c r="Q156" s="5">
        <f>PasteHashtag!O156</f>
        <v>1.1</v>
      </c>
      <c r="R156" s="5">
        <f>PasteHashtag!P156</f>
        <v>1.1</v>
      </c>
      <c r="S156" s="5">
        <f>Mid(PasteHashtag!H156,FIND("/",PasteHashtag!H156)+1,LEN(PasteHashtag!H156)-FIND("/",PasteHashtag!H156)-1)*1</f>
        <v>6.6</v>
      </c>
      <c r="T156" s="306">
        <f>Mid(PasteHashtag!I156,FIND("/",PasteHashtag!I156)+1,LEN(PasteHashtag!I156)-FIND("/",PasteHashtag!I156)-1)*1</f>
        <v>2.1</v>
      </c>
      <c r="U156" s="26"/>
      <c r="V156" s="26"/>
      <c r="W156" s="26"/>
    </row>
    <row r="157">
      <c r="A157" s="5">
        <v>156.0</v>
      </c>
      <c r="B157" s="5">
        <f>PasteHashtag!B157</f>
        <v>140.1</v>
      </c>
      <c r="C157" s="305" t="str">
        <f>PasteHashtag!C157</f>
        <v>Mitchell Robinson</v>
      </c>
      <c r="D157" s="5" t="str">
        <f>PasteHashtag!D157</f>
        <v>C</v>
      </c>
      <c r="E157" s="5" t="str">
        <f>PasteHashtag!E157</f>
        <v>NY</v>
      </c>
      <c r="F157" s="5">
        <f>PasteHashtag!F157</f>
        <v>48</v>
      </c>
      <c r="G157" s="5">
        <f>PasteHashtag!G157</f>
        <v>26</v>
      </c>
      <c r="H157" s="5">
        <f>MID(PasteHashtag!H157,1+FIND("(",PasteHashtag!H157),FIND("/",PasteHashtag!H157)-FIND("(",PasteHashtag!H157)-1)*1</f>
        <v>2.9</v>
      </c>
      <c r="I157" s="5">
        <f>LEFT(PasteHashtag!H157,FIND("(",PasteHashtag!H157)-1)*1</f>
        <v>0.64</v>
      </c>
      <c r="J157" s="5">
        <f>MID(PasteHashtag!I157,1+FIND("(",PasteHashtag!I157),FIND("/",PasteHashtag!I157)-FIND("(",PasteHashtag!I157)-1)*1</f>
        <v>1</v>
      </c>
      <c r="K157" s="5">
        <f>LEFT(PasteHashtag!I157,FIND("(",PasteHashtag!I157)-1)*1</f>
        <v>0.459</v>
      </c>
      <c r="L157" s="5">
        <f>PasteHashtag!J157</f>
        <v>0</v>
      </c>
      <c r="M157" s="5">
        <f>PasteHashtag!K157</f>
        <v>6.8</v>
      </c>
      <c r="N157" s="5">
        <f>PasteHashtag!L157</f>
        <v>9.1</v>
      </c>
      <c r="O157" s="5">
        <f>PasteHashtag!M157</f>
        <v>0.8</v>
      </c>
      <c r="P157" s="5">
        <f>PasteHashtag!N157</f>
        <v>1</v>
      </c>
      <c r="Q157" s="5">
        <f>PasteHashtag!O157</f>
        <v>1.6</v>
      </c>
      <c r="R157" s="5">
        <f>PasteHashtag!P157</f>
        <v>0.7</v>
      </c>
      <c r="S157" s="5">
        <f>Mid(PasteHashtag!H157,FIND("/",PasteHashtag!H157)+1,LEN(PasteHashtag!H157)-FIND("/",PasteHashtag!H157)-1)*1</f>
        <v>4.5</v>
      </c>
      <c r="T157" s="306">
        <f>Mid(PasteHashtag!I157,FIND("/",PasteHashtag!I157)+1,LEN(PasteHashtag!I157)-FIND("/",PasteHashtag!I157)-1)*1</f>
        <v>2.1</v>
      </c>
      <c r="U157" s="26"/>
      <c r="V157" s="26"/>
      <c r="W157" s="26"/>
    </row>
    <row r="158">
      <c r="A158" s="5">
        <v>157.0</v>
      </c>
      <c r="B158" s="5">
        <f>PasteHashtag!B158</f>
        <v>143.3</v>
      </c>
      <c r="C158" s="305" t="str">
        <f>PasteHashtag!C158</f>
        <v>Donovan Clingan</v>
      </c>
      <c r="D158" s="5" t="str">
        <f>PasteHashtag!D158</f>
        <v>C</v>
      </c>
      <c r="E158" s="5" t="str">
        <f>PasteHashtag!E158</f>
        <v>POR</v>
      </c>
      <c r="F158" s="5">
        <f>PasteHashtag!F158</f>
        <v>67</v>
      </c>
      <c r="G158" s="5">
        <f>PasteHashtag!G158</f>
        <v>22.8</v>
      </c>
      <c r="H158" s="5">
        <f>MID(PasteHashtag!H158,1+FIND("(",PasteHashtag!H158),FIND("/",PasteHashtag!H158)-FIND("(",PasteHashtag!H158)-1)*1</f>
        <v>4.1</v>
      </c>
      <c r="I158" s="5">
        <f>LEFT(PasteHashtag!H158,FIND("(",PasteHashtag!H158)-1)*1</f>
        <v>0.639</v>
      </c>
      <c r="J158" s="5">
        <f>MID(PasteHashtag!I158,1+FIND("(",PasteHashtag!I158),FIND("/",PasteHashtag!I158)-FIND("(",PasteHashtag!I158)-1)*1</f>
        <v>1.8</v>
      </c>
      <c r="K158" s="5">
        <f>LEFT(PasteHashtag!I158,FIND("(",PasteHashtag!I158)-1)*1</f>
        <v>0.608</v>
      </c>
      <c r="L158" s="5">
        <f>PasteHashtag!J158</f>
        <v>0.3</v>
      </c>
      <c r="M158" s="5">
        <f>PasteHashtag!K158</f>
        <v>10.2</v>
      </c>
      <c r="N158" s="5">
        <f>PasteHashtag!L158</f>
        <v>5.6</v>
      </c>
      <c r="O158" s="5">
        <f>PasteHashtag!M158</f>
        <v>1.2</v>
      </c>
      <c r="P158" s="5">
        <f>PasteHashtag!N158</f>
        <v>0.4</v>
      </c>
      <c r="Q158" s="5">
        <f>PasteHashtag!O158</f>
        <v>1.9</v>
      </c>
      <c r="R158" s="5">
        <f>PasteHashtag!P158</f>
        <v>0.6</v>
      </c>
      <c r="S158" s="5">
        <f>Mid(PasteHashtag!H158,FIND("/",PasteHashtag!H158)+1,LEN(PasteHashtag!H158)-FIND("/",PasteHashtag!H158)-1)*1</f>
        <v>6.4</v>
      </c>
      <c r="T158" s="306">
        <f>Mid(PasteHashtag!I158,FIND("/",PasteHashtag!I158)+1,LEN(PasteHashtag!I158)-FIND("/",PasteHashtag!I158)-1)*1</f>
        <v>2.9</v>
      </c>
      <c r="U158" s="26"/>
      <c r="V158" s="26"/>
      <c r="W158" s="26"/>
    </row>
    <row r="159">
      <c r="A159" s="5">
        <v>158.0</v>
      </c>
      <c r="B159" s="5">
        <f>PasteHashtag!B159</f>
        <v>144</v>
      </c>
      <c r="C159" s="305" t="str">
        <f>PasteHashtag!C159</f>
        <v>Tari Eason</v>
      </c>
      <c r="D159" s="5" t="str">
        <f>PasteHashtag!D159</f>
        <v>SF,PF</v>
      </c>
      <c r="E159" s="5" t="str">
        <f>PasteHashtag!E159</f>
        <v>HOU</v>
      </c>
      <c r="F159" s="5">
        <f>PasteHashtag!F159</f>
        <v>67</v>
      </c>
      <c r="G159" s="5">
        <f>PasteHashtag!G159</f>
        <v>22.4</v>
      </c>
      <c r="H159" s="5">
        <f>MID(PasteHashtag!H159,1+FIND("(",PasteHashtag!H159),FIND("/",PasteHashtag!H159)-FIND("(",PasteHashtag!H159)-1)*1</f>
        <v>3.9</v>
      </c>
      <c r="I159" s="5">
        <f>LEFT(PasteHashtag!H159,FIND("(",PasteHashtag!H159)-1)*1</f>
        <v>0.457</v>
      </c>
      <c r="J159" s="5">
        <f>MID(PasteHashtag!I159,1+FIND("(",PasteHashtag!I159),FIND("/",PasteHashtag!I159)-FIND("(",PasteHashtag!I159)-1)*1</f>
        <v>1.3</v>
      </c>
      <c r="K159" s="5">
        <f>LEFT(PasteHashtag!I159,FIND("(",PasteHashtag!I159)-1)*1</f>
        <v>0.732</v>
      </c>
      <c r="L159" s="5">
        <f>PasteHashtag!J159</f>
        <v>0.8</v>
      </c>
      <c r="M159" s="5">
        <f>PasteHashtag!K159</f>
        <v>9.8</v>
      </c>
      <c r="N159" s="5">
        <f>PasteHashtag!L159</f>
        <v>7.1</v>
      </c>
      <c r="O159" s="5">
        <f>PasteHashtag!M159</f>
        <v>1.2</v>
      </c>
      <c r="P159" s="5">
        <f>PasteHashtag!N159</f>
        <v>1.3</v>
      </c>
      <c r="Q159" s="5">
        <f>PasteHashtag!O159</f>
        <v>0.7</v>
      </c>
      <c r="R159" s="5">
        <f>PasteHashtag!P159</f>
        <v>1.2</v>
      </c>
      <c r="S159" s="5">
        <f>Mid(PasteHashtag!H159,FIND("/",PasteHashtag!H159)+1,LEN(PasteHashtag!H159)-FIND("/",PasteHashtag!H159)-1)*1</f>
        <v>8.5</v>
      </c>
      <c r="T159" s="306">
        <f>Mid(PasteHashtag!I159,FIND("/",PasteHashtag!I159)+1,LEN(PasteHashtag!I159)-FIND("/",PasteHashtag!I159)-1)*1</f>
        <v>1.8</v>
      </c>
      <c r="U159" s="26"/>
      <c r="V159" s="26"/>
      <c r="W159" s="26"/>
    </row>
    <row r="160">
      <c r="A160" s="5">
        <v>159.0</v>
      </c>
      <c r="B160" s="5">
        <f>PasteHashtag!B160</f>
        <v>116.7</v>
      </c>
      <c r="C160" s="305" t="str">
        <f>PasteHashtag!C160</f>
        <v>Aaron Gordon</v>
      </c>
      <c r="D160" s="5" t="str">
        <f>PasteHashtag!D160</f>
        <v>PF,C</v>
      </c>
      <c r="E160" s="5" t="str">
        <f>PasteHashtag!E160</f>
        <v>DEN</v>
      </c>
      <c r="F160" s="5">
        <f>PasteHashtag!F160</f>
        <v>72</v>
      </c>
      <c r="G160" s="5">
        <f>PasteHashtag!G160</f>
        <v>31</v>
      </c>
      <c r="H160" s="5">
        <f>MID(PasteHashtag!H160,1+FIND("(",PasteHashtag!H160),FIND("/",PasteHashtag!H160)-FIND("(",PasteHashtag!H160)-1)*1</f>
        <v>6</v>
      </c>
      <c r="I160" s="5">
        <f>LEFT(PasteHashtag!H160,FIND("(",PasteHashtag!H160)-1)*1</f>
        <v>0.56</v>
      </c>
      <c r="J160" s="5">
        <f>MID(PasteHashtag!I160,1+FIND("(",PasteHashtag!I160),FIND("/",PasteHashtag!I160)-FIND("(",PasteHashtag!I160)-1)*1</f>
        <v>2.7</v>
      </c>
      <c r="K160" s="5">
        <f>LEFT(PasteHashtag!I160,FIND("(",PasteHashtag!I160)-1)*1</f>
        <v>0.632</v>
      </c>
      <c r="L160" s="5">
        <f>PasteHashtag!J160</f>
        <v>0.7</v>
      </c>
      <c r="M160" s="5">
        <f>PasteHashtag!K160</f>
        <v>15.3</v>
      </c>
      <c r="N160" s="5">
        <f>PasteHashtag!L160</f>
        <v>6.6</v>
      </c>
      <c r="O160" s="5">
        <f>PasteHashtag!M160</f>
        <v>3.3</v>
      </c>
      <c r="P160" s="5">
        <f>PasteHashtag!N160</f>
        <v>0.8</v>
      </c>
      <c r="Q160" s="5">
        <f>PasteHashtag!O160</f>
        <v>0.7</v>
      </c>
      <c r="R160" s="5">
        <f>PasteHashtag!P160</f>
        <v>1.5</v>
      </c>
      <c r="S160" s="5">
        <f>Mid(PasteHashtag!H160,FIND("/",PasteHashtag!H160)+1,LEN(PasteHashtag!H160)-FIND("/",PasteHashtag!H160)-1)*1</f>
        <v>10.6</v>
      </c>
      <c r="T160" s="306">
        <f>Mid(PasteHashtag!I160,FIND("/",PasteHashtag!I160)+1,LEN(PasteHashtag!I160)-FIND("/",PasteHashtag!I160)-1)*1</f>
        <v>4.2</v>
      </c>
      <c r="U160" s="26"/>
      <c r="V160" s="26"/>
      <c r="W160" s="26"/>
    </row>
    <row r="161">
      <c r="A161" s="5">
        <v>160.0</v>
      </c>
      <c r="B161" s="5">
        <f>PasteHashtag!B161</f>
        <v>141.5</v>
      </c>
      <c r="C161" s="305" t="str">
        <f>PasteHashtag!C161</f>
        <v>Tre Jones</v>
      </c>
      <c r="D161" s="5" t="str">
        <f>PasteHashtag!D161</f>
        <v>PG</v>
      </c>
      <c r="E161" s="5" t="str">
        <f>PasteHashtag!E161</f>
        <v>SA</v>
      </c>
      <c r="F161" s="5">
        <f>PasteHashtag!F161</f>
        <v>74</v>
      </c>
      <c r="G161" s="5">
        <f>PasteHashtag!G161</f>
        <v>24.4</v>
      </c>
      <c r="H161" s="5">
        <f>MID(PasteHashtag!H161,1+FIND("(",PasteHashtag!H161),FIND("/",PasteHashtag!H161)-FIND("(",PasteHashtag!H161)-1)*1</f>
        <v>3.9</v>
      </c>
      <c r="I161" s="5">
        <f>LEFT(PasteHashtag!H161,FIND("(",PasteHashtag!H161)-1)*1</f>
        <v>0.479</v>
      </c>
      <c r="J161" s="5">
        <f>MID(PasteHashtag!I161,1+FIND("(",PasteHashtag!I161),FIND("/",PasteHashtag!I161)-FIND("(",PasteHashtag!I161)-1)*1</f>
        <v>1.5</v>
      </c>
      <c r="K161" s="5">
        <f>LEFT(PasteHashtag!I161,FIND("(",PasteHashtag!I161)-1)*1</f>
        <v>0.861</v>
      </c>
      <c r="L161" s="5">
        <f>PasteHashtag!J161</f>
        <v>0.7</v>
      </c>
      <c r="M161" s="5">
        <f>PasteHashtag!K161</f>
        <v>9.8</v>
      </c>
      <c r="N161" s="5">
        <f>PasteHashtag!L161</f>
        <v>3.2</v>
      </c>
      <c r="O161" s="5">
        <f>PasteHashtag!M161</f>
        <v>5.5</v>
      </c>
      <c r="P161" s="5">
        <f>PasteHashtag!N161</f>
        <v>1</v>
      </c>
      <c r="Q161" s="5">
        <f>PasteHashtag!O161</f>
        <v>0.1</v>
      </c>
      <c r="R161" s="5">
        <f>PasteHashtag!P161</f>
        <v>1.4</v>
      </c>
      <c r="S161" s="5">
        <f>Mid(PasteHashtag!H161,FIND("/",PasteHashtag!H161)+1,LEN(PasteHashtag!H161)-FIND("/",PasteHashtag!H161)-1)*1</f>
        <v>8</v>
      </c>
      <c r="T161" s="306">
        <f>Mid(PasteHashtag!I161,FIND("/",PasteHashtag!I161)+1,LEN(PasteHashtag!I161)-FIND("/",PasteHashtag!I161)-1)*1</f>
        <v>1.7</v>
      </c>
      <c r="U161" s="26"/>
      <c r="V161" s="26"/>
      <c r="W161" s="26"/>
    </row>
    <row r="162">
      <c r="A162" s="5">
        <v>161.0</v>
      </c>
      <c r="B162" s="5">
        <f>PasteHashtag!B162</f>
        <v>103.5</v>
      </c>
      <c r="C162" s="305" t="str">
        <f>PasteHashtag!C162</f>
        <v>Zach Edey</v>
      </c>
      <c r="D162" s="5" t="str">
        <f>PasteHashtag!D162</f>
        <v>C</v>
      </c>
      <c r="E162" s="5" t="str">
        <f>PasteHashtag!E162</f>
        <v>MEM</v>
      </c>
      <c r="F162" s="5">
        <f>PasteHashtag!F162</f>
        <v>68</v>
      </c>
      <c r="G162" s="5">
        <f>PasteHashtag!G162</f>
        <v>26.2</v>
      </c>
      <c r="H162" s="5">
        <f>MID(PasteHashtag!H162,1+FIND("(",PasteHashtag!H162),FIND("/",PasteHashtag!H162)-FIND("(",PasteHashtag!H162)-1)*1</f>
        <v>4.2</v>
      </c>
      <c r="I162" s="5">
        <f>LEFT(PasteHashtag!H162,FIND("(",PasteHashtag!H162)-1)*1</f>
        <v>0.575</v>
      </c>
      <c r="J162" s="5">
        <f>MID(PasteHashtag!I162,1+FIND("(",PasteHashtag!I162),FIND("/",PasteHashtag!I162)-FIND("(",PasteHashtag!I162)-1)*1</f>
        <v>1.8</v>
      </c>
      <c r="K162" s="5">
        <f>LEFT(PasteHashtag!I162,FIND("(",PasteHashtag!I162)-1)*1</f>
        <v>0.729</v>
      </c>
      <c r="L162" s="5">
        <f>PasteHashtag!J162</f>
        <v>0</v>
      </c>
      <c r="M162" s="5">
        <f>PasteHashtag!K162</f>
        <v>10.2</v>
      </c>
      <c r="N162" s="5">
        <f>PasteHashtag!L162</f>
        <v>7.2</v>
      </c>
      <c r="O162" s="5">
        <f>PasteHashtag!M162</f>
        <v>1.3</v>
      </c>
      <c r="P162" s="5">
        <f>PasteHashtag!N162</f>
        <v>0.3</v>
      </c>
      <c r="Q162" s="5">
        <f>PasteHashtag!O162</f>
        <v>1.3</v>
      </c>
      <c r="R162" s="5">
        <f>PasteHashtag!P162</f>
        <v>1</v>
      </c>
      <c r="S162" s="5">
        <f>Mid(PasteHashtag!H162,FIND("/",PasteHashtag!H162)+1,LEN(PasteHashtag!H162)-FIND("/",PasteHashtag!H162)-1)*1</f>
        <v>7.3</v>
      </c>
      <c r="T162" s="306">
        <f>Mid(PasteHashtag!I162,FIND("/",PasteHashtag!I162)+1,LEN(PasteHashtag!I162)-FIND("/",PasteHashtag!I162)-1)*1</f>
        <v>2.5</v>
      </c>
      <c r="U162" s="26"/>
      <c r="V162" s="26"/>
      <c r="W162" s="26"/>
    </row>
    <row r="163">
      <c r="A163" s="5">
        <v>162.0</v>
      </c>
      <c r="B163" s="5">
        <f>PasteHashtag!B163</f>
        <v>130.8</v>
      </c>
      <c r="C163" s="305" t="str">
        <f>PasteHashtag!C163</f>
        <v>Scoot Henderson</v>
      </c>
      <c r="D163" s="5" t="str">
        <f>PasteHashtag!D163</f>
        <v>PG</v>
      </c>
      <c r="E163" s="5" t="str">
        <f>PasteHashtag!E163</f>
        <v>POR</v>
      </c>
      <c r="F163" s="5">
        <f>PasteHashtag!F163</f>
        <v>67</v>
      </c>
      <c r="G163" s="5">
        <f>PasteHashtag!G163</f>
        <v>30.1</v>
      </c>
      <c r="H163" s="5">
        <f>MID(PasteHashtag!H163,1+FIND("(",PasteHashtag!H163),FIND("/",PasteHashtag!H163)-FIND("(",PasteHashtag!H163)-1)*1</f>
        <v>5.6</v>
      </c>
      <c r="I163" s="5">
        <f>LEFT(PasteHashtag!H163,FIND("(",PasteHashtag!H163)-1)*1</f>
        <v>0.409</v>
      </c>
      <c r="J163" s="5">
        <f>MID(PasteHashtag!I163,1+FIND("(",PasteHashtag!I163),FIND("/",PasteHashtag!I163)-FIND("(",PasteHashtag!I163)-1)*1</f>
        <v>2.9</v>
      </c>
      <c r="K163" s="5">
        <f>LEFT(PasteHashtag!I163,FIND("(",PasteHashtag!I163)-1)*1</f>
        <v>0.821</v>
      </c>
      <c r="L163" s="5">
        <f>PasteHashtag!J163</f>
        <v>1.5</v>
      </c>
      <c r="M163" s="5">
        <f>PasteHashtag!K163</f>
        <v>15.7</v>
      </c>
      <c r="N163" s="5">
        <f>PasteHashtag!L163</f>
        <v>3.3</v>
      </c>
      <c r="O163" s="5">
        <f>PasteHashtag!M163</f>
        <v>5.8</v>
      </c>
      <c r="P163" s="5">
        <f>PasteHashtag!N163</f>
        <v>1</v>
      </c>
      <c r="Q163" s="5">
        <f>PasteHashtag!O163</f>
        <v>0.3</v>
      </c>
      <c r="R163" s="5">
        <f>PasteHashtag!P163</f>
        <v>3.3</v>
      </c>
      <c r="S163" s="5">
        <f>Mid(PasteHashtag!H163,FIND("/",PasteHashtag!H163)+1,LEN(PasteHashtag!H163)-FIND("/",PasteHashtag!H163)-1)*1</f>
        <v>13.8</v>
      </c>
      <c r="T163" s="306">
        <f>Mid(PasteHashtag!I163,FIND("/",PasteHashtag!I163)+1,LEN(PasteHashtag!I163)-FIND("/",PasteHashtag!I163)-1)*1</f>
        <v>3.5</v>
      </c>
      <c r="U163" s="26"/>
      <c r="V163" s="26"/>
      <c r="W163" s="26"/>
    </row>
    <row r="164">
      <c r="A164" s="5">
        <v>163.0</v>
      </c>
      <c r="B164" s="5">
        <f>PasteHashtag!B164</f>
        <v>140.2</v>
      </c>
      <c r="C164" s="305" t="str">
        <f>PasteHashtag!C164</f>
        <v>Kyle Lowry</v>
      </c>
      <c r="D164" s="5" t="str">
        <f>PasteHashtag!D164</f>
        <v>PG</v>
      </c>
      <c r="E164" s="5" t="str">
        <f>PasteHashtag!E164</f>
        <v>PHI</v>
      </c>
      <c r="F164" s="5">
        <f>PasteHashtag!F164</f>
        <v>58</v>
      </c>
      <c r="G164" s="5">
        <f>PasteHashtag!G164</f>
        <v>27.7</v>
      </c>
      <c r="H164" s="5">
        <f>MID(PasteHashtag!H164,1+FIND("(",PasteHashtag!H164),FIND("/",PasteHashtag!H164)-FIND("(",PasteHashtag!H164)-1)*1</f>
        <v>3</v>
      </c>
      <c r="I164" s="5">
        <f>LEFT(PasteHashtag!H164,FIND("(",PasteHashtag!H164)-1)*1</f>
        <v>0.417</v>
      </c>
      <c r="J164" s="5">
        <f>MID(PasteHashtag!I164,1+FIND("(",PasteHashtag!I164),FIND("/",PasteHashtag!I164)-FIND("(",PasteHashtag!I164)-1)*1</f>
        <v>1.5</v>
      </c>
      <c r="K164" s="5">
        <f>LEFT(PasteHashtag!I164,FIND("(",PasteHashtag!I164)-1)*1</f>
        <v>0.855</v>
      </c>
      <c r="L164" s="5">
        <f>PasteHashtag!J164</f>
        <v>1.7</v>
      </c>
      <c r="M164" s="5">
        <f>PasteHashtag!K164</f>
        <v>9.1</v>
      </c>
      <c r="N164" s="5">
        <f>PasteHashtag!L164</f>
        <v>3.4</v>
      </c>
      <c r="O164" s="5">
        <f>PasteHashtag!M164</f>
        <v>4.4</v>
      </c>
      <c r="P164" s="5">
        <f>PasteHashtag!N164</f>
        <v>1</v>
      </c>
      <c r="Q164" s="5">
        <f>PasteHashtag!O164</f>
        <v>0.3</v>
      </c>
      <c r="R164" s="5">
        <f>PasteHashtag!P164</f>
        <v>1.5</v>
      </c>
      <c r="S164" s="5">
        <f>Mid(PasteHashtag!H164,FIND("/",PasteHashtag!H164)+1,LEN(PasteHashtag!H164)-FIND("/",PasteHashtag!H164)-1)*1</f>
        <v>7.1</v>
      </c>
      <c r="T164" s="306">
        <f>Mid(PasteHashtag!I164,FIND("/",PasteHashtag!I164)+1,LEN(PasteHashtag!I164)-FIND("/",PasteHashtag!I164)-1)*1</f>
        <v>1.7</v>
      </c>
      <c r="U164" s="26"/>
      <c r="V164" s="26"/>
      <c r="W164" s="26"/>
    </row>
    <row r="165">
      <c r="A165" s="5">
        <v>164.0</v>
      </c>
      <c r="B165" s="5">
        <f>PasteHashtag!B165</f>
        <v>144.4</v>
      </c>
      <c r="C165" s="305" t="str">
        <f>PasteHashtag!C165</f>
        <v>Dyson Daniels</v>
      </c>
      <c r="D165" s="5" t="str">
        <f>PasteHashtag!D165</f>
        <v>PG,SG</v>
      </c>
      <c r="E165" s="5" t="str">
        <f>PasteHashtag!E165</f>
        <v>ATL</v>
      </c>
      <c r="F165" s="5">
        <f>PasteHashtag!F165</f>
        <v>68</v>
      </c>
      <c r="G165" s="5">
        <f>PasteHashtag!G165</f>
        <v>27.4</v>
      </c>
      <c r="H165" s="5">
        <f>MID(PasteHashtag!H165,1+FIND("(",PasteHashtag!H165),FIND("/",PasteHashtag!H165)-FIND("(",PasteHashtag!H165)-1)*1</f>
        <v>2.8</v>
      </c>
      <c r="I165" s="5">
        <f>LEFT(PasteHashtag!H165,FIND("(",PasteHashtag!H165)-1)*1</f>
        <v>0.453</v>
      </c>
      <c r="J165" s="5">
        <f>MID(PasteHashtag!I165,1+FIND("(",PasteHashtag!I165),FIND("/",PasteHashtag!I165)-FIND("(",PasteHashtag!I165)-1)*1</f>
        <v>0.7</v>
      </c>
      <c r="K165" s="5">
        <f>LEFT(PasteHashtag!I165,FIND("(",PasteHashtag!I165)-1)*1</f>
        <v>0.651</v>
      </c>
      <c r="L165" s="5">
        <f>PasteHashtag!J165</f>
        <v>0.8</v>
      </c>
      <c r="M165" s="5">
        <f>PasteHashtag!K165</f>
        <v>7.1</v>
      </c>
      <c r="N165" s="5">
        <f>PasteHashtag!L165</f>
        <v>5</v>
      </c>
      <c r="O165" s="5">
        <f>PasteHashtag!M165</f>
        <v>3.5</v>
      </c>
      <c r="P165" s="5">
        <f>PasteHashtag!N165</f>
        <v>1.5</v>
      </c>
      <c r="Q165" s="5">
        <f>PasteHashtag!O165</f>
        <v>0.4</v>
      </c>
      <c r="R165" s="5">
        <f>PasteHashtag!P165</f>
        <v>1.4</v>
      </c>
      <c r="S165" s="5">
        <f>Mid(PasteHashtag!H165,FIND("/",PasteHashtag!H165)+1,LEN(PasteHashtag!H165)-FIND("/",PasteHashtag!H165)-1)*1</f>
        <v>6.1</v>
      </c>
      <c r="T165" s="306">
        <f>Mid(PasteHashtag!I165,FIND("/",PasteHashtag!I165)+1,LEN(PasteHashtag!I165)-FIND("/",PasteHashtag!I165)-1)*1</f>
        <v>1.1</v>
      </c>
      <c r="U165" s="26"/>
      <c r="V165" s="26"/>
      <c r="W165" s="26"/>
    </row>
    <row r="166">
      <c r="A166" s="5">
        <v>165.0</v>
      </c>
      <c r="B166" s="5">
        <f>PasteHashtag!B166</f>
        <v>140.6</v>
      </c>
      <c r="C166" s="305" t="str">
        <f>PasteHashtag!C166</f>
        <v>Andrew Nembhard</v>
      </c>
      <c r="D166" s="5" t="str">
        <f>PasteHashtag!D166</f>
        <v>PG,SG</v>
      </c>
      <c r="E166" s="5" t="str">
        <f>PasteHashtag!E166</f>
        <v>IND</v>
      </c>
      <c r="F166" s="5">
        <f>PasteHashtag!F166</f>
        <v>72</v>
      </c>
      <c r="G166" s="5">
        <f>PasteHashtag!G166</f>
        <v>30.2</v>
      </c>
      <c r="H166" s="5">
        <f>MID(PasteHashtag!H166,1+FIND("(",PasteHashtag!H166),FIND("/",PasteHashtag!H166)-FIND("(",PasteHashtag!H166)-1)*1</f>
        <v>4.4</v>
      </c>
      <c r="I166" s="5">
        <f>LEFT(PasteHashtag!H166,FIND("(",PasteHashtag!H166)-1)*1</f>
        <v>0.477</v>
      </c>
      <c r="J166" s="5">
        <f>MID(PasteHashtag!I166,1+FIND("(",PasteHashtag!I166),FIND("/",PasteHashtag!I166)-FIND("(",PasteHashtag!I166)-1)*1</f>
        <v>0.8</v>
      </c>
      <c r="K166" s="5">
        <f>LEFT(PasteHashtag!I166,FIND("(",PasteHashtag!I166)-1)*1</f>
        <v>0.8</v>
      </c>
      <c r="L166" s="5">
        <f>PasteHashtag!J166</f>
        <v>1.2</v>
      </c>
      <c r="M166" s="5">
        <f>PasteHashtag!K166</f>
        <v>10.7</v>
      </c>
      <c r="N166" s="5">
        <f>PasteHashtag!L166</f>
        <v>2.7</v>
      </c>
      <c r="O166" s="5">
        <f>PasteHashtag!M166</f>
        <v>5</v>
      </c>
      <c r="P166" s="5">
        <f>PasteHashtag!N166</f>
        <v>1.1</v>
      </c>
      <c r="Q166" s="5">
        <f>PasteHashtag!O166</f>
        <v>0.2</v>
      </c>
      <c r="R166" s="5">
        <f>PasteHashtag!P166</f>
        <v>1.8</v>
      </c>
      <c r="S166" s="5">
        <f>Mid(PasteHashtag!H166,FIND("/",PasteHashtag!H166)+1,LEN(PasteHashtag!H166)-FIND("/",PasteHashtag!H166)-1)*1</f>
        <v>9.2</v>
      </c>
      <c r="T166" s="306">
        <f>Mid(PasteHashtag!I166,FIND("/",PasteHashtag!I166)+1,LEN(PasteHashtag!I166)-FIND("/",PasteHashtag!I166)-1)*1</f>
        <v>1</v>
      </c>
      <c r="U166" s="26"/>
      <c r="V166" s="26"/>
      <c r="W166" s="26"/>
    </row>
    <row r="167">
      <c r="A167" s="5">
        <v>166.0</v>
      </c>
      <c r="B167" s="5">
        <f>PasteHashtag!B167</f>
        <v>141.2</v>
      </c>
      <c r="C167" s="305" t="str">
        <f>PasteHashtag!C167</f>
        <v>Jaden McDaniels</v>
      </c>
      <c r="D167" s="5" t="str">
        <f>PasteHashtag!D167</f>
        <v>SF,PF</v>
      </c>
      <c r="E167" s="5" t="str">
        <f>PasteHashtag!E167</f>
        <v>MIN</v>
      </c>
      <c r="F167" s="5">
        <f>PasteHashtag!F167</f>
        <v>74</v>
      </c>
      <c r="G167" s="5">
        <f>PasteHashtag!G167</f>
        <v>29.8</v>
      </c>
      <c r="H167" s="5">
        <f>MID(PasteHashtag!H167,1+FIND("(",PasteHashtag!H167),FIND("/",PasteHashtag!H167)-FIND("(",PasteHashtag!H167)-1)*1</f>
        <v>4.5</v>
      </c>
      <c r="I167" s="5">
        <f>LEFT(PasteHashtag!H167,FIND("(",PasteHashtag!H167)-1)*1</f>
        <v>0.504</v>
      </c>
      <c r="J167" s="5">
        <f>MID(PasteHashtag!I167,1+FIND("(",PasteHashtag!I167),FIND("/",PasteHashtag!I167)-FIND("(",PasteHashtag!I167)-1)*1</f>
        <v>1.1</v>
      </c>
      <c r="K167" s="5">
        <f>LEFT(PasteHashtag!I167,FIND("(",PasteHashtag!I167)-1)*1</f>
        <v>0.732</v>
      </c>
      <c r="L167" s="5">
        <f>PasteHashtag!J167</f>
        <v>1.3</v>
      </c>
      <c r="M167" s="5">
        <f>PasteHashtag!K167</f>
        <v>11.4</v>
      </c>
      <c r="N167" s="5">
        <f>PasteHashtag!L167</f>
        <v>3.5</v>
      </c>
      <c r="O167" s="5">
        <f>PasteHashtag!M167</f>
        <v>1.7</v>
      </c>
      <c r="P167" s="5">
        <f>PasteHashtag!N167</f>
        <v>0.9</v>
      </c>
      <c r="Q167" s="5">
        <f>PasteHashtag!O167</f>
        <v>0.8</v>
      </c>
      <c r="R167" s="5">
        <f>PasteHashtag!P167</f>
        <v>1.3</v>
      </c>
      <c r="S167" s="5">
        <f>Mid(PasteHashtag!H167,FIND("/",PasteHashtag!H167)+1,LEN(PasteHashtag!H167)-FIND("/",PasteHashtag!H167)-1)*1</f>
        <v>9</v>
      </c>
      <c r="T167" s="306">
        <f>Mid(PasteHashtag!I167,FIND("/",PasteHashtag!I167)+1,LEN(PasteHashtag!I167)-FIND("/",PasteHashtag!I167)-1)*1</f>
        <v>1.5</v>
      </c>
      <c r="U167" s="26"/>
      <c r="V167" s="26"/>
      <c r="W167" s="26"/>
    </row>
    <row r="168">
      <c r="A168" s="5">
        <v>167.0</v>
      </c>
      <c r="B168" s="5">
        <f>PasteHashtag!B168</f>
        <v>147</v>
      </c>
      <c r="C168" s="305" t="str">
        <f>PasteHashtag!C168</f>
        <v>Patrick Williams</v>
      </c>
      <c r="D168" s="5" t="str">
        <f>PasteHashtag!D168</f>
        <v>PF</v>
      </c>
      <c r="E168" s="5" t="str">
        <f>PasteHashtag!E168</f>
        <v>CHI</v>
      </c>
      <c r="F168" s="5">
        <f>PasteHashtag!F168</f>
        <v>68</v>
      </c>
      <c r="G168" s="5">
        <f>PasteHashtag!G168</f>
        <v>28.3</v>
      </c>
      <c r="H168" s="5">
        <f>MID(PasteHashtag!H168,1+FIND("(",PasteHashtag!H168),FIND("/",PasteHashtag!H168)-FIND("(",PasteHashtag!H168)-1)*1</f>
        <v>3.9</v>
      </c>
      <c r="I168" s="5">
        <f>LEFT(PasteHashtag!H168,FIND("(",PasteHashtag!H168)-1)*1</f>
        <v>0.457</v>
      </c>
      <c r="J168" s="5">
        <f>MID(PasteHashtag!I168,1+FIND("(",PasteHashtag!I168),FIND("/",PasteHashtag!I168)-FIND("(",PasteHashtag!I168)-1)*1</f>
        <v>1.2</v>
      </c>
      <c r="K168" s="5">
        <f>LEFT(PasteHashtag!I168,FIND("(",PasteHashtag!I168)-1)*1</f>
        <v>0.829</v>
      </c>
      <c r="L168" s="5">
        <f>PasteHashtag!J168</f>
        <v>1.4</v>
      </c>
      <c r="M168" s="5">
        <f>PasteHashtag!K168</f>
        <v>10.3</v>
      </c>
      <c r="N168" s="5">
        <f>PasteHashtag!L168</f>
        <v>4</v>
      </c>
      <c r="O168" s="5">
        <f>PasteHashtag!M168</f>
        <v>1.4</v>
      </c>
      <c r="P168" s="5">
        <f>PasteHashtag!N168</f>
        <v>0.9</v>
      </c>
      <c r="Q168" s="5">
        <f>PasteHashtag!O168</f>
        <v>0.8</v>
      </c>
      <c r="R168" s="5">
        <f>PasteHashtag!P168</f>
        <v>1.3</v>
      </c>
      <c r="S168" s="5">
        <f>Mid(PasteHashtag!H168,FIND("/",PasteHashtag!H168)+1,LEN(PasteHashtag!H168)-FIND("/",PasteHashtag!H168)-1)*1</f>
        <v>8.5</v>
      </c>
      <c r="T168" s="306">
        <f>Mid(PasteHashtag!I168,FIND("/",PasteHashtag!I168)+1,LEN(PasteHashtag!I168)-FIND("/",PasteHashtag!I168)-1)*1</f>
        <v>1.4</v>
      </c>
      <c r="U168" s="26"/>
      <c r="V168" s="26"/>
      <c r="W168" s="26"/>
    </row>
    <row r="169">
      <c r="A169" s="5">
        <v>168.0</v>
      </c>
      <c r="B169" s="5">
        <f>PasteHashtag!B169</f>
        <v>146.9</v>
      </c>
      <c r="C169" s="305" t="str">
        <f>PasteHashtag!C169</f>
        <v>Karlo Matkovic</v>
      </c>
      <c r="D169" s="5" t="str">
        <f>PasteHashtag!D169</f>
        <v>PF</v>
      </c>
      <c r="E169" s="5" t="str">
        <f>PasteHashtag!E169</f>
        <v>NO</v>
      </c>
      <c r="F169" s="5">
        <f>PasteHashtag!F169</f>
        <v>50</v>
      </c>
      <c r="G169" s="5">
        <f>PasteHashtag!G169</f>
        <v>19.2</v>
      </c>
      <c r="H169" s="5">
        <f>MID(PasteHashtag!H169,1+FIND("(",PasteHashtag!H169),FIND("/",PasteHashtag!H169)-FIND("(",PasteHashtag!H169)-1)*1</f>
        <v>3.6</v>
      </c>
      <c r="I169" s="5">
        <f>LEFT(PasteHashtag!H169,FIND("(",PasteHashtag!H169)-1)*1</f>
        <v>0.488</v>
      </c>
      <c r="J169" s="5">
        <f>MID(PasteHashtag!I169,1+FIND("(",PasteHashtag!I169),FIND("/",PasteHashtag!I169)-FIND("(",PasteHashtag!I169)-1)*1</f>
        <v>1.4</v>
      </c>
      <c r="K169" s="5">
        <f>LEFT(PasteHashtag!I169,FIND("(",PasteHashtag!I169)-1)*1</f>
        <v>0.751</v>
      </c>
      <c r="L169" s="5">
        <f>PasteHashtag!J169</f>
        <v>1.1</v>
      </c>
      <c r="M169" s="5">
        <f>PasteHashtag!K169</f>
        <v>9.7</v>
      </c>
      <c r="N169" s="5">
        <f>PasteHashtag!L169</f>
        <v>4.6</v>
      </c>
      <c r="O169" s="5">
        <f>PasteHashtag!M169</f>
        <v>1.5</v>
      </c>
      <c r="P169" s="5">
        <f>PasteHashtag!N169</f>
        <v>0.7</v>
      </c>
      <c r="Q169" s="5">
        <f>PasteHashtag!O169</f>
        <v>1.2</v>
      </c>
      <c r="R169" s="5">
        <f>PasteHashtag!P169</f>
        <v>1.4</v>
      </c>
      <c r="S169" s="5">
        <f>Mid(PasteHashtag!H169,FIND("/",PasteHashtag!H169)+1,LEN(PasteHashtag!H169)-FIND("/",PasteHashtag!H169)-1)*1</f>
        <v>7.4</v>
      </c>
      <c r="T169" s="306">
        <f>Mid(PasteHashtag!I169,FIND("/",PasteHashtag!I169)+1,LEN(PasteHashtag!I169)-FIND("/",PasteHashtag!I169)-1)*1</f>
        <v>1.9</v>
      </c>
      <c r="U169" s="26"/>
      <c r="V169" s="26"/>
      <c r="W169" s="26"/>
    </row>
    <row r="170">
      <c r="A170" s="5">
        <v>169.0</v>
      </c>
      <c r="B170" s="5">
        <f>PasteHashtag!B170</f>
        <v>144.8</v>
      </c>
      <c r="C170" s="305" t="str">
        <f>PasteHashtag!C170</f>
        <v>Max Strus</v>
      </c>
      <c r="D170" s="5" t="str">
        <f>PasteHashtag!D170</f>
        <v>SG,SF</v>
      </c>
      <c r="E170" s="5" t="str">
        <f>PasteHashtag!E170</f>
        <v>CLE</v>
      </c>
      <c r="F170" s="5">
        <f>PasteHashtag!F170</f>
        <v>72</v>
      </c>
      <c r="G170" s="5">
        <f>PasteHashtag!G170</f>
        <v>29.4</v>
      </c>
      <c r="H170" s="5">
        <f>MID(PasteHashtag!H170,1+FIND("(",PasteHashtag!H170),FIND("/",PasteHashtag!H170)-FIND("(",PasteHashtag!H170)-1)*1</f>
        <v>4.2</v>
      </c>
      <c r="I170" s="5">
        <f>LEFT(PasteHashtag!H170,FIND("(",PasteHashtag!H170)-1)*1</f>
        <v>0.414</v>
      </c>
      <c r="J170" s="5">
        <f>MID(PasteHashtag!I170,1+FIND("(",PasteHashtag!I170),FIND("/",PasteHashtag!I170)-FIND("(",PasteHashtag!I170)-1)*1</f>
        <v>1</v>
      </c>
      <c r="K170" s="5">
        <f>LEFT(PasteHashtag!I170,FIND("(",PasteHashtag!I170)-1)*1</f>
        <v>0.829</v>
      </c>
      <c r="L170" s="5">
        <f>PasteHashtag!J170</f>
        <v>2.4</v>
      </c>
      <c r="M170" s="5">
        <f>PasteHashtag!K170</f>
        <v>11.7</v>
      </c>
      <c r="N170" s="5">
        <f>PasteHashtag!L170</f>
        <v>3.9</v>
      </c>
      <c r="O170" s="5">
        <f>PasteHashtag!M170</f>
        <v>3.4</v>
      </c>
      <c r="P170" s="5">
        <f>PasteHashtag!N170</f>
        <v>0.8</v>
      </c>
      <c r="Q170" s="5">
        <f>PasteHashtag!O170</f>
        <v>0.3</v>
      </c>
      <c r="R170" s="5">
        <f>PasteHashtag!P170</f>
        <v>1.2</v>
      </c>
      <c r="S170" s="5">
        <f>Mid(PasteHashtag!H170,FIND("/",PasteHashtag!H170)+1,LEN(PasteHashtag!H170)-FIND("/",PasteHashtag!H170)-1)*1</f>
        <v>10</v>
      </c>
      <c r="T170" s="306">
        <f>Mid(PasteHashtag!I170,FIND("/",PasteHashtag!I170)+1,LEN(PasteHashtag!I170)-FIND("/",PasteHashtag!I170)-1)*1</f>
        <v>1.2</v>
      </c>
      <c r="U170" s="26"/>
      <c r="V170" s="26"/>
      <c r="W170" s="26"/>
    </row>
    <row r="171">
      <c r="A171" s="5">
        <v>170.0</v>
      </c>
      <c r="B171" s="5">
        <f>PasteHashtag!B171</f>
        <v>143.4</v>
      </c>
      <c r="C171" s="305" t="str">
        <f>PasteHashtag!C171</f>
        <v>T.J. McConnell</v>
      </c>
      <c r="D171" s="5" t="str">
        <f>PasteHashtag!D171</f>
        <v>PG</v>
      </c>
      <c r="E171" s="5" t="str">
        <f>PasteHashtag!E171</f>
        <v>IND</v>
      </c>
      <c r="F171" s="5">
        <f>PasteHashtag!F171</f>
        <v>70</v>
      </c>
      <c r="G171" s="5">
        <f>PasteHashtag!G171</f>
        <v>18.6</v>
      </c>
      <c r="H171" s="5">
        <f>MID(PasteHashtag!H171,1+FIND("(",PasteHashtag!H171),FIND("/",PasteHashtag!H171)-FIND("(",PasteHashtag!H171)-1)*1</f>
        <v>4.1</v>
      </c>
      <c r="I171" s="5">
        <f>LEFT(PasteHashtag!H171,FIND("(",PasteHashtag!H171)-1)*1</f>
        <v>0.55</v>
      </c>
      <c r="J171" s="5">
        <f>MID(PasteHashtag!I171,1+FIND("(",PasteHashtag!I171),FIND("/",PasteHashtag!I171)-FIND("(",PasteHashtag!I171)-1)*1</f>
        <v>0.7</v>
      </c>
      <c r="K171" s="5">
        <f>LEFT(PasteHashtag!I171,FIND("(",PasteHashtag!I171)-1)*1</f>
        <v>0.816</v>
      </c>
      <c r="L171" s="5">
        <f>PasteHashtag!J171</f>
        <v>0.3</v>
      </c>
      <c r="M171" s="5">
        <f>PasteHashtag!K171</f>
        <v>9.2</v>
      </c>
      <c r="N171" s="5">
        <f>PasteHashtag!L171</f>
        <v>2.8</v>
      </c>
      <c r="O171" s="5">
        <f>PasteHashtag!M171</f>
        <v>5.3</v>
      </c>
      <c r="P171" s="5">
        <f>PasteHashtag!N171</f>
        <v>1</v>
      </c>
      <c r="Q171" s="5">
        <f>PasteHashtag!O171</f>
        <v>0.1</v>
      </c>
      <c r="R171" s="5">
        <f>PasteHashtag!P171</f>
        <v>1.7</v>
      </c>
      <c r="S171" s="5">
        <f>Mid(PasteHashtag!H171,FIND("/",PasteHashtag!H171)+1,LEN(PasteHashtag!H171)-FIND("/",PasteHashtag!H171)-1)*1</f>
        <v>7.4</v>
      </c>
      <c r="T171" s="306">
        <f>Mid(PasteHashtag!I171,FIND("/",PasteHashtag!I171)+1,LEN(PasteHashtag!I171)-FIND("/",PasteHashtag!I171)-1)*1</f>
        <v>0.9</v>
      </c>
      <c r="U171" s="26"/>
      <c r="V171" s="26"/>
      <c r="W171" s="26"/>
    </row>
    <row r="172">
      <c r="A172" s="5">
        <v>171.0</v>
      </c>
      <c r="B172" s="5" t="str">
        <f>PasteHashtag!B172</f>
        <v/>
      </c>
      <c r="C172" s="305" t="str">
        <f>PasteHashtag!C172</f>
        <v>Miles McBride</v>
      </c>
      <c r="D172" s="5" t="str">
        <f>PasteHashtag!D172</f>
        <v>PG,SG</v>
      </c>
      <c r="E172" s="5" t="str">
        <f>PasteHashtag!E172</f>
        <v>NY</v>
      </c>
      <c r="F172" s="5">
        <f>PasteHashtag!F172</f>
        <v>68</v>
      </c>
      <c r="G172" s="5">
        <f>PasteHashtag!G172</f>
        <v>24.5</v>
      </c>
      <c r="H172" s="5">
        <f>MID(PasteHashtag!H172,1+FIND("(",PasteHashtag!H172),FIND("/",PasteHashtag!H172)-FIND("(",PasteHashtag!H172)-1)*1</f>
        <v>3.9</v>
      </c>
      <c r="I172" s="5">
        <f>LEFT(PasteHashtag!H172,FIND("(",PasteHashtag!H172)-1)*1</f>
        <v>0.446</v>
      </c>
      <c r="J172" s="5">
        <f>MID(PasteHashtag!I172,1+FIND("(",PasteHashtag!I172),FIND("/",PasteHashtag!I172)-FIND("(",PasteHashtag!I172)-1)*1</f>
        <v>1</v>
      </c>
      <c r="K172" s="5">
        <f>LEFT(PasteHashtag!I172,FIND("(",PasteHashtag!I172)-1)*1</f>
        <v>0.845</v>
      </c>
      <c r="L172" s="5">
        <f>PasteHashtag!J172</f>
        <v>2.1</v>
      </c>
      <c r="M172" s="5">
        <f>PasteHashtag!K172</f>
        <v>10.8</v>
      </c>
      <c r="N172" s="5">
        <f>PasteHashtag!L172</f>
        <v>2.1</v>
      </c>
      <c r="O172" s="5">
        <f>PasteHashtag!M172</f>
        <v>2.6</v>
      </c>
      <c r="P172" s="5">
        <f>PasteHashtag!N172</f>
        <v>1.2</v>
      </c>
      <c r="Q172" s="5">
        <f>PasteHashtag!O172</f>
        <v>0.2</v>
      </c>
      <c r="R172" s="5">
        <f>PasteHashtag!P172</f>
        <v>0.8</v>
      </c>
      <c r="S172" s="5">
        <f>Mid(PasteHashtag!H172,FIND("/",PasteHashtag!H172)+1,LEN(PasteHashtag!H172)-FIND("/",PasteHashtag!H172)-1)*1</f>
        <v>8.7</v>
      </c>
      <c r="T172" s="306">
        <f>Mid(PasteHashtag!I172,FIND("/",PasteHashtag!I172)+1,LEN(PasteHashtag!I172)-FIND("/",PasteHashtag!I172)-1)*1</f>
        <v>1.2</v>
      </c>
      <c r="U172" s="26"/>
      <c r="V172" s="26"/>
      <c r="W172" s="26"/>
    </row>
    <row r="173">
      <c r="A173" s="5">
        <v>172.0</v>
      </c>
      <c r="B173" s="5">
        <f>PasteHashtag!B173</f>
        <v>123.8</v>
      </c>
      <c r="C173" s="305" t="str">
        <f>PasteHashtag!C173</f>
        <v>Deni Avdija</v>
      </c>
      <c r="D173" s="5" t="str">
        <f>PasteHashtag!D173</f>
        <v>SF,PF</v>
      </c>
      <c r="E173" s="5" t="str">
        <f>PasteHashtag!E173</f>
        <v>POR</v>
      </c>
      <c r="F173" s="5">
        <f>PasteHashtag!F173</f>
        <v>73</v>
      </c>
      <c r="G173" s="5">
        <f>PasteHashtag!G173</f>
        <v>27.4</v>
      </c>
      <c r="H173" s="5">
        <f>MID(PasteHashtag!H173,1+FIND("(",PasteHashtag!H173),FIND("/",PasteHashtag!H173)-FIND("(",PasteHashtag!H173)-1)*1</f>
        <v>4.4</v>
      </c>
      <c r="I173" s="5">
        <f>LEFT(PasteHashtag!H173,FIND("(",PasteHashtag!H173)-1)*1</f>
        <v>0.477</v>
      </c>
      <c r="J173" s="5">
        <f>MID(PasteHashtag!I173,1+FIND("(",PasteHashtag!I173),FIND("/",PasteHashtag!I173)-FIND("(",PasteHashtag!I173)-1)*1</f>
        <v>2.1</v>
      </c>
      <c r="K173" s="5">
        <f>LEFT(PasteHashtag!I173,FIND("(",PasteHashtag!I173)-1)*1</f>
        <v>0.738</v>
      </c>
      <c r="L173" s="5">
        <f>PasteHashtag!J173</f>
        <v>1</v>
      </c>
      <c r="M173" s="5">
        <f>PasteHashtag!K173</f>
        <v>11.9</v>
      </c>
      <c r="N173" s="5">
        <f>PasteHashtag!L173</f>
        <v>6.5</v>
      </c>
      <c r="O173" s="5">
        <f>PasteHashtag!M173</f>
        <v>3.3</v>
      </c>
      <c r="P173" s="5">
        <f>PasteHashtag!N173</f>
        <v>0.8</v>
      </c>
      <c r="Q173" s="5">
        <f>PasteHashtag!O173</f>
        <v>0.4</v>
      </c>
      <c r="R173" s="5">
        <f>PasteHashtag!P173</f>
        <v>1.9</v>
      </c>
      <c r="S173" s="5">
        <f>Mid(PasteHashtag!H173,FIND("/",PasteHashtag!H173)+1,LEN(PasteHashtag!H173)-FIND("/",PasteHashtag!H173)-1)*1</f>
        <v>9.1</v>
      </c>
      <c r="T173" s="306">
        <f>Mid(PasteHashtag!I173,FIND("/",PasteHashtag!I173)+1,LEN(PasteHashtag!I173)-FIND("/",PasteHashtag!I173)-1)*1</f>
        <v>2.9</v>
      </c>
      <c r="U173" s="26"/>
      <c r="V173" s="26"/>
      <c r="W173" s="26"/>
    </row>
    <row r="174">
      <c r="A174" s="5">
        <v>173.0</v>
      </c>
      <c r="B174" s="5">
        <f>PasteHashtag!B174</f>
        <v>140.6</v>
      </c>
      <c r="C174" s="305" t="str">
        <f>PasteHashtag!C174</f>
        <v>Shaedon Sharpe</v>
      </c>
      <c r="D174" s="5" t="str">
        <f>PasteHashtag!D174</f>
        <v>SG,SF</v>
      </c>
      <c r="E174" s="5" t="str">
        <f>PasteHashtag!E174</f>
        <v>POR</v>
      </c>
      <c r="F174" s="5">
        <f>PasteHashtag!F174</f>
        <v>60</v>
      </c>
      <c r="G174" s="5">
        <f>PasteHashtag!G174</f>
        <v>31.6</v>
      </c>
      <c r="H174" s="5">
        <f>MID(PasteHashtag!H174,1+FIND("(",PasteHashtag!H174),FIND("/",PasteHashtag!H174)-FIND("(",PasteHashtag!H174)-1)*1</f>
        <v>5.6</v>
      </c>
      <c r="I174" s="5">
        <f>LEFT(PasteHashtag!H174,FIND("(",PasteHashtag!H174)-1)*1</f>
        <v>0.434</v>
      </c>
      <c r="J174" s="5">
        <f>MID(PasteHashtag!I174,1+FIND("(",PasteHashtag!I174),FIND("/",PasteHashtag!I174)-FIND("(",PasteHashtag!I174)-1)*1</f>
        <v>2.8</v>
      </c>
      <c r="K174" s="5">
        <f>LEFT(PasteHashtag!I174,FIND("(",PasteHashtag!I174)-1)*1</f>
        <v>0.812</v>
      </c>
      <c r="L174" s="5">
        <f>PasteHashtag!J174</f>
        <v>1.9</v>
      </c>
      <c r="M174" s="5">
        <f>PasteHashtag!K174</f>
        <v>15.9</v>
      </c>
      <c r="N174" s="5">
        <f>PasteHashtag!L174</f>
        <v>4.6</v>
      </c>
      <c r="O174" s="5">
        <f>PasteHashtag!M174</f>
        <v>2.2</v>
      </c>
      <c r="P174" s="5">
        <f>PasteHashtag!N174</f>
        <v>0.8</v>
      </c>
      <c r="Q174" s="5">
        <f>PasteHashtag!O174</f>
        <v>0.4</v>
      </c>
      <c r="R174" s="5">
        <f>PasteHashtag!P174</f>
        <v>1.8</v>
      </c>
      <c r="S174" s="5">
        <f>Mid(PasteHashtag!H174,FIND("/",PasteHashtag!H174)+1,LEN(PasteHashtag!H174)-FIND("/",PasteHashtag!H174)-1)*1</f>
        <v>12.9</v>
      </c>
      <c r="T174" s="306">
        <f>Mid(PasteHashtag!I174,FIND("/",PasteHashtag!I174)+1,LEN(PasteHashtag!I174)-FIND("/",PasteHashtag!I174)-1)*1</f>
        <v>3.5</v>
      </c>
      <c r="U174" s="26"/>
      <c r="V174" s="26"/>
      <c r="W174" s="26"/>
    </row>
    <row r="175">
      <c r="A175" s="5">
        <v>174.0</v>
      </c>
      <c r="B175" s="5">
        <f>PasteHashtag!B175</f>
        <v>138.5</v>
      </c>
      <c r="C175" s="305" t="str">
        <f>PasteHashtag!C175</f>
        <v>Ben Simmons</v>
      </c>
      <c r="D175" s="5" t="str">
        <f>PasteHashtag!D175</f>
        <v>PG</v>
      </c>
      <c r="E175" s="5" t="str">
        <f>PasteHashtag!E175</f>
        <v>BKN</v>
      </c>
      <c r="F175" s="5">
        <f>PasteHashtag!F175</f>
        <v>28</v>
      </c>
      <c r="G175" s="5">
        <f>PasteHashtag!G175</f>
        <v>24.9</v>
      </c>
      <c r="H175" s="5">
        <f>MID(PasteHashtag!H175,1+FIND("(",PasteHashtag!H175),FIND("/",PasteHashtag!H175)-FIND("(",PasteHashtag!H175)-1)*1</f>
        <v>3</v>
      </c>
      <c r="I175" s="5">
        <f>LEFT(PasteHashtag!H175,FIND("(",PasteHashtag!H175)-1)*1</f>
        <v>0.569</v>
      </c>
      <c r="J175" s="5">
        <f>MID(PasteHashtag!I175,1+FIND("(",PasteHashtag!I175),FIND("/",PasteHashtag!I175)-FIND("(",PasteHashtag!I175)-1)*1</f>
        <v>0.5</v>
      </c>
      <c r="K175" s="5">
        <f>LEFT(PasteHashtag!I175,FIND("(",PasteHashtag!I175)-1)*1</f>
        <v>0.427</v>
      </c>
      <c r="L175" s="5">
        <f>PasteHashtag!J175</f>
        <v>0</v>
      </c>
      <c r="M175" s="5">
        <f>PasteHashtag!K175</f>
        <v>6.6</v>
      </c>
      <c r="N175" s="5">
        <f>PasteHashtag!L175</f>
        <v>6.6</v>
      </c>
      <c r="O175" s="5">
        <f>PasteHashtag!M175</f>
        <v>5.9</v>
      </c>
      <c r="P175" s="5">
        <f>PasteHashtag!N175</f>
        <v>1.1</v>
      </c>
      <c r="Q175" s="5">
        <f>PasteHashtag!O175</f>
        <v>0.6</v>
      </c>
      <c r="R175" s="5">
        <f>PasteHashtag!P175</f>
        <v>2.1</v>
      </c>
      <c r="S175" s="5">
        <f>Mid(PasteHashtag!H175,FIND("/",PasteHashtag!H175)+1,LEN(PasteHashtag!H175)-FIND("/",PasteHashtag!H175)-1)*1</f>
        <v>5.3</v>
      </c>
      <c r="T175" s="306">
        <f>Mid(PasteHashtag!I175,FIND("/",PasteHashtag!I175)+1,LEN(PasteHashtag!I175)-FIND("/",PasteHashtag!I175)-1)*1</f>
        <v>1.2</v>
      </c>
    </row>
    <row r="176">
      <c r="A176" s="5">
        <v>175.0</v>
      </c>
      <c r="B176" s="5">
        <f>PasteHashtag!B176</f>
        <v>143.7</v>
      </c>
      <c r="C176" s="305" t="str">
        <f>PasteHashtag!C176</f>
        <v>Jonathan Isaac</v>
      </c>
      <c r="D176" s="5" t="str">
        <f>PasteHashtag!D176</f>
        <v>SF,PF</v>
      </c>
      <c r="E176" s="5" t="str">
        <f>PasteHashtag!E176</f>
        <v>ORL</v>
      </c>
      <c r="F176" s="5">
        <f>PasteHashtag!F176</f>
        <v>55</v>
      </c>
      <c r="G176" s="5">
        <f>PasteHashtag!G176</f>
        <v>17.2</v>
      </c>
      <c r="H176" s="5">
        <f>MID(PasteHashtag!H176,1+FIND("(",PasteHashtag!H176),FIND("/",PasteHashtag!H176)-FIND("(",PasteHashtag!H176)-1)*1</f>
        <v>2.8</v>
      </c>
      <c r="I176" s="5">
        <f>LEFT(PasteHashtag!H176,FIND("(",PasteHashtag!H176)-1)*1</f>
        <v>0.496</v>
      </c>
      <c r="J176" s="5">
        <f>MID(PasteHashtag!I176,1+FIND("(",PasteHashtag!I176),FIND("/",PasteHashtag!I176)-FIND("(",PasteHashtag!I176)-1)*1</f>
        <v>1.1</v>
      </c>
      <c r="K176" s="5">
        <f>LEFT(PasteHashtag!I176,FIND("(",PasteHashtag!I176)-1)*1</f>
        <v>0.704</v>
      </c>
      <c r="L176" s="5">
        <f>PasteHashtag!J176</f>
        <v>0.8</v>
      </c>
      <c r="M176" s="5">
        <f>PasteHashtag!K176</f>
        <v>7.5</v>
      </c>
      <c r="N176" s="5">
        <f>PasteHashtag!L176</f>
        <v>5.1</v>
      </c>
      <c r="O176" s="5">
        <f>PasteHashtag!M176</f>
        <v>0.6</v>
      </c>
      <c r="P176" s="5">
        <f>PasteHashtag!N176</f>
        <v>1</v>
      </c>
      <c r="Q176" s="5">
        <f>PasteHashtag!O176</f>
        <v>1.2</v>
      </c>
      <c r="R176" s="5">
        <f>PasteHashtag!P176</f>
        <v>0.5</v>
      </c>
      <c r="S176" s="5">
        <f>Mid(PasteHashtag!H176,FIND("/",PasteHashtag!H176)+1,LEN(PasteHashtag!H176)-FIND("/",PasteHashtag!H176)-1)*1</f>
        <v>5.7</v>
      </c>
      <c r="T176" s="306">
        <f>Mid(PasteHashtag!I176,FIND("/",PasteHashtag!I176)+1,LEN(PasteHashtag!I176)-FIND("/",PasteHashtag!I176)-1)*1</f>
        <v>1.5</v>
      </c>
    </row>
    <row r="177">
      <c r="A177" s="5">
        <v>176.0</v>
      </c>
      <c r="B177" s="5">
        <f>PasteHashtag!B177</f>
        <v>133.6</v>
      </c>
      <c r="C177" s="305" t="str">
        <f>PasteHashtag!C177</f>
        <v>Jaime Jaquez Jr.</v>
      </c>
      <c r="D177" s="5" t="str">
        <f>PasteHashtag!D177</f>
        <v>SF</v>
      </c>
      <c r="E177" s="5" t="str">
        <f>PasteHashtag!E177</f>
        <v>MIA</v>
      </c>
      <c r="F177" s="5">
        <f>PasteHashtag!F177</f>
        <v>73</v>
      </c>
      <c r="G177" s="5">
        <f>PasteHashtag!G177</f>
        <v>28</v>
      </c>
      <c r="H177" s="5">
        <f>MID(PasteHashtag!H177,1+FIND("(",PasteHashtag!H177),FIND("/",PasteHashtag!H177)-FIND("(",PasteHashtag!H177)-1)*1</f>
        <v>4.6</v>
      </c>
      <c r="I177" s="5">
        <f>LEFT(PasteHashtag!H177,FIND("(",PasteHashtag!H177)-1)*1</f>
        <v>0.489</v>
      </c>
      <c r="J177" s="5">
        <f>MID(PasteHashtag!I177,1+FIND("(",PasteHashtag!I177),FIND("/",PasteHashtag!I177)-FIND("(",PasteHashtag!I177)-1)*1</f>
        <v>1.9</v>
      </c>
      <c r="K177" s="5">
        <f>LEFT(PasteHashtag!I177,FIND("(",PasteHashtag!I177)-1)*1</f>
        <v>0.812</v>
      </c>
      <c r="L177" s="5">
        <f>PasteHashtag!J177</f>
        <v>0.9</v>
      </c>
      <c r="M177" s="5">
        <f>PasteHashtag!K177</f>
        <v>11.9</v>
      </c>
      <c r="N177" s="5">
        <f>PasteHashtag!L177</f>
        <v>3.8</v>
      </c>
      <c r="O177" s="5">
        <f>PasteHashtag!M177</f>
        <v>2.6</v>
      </c>
      <c r="P177" s="5">
        <f>PasteHashtag!N177</f>
        <v>1</v>
      </c>
      <c r="Q177" s="5">
        <f>PasteHashtag!O177</f>
        <v>0.3</v>
      </c>
      <c r="R177" s="5">
        <f>PasteHashtag!P177</f>
        <v>1.5</v>
      </c>
      <c r="S177" s="5">
        <f>Mid(PasteHashtag!H177,FIND("/",PasteHashtag!H177)+1,LEN(PasteHashtag!H177)-FIND("/",PasteHashtag!H177)-1)*1</f>
        <v>9.3</v>
      </c>
      <c r="T177" s="306">
        <f>Mid(PasteHashtag!I177,FIND("/",PasteHashtag!I177)+1,LEN(PasteHashtag!I177)-FIND("/",PasteHashtag!I177)-1)*1</f>
        <v>2.3</v>
      </c>
    </row>
    <row r="178">
      <c r="A178" s="5">
        <v>177.0</v>
      </c>
      <c r="B178" s="5" t="str">
        <f>PasteHashtag!B178</f>
        <v/>
      </c>
      <c r="C178" s="305" t="str">
        <f>PasteHashtag!C178</f>
        <v>Kevin Huerter</v>
      </c>
      <c r="D178" s="5" t="str">
        <f>PasteHashtag!D178</f>
        <v>SG,SF</v>
      </c>
      <c r="E178" s="5" t="str">
        <f>PasteHashtag!E178</f>
        <v>SAC</v>
      </c>
      <c r="F178" s="5">
        <f>PasteHashtag!F178</f>
        <v>68</v>
      </c>
      <c r="G178" s="5">
        <f>PasteHashtag!G178</f>
        <v>24.8</v>
      </c>
      <c r="H178" s="5">
        <f>MID(PasteHashtag!H178,1+FIND("(",PasteHashtag!H178),FIND("/",PasteHashtag!H178)-FIND("(",PasteHashtag!H178)-1)*1</f>
        <v>4.5</v>
      </c>
      <c r="I178" s="5">
        <f>LEFT(PasteHashtag!H178,FIND("(",PasteHashtag!H178)-1)*1</f>
        <v>0.468</v>
      </c>
      <c r="J178" s="5">
        <f>MID(PasteHashtag!I178,1+FIND("(",PasteHashtag!I178),FIND("/",PasteHashtag!I178)-FIND("(",PasteHashtag!I178)-1)*1</f>
        <v>0.9</v>
      </c>
      <c r="K178" s="5">
        <f>LEFT(PasteHashtag!I178,FIND("(",PasteHashtag!I178)-1)*1</f>
        <v>0.75</v>
      </c>
      <c r="L178" s="5">
        <f>PasteHashtag!J178</f>
        <v>2.2</v>
      </c>
      <c r="M178" s="5">
        <f>PasteHashtag!K178</f>
        <v>12</v>
      </c>
      <c r="N178" s="5">
        <f>PasteHashtag!L178</f>
        <v>3.2</v>
      </c>
      <c r="O178" s="5">
        <f>PasteHashtag!M178</f>
        <v>2.6</v>
      </c>
      <c r="P178" s="5">
        <f>PasteHashtag!N178</f>
        <v>0.8</v>
      </c>
      <c r="Q178" s="5">
        <f>PasteHashtag!O178</f>
        <v>0.3</v>
      </c>
      <c r="R178" s="5">
        <f>PasteHashtag!P178</f>
        <v>1</v>
      </c>
      <c r="S178" s="5">
        <f>Mid(PasteHashtag!H178,FIND("/",PasteHashtag!H178)+1,LEN(PasteHashtag!H178)-FIND("/",PasteHashtag!H178)-1)*1</f>
        <v>9.5</v>
      </c>
      <c r="T178" s="306">
        <f>Mid(PasteHashtag!I178,FIND("/",PasteHashtag!I178)+1,LEN(PasteHashtag!I178)-FIND("/",PasteHashtag!I178)-1)*1</f>
        <v>1.2</v>
      </c>
    </row>
    <row r="179">
      <c r="A179" s="5">
        <v>178.0</v>
      </c>
      <c r="B179" s="5" t="str">
        <f>PasteHashtag!B179</f>
        <v/>
      </c>
      <c r="C179" s="305" t="str">
        <f>PasteHashtag!C179</f>
        <v>Lonzo Ball</v>
      </c>
      <c r="D179" s="5" t="str">
        <f>PasteHashtag!D179</f>
        <v>PG</v>
      </c>
      <c r="E179" s="5" t="str">
        <f>PasteHashtag!E179</f>
        <v>CHI</v>
      </c>
      <c r="F179" s="5">
        <f>PasteHashtag!F179</f>
        <v>44</v>
      </c>
      <c r="G179" s="5">
        <f>PasteHashtag!G179</f>
        <v>19.8</v>
      </c>
      <c r="H179" s="5">
        <f>MID(PasteHashtag!H179,1+FIND("(",PasteHashtag!H179),FIND("/",PasteHashtag!H179)-FIND("(",PasteHashtag!H179)-1)*1</f>
        <v>2.7</v>
      </c>
      <c r="I179" s="5">
        <f>LEFT(PasteHashtag!H179,FIND("(",PasteHashtag!H179)-1)*1</f>
        <v>0.423</v>
      </c>
      <c r="J179" s="5">
        <f>MID(PasteHashtag!I179,1+FIND("(",PasteHashtag!I179),FIND("/",PasteHashtag!I179)-FIND("(",PasteHashtag!I179)-1)*1</f>
        <v>0.4</v>
      </c>
      <c r="K179" s="5">
        <f>LEFT(PasteHashtag!I179,FIND("(",PasteHashtag!I179)-1)*1</f>
        <v>0.761</v>
      </c>
      <c r="L179" s="5">
        <f>PasteHashtag!J179</f>
        <v>1.8</v>
      </c>
      <c r="M179" s="5">
        <f>PasteHashtag!K179</f>
        <v>7.6</v>
      </c>
      <c r="N179" s="5">
        <f>PasteHashtag!L179</f>
        <v>3.2</v>
      </c>
      <c r="O179" s="5">
        <f>PasteHashtag!M179</f>
        <v>3.5</v>
      </c>
      <c r="P179" s="5">
        <f>PasteHashtag!N179</f>
        <v>1.1</v>
      </c>
      <c r="Q179" s="5">
        <f>PasteHashtag!O179</f>
        <v>0.5</v>
      </c>
      <c r="R179" s="5">
        <f>PasteHashtag!P179</f>
        <v>1.4</v>
      </c>
      <c r="S179" s="5">
        <f>Mid(PasteHashtag!H179,FIND("/",PasteHashtag!H179)+1,LEN(PasteHashtag!H179)-FIND("/",PasteHashtag!H179)-1)*1</f>
        <v>6.4</v>
      </c>
      <c r="T179" s="306">
        <f>Mid(PasteHashtag!I179,FIND("/",PasteHashtag!I179)+1,LEN(PasteHashtag!I179)-FIND("/",PasteHashtag!I179)-1)*1</f>
        <v>0.5</v>
      </c>
    </row>
    <row r="180">
      <c r="A180" s="5">
        <v>179.0</v>
      </c>
      <c r="B180" s="5">
        <f>PasteHashtag!B180</f>
        <v>146.7</v>
      </c>
      <c r="C180" s="305" t="str">
        <f>PasteHashtag!C180</f>
        <v>Vince Williams Jr.</v>
      </c>
      <c r="D180" s="5" t="str">
        <f>PasteHashtag!D180</f>
        <v>PG,SG,SF</v>
      </c>
      <c r="E180" s="5" t="str">
        <f>PasteHashtag!E180</f>
        <v>MEM</v>
      </c>
      <c r="F180" s="5">
        <f>PasteHashtag!F180</f>
        <v>58</v>
      </c>
      <c r="G180" s="5">
        <f>PasteHashtag!G180</f>
        <v>24</v>
      </c>
      <c r="H180" s="5">
        <f>MID(PasteHashtag!H180,1+FIND("(",PasteHashtag!H180),FIND("/",PasteHashtag!H180)-FIND("(",PasteHashtag!H180)-1)*1</f>
        <v>3</v>
      </c>
      <c r="I180" s="5">
        <f>LEFT(PasteHashtag!H180,FIND("(",PasteHashtag!H180)-1)*1</f>
        <v>0.454</v>
      </c>
      <c r="J180" s="5">
        <f>MID(PasteHashtag!I180,1+FIND("(",PasteHashtag!I180),FIND("/",PasteHashtag!I180)-FIND("(",PasteHashtag!I180)-1)*1</f>
        <v>1.7</v>
      </c>
      <c r="K180" s="5">
        <f>LEFT(PasteHashtag!I180,FIND("(",PasteHashtag!I180)-1)*1</f>
        <v>0.803</v>
      </c>
      <c r="L180" s="5">
        <f>PasteHashtag!J180</f>
        <v>1.3</v>
      </c>
      <c r="M180" s="5">
        <f>PasteHashtag!K180</f>
        <v>9</v>
      </c>
      <c r="N180" s="5">
        <f>PasteHashtag!L180</f>
        <v>4.8</v>
      </c>
      <c r="O180" s="5">
        <f>PasteHashtag!M180</f>
        <v>2.8</v>
      </c>
      <c r="P180" s="5">
        <f>PasteHashtag!N180</f>
        <v>0.8</v>
      </c>
      <c r="Q180" s="5">
        <f>PasteHashtag!O180</f>
        <v>0.6</v>
      </c>
      <c r="R180" s="5">
        <f>PasteHashtag!P180</f>
        <v>1.5</v>
      </c>
      <c r="S180" s="5">
        <f>Mid(PasteHashtag!H180,FIND("/",PasteHashtag!H180)+1,LEN(PasteHashtag!H180)-FIND("/",PasteHashtag!H180)-1)*1</f>
        <v>6.6</v>
      </c>
      <c r="T180" s="306">
        <f>Mid(PasteHashtag!I180,FIND("/",PasteHashtag!I180)+1,LEN(PasteHashtag!I180)-FIND("/",PasteHashtag!I180)-1)*1</f>
        <v>2.1</v>
      </c>
    </row>
    <row r="181">
      <c r="A181" s="5">
        <v>180.0</v>
      </c>
      <c r="B181" s="5">
        <f>PasteHashtag!B181</f>
        <v>143.9</v>
      </c>
      <c r="C181" s="305" t="str">
        <f>PasteHashtag!C181</f>
        <v>Gary Trent Jr.</v>
      </c>
      <c r="D181" s="5" t="str">
        <f>PasteHashtag!D181</f>
        <v>PG,SG</v>
      </c>
      <c r="E181" s="5" t="str">
        <f>PasteHashtag!E181</f>
        <v>MIL</v>
      </c>
      <c r="F181" s="5">
        <f>PasteHashtag!F181</f>
        <v>70</v>
      </c>
      <c r="G181" s="5">
        <f>PasteHashtag!G181</f>
        <v>30</v>
      </c>
      <c r="H181" s="5">
        <f>MID(PasteHashtag!H181,1+FIND("(",PasteHashtag!H181),FIND("/",PasteHashtag!H181)-FIND("(",PasteHashtag!H181)-1)*1</f>
        <v>5.3</v>
      </c>
      <c r="I181" s="5">
        <f>LEFT(PasteHashtag!H181,FIND("(",PasteHashtag!H181)-1)*1</f>
        <v>0.429</v>
      </c>
      <c r="J181" s="5">
        <f>MID(PasteHashtag!I181,1+FIND("(",PasteHashtag!I181),FIND("/",PasteHashtag!I181)-FIND("(",PasteHashtag!I181)-1)*1</f>
        <v>1.6</v>
      </c>
      <c r="K181" s="5">
        <f>LEFT(PasteHashtag!I181,FIND("(",PasteHashtag!I181)-1)*1</f>
        <v>0.792</v>
      </c>
      <c r="L181" s="5">
        <f>PasteHashtag!J181</f>
        <v>2.4</v>
      </c>
      <c r="M181" s="5">
        <f>PasteHashtag!K181</f>
        <v>14.5</v>
      </c>
      <c r="N181" s="5">
        <f>PasteHashtag!L181</f>
        <v>2.5</v>
      </c>
      <c r="O181" s="5">
        <f>PasteHashtag!M181</f>
        <v>1.6</v>
      </c>
      <c r="P181" s="5">
        <f>PasteHashtag!N181</f>
        <v>1.2</v>
      </c>
      <c r="Q181" s="5">
        <f>PasteHashtag!O181</f>
        <v>0.2</v>
      </c>
      <c r="R181" s="5">
        <f>PasteHashtag!P181</f>
        <v>0.7</v>
      </c>
      <c r="S181" s="5">
        <f>Mid(PasteHashtag!H181,FIND("/",PasteHashtag!H181)+1,LEN(PasteHashtag!H181)-FIND("/",PasteHashtag!H181)-1)*1</f>
        <v>12.3</v>
      </c>
      <c r="T181" s="306">
        <f>Mid(PasteHashtag!I181,FIND("/",PasteHashtag!I181)+1,LEN(PasteHashtag!I181)-FIND("/",PasteHashtag!I181)-1)*1</f>
        <v>2.1</v>
      </c>
    </row>
    <row r="182">
      <c r="A182" s="5">
        <v>181.0</v>
      </c>
      <c r="B182" s="5">
        <f>PasteHashtag!B182</f>
        <v>143.3</v>
      </c>
      <c r="C182" s="305" t="str">
        <f>PasteHashtag!C182</f>
        <v>Keldon Johnson</v>
      </c>
      <c r="D182" s="5" t="str">
        <f>PasteHashtag!D182</f>
        <v>SG,SF,PF</v>
      </c>
      <c r="E182" s="5" t="str">
        <f>PasteHashtag!E182</f>
        <v>SA</v>
      </c>
      <c r="F182" s="5">
        <f>PasteHashtag!F182</f>
        <v>67</v>
      </c>
      <c r="G182" s="5">
        <f>PasteHashtag!G182</f>
        <v>27.5</v>
      </c>
      <c r="H182" s="5">
        <f>MID(PasteHashtag!H182,1+FIND("(",PasteHashtag!H182),FIND("/",PasteHashtag!H182)-FIND("(",PasteHashtag!H182)-1)*1</f>
        <v>6.1</v>
      </c>
      <c r="I182" s="5">
        <f>LEFT(PasteHashtag!H182,FIND("(",PasteHashtag!H182)-1)*1</f>
        <v>0.453</v>
      </c>
      <c r="J182" s="5">
        <f>MID(PasteHashtag!I182,1+FIND("(",PasteHashtag!I182),FIND("/",PasteHashtag!I182)-FIND("(",PasteHashtag!I182)-1)*1</f>
        <v>2.8</v>
      </c>
      <c r="K182" s="5">
        <f>LEFT(PasteHashtag!I182,FIND("(",PasteHashtag!I182)-1)*1</f>
        <v>0.798</v>
      </c>
      <c r="L182" s="5">
        <f>PasteHashtag!J182</f>
        <v>1.8</v>
      </c>
      <c r="M182" s="5">
        <f>PasteHashtag!K182</f>
        <v>16.7</v>
      </c>
      <c r="N182" s="5">
        <f>PasteHashtag!L182</f>
        <v>4.7</v>
      </c>
      <c r="O182" s="5">
        <f>PasteHashtag!M182</f>
        <v>2.6</v>
      </c>
      <c r="P182" s="5">
        <f>PasteHashtag!N182</f>
        <v>0.7</v>
      </c>
      <c r="Q182" s="5">
        <f>PasteHashtag!O182</f>
        <v>0.2</v>
      </c>
      <c r="R182" s="5">
        <f>PasteHashtag!P182</f>
        <v>1.6</v>
      </c>
      <c r="S182" s="5">
        <f>Mid(PasteHashtag!H182,FIND("/",PasteHashtag!H182)+1,LEN(PasteHashtag!H182)-FIND("/",PasteHashtag!H182)-1)*1</f>
        <v>13.4</v>
      </c>
      <c r="T182" s="306">
        <f>Mid(PasteHashtag!I182,FIND("/",PasteHashtag!I182)+1,LEN(PasteHashtag!I182)-FIND("/",PasteHashtag!I182)-1)*1</f>
        <v>3.6</v>
      </c>
    </row>
    <row r="183">
      <c r="A183" s="5">
        <v>182.0</v>
      </c>
      <c r="B183" s="5">
        <f>PasteHashtag!B183</f>
        <v>142.5</v>
      </c>
      <c r="C183" s="305" t="str">
        <f>PasteHashtag!C183</f>
        <v>Christian Braun</v>
      </c>
      <c r="D183" s="5" t="str">
        <f>PasteHashtag!D183</f>
        <v>SG,SF</v>
      </c>
      <c r="E183" s="5" t="str">
        <f>PasteHashtag!E183</f>
        <v>DEN</v>
      </c>
      <c r="F183" s="5">
        <f>PasteHashtag!F183</f>
        <v>79</v>
      </c>
      <c r="G183" s="5">
        <f>PasteHashtag!G183</f>
        <v>30.2</v>
      </c>
      <c r="H183" s="5">
        <f>MID(PasteHashtag!H183,1+FIND("(",PasteHashtag!H183),FIND("/",PasteHashtag!H183)-FIND("(",PasteHashtag!H183)-1)*1</f>
        <v>4.1</v>
      </c>
      <c r="I183" s="5">
        <f>LEFT(PasteHashtag!H183,FIND("(",PasteHashtag!H183)-1)*1</f>
        <v>0.468</v>
      </c>
      <c r="J183" s="5">
        <f>MID(PasteHashtag!I183,1+FIND("(",PasteHashtag!I183),FIND("/",PasteHashtag!I183)-FIND("(",PasteHashtag!I183)-1)*1</f>
        <v>1.6</v>
      </c>
      <c r="K183" s="5">
        <f>LEFT(PasteHashtag!I183,FIND("(",PasteHashtag!I183)-1)*1</f>
        <v>0.731</v>
      </c>
      <c r="L183" s="5">
        <f>PasteHashtag!J183</f>
        <v>1.1</v>
      </c>
      <c r="M183" s="5">
        <f>PasteHashtag!K183</f>
        <v>11</v>
      </c>
      <c r="N183" s="5">
        <f>PasteHashtag!L183</f>
        <v>5.5</v>
      </c>
      <c r="O183" s="5">
        <f>PasteHashtag!M183</f>
        <v>2.2</v>
      </c>
      <c r="P183" s="5">
        <f>PasteHashtag!N183</f>
        <v>0.9</v>
      </c>
      <c r="Q183" s="5">
        <f>PasteHashtag!O183</f>
        <v>0.6</v>
      </c>
      <c r="R183" s="5">
        <f>PasteHashtag!P183</f>
        <v>1</v>
      </c>
      <c r="S183" s="5">
        <f>Mid(PasteHashtag!H183,FIND("/",PasteHashtag!H183)+1,LEN(PasteHashtag!H183)-FIND("/",PasteHashtag!H183)-1)*1</f>
        <v>8.8</v>
      </c>
      <c r="T183" s="306">
        <f>Mid(PasteHashtag!I183,FIND("/",PasteHashtag!I183)+1,LEN(PasteHashtag!I183)-FIND("/",PasteHashtag!I183)-1)*1</f>
        <v>2.2</v>
      </c>
    </row>
    <row r="184">
      <c r="A184" s="5">
        <v>183.0</v>
      </c>
      <c r="B184" s="5">
        <f>PasteHashtag!B184</f>
        <v>139</v>
      </c>
      <c r="C184" s="305" t="str">
        <f>PasteHashtag!C184</f>
        <v>Zaccharie Risacher</v>
      </c>
      <c r="D184" s="5" t="str">
        <f>PasteHashtag!D184</f>
        <v>SF</v>
      </c>
      <c r="E184" s="5" t="str">
        <f>PasteHashtag!E184</f>
        <v>ATL</v>
      </c>
      <c r="F184" s="5">
        <f>PasteHashtag!F184</f>
        <v>68</v>
      </c>
      <c r="G184" s="5">
        <f>PasteHashtag!G184</f>
        <v>30.4</v>
      </c>
      <c r="H184" s="5">
        <f>MID(PasteHashtag!H184,1+FIND("(",PasteHashtag!H184),FIND("/",PasteHashtag!H184)-FIND("(",PasteHashtag!H184)-1)*1</f>
        <v>5.1</v>
      </c>
      <c r="I184" s="5">
        <f>LEFT(PasteHashtag!H184,FIND("(",PasteHashtag!H184)-1)*1</f>
        <v>0.452</v>
      </c>
      <c r="J184" s="5">
        <f>MID(PasteHashtag!I184,1+FIND("(",PasteHashtag!I184),FIND("/",PasteHashtag!I184)-FIND("(",PasteHashtag!I184)-1)*1</f>
        <v>2.1</v>
      </c>
      <c r="K184" s="5">
        <f>LEFT(PasteHashtag!I184,FIND("(",PasteHashtag!I184)-1)*1</f>
        <v>0.74</v>
      </c>
      <c r="L184" s="5">
        <f>PasteHashtag!J184</f>
        <v>1.4</v>
      </c>
      <c r="M184" s="5">
        <f>PasteHashtag!K184</f>
        <v>13.6</v>
      </c>
      <c r="N184" s="5">
        <f>PasteHashtag!L184</f>
        <v>4.1</v>
      </c>
      <c r="O184" s="5">
        <f>PasteHashtag!M184</f>
        <v>1.5</v>
      </c>
      <c r="P184" s="5">
        <f>PasteHashtag!N184</f>
        <v>1.1</v>
      </c>
      <c r="Q184" s="5">
        <f>PasteHashtag!O184</f>
        <v>0.7</v>
      </c>
      <c r="R184" s="5">
        <f>PasteHashtag!P184</f>
        <v>1.6</v>
      </c>
      <c r="S184" s="5">
        <f>Mid(PasteHashtag!H184,FIND("/",PasteHashtag!H184)+1,LEN(PasteHashtag!H184)-FIND("/",PasteHashtag!H184)-1)*1</f>
        <v>11.2</v>
      </c>
      <c r="T184" s="306">
        <f>Mid(PasteHashtag!I184,FIND("/",PasteHashtag!I184)+1,LEN(PasteHashtag!I184)-FIND("/",PasteHashtag!I184)-1)*1</f>
        <v>2.8</v>
      </c>
    </row>
    <row r="185">
      <c r="A185" s="5">
        <v>184.0</v>
      </c>
      <c r="B185" s="5">
        <f>PasteHashtag!B185</f>
        <v>138.9</v>
      </c>
      <c r="C185" s="305" t="str">
        <f>PasteHashtag!C185</f>
        <v>Jordan Clarkson</v>
      </c>
      <c r="D185" s="5" t="str">
        <f>PasteHashtag!D185</f>
        <v>SG,SF</v>
      </c>
      <c r="E185" s="5" t="str">
        <f>PasteHashtag!E185</f>
        <v>UTA</v>
      </c>
      <c r="F185" s="5">
        <f>PasteHashtag!F185</f>
        <v>64</v>
      </c>
      <c r="G185" s="5">
        <f>PasteHashtag!G185</f>
        <v>28.6</v>
      </c>
      <c r="H185" s="5">
        <f>MID(PasteHashtag!H185,1+FIND("(",PasteHashtag!H185),FIND("/",PasteHashtag!H185)-FIND("(",PasteHashtag!H185)-1)*1</f>
        <v>6.3</v>
      </c>
      <c r="I185" s="5">
        <f>LEFT(PasteHashtag!H185,FIND("(",PasteHashtag!H185)-1)*1</f>
        <v>0.431</v>
      </c>
      <c r="J185" s="5">
        <f>MID(PasteHashtag!I185,1+FIND("(",PasteHashtag!I185),FIND("/",PasteHashtag!I185)-FIND("(",PasteHashtag!I185)-1)*1</f>
        <v>3</v>
      </c>
      <c r="K185" s="5">
        <f>LEFT(PasteHashtag!I185,FIND("(",PasteHashtag!I185)-1)*1</f>
        <v>0.846</v>
      </c>
      <c r="L185" s="5">
        <f>PasteHashtag!J185</f>
        <v>1.9</v>
      </c>
      <c r="M185" s="5">
        <f>PasteHashtag!K185</f>
        <v>17.4</v>
      </c>
      <c r="N185" s="5">
        <f>PasteHashtag!L185</f>
        <v>3.4</v>
      </c>
      <c r="O185" s="5">
        <f>PasteHashtag!M185</f>
        <v>4.3</v>
      </c>
      <c r="P185" s="5">
        <f>PasteHashtag!N185</f>
        <v>0.5</v>
      </c>
      <c r="Q185" s="5">
        <f>PasteHashtag!O185</f>
        <v>0.2</v>
      </c>
      <c r="R185" s="5">
        <f>PasteHashtag!P185</f>
        <v>2.6</v>
      </c>
      <c r="S185" s="5">
        <f>Mid(PasteHashtag!H185,FIND("/",PasteHashtag!H185)+1,LEN(PasteHashtag!H185)-FIND("/",PasteHashtag!H185)-1)*1</f>
        <v>14.5</v>
      </c>
      <c r="T185" s="306">
        <f>Mid(PasteHashtag!I185,FIND("/",PasteHashtag!I185)+1,LEN(PasteHashtag!I185)-FIND("/",PasteHashtag!I185)-1)*1</f>
        <v>3.5</v>
      </c>
    </row>
    <row r="186">
      <c r="A186" s="5">
        <v>185.0</v>
      </c>
      <c r="B186" s="5" t="str">
        <f>PasteHashtag!B186</f>
        <v/>
      </c>
      <c r="C186" s="305" t="str">
        <f>PasteHashtag!C186</f>
        <v>Luke Kennard</v>
      </c>
      <c r="D186" s="5" t="str">
        <f>PasteHashtag!D186</f>
        <v>SG</v>
      </c>
      <c r="E186" s="5" t="str">
        <f>PasteHashtag!E186</f>
        <v>MEM</v>
      </c>
      <c r="F186" s="5">
        <f>PasteHashtag!F186</f>
        <v>60</v>
      </c>
      <c r="G186" s="5">
        <f>PasteHashtag!G186</f>
        <v>25.4</v>
      </c>
      <c r="H186" s="5">
        <f>MID(PasteHashtag!H186,1+FIND("(",PasteHashtag!H186),FIND("/",PasteHashtag!H186)-FIND("(",PasteHashtag!H186)-1)*1</f>
        <v>3.7</v>
      </c>
      <c r="I186" s="5">
        <f>LEFT(PasteHashtag!H186,FIND("(",PasteHashtag!H186)-1)*1</f>
        <v>0.472</v>
      </c>
      <c r="J186" s="5">
        <f>MID(PasteHashtag!I186,1+FIND("(",PasteHashtag!I186),FIND("/",PasteHashtag!I186)-FIND("(",PasteHashtag!I186)-1)*1</f>
        <v>0.9</v>
      </c>
      <c r="K186" s="5">
        <f>LEFT(PasteHashtag!I186,FIND("(",PasteHashtag!I186)-1)*1</f>
        <v>0.914</v>
      </c>
      <c r="L186" s="5">
        <f>PasteHashtag!J186</f>
        <v>2.7</v>
      </c>
      <c r="M186" s="5">
        <f>PasteHashtag!K186</f>
        <v>10.8</v>
      </c>
      <c r="N186" s="5">
        <f>PasteHashtag!L186</f>
        <v>3</v>
      </c>
      <c r="O186" s="5">
        <f>PasteHashtag!M186</f>
        <v>2.5</v>
      </c>
      <c r="P186" s="5">
        <f>PasteHashtag!N186</f>
        <v>0.6</v>
      </c>
      <c r="Q186" s="5">
        <f>PasteHashtag!O186</f>
        <v>0.1</v>
      </c>
      <c r="R186" s="5">
        <f>PasteHashtag!P186</f>
        <v>1.1</v>
      </c>
      <c r="S186" s="5">
        <f>Mid(PasteHashtag!H186,FIND("/",PasteHashtag!H186)+1,LEN(PasteHashtag!H186)-FIND("/",PasteHashtag!H186)-1)*1</f>
        <v>7.7</v>
      </c>
      <c r="T186" s="306">
        <f>Mid(PasteHashtag!I186,FIND("/",PasteHashtag!I186)+1,LEN(PasteHashtag!I186)-FIND("/",PasteHashtag!I186)-1)*1</f>
        <v>0.9</v>
      </c>
    </row>
    <row r="187">
      <c r="A187" s="5">
        <v>186.0</v>
      </c>
      <c r="B187" s="5">
        <f>PasteHashtag!B187</f>
        <v>139.1</v>
      </c>
      <c r="C187" s="305" t="str">
        <f>PasteHashtag!C187</f>
        <v>Andre Drummond</v>
      </c>
      <c r="D187" s="5" t="str">
        <f>PasteHashtag!D187</f>
        <v>C</v>
      </c>
      <c r="E187" s="5" t="str">
        <f>PasteHashtag!E187</f>
        <v>PHI</v>
      </c>
      <c r="F187" s="5">
        <f>PasteHashtag!F187</f>
        <v>74</v>
      </c>
      <c r="G187" s="5">
        <f>PasteHashtag!G187</f>
        <v>20.1</v>
      </c>
      <c r="H187" s="5">
        <f>MID(PasteHashtag!H187,1+FIND("(",PasteHashtag!H187),FIND("/",PasteHashtag!H187)-FIND("(",PasteHashtag!H187)-1)*1</f>
        <v>4</v>
      </c>
      <c r="I187" s="5">
        <f>LEFT(PasteHashtag!H187,FIND("(",PasteHashtag!H187)-1)*1</f>
        <v>0.574</v>
      </c>
      <c r="J187" s="5">
        <f>MID(PasteHashtag!I187,1+FIND("(",PasteHashtag!I187),FIND("/",PasteHashtag!I187)-FIND("(",PasteHashtag!I187)-1)*1</f>
        <v>1.8</v>
      </c>
      <c r="K187" s="5">
        <f>LEFT(PasteHashtag!I187,FIND("(",PasteHashtag!I187)-1)*1</f>
        <v>0.604</v>
      </c>
      <c r="L187" s="5">
        <f>PasteHashtag!J187</f>
        <v>0</v>
      </c>
      <c r="M187" s="5">
        <f>PasteHashtag!K187</f>
        <v>9.8</v>
      </c>
      <c r="N187" s="5">
        <f>PasteHashtag!L187</f>
        <v>10.6</v>
      </c>
      <c r="O187" s="5">
        <f>PasteHashtag!M187</f>
        <v>0.6</v>
      </c>
      <c r="P187" s="5">
        <f>PasteHashtag!N187</f>
        <v>1.1</v>
      </c>
      <c r="Q187" s="5">
        <f>PasteHashtag!O187</f>
        <v>0.7</v>
      </c>
      <c r="R187" s="5">
        <f>PasteHashtag!P187</f>
        <v>1.4</v>
      </c>
      <c r="S187" s="5">
        <f>Mid(PasteHashtag!H187,FIND("/",PasteHashtag!H187)+1,LEN(PasteHashtag!H187)-FIND("/",PasteHashtag!H187)-1)*1</f>
        <v>6.9</v>
      </c>
      <c r="T187" s="306">
        <f>Mid(PasteHashtag!I187,FIND("/",PasteHashtag!I187)+1,LEN(PasteHashtag!I187)-FIND("/",PasteHashtag!I187)-1)*1</f>
        <v>3</v>
      </c>
    </row>
    <row r="188">
      <c r="A188" s="5">
        <v>187.0</v>
      </c>
      <c r="B188" s="5">
        <f>PasteHashtag!B188</f>
        <v>141.7</v>
      </c>
      <c r="C188" s="305" t="str">
        <f>PasteHashtag!C188</f>
        <v>Cole Anthony</v>
      </c>
      <c r="D188" s="5" t="str">
        <f>PasteHashtag!D188</f>
        <v>PG</v>
      </c>
      <c r="E188" s="5" t="str">
        <f>PasteHashtag!E188</f>
        <v>ORL</v>
      </c>
      <c r="F188" s="5">
        <f>PasteHashtag!F188</f>
        <v>72</v>
      </c>
      <c r="G188" s="5">
        <f>PasteHashtag!G188</f>
        <v>21.9</v>
      </c>
      <c r="H188" s="5">
        <f>MID(PasteHashtag!H188,1+FIND("(",PasteHashtag!H188),FIND("/",PasteHashtag!H188)-FIND("(",PasteHashtag!H188)-1)*1</f>
        <v>4</v>
      </c>
      <c r="I188" s="5">
        <f>LEFT(PasteHashtag!H188,FIND("(",PasteHashtag!H188)-1)*1</f>
        <v>0.444</v>
      </c>
      <c r="J188" s="5">
        <f>MID(PasteHashtag!I188,1+FIND("(",PasteHashtag!I188),FIND("/",PasteHashtag!I188)-FIND("(",PasteHashtag!I188)-1)*1</f>
        <v>2.2</v>
      </c>
      <c r="K188" s="5">
        <f>LEFT(PasteHashtag!I188,FIND("(",PasteHashtag!I188)-1)*1</f>
        <v>0.855</v>
      </c>
      <c r="L188" s="5">
        <f>PasteHashtag!J188</f>
        <v>1.3</v>
      </c>
      <c r="M188" s="5">
        <f>PasteHashtag!K188</f>
        <v>11.5</v>
      </c>
      <c r="N188" s="5">
        <f>PasteHashtag!L188</f>
        <v>3.9</v>
      </c>
      <c r="O188" s="5">
        <f>PasteHashtag!M188</f>
        <v>3.1</v>
      </c>
      <c r="P188" s="5">
        <f>PasteHashtag!N188</f>
        <v>0.7</v>
      </c>
      <c r="Q188" s="5">
        <f>PasteHashtag!O188</f>
        <v>0.5</v>
      </c>
      <c r="R188" s="5">
        <f>PasteHashtag!P188</f>
        <v>1.4</v>
      </c>
      <c r="S188" s="5">
        <f>Mid(PasteHashtag!H188,FIND("/",PasteHashtag!H188)+1,LEN(PasteHashtag!H188)-FIND("/",PasteHashtag!H188)-1)*1</f>
        <v>9</v>
      </c>
      <c r="T188" s="306">
        <f>Mid(PasteHashtag!I188,FIND("/",PasteHashtag!I188)+1,LEN(PasteHashtag!I188)-FIND("/",PasteHashtag!I188)-1)*1</f>
        <v>2.6</v>
      </c>
    </row>
    <row r="189">
      <c r="A189" s="5">
        <v>188.0</v>
      </c>
      <c r="B189" s="5">
        <f>PasteHashtag!B189</f>
        <v>140.9</v>
      </c>
      <c r="C189" s="305" t="str">
        <f>PasteHashtag!C189</f>
        <v>Reed Sheppard</v>
      </c>
      <c r="D189" s="5" t="str">
        <f>PasteHashtag!D189</f>
        <v>SG</v>
      </c>
      <c r="E189" s="5" t="str">
        <f>PasteHashtag!E189</f>
        <v>HOU</v>
      </c>
      <c r="F189" s="5">
        <f>PasteHashtag!F189</f>
        <v>67</v>
      </c>
      <c r="G189" s="5">
        <f>PasteHashtag!G189</f>
        <v>20.2</v>
      </c>
      <c r="H189" s="5">
        <f>MID(PasteHashtag!H189,1+FIND("(",PasteHashtag!H189),FIND("/",PasteHashtag!H189)-FIND("(",PasteHashtag!H189)-1)*1</f>
        <v>2.2</v>
      </c>
      <c r="I189" s="5">
        <f>LEFT(PasteHashtag!H189,FIND("(",PasteHashtag!H189)-1)*1</f>
        <v>0.472</v>
      </c>
      <c r="J189" s="5">
        <f>MID(PasteHashtag!I189,1+FIND("(",PasteHashtag!I189),FIND("/",PasteHashtag!I189)-FIND("(",PasteHashtag!I189)-1)*1</f>
        <v>0.9</v>
      </c>
      <c r="K189" s="5">
        <f>LEFT(PasteHashtag!I189,FIND("(",PasteHashtag!I189)-1)*1</f>
        <v>0.835</v>
      </c>
      <c r="L189" s="5">
        <f>PasteHashtag!J189</f>
        <v>1.3</v>
      </c>
      <c r="M189" s="5">
        <f>PasteHashtag!K189</f>
        <v>6.7</v>
      </c>
      <c r="N189" s="5">
        <f>PasteHashtag!L189</f>
        <v>2.5</v>
      </c>
      <c r="O189" s="5">
        <f>PasteHashtag!M189</f>
        <v>2.4</v>
      </c>
      <c r="P189" s="5">
        <f>PasteHashtag!N189</f>
        <v>1.3</v>
      </c>
      <c r="Q189" s="5">
        <f>PasteHashtag!O189</f>
        <v>0.4</v>
      </c>
      <c r="R189" s="5">
        <f>PasteHashtag!P189</f>
        <v>1.1</v>
      </c>
      <c r="S189" s="5">
        <f>Mid(PasteHashtag!H189,FIND("/",PasteHashtag!H189)+1,LEN(PasteHashtag!H189)-FIND("/",PasteHashtag!H189)-1)*1</f>
        <v>4.8</v>
      </c>
      <c r="T189" s="306">
        <f>Mid(PasteHashtag!I189,FIND("/",PasteHashtag!I189)+1,LEN(PasteHashtag!I189)-FIND("/",PasteHashtag!I189)-1)*1</f>
        <v>1</v>
      </c>
    </row>
    <row r="190">
      <c r="A190" s="5">
        <v>189.0</v>
      </c>
      <c r="B190" s="5">
        <f>PasteHashtag!B190</f>
        <v>139.4</v>
      </c>
      <c r="C190" s="305" t="str">
        <f>PasteHashtag!C190</f>
        <v>Andrew Wiggins</v>
      </c>
      <c r="D190" s="5" t="str">
        <f>PasteHashtag!D190</f>
        <v>SF,PF</v>
      </c>
      <c r="E190" s="5" t="str">
        <f>PasteHashtag!E190</f>
        <v>GS</v>
      </c>
      <c r="F190" s="5">
        <f>PasteHashtag!F190</f>
        <v>70</v>
      </c>
      <c r="G190" s="5">
        <f>PasteHashtag!G190</f>
        <v>28.5</v>
      </c>
      <c r="H190" s="5">
        <f>MID(PasteHashtag!H190,1+FIND("(",PasteHashtag!H190),FIND("/",PasteHashtag!H190)-FIND("(",PasteHashtag!H190)-1)*1</f>
        <v>5.6</v>
      </c>
      <c r="I190" s="5">
        <f>LEFT(PasteHashtag!H190,FIND("(",PasteHashtag!H190)-1)*1</f>
        <v>0.461</v>
      </c>
      <c r="J190" s="5">
        <f>MID(PasteHashtag!I190,1+FIND("(",PasteHashtag!I190),FIND("/",PasteHashtag!I190)-FIND("(",PasteHashtag!I190)-1)*1</f>
        <v>1.7</v>
      </c>
      <c r="K190" s="5">
        <f>LEFT(PasteHashtag!I190,FIND("(",PasteHashtag!I190)-1)*1</f>
        <v>0.711</v>
      </c>
      <c r="L190" s="5">
        <f>PasteHashtag!J190</f>
        <v>1.7</v>
      </c>
      <c r="M190" s="5">
        <f>PasteHashtag!K190</f>
        <v>14.6</v>
      </c>
      <c r="N190" s="5">
        <f>PasteHashtag!L190</f>
        <v>4.7</v>
      </c>
      <c r="O190" s="5">
        <f>PasteHashtag!M190</f>
        <v>1.9</v>
      </c>
      <c r="P190" s="5">
        <f>PasteHashtag!N190</f>
        <v>0.8</v>
      </c>
      <c r="Q190" s="5">
        <f>PasteHashtag!O190</f>
        <v>0.6</v>
      </c>
      <c r="R190" s="5">
        <f>PasteHashtag!P190</f>
        <v>1.3</v>
      </c>
      <c r="S190" s="5">
        <f>Mid(PasteHashtag!H190,FIND("/",PasteHashtag!H190)+1,LEN(PasteHashtag!H190)-FIND("/",PasteHashtag!H190)-1)*1</f>
        <v>12.1</v>
      </c>
      <c r="T190" s="306">
        <f>Mid(PasteHashtag!I190,FIND("/",PasteHashtag!I190)+1,LEN(PasteHashtag!I190)-FIND("/",PasteHashtag!I190)-1)*1</f>
        <v>2.4</v>
      </c>
    </row>
    <row r="191">
      <c r="A191" s="5">
        <v>190.0</v>
      </c>
      <c r="B191" s="5" t="str">
        <f>PasteHashtag!B191</f>
        <v/>
      </c>
      <c r="C191" s="305" t="str">
        <f>PasteHashtag!C191</f>
        <v>Jarred Vanderbilt</v>
      </c>
      <c r="D191" s="5" t="str">
        <f>PasteHashtag!D191</f>
        <v>PF</v>
      </c>
      <c r="E191" s="5" t="str">
        <f>PasteHashtag!E191</f>
        <v>LAL</v>
      </c>
      <c r="F191" s="5">
        <f>PasteHashtag!F191</f>
        <v>65</v>
      </c>
      <c r="G191" s="5">
        <f>PasteHashtag!G191</f>
        <v>24.1</v>
      </c>
      <c r="H191" s="5">
        <f>MID(PasteHashtag!H191,1+FIND("(",PasteHashtag!H191),FIND("/",PasteHashtag!H191)-FIND("(",PasteHashtag!H191)-1)*1</f>
        <v>3</v>
      </c>
      <c r="I191" s="5">
        <f>LEFT(PasteHashtag!H191,FIND("(",PasteHashtag!H191)-1)*1</f>
        <v>0.542</v>
      </c>
      <c r="J191" s="5">
        <f>MID(PasteHashtag!I191,1+FIND("(",PasteHashtag!I191),FIND("/",PasteHashtag!I191)-FIND("(",PasteHashtag!I191)-1)*1</f>
        <v>1.2</v>
      </c>
      <c r="K191" s="5">
        <f>LEFT(PasteHashtag!I191,FIND("(",PasteHashtag!I191)-1)*1</f>
        <v>0.688</v>
      </c>
      <c r="L191" s="5">
        <f>PasteHashtag!J191</f>
        <v>0.4</v>
      </c>
      <c r="M191" s="5">
        <f>PasteHashtag!K191</f>
        <v>7.6</v>
      </c>
      <c r="N191" s="5">
        <f>PasteHashtag!L191</f>
        <v>7.1</v>
      </c>
      <c r="O191" s="5">
        <f>PasteHashtag!M191</f>
        <v>2.2</v>
      </c>
      <c r="P191" s="5">
        <f>PasteHashtag!N191</f>
        <v>1.2</v>
      </c>
      <c r="Q191" s="5">
        <f>PasteHashtag!O191</f>
        <v>0.3</v>
      </c>
      <c r="R191" s="5">
        <f>PasteHashtag!P191</f>
        <v>1.2</v>
      </c>
      <c r="S191" s="5">
        <f>Mid(PasteHashtag!H191,FIND("/",PasteHashtag!H191)+1,LEN(PasteHashtag!H191)-FIND("/",PasteHashtag!H191)-1)*1</f>
        <v>5.6</v>
      </c>
      <c r="T191" s="306">
        <f>Mid(PasteHashtag!I191,FIND("/",PasteHashtag!I191)+1,LEN(PasteHashtag!I191)-FIND("/",PasteHashtag!I191)-1)*1</f>
        <v>1.7</v>
      </c>
    </row>
    <row r="192">
      <c r="A192" s="5">
        <v>191.0</v>
      </c>
      <c r="B192" s="5" t="str">
        <f>PasteHashtag!B192</f>
        <v/>
      </c>
      <c r="C192" s="305" t="str">
        <f>PasteHashtag!C192</f>
        <v>Caleb Martin</v>
      </c>
      <c r="D192" s="5" t="str">
        <f>PasteHashtag!D192</f>
        <v>SG,SF</v>
      </c>
      <c r="E192" s="5" t="str">
        <f>PasteHashtag!E192</f>
        <v>PHI</v>
      </c>
      <c r="F192" s="5">
        <f>PasteHashtag!F192</f>
        <v>68</v>
      </c>
      <c r="G192" s="5">
        <f>PasteHashtag!G192</f>
        <v>30</v>
      </c>
      <c r="H192" s="5">
        <f>MID(PasteHashtag!H192,1+FIND("(",PasteHashtag!H192),FIND("/",PasteHashtag!H192)-FIND("(",PasteHashtag!H192)-1)*1</f>
        <v>3.9</v>
      </c>
      <c r="I192" s="5">
        <f>LEFT(PasteHashtag!H192,FIND("(",PasteHashtag!H192)-1)*1</f>
        <v>0.447</v>
      </c>
      <c r="J192" s="5">
        <f>MID(PasteHashtag!I192,1+FIND("(",PasteHashtag!I192),FIND("/",PasteHashtag!I192)-FIND("(",PasteHashtag!I192)-1)*1</f>
        <v>1.3</v>
      </c>
      <c r="K192" s="5">
        <f>LEFT(PasteHashtag!I192,FIND("(",PasteHashtag!I192)-1)*1</f>
        <v>0.796</v>
      </c>
      <c r="L192" s="5">
        <f>PasteHashtag!J192</f>
        <v>1.3</v>
      </c>
      <c r="M192" s="5">
        <f>PasteHashtag!K192</f>
        <v>10.5</v>
      </c>
      <c r="N192" s="5">
        <f>PasteHashtag!L192</f>
        <v>4.9</v>
      </c>
      <c r="O192" s="5">
        <f>PasteHashtag!M192</f>
        <v>2.1</v>
      </c>
      <c r="P192" s="5">
        <f>PasteHashtag!N192</f>
        <v>0.9</v>
      </c>
      <c r="Q192" s="5">
        <f>PasteHashtag!O192</f>
        <v>0.5</v>
      </c>
      <c r="R192" s="5">
        <f>PasteHashtag!P192</f>
        <v>1.2</v>
      </c>
      <c r="S192" s="5">
        <f>Mid(PasteHashtag!H192,FIND("/",PasteHashtag!H192)+1,LEN(PasteHashtag!H192)-FIND("/",PasteHashtag!H192)-1)*1</f>
        <v>8.8</v>
      </c>
      <c r="T192" s="306">
        <f>Mid(PasteHashtag!I192,FIND("/",PasteHashtag!I192)+1,LEN(PasteHashtag!I192)-FIND("/",PasteHashtag!I192)-1)*1</f>
        <v>1.7</v>
      </c>
    </row>
    <row r="193">
      <c r="A193" s="5">
        <v>192.0</v>
      </c>
      <c r="B193" s="5">
        <f>PasteHashtag!B193</f>
        <v>139.1</v>
      </c>
      <c r="C193" s="305" t="str">
        <f>PasteHashtag!C193</f>
        <v>Russell Westbrook</v>
      </c>
      <c r="D193" s="5" t="str">
        <f>PasteHashtag!D193</f>
        <v>PG</v>
      </c>
      <c r="E193" s="5" t="str">
        <f>PasteHashtag!E193</f>
        <v>DEN</v>
      </c>
      <c r="F193" s="5">
        <f>PasteHashtag!F193</f>
        <v>72</v>
      </c>
      <c r="G193" s="5">
        <f>PasteHashtag!G193</f>
        <v>29.2</v>
      </c>
      <c r="H193" s="5">
        <f>MID(PasteHashtag!H193,1+FIND("(",PasteHashtag!H193),FIND("/",PasteHashtag!H193)-FIND("(",PasteHashtag!H193)-1)*1</f>
        <v>5.7</v>
      </c>
      <c r="I193" s="5">
        <f>LEFT(PasteHashtag!H193,FIND("(",PasteHashtag!H193)-1)*1</f>
        <v>0.444</v>
      </c>
      <c r="J193" s="5">
        <f>MID(PasteHashtag!I193,1+FIND("(",PasteHashtag!I193),FIND("/",PasteHashtag!I193)-FIND("(",PasteHashtag!I193)-1)*1</f>
        <v>2.5</v>
      </c>
      <c r="K193" s="5">
        <f>LEFT(PasteHashtag!I193,FIND("(",PasteHashtag!I193)-1)*1</f>
        <v>0.668</v>
      </c>
      <c r="L193" s="5">
        <f>PasteHashtag!J193</f>
        <v>1</v>
      </c>
      <c r="M193" s="5">
        <f>PasteHashtag!K193</f>
        <v>14.8</v>
      </c>
      <c r="N193" s="5">
        <f>PasteHashtag!L193</f>
        <v>5.9</v>
      </c>
      <c r="O193" s="5">
        <f>PasteHashtag!M193</f>
        <v>5.4</v>
      </c>
      <c r="P193" s="5">
        <f>PasteHashtag!N193</f>
        <v>1.2</v>
      </c>
      <c r="Q193" s="5">
        <f>PasteHashtag!O193</f>
        <v>0.4</v>
      </c>
      <c r="R193" s="5">
        <f>PasteHashtag!P193</f>
        <v>3.1</v>
      </c>
      <c r="S193" s="5">
        <f>Mid(PasteHashtag!H193,FIND("/",PasteHashtag!H193)+1,LEN(PasteHashtag!H193)-FIND("/",PasteHashtag!H193)-1)*1</f>
        <v>12.8</v>
      </c>
      <c r="T193" s="306">
        <f>Mid(PasteHashtag!I193,FIND("/",PasteHashtag!I193)+1,LEN(PasteHashtag!I193)-FIND("/",PasteHashtag!I193)-1)*1</f>
        <v>3.7</v>
      </c>
    </row>
    <row r="194">
      <c r="A194" s="5">
        <v>193.0</v>
      </c>
      <c r="B194" s="5">
        <f>PasteHashtag!B194</f>
        <v>138.6</v>
      </c>
      <c r="C194" s="305" t="str">
        <f>PasteHashtag!C194</f>
        <v>Malcolm Brogdon</v>
      </c>
      <c r="D194" s="5" t="str">
        <f>PasteHashtag!D194</f>
        <v>PG,SG</v>
      </c>
      <c r="E194" s="5" t="str">
        <f>PasteHashtag!E194</f>
        <v>WAS</v>
      </c>
      <c r="F194" s="5">
        <f>PasteHashtag!F194</f>
        <v>43</v>
      </c>
      <c r="G194" s="5">
        <f>PasteHashtag!G194</f>
        <v>26.7</v>
      </c>
      <c r="H194" s="5">
        <f>MID(PasteHashtag!H194,1+FIND("(",PasteHashtag!H194),FIND("/",PasteHashtag!H194)-FIND("(",PasteHashtag!H194)-1)*1</f>
        <v>4.3</v>
      </c>
      <c r="I194" s="5">
        <f>LEFT(PasteHashtag!H194,FIND("(",PasteHashtag!H194)-1)*1</f>
        <v>0.466</v>
      </c>
      <c r="J194" s="5">
        <f>MID(PasteHashtag!I194,1+FIND("(",PasteHashtag!I194),FIND("/",PasteHashtag!I194)-FIND("(",PasteHashtag!I194)-1)*1</f>
        <v>1.9</v>
      </c>
      <c r="K194" s="5">
        <f>LEFT(PasteHashtag!I194,FIND("(",PasteHashtag!I194)-1)*1</f>
        <v>0.849</v>
      </c>
      <c r="L194" s="5">
        <f>PasteHashtag!J194</f>
        <v>1.6</v>
      </c>
      <c r="M194" s="5">
        <f>PasteHashtag!K194</f>
        <v>12.1</v>
      </c>
      <c r="N194" s="5">
        <f>PasteHashtag!L194</f>
        <v>3.2</v>
      </c>
      <c r="O194" s="5">
        <f>PasteHashtag!M194</f>
        <v>3.5</v>
      </c>
      <c r="P194" s="5">
        <f>PasteHashtag!N194</f>
        <v>0.5</v>
      </c>
      <c r="Q194" s="5">
        <f>PasteHashtag!O194</f>
        <v>0.2</v>
      </c>
      <c r="R194" s="5">
        <f>PasteHashtag!P194</f>
        <v>1.2</v>
      </c>
      <c r="S194" s="5">
        <f>Mid(PasteHashtag!H194,FIND("/",PasteHashtag!H194)+1,LEN(PasteHashtag!H194)-FIND("/",PasteHashtag!H194)-1)*1</f>
        <v>9.2</v>
      </c>
      <c r="T194" s="306">
        <f>Mid(PasteHashtag!I194,FIND("/",PasteHashtag!I194)+1,LEN(PasteHashtag!I194)-FIND("/",PasteHashtag!I194)-1)*1</f>
        <v>2.3</v>
      </c>
    </row>
    <row r="195">
      <c r="A195" s="5">
        <v>194.0</v>
      </c>
      <c r="B195" s="5">
        <f>PasteHashtag!B195</f>
        <v>144.9</v>
      </c>
      <c r="C195" s="305" t="str">
        <f>PasteHashtag!C195</f>
        <v>Caris LeVert</v>
      </c>
      <c r="D195" s="5" t="str">
        <f>PasteHashtag!D195</f>
        <v>SG,SF</v>
      </c>
      <c r="E195" s="5" t="str">
        <f>PasteHashtag!E195</f>
        <v>CLE</v>
      </c>
      <c r="F195" s="5">
        <f>PasteHashtag!F195</f>
        <v>69</v>
      </c>
      <c r="G195" s="5">
        <f>PasteHashtag!G195</f>
        <v>27.5</v>
      </c>
      <c r="H195" s="5">
        <f>MID(PasteHashtag!H195,1+FIND("(",PasteHashtag!H195),FIND("/",PasteHashtag!H195)-FIND("(",PasteHashtag!H195)-1)*1</f>
        <v>4.4</v>
      </c>
      <c r="I195" s="5">
        <f>LEFT(PasteHashtag!H195,FIND("(",PasteHashtag!H195)-1)*1</f>
        <v>0.426</v>
      </c>
      <c r="J195" s="5">
        <f>MID(PasteHashtag!I195,1+FIND("(",PasteHashtag!I195),FIND("/",PasteHashtag!I195)-FIND("(",PasteHashtag!I195)-1)*1</f>
        <v>1.9</v>
      </c>
      <c r="K195" s="5">
        <f>LEFT(PasteHashtag!I195,FIND("(",PasteHashtag!I195)-1)*1</f>
        <v>0.746</v>
      </c>
      <c r="L195" s="5">
        <f>PasteHashtag!J195</f>
        <v>1.6</v>
      </c>
      <c r="M195" s="5">
        <f>PasteHashtag!K195</f>
        <v>12.2</v>
      </c>
      <c r="N195" s="5">
        <f>PasteHashtag!L195</f>
        <v>3.7</v>
      </c>
      <c r="O195" s="5">
        <f>PasteHashtag!M195</f>
        <v>4.2</v>
      </c>
      <c r="P195" s="5">
        <f>PasteHashtag!N195</f>
        <v>1</v>
      </c>
      <c r="Q195" s="5">
        <f>PasteHashtag!O195</f>
        <v>0.4</v>
      </c>
      <c r="R195" s="5">
        <f>PasteHashtag!P195</f>
        <v>1.5</v>
      </c>
      <c r="S195" s="5">
        <f>Mid(PasteHashtag!H195,FIND("/",PasteHashtag!H195)+1,LEN(PasteHashtag!H195)-FIND("/",PasteHashtag!H195)-1)*1</f>
        <v>10.3</v>
      </c>
      <c r="T195" s="306">
        <f>Mid(PasteHashtag!I195,FIND("/",PasteHashtag!I195)+1,LEN(PasteHashtag!I195)-FIND("/",PasteHashtag!I195)-1)*1</f>
        <v>2.5</v>
      </c>
    </row>
    <row r="196">
      <c r="A196" s="5">
        <v>195.0</v>
      </c>
      <c r="B196" s="5">
        <f>PasteHashtag!B196</f>
        <v>144.6</v>
      </c>
      <c r="C196" s="305" t="str">
        <f>PasteHashtag!C196</f>
        <v>Duncan Robinson</v>
      </c>
      <c r="D196" s="5" t="str">
        <f>PasteHashtag!D196</f>
        <v>SG,SF</v>
      </c>
      <c r="E196" s="5" t="str">
        <f>PasteHashtag!E196</f>
        <v>MIA</v>
      </c>
      <c r="F196" s="5">
        <f>PasteHashtag!F196</f>
        <v>67</v>
      </c>
      <c r="G196" s="5">
        <f>PasteHashtag!G196</f>
        <v>26.4</v>
      </c>
      <c r="H196" s="5">
        <f>MID(PasteHashtag!H196,1+FIND("(",PasteHashtag!H196),FIND("/",PasteHashtag!H196)-FIND("(",PasteHashtag!H196)-1)*1</f>
        <v>4.4</v>
      </c>
      <c r="I196" s="5">
        <f>LEFT(PasteHashtag!H196,FIND("(",PasteHashtag!H196)-1)*1</f>
        <v>0.447</v>
      </c>
      <c r="J196" s="5">
        <f>MID(PasteHashtag!I196,1+FIND("(",PasteHashtag!I196),FIND("/",PasteHashtag!I196)-FIND("(",PasteHashtag!I196)-1)*1</f>
        <v>1.1</v>
      </c>
      <c r="K196" s="5">
        <f>LEFT(PasteHashtag!I196,FIND("(",PasteHashtag!I196)-1)*1</f>
        <v>0.889</v>
      </c>
      <c r="L196" s="5">
        <f>PasteHashtag!J196</f>
        <v>2.6</v>
      </c>
      <c r="M196" s="5">
        <f>PasteHashtag!K196</f>
        <v>12.5</v>
      </c>
      <c r="N196" s="5">
        <f>PasteHashtag!L196</f>
        <v>2.5</v>
      </c>
      <c r="O196" s="5">
        <f>PasteHashtag!M196</f>
        <v>2.5</v>
      </c>
      <c r="P196" s="5">
        <f>PasteHashtag!N196</f>
        <v>0.6</v>
      </c>
      <c r="Q196" s="5">
        <f>PasteHashtag!O196</f>
        <v>0.2</v>
      </c>
      <c r="R196" s="5">
        <f>PasteHashtag!P196</f>
        <v>1.3</v>
      </c>
      <c r="S196" s="5">
        <f>Mid(PasteHashtag!H196,FIND("/",PasteHashtag!H196)+1,LEN(PasteHashtag!H196)-FIND("/",PasteHashtag!H196)-1)*1</f>
        <v>9.8</v>
      </c>
      <c r="T196" s="306">
        <f>Mid(PasteHashtag!I196,FIND("/",PasteHashtag!I196)+1,LEN(PasteHashtag!I196)-FIND("/",PasteHashtag!I196)-1)*1</f>
        <v>1.3</v>
      </c>
    </row>
    <row r="197">
      <c r="A197" s="5">
        <v>196.0</v>
      </c>
      <c r="B197" s="5">
        <f>PasteHashtag!B197</f>
        <v>142.6</v>
      </c>
      <c r="C197" s="305" t="str">
        <f>PasteHashtag!C197</f>
        <v>Nikola Jovic</v>
      </c>
      <c r="D197" s="5" t="str">
        <f>PasteHashtag!D197</f>
        <v>PF,C</v>
      </c>
      <c r="E197" s="5" t="str">
        <f>PasteHashtag!E197</f>
        <v>MIA</v>
      </c>
      <c r="F197" s="5">
        <f>PasteHashtag!F197</f>
        <v>52</v>
      </c>
      <c r="G197" s="5">
        <f>PasteHashtag!G197</f>
        <v>25.4</v>
      </c>
      <c r="H197" s="5">
        <f>MID(PasteHashtag!H197,1+FIND("(",PasteHashtag!H197),FIND("/",PasteHashtag!H197)-FIND("(",PasteHashtag!H197)-1)*1</f>
        <v>3.7</v>
      </c>
      <c r="I197" s="5">
        <f>LEFT(PasteHashtag!H197,FIND("(",PasteHashtag!H197)-1)*1</f>
        <v>0.443</v>
      </c>
      <c r="J197" s="5">
        <f>MID(PasteHashtag!I197,1+FIND("(",PasteHashtag!I197),FIND("/",PasteHashtag!I197)-FIND("(",PasteHashtag!I197)-1)*1</f>
        <v>1.2</v>
      </c>
      <c r="K197" s="5">
        <f>LEFT(PasteHashtag!I197,FIND("(",PasteHashtag!I197)-1)*1</f>
        <v>0.766</v>
      </c>
      <c r="L197" s="5">
        <f>PasteHashtag!J197</f>
        <v>1.8</v>
      </c>
      <c r="M197" s="5">
        <f>PasteHashtag!K197</f>
        <v>10.4</v>
      </c>
      <c r="N197" s="5">
        <f>PasteHashtag!L197</f>
        <v>5.3</v>
      </c>
      <c r="O197" s="5">
        <f>PasteHashtag!M197</f>
        <v>2.4</v>
      </c>
      <c r="P197" s="5">
        <f>PasteHashtag!N197</f>
        <v>0.8</v>
      </c>
      <c r="Q197" s="5">
        <f>PasteHashtag!O197</f>
        <v>0.4</v>
      </c>
      <c r="R197" s="5">
        <f>PasteHashtag!P197</f>
        <v>1.2</v>
      </c>
      <c r="S197" s="5">
        <f>Mid(PasteHashtag!H197,FIND("/",PasteHashtag!H197)+1,LEN(PasteHashtag!H197)-FIND("/",PasteHashtag!H197)-1)*1</f>
        <v>8.4</v>
      </c>
      <c r="T197" s="306">
        <f>Mid(PasteHashtag!I197,FIND("/",PasteHashtag!I197)+1,LEN(PasteHashtag!I197)-FIND("/",PasteHashtag!I197)-1)*1</f>
        <v>1.6</v>
      </c>
    </row>
    <row r="198">
      <c r="A198" s="5">
        <v>197.0</v>
      </c>
      <c r="B198" s="5" t="str">
        <f>PasteHashtag!B198</f>
        <v/>
      </c>
      <c r="C198" s="305" t="str">
        <f>PasteHashtag!C198</f>
        <v>Josh Richardson</v>
      </c>
      <c r="D198" s="5" t="str">
        <f>PasteHashtag!D198</f>
        <v>PG,SG</v>
      </c>
      <c r="E198" s="5" t="str">
        <f>PasteHashtag!E198</f>
        <v>MIA</v>
      </c>
      <c r="F198" s="5">
        <f>PasteHashtag!F198</f>
        <v>60</v>
      </c>
      <c r="G198" s="5">
        <f>PasteHashtag!G198</f>
        <v>25.2</v>
      </c>
      <c r="H198" s="5">
        <f>MID(PasteHashtag!H198,1+FIND("(",PasteHashtag!H198),FIND("/",PasteHashtag!H198)-FIND("(",PasteHashtag!H198)-1)*1</f>
        <v>3.8</v>
      </c>
      <c r="I198" s="5">
        <f>LEFT(PasteHashtag!H198,FIND("(",PasteHashtag!H198)-1)*1</f>
        <v>0.436</v>
      </c>
      <c r="J198" s="5">
        <f>MID(PasteHashtag!I198,1+FIND("(",PasteHashtag!I198),FIND("/",PasteHashtag!I198)-FIND("(",PasteHashtag!I198)-1)*1</f>
        <v>1.2</v>
      </c>
      <c r="K198" s="5">
        <f>LEFT(PasteHashtag!I198,FIND("(",PasteHashtag!I198)-1)*1</f>
        <v>0.885</v>
      </c>
      <c r="L198" s="5">
        <f>PasteHashtag!J198</f>
        <v>1.7</v>
      </c>
      <c r="M198" s="5">
        <f>PasteHashtag!K198</f>
        <v>10.4</v>
      </c>
      <c r="N198" s="5">
        <f>PasteHashtag!L198</f>
        <v>2.9</v>
      </c>
      <c r="O198" s="5">
        <f>PasteHashtag!M198</f>
        <v>2.7</v>
      </c>
      <c r="P198" s="5">
        <f>PasteHashtag!N198</f>
        <v>0.9</v>
      </c>
      <c r="Q198" s="5">
        <f>PasteHashtag!O198</f>
        <v>0.3</v>
      </c>
      <c r="R198" s="5">
        <f>PasteHashtag!P198</f>
        <v>1.2</v>
      </c>
      <c r="S198" s="5">
        <f>Mid(PasteHashtag!H198,FIND("/",PasteHashtag!H198)+1,LEN(PasteHashtag!H198)-FIND("/",PasteHashtag!H198)-1)*1</f>
        <v>8.7</v>
      </c>
      <c r="T198" s="306">
        <f>Mid(PasteHashtag!I198,FIND("/",PasteHashtag!I198)+1,LEN(PasteHashtag!I198)-FIND("/",PasteHashtag!I198)-1)*1</f>
        <v>1.3</v>
      </c>
    </row>
    <row r="199">
      <c r="A199" s="5">
        <v>198.0</v>
      </c>
      <c r="B199" s="5" t="str">
        <f>PasteHashtag!B199</f>
        <v/>
      </c>
      <c r="C199" s="305" t="str">
        <f>PasteHashtag!C199</f>
        <v>Kris Dunn</v>
      </c>
      <c r="D199" s="5" t="str">
        <f>PasteHashtag!D199</f>
        <v>PG,SG</v>
      </c>
      <c r="E199" s="5" t="str">
        <f>PasteHashtag!E199</f>
        <v>LAC</v>
      </c>
      <c r="F199" s="5">
        <f>PasteHashtag!F199</f>
        <v>64</v>
      </c>
      <c r="G199" s="5">
        <f>PasteHashtag!G199</f>
        <v>20.4</v>
      </c>
      <c r="H199" s="5">
        <f>MID(PasteHashtag!H199,1+FIND("(",PasteHashtag!H199),FIND("/",PasteHashtag!H199)-FIND("(",PasteHashtag!H199)-1)*1</f>
        <v>2.9</v>
      </c>
      <c r="I199" s="5">
        <f>LEFT(PasteHashtag!H199,FIND("(",PasteHashtag!H199)-1)*1</f>
        <v>0.498</v>
      </c>
      <c r="J199" s="5">
        <f>MID(PasteHashtag!I199,1+FIND("(",PasteHashtag!I199),FIND("/",PasteHashtag!I199)-FIND("(",PasteHashtag!I199)-1)*1</f>
        <v>0.7</v>
      </c>
      <c r="K199" s="5">
        <f>LEFT(PasteHashtag!I199,FIND("(",PasteHashtag!I199)-1)*1</f>
        <v>0.734</v>
      </c>
      <c r="L199" s="5">
        <f>PasteHashtag!J199</f>
        <v>0.6</v>
      </c>
      <c r="M199" s="5">
        <f>PasteHashtag!K199</f>
        <v>7.2</v>
      </c>
      <c r="N199" s="5">
        <f>PasteHashtag!L199</f>
        <v>3.2</v>
      </c>
      <c r="O199" s="5">
        <f>PasteHashtag!M199</f>
        <v>4.2</v>
      </c>
      <c r="P199" s="5">
        <f>PasteHashtag!N199</f>
        <v>1</v>
      </c>
      <c r="Q199" s="5">
        <f>PasteHashtag!O199</f>
        <v>0.4</v>
      </c>
      <c r="R199" s="5">
        <f>PasteHashtag!P199</f>
        <v>1.3</v>
      </c>
      <c r="S199" s="5">
        <f>Mid(PasteHashtag!H199,FIND("/",PasteHashtag!H199)+1,LEN(PasteHashtag!H199)-FIND("/",PasteHashtag!H199)-1)*1</f>
        <v>5.9</v>
      </c>
      <c r="T199" s="306">
        <f>Mid(PasteHashtag!I199,FIND("/",PasteHashtag!I199)+1,LEN(PasteHashtag!I199)-FIND("/",PasteHashtag!I199)-1)*1</f>
        <v>0.9</v>
      </c>
    </row>
    <row r="200">
      <c r="A200" s="5">
        <v>199.0</v>
      </c>
      <c r="B200" s="5">
        <f>PasteHashtag!B200</f>
        <v>139.1</v>
      </c>
      <c r="C200" s="305" t="str">
        <f>PasteHashtag!C200</f>
        <v>Ayo Dosunmu</v>
      </c>
      <c r="D200" s="5" t="str">
        <f>PasteHashtag!D200</f>
        <v>SG,SF</v>
      </c>
      <c r="E200" s="5" t="str">
        <f>PasteHashtag!E200</f>
        <v>CHI</v>
      </c>
      <c r="F200" s="5">
        <f>PasteHashtag!F200</f>
        <v>78</v>
      </c>
      <c r="G200" s="5">
        <f>PasteHashtag!G200</f>
        <v>27.2</v>
      </c>
      <c r="H200" s="5">
        <f>MID(PasteHashtag!H200,1+FIND("(",PasteHashtag!H200),FIND("/",PasteHashtag!H200)-FIND("(",PasteHashtag!H200)-1)*1</f>
        <v>4.1</v>
      </c>
      <c r="I200" s="5">
        <f>LEFT(PasteHashtag!H200,FIND("(",PasteHashtag!H200)-1)*1</f>
        <v>0.498</v>
      </c>
      <c r="J200" s="5">
        <f>MID(PasteHashtag!I200,1+FIND("(",PasteHashtag!I200),FIND("/",PasteHashtag!I200)-FIND("(",PasteHashtag!I200)-1)*1</f>
        <v>1</v>
      </c>
      <c r="K200" s="5">
        <f>LEFT(PasteHashtag!I200,FIND("(",PasteHashtag!I200)-1)*1</f>
        <v>0.814</v>
      </c>
      <c r="L200" s="5">
        <f>PasteHashtag!J200</f>
        <v>1.1</v>
      </c>
      <c r="M200" s="5">
        <f>PasteHashtag!K200</f>
        <v>10.2</v>
      </c>
      <c r="N200" s="5">
        <f>PasteHashtag!L200</f>
        <v>2.8</v>
      </c>
      <c r="O200" s="5">
        <f>PasteHashtag!M200</f>
        <v>2.8</v>
      </c>
      <c r="P200" s="5">
        <f>PasteHashtag!N200</f>
        <v>0.8</v>
      </c>
      <c r="Q200" s="5">
        <f>PasteHashtag!O200</f>
        <v>0.4</v>
      </c>
      <c r="R200" s="5">
        <f>PasteHashtag!P200</f>
        <v>1.3</v>
      </c>
      <c r="S200" s="5">
        <f>Mid(PasteHashtag!H200,FIND("/",PasteHashtag!H200)+1,LEN(PasteHashtag!H200)-FIND("/",PasteHashtag!H200)-1)*1</f>
        <v>8.2</v>
      </c>
      <c r="T200" s="306">
        <f>Mid(PasteHashtag!I200,FIND("/",PasteHashtag!I200)+1,LEN(PasteHashtag!I200)-FIND("/",PasteHashtag!I200)-1)*1</f>
        <v>1.2</v>
      </c>
    </row>
    <row r="201">
      <c r="A201" s="5">
        <v>200.0</v>
      </c>
      <c r="B201" s="5">
        <f>PasteHashtag!B201</f>
        <v>143</v>
      </c>
      <c r="C201" s="305" t="str">
        <f>PasteHashtag!C201</f>
        <v>Bennedict Mathurin</v>
      </c>
      <c r="D201" s="5" t="str">
        <f>PasteHashtag!D201</f>
        <v>SG,SF</v>
      </c>
      <c r="E201" s="5" t="str">
        <f>PasteHashtag!E201</f>
        <v>IND</v>
      </c>
      <c r="F201" s="5">
        <f>PasteHashtag!F201</f>
        <v>68</v>
      </c>
      <c r="G201" s="5">
        <f>PasteHashtag!G201</f>
        <v>29</v>
      </c>
      <c r="H201" s="5">
        <f>MID(PasteHashtag!H201,1+FIND("(",PasteHashtag!H201),FIND("/",PasteHashtag!H201)-FIND("(",PasteHashtag!H201)-1)*1</f>
        <v>5.5</v>
      </c>
      <c r="I201" s="5">
        <f>LEFT(PasteHashtag!H201,FIND("(",PasteHashtag!H201)-1)*1</f>
        <v>0.443</v>
      </c>
      <c r="J201" s="5">
        <f>MID(PasteHashtag!I201,1+FIND("(",PasteHashtag!I201),FIND("/",PasteHashtag!I201)-FIND("(",PasteHashtag!I201)-1)*1</f>
        <v>4.4</v>
      </c>
      <c r="K201" s="5">
        <f>LEFT(PasteHashtag!I201,FIND("(",PasteHashtag!I201)-1)*1</f>
        <v>0.826</v>
      </c>
      <c r="L201" s="5">
        <f>PasteHashtag!J201</f>
        <v>1.4</v>
      </c>
      <c r="M201" s="5">
        <f>PasteHashtag!K201</f>
        <v>16.8</v>
      </c>
      <c r="N201" s="5">
        <f>PasteHashtag!L201</f>
        <v>4.3</v>
      </c>
      <c r="O201" s="5">
        <f>PasteHashtag!M201</f>
        <v>1.8</v>
      </c>
      <c r="P201" s="5">
        <f>PasteHashtag!N201</f>
        <v>0.7</v>
      </c>
      <c r="Q201" s="5">
        <f>PasteHashtag!O201</f>
        <v>0.2</v>
      </c>
      <c r="R201" s="5">
        <f>PasteHashtag!P201</f>
        <v>1.9</v>
      </c>
      <c r="S201" s="5">
        <f>Mid(PasteHashtag!H201,FIND("/",PasteHashtag!H201)+1,LEN(PasteHashtag!H201)-FIND("/",PasteHashtag!H201)-1)*1</f>
        <v>12.5</v>
      </c>
      <c r="T201" s="306">
        <f>Mid(PasteHashtag!I201,FIND("/",PasteHashtag!I201)+1,LEN(PasteHashtag!I201)-FIND("/",PasteHashtag!I201)-1)*1</f>
        <v>5.3</v>
      </c>
    </row>
    <row r="202">
      <c r="A202" s="5">
        <v>201.0</v>
      </c>
      <c r="B202" s="5" t="str">
        <f>PasteHashtag!B202</f>
        <v/>
      </c>
      <c r="C202" s="305" t="str">
        <f>PasteHashtag!C202</f>
        <v>Josh Green</v>
      </c>
      <c r="D202" s="5" t="str">
        <f>PasteHashtag!D202</f>
        <v>SG,SF</v>
      </c>
      <c r="E202" s="5" t="str">
        <f>PasteHashtag!E202</f>
        <v>CHA</v>
      </c>
      <c r="F202" s="5">
        <f>PasteHashtag!F202</f>
        <v>64</v>
      </c>
      <c r="G202" s="5">
        <f>PasteHashtag!G202</f>
        <v>28.9</v>
      </c>
      <c r="H202" s="5">
        <f>MID(PasteHashtag!H202,1+FIND("(",PasteHashtag!H202),FIND("/",PasteHashtag!H202)-FIND("(",PasteHashtag!H202)-1)*1</f>
        <v>4.2</v>
      </c>
      <c r="I202" s="5">
        <f>LEFT(PasteHashtag!H202,FIND("(",PasteHashtag!H202)-1)*1</f>
        <v>0.472</v>
      </c>
      <c r="J202" s="5">
        <f>MID(PasteHashtag!I202,1+FIND("(",PasteHashtag!I202),FIND("/",PasteHashtag!I202)-FIND("(",PasteHashtag!I202)-1)*1</f>
        <v>1.1</v>
      </c>
      <c r="K202" s="5">
        <f>LEFT(PasteHashtag!I202,FIND("(",PasteHashtag!I202)-1)*1</f>
        <v>0.709</v>
      </c>
      <c r="L202" s="5">
        <f>PasteHashtag!J202</f>
        <v>1.6</v>
      </c>
      <c r="M202" s="5">
        <f>PasteHashtag!K202</f>
        <v>11</v>
      </c>
      <c r="N202" s="5">
        <f>PasteHashtag!L202</f>
        <v>3.6</v>
      </c>
      <c r="O202" s="5">
        <f>PasteHashtag!M202</f>
        <v>2.3</v>
      </c>
      <c r="P202" s="5">
        <f>PasteHashtag!N202</f>
        <v>1</v>
      </c>
      <c r="Q202" s="5">
        <f>PasteHashtag!O202</f>
        <v>0.3</v>
      </c>
      <c r="R202" s="5">
        <f>PasteHashtag!P202</f>
        <v>1.3</v>
      </c>
      <c r="S202" s="5">
        <f>Mid(PasteHashtag!H202,FIND("/",PasteHashtag!H202)+1,LEN(PasteHashtag!H202)-FIND("/",PasteHashtag!H202)-1)*1</f>
        <v>8.9</v>
      </c>
      <c r="T202" s="306">
        <f>Mid(PasteHashtag!I202,FIND("/",PasteHashtag!I202)+1,LEN(PasteHashtag!I202)-FIND("/",PasteHashtag!I202)-1)*1</f>
        <v>1.5</v>
      </c>
    </row>
    <row r="203">
      <c r="A203" s="5">
        <v>202.0</v>
      </c>
      <c r="B203" s="5" t="str">
        <f>PasteHashtag!B203</f>
        <v/>
      </c>
      <c r="C203" s="305" t="str">
        <f>PasteHashtag!C203</f>
        <v>Peyton Watson</v>
      </c>
      <c r="D203" s="5" t="str">
        <f>PasteHashtag!D203</f>
        <v>SF,PF</v>
      </c>
      <c r="E203" s="5" t="str">
        <f>PasteHashtag!E203</f>
        <v>DEN</v>
      </c>
      <c r="F203" s="5">
        <f>PasteHashtag!F203</f>
        <v>78</v>
      </c>
      <c r="G203" s="5">
        <f>PasteHashtag!G203</f>
        <v>24.5</v>
      </c>
      <c r="H203" s="5">
        <f>MID(PasteHashtag!H203,1+FIND("(",PasteHashtag!H203),FIND("/",PasteHashtag!H203)-FIND("(",PasteHashtag!H203)-1)*1</f>
        <v>3.7</v>
      </c>
      <c r="I203" s="5">
        <f>LEFT(PasteHashtag!H203,FIND("(",PasteHashtag!H203)-1)*1</f>
        <v>0.467</v>
      </c>
      <c r="J203" s="5">
        <f>MID(PasteHashtag!I203,1+FIND("(",PasteHashtag!I203),FIND("/",PasteHashtag!I203)-FIND("(",PasteHashtag!I203)-1)*1</f>
        <v>1.3</v>
      </c>
      <c r="K203" s="5">
        <f>LEFT(PasteHashtag!I203,FIND("(",PasteHashtag!I203)-1)*1</f>
        <v>0.65</v>
      </c>
      <c r="L203" s="5">
        <f>PasteHashtag!J203</f>
        <v>0.8</v>
      </c>
      <c r="M203" s="5">
        <f>PasteHashtag!K203</f>
        <v>9.5</v>
      </c>
      <c r="N203" s="5">
        <f>PasteHashtag!L203</f>
        <v>4.6</v>
      </c>
      <c r="O203" s="5">
        <f>PasteHashtag!M203</f>
        <v>1.5</v>
      </c>
      <c r="P203" s="5">
        <f>PasteHashtag!N203</f>
        <v>0.7</v>
      </c>
      <c r="Q203" s="5">
        <f>PasteHashtag!O203</f>
        <v>1.5</v>
      </c>
      <c r="R203" s="5">
        <f>PasteHashtag!P203</f>
        <v>1</v>
      </c>
      <c r="S203" s="5">
        <f>Mid(PasteHashtag!H203,FIND("/",PasteHashtag!H203)+1,LEN(PasteHashtag!H203)-FIND("/",PasteHashtag!H203)-1)*1</f>
        <v>7.9</v>
      </c>
      <c r="T203" s="306">
        <f>Mid(PasteHashtag!I203,FIND("/",PasteHashtag!I203)+1,LEN(PasteHashtag!I203)-FIND("/",PasteHashtag!I203)-1)*1</f>
        <v>2</v>
      </c>
    </row>
    <row r="204">
      <c r="A204" s="5">
        <v>203.0</v>
      </c>
      <c r="B204" s="5" t="str">
        <f>PasteHashtag!B204</f>
        <v/>
      </c>
      <c r="C204" s="305" t="str">
        <f>PasteHashtag!C204</f>
        <v>Daniel Theis</v>
      </c>
      <c r="D204" s="5" t="str">
        <f>PasteHashtag!D204</f>
        <v>C</v>
      </c>
      <c r="E204" s="5" t="str">
        <f>PasteHashtag!E204</f>
        <v>NO</v>
      </c>
      <c r="F204" s="5">
        <f>PasteHashtag!F204</f>
        <v>67</v>
      </c>
      <c r="G204" s="5">
        <f>PasteHashtag!G204</f>
        <v>22</v>
      </c>
      <c r="H204" s="5">
        <f>MID(PasteHashtag!H204,1+FIND("(",PasteHashtag!H204),FIND("/",PasteHashtag!H204)-FIND("(",PasteHashtag!H204)-1)*1</f>
        <v>3.5</v>
      </c>
      <c r="I204" s="5">
        <f>LEFT(PasteHashtag!H204,FIND("(",PasteHashtag!H204)-1)*1</f>
        <v>0.524</v>
      </c>
      <c r="J204" s="5">
        <f>MID(PasteHashtag!I204,1+FIND("(",PasteHashtag!I204),FIND("/",PasteHashtag!I204)-FIND("(",PasteHashtag!I204)-1)*1</f>
        <v>0.9</v>
      </c>
      <c r="K204" s="5">
        <f>LEFT(PasteHashtag!I204,FIND("(",PasteHashtag!I204)-1)*1</f>
        <v>0.762</v>
      </c>
      <c r="L204" s="5">
        <f>PasteHashtag!J204</f>
        <v>0.6</v>
      </c>
      <c r="M204" s="5">
        <f>PasteHashtag!K204</f>
        <v>8.5</v>
      </c>
      <c r="N204" s="5">
        <f>PasteHashtag!L204</f>
        <v>5.2</v>
      </c>
      <c r="O204" s="5">
        <f>PasteHashtag!M204</f>
        <v>1.4</v>
      </c>
      <c r="P204" s="5">
        <f>PasteHashtag!N204</f>
        <v>0.5</v>
      </c>
      <c r="Q204" s="5">
        <f>PasteHashtag!O204</f>
        <v>1</v>
      </c>
      <c r="R204" s="5">
        <f>PasteHashtag!P204</f>
        <v>0.9</v>
      </c>
      <c r="S204" s="5">
        <f>Mid(PasteHashtag!H204,FIND("/",PasteHashtag!H204)+1,LEN(PasteHashtag!H204)-FIND("/",PasteHashtag!H204)-1)*1</f>
        <v>6.7</v>
      </c>
      <c r="T204" s="306">
        <f>Mid(PasteHashtag!I204,FIND("/",PasteHashtag!I204)+1,LEN(PasteHashtag!I204)-FIND("/",PasteHashtag!I204)-1)*1</f>
        <v>1.2</v>
      </c>
    </row>
    <row r="205">
      <c r="A205" s="5">
        <v>204.0</v>
      </c>
      <c r="B205" s="5" t="str">
        <f>PasteHashtag!B205</f>
        <v/>
      </c>
      <c r="C205" s="305" t="str">
        <f>PasteHashtag!C205</f>
        <v>Nickeil Alexander-Walker</v>
      </c>
      <c r="D205" s="5" t="str">
        <f>PasteHashtag!D205</f>
        <v>SG,SF</v>
      </c>
      <c r="E205" s="5" t="str">
        <f>PasteHashtag!E205</f>
        <v>MIN</v>
      </c>
      <c r="F205" s="5">
        <f>PasteHashtag!F205</f>
        <v>74</v>
      </c>
      <c r="G205" s="5">
        <f>PasteHashtag!G205</f>
        <v>25.8</v>
      </c>
      <c r="H205" s="5">
        <f>MID(PasteHashtag!H205,1+FIND("(",PasteHashtag!H205),FIND("/",PasteHashtag!H205)-FIND("(",PasteHashtag!H205)-1)*1</f>
        <v>3.4</v>
      </c>
      <c r="I205" s="5">
        <f>LEFT(PasteHashtag!H205,FIND("(",PasteHashtag!H205)-1)*1</f>
        <v>0.441</v>
      </c>
      <c r="J205" s="5">
        <f>MID(PasteHashtag!I205,1+FIND("(",PasteHashtag!I205),FIND("/",PasteHashtag!I205)-FIND("(",PasteHashtag!I205)-1)*1</f>
        <v>0.9</v>
      </c>
      <c r="K205" s="5">
        <f>LEFT(PasteHashtag!I205,FIND("(",PasteHashtag!I205)-1)*1</f>
        <v>0.733</v>
      </c>
      <c r="L205" s="5">
        <f>PasteHashtag!J205</f>
        <v>1.8</v>
      </c>
      <c r="M205" s="5">
        <f>PasteHashtag!K205</f>
        <v>9.5</v>
      </c>
      <c r="N205" s="5">
        <f>PasteHashtag!L205</f>
        <v>2.5</v>
      </c>
      <c r="O205" s="5">
        <f>PasteHashtag!M205</f>
        <v>2.9</v>
      </c>
      <c r="P205" s="5">
        <f>PasteHashtag!N205</f>
        <v>0.9</v>
      </c>
      <c r="Q205" s="5">
        <f>PasteHashtag!O205</f>
        <v>0.6</v>
      </c>
      <c r="R205" s="5">
        <f>PasteHashtag!P205</f>
        <v>1.2</v>
      </c>
      <c r="S205" s="5">
        <f>Mid(PasteHashtag!H205,FIND("/",PasteHashtag!H205)+1,LEN(PasteHashtag!H205)-FIND("/",PasteHashtag!H205)-1)*1</f>
        <v>7.7</v>
      </c>
      <c r="T205" s="306">
        <f>Mid(PasteHashtag!I205,FIND("/",PasteHashtag!I205)+1,LEN(PasteHashtag!I205)-FIND("/",PasteHashtag!I205)-1)*1</f>
        <v>1.2</v>
      </c>
    </row>
    <row r="206">
      <c r="A206" s="5">
        <v>205.0</v>
      </c>
      <c r="B206" s="5" t="str">
        <f>PasteHashtag!B206</f>
        <v/>
      </c>
      <c r="C206" s="305" t="str">
        <f>PasteHashtag!C206</f>
        <v>Isaiah Jackson</v>
      </c>
      <c r="D206" s="5" t="str">
        <f>PasteHashtag!D206</f>
        <v>PF,C</v>
      </c>
      <c r="E206" s="5" t="str">
        <f>PasteHashtag!E206</f>
        <v>IND</v>
      </c>
      <c r="F206" s="5">
        <f>PasteHashtag!F206</f>
        <v>60</v>
      </c>
      <c r="G206" s="5">
        <f>PasteHashtag!G206</f>
        <v>16.5</v>
      </c>
      <c r="H206" s="5">
        <f>MID(PasteHashtag!H206,1+FIND("(",PasteHashtag!H206),FIND("/",PasteHashtag!H206)-FIND("(",PasteHashtag!H206)-1)*1</f>
        <v>3.1</v>
      </c>
      <c r="I206" s="5">
        <f>LEFT(PasteHashtag!H206,FIND("(",PasteHashtag!H206)-1)*1</f>
        <v>0.607</v>
      </c>
      <c r="J206" s="5">
        <f>MID(PasteHashtag!I206,1+FIND("(",PasteHashtag!I206),FIND("/",PasteHashtag!I206)-FIND("(",PasteHashtag!I206)-1)*1</f>
        <v>1.5</v>
      </c>
      <c r="K206" s="5">
        <f>LEFT(PasteHashtag!I206,FIND("(",PasteHashtag!I206)-1)*1</f>
        <v>0.675</v>
      </c>
      <c r="L206" s="5">
        <f>PasteHashtag!J206</f>
        <v>0</v>
      </c>
      <c r="M206" s="5">
        <f>PasteHashtag!K206</f>
        <v>7.7</v>
      </c>
      <c r="N206" s="5">
        <f>PasteHashtag!L206</f>
        <v>4.8</v>
      </c>
      <c r="O206" s="5">
        <f>PasteHashtag!M206</f>
        <v>0.9</v>
      </c>
      <c r="P206" s="5">
        <f>PasteHashtag!N206</f>
        <v>0.6</v>
      </c>
      <c r="Q206" s="5">
        <f>PasteHashtag!O206</f>
        <v>1.4</v>
      </c>
      <c r="R206" s="5">
        <f>PasteHashtag!P206</f>
        <v>0.8</v>
      </c>
      <c r="S206" s="5">
        <f>Mid(PasteHashtag!H206,FIND("/",PasteHashtag!H206)+1,LEN(PasteHashtag!H206)-FIND("/",PasteHashtag!H206)-1)*1</f>
        <v>5.1</v>
      </c>
      <c r="T206" s="306">
        <f>Mid(PasteHashtag!I206,FIND("/",PasteHashtag!I206)+1,LEN(PasteHashtag!I206)-FIND("/",PasteHashtag!I206)-1)*1</f>
        <v>2.3</v>
      </c>
    </row>
    <row r="207">
      <c r="A207" s="5">
        <v>206.0</v>
      </c>
      <c r="B207" s="5">
        <f>PasteHashtag!B207</f>
        <v>146</v>
      </c>
      <c r="C207" s="305" t="str">
        <f>PasteHashtag!C207</f>
        <v>Sam Hauser</v>
      </c>
      <c r="D207" s="5" t="str">
        <f>PasteHashtag!D207</f>
        <v>SF,PF</v>
      </c>
      <c r="E207" s="5" t="str">
        <f>PasteHashtag!E207</f>
        <v>BOS</v>
      </c>
      <c r="F207" s="5">
        <f>PasteHashtag!F207</f>
        <v>80</v>
      </c>
      <c r="G207" s="5">
        <f>PasteHashtag!G207</f>
        <v>23.5</v>
      </c>
      <c r="H207" s="5">
        <f>MID(PasteHashtag!H207,1+FIND("(",PasteHashtag!H207),FIND("/",PasteHashtag!H207)-FIND("(",PasteHashtag!H207)-1)*1</f>
        <v>3.4</v>
      </c>
      <c r="I207" s="5">
        <f>LEFT(PasteHashtag!H207,FIND("(",PasteHashtag!H207)-1)*1</f>
        <v>0.45</v>
      </c>
      <c r="J207" s="5">
        <f>MID(PasteHashtag!I207,1+FIND("(",PasteHashtag!I207),FIND("/",PasteHashtag!I207)-FIND("(",PasteHashtag!I207)-1)*1</f>
        <v>0.2</v>
      </c>
      <c r="K207" s="5">
        <f>LEFT(PasteHashtag!I207,FIND("(",PasteHashtag!I207)-1)*1</f>
        <v>0.821</v>
      </c>
      <c r="L207" s="5">
        <f>PasteHashtag!J207</f>
        <v>2.6</v>
      </c>
      <c r="M207" s="5">
        <f>PasteHashtag!K207</f>
        <v>9.6</v>
      </c>
      <c r="N207" s="5">
        <f>PasteHashtag!L207</f>
        <v>3.8</v>
      </c>
      <c r="O207" s="5">
        <f>PasteHashtag!M207</f>
        <v>1.2</v>
      </c>
      <c r="P207" s="5">
        <f>PasteHashtag!N207</f>
        <v>0.5</v>
      </c>
      <c r="Q207" s="5">
        <f>PasteHashtag!O207</f>
        <v>0.4</v>
      </c>
      <c r="R207" s="5">
        <f>PasteHashtag!P207</f>
        <v>0.5</v>
      </c>
      <c r="S207" s="5">
        <f>Mid(PasteHashtag!H207,FIND("/",PasteHashtag!H207)+1,LEN(PasteHashtag!H207)-FIND("/",PasteHashtag!H207)-1)*1</f>
        <v>7.5</v>
      </c>
      <c r="T207" s="306">
        <f>Mid(PasteHashtag!I207,FIND("/",PasteHashtag!I207)+1,LEN(PasteHashtag!I207)-FIND("/",PasteHashtag!I207)-1)*1</f>
        <v>0.3</v>
      </c>
    </row>
    <row r="208">
      <c r="A208" s="5">
        <v>207.0</v>
      </c>
      <c r="B208" s="5" t="str">
        <f>PasteHashtag!B208</f>
        <v/>
      </c>
      <c r="C208" s="305" t="str">
        <f>PasteHashtag!C208</f>
        <v>Eric Gordon</v>
      </c>
      <c r="D208" s="5" t="str">
        <f>PasteHashtag!D208</f>
        <v>SG,SF</v>
      </c>
      <c r="E208" s="5" t="str">
        <f>PasteHashtag!E208</f>
        <v>PHI</v>
      </c>
      <c r="F208" s="5">
        <f>PasteHashtag!F208</f>
        <v>68</v>
      </c>
      <c r="G208" s="5">
        <f>PasteHashtag!G208</f>
        <v>27.6</v>
      </c>
      <c r="H208" s="5">
        <f>MID(PasteHashtag!H208,1+FIND("(",PasteHashtag!H208),FIND("/",PasteHashtag!H208)-FIND("(",PasteHashtag!H208)-1)*1</f>
        <v>4.1</v>
      </c>
      <c r="I208" s="5">
        <f>LEFT(PasteHashtag!H208,FIND("(",PasteHashtag!H208)-1)*1</f>
        <v>0.444</v>
      </c>
      <c r="J208" s="5">
        <f>MID(PasteHashtag!I208,1+FIND("(",PasteHashtag!I208),FIND("/",PasteHashtag!I208)-FIND("(",PasteHashtag!I208)-1)*1</f>
        <v>1.4</v>
      </c>
      <c r="K208" s="5">
        <f>LEFT(PasteHashtag!I208,FIND("(",PasteHashtag!I208)-1)*1</f>
        <v>0.813</v>
      </c>
      <c r="L208" s="5">
        <f>PasteHashtag!J208</f>
        <v>2</v>
      </c>
      <c r="M208" s="5">
        <f>PasteHashtag!K208</f>
        <v>11.6</v>
      </c>
      <c r="N208" s="5">
        <f>PasteHashtag!L208</f>
        <v>1.9</v>
      </c>
      <c r="O208" s="5">
        <f>PasteHashtag!M208</f>
        <v>2.3</v>
      </c>
      <c r="P208" s="5">
        <f>PasteHashtag!N208</f>
        <v>0.8</v>
      </c>
      <c r="Q208" s="5">
        <f>PasteHashtag!O208</f>
        <v>0.4</v>
      </c>
      <c r="R208" s="5">
        <f>PasteHashtag!P208</f>
        <v>1.3</v>
      </c>
      <c r="S208" s="5">
        <f>Mid(PasteHashtag!H208,FIND("/",PasteHashtag!H208)+1,LEN(PasteHashtag!H208)-FIND("/",PasteHashtag!H208)-1)*1</f>
        <v>9.2</v>
      </c>
      <c r="T208" s="306">
        <f>Mid(PasteHashtag!I208,FIND("/",PasteHashtag!I208)+1,LEN(PasteHashtag!I208)-FIND("/",PasteHashtag!I208)-1)*1</f>
        <v>1.7</v>
      </c>
    </row>
    <row r="209">
      <c r="A209" s="5">
        <v>208.0</v>
      </c>
      <c r="B209" s="5">
        <f>PasteHashtag!B209</f>
        <v>146.5</v>
      </c>
      <c r="C209" s="305" t="str">
        <f>PasteHashtag!C209</f>
        <v>De'Andre Hunter</v>
      </c>
      <c r="D209" s="5" t="str">
        <f>PasteHashtag!D209</f>
        <v>SF,PF</v>
      </c>
      <c r="E209" s="5" t="str">
        <f>PasteHashtag!E209</f>
        <v>ATL</v>
      </c>
      <c r="F209" s="5">
        <f>PasteHashtag!F209</f>
        <v>60</v>
      </c>
      <c r="G209" s="5">
        <f>PasteHashtag!G209</f>
        <v>27.4</v>
      </c>
      <c r="H209" s="5">
        <f>MID(PasteHashtag!H209,1+FIND("(",PasteHashtag!H209),FIND("/",PasteHashtag!H209)-FIND("(",PasteHashtag!H209)-1)*1</f>
        <v>5.1</v>
      </c>
      <c r="I209" s="5">
        <f>LEFT(PasteHashtag!H209,FIND("(",PasteHashtag!H209)-1)*1</f>
        <v>0.46</v>
      </c>
      <c r="J209" s="5">
        <f>MID(PasteHashtag!I209,1+FIND("(",PasteHashtag!I209),FIND("/",PasteHashtag!I209)-FIND("(",PasteHashtag!I209)-1)*1</f>
        <v>2.5</v>
      </c>
      <c r="K209" s="5">
        <f>LEFT(PasteHashtag!I209,FIND("(",PasteHashtag!I209)-1)*1</f>
        <v>0.836</v>
      </c>
      <c r="L209" s="5">
        <f>PasteHashtag!J209</f>
        <v>1.6</v>
      </c>
      <c r="M209" s="5">
        <f>PasteHashtag!K209</f>
        <v>14.3</v>
      </c>
      <c r="N209" s="5">
        <f>PasteHashtag!L209</f>
        <v>3.8</v>
      </c>
      <c r="O209" s="5">
        <f>PasteHashtag!M209</f>
        <v>1.4</v>
      </c>
      <c r="P209" s="5">
        <f>PasteHashtag!N209</f>
        <v>0.6</v>
      </c>
      <c r="Q209" s="5">
        <f>PasteHashtag!O209</f>
        <v>0.3</v>
      </c>
      <c r="R209" s="5">
        <f>PasteHashtag!P209</f>
        <v>1.2</v>
      </c>
      <c r="S209" s="5">
        <f>Mid(PasteHashtag!H209,FIND("/",PasteHashtag!H209)+1,LEN(PasteHashtag!H209)-FIND("/",PasteHashtag!H209)-1)*1</f>
        <v>11</v>
      </c>
      <c r="T209" s="306">
        <f>Mid(PasteHashtag!I209,FIND("/",PasteHashtag!I209)+1,LEN(PasteHashtag!I209)-FIND("/",PasteHashtag!I209)-1)*1</f>
        <v>3</v>
      </c>
    </row>
    <row r="210">
      <c r="A210" s="5">
        <v>209.0</v>
      </c>
      <c r="B210" s="5" t="str">
        <f>PasteHashtag!B210</f>
        <v/>
      </c>
      <c r="C210" s="305" t="str">
        <f>PasteHashtag!C210</f>
        <v>Cason Wallace</v>
      </c>
      <c r="D210" s="5" t="str">
        <f>PasteHashtag!D210</f>
        <v>PG,SG</v>
      </c>
      <c r="E210" s="5" t="str">
        <f>PasteHashtag!E210</f>
        <v>OKC</v>
      </c>
      <c r="F210" s="5">
        <f>PasteHashtag!F210</f>
        <v>78</v>
      </c>
      <c r="G210" s="5">
        <f>PasteHashtag!G210</f>
        <v>22.1</v>
      </c>
      <c r="H210" s="5">
        <f>MID(PasteHashtag!H210,1+FIND("(",PasteHashtag!H210),FIND("/",PasteHashtag!H210)-FIND("(",PasteHashtag!H210)-1)*1</f>
        <v>2.9</v>
      </c>
      <c r="I210" s="5">
        <f>LEFT(PasteHashtag!H210,FIND("(",PasteHashtag!H210)-1)*1</f>
        <v>0.491</v>
      </c>
      <c r="J210" s="5">
        <f>MID(PasteHashtag!I210,1+FIND("(",PasteHashtag!I210),FIND("/",PasteHashtag!I210)-FIND("(",PasteHashtag!I210)-1)*1</f>
        <v>0.4</v>
      </c>
      <c r="K210" s="5">
        <f>LEFT(PasteHashtag!I210,FIND("(",PasteHashtag!I210)-1)*1</f>
        <v>0.776</v>
      </c>
      <c r="L210" s="5">
        <f>PasteHashtag!J210</f>
        <v>1.3</v>
      </c>
      <c r="M210" s="5">
        <f>PasteHashtag!K210</f>
        <v>7.4</v>
      </c>
      <c r="N210" s="5">
        <f>PasteHashtag!L210</f>
        <v>2.5</v>
      </c>
      <c r="O210" s="5">
        <f>PasteHashtag!M210</f>
        <v>1.6</v>
      </c>
      <c r="P210" s="5">
        <f>PasteHashtag!N210</f>
        <v>1</v>
      </c>
      <c r="Q210" s="5">
        <f>PasteHashtag!O210</f>
        <v>0.5</v>
      </c>
      <c r="R210" s="5">
        <f>PasteHashtag!P210</f>
        <v>0.6</v>
      </c>
      <c r="S210" s="5">
        <f>Mid(PasteHashtag!H210,FIND("/",PasteHashtag!H210)+1,LEN(PasteHashtag!H210)-FIND("/",PasteHashtag!H210)-1)*1</f>
        <v>5.8</v>
      </c>
      <c r="T210" s="306">
        <f>Mid(PasteHashtag!I210,FIND("/",PasteHashtag!I210)+1,LEN(PasteHashtag!I210)-FIND("/",PasteHashtag!I210)-1)*1</f>
        <v>0.5</v>
      </c>
    </row>
    <row r="211">
      <c r="A211" s="5">
        <v>210.0</v>
      </c>
      <c r="B211" s="5" t="str">
        <f>PasteHashtag!B211</f>
        <v/>
      </c>
      <c r="C211" s="305" t="str">
        <f>PasteHashtag!C211</f>
        <v>Nicolas Batum</v>
      </c>
      <c r="D211" s="5" t="str">
        <f>PasteHashtag!D211</f>
        <v>SF,PF</v>
      </c>
      <c r="E211" s="5" t="str">
        <f>PasteHashtag!E211</f>
        <v>LAC</v>
      </c>
      <c r="F211" s="5">
        <f>PasteHashtag!F211</f>
        <v>62</v>
      </c>
      <c r="G211" s="5">
        <f>PasteHashtag!G211</f>
        <v>24.8</v>
      </c>
      <c r="H211" s="5">
        <f>MID(PasteHashtag!H211,1+FIND("(",PasteHashtag!H211),FIND("/",PasteHashtag!H211)-FIND("(",PasteHashtag!H211)-1)*1</f>
        <v>2.1</v>
      </c>
      <c r="I211" s="5">
        <f>LEFT(PasteHashtag!H211,FIND("(",PasteHashtag!H211)-1)*1</f>
        <v>0.432</v>
      </c>
      <c r="J211" s="5">
        <f>MID(PasteHashtag!I211,1+FIND("(",PasteHashtag!I211),FIND("/",PasteHashtag!I211)-FIND("(",PasteHashtag!I211)-1)*1</f>
        <v>0.4</v>
      </c>
      <c r="K211" s="5">
        <f>LEFT(PasteHashtag!I211,FIND("(",PasteHashtag!I211)-1)*1</f>
        <v>0.717</v>
      </c>
      <c r="L211" s="5">
        <f>PasteHashtag!J211</f>
        <v>1.5</v>
      </c>
      <c r="M211" s="5">
        <f>PasteHashtag!K211</f>
        <v>6.2</v>
      </c>
      <c r="N211" s="5">
        <f>PasteHashtag!L211</f>
        <v>4.2</v>
      </c>
      <c r="O211" s="5">
        <f>PasteHashtag!M211</f>
        <v>1.9</v>
      </c>
      <c r="P211" s="5">
        <f>PasteHashtag!N211</f>
        <v>0.8</v>
      </c>
      <c r="Q211" s="5">
        <f>PasteHashtag!O211</f>
        <v>0.6</v>
      </c>
      <c r="R211" s="5">
        <f>PasteHashtag!P211</f>
        <v>0.7</v>
      </c>
      <c r="S211" s="5">
        <f>Mid(PasteHashtag!H211,FIND("/",PasteHashtag!H211)+1,LEN(PasteHashtag!H211)-FIND("/",PasteHashtag!H211)-1)*1</f>
        <v>4.9</v>
      </c>
      <c r="T211" s="306">
        <f>Mid(PasteHashtag!I211,FIND("/",PasteHashtag!I211)+1,LEN(PasteHashtag!I211)-FIND("/",PasteHashtag!I211)-1)*1</f>
        <v>0.5</v>
      </c>
    </row>
    <row r="212">
      <c r="A212" s="5">
        <v>211.0</v>
      </c>
      <c r="B212" s="5">
        <f>PasteHashtag!B212</f>
        <v>142.2</v>
      </c>
      <c r="C212" s="305" t="str">
        <f>PasteHashtag!C212</f>
        <v>Harrison Barnes</v>
      </c>
      <c r="D212" s="5" t="str">
        <f>PasteHashtag!D212</f>
        <v>SF,PF</v>
      </c>
      <c r="E212" s="5" t="str">
        <f>PasteHashtag!E212</f>
        <v>SA</v>
      </c>
      <c r="F212" s="5">
        <f>PasteHashtag!F212</f>
        <v>80</v>
      </c>
      <c r="G212" s="5">
        <f>PasteHashtag!G212</f>
        <v>27.3</v>
      </c>
      <c r="H212" s="5">
        <f>MID(PasteHashtag!H212,1+FIND("(",PasteHashtag!H212),FIND("/",PasteHashtag!H212)-FIND("(",PasteHashtag!H212)-1)*1</f>
        <v>4</v>
      </c>
      <c r="I212" s="5">
        <f>LEFT(PasteHashtag!H212,FIND("(",PasteHashtag!H212)-1)*1</f>
        <v>0.473</v>
      </c>
      <c r="J212" s="5">
        <f>MID(PasteHashtag!I212,1+FIND("(",PasteHashtag!I212),FIND("/",PasteHashtag!I212)-FIND("(",PasteHashtag!I212)-1)*1</f>
        <v>2.8</v>
      </c>
      <c r="K212" s="5">
        <f>LEFT(PasteHashtag!I212,FIND("(",PasteHashtag!I212)-1)*1</f>
        <v>0.832</v>
      </c>
      <c r="L212" s="5">
        <f>PasteHashtag!J212</f>
        <v>1.5</v>
      </c>
      <c r="M212" s="5">
        <f>PasteHashtag!K212</f>
        <v>12.2</v>
      </c>
      <c r="N212" s="5">
        <f>PasteHashtag!L212</f>
        <v>3.4</v>
      </c>
      <c r="O212" s="5">
        <f>PasteHashtag!M212</f>
        <v>1.2</v>
      </c>
      <c r="P212" s="5">
        <f>PasteHashtag!N212</f>
        <v>0.6</v>
      </c>
      <c r="Q212" s="5">
        <f>PasteHashtag!O212</f>
        <v>0.1</v>
      </c>
      <c r="R212" s="5">
        <f>PasteHashtag!P212</f>
        <v>0.8</v>
      </c>
      <c r="S212" s="5">
        <f>Mid(PasteHashtag!H212,FIND("/",PasteHashtag!H212)+1,LEN(PasteHashtag!H212)-FIND("/",PasteHashtag!H212)-1)*1</f>
        <v>8.4</v>
      </c>
      <c r="T212" s="306">
        <f>Mid(PasteHashtag!I212,FIND("/",PasteHashtag!I212)+1,LEN(PasteHashtag!I212)-FIND("/",PasteHashtag!I212)-1)*1</f>
        <v>3.3</v>
      </c>
    </row>
    <row r="213">
      <c r="A213" s="5">
        <v>212.0</v>
      </c>
      <c r="B213" s="5" t="str">
        <f>PasteHashtag!B213</f>
        <v/>
      </c>
      <c r="C213" s="305" t="str">
        <f>PasteHashtag!C213</f>
        <v>Larry Nance Jr.</v>
      </c>
      <c r="D213" s="5" t="str">
        <f>PasteHashtag!D213</f>
        <v>C</v>
      </c>
      <c r="E213" s="5" t="str">
        <f>PasteHashtag!E213</f>
        <v>ATL</v>
      </c>
      <c r="F213" s="5">
        <f>PasteHashtag!F213</f>
        <v>59</v>
      </c>
      <c r="G213" s="5">
        <f>PasteHashtag!G213</f>
        <v>18.6</v>
      </c>
      <c r="H213" s="5">
        <f>MID(PasteHashtag!H213,1+FIND("(",PasteHashtag!H213),FIND("/",PasteHashtag!H213)-FIND("(",PasteHashtag!H213)-1)*1</f>
        <v>2.4</v>
      </c>
      <c r="I213" s="5">
        <f>LEFT(PasteHashtag!H213,FIND("(",PasteHashtag!H213)-1)*1</f>
        <v>0.593</v>
      </c>
      <c r="J213" s="5">
        <f>MID(PasteHashtag!I213,1+FIND("(",PasteHashtag!I213),FIND("/",PasteHashtag!I213)-FIND("(",PasteHashtag!I213)-1)*1</f>
        <v>0.8</v>
      </c>
      <c r="K213" s="5">
        <f>LEFT(PasteHashtag!I213,FIND("(",PasteHashtag!I213)-1)*1</f>
        <v>0.745</v>
      </c>
      <c r="L213" s="5">
        <f>PasteHashtag!J213</f>
        <v>0.3</v>
      </c>
      <c r="M213" s="5">
        <f>PasteHashtag!K213</f>
        <v>5.9</v>
      </c>
      <c r="N213" s="5">
        <f>PasteHashtag!L213</f>
        <v>4.9</v>
      </c>
      <c r="O213" s="5">
        <f>PasteHashtag!M213</f>
        <v>1.7</v>
      </c>
      <c r="P213" s="5">
        <f>PasteHashtag!N213</f>
        <v>0.9</v>
      </c>
      <c r="Q213" s="5">
        <f>PasteHashtag!O213</f>
        <v>0.4</v>
      </c>
      <c r="R213" s="5">
        <f>PasteHashtag!P213</f>
        <v>0.7</v>
      </c>
      <c r="S213" s="5">
        <f>Mid(PasteHashtag!H213,FIND("/",PasteHashtag!H213)+1,LEN(PasteHashtag!H213)-FIND("/",PasteHashtag!H213)-1)*1</f>
        <v>4.1</v>
      </c>
      <c r="T213" s="306">
        <f>Mid(PasteHashtag!I213,FIND("/",PasteHashtag!I213)+1,LEN(PasteHashtag!I213)-FIND("/",PasteHashtag!I213)-1)*1</f>
        <v>1</v>
      </c>
    </row>
    <row r="214">
      <c r="A214" s="5">
        <v>213.0</v>
      </c>
      <c r="B214" s="5">
        <f>PasteHashtag!B214</f>
        <v>143</v>
      </c>
      <c r="C214" s="305" t="str">
        <f>PasteHashtag!C214</f>
        <v>Payton Pritchard</v>
      </c>
      <c r="D214" s="5" t="str">
        <f>PasteHashtag!D214</f>
        <v>PG</v>
      </c>
      <c r="E214" s="5" t="str">
        <f>PasteHashtag!E214</f>
        <v>BOS</v>
      </c>
      <c r="F214" s="5">
        <f>PasteHashtag!F214</f>
        <v>74</v>
      </c>
      <c r="G214" s="5">
        <f>PasteHashtag!G214</f>
        <v>24.3</v>
      </c>
      <c r="H214" s="5">
        <f>MID(PasteHashtag!H214,1+FIND("(",PasteHashtag!H214),FIND("/",PasteHashtag!H214)-FIND("(",PasteHashtag!H214)-1)*1</f>
        <v>4</v>
      </c>
      <c r="I214" s="5">
        <f>LEFT(PasteHashtag!H214,FIND("(",PasteHashtag!H214)-1)*1</f>
        <v>0.453</v>
      </c>
      <c r="J214" s="5">
        <f>MID(PasteHashtag!I214,1+FIND("(",PasteHashtag!I214),FIND("/",PasteHashtag!I214)-FIND("(",PasteHashtag!I214)-1)*1</f>
        <v>0.6</v>
      </c>
      <c r="K214" s="5">
        <f>LEFT(PasteHashtag!I214,FIND("(",PasteHashtag!I214)-1)*1</f>
        <v>0.806</v>
      </c>
      <c r="L214" s="5">
        <f>PasteHashtag!J214</f>
        <v>2</v>
      </c>
      <c r="M214" s="5">
        <f>PasteHashtag!K214</f>
        <v>10.5</v>
      </c>
      <c r="N214" s="5">
        <f>PasteHashtag!L214</f>
        <v>3.5</v>
      </c>
      <c r="O214" s="5">
        <f>PasteHashtag!M214</f>
        <v>3.4</v>
      </c>
      <c r="P214" s="5">
        <f>PasteHashtag!N214</f>
        <v>0.5</v>
      </c>
      <c r="Q214" s="5">
        <f>PasteHashtag!O214</f>
        <v>0.1</v>
      </c>
      <c r="R214" s="5">
        <f>PasteHashtag!P214</f>
        <v>1</v>
      </c>
      <c r="S214" s="5">
        <f>Mid(PasteHashtag!H214,FIND("/",PasteHashtag!H214)+1,LEN(PasteHashtag!H214)-FIND("/",PasteHashtag!H214)-1)*1</f>
        <v>8.8</v>
      </c>
      <c r="T214" s="306">
        <f>Mid(PasteHashtag!I214,FIND("/",PasteHashtag!I214)+1,LEN(PasteHashtag!I214)-FIND("/",PasteHashtag!I214)-1)*1</f>
        <v>0.7</v>
      </c>
    </row>
    <row r="215">
      <c r="A215" s="5">
        <v>214.0</v>
      </c>
      <c r="B215" s="5">
        <f>PasteHashtag!B215</f>
        <v>140.4</v>
      </c>
      <c r="C215" s="305" t="str">
        <f>PasteHashtag!C215</f>
        <v>Obi Toppin</v>
      </c>
      <c r="D215" s="5" t="str">
        <f>PasteHashtag!D215</f>
        <v>PF</v>
      </c>
      <c r="E215" s="5" t="str">
        <f>PasteHashtag!E215</f>
        <v>IND</v>
      </c>
      <c r="F215" s="5">
        <f>PasteHashtag!F215</f>
        <v>68</v>
      </c>
      <c r="G215" s="5">
        <f>PasteHashtag!G215</f>
        <v>20.6</v>
      </c>
      <c r="H215" s="5">
        <f>MID(PasteHashtag!H215,1+FIND("(",PasteHashtag!H215),FIND("/",PasteHashtag!H215)-FIND("(",PasteHashtag!H215)-1)*1</f>
        <v>3.8</v>
      </c>
      <c r="I215" s="5">
        <f>LEFT(PasteHashtag!H215,FIND("(",PasteHashtag!H215)-1)*1</f>
        <v>0.52</v>
      </c>
      <c r="J215" s="5">
        <f>MID(PasteHashtag!I215,1+FIND("(",PasteHashtag!I215),FIND("/",PasteHashtag!I215)-FIND("(",PasteHashtag!I215)-1)*1</f>
        <v>0.8</v>
      </c>
      <c r="K215" s="5">
        <f>LEFT(PasteHashtag!I215,FIND("(",PasteHashtag!I215)-1)*1</f>
        <v>0.792</v>
      </c>
      <c r="L215" s="5">
        <f>PasteHashtag!J215</f>
        <v>1.4</v>
      </c>
      <c r="M215" s="5">
        <f>PasteHashtag!K215</f>
        <v>9.7</v>
      </c>
      <c r="N215" s="5">
        <f>PasteHashtag!L215</f>
        <v>3.7</v>
      </c>
      <c r="O215" s="5">
        <f>PasteHashtag!M215</f>
        <v>1.4</v>
      </c>
      <c r="P215" s="5">
        <f>PasteHashtag!N215</f>
        <v>0.5</v>
      </c>
      <c r="Q215" s="5">
        <f>PasteHashtag!O215</f>
        <v>0.4</v>
      </c>
      <c r="R215" s="5">
        <f>PasteHashtag!P215</f>
        <v>0.8</v>
      </c>
      <c r="S215" s="5">
        <f>Mid(PasteHashtag!H215,FIND("/",PasteHashtag!H215)+1,LEN(PasteHashtag!H215)-FIND("/",PasteHashtag!H215)-1)*1</f>
        <v>7.3</v>
      </c>
      <c r="T215" s="306">
        <f>Mid(PasteHashtag!I215,FIND("/",PasteHashtag!I215)+1,LEN(PasteHashtag!I215)-FIND("/",PasteHashtag!I215)-1)*1</f>
        <v>1.1</v>
      </c>
    </row>
    <row r="216">
      <c r="A216" s="5">
        <v>215.0</v>
      </c>
      <c r="B216" s="5">
        <f>PasteHashtag!B216</f>
        <v>140</v>
      </c>
      <c r="C216" s="305" t="str">
        <f>PasteHashtag!C216</f>
        <v>Moritz Wagner</v>
      </c>
      <c r="D216" s="5" t="str">
        <f>PasteHashtag!D216</f>
        <v>C</v>
      </c>
      <c r="E216" s="5" t="str">
        <f>PasteHashtag!E216</f>
        <v>ORL</v>
      </c>
      <c r="F216" s="5">
        <f>PasteHashtag!F216</f>
        <v>67</v>
      </c>
      <c r="G216" s="5">
        <f>PasteHashtag!G216</f>
        <v>17.5</v>
      </c>
      <c r="H216" s="5">
        <f>MID(PasteHashtag!H216,1+FIND("(",PasteHashtag!H216),FIND("/",PasteHashtag!H216)-FIND("(",PasteHashtag!H216)-1)*1</f>
        <v>3.7</v>
      </c>
      <c r="I216" s="5">
        <f>LEFT(PasteHashtag!H216,FIND("(",PasteHashtag!H216)-1)*1</f>
        <v>0.56</v>
      </c>
      <c r="J216" s="5">
        <f>MID(PasteHashtag!I216,1+FIND("(",PasteHashtag!I216),FIND("/",PasteHashtag!I216)-FIND("(",PasteHashtag!I216)-1)*1</f>
        <v>2.2</v>
      </c>
      <c r="K216" s="5">
        <f>LEFT(PasteHashtag!I216,FIND("(",PasteHashtag!I216)-1)*1</f>
        <v>0.826</v>
      </c>
      <c r="L216" s="5">
        <f>PasteHashtag!J216</f>
        <v>0.6</v>
      </c>
      <c r="M216" s="5">
        <f>PasteHashtag!K216</f>
        <v>10.3</v>
      </c>
      <c r="N216" s="5">
        <f>PasteHashtag!L216</f>
        <v>4.2</v>
      </c>
      <c r="O216" s="5">
        <f>PasteHashtag!M216</f>
        <v>1.3</v>
      </c>
      <c r="P216" s="5">
        <f>PasteHashtag!N216</f>
        <v>0.5</v>
      </c>
      <c r="Q216" s="5">
        <f>PasteHashtag!O216</f>
        <v>0.2</v>
      </c>
      <c r="R216" s="5">
        <f>PasteHashtag!P216</f>
        <v>1.2</v>
      </c>
      <c r="S216" s="5">
        <f>Mid(PasteHashtag!H216,FIND("/",PasteHashtag!H216)+1,LEN(PasteHashtag!H216)-FIND("/",PasteHashtag!H216)-1)*1</f>
        <v>6.6</v>
      </c>
      <c r="T216" s="306">
        <f>Mid(PasteHashtag!I216,FIND("/",PasteHashtag!I216)+1,LEN(PasteHashtag!I216)-FIND("/",PasteHashtag!I216)-1)*1</f>
        <v>2.7</v>
      </c>
    </row>
    <row r="217">
      <c r="A217" s="5">
        <v>216.0</v>
      </c>
      <c r="B217" s="5" t="str">
        <f>PasteHashtag!B217</f>
        <v/>
      </c>
      <c r="C217" s="305" t="str">
        <f>PasteHashtag!C217</f>
        <v>Santi Aldama</v>
      </c>
      <c r="D217" s="5" t="str">
        <f>PasteHashtag!D217</f>
        <v>PF,C</v>
      </c>
      <c r="E217" s="5" t="str">
        <f>PasteHashtag!E217</f>
        <v>MEM</v>
      </c>
      <c r="F217" s="5">
        <f>PasteHashtag!F217</f>
        <v>64</v>
      </c>
      <c r="G217" s="5">
        <f>PasteHashtag!G217</f>
        <v>22.8</v>
      </c>
      <c r="H217" s="5">
        <f>MID(PasteHashtag!H217,1+FIND("(",PasteHashtag!H217),FIND("/",PasteHashtag!H217)-FIND("(",PasteHashtag!H217)-1)*1</f>
        <v>3.5</v>
      </c>
      <c r="I217" s="5">
        <f>LEFT(PasteHashtag!H217,FIND("(",PasteHashtag!H217)-1)*1</f>
        <v>0.452</v>
      </c>
      <c r="J217" s="5">
        <f>MID(PasteHashtag!I217,1+FIND("(",PasteHashtag!I217),FIND("/",PasteHashtag!I217)-FIND("(",PasteHashtag!I217)-1)*1</f>
        <v>1.1</v>
      </c>
      <c r="K217" s="5">
        <f>LEFT(PasteHashtag!I217,FIND("(",PasteHashtag!I217)-1)*1</f>
        <v>0.702</v>
      </c>
      <c r="L217" s="5">
        <f>PasteHashtag!J217</f>
        <v>1.4</v>
      </c>
      <c r="M217" s="5">
        <f>PasteHashtag!K217</f>
        <v>9.4</v>
      </c>
      <c r="N217" s="5">
        <f>PasteHashtag!L217</f>
        <v>5.1</v>
      </c>
      <c r="O217" s="5">
        <f>PasteHashtag!M217</f>
        <v>1.6</v>
      </c>
      <c r="P217" s="5">
        <f>PasteHashtag!N217</f>
        <v>0.6</v>
      </c>
      <c r="Q217" s="5">
        <f>PasteHashtag!O217</f>
        <v>0.7</v>
      </c>
      <c r="R217" s="5">
        <f>PasteHashtag!P217</f>
        <v>0.9</v>
      </c>
      <c r="S217" s="5">
        <f>Mid(PasteHashtag!H217,FIND("/",PasteHashtag!H217)+1,LEN(PasteHashtag!H217)-FIND("/",PasteHashtag!H217)-1)*1</f>
        <v>7.6</v>
      </c>
      <c r="T217" s="306">
        <f>Mid(PasteHashtag!I217,FIND("/",PasteHashtag!I217)+1,LEN(PasteHashtag!I217)-FIND("/",PasteHashtag!I217)-1)*1</f>
        <v>1.6</v>
      </c>
    </row>
    <row r="218">
      <c r="A218" s="5">
        <v>217.0</v>
      </c>
      <c r="B218" s="5" t="str">
        <f>PasteHashtag!B218</f>
        <v/>
      </c>
      <c r="C218" s="305" t="str">
        <f>PasteHashtag!C218</f>
        <v>Matisse Thybulle</v>
      </c>
      <c r="D218" s="5" t="str">
        <f>PasteHashtag!D218</f>
        <v>SG,SF</v>
      </c>
      <c r="E218" s="5" t="str">
        <f>PasteHashtag!E218</f>
        <v>POR</v>
      </c>
      <c r="F218" s="5">
        <f>PasteHashtag!F218</f>
        <v>63</v>
      </c>
      <c r="G218" s="5">
        <f>PasteHashtag!G218</f>
        <v>20</v>
      </c>
      <c r="H218" s="5">
        <f>MID(PasteHashtag!H218,1+FIND("(",PasteHashtag!H218),FIND("/",PasteHashtag!H218)-FIND("(",PasteHashtag!H218)-1)*1</f>
        <v>1.8</v>
      </c>
      <c r="I218" s="5">
        <f>LEFT(PasteHashtag!H218,FIND("(",PasteHashtag!H218)-1)*1</f>
        <v>0.414</v>
      </c>
      <c r="J218" s="5">
        <f>MID(PasteHashtag!I218,1+FIND("(",PasteHashtag!I218),FIND("/",PasteHashtag!I218)-FIND("(",PasteHashtag!I218)-1)*1</f>
        <v>0.3</v>
      </c>
      <c r="K218" s="5">
        <f>LEFT(PasteHashtag!I218,FIND("(",PasteHashtag!I218)-1)*1</f>
        <v>0.721</v>
      </c>
      <c r="L218" s="5">
        <f>PasteHashtag!J218</f>
        <v>1</v>
      </c>
      <c r="M218" s="5">
        <f>PasteHashtag!K218</f>
        <v>4.9</v>
      </c>
      <c r="N218" s="5">
        <f>PasteHashtag!L218</f>
        <v>2.1</v>
      </c>
      <c r="O218" s="5">
        <f>PasteHashtag!M218</f>
        <v>1.1</v>
      </c>
      <c r="P218" s="5">
        <f>PasteHashtag!N218</f>
        <v>1.5</v>
      </c>
      <c r="Q218" s="5">
        <f>PasteHashtag!O218</f>
        <v>0.6</v>
      </c>
      <c r="R218" s="5">
        <f>PasteHashtag!P218</f>
        <v>0.5</v>
      </c>
      <c r="S218" s="5">
        <f>Mid(PasteHashtag!H218,FIND("/",PasteHashtag!H218)+1,LEN(PasteHashtag!H218)-FIND("/",PasteHashtag!H218)-1)*1</f>
        <v>4.3</v>
      </c>
      <c r="T218" s="306">
        <f>Mid(PasteHashtag!I218,FIND("/",PasteHashtag!I218)+1,LEN(PasteHashtag!I218)-FIND("/",PasteHashtag!I218)-1)*1</f>
        <v>0.4</v>
      </c>
    </row>
    <row r="219">
      <c r="A219" s="5">
        <v>218.0</v>
      </c>
      <c r="B219" s="5" t="str">
        <f>PasteHashtag!B219</f>
        <v/>
      </c>
      <c r="C219" s="305" t="str">
        <f>PasteHashtag!C219</f>
        <v>Robert Williams III</v>
      </c>
      <c r="D219" s="5" t="str">
        <f>PasteHashtag!D219</f>
        <v>C</v>
      </c>
      <c r="E219" s="5" t="str">
        <f>PasteHashtag!E219</f>
        <v>POR</v>
      </c>
      <c r="F219" s="5">
        <f>PasteHashtag!F219</f>
        <v>38</v>
      </c>
      <c r="G219" s="5">
        <f>PasteHashtag!G219</f>
        <v>15.4</v>
      </c>
      <c r="H219" s="5">
        <f>MID(PasteHashtag!H219,1+FIND("(",PasteHashtag!H219),FIND("/",PasteHashtag!H219)-FIND("(",PasteHashtag!H219)-1)*1</f>
        <v>2.4</v>
      </c>
      <c r="I219" s="5">
        <f>LEFT(PasteHashtag!H219,FIND("(",PasteHashtag!H219)-1)*1</f>
        <v>0.737</v>
      </c>
      <c r="J219" s="5">
        <f>MID(PasteHashtag!I219,1+FIND("(",PasteHashtag!I219),FIND("/",PasteHashtag!I219)-FIND("(",PasteHashtag!I219)-1)*1</f>
        <v>0.5</v>
      </c>
      <c r="K219" s="5">
        <f>LEFT(PasteHashtag!I219,FIND("(",PasteHashtag!I219)-1)*1</f>
        <v>0.639</v>
      </c>
      <c r="L219" s="5">
        <f>PasteHashtag!J219</f>
        <v>0</v>
      </c>
      <c r="M219" s="5">
        <f>PasteHashtag!K219</f>
        <v>5.3</v>
      </c>
      <c r="N219" s="5">
        <f>PasteHashtag!L219</f>
        <v>5.5</v>
      </c>
      <c r="O219" s="5">
        <f>PasteHashtag!M219</f>
        <v>0.9</v>
      </c>
      <c r="P219" s="5">
        <f>PasteHashtag!N219</f>
        <v>0.5</v>
      </c>
      <c r="Q219" s="5">
        <f>PasteHashtag!O219</f>
        <v>0.9</v>
      </c>
      <c r="R219" s="5">
        <f>PasteHashtag!P219</f>
        <v>0.7</v>
      </c>
      <c r="S219" s="5">
        <f>Mid(PasteHashtag!H219,FIND("/",PasteHashtag!H219)+1,LEN(PasteHashtag!H219)-FIND("/",PasteHashtag!H219)-1)*1</f>
        <v>3.2</v>
      </c>
      <c r="T219" s="306">
        <f>Mid(PasteHashtag!I219,FIND("/",PasteHashtag!I219)+1,LEN(PasteHashtag!I219)-FIND("/",PasteHashtag!I219)-1)*1</f>
        <v>0.8</v>
      </c>
    </row>
    <row r="220">
      <c r="A220" s="5">
        <v>219.0</v>
      </c>
      <c r="B220" s="5" t="str">
        <f>PasteHashtag!B220</f>
        <v/>
      </c>
      <c r="C220" s="305" t="str">
        <f>PasteHashtag!C220</f>
        <v>Taurean Prince</v>
      </c>
      <c r="D220" s="5" t="str">
        <f>PasteHashtag!D220</f>
        <v>SG,SF</v>
      </c>
      <c r="E220" s="5" t="str">
        <f>PasteHashtag!E220</f>
        <v>MIL</v>
      </c>
      <c r="F220" s="5">
        <f>PasteHashtag!F220</f>
        <v>68</v>
      </c>
      <c r="G220" s="5">
        <f>PasteHashtag!G220</f>
        <v>27.1</v>
      </c>
      <c r="H220" s="5">
        <f>MID(PasteHashtag!H220,1+FIND("(",PasteHashtag!H220),FIND("/",PasteHashtag!H220)-FIND("(",PasteHashtag!H220)-1)*1</f>
        <v>3.6</v>
      </c>
      <c r="I220" s="5">
        <f>LEFT(PasteHashtag!H220,FIND("(",PasteHashtag!H220)-1)*1</f>
        <v>0.453</v>
      </c>
      <c r="J220" s="5">
        <f>MID(PasteHashtag!I220,1+FIND("(",PasteHashtag!I220),FIND("/",PasteHashtag!I220)-FIND("(",PasteHashtag!I220)-1)*1</f>
        <v>1</v>
      </c>
      <c r="K220" s="5">
        <f>LEFT(PasteHashtag!I220,FIND("(",PasteHashtag!I220)-1)*1</f>
        <v>0.792</v>
      </c>
      <c r="L220" s="5">
        <f>PasteHashtag!J220</f>
        <v>1.8</v>
      </c>
      <c r="M220" s="5">
        <f>PasteHashtag!K220</f>
        <v>9.8</v>
      </c>
      <c r="N220" s="5">
        <f>PasteHashtag!L220</f>
        <v>3</v>
      </c>
      <c r="O220" s="5">
        <f>PasteHashtag!M220</f>
        <v>1.7</v>
      </c>
      <c r="P220" s="5">
        <f>PasteHashtag!N220</f>
        <v>0.7</v>
      </c>
      <c r="Q220" s="5">
        <f>PasteHashtag!O220</f>
        <v>0.4</v>
      </c>
      <c r="R220" s="5">
        <f>PasteHashtag!P220</f>
        <v>1.2</v>
      </c>
      <c r="S220" s="5">
        <f>Mid(PasteHashtag!H220,FIND("/",PasteHashtag!H220)+1,LEN(PasteHashtag!H220)-FIND("/",PasteHashtag!H220)-1)*1</f>
        <v>7.9</v>
      </c>
      <c r="T220" s="306">
        <f>Mid(PasteHashtag!I220,FIND("/",PasteHashtag!I220)+1,LEN(PasteHashtag!I220)-FIND("/",PasteHashtag!I220)-1)*1</f>
        <v>1.2</v>
      </c>
    </row>
    <row r="221">
      <c r="A221" s="5">
        <v>220.0</v>
      </c>
      <c r="B221" s="5" t="str">
        <f>PasteHashtag!B221</f>
        <v/>
      </c>
      <c r="C221" s="305" t="str">
        <f>PasteHashtag!C221</f>
        <v>Spencer Dinwiddie</v>
      </c>
      <c r="D221" s="5" t="str">
        <f>PasteHashtag!D221</f>
        <v>PG,SG</v>
      </c>
      <c r="E221" s="5" t="str">
        <f>PasteHashtag!E221</f>
        <v>DAL</v>
      </c>
      <c r="F221" s="5">
        <f>PasteHashtag!F221</f>
        <v>74</v>
      </c>
      <c r="G221" s="5">
        <f>PasteHashtag!G221</f>
        <v>24.2</v>
      </c>
      <c r="H221" s="5">
        <f>MID(PasteHashtag!H221,1+FIND("(",PasteHashtag!H221),FIND("/",PasteHashtag!H221)-FIND("(",PasteHashtag!H221)-1)*1</f>
        <v>3.6</v>
      </c>
      <c r="I221" s="5">
        <f>LEFT(PasteHashtag!H221,FIND("(",PasteHashtag!H221)-1)*1</f>
        <v>0.421</v>
      </c>
      <c r="J221" s="5">
        <f>MID(PasteHashtag!I221,1+FIND("(",PasteHashtag!I221),FIND("/",PasteHashtag!I221)-FIND("(",PasteHashtag!I221)-1)*1</f>
        <v>2.2</v>
      </c>
      <c r="K221" s="5">
        <f>LEFT(PasteHashtag!I221,FIND("(",PasteHashtag!I221)-1)*1</f>
        <v>0.809</v>
      </c>
      <c r="L221" s="5">
        <f>PasteHashtag!J221</f>
        <v>1.5</v>
      </c>
      <c r="M221" s="5">
        <f>PasteHashtag!K221</f>
        <v>10.9</v>
      </c>
      <c r="N221" s="5">
        <f>PasteHashtag!L221</f>
        <v>2.4</v>
      </c>
      <c r="O221" s="5">
        <f>PasteHashtag!M221</f>
        <v>4.4</v>
      </c>
      <c r="P221" s="5">
        <f>PasteHashtag!N221</f>
        <v>0.6</v>
      </c>
      <c r="Q221" s="5">
        <f>PasteHashtag!O221</f>
        <v>0.2</v>
      </c>
      <c r="R221" s="5">
        <f>PasteHashtag!P221</f>
        <v>1.2</v>
      </c>
      <c r="S221" s="5">
        <f>Mid(PasteHashtag!H221,FIND("/",PasteHashtag!H221)+1,LEN(PasteHashtag!H221)-FIND("/",PasteHashtag!H221)-1)*1</f>
        <v>8.5</v>
      </c>
      <c r="T221" s="306">
        <f>Mid(PasteHashtag!I221,FIND("/",PasteHashtag!I221)+1,LEN(PasteHashtag!I221)-FIND("/",PasteHashtag!I221)-1)*1</f>
        <v>2.7</v>
      </c>
    </row>
    <row r="222">
      <c r="A222" s="5">
        <v>221.0</v>
      </c>
      <c r="B222" s="5">
        <f>PasteHashtag!B222</f>
        <v>138.6</v>
      </c>
      <c r="C222" s="305" t="str">
        <f>PasteHashtag!C222</f>
        <v>Dillon Brooks</v>
      </c>
      <c r="D222" s="5" t="str">
        <f>PasteHashtag!D222</f>
        <v>SG,SF</v>
      </c>
      <c r="E222" s="5" t="str">
        <f>PasteHashtag!E222</f>
        <v>HOU</v>
      </c>
      <c r="F222" s="5">
        <f>PasteHashtag!F222</f>
        <v>70</v>
      </c>
      <c r="G222" s="5">
        <f>PasteHashtag!G222</f>
        <v>29</v>
      </c>
      <c r="H222" s="5">
        <f>MID(PasteHashtag!H222,1+FIND("(",PasteHashtag!H222),FIND("/",PasteHashtag!H222)-FIND("(",PasteHashtag!H222)-1)*1</f>
        <v>4.8</v>
      </c>
      <c r="I222" s="5">
        <f>LEFT(PasteHashtag!H222,FIND("(",PasteHashtag!H222)-1)*1</f>
        <v>0.425</v>
      </c>
      <c r="J222" s="5">
        <f>MID(PasteHashtag!I222,1+FIND("(",PasteHashtag!I222),FIND("/",PasteHashtag!I222)-FIND("(",PasteHashtag!I222)-1)*1</f>
        <v>1.6</v>
      </c>
      <c r="K222" s="5">
        <f>LEFT(PasteHashtag!I222,FIND("(",PasteHashtag!I222)-1)*1</f>
        <v>0.809</v>
      </c>
      <c r="L222" s="5">
        <f>PasteHashtag!J222</f>
        <v>1.8</v>
      </c>
      <c r="M222" s="5">
        <f>PasteHashtag!K222</f>
        <v>13</v>
      </c>
      <c r="N222" s="5">
        <f>PasteHashtag!L222</f>
        <v>3.2</v>
      </c>
      <c r="O222" s="5">
        <f>PasteHashtag!M222</f>
        <v>2</v>
      </c>
      <c r="P222" s="5">
        <f>PasteHashtag!N222</f>
        <v>0.9</v>
      </c>
      <c r="Q222" s="5">
        <f>PasteHashtag!O222</f>
        <v>0.2</v>
      </c>
      <c r="R222" s="5">
        <f>PasteHashtag!P222</f>
        <v>1.3</v>
      </c>
      <c r="S222" s="5">
        <f>Mid(PasteHashtag!H222,FIND("/",PasteHashtag!H222)+1,LEN(PasteHashtag!H222)-FIND("/",PasteHashtag!H222)-1)*1</f>
        <v>11.2</v>
      </c>
      <c r="T222" s="306">
        <f>Mid(PasteHashtag!I222,FIND("/",PasteHashtag!I222)+1,LEN(PasteHashtag!I222)-FIND("/",PasteHashtag!I222)-1)*1</f>
        <v>2</v>
      </c>
    </row>
    <row r="223">
      <c r="A223" s="5">
        <v>222.0</v>
      </c>
      <c r="B223" s="5" t="str">
        <f>PasteHashtag!B223</f>
        <v/>
      </c>
      <c r="C223" s="305" t="str">
        <f>PasteHashtag!C223</f>
        <v>John Konchar</v>
      </c>
      <c r="D223" s="5" t="str">
        <f>PasteHashtag!D223</f>
        <v>SG,SF</v>
      </c>
      <c r="E223" s="5" t="str">
        <f>PasteHashtag!E223</f>
        <v>MEM</v>
      </c>
      <c r="F223" s="5">
        <f>PasteHashtag!F223</f>
        <v>64</v>
      </c>
      <c r="G223" s="5">
        <f>PasteHashtag!G223</f>
        <v>20.7</v>
      </c>
      <c r="H223" s="5">
        <f>MID(PasteHashtag!H223,1+FIND("(",PasteHashtag!H223),FIND("/",PasteHashtag!H223)-FIND("(",PasteHashtag!H223)-1)*1</f>
        <v>1.8</v>
      </c>
      <c r="I223" s="5">
        <f>LEFT(PasteHashtag!H223,FIND("(",PasteHashtag!H223)-1)*1</f>
        <v>0.428</v>
      </c>
      <c r="J223" s="5">
        <f>MID(PasteHashtag!I223,1+FIND("(",PasteHashtag!I223),FIND("/",PasteHashtag!I223)-FIND("(",PasteHashtag!I223)-1)*1</f>
        <v>0.4</v>
      </c>
      <c r="K223" s="5">
        <f>LEFT(PasteHashtag!I223,FIND("(",PasteHashtag!I223)-1)*1</f>
        <v>0.792</v>
      </c>
      <c r="L223" s="5">
        <f>PasteHashtag!J223</f>
        <v>0.8</v>
      </c>
      <c r="M223" s="5">
        <f>PasteHashtag!K223</f>
        <v>4.7</v>
      </c>
      <c r="N223" s="5">
        <f>PasteHashtag!L223</f>
        <v>4.4</v>
      </c>
      <c r="O223" s="5">
        <f>PasteHashtag!M223</f>
        <v>1.7</v>
      </c>
      <c r="P223" s="5">
        <f>PasteHashtag!N223</f>
        <v>1</v>
      </c>
      <c r="Q223" s="5">
        <f>PasteHashtag!O223</f>
        <v>0.6</v>
      </c>
      <c r="R223" s="5">
        <f>PasteHashtag!P223</f>
        <v>0.7</v>
      </c>
      <c r="S223" s="5">
        <f>Mid(PasteHashtag!H223,FIND("/",PasteHashtag!H223)+1,LEN(PasteHashtag!H223)-FIND("/",PasteHashtag!H223)-1)*1</f>
        <v>4.1</v>
      </c>
      <c r="T223" s="306">
        <f>Mid(PasteHashtag!I223,FIND("/",PasteHashtag!I223)+1,LEN(PasteHashtag!I223)-FIND("/",PasteHashtag!I223)-1)*1</f>
        <v>0.5</v>
      </c>
    </row>
    <row r="224">
      <c r="A224" s="5">
        <v>223.0</v>
      </c>
      <c r="B224" s="5" t="str">
        <f>PasteHashtag!B224</f>
        <v/>
      </c>
      <c r="C224" s="305" t="str">
        <f>PasteHashtag!C224</f>
        <v>Royce O'Neale</v>
      </c>
      <c r="D224" s="5" t="str">
        <f>PasteHashtag!D224</f>
        <v>SF,PF</v>
      </c>
      <c r="E224" s="5" t="str">
        <f>PasteHashtag!E224</f>
        <v>PHO</v>
      </c>
      <c r="F224" s="5">
        <f>PasteHashtag!F224</f>
        <v>76</v>
      </c>
      <c r="G224" s="5">
        <f>PasteHashtag!G224</f>
        <v>24.2</v>
      </c>
      <c r="H224" s="5">
        <f>MID(PasteHashtag!H224,1+FIND("(",PasteHashtag!H224),FIND("/",PasteHashtag!H224)-FIND("(",PasteHashtag!H224)-1)*1</f>
        <v>2.5</v>
      </c>
      <c r="I224" s="5">
        <f>LEFT(PasteHashtag!H224,FIND("(",PasteHashtag!H224)-1)*1</f>
        <v>0.391</v>
      </c>
      <c r="J224" s="5">
        <f>MID(PasteHashtag!I224,1+FIND("(",PasteHashtag!I224),FIND("/",PasteHashtag!I224)-FIND("(",PasteHashtag!I224)-1)*1</f>
        <v>0.4</v>
      </c>
      <c r="K224" s="5">
        <f>LEFT(PasteHashtag!I224,FIND("(",PasteHashtag!I224)-1)*1</f>
        <v>0.707</v>
      </c>
      <c r="L224" s="5">
        <f>PasteHashtag!J224</f>
        <v>1.8</v>
      </c>
      <c r="M224" s="5">
        <f>PasteHashtag!K224</f>
        <v>7.2</v>
      </c>
      <c r="N224" s="5">
        <f>PasteHashtag!L224</f>
        <v>4.3</v>
      </c>
      <c r="O224" s="5">
        <f>PasteHashtag!M224</f>
        <v>2.8</v>
      </c>
      <c r="P224" s="5">
        <f>PasteHashtag!N224</f>
        <v>0.7</v>
      </c>
      <c r="Q224" s="5">
        <f>PasteHashtag!O224</f>
        <v>0.5</v>
      </c>
      <c r="R224" s="5">
        <f>PasteHashtag!P224</f>
        <v>1.1</v>
      </c>
      <c r="S224" s="5">
        <f>Mid(PasteHashtag!H224,FIND("/",PasteHashtag!H224)+1,LEN(PasteHashtag!H224)-FIND("/",PasteHashtag!H224)-1)*1</f>
        <v>6.3</v>
      </c>
      <c r="T224" s="306">
        <f>Mid(PasteHashtag!I224,FIND("/",PasteHashtag!I224)+1,LEN(PasteHashtag!I224)-FIND("/",PasteHashtag!I224)-1)*1</f>
        <v>0.6</v>
      </c>
    </row>
    <row r="225">
      <c r="A225" s="5">
        <v>224.0</v>
      </c>
      <c r="B225" s="5">
        <f>PasteHashtag!B225</f>
        <v>142.2</v>
      </c>
      <c r="C225" s="305" t="str">
        <f>PasteHashtag!C225</f>
        <v>Kyle Anderson</v>
      </c>
      <c r="D225" s="5" t="str">
        <f>PasteHashtag!D225</f>
        <v>SF,PF</v>
      </c>
      <c r="E225" s="5" t="str">
        <f>PasteHashtag!E225</f>
        <v>GS</v>
      </c>
      <c r="F225" s="5">
        <f>PasteHashtag!F225</f>
        <v>69</v>
      </c>
      <c r="G225" s="5">
        <f>PasteHashtag!G225</f>
        <v>20.5</v>
      </c>
      <c r="H225" s="5">
        <f>MID(PasteHashtag!H225,1+FIND("(",PasteHashtag!H225),FIND("/",PasteHashtag!H225)-FIND("(",PasteHashtag!H225)-1)*1</f>
        <v>2.5</v>
      </c>
      <c r="I225" s="5">
        <f>LEFT(PasteHashtag!H225,FIND("(",PasteHashtag!H225)-1)*1</f>
        <v>0.486</v>
      </c>
      <c r="J225" s="5">
        <f>MID(PasteHashtag!I225,1+FIND("(",PasteHashtag!I225),FIND("/",PasteHashtag!I225)-FIND("(",PasteHashtag!I225)-1)*1</f>
        <v>1.1</v>
      </c>
      <c r="K225" s="5">
        <f>LEFT(PasteHashtag!I225,FIND("(",PasteHashtag!I225)-1)*1</f>
        <v>0.724</v>
      </c>
      <c r="L225" s="5">
        <f>PasteHashtag!J225</f>
        <v>0.3</v>
      </c>
      <c r="M225" s="5">
        <f>PasteHashtag!K225</f>
        <v>6.4</v>
      </c>
      <c r="N225" s="5">
        <f>PasteHashtag!L225</f>
        <v>3.6</v>
      </c>
      <c r="O225" s="5">
        <f>PasteHashtag!M225</f>
        <v>3.7</v>
      </c>
      <c r="P225" s="5">
        <f>PasteHashtag!N225</f>
        <v>0.8</v>
      </c>
      <c r="Q225" s="5">
        <f>PasteHashtag!O225</f>
        <v>0.6</v>
      </c>
      <c r="R225" s="5">
        <f>PasteHashtag!P225</f>
        <v>1.1</v>
      </c>
      <c r="S225" s="5">
        <f>Mid(PasteHashtag!H225,FIND("/",PasteHashtag!H225)+1,LEN(PasteHashtag!H225)-FIND("/",PasteHashtag!H225)-1)*1</f>
        <v>5.2</v>
      </c>
      <c r="T225" s="306">
        <f>Mid(PasteHashtag!I225,FIND("/",PasteHashtag!I225)+1,LEN(PasteHashtag!I225)-FIND("/",PasteHashtag!I225)-1)*1</f>
        <v>1.5</v>
      </c>
    </row>
    <row r="226">
      <c r="A226" s="5">
        <v>225.0</v>
      </c>
      <c r="B226" s="5" t="str">
        <f>PasteHashtag!B226</f>
        <v/>
      </c>
      <c r="C226" s="305" t="str">
        <f>PasteHashtag!C226</f>
        <v>Luke Kornet</v>
      </c>
      <c r="D226" s="5" t="str">
        <f>PasteHashtag!D226</f>
        <v>C</v>
      </c>
      <c r="E226" s="5" t="str">
        <f>PasteHashtag!E226</f>
        <v>BOS</v>
      </c>
      <c r="F226" s="5">
        <f>PasteHashtag!F226</f>
        <v>67</v>
      </c>
      <c r="G226" s="5">
        <f>PasteHashtag!G226</f>
        <v>15.6</v>
      </c>
      <c r="H226" s="5">
        <f>MID(PasteHashtag!H226,1+FIND("(",PasteHashtag!H226),FIND("/",PasteHashtag!H226)-FIND("(",PasteHashtag!H226)-1)*1</f>
        <v>2.3</v>
      </c>
      <c r="I226" s="5">
        <f>LEFT(PasteHashtag!H226,FIND("(",PasteHashtag!H226)-1)*1</f>
        <v>0.684</v>
      </c>
      <c r="J226" s="5">
        <f>MID(PasteHashtag!I226,1+FIND("(",PasteHashtag!I226),FIND("/",PasteHashtag!I226)-FIND("(",PasteHashtag!I226)-1)*1</f>
        <v>0.7</v>
      </c>
      <c r="K226" s="5">
        <f>LEFT(PasteHashtag!I226,FIND("(",PasteHashtag!I226)-1)*1</f>
        <v>0.866</v>
      </c>
      <c r="L226" s="5">
        <f>PasteHashtag!J226</f>
        <v>0</v>
      </c>
      <c r="M226" s="5">
        <f>PasteHashtag!K226</f>
        <v>5.3</v>
      </c>
      <c r="N226" s="5">
        <f>PasteHashtag!L226</f>
        <v>4</v>
      </c>
      <c r="O226" s="5">
        <f>PasteHashtag!M226</f>
        <v>1.1</v>
      </c>
      <c r="P226" s="5">
        <f>PasteHashtag!N226</f>
        <v>0.3</v>
      </c>
      <c r="Q226" s="5">
        <f>PasteHashtag!O226</f>
        <v>0.9</v>
      </c>
      <c r="R226" s="5">
        <f>PasteHashtag!P226</f>
        <v>0.4</v>
      </c>
      <c r="S226" s="5">
        <f>Mid(PasteHashtag!H226,FIND("/",PasteHashtag!H226)+1,LEN(PasteHashtag!H226)-FIND("/",PasteHashtag!H226)-1)*1</f>
        <v>3.3</v>
      </c>
      <c r="T226" s="306">
        <f>Mid(PasteHashtag!I226,FIND("/",PasteHashtag!I226)+1,LEN(PasteHashtag!I226)-FIND("/",PasteHashtag!I226)-1)*1</f>
        <v>0.8</v>
      </c>
    </row>
    <row r="227">
      <c r="A227" s="5">
        <v>226.0</v>
      </c>
      <c r="B227" s="5">
        <f>PasteHashtag!B227</f>
        <v>144.4</v>
      </c>
      <c r="C227" s="305" t="str">
        <f>PasteHashtag!C227</f>
        <v>Bojan Bogdanovic</v>
      </c>
      <c r="D227" s="5" t="str">
        <f>PasteHashtag!D227</f>
        <v>SF,PF</v>
      </c>
      <c r="E227" s="5" t="str">
        <f>PasteHashtag!E227</f>
        <v>BKN</v>
      </c>
      <c r="F227" s="5">
        <f>PasteHashtag!F227</f>
        <v>62</v>
      </c>
      <c r="G227" s="5">
        <f>PasteHashtag!G227</f>
        <v>26.9</v>
      </c>
      <c r="H227" s="5">
        <f>MID(PasteHashtag!H227,1+FIND("(",PasteHashtag!H227),FIND("/",PasteHashtag!H227)-FIND("(",PasteHashtag!H227)-1)*1</f>
        <v>5.8</v>
      </c>
      <c r="I227" s="5">
        <f>LEFT(PasteHashtag!H227,FIND("(",PasteHashtag!H227)-1)*1</f>
        <v>0.449</v>
      </c>
      <c r="J227" s="5">
        <f>MID(PasteHashtag!I227,1+FIND("(",PasteHashtag!I227),FIND("/",PasteHashtag!I227)-FIND("(",PasteHashtag!I227)-1)*1</f>
        <v>2.8</v>
      </c>
      <c r="K227" s="5">
        <f>LEFT(PasteHashtag!I227,FIND("(",PasteHashtag!I227)-1)*1</f>
        <v>0.793</v>
      </c>
      <c r="L227" s="5">
        <f>PasteHashtag!J227</f>
        <v>2.2</v>
      </c>
      <c r="M227" s="5">
        <f>PasteHashtag!K227</f>
        <v>16.5</v>
      </c>
      <c r="N227" s="5">
        <f>PasteHashtag!L227</f>
        <v>2.9</v>
      </c>
      <c r="O227" s="5">
        <f>PasteHashtag!M227</f>
        <v>1.9</v>
      </c>
      <c r="P227" s="5">
        <f>PasteHashtag!N227</f>
        <v>0.5</v>
      </c>
      <c r="Q227" s="5">
        <f>PasteHashtag!O227</f>
        <v>0.1</v>
      </c>
      <c r="R227" s="5">
        <f>PasteHashtag!P227</f>
        <v>1.8</v>
      </c>
      <c r="S227" s="5">
        <f>Mid(PasteHashtag!H227,FIND("/",PasteHashtag!H227)+1,LEN(PasteHashtag!H227)-FIND("/",PasteHashtag!H227)-1)*1</f>
        <v>12.8</v>
      </c>
      <c r="T227" s="306">
        <f>Mid(PasteHashtag!I227,FIND("/",PasteHashtag!I227)+1,LEN(PasteHashtag!I227)-FIND("/",PasteHashtag!I227)-1)*1</f>
        <v>3.5</v>
      </c>
    </row>
    <row r="228">
      <c r="A228" s="5">
        <v>227.0</v>
      </c>
      <c r="B228" s="5" t="str">
        <f>PasteHashtag!B228</f>
        <v/>
      </c>
      <c r="C228" s="305" t="str">
        <f>PasteHashtag!C228</f>
        <v>Day'Ron Sharpe</v>
      </c>
      <c r="D228" s="5" t="str">
        <f>PasteHashtag!D228</f>
        <v>C</v>
      </c>
      <c r="E228" s="5" t="str">
        <f>PasteHashtag!E228</f>
        <v>BKN</v>
      </c>
      <c r="F228" s="5">
        <f>PasteHashtag!F228</f>
        <v>64</v>
      </c>
      <c r="G228" s="5">
        <f>PasteHashtag!G228</f>
        <v>18</v>
      </c>
      <c r="H228" s="5">
        <f>MID(PasteHashtag!H228,1+FIND("(",PasteHashtag!H228),FIND("/",PasteHashtag!H228)-FIND("(",PasteHashtag!H228)-1)*1</f>
        <v>3.2</v>
      </c>
      <c r="I228" s="5">
        <f>LEFT(PasteHashtag!H228,FIND("(",PasteHashtag!H228)-1)*1</f>
        <v>0.561</v>
      </c>
      <c r="J228" s="5">
        <f>MID(PasteHashtag!I228,1+FIND("(",PasteHashtag!I228),FIND("/",PasteHashtag!I228)-FIND("(",PasteHashtag!I228)-1)*1</f>
        <v>1.4</v>
      </c>
      <c r="K228" s="5">
        <f>LEFT(PasteHashtag!I228,FIND("(",PasteHashtag!I228)-1)*1</f>
        <v>0.635</v>
      </c>
      <c r="L228" s="5">
        <f>PasteHashtag!J228</f>
        <v>0.1</v>
      </c>
      <c r="M228" s="5">
        <f>PasteHashtag!K228</f>
        <v>8</v>
      </c>
      <c r="N228" s="5">
        <f>PasteHashtag!L228</f>
        <v>7.3</v>
      </c>
      <c r="O228" s="5">
        <f>PasteHashtag!M228</f>
        <v>1.5</v>
      </c>
      <c r="P228" s="5">
        <f>PasteHashtag!N228</f>
        <v>0.5</v>
      </c>
      <c r="Q228" s="5">
        <f>PasteHashtag!O228</f>
        <v>0.9</v>
      </c>
      <c r="R228" s="5">
        <f>PasteHashtag!P228</f>
        <v>1.4</v>
      </c>
      <c r="S228" s="5">
        <f>Mid(PasteHashtag!H228,FIND("/",PasteHashtag!H228)+1,LEN(PasteHashtag!H228)-FIND("/",PasteHashtag!H228)-1)*1</f>
        <v>5.7</v>
      </c>
      <c r="T228" s="306">
        <f>Mid(PasteHashtag!I228,FIND("/",PasteHashtag!I228)+1,LEN(PasteHashtag!I228)-FIND("/",PasteHashtag!I228)-1)*1</f>
        <v>2.2</v>
      </c>
    </row>
    <row r="229">
      <c r="A229" s="5">
        <v>228.0</v>
      </c>
      <c r="B229" s="5" t="str">
        <f>PasteHashtag!B229</f>
        <v/>
      </c>
      <c r="C229" s="305" t="str">
        <f>PasteHashtag!C229</f>
        <v>Isaac Okoro</v>
      </c>
      <c r="D229" s="5" t="str">
        <f>PasteHashtag!D229</f>
        <v>SF,PF</v>
      </c>
      <c r="E229" s="5" t="str">
        <f>PasteHashtag!E229</f>
        <v>CLE</v>
      </c>
      <c r="F229" s="5">
        <f>PasteHashtag!F229</f>
        <v>71</v>
      </c>
      <c r="G229" s="5">
        <f>PasteHashtag!G229</f>
        <v>27</v>
      </c>
      <c r="H229" s="5">
        <f>MID(PasteHashtag!H229,1+FIND("(",PasteHashtag!H229),FIND("/",PasteHashtag!H229)-FIND("(",PasteHashtag!H229)-1)*1</f>
        <v>3.2</v>
      </c>
      <c r="I229" s="5">
        <f>LEFT(PasteHashtag!H229,FIND("(",PasteHashtag!H229)-1)*1</f>
        <v>0.491</v>
      </c>
      <c r="J229" s="5">
        <f>MID(PasteHashtag!I229,1+FIND("(",PasteHashtag!I229),FIND("/",PasteHashtag!I229)-FIND("(",PasteHashtag!I229)-1)*1</f>
        <v>1.3</v>
      </c>
      <c r="K229" s="5">
        <f>LEFT(PasteHashtag!I229,FIND("(",PasteHashtag!I229)-1)*1</f>
        <v>0.714</v>
      </c>
      <c r="L229" s="5">
        <f>PasteHashtag!J229</f>
        <v>1.1</v>
      </c>
      <c r="M229" s="5">
        <f>PasteHashtag!K229</f>
        <v>8.8</v>
      </c>
      <c r="N229" s="5">
        <f>PasteHashtag!L229</f>
        <v>3</v>
      </c>
      <c r="O229" s="5">
        <f>PasteHashtag!M229</f>
        <v>1.7</v>
      </c>
      <c r="P229" s="5">
        <f>PasteHashtag!N229</f>
        <v>0.9</v>
      </c>
      <c r="Q229" s="5">
        <f>PasteHashtag!O229</f>
        <v>0.5</v>
      </c>
      <c r="R229" s="5">
        <f>PasteHashtag!P229</f>
        <v>0.7</v>
      </c>
      <c r="S229" s="5">
        <f>Mid(PasteHashtag!H229,FIND("/",PasteHashtag!H229)+1,LEN(PasteHashtag!H229)-FIND("/",PasteHashtag!H229)-1)*1</f>
        <v>6.4</v>
      </c>
      <c r="T229" s="306">
        <f>Mid(PasteHashtag!I229,FIND("/",PasteHashtag!I229)+1,LEN(PasteHashtag!I229)-FIND("/",PasteHashtag!I229)-1)*1</f>
        <v>1.9</v>
      </c>
    </row>
    <row r="230">
      <c r="A230" s="5">
        <v>229.0</v>
      </c>
      <c r="B230" s="5" t="str">
        <f>PasteHashtag!B230</f>
        <v/>
      </c>
      <c r="C230" s="305" t="str">
        <f>PasteHashtag!C230</f>
        <v>Delon Wright</v>
      </c>
      <c r="D230" s="5" t="str">
        <f>PasteHashtag!D230</f>
        <v>PG,SG</v>
      </c>
      <c r="E230" s="5" t="str">
        <f>PasteHashtag!E230</f>
        <v>MIL</v>
      </c>
      <c r="F230" s="5">
        <f>PasteHashtag!F230</f>
        <v>62</v>
      </c>
      <c r="G230" s="5">
        <f>PasteHashtag!G230</f>
        <v>16.8</v>
      </c>
      <c r="H230" s="5">
        <f>MID(PasteHashtag!H230,1+FIND("(",PasteHashtag!H230),FIND("/",PasteHashtag!H230)-FIND("(",PasteHashtag!H230)-1)*1</f>
        <v>1.8</v>
      </c>
      <c r="I230" s="5">
        <f>LEFT(PasteHashtag!H230,FIND("(",PasteHashtag!H230)-1)*1</f>
        <v>0.442</v>
      </c>
      <c r="J230" s="5">
        <f>MID(PasteHashtag!I230,1+FIND("(",PasteHashtag!I230),FIND("/",PasteHashtag!I230)-FIND("(",PasteHashtag!I230)-1)*1</f>
        <v>0.8</v>
      </c>
      <c r="K230" s="5">
        <f>LEFT(PasteHashtag!I230,FIND("(",PasteHashtag!I230)-1)*1</f>
        <v>0.846</v>
      </c>
      <c r="L230" s="5">
        <f>PasteHashtag!J230</f>
        <v>0.6</v>
      </c>
      <c r="M230" s="5">
        <f>PasteHashtag!K230</f>
        <v>5</v>
      </c>
      <c r="N230" s="5">
        <f>PasteHashtag!L230</f>
        <v>2.3</v>
      </c>
      <c r="O230" s="5">
        <f>PasteHashtag!M230</f>
        <v>2.7</v>
      </c>
      <c r="P230" s="5">
        <f>PasteHashtag!N230</f>
        <v>1.3</v>
      </c>
      <c r="Q230" s="5">
        <f>PasteHashtag!O230</f>
        <v>0.2</v>
      </c>
      <c r="R230" s="5">
        <f>PasteHashtag!P230</f>
        <v>0.5</v>
      </c>
      <c r="S230" s="5">
        <f>Mid(PasteHashtag!H230,FIND("/",PasteHashtag!H230)+1,LEN(PasteHashtag!H230)-FIND("/",PasteHashtag!H230)-1)*1</f>
        <v>4.1</v>
      </c>
      <c r="T230" s="306">
        <f>Mid(PasteHashtag!I230,FIND("/",PasteHashtag!I230)+1,LEN(PasteHashtag!I230)-FIND("/",PasteHashtag!I230)-1)*1</f>
        <v>0.9</v>
      </c>
    </row>
    <row r="231">
      <c r="A231" s="5">
        <v>230.0</v>
      </c>
      <c r="B231" s="5">
        <f>PasteHashtag!B231</f>
        <v>143.8</v>
      </c>
      <c r="C231" s="305" t="str">
        <f>PasteHashtag!C231</f>
        <v>Malik Beasley</v>
      </c>
      <c r="D231" s="5" t="str">
        <f>PasteHashtag!D231</f>
        <v>SG</v>
      </c>
      <c r="E231" s="5" t="str">
        <f>PasteHashtag!E231</f>
        <v>DET</v>
      </c>
      <c r="F231" s="5">
        <f>PasteHashtag!F231</f>
        <v>74</v>
      </c>
      <c r="G231" s="5">
        <f>PasteHashtag!G231</f>
        <v>25.1</v>
      </c>
      <c r="H231" s="5">
        <f>MID(PasteHashtag!H231,1+FIND("(",PasteHashtag!H231),FIND("/",PasteHashtag!H231)-FIND("(",PasteHashtag!H231)-1)*1</f>
        <v>4</v>
      </c>
      <c r="I231" s="5">
        <f>LEFT(PasteHashtag!H231,FIND("(",PasteHashtag!H231)-1)*1</f>
        <v>0.425</v>
      </c>
      <c r="J231" s="5">
        <f>MID(PasteHashtag!I231,1+FIND("(",PasteHashtag!I231),FIND("/",PasteHashtag!I231)-FIND("(",PasteHashtag!I231)-1)*1</f>
        <v>0.4</v>
      </c>
      <c r="K231" s="5">
        <f>LEFT(PasteHashtag!I231,FIND("(",PasteHashtag!I231)-1)*1</f>
        <v>0.754</v>
      </c>
      <c r="L231" s="5">
        <f>PasteHashtag!J231</f>
        <v>2.6</v>
      </c>
      <c r="M231" s="5">
        <f>PasteHashtag!K231</f>
        <v>11.1</v>
      </c>
      <c r="N231" s="5">
        <f>PasteHashtag!L231</f>
        <v>3.3</v>
      </c>
      <c r="O231" s="5">
        <f>PasteHashtag!M231</f>
        <v>1.3</v>
      </c>
      <c r="P231" s="5">
        <f>PasteHashtag!N231</f>
        <v>0.7</v>
      </c>
      <c r="Q231" s="5">
        <f>PasteHashtag!O231</f>
        <v>0.1</v>
      </c>
      <c r="R231" s="5">
        <f>PasteHashtag!P231</f>
        <v>0.8</v>
      </c>
      <c r="S231" s="5">
        <f>Mid(PasteHashtag!H231,FIND("/",PasteHashtag!H231)+1,LEN(PasteHashtag!H231)-FIND("/",PasteHashtag!H231)-1)*1</f>
        <v>9.5</v>
      </c>
      <c r="T231" s="306">
        <f>Mid(PasteHashtag!I231,FIND("/",PasteHashtag!I231)+1,LEN(PasteHashtag!I231)-FIND("/",PasteHashtag!I231)-1)*1</f>
        <v>0.6</v>
      </c>
    </row>
    <row r="232">
      <c r="A232" s="5">
        <v>231.0</v>
      </c>
      <c r="B232" s="5" t="str">
        <f>PasteHashtag!B232</f>
        <v/>
      </c>
      <c r="C232" s="305" t="str">
        <f>PasteHashtag!C232</f>
        <v>Julian Strawther</v>
      </c>
      <c r="D232" s="5" t="str">
        <f>PasteHashtag!D232</f>
        <v>SG</v>
      </c>
      <c r="E232" s="5" t="str">
        <f>PasteHashtag!E232</f>
        <v>DEN</v>
      </c>
      <c r="F232" s="5">
        <f>PasteHashtag!F232</f>
        <v>64</v>
      </c>
      <c r="G232" s="5">
        <f>PasteHashtag!G232</f>
        <v>23</v>
      </c>
      <c r="H232" s="5">
        <f>MID(PasteHashtag!H232,1+FIND("(",PasteHashtag!H232),FIND("/",PasteHashtag!H232)-FIND("(",PasteHashtag!H232)-1)*1</f>
        <v>3.8</v>
      </c>
      <c r="I232" s="5">
        <f>LEFT(PasteHashtag!H232,FIND("(",PasteHashtag!H232)-1)*1</f>
        <v>0.435</v>
      </c>
      <c r="J232" s="5">
        <f>MID(PasteHashtag!I232,1+FIND("(",PasteHashtag!I232),FIND("/",PasteHashtag!I232)-FIND("(",PasteHashtag!I232)-1)*1</f>
        <v>1</v>
      </c>
      <c r="K232" s="5">
        <f>LEFT(PasteHashtag!I232,FIND("(",PasteHashtag!I232)-1)*1</f>
        <v>0.729</v>
      </c>
      <c r="L232" s="5">
        <f>PasteHashtag!J232</f>
        <v>1.9</v>
      </c>
      <c r="M232" s="5">
        <f>PasteHashtag!K232</f>
        <v>10.5</v>
      </c>
      <c r="N232" s="5">
        <f>PasteHashtag!L232</f>
        <v>2.8</v>
      </c>
      <c r="O232" s="5">
        <f>PasteHashtag!M232</f>
        <v>2.2</v>
      </c>
      <c r="P232" s="5">
        <f>PasteHashtag!N232</f>
        <v>0.8</v>
      </c>
      <c r="Q232" s="5">
        <f>PasteHashtag!O232</f>
        <v>0.3</v>
      </c>
      <c r="R232" s="5">
        <f>PasteHashtag!P232</f>
        <v>1.1</v>
      </c>
      <c r="S232" s="5">
        <f>Mid(PasteHashtag!H232,FIND("/",PasteHashtag!H232)+1,LEN(PasteHashtag!H232)-FIND("/",PasteHashtag!H232)-1)*1</f>
        <v>8.7</v>
      </c>
      <c r="T232" s="306">
        <f>Mid(PasteHashtag!I232,FIND("/",PasteHashtag!I232)+1,LEN(PasteHashtag!I232)-FIND("/",PasteHashtag!I232)-1)*1</f>
        <v>1.4</v>
      </c>
    </row>
    <row r="233">
      <c r="A233" s="5">
        <v>232.0</v>
      </c>
      <c r="B233" s="5">
        <f>PasteHashtag!B233</f>
        <v>143.2</v>
      </c>
      <c r="C233" s="305" t="str">
        <f>PasteHashtag!C233</f>
        <v>Zach Collins</v>
      </c>
      <c r="D233" s="5" t="str">
        <f>PasteHashtag!D233</f>
        <v>PF,C</v>
      </c>
      <c r="E233" s="5" t="str">
        <f>PasteHashtag!E233</f>
        <v>SA</v>
      </c>
      <c r="F233" s="5">
        <f>PasteHashtag!F233</f>
        <v>60</v>
      </c>
      <c r="G233" s="5">
        <f>PasteHashtag!G233</f>
        <v>17.7</v>
      </c>
      <c r="H233" s="5">
        <f>MID(PasteHashtag!H233,1+FIND("(",PasteHashtag!H233),FIND("/",PasteHashtag!H233)-FIND("(",PasteHashtag!H233)-1)*1</f>
        <v>3.5</v>
      </c>
      <c r="I233" s="5">
        <f>LEFT(PasteHashtag!H233,FIND("(",PasteHashtag!H233)-1)*1</f>
        <v>0.501</v>
      </c>
      <c r="J233" s="5">
        <f>MID(PasteHashtag!I233,1+FIND("(",PasteHashtag!I233),FIND("/",PasteHashtag!I233)-FIND("(",PasteHashtag!I233)-1)*1</f>
        <v>1.4</v>
      </c>
      <c r="K233" s="5">
        <f>LEFT(PasteHashtag!I233,FIND("(",PasteHashtag!I233)-1)*1</f>
        <v>0.76</v>
      </c>
      <c r="L233" s="5">
        <f>PasteHashtag!J233</f>
        <v>0.7</v>
      </c>
      <c r="M233" s="5">
        <f>PasteHashtag!K233</f>
        <v>9.1</v>
      </c>
      <c r="N233" s="5">
        <f>PasteHashtag!L233</f>
        <v>4.7</v>
      </c>
      <c r="O233" s="5">
        <f>PasteHashtag!M233</f>
        <v>2.3</v>
      </c>
      <c r="P233" s="5">
        <f>PasteHashtag!N233</f>
        <v>0.4</v>
      </c>
      <c r="Q233" s="5">
        <f>PasteHashtag!O233</f>
        <v>0.6</v>
      </c>
      <c r="R233" s="5">
        <f>PasteHashtag!P233</f>
        <v>1.6</v>
      </c>
      <c r="S233" s="5">
        <f>Mid(PasteHashtag!H233,FIND("/",PasteHashtag!H233)+1,LEN(PasteHashtag!H233)-FIND("/",PasteHashtag!H233)-1)*1</f>
        <v>7</v>
      </c>
      <c r="T233" s="306">
        <f>Mid(PasteHashtag!I233,FIND("/",PasteHashtag!I233)+1,LEN(PasteHashtag!I233)-FIND("/",PasteHashtag!I233)-1)*1</f>
        <v>1.8</v>
      </c>
    </row>
    <row r="234">
      <c r="A234" s="5">
        <v>233.0</v>
      </c>
      <c r="B234" s="5">
        <f>PasteHashtag!B234</f>
        <v>143.1</v>
      </c>
      <c r="C234" s="305" t="str">
        <f>PasteHashtag!C234</f>
        <v>Grant Williams</v>
      </c>
      <c r="D234" s="5" t="str">
        <f>PasteHashtag!D234</f>
        <v>PF,C</v>
      </c>
      <c r="E234" s="5" t="str">
        <f>PasteHashtag!E234</f>
        <v>CHA</v>
      </c>
      <c r="F234" s="5">
        <f>PasteHashtag!F234</f>
        <v>77</v>
      </c>
      <c r="G234" s="5">
        <f>PasteHashtag!G234</f>
        <v>25.9</v>
      </c>
      <c r="H234" s="5">
        <f>MID(PasteHashtag!H234,1+FIND("(",PasteHashtag!H234),FIND("/",PasteHashtag!H234)-FIND("(",PasteHashtag!H234)-1)*1</f>
        <v>3.1</v>
      </c>
      <c r="I234" s="5">
        <f>LEFT(PasteHashtag!H234,FIND("(",PasteHashtag!H234)-1)*1</f>
        <v>0.455</v>
      </c>
      <c r="J234" s="5">
        <f>MID(PasteHashtag!I234,1+FIND("(",PasteHashtag!I234),FIND("/",PasteHashtag!I234)-FIND("(",PasteHashtag!I234)-1)*1</f>
        <v>1.3</v>
      </c>
      <c r="K234" s="5">
        <f>LEFT(PasteHashtag!I234,FIND("(",PasteHashtag!I234)-1)*1</f>
        <v>0.762</v>
      </c>
      <c r="L234" s="5">
        <f>PasteHashtag!J234</f>
        <v>1.5</v>
      </c>
      <c r="M234" s="5">
        <f>PasteHashtag!K234</f>
        <v>8.9</v>
      </c>
      <c r="N234" s="5">
        <f>PasteHashtag!L234</f>
        <v>4.3</v>
      </c>
      <c r="O234" s="5">
        <f>PasteHashtag!M234</f>
        <v>1.9</v>
      </c>
      <c r="P234" s="5">
        <f>PasteHashtag!N234</f>
        <v>0.5</v>
      </c>
      <c r="Q234" s="5">
        <f>PasteHashtag!O234</f>
        <v>0.4</v>
      </c>
      <c r="R234" s="5">
        <f>PasteHashtag!P234</f>
        <v>1.2</v>
      </c>
      <c r="S234" s="5">
        <f>Mid(PasteHashtag!H234,FIND("/",PasteHashtag!H234)+1,LEN(PasteHashtag!H234)-FIND("/",PasteHashtag!H234)-1)*1</f>
        <v>6.8</v>
      </c>
      <c r="T234" s="306">
        <f>Mid(PasteHashtag!I234,FIND("/",PasteHashtag!I234)+1,LEN(PasteHashtag!I234)-FIND("/",PasteHashtag!I234)-1)*1</f>
        <v>1.6</v>
      </c>
    </row>
    <row r="235">
      <c r="A235" s="5">
        <v>234.0</v>
      </c>
      <c r="B235" s="5">
        <f>PasteHashtag!B235</f>
        <v>140.3</v>
      </c>
      <c r="C235" s="305" t="str">
        <f>PasteHashtag!C235</f>
        <v>Dorian Finney-Smith</v>
      </c>
      <c r="D235" s="5" t="str">
        <f>PasteHashtag!D235</f>
        <v>SF,PF,C</v>
      </c>
      <c r="E235" s="5" t="str">
        <f>PasteHashtag!E235</f>
        <v>BKN</v>
      </c>
      <c r="F235" s="5">
        <f>PasteHashtag!F235</f>
        <v>68</v>
      </c>
      <c r="G235" s="5">
        <f>PasteHashtag!G235</f>
        <v>27.4</v>
      </c>
      <c r="H235" s="5">
        <f>MID(PasteHashtag!H235,1+FIND("(",PasteHashtag!H235),FIND("/",PasteHashtag!H235)-FIND("(",PasteHashtag!H235)-1)*1</f>
        <v>2.8</v>
      </c>
      <c r="I235" s="5">
        <f>LEFT(PasteHashtag!H235,FIND("(",PasteHashtag!H235)-1)*1</f>
        <v>0.406</v>
      </c>
      <c r="J235" s="5">
        <f>MID(PasteHashtag!I235,1+FIND("(",PasteHashtag!I235),FIND("/",PasteHashtag!I235)-FIND("(",PasteHashtag!I235)-1)*1</f>
        <v>0.5</v>
      </c>
      <c r="K235" s="5">
        <f>LEFT(PasteHashtag!I235,FIND("(",PasteHashtag!I235)-1)*1</f>
        <v>0.75</v>
      </c>
      <c r="L235" s="5">
        <f>PasteHashtag!J235</f>
        <v>1.6</v>
      </c>
      <c r="M235" s="5">
        <f>PasteHashtag!K235</f>
        <v>7.8</v>
      </c>
      <c r="N235" s="5">
        <f>PasteHashtag!L235</f>
        <v>4.4</v>
      </c>
      <c r="O235" s="5">
        <f>PasteHashtag!M235</f>
        <v>1.4</v>
      </c>
      <c r="P235" s="5">
        <f>PasteHashtag!N235</f>
        <v>0.8</v>
      </c>
      <c r="Q235" s="5">
        <f>PasteHashtag!O235</f>
        <v>0.5</v>
      </c>
      <c r="R235" s="5">
        <f>PasteHashtag!P235</f>
        <v>0.8</v>
      </c>
      <c r="S235" s="5">
        <f>Mid(PasteHashtag!H235,FIND("/",PasteHashtag!H235)+1,LEN(PasteHashtag!H235)-FIND("/",PasteHashtag!H235)-1)*1</f>
        <v>7</v>
      </c>
      <c r="T235" s="306">
        <f>Mid(PasteHashtag!I235,FIND("/",PasteHashtag!I235)+1,LEN(PasteHashtag!I235)-FIND("/",PasteHashtag!I235)-1)*1</f>
        <v>0.7</v>
      </c>
    </row>
    <row r="236">
      <c r="A236" s="5">
        <v>235.0</v>
      </c>
      <c r="B236" s="5" t="str">
        <f>PasteHashtag!B236</f>
        <v/>
      </c>
      <c r="C236" s="305" t="str">
        <f>PasteHashtag!C236</f>
        <v>Paul Reed</v>
      </c>
      <c r="D236" s="5" t="str">
        <f>PasteHashtag!D236</f>
        <v>PF,C</v>
      </c>
      <c r="E236" s="5" t="str">
        <f>PasteHashtag!E236</f>
        <v>DET</v>
      </c>
      <c r="F236" s="5">
        <f>PasteHashtag!F236</f>
        <v>62</v>
      </c>
      <c r="G236" s="5">
        <f>PasteHashtag!G236</f>
        <v>14.2</v>
      </c>
      <c r="H236" s="5">
        <f>MID(PasteHashtag!H236,1+FIND("(",PasteHashtag!H236),FIND("/",PasteHashtag!H236)-FIND("(",PasteHashtag!H236)-1)*1</f>
        <v>2.3</v>
      </c>
      <c r="I236" s="5">
        <f>LEFT(PasteHashtag!H236,FIND("(",PasteHashtag!H236)-1)*1</f>
        <v>0.555</v>
      </c>
      <c r="J236" s="5">
        <f>MID(PasteHashtag!I236,1+FIND("(",PasteHashtag!I236),FIND("/",PasteHashtag!I236)-FIND("(",PasteHashtag!I236)-1)*1</f>
        <v>0.6</v>
      </c>
      <c r="K236" s="5">
        <f>LEFT(PasteHashtag!I236,FIND("(",PasteHashtag!I236)-1)*1</f>
        <v>0.735</v>
      </c>
      <c r="L236" s="5">
        <f>PasteHashtag!J236</f>
        <v>0.1</v>
      </c>
      <c r="M236" s="5">
        <f>PasteHashtag!K236</f>
        <v>5.4</v>
      </c>
      <c r="N236" s="5">
        <f>PasteHashtag!L236</f>
        <v>4.6</v>
      </c>
      <c r="O236" s="5">
        <f>PasteHashtag!M236</f>
        <v>0.8</v>
      </c>
      <c r="P236" s="5">
        <f>PasteHashtag!N236</f>
        <v>0.7</v>
      </c>
      <c r="Q236" s="5">
        <f>PasteHashtag!O236</f>
        <v>0.8</v>
      </c>
      <c r="R236" s="5">
        <f>PasteHashtag!P236</f>
        <v>0.7</v>
      </c>
      <c r="S236" s="5">
        <f>Mid(PasteHashtag!H236,FIND("/",PasteHashtag!H236)+1,LEN(PasteHashtag!H236)-FIND("/",PasteHashtag!H236)-1)*1</f>
        <v>4.2</v>
      </c>
      <c r="T236" s="306">
        <f>Mid(PasteHashtag!I236,FIND("/",PasteHashtag!I236)+1,LEN(PasteHashtag!I236)-FIND("/",PasteHashtag!I236)-1)*1</f>
        <v>0.8</v>
      </c>
    </row>
    <row r="237">
      <c r="A237" s="5">
        <v>236.0</v>
      </c>
      <c r="B237" s="5" t="str">
        <f>PasteHashtag!B237</f>
        <v/>
      </c>
      <c r="C237" s="305" t="str">
        <f>PasteHashtag!C237</f>
        <v>Dario Saric</v>
      </c>
      <c r="D237" s="5" t="str">
        <f>PasteHashtag!D237</f>
        <v>PF,C</v>
      </c>
      <c r="E237" s="5" t="str">
        <f>PasteHashtag!E237</f>
        <v>DEN</v>
      </c>
      <c r="F237" s="5">
        <f>PasteHashtag!F237</f>
        <v>65</v>
      </c>
      <c r="G237" s="5">
        <f>PasteHashtag!G237</f>
        <v>18.4</v>
      </c>
      <c r="H237" s="5">
        <f>MID(PasteHashtag!H237,1+FIND("(",PasteHashtag!H237),FIND("/",PasteHashtag!H237)-FIND("(",PasteHashtag!H237)-1)*1</f>
        <v>3</v>
      </c>
      <c r="I237" s="5">
        <f>LEFT(PasteHashtag!H237,FIND("(",PasteHashtag!H237)-1)*1</f>
        <v>0.464</v>
      </c>
      <c r="J237" s="5">
        <f>MID(PasteHashtag!I237,1+FIND("(",PasteHashtag!I237),FIND("/",PasteHashtag!I237)-FIND("(",PasteHashtag!I237)-1)*1</f>
        <v>1.4</v>
      </c>
      <c r="K237" s="5">
        <f>LEFT(PasteHashtag!I237,FIND("(",PasteHashtag!I237)-1)*1</f>
        <v>0.842</v>
      </c>
      <c r="L237" s="5">
        <f>PasteHashtag!J237</f>
        <v>1.2</v>
      </c>
      <c r="M237" s="5">
        <f>PasteHashtag!K237</f>
        <v>8.6</v>
      </c>
      <c r="N237" s="5">
        <f>PasteHashtag!L237</f>
        <v>4.8</v>
      </c>
      <c r="O237" s="5">
        <f>PasteHashtag!M237</f>
        <v>2.1</v>
      </c>
      <c r="P237" s="5">
        <f>PasteHashtag!N237</f>
        <v>0.5</v>
      </c>
      <c r="Q237" s="5">
        <f>PasteHashtag!O237</f>
        <v>0.2</v>
      </c>
      <c r="R237" s="5">
        <f>PasteHashtag!P237</f>
        <v>1.3</v>
      </c>
      <c r="S237" s="5">
        <f>Mid(PasteHashtag!H237,FIND("/",PasteHashtag!H237)+1,LEN(PasteHashtag!H237)-FIND("/",PasteHashtag!H237)-1)*1</f>
        <v>6.5</v>
      </c>
      <c r="T237" s="306">
        <f>Mid(PasteHashtag!I237,FIND("/",PasteHashtag!I237)+1,LEN(PasteHashtag!I237)-FIND("/",PasteHashtag!I237)-1)*1</f>
        <v>1.7</v>
      </c>
    </row>
    <row r="238">
      <c r="A238" s="5">
        <v>237.0</v>
      </c>
      <c r="B238" s="5" t="str">
        <f>PasteHashtag!B238</f>
        <v/>
      </c>
      <c r="C238" s="305" t="str">
        <f>PasteHashtag!C238</f>
        <v>Christian Wood</v>
      </c>
      <c r="D238" s="5" t="str">
        <f>PasteHashtag!D238</f>
        <v>PF,C</v>
      </c>
      <c r="E238" s="5" t="str">
        <f>PasteHashtag!E238</f>
        <v>LAL</v>
      </c>
      <c r="F238" s="5">
        <f>PasteHashtag!F238</f>
        <v>52</v>
      </c>
      <c r="G238" s="5">
        <f>PasteHashtag!G238</f>
        <v>17.2</v>
      </c>
      <c r="H238" s="5">
        <f>MID(PasteHashtag!H238,1+FIND("(",PasteHashtag!H238),FIND("/",PasteHashtag!H238)-FIND("(",PasteHashtag!H238)-1)*1</f>
        <v>3.5</v>
      </c>
      <c r="I238" s="5">
        <f>LEFT(PasteHashtag!H238,FIND("(",PasteHashtag!H238)-1)*1</f>
        <v>0.502</v>
      </c>
      <c r="J238" s="5">
        <f>MID(PasteHashtag!I238,1+FIND("(",PasteHashtag!I238),FIND("/",PasteHashtag!I238)-FIND("(",PasteHashtag!I238)-1)*1</f>
        <v>1.9</v>
      </c>
      <c r="K238" s="5">
        <f>LEFT(PasteHashtag!I238,FIND("(",PasteHashtag!I238)-1)*1</f>
        <v>0.752</v>
      </c>
      <c r="L238" s="5">
        <f>PasteHashtag!J238</f>
        <v>0.9</v>
      </c>
      <c r="M238" s="5">
        <f>PasteHashtag!K238</f>
        <v>9.7</v>
      </c>
      <c r="N238" s="5">
        <f>PasteHashtag!L238</f>
        <v>5</v>
      </c>
      <c r="O238" s="5">
        <f>PasteHashtag!M238</f>
        <v>1.1</v>
      </c>
      <c r="P238" s="5">
        <f>PasteHashtag!N238</f>
        <v>0.3</v>
      </c>
      <c r="Q238" s="5">
        <f>PasteHashtag!O238</f>
        <v>0.7</v>
      </c>
      <c r="R238" s="5">
        <f>PasteHashtag!P238</f>
        <v>1.1</v>
      </c>
      <c r="S238" s="5">
        <f>Mid(PasteHashtag!H238,FIND("/",PasteHashtag!H238)+1,LEN(PasteHashtag!H238)-FIND("/",PasteHashtag!H238)-1)*1</f>
        <v>6.9</v>
      </c>
      <c r="T238" s="306">
        <f>Mid(PasteHashtag!I238,FIND("/",PasteHashtag!I238)+1,LEN(PasteHashtag!I238)-FIND("/",PasteHashtag!I238)-1)*1</f>
        <v>2.5</v>
      </c>
    </row>
    <row r="239">
      <c r="A239" s="5">
        <v>238.0</v>
      </c>
      <c r="B239" s="5" t="str">
        <f>PasteHashtag!B239</f>
        <v/>
      </c>
      <c r="C239" s="305" t="str">
        <f>PasteHashtag!C239</f>
        <v>Rob Dillingham</v>
      </c>
      <c r="D239" s="5" t="str">
        <f>PasteHashtag!D239</f>
        <v>PG</v>
      </c>
      <c r="E239" s="5" t="str">
        <f>PasteHashtag!E239</f>
        <v>MIN</v>
      </c>
      <c r="F239" s="5">
        <f>PasteHashtag!F239</f>
        <v>68</v>
      </c>
      <c r="G239" s="5">
        <f>PasteHashtag!G239</f>
        <v>22.8</v>
      </c>
      <c r="H239" s="5">
        <f>MID(PasteHashtag!H239,1+FIND("(",PasteHashtag!H239),FIND("/",PasteHashtag!H239)-FIND("(",PasteHashtag!H239)-1)*1</f>
        <v>3.8</v>
      </c>
      <c r="I239" s="5">
        <f>LEFT(PasteHashtag!H239,FIND("(",PasteHashtag!H239)-1)*1</f>
        <v>0.454</v>
      </c>
      <c r="J239" s="5">
        <f>MID(PasteHashtag!I239,1+FIND("(",PasteHashtag!I239),FIND("/",PasteHashtag!I239)-FIND("(",PasteHashtag!I239)-1)*1</f>
        <v>1.7</v>
      </c>
      <c r="K239" s="5">
        <f>LEFT(PasteHashtag!I239,FIND("(",PasteHashtag!I239)-1)*1</f>
        <v>0.802</v>
      </c>
      <c r="L239" s="5">
        <f>PasteHashtag!J239</f>
        <v>1.6</v>
      </c>
      <c r="M239" s="5">
        <f>PasteHashtag!K239</f>
        <v>11</v>
      </c>
      <c r="N239" s="5">
        <f>PasteHashtag!L239</f>
        <v>2.1</v>
      </c>
      <c r="O239" s="5">
        <f>PasteHashtag!M239</f>
        <v>2.8</v>
      </c>
      <c r="P239" s="5">
        <f>PasteHashtag!N239</f>
        <v>0.7</v>
      </c>
      <c r="Q239" s="5">
        <f>PasteHashtag!O239</f>
        <v>0</v>
      </c>
      <c r="R239" s="5">
        <f>PasteHashtag!P239</f>
        <v>1.4</v>
      </c>
      <c r="S239" s="5">
        <f>Mid(PasteHashtag!H239,FIND("/",PasteHashtag!H239)+1,LEN(PasteHashtag!H239)-FIND("/",PasteHashtag!H239)-1)*1</f>
        <v>8.4</v>
      </c>
      <c r="T239" s="306">
        <f>Mid(PasteHashtag!I239,FIND("/",PasteHashtag!I239)+1,LEN(PasteHashtag!I239)-FIND("/",PasteHashtag!I239)-1)*1</f>
        <v>2.2</v>
      </c>
    </row>
    <row r="240">
      <c r="A240" s="5">
        <v>239.0</v>
      </c>
      <c r="B240" s="5" t="str">
        <f>PasteHashtag!B240</f>
        <v/>
      </c>
      <c r="C240" s="305" t="str">
        <f>PasteHashtag!C240</f>
        <v>Xavier Tillman Sr.</v>
      </c>
      <c r="D240" s="5" t="str">
        <f>PasteHashtag!D240</f>
        <v>PF,C</v>
      </c>
      <c r="E240" s="5" t="str">
        <f>PasteHashtag!E240</f>
        <v>BOS</v>
      </c>
      <c r="F240" s="5">
        <f>PasteHashtag!F240</f>
        <v>62</v>
      </c>
      <c r="G240" s="5">
        <f>PasteHashtag!G240</f>
        <v>20.2</v>
      </c>
      <c r="H240" s="5">
        <f>MID(PasteHashtag!H240,1+FIND("(",PasteHashtag!H240),FIND("/",PasteHashtag!H240)-FIND("(",PasteHashtag!H240)-1)*1</f>
        <v>2.9</v>
      </c>
      <c r="I240" s="5">
        <f>LEFT(PasteHashtag!H240,FIND("(",PasteHashtag!H240)-1)*1</f>
        <v>0.473</v>
      </c>
      <c r="J240" s="5">
        <f>MID(PasteHashtag!I240,1+FIND("(",PasteHashtag!I240),FIND("/",PasteHashtag!I240)-FIND("(",PasteHashtag!I240)-1)*1</f>
        <v>0.7</v>
      </c>
      <c r="K240" s="5">
        <f>LEFT(PasteHashtag!I240,FIND("(",PasteHashtag!I240)-1)*1</f>
        <v>0.515</v>
      </c>
      <c r="L240" s="5">
        <f>PasteHashtag!J240</f>
        <v>0.7</v>
      </c>
      <c r="M240" s="5">
        <f>PasteHashtag!K240</f>
        <v>7.2</v>
      </c>
      <c r="N240" s="5">
        <f>PasteHashtag!L240</f>
        <v>4.9</v>
      </c>
      <c r="O240" s="5">
        <f>PasteHashtag!M240</f>
        <v>1.6</v>
      </c>
      <c r="P240" s="5">
        <f>PasteHashtag!N240</f>
        <v>1</v>
      </c>
      <c r="Q240" s="5">
        <f>PasteHashtag!O240</f>
        <v>0.7</v>
      </c>
      <c r="R240" s="5">
        <f>PasteHashtag!P240</f>
        <v>0.7</v>
      </c>
      <c r="S240" s="5">
        <f>Mid(PasteHashtag!H240,FIND("/",PasteHashtag!H240)+1,LEN(PasteHashtag!H240)-FIND("/",PasteHashtag!H240)-1)*1</f>
        <v>6.1</v>
      </c>
      <c r="T240" s="306">
        <f>Mid(PasteHashtag!I240,FIND("/",PasteHashtag!I240)+1,LEN(PasteHashtag!I240)-FIND("/",PasteHashtag!I240)-1)*1</f>
        <v>1.3</v>
      </c>
    </row>
    <row r="241">
      <c r="A241" s="5">
        <v>240.0</v>
      </c>
      <c r="B241" s="5">
        <f>PasteHashtag!B241</f>
        <v>143.5</v>
      </c>
      <c r="C241" s="305" t="str">
        <f>PasteHashtag!C241</f>
        <v>Gradey Dick</v>
      </c>
      <c r="D241" s="5" t="str">
        <f>PasteHashtag!D241</f>
        <v>SG,SF</v>
      </c>
      <c r="E241" s="5" t="str">
        <f>PasteHashtag!E241</f>
        <v>TOR</v>
      </c>
      <c r="F241" s="5">
        <f>PasteHashtag!F241</f>
        <v>68</v>
      </c>
      <c r="G241" s="5">
        <f>PasteHashtag!G241</f>
        <v>28.2</v>
      </c>
      <c r="H241" s="5">
        <f>MID(PasteHashtag!H241,1+FIND("(",PasteHashtag!H241),FIND("/",PasteHashtag!H241)-FIND("(",PasteHashtag!H241)-1)*1</f>
        <v>4.2</v>
      </c>
      <c r="I241" s="5">
        <f>LEFT(PasteHashtag!H241,FIND("(",PasteHashtag!H241)-1)*1</f>
        <v>0.424</v>
      </c>
      <c r="J241" s="5">
        <f>MID(PasteHashtag!I241,1+FIND("(",PasteHashtag!I241),FIND("/",PasteHashtag!I241)-FIND("(",PasteHashtag!I241)-1)*1</f>
        <v>1</v>
      </c>
      <c r="K241" s="5">
        <f>LEFT(PasteHashtag!I241,FIND("(",PasteHashtag!I241)-1)*1</f>
        <v>0.86</v>
      </c>
      <c r="L241" s="5">
        <f>PasteHashtag!J241</f>
        <v>2</v>
      </c>
      <c r="M241" s="5">
        <f>PasteHashtag!K241</f>
        <v>11.4</v>
      </c>
      <c r="N241" s="5">
        <f>PasteHashtag!L241</f>
        <v>2.9</v>
      </c>
      <c r="O241" s="5">
        <f>PasteHashtag!M241</f>
        <v>1.5</v>
      </c>
      <c r="P241" s="5">
        <f>PasteHashtag!N241</f>
        <v>0.8</v>
      </c>
      <c r="Q241" s="5">
        <f>PasteHashtag!O241</f>
        <v>0</v>
      </c>
      <c r="R241" s="5">
        <f>PasteHashtag!P241</f>
        <v>1.1</v>
      </c>
      <c r="S241" s="5">
        <f>Mid(PasteHashtag!H241,FIND("/",PasteHashtag!H241)+1,LEN(PasteHashtag!H241)-FIND("/",PasteHashtag!H241)-1)*1</f>
        <v>9.9</v>
      </c>
      <c r="T241" s="306">
        <f>Mid(PasteHashtag!I241,FIND("/",PasteHashtag!I241)+1,LEN(PasteHashtag!I241)-FIND("/",PasteHashtag!I241)-1)*1</f>
        <v>1.1</v>
      </c>
    </row>
    <row r="242">
      <c r="A242" s="5">
        <v>241.0</v>
      </c>
      <c r="B242" s="5" t="str">
        <f>PasteHashtag!B242</f>
        <v/>
      </c>
      <c r="C242" s="305" t="str">
        <f>PasteHashtag!C242</f>
        <v>Ron Holland II</v>
      </c>
      <c r="D242" s="5" t="str">
        <f>PasteHashtag!D242</f>
        <v>SF</v>
      </c>
      <c r="E242" s="5" t="str">
        <f>PasteHashtag!E242</f>
        <v>DET</v>
      </c>
      <c r="F242" s="5">
        <f>PasteHashtag!F242</f>
        <v>67</v>
      </c>
      <c r="G242" s="5">
        <f>PasteHashtag!G242</f>
        <v>25.4</v>
      </c>
      <c r="H242" s="5">
        <f>MID(PasteHashtag!H242,1+FIND("(",PasteHashtag!H242),FIND("/",PasteHashtag!H242)-FIND("(",PasteHashtag!H242)-1)*1</f>
        <v>3.9</v>
      </c>
      <c r="I242" s="5">
        <f>LEFT(PasteHashtag!H242,FIND("(",PasteHashtag!H242)-1)*1</f>
        <v>0.44</v>
      </c>
      <c r="J242" s="5">
        <f>MID(PasteHashtag!I242,1+FIND("(",PasteHashtag!I242),FIND("/",PasteHashtag!I242)-FIND("(",PasteHashtag!I242)-1)*1</f>
        <v>2.1</v>
      </c>
      <c r="K242" s="5">
        <f>LEFT(PasteHashtag!I242,FIND("(",PasteHashtag!I242)-1)*1</f>
        <v>0.74</v>
      </c>
      <c r="L242" s="5">
        <f>PasteHashtag!J242</f>
        <v>0.5</v>
      </c>
      <c r="M242" s="5">
        <f>PasteHashtag!K242</f>
        <v>10.3</v>
      </c>
      <c r="N242" s="5">
        <f>PasteHashtag!L242</f>
        <v>3.7</v>
      </c>
      <c r="O242" s="5">
        <f>PasteHashtag!M242</f>
        <v>1.7</v>
      </c>
      <c r="P242" s="5">
        <f>PasteHashtag!N242</f>
        <v>1.3</v>
      </c>
      <c r="Q242" s="5">
        <f>PasteHashtag!O242</f>
        <v>0.4</v>
      </c>
      <c r="R242" s="5">
        <f>PasteHashtag!P242</f>
        <v>1.6</v>
      </c>
      <c r="S242" s="5">
        <f>Mid(PasteHashtag!H242,FIND("/",PasteHashtag!H242)+1,LEN(PasteHashtag!H242)-FIND("/",PasteHashtag!H242)-1)*1</f>
        <v>8.8</v>
      </c>
      <c r="T242" s="306">
        <f>Mid(PasteHashtag!I242,FIND("/",PasteHashtag!I242)+1,LEN(PasteHashtag!I242)-FIND("/",PasteHashtag!I242)-1)*1</f>
        <v>2.9</v>
      </c>
    </row>
    <row r="243">
      <c r="A243" s="5">
        <v>242.0</v>
      </c>
      <c r="B243" s="5" t="str">
        <f>PasteHashtag!B243</f>
        <v/>
      </c>
      <c r="C243" s="305" t="str">
        <f>PasteHashtag!C243</f>
        <v>Mo Bamba</v>
      </c>
      <c r="D243" s="5" t="str">
        <f>PasteHashtag!D243</f>
        <v>C</v>
      </c>
      <c r="E243" s="5" t="str">
        <f>PasteHashtag!E243</f>
        <v>LAC</v>
      </c>
      <c r="F243" s="5">
        <f>PasteHashtag!F243</f>
        <v>58</v>
      </c>
      <c r="G243" s="5">
        <f>PasteHashtag!G243</f>
        <v>15.8</v>
      </c>
      <c r="H243" s="5">
        <f>MID(PasteHashtag!H243,1+FIND("(",PasteHashtag!H243),FIND("/",PasteHashtag!H243)-FIND("(",PasteHashtag!H243)-1)*1</f>
        <v>2.3</v>
      </c>
      <c r="I243" s="5">
        <f>LEFT(PasteHashtag!H243,FIND("(",PasteHashtag!H243)-1)*1</f>
        <v>0.487</v>
      </c>
      <c r="J243" s="5">
        <f>MID(PasteHashtag!I243,1+FIND("(",PasteHashtag!I243),FIND("/",PasteHashtag!I243)-FIND("(",PasteHashtag!I243)-1)*1</f>
        <v>0.8</v>
      </c>
      <c r="K243" s="5">
        <f>LEFT(PasteHashtag!I243,FIND("(",PasteHashtag!I243)-1)*1</f>
        <v>0.669</v>
      </c>
      <c r="L243" s="5">
        <f>PasteHashtag!J243</f>
        <v>0.8</v>
      </c>
      <c r="M243" s="5">
        <f>PasteHashtag!K243</f>
        <v>6.1</v>
      </c>
      <c r="N243" s="5">
        <f>PasteHashtag!L243</f>
        <v>4.9</v>
      </c>
      <c r="O243" s="5">
        <f>PasteHashtag!M243</f>
        <v>0.9</v>
      </c>
      <c r="P243" s="5">
        <f>PasteHashtag!N243</f>
        <v>0.4</v>
      </c>
      <c r="Q243" s="5">
        <f>PasteHashtag!O243</f>
        <v>1.1</v>
      </c>
      <c r="R243" s="5">
        <f>PasteHashtag!P243</f>
        <v>0.7</v>
      </c>
      <c r="S243" s="5">
        <f>Mid(PasteHashtag!H243,FIND("/",PasteHashtag!H243)+1,LEN(PasteHashtag!H243)-FIND("/",PasteHashtag!H243)-1)*1</f>
        <v>4.6</v>
      </c>
      <c r="T243" s="306">
        <f>Mid(PasteHashtag!I243,FIND("/",PasteHashtag!I243)+1,LEN(PasteHashtag!I243)-FIND("/",PasteHashtag!I243)-1)*1</f>
        <v>1.2</v>
      </c>
    </row>
    <row r="244">
      <c r="A244" s="5">
        <v>243.0</v>
      </c>
      <c r="B244" s="5" t="str">
        <f>PasteHashtag!B244</f>
        <v/>
      </c>
      <c r="C244" s="305" t="str">
        <f>PasteHashtag!C244</f>
        <v>Derrick Jones Jr.</v>
      </c>
      <c r="D244" s="5" t="str">
        <f>PasteHashtag!D244</f>
        <v>SF,PF</v>
      </c>
      <c r="E244" s="5" t="str">
        <f>PasteHashtag!E244</f>
        <v>LAC</v>
      </c>
      <c r="F244" s="5">
        <f>PasteHashtag!F244</f>
        <v>64</v>
      </c>
      <c r="G244" s="5">
        <f>PasteHashtag!G244</f>
        <v>21.8</v>
      </c>
      <c r="H244" s="5">
        <f>MID(PasteHashtag!H244,1+FIND("(",PasteHashtag!H244),FIND("/",PasteHashtag!H244)-FIND("(",PasteHashtag!H244)-1)*1</f>
        <v>2.9</v>
      </c>
      <c r="I244" s="5">
        <f>LEFT(PasteHashtag!H244,FIND("(",PasteHashtag!H244)-1)*1</f>
        <v>0.488</v>
      </c>
      <c r="J244" s="5">
        <f>MID(PasteHashtag!I244,1+FIND("(",PasteHashtag!I244),FIND("/",PasteHashtag!I244)-FIND("(",PasteHashtag!I244)-1)*1</f>
        <v>1.3</v>
      </c>
      <c r="K244" s="5">
        <f>LEFT(PasteHashtag!I244,FIND("(",PasteHashtag!I244)-1)*1</f>
        <v>0.724</v>
      </c>
      <c r="L244" s="5">
        <f>PasteHashtag!J244</f>
        <v>0.9</v>
      </c>
      <c r="M244" s="5">
        <f>PasteHashtag!K244</f>
        <v>8</v>
      </c>
      <c r="N244" s="5">
        <f>PasteHashtag!L244</f>
        <v>3.3</v>
      </c>
      <c r="O244" s="5">
        <f>PasteHashtag!M244</f>
        <v>0.9</v>
      </c>
      <c r="P244" s="5">
        <f>PasteHashtag!N244</f>
        <v>0.7</v>
      </c>
      <c r="Q244" s="5">
        <f>PasteHashtag!O244</f>
        <v>0.7</v>
      </c>
      <c r="R244" s="5">
        <f>PasteHashtag!P244</f>
        <v>0.7</v>
      </c>
      <c r="S244" s="5">
        <f>Mid(PasteHashtag!H244,FIND("/",PasteHashtag!H244)+1,LEN(PasteHashtag!H244)-FIND("/",PasteHashtag!H244)-1)*1</f>
        <v>6</v>
      </c>
      <c r="T244" s="306">
        <f>Mid(PasteHashtag!I244,FIND("/",PasteHashtag!I244)+1,LEN(PasteHashtag!I244)-FIND("/",PasteHashtag!I244)-1)*1</f>
        <v>1.8</v>
      </c>
    </row>
    <row r="245">
      <c r="A245" s="5">
        <v>244.0</v>
      </c>
      <c r="B245" s="5" t="str">
        <f>PasteHashtag!B245</f>
        <v/>
      </c>
      <c r="C245" s="305" t="str">
        <f>PasteHashtag!C245</f>
        <v>Isaiah Joe</v>
      </c>
      <c r="D245" s="5" t="str">
        <f>PasteHashtag!D245</f>
        <v>PG,SG</v>
      </c>
      <c r="E245" s="5" t="str">
        <f>PasteHashtag!E245</f>
        <v>OKC</v>
      </c>
      <c r="F245" s="5">
        <f>PasteHashtag!F245</f>
        <v>75</v>
      </c>
      <c r="G245" s="5">
        <f>PasteHashtag!G245</f>
        <v>18</v>
      </c>
      <c r="H245" s="5">
        <f>MID(PasteHashtag!H245,1+FIND("(",PasteHashtag!H245),FIND("/",PasteHashtag!H245)-FIND("(",PasteHashtag!H245)-1)*1</f>
        <v>2.9</v>
      </c>
      <c r="I245" s="5">
        <f>LEFT(PasteHashtag!H245,FIND("(",PasteHashtag!H245)-1)*1</f>
        <v>0.449</v>
      </c>
      <c r="J245" s="5">
        <f>MID(PasteHashtag!I245,1+FIND("(",PasteHashtag!I245),FIND("/",PasteHashtag!I245)-FIND("(",PasteHashtag!I245)-1)*1</f>
        <v>0.8</v>
      </c>
      <c r="K245" s="5">
        <f>LEFT(PasteHashtag!I245,FIND("(",PasteHashtag!I245)-1)*1</f>
        <v>0.827</v>
      </c>
      <c r="L245" s="5">
        <f>PasteHashtag!J245</f>
        <v>2</v>
      </c>
      <c r="M245" s="5">
        <f>PasteHashtag!K245</f>
        <v>8.5</v>
      </c>
      <c r="N245" s="5">
        <f>PasteHashtag!L245</f>
        <v>2.3</v>
      </c>
      <c r="O245" s="5">
        <f>PasteHashtag!M245</f>
        <v>1.2</v>
      </c>
      <c r="P245" s="5">
        <f>PasteHashtag!N245</f>
        <v>0.6</v>
      </c>
      <c r="Q245" s="5">
        <f>PasteHashtag!O245</f>
        <v>0.2</v>
      </c>
      <c r="R245" s="5">
        <f>PasteHashtag!P245</f>
        <v>0.6</v>
      </c>
      <c r="S245" s="5">
        <f>Mid(PasteHashtag!H245,FIND("/",PasteHashtag!H245)+1,LEN(PasteHashtag!H245)-FIND("/",PasteHashtag!H245)-1)*1</f>
        <v>6.4</v>
      </c>
      <c r="T245" s="306">
        <f>Mid(PasteHashtag!I245,FIND("/",PasteHashtag!I245)+1,LEN(PasteHashtag!I245)-FIND("/",PasteHashtag!I245)-1)*1</f>
        <v>1</v>
      </c>
    </row>
    <row r="246">
      <c r="A246" s="5">
        <v>245.0</v>
      </c>
      <c r="B246" s="5" t="str">
        <f>PasteHashtag!B246</f>
        <v/>
      </c>
      <c r="C246" s="305" t="str">
        <f>PasteHashtag!C246</f>
        <v>Naji Marshall</v>
      </c>
      <c r="D246" s="5" t="str">
        <f>PasteHashtag!D246</f>
        <v>SG,SF</v>
      </c>
      <c r="E246" s="5" t="str">
        <f>PasteHashtag!E246</f>
        <v>DAL</v>
      </c>
      <c r="F246" s="5">
        <f>PasteHashtag!F246</f>
        <v>58</v>
      </c>
      <c r="G246" s="5">
        <f>PasteHashtag!G246</f>
        <v>21.4</v>
      </c>
      <c r="H246" s="5">
        <f>MID(PasteHashtag!H246,1+FIND("(",PasteHashtag!H246),FIND("/",PasteHashtag!H246)-FIND("(",PasteHashtag!H246)-1)*1</f>
        <v>3.1</v>
      </c>
      <c r="I246" s="5">
        <f>LEFT(PasteHashtag!H246,FIND("(",PasteHashtag!H246)-1)*1</f>
        <v>0.446</v>
      </c>
      <c r="J246" s="5">
        <f>MID(PasteHashtag!I246,1+FIND("(",PasteHashtag!I246),FIND("/",PasteHashtag!I246)-FIND("(",PasteHashtag!I246)-1)*1</f>
        <v>1.5</v>
      </c>
      <c r="K246" s="5">
        <f>LEFT(PasteHashtag!I246,FIND("(",PasteHashtag!I246)-1)*1</f>
        <v>0.789</v>
      </c>
      <c r="L246" s="5">
        <f>PasteHashtag!J246</f>
        <v>0.9</v>
      </c>
      <c r="M246" s="5">
        <f>PasteHashtag!K246</f>
        <v>8.5</v>
      </c>
      <c r="N246" s="5">
        <f>PasteHashtag!L246</f>
        <v>3.8</v>
      </c>
      <c r="O246" s="5">
        <f>PasteHashtag!M246</f>
        <v>2.3</v>
      </c>
      <c r="P246" s="5">
        <f>PasteHashtag!N246</f>
        <v>0.8</v>
      </c>
      <c r="Q246" s="5">
        <f>PasteHashtag!O246</f>
        <v>0.2</v>
      </c>
      <c r="R246" s="5">
        <f>PasteHashtag!P246</f>
        <v>1.2</v>
      </c>
      <c r="S246" s="5">
        <f>Mid(PasteHashtag!H246,FIND("/",PasteHashtag!H246)+1,LEN(PasteHashtag!H246)-FIND("/",PasteHashtag!H246)-1)*1</f>
        <v>6.8</v>
      </c>
      <c r="T246" s="306">
        <f>Mid(PasteHashtag!I246,FIND("/",PasteHashtag!I246)+1,LEN(PasteHashtag!I246)-FIND("/",PasteHashtag!I246)-1)*1</f>
        <v>1.9</v>
      </c>
    </row>
    <row r="247">
      <c r="A247" s="5">
        <v>246.0</v>
      </c>
      <c r="B247" s="5" t="str">
        <f>PasteHashtag!B247</f>
        <v/>
      </c>
      <c r="C247" s="305" t="str">
        <f>PasteHashtag!C247</f>
        <v>Carlton Carrington</v>
      </c>
      <c r="D247" s="5" t="str">
        <f>PasteHashtag!D247</f>
        <v>PG</v>
      </c>
      <c r="E247" s="5" t="str">
        <f>PasteHashtag!E247</f>
        <v>WAS</v>
      </c>
      <c r="F247" s="5">
        <f>PasteHashtag!F247</f>
        <v>68</v>
      </c>
      <c r="G247" s="5">
        <f>PasteHashtag!G247</f>
        <v>28.7</v>
      </c>
      <c r="H247" s="5">
        <f>MID(PasteHashtag!H247,1+FIND("(",PasteHashtag!H247),FIND("/",PasteHashtag!H247)-FIND("(",PasteHashtag!H247)-1)*1</f>
        <v>3.8</v>
      </c>
      <c r="I247" s="5">
        <f>LEFT(PasteHashtag!H247,FIND("(",PasteHashtag!H247)-1)*1</f>
        <v>0.412</v>
      </c>
      <c r="J247" s="5">
        <f>MID(PasteHashtag!I247,1+FIND("(",PasteHashtag!I247),FIND("/",PasteHashtag!I247)-FIND("(",PasteHashtag!I247)-1)*1</f>
        <v>1.8</v>
      </c>
      <c r="K247" s="5">
        <f>LEFT(PasteHashtag!I247,FIND("(",PasteHashtag!I247)-1)*1</f>
        <v>0.785</v>
      </c>
      <c r="L247" s="5">
        <f>PasteHashtag!J247</f>
        <v>1.6</v>
      </c>
      <c r="M247" s="5">
        <f>PasteHashtag!K247</f>
        <v>11</v>
      </c>
      <c r="N247" s="5">
        <f>PasteHashtag!L247</f>
        <v>4.1</v>
      </c>
      <c r="O247" s="5">
        <f>PasteHashtag!M247</f>
        <v>3.3</v>
      </c>
      <c r="P247" s="5">
        <f>PasteHashtag!N247</f>
        <v>0.5</v>
      </c>
      <c r="Q247" s="5">
        <f>PasteHashtag!O247</f>
        <v>0.2</v>
      </c>
      <c r="R247" s="5">
        <f>PasteHashtag!P247</f>
        <v>1.5</v>
      </c>
      <c r="S247" s="5">
        <f>Mid(PasteHashtag!H247,FIND("/",PasteHashtag!H247)+1,LEN(PasteHashtag!H247)-FIND("/",PasteHashtag!H247)-1)*1</f>
        <v>9.3</v>
      </c>
      <c r="T247" s="306">
        <f>Mid(PasteHashtag!I247,FIND("/",PasteHashtag!I247)+1,LEN(PasteHashtag!I247)-FIND("/",PasteHashtag!I247)-1)*1</f>
        <v>2.2</v>
      </c>
    </row>
    <row r="248">
      <c r="A248" s="5">
        <v>247.0</v>
      </c>
      <c r="B248" s="5" t="str">
        <f>PasteHashtag!B248</f>
        <v/>
      </c>
      <c r="C248" s="305" t="str">
        <f>PasteHashtag!C248</f>
        <v>Bones Hyland</v>
      </c>
      <c r="D248" s="5" t="str">
        <f>PasteHashtag!D248</f>
        <v>PG,SG</v>
      </c>
      <c r="E248" s="5" t="str">
        <f>PasteHashtag!E248</f>
        <v>LAC</v>
      </c>
      <c r="F248" s="5">
        <f>PasteHashtag!F248</f>
        <v>66</v>
      </c>
      <c r="G248" s="5">
        <f>PasteHashtag!G248</f>
        <v>18</v>
      </c>
      <c r="H248" s="5">
        <f>MID(PasteHashtag!H248,1+FIND("(",PasteHashtag!H248),FIND("/",PasteHashtag!H248)-FIND("(",PasteHashtag!H248)-1)*1</f>
        <v>3.6</v>
      </c>
      <c r="I248" s="5">
        <f>LEFT(PasteHashtag!H248,FIND("(",PasteHashtag!H248)-1)*1</f>
        <v>0.395</v>
      </c>
      <c r="J248" s="5">
        <f>MID(PasteHashtag!I248,1+FIND("(",PasteHashtag!I248),FIND("/",PasteHashtag!I248)-FIND("(",PasteHashtag!I248)-1)*1</f>
        <v>1.2</v>
      </c>
      <c r="K248" s="5">
        <f>LEFT(PasteHashtag!I248,FIND("(",PasteHashtag!I248)-1)*1</f>
        <v>0.829</v>
      </c>
      <c r="L248" s="5">
        <f>PasteHashtag!J248</f>
        <v>1.8</v>
      </c>
      <c r="M248" s="5">
        <f>PasteHashtag!K248</f>
        <v>10.2</v>
      </c>
      <c r="N248" s="5">
        <f>PasteHashtag!L248</f>
        <v>2.1</v>
      </c>
      <c r="O248" s="5">
        <f>PasteHashtag!M248</f>
        <v>3</v>
      </c>
      <c r="P248" s="5">
        <f>PasteHashtag!N248</f>
        <v>0.7</v>
      </c>
      <c r="Q248" s="5">
        <f>PasteHashtag!O248</f>
        <v>0.2</v>
      </c>
      <c r="R248" s="5">
        <f>PasteHashtag!P248</f>
        <v>1.4</v>
      </c>
      <c r="S248" s="5">
        <f>Mid(PasteHashtag!H248,FIND("/",PasteHashtag!H248)+1,LEN(PasteHashtag!H248)-FIND("/",PasteHashtag!H248)-1)*1</f>
        <v>9.2</v>
      </c>
      <c r="T248" s="306">
        <f>Mid(PasteHashtag!I248,FIND("/",PasteHashtag!I248)+1,LEN(PasteHashtag!I248)-FIND("/",PasteHashtag!I248)-1)*1</f>
        <v>1.4</v>
      </c>
    </row>
    <row r="249">
      <c r="A249" s="5">
        <v>248.0</v>
      </c>
      <c r="B249" s="5" t="str">
        <f>PasteHashtag!B249</f>
        <v/>
      </c>
      <c r="C249" s="305" t="str">
        <f>PasteHashtag!C249</f>
        <v>GG Jackson II</v>
      </c>
      <c r="D249" s="5" t="str">
        <f>PasteHashtag!D249</f>
        <v>SF,PF</v>
      </c>
      <c r="E249" s="5" t="str">
        <f>PasteHashtag!E249</f>
        <v>MEM</v>
      </c>
      <c r="F249" s="5">
        <f>PasteHashtag!F249</f>
        <v>64</v>
      </c>
      <c r="G249" s="5">
        <f>PasteHashtag!G249</f>
        <v>22.6</v>
      </c>
      <c r="H249" s="5">
        <f>MID(PasteHashtag!H249,1+FIND("(",PasteHashtag!H249),FIND("/",PasteHashtag!H249)-FIND("(",PasteHashtag!H249)-1)*1</f>
        <v>4.5</v>
      </c>
      <c r="I249" s="5">
        <f>LEFT(PasteHashtag!H249,FIND("(",PasteHashtag!H249)-1)*1</f>
        <v>0.428</v>
      </c>
      <c r="J249" s="5">
        <f>MID(PasteHashtag!I249,1+FIND("(",PasteHashtag!I249),FIND("/",PasteHashtag!I249)-FIND("(",PasteHashtag!I249)-1)*1</f>
        <v>2.1</v>
      </c>
      <c r="K249" s="5">
        <f>LEFT(PasteHashtag!I249,FIND("(",PasteHashtag!I249)-1)*1</f>
        <v>0.753</v>
      </c>
      <c r="L249" s="5">
        <f>PasteHashtag!J249</f>
        <v>1.9</v>
      </c>
      <c r="M249" s="5">
        <f>PasteHashtag!K249</f>
        <v>12.9</v>
      </c>
      <c r="N249" s="5">
        <f>PasteHashtag!L249</f>
        <v>3.6</v>
      </c>
      <c r="O249" s="5">
        <f>PasteHashtag!M249</f>
        <v>1.1</v>
      </c>
      <c r="P249" s="5">
        <f>PasteHashtag!N249</f>
        <v>0.5</v>
      </c>
      <c r="Q249" s="5">
        <f>PasteHashtag!O249</f>
        <v>0.4</v>
      </c>
      <c r="R249" s="5">
        <f>PasteHashtag!P249</f>
        <v>1.2</v>
      </c>
      <c r="S249" s="5">
        <f>Mid(PasteHashtag!H249,FIND("/",PasteHashtag!H249)+1,LEN(PasteHashtag!H249)-FIND("/",PasteHashtag!H249)-1)*1</f>
        <v>10.4</v>
      </c>
      <c r="T249" s="306">
        <f>Mid(PasteHashtag!I249,FIND("/",PasteHashtag!I249)+1,LEN(PasteHashtag!I249)-FIND("/",PasteHashtag!I249)-1)*1</f>
        <v>2.8</v>
      </c>
    </row>
    <row r="250">
      <c r="A250" s="5">
        <v>249.0</v>
      </c>
      <c r="B250" s="5" t="str">
        <f>PasteHashtag!B250</f>
        <v/>
      </c>
      <c r="C250" s="305" t="str">
        <f>PasteHashtag!C250</f>
        <v>Neemias Queta</v>
      </c>
      <c r="D250" s="5" t="str">
        <f>PasteHashtag!D250</f>
        <v>C</v>
      </c>
      <c r="E250" s="5" t="str">
        <f>PasteHashtag!E250</f>
        <v>BOS</v>
      </c>
      <c r="F250" s="5">
        <f>PasteHashtag!F250</f>
        <v>36</v>
      </c>
      <c r="G250" s="5">
        <f>PasteHashtag!G250</f>
        <v>12.1</v>
      </c>
      <c r="H250" s="5">
        <f>MID(PasteHashtag!H250,1+FIND("(",PasteHashtag!H250),FIND("/",PasteHashtag!H250)-FIND("(",PasteHashtag!H250)-1)*1</f>
        <v>2.5</v>
      </c>
      <c r="I250" s="5">
        <f>LEFT(PasteHashtag!H250,FIND("(",PasteHashtag!H250)-1)*1</f>
        <v>0.647</v>
      </c>
      <c r="J250" s="5">
        <f>MID(PasteHashtag!I250,1+FIND("(",PasteHashtag!I250),FIND("/",PasteHashtag!I250)-FIND("(",PasteHashtag!I250)-1)*1</f>
        <v>0.7</v>
      </c>
      <c r="K250" s="5">
        <f>LEFT(PasteHashtag!I250,FIND("(",PasteHashtag!I250)-1)*1</f>
        <v>0.673</v>
      </c>
      <c r="L250" s="5">
        <f>PasteHashtag!J250</f>
        <v>0</v>
      </c>
      <c r="M250" s="5">
        <f>PasteHashtag!K250</f>
        <v>5.6</v>
      </c>
      <c r="N250" s="5">
        <f>PasteHashtag!L250</f>
        <v>4.5</v>
      </c>
      <c r="O250" s="5">
        <f>PasteHashtag!M250</f>
        <v>0.7</v>
      </c>
      <c r="P250" s="5">
        <f>PasteHashtag!N250</f>
        <v>0.4</v>
      </c>
      <c r="Q250" s="5">
        <f>PasteHashtag!O250</f>
        <v>0.8</v>
      </c>
      <c r="R250" s="5">
        <f>PasteHashtag!P250</f>
        <v>0.5</v>
      </c>
      <c r="S250" s="5">
        <f>Mid(PasteHashtag!H250,FIND("/",PasteHashtag!H250)+1,LEN(PasteHashtag!H250)-FIND("/",PasteHashtag!H250)-1)*1</f>
        <v>3.8</v>
      </c>
      <c r="T250" s="306">
        <f>Mid(PasteHashtag!I250,FIND("/",PasteHashtag!I250)+1,LEN(PasteHashtag!I250)-FIND("/",PasteHashtag!I250)-1)*1</f>
        <v>1</v>
      </c>
    </row>
    <row r="251">
      <c r="A251" s="5">
        <v>250.0</v>
      </c>
      <c r="B251" s="5" t="str">
        <f>PasteHashtag!B251</f>
        <v/>
      </c>
      <c r="C251" s="305" t="str">
        <f>PasteHashtag!C251</f>
        <v>Scotty Pippen Jr.</v>
      </c>
      <c r="D251" s="5" t="str">
        <f>PasteHashtag!D251</f>
        <v>PG,SG</v>
      </c>
      <c r="E251" s="5" t="str">
        <f>PasteHashtag!E251</f>
        <v>MEM</v>
      </c>
      <c r="F251" s="5">
        <f>PasteHashtag!F251</f>
        <v>34</v>
      </c>
      <c r="G251" s="5">
        <f>PasteHashtag!G251</f>
        <v>14.5</v>
      </c>
      <c r="H251" s="5">
        <f>MID(PasteHashtag!H251,1+FIND("(",PasteHashtag!H251),FIND("/",PasteHashtag!H251)-FIND("(",PasteHashtag!H251)-1)*1</f>
        <v>2.7</v>
      </c>
      <c r="I251" s="5">
        <f>LEFT(PasteHashtag!H251,FIND("(",PasteHashtag!H251)-1)*1</f>
        <v>0.484</v>
      </c>
      <c r="J251" s="5">
        <f>MID(PasteHashtag!I251,1+FIND("(",PasteHashtag!I251),FIND("/",PasteHashtag!I251)-FIND("(",PasteHashtag!I251)-1)*1</f>
        <v>1.2</v>
      </c>
      <c r="K251" s="5">
        <f>LEFT(PasteHashtag!I251,FIND("(",PasteHashtag!I251)-1)*1</f>
        <v>0.72</v>
      </c>
      <c r="L251" s="5">
        <f>PasteHashtag!J251</f>
        <v>0.8</v>
      </c>
      <c r="M251" s="5">
        <f>PasteHashtag!K251</f>
        <v>7.5</v>
      </c>
      <c r="N251" s="5">
        <f>PasteHashtag!L251</f>
        <v>1.9</v>
      </c>
      <c r="O251" s="5">
        <f>PasteHashtag!M251</f>
        <v>2.6</v>
      </c>
      <c r="P251" s="5">
        <f>PasteHashtag!N251</f>
        <v>1</v>
      </c>
      <c r="Q251" s="5">
        <f>PasteHashtag!O251</f>
        <v>0.3</v>
      </c>
      <c r="R251" s="5">
        <f>PasteHashtag!P251</f>
        <v>1.5</v>
      </c>
      <c r="S251" s="5">
        <f>Mid(PasteHashtag!H251,FIND("/",PasteHashtag!H251)+1,LEN(PasteHashtag!H251)-FIND("/",PasteHashtag!H251)-1)*1</f>
        <v>5.6</v>
      </c>
      <c r="T251" s="306">
        <f>Mid(PasteHashtag!I251,FIND("/",PasteHashtag!I251)+1,LEN(PasteHashtag!I251)-FIND("/",PasteHashtag!I251)-1)*1</f>
        <v>1.7</v>
      </c>
    </row>
    <row r="252">
      <c r="A252" s="5">
        <v>251.0</v>
      </c>
      <c r="B252" s="5" t="str">
        <f>PasteHashtag!B252</f>
        <v/>
      </c>
      <c r="C252" s="305" t="str">
        <f>PasteHashtag!C252</f>
        <v>Brice Sensabaugh</v>
      </c>
      <c r="D252" s="5" t="str">
        <f>PasteHashtag!D252</f>
        <v>SF,PF</v>
      </c>
      <c r="E252" s="5" t="str">
        <f>PasteHashtag!E252</f>
        <v>UTA</v>
      </c>
      <c r="F252" s="5">
        <f>PasteHashtag!F252</f>
        <v>60</v>
      </c>
      <c r="G252" s="5">
        <f>PasteHashtag!G252</f>
        <v>23.4</v>
      </c>
      <c r="H252" s="5">
        <f>MID(PasteHashtag!H252,1+FIND("(",PasteHashtag!H252),FIND("/",PasteHashtag!H252)-FIND("(",PasteHashtag!H252)-1)*1</f>
        <v>3.4</v>
      </c>
      <c r="I252" s="5">
        <f>LEFT(PasteHashtag!H252,FIND("(",PasteHashtag!H252)-1)*1</f>
        <v>0.39</v>
      </c>
      <c r="J252" s="5">
        <f>MID(PasteHashtag!I252,1+FIND("(",PasteHashtag!I252),FIND("/",PasteHashtag!I252)-FIND("(",PasteHashtag!I252)-1)*1</f>
        <v>1.5</v>
      </c>
      <c r="K252" s="5">
        <f>LEFT(PasteHashtag!I252,FIND("(",PasteHashtag!I252)-1)*1</f>
        <v>0.904</v>
      </c>
      <c r="L252" s="5">
        <f>PasteHashtag!J252</f>
        <v>1.4</v>
      </c>
      <c r="M252" s="5">
        <f>PasteHashtag!K252</f>
        <v>9.8</v>
      </c>
      <c r="N252" s="5">
        <f>PasteHashtag!L252</f>
        <v>4.1</v>
      </c>
      <c r="O252" s="5">
        <f>PasteHashtag!M252</f>
        <v>2.2</v>
      </c>
      <c r="P252" s="5">
        <f>PasteHashtag!N252</f>
        <v>0.5</v>
      </c>
      <c r="Q252" s="5">
        <f>PasteHashtag!O252</f>
        <v>0.2</v>
      </c>
      <c r="R252" s="5">
        <f>PasteHashtag!P252</f>
        <v>1.9</v>
      </c>
      <c r="S252" s="5">
        <f>Mid(PasteHashtag!H252,FIND("/",PasteHashtag!H252)+1,LEN(PasteHashtag!H252)-FIND("/",PasteHashtag!H252)-1)*1</f>
        <v>8.8</v>
      </c>
      <c r="T252" s="306">
        <f>Mid(PasteHashtag!I252,FIND("/",PasteHashtag!I252)+1,LEN(PasteHashtag!I252)-FIND("/",PasteHashtag!I252)-1)*1</f>
        <v>1.7</v>
      </c>
    </row>
    <row r="253">
      <c r="A253" s="5">
        <v>252.0</v>
      </c>
      <c r="B253" s="5">
        <f>PasteHashtag!B253</f>
        <v>143.9</v>
      </c>
      <c r="C253" s="305" t="str">
        <f>PasteHashtag!C253</f>
        <v>Precious Achiuwa</v>
      </c>
      <c r="D253" s="5" t="str">
        <f>PasteHashtag!D253</f>
        <v>PF,C</v>
      </c>
      <c r="E253" s="5" t="str">
        <f>PasteHashtag!E253</f>
        <v>NY</v>
      </c>
      <c r="F253" s="5">
        <f>PasteHashtag!F253</f>
        <v>64</v>
      </c>
      <c r="G253" s="5">
        <f>PasteHashtag!G253</f>
        <v>20.4</v>
      </c>
      <c r="H253" s="5">
        <f>MID(PasteHashtag!H253,1+FIND("(",PasteHashtag!H253),FIND("/",PasteHashtag!H253)-FIND("(",PasteHashtag!H253)-1)*1</f>
        <v>3.1</v>
      </c>
      <c r="I253" s="5">
        <f>LEFT(PasteHashtag!H253,FIND("(",PasteHashtag!H253)-1)*1</f>
        <v>0.494</v>
      </c>
      <c r="J253" s="5">
        <f>MID(PasteHashtag!I253,1+FIND("(",PasteHashtag!I253),FIND("/",PasteHashtag!I253)-FIND("(",PasteHashtag!I253)-1)*1</f>
        <v>1.1</v>
      </c>
      <c r="K253" s="5">
        <f>LEFT(PasteHashtag!I253,FIND("(",PasteHashtag!I253)-1)*1</f>
        <v>0.661</v>
      </c>
      <c r="L253" s="5">
        <f>PasteHashtag!J253</f>
        <v>0.4</v>
      </c>
      <c r="M253" s="5">
        <f>PasteHashtag!K253</f>
        <v>7.7</v>
      </c>
      <c r="N253" s="5">
        <f>PasteHashtag!L253</f>
        <v>5.8</v>
      </c>
      <c r="O253" s="5">
        <f>PasteHashtag!M253</f>
        <v>1.1</v>
      </c>
      <c r="P253" s="5">
        <f>PasteHashtag!N253</f>
        <v>0.5</v>
      </c>
      <c r="Q253" s="5">
        <f>PasteHashtag!O253</f>
        <v>0.7</v>
      </c>
      <c r="R253" s="5">
        <f>PasteHashtag!P253</f>
        <v>1</v>
      </c>
      <c r="S253" s="5">
        <f>Mid(PasteHashtag!H253,FIND("/",PasteHashtag!H253)+1,LEN(PasteHashtag!H253)-FIND("/",PasteHashtag!H253)-1)*1</f>
        <v>6.2</v>
      </c>
      <c r="T253" s="306">
        <f>Mid(PasteHashtag!I253,FIND("/",PasteHashtag!I253)+1,LEN(PasteHashtag!I253)-FIND("/",PasteHashtag!I253)-1)*1</f>
        <v>1.7</v>
      </c>
    </row>
    <row r="254">
      <c r="A254" s="5">
        <v>253.0</v>
      </c>
      <c r="B254" s="5" t="str">
        <f>PasteHashtag!B254</f>
        <v/>
      </c>
      <c r="C254" s="305" t="str">
        <f>PasteHashtag!C254</f>
        <v>Marcus Sasser</v>
      </c>
      <c r="D254" s="5" t="str">
        <f>PasteHashtag!D254</f>
        <v>PG</v>
      </c>
      <c r="E254" s="5" t="str">
        <f>PasteHashtag!E254</f>
        <v>DET</v>
      </c>
      <c r="F254" s="5">
        <f>PasteHashtag!F254</f>
        <v>68</v>
      </c>
      <c r="G254" s="5">
        <f>PasteHashtag!G254</f>
        <v>19</v>
      </c>
      <c r="H254" s="5">
        <f>MID(PasteHashtag!H254,1+FIND("(",PasteHashtag!H254),FIND("/",PasteHashtag!H254)-FIND("(",PasteHashtag!H254)-1)*1</f>
        <v>3.1</v>
      </c>
      <c r="I254" s="5">
        <f>LEFT(PasteHashtag!H254,FIND("(",PasteHashtag!H254)-1)*1</f>
        <v>0.428</v>
      </c>
      <c r="J254" s="5">
        <f>MID(PasteHashtag!I254,1+FIND("(",PasteHashtag!I254),FIND("/",PasteHashtag!I254)-FIND("(",PasteHashtag!I254)-1)*1</f>
        <v>0.8</v>
      </c>
      <c r="K254" s="5">
        <f>LEFT(PasteHashtag!I254,FIND("(",PasteHashtag!I254)-1)*1</f>
        <v>0.872</v>
      </c>
      <c r="L254" s="5">
        <f>PasteHashtag!J254</f>
        <v>1.3</v>
      </c>
      <c r="M254" s="5">
        <f>PasteHashtag!K254</f>
        <v>8.3</v>
      </c>
      <c r="N254" s="5">
        <f>PasteHashtag!L254</f>
        <v>1.8</v>
      </c>
      <c r="O254" s="5">
        <f>PasteHashtag!M254</f>
        <v>3.4</v>
      </c>
      <c r="P254" s="5">
        <f>PasteHashtag!N254</f>
        <v>0.6</v>
      </c>
      <c r="Q254" s="5">
        <f>PasteHashtag!O254</f>
        <v>0.2</v>
      </c>
      <c r="R254" s="5">
        <f>PasteHashtag!P254</f>
        <v>1.3</v>
      </c>
      <c r="S254" s="5">
        <f>Mid(PasteHashtag!H254,FIND("/",PasteHashtag!H254)+1,LEN(PasteHashtag!H254)-FIND("/",PasteHashtag!H254)-1)*1</f>
        <v>7.3</v>
      </c>
      <c r="T254" s="306">
        <f>Mid(PasteHashtag!I254,FIND("/",PasteHashtag!I254)+1,LEN(PasteHashtag!I254)-FIND("/",PasteHashtag!I254)-1)*1</f>
        <v>0.9</v>
      </c>
    </row>
    <row r="255">
      <c r="A255" s="5">
        <v>254.0</v>
      </c>
      <c r="B255" s="5" t="str">
        <f>PasteHashtag!B255</f>
        <v/>
      </c>
      <c r="C255" s="305" t="str">
        <f>PasteHashtag!C255</f>
        <v>Trey Lyles</v>
      </c>
      <c r="D255" s="5" t="str">
        <f>PasteHashtag!D255</f>
        <v>PF,C</v>
      </c>
      <c r="E255" s="5" t="str">
        <f>PasteHashtag!E255</f>
        <v>SAC</v>
      </c>
      <c r="F255" s="5">
        <f>PasteHashtag!F255</f>
        <v>62</v>
      </c>
      <c r="G255" s="5">
        <f>PasteHashtag!G255</f>
        <v>19.4</v>
      </c>
      <c r="H255" s="5">
        <f>MID(PasteHashtag!H255,1+FIND("(",PasteHashtag!H255),FIND("/",PasteHashtag!H255)-FIND("(",PasteHashtag!H255)-1)*1</f>
        <v>2.7</v>
      </c>
      <c r="I255" s="5">
        <f>LEFT(PasteHashtag!H255,FIND("(",PasteHashtag!H255)-1)*1</f>
        <v>0.453</v>
      </c>
      <c r="J255" s="5">
        <f>MID(PasteHashtag!I255,1+FIND("(",PasteHashtag!I255),FIND("/",PasteHashtag!I255)-FIND("(",PasteHashtag!I255)-1)*1</f>
        <v>1.2</v>
      </c>
      <c r="K255" s="5">
        <f>LEFT(PasteHashtag!I255,FIND("(",PasteHashtag!I255)-1)*1</f>
        <v>0.772</v>
      </c>
      <c r="L255" s="5">
        <f>PasteHashtag!J255</f>
        <v>1.4</v>
      </c>
      <c r="M255" s="5">
        <f>PasteHashtag!K255</f>
        <v>8</v>
      </c>
      <c r="N255" s="5">
        <f>PasteHashtag!L255</f>
        <v>4.5</v>
      </c>
      <c r="O255" s="5">
        <f>PasteHashtag!M255</f>
        <v>1.1</v>
      </c>
      <c r="P255" s="5">
        <f>PasteHashtag!N255</f>
        <v>0.4</v>
      </c>
      <c r="Q255" s="5">
        <f>PasteHashtag!O255</f>
        <v>0.4</v>
      </c>
      <c r="R255" s="5">
        <f>PasteHashtag!P255</f>
        <v>0.8</v>
      </c>
      <c r="S255" s="5">
        <f>Mid(PasteHashtag!H255,FIND("/",PasteHashtag!H255)+1,LEN(PasteHashtag!H255)-FIND("/",PasteHashtag!H255)-1)*1</f>
        <v>5.9</v>
      </c>
      <c r="T255" s="306">
        <f>Mid(PasteHashtag!I255,FIND("/",PasteHashtag!I255)+1,LEN(PasteHashtag!I255)-FIND("/",PasteHashtag!I255)-1)*1</f>
        <v>1.6</v>
      </c>
    </row>
    <row r="256">
      <c r="A256" s="5">
        <v>255.0</v>
      </c>
      <c r="B256" s="5">
        <f>PasteHashtag!B256</f>
        <v>145.1</v>
      </c>
      <c r="C256" s="305" t="str">
        <f>PasteHashtag!C256</f>
        <v>Isaiah Stewart</v>
      </c>
      <c r="D256" s="5" t="str">
        <f>PasteHashtag!D256</f>
        <v>PF,C</v>
      </c>
      <c r="E256" s="5" t="str">
        <f>PasteHashtag!E256</f>
        <v>DET</v>
      </c>
      <c r="F256" s="5">
        <f>PasteHashtag!F256</f>
        <v>54</v>
      </c>
      <c r="G256" s="5">
        <f>PasteHashtag!G256</f>
        <v>22</v>
      </c>
      <c r="H256" s="5">
        <f>MID(PasteHashtag!H256,1+FIND("(",PasteHashtag!H256),FIND("/",PasteHashtag!H256)-FIND("(",PasteHashtag!H256)-1)*1</f>
        <v>3</v>
      </c>
      <c r="I256" s="5">
        <f>LEFT(PasteHashtag!H256,FIND("(",PasteHashtag!H256)-1)*1</f>
        <v>0.462</v>
      </c>
      <c r="J256" s="5">
        <f>MID(PasteHashtag!I256,1+FIND("(",PasteHashtag!I256),FIND("/",PasteHashtag!I256)-FIND("(",PasteHashtag!I256)-1)*1</f>
        <v>1.4</v>
      </c>
      <c r="K256" s="5">
        <f>LEFT(PasteHashtag!I256,FIND("(",PasteHashtag!I256)-1)*1</f>
        <v>0.743</v>
      </c>
      <c r="L256" s="5">
        <f>PasteHashtag!J256</f>
        <v>1.1</v>
      </c>
      <c r="M256" s="5">
        <f>PasteHashtag!K256</f>
        <v>8.4</v>
      </c>
      <c r="N256" s="5">
        <f>PasteHashtag!L256</f>
        <v>5.6</v>
      </c>
      <c r="O256" s="5">
        <f>PasteHashtag!M256</f>
        <v>1.1</v>
      </c>
      <c r="P256" s="5">
        <f>PasteHashtag!N256</f>
        <v>0.3</v>
      </c>
      <c r="Q256" s="5">
        <f>PasteHashtag!O256</f>
        <v>0.6</v>
      </c>
      <c r="R256" s="5">
        <f>PasteHashtag!P256</f>
        <v>1.1</v>
      </c>
      <c r="S256" s="5">
        <f>Mid(PasteHashtag!H256,FIND("/",PasteHashtag!H256)+1,LEN(PasteHashtag!H256)-FIND("/",PasteHashtag!H256)-1)*1</f>
        <v>6.5</v>
      </c>
      <c r="T256" s="306">
        <f>Mid(PasteHashtag!I256,FIND("/",PasteHashtag!I256)+1,LEN(PasteHashtag!I256)-FIND("/",PasteHashtag!I256)-1)*1</f>
        <v>1.8</v>
      </c>
    </row>
    <row r="257">
      <c r="A257" s="5">
        <v>256.0</v>
      </c>
      <c r="B257" s="5" t="str">
        <f>PasteHashtag!B257</f>
        <v/>
      </c>
      <c r="C257" s="305" t="str">
        <f>PasteHashtag!C257</f>
        <v>Georges Niang</v>
      </c>
      <c r="D257" s="5" t="str">
        <f>PasteHashtag!D257</f>
        <v>SF,PF</v>
      </c>
      <c r="E257" s="5" t="str">
        <f>PasteHashtag!E257</f>
        <v>CLE</v>
      </c>
      <c r="F257" s="5">
        <f>PasteHashtag!F257</f>
        <v>78</v>
      </c>
      <c r="G257" s="5">
        <f>PasteHashtag!G257</f>
        <v>21.4</v>
      </c>
      <c r="H257" s="5">
        <f>MID(PasteHashtag!H257,1+FIND("(",PasteHashtag!H257),FIND("/",PasteHashtag!H257)-FIND("(",PasteHashtag!H257)-1)*1</f>
        <v>3.3</v>
      </c>
      <c r="I257" s="5">
        <f>LEFT(PasteHashtag!H257,FIND("(",PasteHashtag!H257)-1)*1</f>
        <v>0.446</v>
      </c>
      <c r="J257" s="5">
        <f>MID(PasteHashtag!I257,1+FIND("(",PasteHashtag!I257),FIND("/",PasteHashtag!I257)-FIND("(",PasteHashtag!I257)-1)*1</f>
        <v>0.6</v>
      </c>
      <c r="K257" s="5">
        <f>LEFT(PasteHashtag!I257,FIND("(",PasteHashtag!I257)-1)*1</f>
        <v>0.853</v>
      </c>
      <c r="L257" s="5">
        <f>PasteHashtag!J257</f>
        <v>2</v>
      </c>
      <c r="M257" s="5">
        <f>PasteHashtag!K257</f>
        <v>9.1</v>
      </c>
      <c r="N257" s="5">
        <f>PasteHashtag!L257</f>
        <v>3</v>
      </c>
      <c r="O257" s="5">
        <f>PasteHashtag!M257</f>
        <v>1.1</v>
      </c>
      <c r="P257" s="5">
        <f>PasteHashtag!N257</f>
        <v>0.4</v>
      </c>
      <c r="Q257" s="5">
        <f>PasteHashtag!O257</f>
        <v>0.2</v>
      </c>
      <c r="R257" s="5">
        <f>PasteHashtag!P257</f>
        <v>0.8</v>
      </c>
      <c r="S257" s="5">
        <f>Mid(PasteHashtag!H257,FIND("/",PasteHashtag!H257)+1,LEN(PasteHashtag!H257)-FIND("/",PasteHashtag!H257)-1)*1</f>
        <v>7.3</v>
      </c>
      <c r="T257" s="306">
        <f>Mid(PasteHashtag!I257,FIND("/",PasteHashtag!I257)+1,LEN(PasteHashtag!I257)-FIND("/",PasteHashtag!I257)-1)*1</f>
        <v>0.7</v>
      </c>
    </row>
    <row r="258">
      <c r="A258" s="5">
        <v>257.0</v>
      </c>
      <c r="B258" s="5" t="str">
        <f>PasteHashtag!B258</f>
        <v/>
      </c>
      <c r="C258" s="305" t="str">
        <f>PasteHashtag!C258</f>
        <v>Jose Alvarado</v>
      </c>
      <c r="D258" s="5" t="str">
        <f>PasteHashtag!D258</f>
        <v>PG</v>
      </c>
      <c r="E258" s="5" t="str">
        <f>PasteHashtag!E258</f>
        <v>NO</v>
      </c>
      <c r="F258" s="5">
        <f>PasteHashtag!F258</f>
        <v>60</v>
      </c>
      <c r="G258" s="5">
        <f>PasteHashtag!G258</f>
        <v>18</v>
      </c>
      <c r="H258" s="5">
        <f>MID(PasteHashtag!H258,1+FIND("(",PasteHashtag!H258),FIND("/",PasteHashtag!H258)-FIND("(",PasteHashtag!H258)-1)*1</f>
        <v>2.7</v>
      </c>
      <c r="I258" s="5">
        <f>LEFT(PasteHashtag!H258,FIND("(",PasteHashtag!H258)-1)*1</f>
        <v>0.411</v>
      </c>
      <c r="J258" s="5">
        <f>MID(PasteHashtag!I258,1+FIND("(",PasteHashtag!I258),FIND("/",PasteHashtag!I258)-FIND("(",PasteHashtag!I258)-1)*1</f>
        <v>0.8</v>
      </c>
      <c r="K258" s="5">
        <f>LEFT(PasteHashtag!I258,FIND("(",PasteHashtag!I258)-1)*1</f>
        <v>0.757</v>
      </c>
      <c r="L258" s="5">
        <f>PasteHashtag!J258</f>
        <v>1.3</v>
      </c>
      <c r="M258" s="5">
        <f>PasteHashtag!K258</f>
        <v>7.4</v>
      </c>
      <c r="N258" s="5">
        <f>PasteHashtag!L258</f>
        <v>2.1</v>
      </c>
      <c r="O258" s="5">
        <f>PasteHashtag!M258</f>
        <v>2.4</v>
      </c>
      <c r="P258" s="5">
        <f>PasteHashtag!N258</f>
        <v>1</v>
      </c>
      <c r="Q258" s="5">
        <f>PasteHashtag!O258</f>
        <v>0.2</v>
      </c>
      <c r="R258" s="5">
        <f>PasteHashtag!P258</f>
        <v>0.9</v>
      </c>
      <c r="S258" s="5">
        <f>Mid(PasteHashtag!H258,FIND("/",PasteHashtag!H258)+1,LEN(PasteHashtag!H258)-FIND("/",PasteHashtag!H258)-1)*1</f>
        <v>6.5</v>
      </c>
      <c r="T258" s="306">
        <f>Mid(PasteHashtag!I258,FIND("/",PasteHashtag!I258)+1,LEN(PasteHashtag!I258)-FIND("/",PasteHashtag!I258)-1)*1</f>
        <v>1</v>
      </c>
    </row>
    <row r="259">
      <c r="A259" s="5">
        <v>258.0</v>
      </c>
      <c r="B259" s="5" t="str">
        <f>PasteHashtag!B259</f>
        <v/>
      </c>
      <c r="C259" s="305" t="str">
        <f>PasteHashtag!C259</f>
        <v>Saddiq Bey</v>
      </c>
      <c r="D259" s="5" t="str">
        <f>PasteHashtag!D259</f>
        <v>SF,PF</v>
      </c>
      <c r="E259" s="5" t="str">
        <f>PasteHashtag!E259</f>
        <v>WAS</v>
      </c>
      <c r="F259" s="5">
        <f>PasteHashtag!F259</f>
        <v>10</v>
      </c>
      <c r="G259" s="5">
        <f>PasteHashtag!G259</f>
        <v>20.6</v>
      </c>
      <c r="H259" s="5">
        <f>MID(PasteHashtag!H259,1+FIND("(",PasteHashtag!H259),FIND("/",PasteHashtag!H259)-FIND("(",PasteHashtag!H259)-1)*1</f>
        <v>3.1</v>
      </c>
      <c r="I259" s="5">
        <f>LEFT(PasteHashtag!H259,FIND("(",PasteHashtag!H259)-1)*1</f>
        <v>0.419</v>
      </c>
      <c r="J259" s="5">
        <f>MID(PasteHashtag!I259,1+FIND("(",PasteHashtag!I259),FIND("/",PasteHashtag!I259)-FIND("(",PasteHashtag!I259)-1)*1</f>
        <v>1.8</v>
      </c>
      <c r="K259" s="5">
        <f>LEFT(PasteHashtag!I259,FIND("(",PasteHashtag!I259)-1)*1</f>
        <v>0.854</v>
      </c>
      <c r="L259" s="5">
        <f>PasteHashtag!J259</f>
        <v>1.3</v>
      </c>
      <c r="M259" s="5">
        <f>PasteHashtag!K259</f>
        <v>9.3</v>
      </c>
      <c r="N259" s="5">
        <f>PasteHashtag!L259</f>
        <v>3.7</v>
      </c>
      <c r="O259" s="5">
        <f>PasteHashtag!M259</f>
        <v>1</v>
      </c>
      <c r="P259" s="5">
        <f>PasteHashtag!N259</f>
        <v>0.6</v>
      </c>
      <c r="Q259" s="5">
        <f>PasteHashtag!O259</f>
        <v>0.1</v>
      </c>
      <c r="R259" s="5">
        <f>PasteHashtag!P259</f>
        <v>0.6</v>
      </c>
      <c r="S259" s="5">
        <f>Mid(PasteHashtag!H259,FIND("/",PasteHashtag!H259)+1,LEN(PasteHashtag!H259)-FIND("/",PasteHashtag!H259)-1)*1</f>
        <v>7.4</v>
      </c>
      <c r="T259" s="306">
        <f>Mid(PasteHashtag!I259,FIND("/",PasteHashtag!I259)+1,LEN(PasteHashtag!I259)-FIND("/",PasteHashtag!I259)-1)*1</f>
        <v>2.1</v>
      </c>
    </row>
    <row r="260">
      <c r="A260" s="5">
        <v>259.0</v>
      </c>
      <c r="B260" s="5" t="str">
        <f>PasteHashtag!B260</f>
        <v/>
      </c>
      <c r="C260" s="305" t="str">
        <f>PasteHashtag!C260</f>
        <v>Reggie Jackson</v>
      </c>
      <c r="D260" s="5" t="str">
        <f>PasteHashtag!D260</f>
        <v>PG,SG</v>
      </c>
      <c r="E260" s="5" t="str">
        <f>PasteHashtag!E260</f>
        <v>PHI</v>
      </c>
      <c r="F260" s="5">
        <f>PasteHashtag!F260</f>
        <v>71</v>
      </c>
      <c r="G260" s="5">
        <f>PasteHashtag!G260</f>
        <v>22.4</v>
      </c>
      <c r="H260" s="5">
        <f>MID(PasteHashtag!H260,1+FIND("(",PasteHashtag!H260),FIND("/",PasteHashtag!H260)-FIND("(",PasteHashtag!H260)-1)*1</f>
        <v>3.8</v>
      </c>
      <c r="I260" s="5">
        <f>LEFT(PasteHashtag!H260,FIND("(",PasteHashtag!H260)-1)*1</f>
        <v>0.422</v>
      </c>
      <c r="J260" s="5">
        <f>MID(PasteHashtag!I260,1+FIND("(",PasteHashtag!I260),FIND("/",PasteHashtag!I260)-FIND("(",PasteHashtag!I260)-1)*1</f>
        <v>1</v>
      </c>
      <c r="K260" s="5">
        <f>LEFT(PasteHashtag!I260,FIND("(",PasteHashtag!I260)-1)*1</f>
        <v>0.852</v>
      </c>
      <c r="L260" s="5">
        <f>PasteHashtag!J260</f>
        <v>1.3</v>
      </c>
      <c r="M260" s="5">
        <f>PasteHashtag!K260</f>
        <v>9.9</v>
      </c>
      <c r="N260" s="5">
        <f>PasteHashtag!L260</f>
        <v>2</v>
      </c>
      <c r="O260" s="5">
        <f>PasteHashtag!M260</f>
        <v>3.5</v>
      </c>
      <c r="P260" s="5">
        <f>PasteHashtag!N260</f>
        <v>0.6</v>
      </c>
      <c r="Q260" s="5">
        <f>PasteHashtag!O260</f>
        <v>0.1</v>
      </c>
      <c r="R260" s="5">
        <f>PasteHashtag!P260</f>
        <v>1.4</v>
      </c>
      <c r="S260" s="5">
        <f>Mid(PasteHashtag!H260,FIND("/",PasteHashtag!H260)+1,LEN(PasteHashtag!H260)-FIND("/",PasteHashtag!H260)-1)*1</f>
        <v>9.1</v>
      </c>
      <c r="T260" s="306">
        <f>Mid(PasteHashtag!I260,FIND("/",PasteHashtag!I260)+1,LEN(PasteHashtag!I260)-FIND("/",PasteHashtag!I260)-1)*1</f>
        <v>1.2</v>
      </c>
    </row>
    <row r="261">
      <c r="A261" s="5">
        <v>260.0</v>
      </c>
      <c r="B261" s="5" t="str">
        <f>PasteHashtag!B261</f>
        <v/>
      </c>
      <c r="C261" s="305" t="str">
        <f>PasteHashtag!C261</f>
        <v>Goga Bitadze</v>
      </c>
      <c r="D261" s="5" t="str">
        <f>PasteHashtag!D261</f>
        <v>C</v>
      </c>
      <c r="E261" s="5" t="str">
        <f>PasteHashtag!E261</f>
        <v>ORL</v>
      </c>
      <c r="F261" s="5">
        <f>PasteHashtag!F261</f>
        <v>60</v>
      </c>
      <c r="G261" s="5">
        <f>PasteHashtag!G261</f>
        <v>14.4</v>
      </c>
      <c r="H261" s="5">
        <f>MID(PasteHashtag!H261,1+FIND("(",PasteHashtag!H261),FIND("/",PasteHashtag!H261)-FIND("(",PasteHashtag!H261)-1)*1</f>
        <v>2</v>
      </c>
      <c r="I261" s="5">
        <f>LEFT(PasteHashtag!H261,FIND("(",PasteHashtag!H261)-1)*1</f>
        <v>0.583</v>
      </c>
      <c r="J261" s="5">
        <f>MID(PasteHashtag!I261,1+FIND("(",PasteHashtag!I261),FIND("/",PasteHashtag!I261)-FIND("(",PasteHashtag!I261)-1)*1</f>
        <v>0.8</v>
      </c>
      <c r="K261" s="5">
        <f>LEFT(PasteHashtag!I261,FIND("(",PasteHashtag!I261)-1)*1</f>
        <v>0.617</v>
      </c>
      <c r="L261" s="5">
        <f>PasteHashtag!J261</f>
        <v>0.1</v>
      </c>
      <c r="M261" s="5">
        <f>PasteHashtag!K261</f>
        <v>4.9</v>
      </c>
      <c r="N261" s="5">
        <f>PasteHashtag!L261</f>
        <v>4.4</v>
      </c>
      <c r="O261" s="5">
        <f>PasteHashtag!M261</f>
        <v>1.2</v>
      </c>
      <c r="P261" s="5">
        <f>PasteHashtag!N261</f>
        <v>0.5</v>
      </c>
      <c r="Q261" s="5">
        <f>PasteHashtag!O261</f>
        <v>1</v>
      </c>
      <c r="R261" s="5">
        <f>PasteHashtag!P261</f>
        <v>0.7</v>
      </c>
      <c r="S261" s="5">
        <f>Mid(PasteHashtag!H261,FIND("/",PasteHashtag!H261)+1,LEN(PasteHashtag!H261)-FIND("/",PasteHashtag!H261)-1)*1</f>
        <v>3.4</v>
      </c>
      <c r="T261" s="306">
        <f>Mid(PasteHashtag!I261,FIND("/",PasteHashtag!I261)+1,LEN(PasteHashtag!I261)-FIND("/",PasteHashtag!I261)-1)*1</f>
        <v>1.3</v>
      </c>
    </row>
    <row r="262">
      <c r="A262" s="5">
        <v>261.0</v>
      </c>
      <c r="B262" s="5">
        <f>PasteHashtag!B262</f>
        <v>141.7</v>
      </c>
      <c r="C262" s="305" t="str">
        <f>PasteHashtag!C262</f>
        <v>Stephon Castle</v>
      </c>
      <c r="D262" s="5" t="str">
        <f>PasteHashtag!D262</f>
        <v>PG</v>
      </c>
      <c r="E262" s="5" t="str">
        <f>PasteHashtag!E262</f>
        <v>SA</v>
      </c>
      <c r="F262" s="5">
        <f>PasteHashtag!F262</f>
        <v>68</v>
      </c>
      <c r="G262" s="5">
        <f>PasteHashtag!G262</f>
        <v>24</v>
      </c>
      <c r="H262" s="5">
        <f>MID(PasteHashtag!H262,1+FIND("(",PasteHashtag!H262),FIND("/",PasteHashtag!H262)-FIND("(",PasteHashtag!H262)-1)*1</f>
        <v>2.7</v>
      </c>
      <c r="I262" s="5">
        <f>LEFT(PasteHashtag!H262,FIND("(",PasteHashtag!H262)-1)*1</f>
        <v>0.465</v>
      </c>
      <c r="J262" s="5">
        <f>MID(PasteHashtag!I262,1+FIND("(",PasteHashtag!I262),FIND("/",PasteHashtag!I262)-FIND("(",PasteHashtag!I262)-1)*1</f>
        <v>1.6</v>
      </c>
      <c r="K262" s="5">
        <f>LEFT(PasteHashtag!I262,FIND("(",PasteHashtag!I262)-1)*1</f>
        <v>0.755</v>
      </c>
      <c r="L262" s="5">
        <f>PasteHashtag!J262</f>
        <v>0.4</v>
      </c>
      <c r="M262" s="5">
        <f>PasteHashtag!K262</f>
        <v>7.5</v>
      </c>
      <c r="N262" s="5">
        <f>PasteHashtag!L262</f>
        <v>3.1</v>
      </c>
      <c r="O262" s="5">
        <f>PasteHashtag!M262</f>
        <v>2.6</v>
      </c>
      <c r="P262" s="5">
        <f>PasteHashtag!N262</f>
        <v>0.8</v>
      </c>
      <c r="Q262" s="5">
        <f>PasteHashtag!O262</f>
        <v>0.4</v>
      </c>
      <c r="R262" s="5">
        <f>PasteHashtag!P262</f>
        <v>1</v>
      </c>
      <c r="S262" s="5">
        <f>Mid(PasteHashtag!H262,FIND("/",PasteHashtag!H262)+1,LEN(PasteHashtag!H262)-FIND("/",PasteHashtag!H262)-1)*1</f>
        <v>5.8</v>
      </c>
      <c r="T262" s="306">
        <f>Mid(PasteHashtag!I262,FIND("/",PasteHashtag!I262)+1,LEN(PasteHashtag!I262)-FIND("/",PasteHashtag!I262)-1)*1</f>
        <v>2.2</v>
      </c>
    </row>
    <row r="263">
      <c r="A263" s="5">
        <v>262.0</v>
      </c>
      <c r="B263" s="5" t="str">
        <f>PasteHashtag!B263</f>
        <v/>
      </c>
      <c r="C263" s="305" t="str">
        <f>PasteHashtag!C263</f>
        <v>Gary Payton II</v>
      </c>
      <c r="D263" s="5" t="str">
        <f>PasteHashtag!D263</f>
        <v>SG,SF</v>
      </c>
      <c r="E263" s="5" t="str">
        <f>PasteHashtag!E263</f>
        <v>GS</v>
      </c>
      <c r="F263" s="5">
        <f>PasteHashtag!F263</f>
        <v>42</v>
      </c>
      <c r="G263" s="5">
        <f>PasteHashtag!G263</f>
        <v>14.8</v>
      </c>
      <c r="H263" s="5">
        <f>MID(PasteHashtag!H263,1+FIND("(",PasteHashtag!H263),FIND("/",PasteHashtag!H263)-FIND("(",PasteHashtag!H263)-1)*1</f>
        <v>2.1</v>
      </c>
      <c r="I263" s="5">
        <f>LEFT(PasteHashtag!H263,FIND("(",PasteHashtag!H263)-1)*1</f>
        <v>0.572</v>
      </c>
      <c r="J263" s="5">
        <f>MID(PasteHashtag!I263,1+FIND("(",PasteHashtag!I263),FIND("/",PasteHashtag!I263)-FIND("(",PasteHashtag!I263)-1)*1</f>
        <v>0.3</v>
      </c>
      <c r="K263" s="5">
        <f>LEFT(PasteHashtag!I263,FIND("(",PasteHashtag!I263)-1)*1</f>
        <v>0.674</v>
      </c>
      <c r="L263" s="5">
        <f>PasteHashtag!J263</f>
        <v>0.5</v>
      </c>
      <c r="M263" s="5">
        <f>PasteHashtag!K263</f>
        <v>4.9</v>
      </c>
      <c r="N263" s="5">
        <f>PasteHashtag!L263</f>
        <v>2.6</v>
      </c>
      <c r="O263" s="5">
        <f>PasteHashtag!M263</f>
        <v>1.1</v>
      </c>
      <c r="P263" s="5">
        <f>PasteHashtag!N263</f>
        <v>0.9</v>
      </c>
      <c r="Q263" s="5">
        <f>PasteHashtag!O263</f>
        <v>0.3</v>
      </c>
      <c r="R263" s="5">
        <f>PasteHashtag!P263</f>
        <v>0.6</v>
      </c>
      <c r="S263" s="5">
        <f>Mid(PasteHashtag!H263,FIND("/",PasteHashtag!H263)+1,LEN(PasteHashtag!H263)-FIND("/",PasteHashtag!H263)-1)*1</f>
        <v>3.6</v>
      </c>
      <c r="T263" s="306">
        <f>Mid(PasteHashtag!I263,FIND("/",PasteHashtag!I263)+1,LEN(PasteHashtag!I263)-FIND("/",PasteHashtag!I263)-1)*1</f>
        <v>0.4</v>
      </c>
    </row>
    <row r="264">
      <c r="A264" s="5">
        <v>263.0</v>
      </c>
      <c r="B264" s="5">
        <f>PasteHashtag!B264</f>
        <v>145.3</v>
      </c>
      <c r="C264" s="305" t="str">
        <f>PasteHashtag!C264</f>
        <v>Matas Buzelis</v>
      </c>
      <c r="D264" s="5" t="str">
        <f>PasteHashtag!D264</f>
        <v>SF</v>
      </c>
      <c r="E264" s="5" t="str">
        <f>PasteHashtag!E264</f>
        <v>CHI</v>
      </c>
      <c r="F264" s="5">
        <f>PasteHashtag!F264</f>
        <v>60</v>
      </c>
      <c r="G264" s="5">
        <f>PasteHashtag!G264</f>
        <v>23.8</v>
      </c>
      <c r="H264" s="5">
        <f>MID(PasteHashtag!H264,1+FIND("(",PasteHashtag!H264),FIND("/",PasteHashtag!H264)-FIND("(",PasteHashtag!H264)-1)*1</f>
        <v>3.1</v>
      </c>
      <c r="I264" s="5">
        <f>LEFT(PasteHashtag!H264,FIND("(",PasteHashtag!H264)-1)*1</f>
        <v>0.447</v>
      </c>
      <c r="J264" s="5">
        <f>MID(PasteHashtag!I264,1+FIND("(",PasteHashtag!I264),FIND("/",PasteHashtag!I264)-FIND("(",PasteHashtag!I264)-1)*1</f>
        <v>0.8</v>
      </c>
      <c r="K264" s="5">
        <f>LEFT(PasteHashtag!I264,FIND("(",PasteHashtag!I264)-1)*1</f>
        <v>0.678</v>
      </c>
      <c r="L264" s="5">
        <f>PasteHashtag!J264</f>
        <v>0.5</v>
      </c>
      <c r="M264" s="5">
        <f>PasteHashtag!K264</f>
        <v>7.4</v>
      </c>
      <c r="N264" s="5">
        <f>PasteHashtag!L264</f>
        <v>3.9</v>
      </c>
      <c r="O264" s="5">
        <f>PasteHashtag!M264</f>
        <v>1.1</v>
      </c>
      <c r="P264" s="5">
        <f>PasteHashtag!N264</f>
        <v>0.5</v>
      </c>
      <c r="Q264" s="5">
        <f>PasteHashtag!O264</f>
        <v>1.2</v>
      </c>
      <c r="R264" s="5">
        <f>PasteHashtag!P264</f>
        <v>1.3</v>
      </c>
      <c r="S264" s="5">
        <f>Mid(PasteHashtag!H264,FIND("/",PasteHashtag!H264)+1,LEN(PasteHashtag!H264)-FIND("/",PasteHashtag!H264)-1)*1</f>
        <v>6.8</v>
      </c>
      <c r="T264" s="306">
        <f>Mid(PasteHashtag!I264,FIND("/",PasteHashtag!I264)+1,LEN(PasteHashtag!I264)-FIND("/",PasteHashtag!I264)-1)*1</f>
        <v>1.2</v>
      </c>
    </row>
    <row r="265">
      <c r="A265" s="5">
        <v>264.0</v>
      </c>
      <c r="B265" s="5" t="str">
        <f>PasteHashtag!B265</f>
        <v/>
      </c>
      <c r="C265" s="305" t="str">
        <f>PasteHashtag!C265</f>
        <v>Jonathan Mogbo</v>
      </c>
      <c r="D265" s="5" t="str">
        <f>PasteHashtag!D265</f>
        <v>PF</v>
      </c>
      <c r="E265" s="5" t="str">
        <f>PasteHashtag!E265</f>
        <v>TOR</v>
      </c>
      <c r="F265" s="5">
        <f>PasteHashtag!F265</f>
        <v>50</v>
      </c>
      <c r="G265" s="5">
        <f>PasteHashtag!G265</f>
        <v>15.4</v>
      </c>
      <c r="H265" s="5">
        <f>MID(PasteHashtag!H265,1+FIND("(",PasteHashtag!H265),FIND("/",PasteHashtag!H265)-FIND("(",PasteHashtag!H265)-1)*1</f>
        <v>2.4</v>
      </c>
      <c r="I265" s="5">
        <f>LEFT(PasteHashtag!H265,FIND("(",PasteHashtag!H265)-1)*1</f>
        <v>0.635</v>
      </c>
      <c r="J265" s="5">
        <f>MID(PasteHashtag!I265,1+FIND("(",PasteHashtag!I265),FIND("/",PasteHashtag!I265)-FIND("(",PasteHashtag!I265)-1)*1</f>
        <v>0.9</v>
      </c>
      <c r="K265" s="5">
        <f>LEFT(PasteHashtag!I265,FIND("(",PasteHashtag!I265)-1)*1</f>
        <v>0.697</v>
      </c>
      <c r="L265" s="5">
        <f>PasteHashtag!J265</f>
        <v>0</v>
      </c>
      <c r="M265" s="5">
        <f>PasteHashtag!K265</f>
        <v>5.7</v>
      </c>
      <c r="N265" s="5">
        <f>PasteHashtag!L265</f>
        <v>4.1</v>
      </c>
      <c r="O265" s="5">
        <f>PasteHashtag!M265</f>
        <v>1.5</v>
      </c>
      <c r="P265" s="5">
        <f>PasteHashtag!N265</f>
        <v>0.6</v>
      </c>
      <c r="Q265" s="5">
        <f>PasteHashtag!O265</f>
        <v>0.3</v>
      </c>
      <c r="R265" s="5">
        <f>PasteHashtag!P265</f>
        <v>0.7</v>
      </c>
      <c r="S265" s="5">
        <f>Mid(PasteHashtag!H265,FIND("/",PasteHashtag!H265)+1,LEN(PasteHashtag!H265)-FIND("/",PasteHashtag!H265)-1)*1</f>
        <v>3.8</v>
      </c>
      <c r="T265" s="306">
        <f>Mid(PasteHashtag!I265,FIND("/",PasteHashtag!I265)+1,LEN(PasteHashtag!I265)-FIND("/",PasteHashtag!I265)-1)*1</f>
        <v>1.2</v>
      </c>
    </row>
    <row r="266">
      <c r="A266" s="5">
        <v>265.0</v>
      </c>
      <c r="B266" s="5" t="str">
        <f>PasteHashtag!B266</f>
        <v/>
      </c>
      <c r="C266" s="305" t="str">
        <f>PasteHashtag!C266</f>
        <v>Moses Moody</v>
      </c>
      <c r="D266" s="5" t="str">
        <f>PasteHashtag!D266</f>
        <v>SG,SF</v>
      </c>
      <c r="E266" s="5" t="str">
        <f>PasteHashtag!E266</f>
        <v>GS</v>
      </c>
      <c r="F266" s="5">
        <f>PasteHashtag!F266</f>
        <v>68</v>
      </c>
      <c r="G266" s="5">
        <f>PasteHashtag!G266</f>
        <v>19.8</v>
      </c>
      <c r="H266" s="5">
        <f>MID(PasteHashtag!H266,1+FIND("(",PasteHashtag!H266),FIND("/",PasteHashtag!H266)-FIND("(",PasteHashtag!H266)-1)*1</f>
        <v>3.1</v>
      </c>
      <c r="I266" s="5">
        <f>LEFT(PasteHashtag!H266,FIND("(",PasteHashtag!H266)-1)*1</f>
        <v>0.466</v>
      </c>
      <c r="J266" s="5">
        <f>MID(PasteHashtag!I266,1+FIND("(",PasteHashtag!I266),FIND("/",PasteHashtag!I266)-FIND("(",PasteHashtag!I266)-1)*1</f>
        <v>1.1</v>
      </c>
      <c r="K266" s="5">
        <f>LEFT(PasteHashtag!I266,FIND("(",PasteHashtag!I266)-1)*1</f>
        <v>0.757</v>
      </c>
      <c r="L266" s="5">
        <f>PasteHashtag!J266</f>
        <v>1.2</v>
      </c>
      <c r="M266" s="5">
        <f>PasteHashtag!K266</f>
        <v>8.5</v>
      </c>
      <c r="N266" s="5">
        <f>PasteHashtag!L266</f>
        <v>3.1</v>
      </c>
      <c r="O266" s="5">
        <f>PasteHashtag!M266</f>
        <v>1.1</v>
      </c>
      <c r="P266" s="5">
        <f>PasteHashtag!N266</f>
        <v>0.6</v>
      </c>
      <c r="Q266" s="5">
        <f>PasteHashtag!O266</f>
        <v>0.3</v>
      </c>
      <c r="R266" s="5">
        <f>PasteHashtag!P266</f>
        <v>0.8</v>
      </c>
      <c r="S266" s="5">
        <f>Mid(PasteHashtag!H266,FIND("/",PasteHashtag!H266)+1,LEN(PasteHashtag!H266)-FIND("/",PasteHashtag!H266)-1)*1</f>
        <v>6.6</v>
      </c>
      <c r="T266" s="306">
        <f>Mid(PasteHashtag!I266,FIND("/",PasteHashtag!I266)+1,LEN(PasteHashtag!I266)-FIND("/",PasteHashtag!I266)-1)*1</f>
        <v>1.5</v>
      </c>
    </row>
    <row r="267">
      <c r="A267" s="5">
        <v>266.0</v>
      </c>
      <c r="B267" s="5" t="str">
        <f>PasteHashtag!B267</f>
        <v/>
      </c>
      <c r="C267" s="305" t="str">
        <f>PasteHashtag!C267</f>
        <v>Killian Hayes</v>
      </c>
      <c r="D267" s="5" t="str">
        <f>PasteHashtag!D267</f>
        <v>PG,SG</v>
      </c>
      <c r="E267" s="5" t="str">
        <f>PasteHashtag!E267</f>
        <v>BKN</v>
      </c>
      <c r="F267" s="5">
        <f>PasteHashtag!F267</f>
        <v>40</v>
      </c>
      <c r="G267" s="5">
        <f>PasteHashtag!G267</f>
        <v>20.4</v>
      </c>
      <c r="H267" s="5">
        <f>MID(PasteHashtag!H267,1+FIND("(",PasteHashtag!H267),FIND("/",PasteHashtag!H267)-FIND("(",PasteHashtag!H267)-1)*1</f>
        <v>2.8</v>
      </c>
      <c r="I267" s="5">
        <f>LEFT(PasteHashtag!H267,FIND("(",PasteHashtag!H267)-1)*1</f>
        <v>0.385</v>
      </c>
      <c r="J267" s="5">
        <f>MID(PasteHashtag!I267,1+FIND("(",PasteHashtag!I267),FIND("/",PasteHashtag!I267)-FIND("(",PasteHashtag!I267)-1)*1</f>
        <v>0.8</v>
      </c>
      <c r="K267" s="5">
        <f>LEFT(PasteHashtag!I267,FIND("(",PasteHashtag!I267)-1)*1</f>
        <v>0.764</v>
      </c>
      <c r="L267" s="5">
        <f>PasteHashtag!J267</f>
        <v>0.7</v>
      </c>
      <c r="M267" s="5">
        <f>PasteHashtag!K267</f>
        <v>7</v>
      </c>
      <c r="N267" s="5">
        <f>PasteHashtag!L267</f>
        <v>2.2</v>
      </c>
      <c r="O267" s="5">
        <f>PasteHashtag!M267</f>
        <v>4.4</v>
      </c>
      <c r="P267" s="5">
        <f>PasteHashtag!N267</f>
        <v>0.9</v>
      </c>
      <c r="Q267" s="5">
        <f>PasteHashtag!O267</f>
        <v>0.3</v>
      </c>
      <c r="R267" s="5">
        <f>PasteHashtag!P267</f>
        <v>1.5</v>
      </c>
      <c r="S267" s="5">
        <f>Mid(PasteHashtag!H267,FIND("/",PasteHashtag!H267)+1,LEN(PasteHashtag!H267)-FIND("/",PasteHashtag!H267)-1)*1</f>
        <v>7.2</v>
      </c>
      <c r="T267" s="306">
        <f>Mid(PasteHashtag!I267,FIND("/",PasteHashtag!I267)+1,LEN(PasteHashtag!I267)-FIND("/",PasteHashtag!I267)-1)*1</f>
        <v>1.1</v>
      </c>
    </row>
    <row r="268">
      <c r="A268" s="5">
        <v>267.0</v>
      </c>
      <c r="B268" s="5" t="str">
        <f>PasteHashtag!B268</f>
        <v/>
      </c>
      <c r="C268" s="305" t="str">
        <f>PasteHashtag!C268</f>
        <v>Quentin Grimes</v>
      </c>
      <c r="D268" s="5" t="str">
        <f>PasteHashtag!D268</f>
        <v>SG,SF</v>
      </c>
      <c r="E268" s="5" t="str">
        <f>PasteHashtag!E268</f>
        <v>DAL</v>
      </c>
      <c r="F268" s="5">
        <f>PasteHashtag!F268</f>
        <v>60</v>
      </c>
      <c r="G268" s="5">
        <f>PasteHashtag!G268</f>
        <v>22.1</v>
      </c>
      <c r="H268" s="5">
        <f>MID(PasteHashtag!H268,1+FIND("(",PasteHashtag!H268),FIND("/",PasteHashtag!H268)-FIND("(",PasteHashtag!H268)-1)*1</f>
        <v>2.9</v>
      </c>
      <c r="I268" s="5">
        <f>LEFT(PasteHashtag!H268,FIND("(",PasteHashtag!H268)-1)*1</f>
        <v>0.435</v>
      </c>
      <c r="J268" s="5">
        <f>MID(PasteHashtag!I268,1+FIND("(",PasteHashtag!I268),FIND("/",PasteHashtag!I268)-FIND("(",PasteHashtag!I268)-1)*1</f>
        <v>0.8</v>
      </c>
      <c r="K268" s="5">
        <f>LEFT(PasteHashtag!I268,FIND("(",PasteHashtag!I268)-1)*1</f>
        <v>0.792</v>
      </c>
      <c r="L268" s="5">
        <f>PasteHashtag!J268</f>
        <v>1.7</v>
      </c>
      <c r="M268" s="5">
        <f>PasteHashtag!K268</f>
        <v>8.2</v>
      </c>
      <c r="N268" s="5">
        <f>PasteHashtag!L268</f>
        <v>2.3</v>
      </c>
      <c r="O268" s="5">
        <f>PasteHashtag!M268</f>
        <v>1.5</v>
      </c>
      <c r="P268" s="5">
        <f>PasteHashtag!N268</f>
        <v>0.6</v>
      </c>
      <c r="Q268" s="5">
        <f>PasteHashtag!O268</f>
        <v>0.2</v>
      </c>
      <c r="R268" s="5">
        <f>PasteHashtag!P268</f>
        <v>0.7</v>
      </c>
      <c r="S268" s="5">
        <f>Mid(PasteHashtag!H268,FIND("/",PasteHashtag!H268)+1,LEN(PasteHashtag!H268)-FIND("/",PasteHashtag!H268)-1)*1</f>
        <v>6.6</v>
      </c>
      <c r="T268" s="306">
        <f>Mid(PasteHashtag!I268,FIND("/",PasteHashtag!I268)+1,LEN(PasteHashtag!I268)-FIND("/",PasteHashtag!I268)-1)*1</f>
        <v>1</v>
      </c>
    </row>
    <row r="269">
      <c r="A269" s="5">
        <v>268.0</v>
      </c>
      <c r="B269" s="5" t="str">
        <f>PasteHashtag!B269</f>
        <v/>
      </c>
      <c r="C269" s="305" t="str">
        <f>PasteHashtag!C269</f>
        <v>Torrey Craig</v>
      </c>
      <c r="D269" s="5" t="str">
        <f>PasteHashtag!D269</f>
        <v>SF,PF</v>
      </c>
      <c r="E269" s="5" t="str">
        <f>PasteHashtag!E269</f>
        <v>CHI</v>
      </c>
      <c r="F269" s="5">
        <f>PasteHashtag!F269</f>
        <v>58</v>
      </c>
      <c r="G269" s="5">
        <f>PasteHashtag!G269</f>
        <v>18.9</v>
      </c>
      <c r="H269" s="5">
        <f>MID(PasteHashtag!H269,1+FIND("(",PasteHashtag!H269),FIND("/",PasteHashtag!H269)-FIND("(",PasteHashtag!H269)-1)*1</f>
        <v>2.1</v>
      </c>
      <c r="I269" s="5">
        <f>LEFT(PasteHashtag!H269,FIND("(",PasteHashtag!H269)-1)*1</f>
        <v>0.447</v>
      </c>
      <c r="J269" s="5">
        <f>MID(PasteHashtag!I269,1+FIND("(",PasteHashtag!I269),FIND("/",PasteHashtag!I269)-FIND("(",PasteHashtag!I269)-1)*1</f>
        <v>0.4</v>
      </c>
      <c r="K269" s="5">
        <f>LEFT(PasteHashtag!I269,FIND("(",PasteHashtag!I269)-1)*1</f>
        <v>0.731</v>
      </c>
      <c r="L269" s="5">
        <f>PasteHashtag!J269</f>
        <v>1</v>
      </c>
      <c r="M269" s="5">
        <f>PasteHashtag!K269</f>
        <v>5.7</v>
      </c>
      <c r="N269" s="5">
        <f>PasteHashtag!L269</f>
        <v>4.1</v>
      </c>
      <c r="O269" s="5">
        <f>PasteHashtag!M269</f>
        <v>1.1</v>
      </c>
      <c r="P269" s="5">
        <f>PasteHashtag!N269</f>
        <v>0.5</v>
      </c>
      <c r="Q269" s="5">
        <f>PasteHashtag!O269</f>
        <v>0.5</v>
      </c>
      <c r="R269" s="5">
        <f>PasteHashtag!P269</f>
        <v>0.7</v>
      </c>
      <c r="S269" s="5">
        <f>Mid(PasteHashtag!H269,FIND("/",PasteHashtag!H269)+1,LEN(PasteHashtag!H269)-FIND("/",PasteHashtag!H269)-1)*1</f>
        <v>4.8</v>
      </c>
      <c r="T269" s="306">
        <f>Mid(PasteHashtag!I269,FIND("/",PasteHashtag!I269)+1,LEN(PasteHashtag!I269)-FIND("/",PasteHashtag!I269)-1)*1</f>
        <v>0.5</v>
      </c>
    </row>
    <row r="270">
      <c r="A270" s="5">
        <v>269.0</v>
      </c>
      <c r="B270" s="5" t="str">
        <f>PasteHashtag!B270</f>
        <v/>
      </c>
      <c r="C270" s="305" t="str">
        <f>PasteHashtag!C270</f>
        <v>Gabe Vincent</v>
      </c>
      <c r="D270" s="5" t="str">
        <f>PasteHashtag!D270</f>
        <v>PG,SG</v>
      </c>
      <c r="E270" s="5" t="str">
        <f>PasteHashtag!E270</f>
        <v>LAL</v>
      </c>
      <c r="F270" s="5">
        <f>PasteHashtag!F270</f>
        <v>60</v>
      </c>
      <c r="G270" s="5">
        <f>PasteHashtag!G270</f>
        <v>24.4</v>
      </c>
      <c r="H270" s="5">
        <f>MID(PasteHashtag!H270,1+FIND("(",PasteHashtag!H270),FIND("/",PasteHashtag!H270)-FIND("(",PasteHashtag!H270)-1)*1</f>
        <v>3</v>
      </c>
      <c r="I270" s="5">
        <f>LEFT(PasteHashtag!H270,FIND("(",PasteHashtag!H270)-1)*1</f>
        <v>0.395</v>
      </c>
      <c r="J270" s="5">
        <f>MID(PasteHashtag!I270,1+FIND("(",PasteHashtag!I270),FIND("/",PasteHashtag!I270)-FIND("(",PasteHashtag!I270)-1)*1</f>
        <v>0.9</v>
      </c>
      <c r="K270" s="5">
        <f>LEFT(PasteHashtag!I270,FIND("(",PasteHashtag!I270)-1)*1</f>
        <v>0.86</v>
      </c>
      <c r="L270" s="5">
        <f>PasteHashtag!J270</f>
        <v>1.5</v>
      </c>
      <c r="M270" s="5">
        <f>PasteHashtag!K270</f>
        <v>8.4</v>
      </c>
      <c r="N270" s="5">
        <f>PasteHashtag!L270</f>
        <v>1.9</v>
      </c>
      <c r="O270" s="5">
        <f>PasteHashtag!M270</f>
        <v>2.3</v>
      </c>
      <c r="P270" s="5">
        <f>PasteHashtag!N270</f>
        <v>0.9</v>
      </c>
      <c r="Q270" s="5">
        <f>PasteHashtag!O270</f>
        <v>0.1</v>
      </c>
      <c r="R270" s="5">
        <f>PasteHashtag!P270</f>
        <v>1.2</v>
      </c>
      <c r="S270" s="5">
        <f>Mid(PasteHashtag!H270,FIND("/",PasteHashtag!H270)+1,LEN(PasteHashtag!H270)-FIND("/",PasteHashtag!H270)-1)*1</f>
        <v>7.7</v>
      </c>
      <c r="T270" s="306">
        <f>Mid(PasteHashtag!I270,FIND("/",PasteHashtag!I270)+1,LEN(PasteHashtag!I270)-FIND("/",PasteHashtag!I270)-1)*1</f>
        <v>1</v>
      </c>
    </row>
    <row r="271">
      <c r="A271" s="5">
        <v>270.0</v>
      </c>
      <c r="B271" s="5" t="str">
        <f>PasteHashtag!B271</f>
        <v/>
      </c>
      <c r="C271" s="305" t="str">
        <f>PasteHashtag!C271</f>
        <v>Julian Champagnie</v>
      </c>
      <c r="D271" s="5" t="str">
        <f>PasteHashtag!D271</f>
        <v>SF,PF</v>
      </c>
      <c r="E271" s="5" t="str">
        <f>PasteHashtag!E271</f>
        <v>SA</v>
      </c>
      <c r="F271" s="5">
        <f>PasteHashtag!F271</f>
        <v>60</v>
      </c>
      <c r="G271" s="5">
        <f>PasteHashtag!G271</f>
        <v>17.4</v>
      </c>
      <c r="H271" s="5">
        <f>MID(PasteHashtag!H271,1+FIND("(",PasteHashtag!H271),FIND("/",PasteHashtag!H271)-FIND("(",PasteHashtag!H271)-1)*1</f>
        <v>2.3</v>
      </c>
      <c r="I271" s="5">
        <f>LEFT(PasteHashtag!H271,FIND("(",PasteHashtag!H271)-1)*1</f>
        <v>0.42</v>
      </c>
      <c r="J271" s="5">
        <f>MID(PasteHashtag!I271,1+FIND("(",PasteHashtag!I271),FIND("/",PasteHashtag!I271)-FIND("(",PasteHashtag!I271)-1)*1</f>
        <v>0.9</v>
      </c>
      <c r="K271" s="5">
        <f>LEFT(PasteHashtag!I271,FIND("(",PasteHashtag!I271)-1)*1</f>
        <v>0.811</v>
      </c>
      <c r="L271" s="5">
        <f>PasteHashtag!J271</f>
        <v>1.4</v>
      </c>
      <c r="M271" s="5">
        <f>PasteHashtag!K271</f>
        <v>6.8</v>
      </c>
      <c r="N271" s="5">
        <f>PasteHashtag!L271</f>
        <v>2.7</v>
      </c>
      <c r="O271" s="5">
        <f>PasteHashtag!M271</f>
        <v>1.2</v>
      </c>
      <c r="P271" s="5">
        <f>PasteHashtag!N271</f>
        <v>0.6</v>
      </c>
      <c r="Q271" s="5">
        <f>PasteHashtag!O271</f>
        <v>0.5</v>
      </c>
      <c r="R271" s="5">
        <f>PasteHashtag!P271</f>
        <v>0.7</v>
      </c>
      <c r="S271" s="5">
        <f>Mid(PasteHashtag!H271,FIND("/",PasteHashtag!H271)+1,LEN(PasteHashtag!H271)-FIND("/",PasteHashtag!H271)-1)*1</f>
        <v>5.4</v>
      </c>
      <c r="T271" s="306">
        <f>Mid(PasteHashtag!I271,FIND("/",PasteHashtag!I271)+1,LEN(PasteHashtag!I271)-FIND("/",PasteHashtag!I271)-1)*1</f>
        <v>1.1</v>
      </c>
    </row>
    <row r="272">
      <c r="A272" s="5">
        <v>271.0</v>
      </c>
      <c r="B272" s="5" t="str">
        <f>PasteHashtag!B272</f>
        <v/>
      </c>
      <c r="C272" s="305" t="str">
        <f>PasteHashtag!C272</f>
        <v>Drew Eubanks</v>
      </c>
      <c r="D272" s="5" t="str">
        <f>PasteHashtag!D272</f>
        <v>C</v>
      </c>
      <c r="E272" s="5" t="str">
        <f>PasteHashtag!E272</f>
        <v>UTA</v>
      </c>
      <c r="F272" s="5">
        <f>PasteHashtag!F272</f>
        <v>70</v>
      </c>
      <c r="G272" s="5">
        <f>PasteHashtag!G272</f>
        <v>14.6</v>
      </c>
      <c r="H272" s="5">
        <f>MID(PasteHashtag!H272,1+FIND("(",PasteHashtag!H272),FIND("/",PasteHashtag!H272)-FIND("(",PasteHashtag!H272)-1)*1</f>
        <v>2</v>
      </c>
      <c r="I272" s="5">
        <f>LEFT(PasteHashtag!H272,FIND("(",PasteHashtag!H272)-1)*1</f>
        <v>0.622</v>
      </c>
      <c r="J272" s="5">
        <f>MID(PasteHashtag!I272,1+FIND("(",PasteHashtag!I272),FIND("/",PasteHashtag!I272)-FIND("(",PasteHashtag!I272)-1)*1</f>
        <v>0.8</v>
      </c>
      <c r="K272" s="5">
        <f>LEFT(PasteHashtag!I272,FIND("(",PasteHashtag!I272)-1)*1</f>
        <v>0.709</v>
      </c>
      <c r="L272" s="5">
        <f>PasteHashtag!J272</f>
        <v>0.1</v>
      </c>
      <c r="M272" s="5">
        <f>PasteHashtag!K272</f>
        <v>4.8</v>
      </c>
      <c r="N272" s="5">
        <f>PasteHashtag!L272</f>
        <v>4</v>
      </c>
      <c r="O272" s="5">
        <f>PasteHashtag!M272</f>
        <v>0.9</v>
      </c>
      <c r="P272" s="5">
        <f>PasteHashtag!N272</f>
        <v>0.4</v>
      </c>
      <c r="Q272" s="5">
        <f>PasteHashtag!O272</f>
        <v>0.9</v>
      </c>
      <c r="R272" s="5">
        <f>PasteHashtag!P272</f>
        <v>0.7</v>
      </c>
      <c r="S272" s="5">
        <f>Mid(PasteHashtag!H272,FIND("/",PasteHashtag!H272)+1,LEN(PasteHashtag!H272)-FIND("/",PasteHashtag!H272)-1)*1</f>
        <v>3.2</v>
      </c>
      <c r="T272" s="306">
        <f>Mid(PasteHashtag!I272,FIND("/",PasteHashtag!I272)+1,LEN(PasteHashtag!I272)-FIND("/",PasteHashtag!I272)-1)*1</f>
        <v>1.2</v>
      </c>
    </row>
    <row r="273">
      <c r="A273" s="5">
        <v>272.0</v>
      </c>
      <c r="B273" s="5" t="str">
        <f>PasteHashtag!B273</f>
        <v/>
      </c>
      <c r="C273" s="305" t="str">
        <f>PasteHashtag!C273</f>
        <v>Pat Connaughton</v>
      </c>
      <c r="D273" s="5" t="str">
        <f>PasteHashtag!D273</f>
        <v>SG,SF</v>
      </c>
      <c r="E273" s="5" t="str">
        <f>PasteHashtag!E273</f>
        <v>MIL</v>
      </c>
      <c r="F273" s="5">
        <f>PasteHashtag!F273</f>
        <v>70</v>
      </c>
      <c r="G273" s="5">
        <f>PasteHashtag!G273</f>
        <v>23.6</v>
      </c>
      <c r="H273" s="5">
        <f>MID(PasteHashtag!H273,1+FIND("(",PasteHashtag!H273),FIND("/",PasteHashtag!H273)-FIND("(",PasteHashtag!H273)-1)*1</f>
        <v>2.4</v>
      </c>
      <c r="I273" s="5">
        <f>LEFT(PasteHashtag!H273,FIND("(",PasteHashtag!H273)-1)*1</f>
        <v>0.417</v>
      </c>
      <c r="J273" s="5">
        <f>MID(PasteHashtag!I273,1+FIND("(",PasteHashtag!I273),FIND("/",PasteHashtag!I273)-FIND("(",PasteHashtag!I273)-1)*1</f>
        <v>0.5</v>
      </c>
      <c r="K273" s="5">
        <f>LEFT(PasteHashtag!I273,FIND("(",PasteHashtag!I273)-1)*1</f>
        <v>0.74</v>
      </c>
      <c r="L273" s="5">
        <f>PasteHashtag!J273</f>
        <v>1.3</v>
      </c>
      <c r="M273" s="5">
        <f>PasteHashtag!K273</f>
        <v>6.7</v>
      </c>
      <c r="N273" s="5">
        <f>PasteHashtag!L273</f>
        <v>4</v>
      </c>
      <c r="O273" s="5">
        <f>PasteHashtag!M273</f>
        <v>1.8</v>
      </c>
      <c r="P273" s="5">
        <f>PasteHashtag!N273</f>
        <v>0.6</v>
      </c>
      <c r="Q273" s="5">
        <f>PasteHashtag!O273</f>
        <v>0.2</v>
      </c>
      <c r="R273" s="5">
        <f>PasteHashtag!P273</f>
        <v>0.6</v>
      </c>
      <c r="S273" s="5">
        <f>Mid(PasteHashtag!H273,FIND("/",PasteHashtag!H273)+1,LEN(PasteHashtag!H273)-FIND("/",PasteHashtag!H273)-1)*1</f>
        <v>5.8</v>
      </c>
      <c r="T273" s="306">
        <f>Mid(PasteHashtag!I273,FIND("/",PasteHashtag!I273)+1,LEN(PasteHashtag!I273)-FIND("/",PasteHashtag!I273)-1)*1</f>
        <v>0.7</v>
      </c>
    </row>
    <row r="274">
      <c r="A274" s="5">
        <v>273.0</v>
      </c>
      <c r="B274" s="5" t="str">
        <f>PasteHashtag!B274</f>
        <v/>
      </c>
      <c r="C274" s="305" t="str">
        <f>PasteHashtag!C274</f>
        <v>Toumani Camara</v>
      </c>
      <c r="D274" s="5" t="str">
        <f>PasteHashtag!D274</f>
        <v>PF</v>
      </c>
      <c r="E274" s="5" t="str">
        <f>PasteHashtag!E274</f>
        <v>POR</v>
      </c>
      <c r="F274" s="5">
        <f>PasteHashtag!F274</f>
        <v>68</v>
      </c>
      <c r="G274" s="5">
        <f>PasteHashtag!G274</f>
        <v>20.2</v>
      </c>
      <c r="H274" s="5">
        <f>MID(PasteHashtag!H274,1+FIND("(",PasteHashtag!H274),FIND("/",PasteHashtag!H274)-FIND("(",PasteHashtag!H274)-1)*1</f>
        <v>2.3</v>
      </c>
      <c r="I274" s="5">
        <f>LEFT(PasteHashtag!H274,FIND("(",PasteHashtag!H274)-1)*1</f>
        <v>0.449</v>
      </c>
      <c r="J274" s="5">
        <f>MID(PasteHashtag!I274,1+FIND("(",PasteHashtag!I274),FIND("/",PasteHashtag!I274)-FIND("(",PasteHashtag!I274)-1)*1</f>
        <v>0.9</v>
      </c>
      <c r="K274" s="5">
        <f>LEFT(PasteHashtag!I274,FIND("(",PasteHashtag!I274)-1)*1</f>
        <v>0.759</v>
      </c>
      <c r="L274" s="5">
        <f>PasteHashtag!J274</f>
        <v>0.7</v>
      </c>
      <c r="M274" s="5">
        <f>PasteHashtag!K274</f>
        <v>6.2</v>
      </c>
      <c r="N274" s="5">
        <f>PasteHashtag!L274</f>
        <v>4</v>
      </c>
      <c r="O274" s="5">
        <f>PasteHashtag!M274</f>
        <v>1</v>
      </c>
      <c r="P274" s="5">
        <f>PasteHashtag!N274</f>
        <v>0.8</v>
      </c>
      <c r="Q274" s="5">
        <f>PasteHashtag!O274</f>
        <v>0.4</v>
      </c>
      <c r="R274" s="5">
        <f>PasteHashtag!P274</f>
        <v>1</v>
      </c>
      <c r="S274" s="5">
        <f>Mid(PasteHashtag!H274,FIND("/",PasteHashtag!H274)+1,LEN(PasteHashtag!H274)-FIND("/",PasteHashtag!H274)-1)*1</f>
        <v>5.1</v>
      </c>
      <c r="T274" s="306">
        <f>Mid(PasteHashtag!I274,FIND("/",PasteHashtag!I274)+1,LEN(PasteHashtag!I274)-FIND("/",PasteHashtag!I274)-1)*1</f>
        <v>1.2</v>
      </c>
    </row>
    <row r="275">
      <c r="A275" s="5">
        <v>274.0</v>
      </c>
      <c r="B275" s="5" t="str">
        <f>PasteHashtag!B275</f>
        <v/>
      </c>
      <c r="C275" s="305" t="str">
        <f>PasteHashtag!C275</f>
        <v>Cody Martin</v>
      </c>
      <c r="D275" s="5" t="str">
        <f>PasteHashtag!D275</f>
        <v>SG,SF</v>
      </c>
      <c r="E275" s="5" t="str">
        <f>PasteHashtag!E275</f>
        <v>CHA</v>
      </c>
      <c r="F275" s="5">
        <f>PasteHashtag!F275</f>
        <v>40</v>
      </c>
      <c r="G275" s="5">
        <f>PasteHashtag!G275</f>
        <v>23.4</v>
      </c>
      <c r="H275" s="5">
        <f>MID(PasteHashtag!H275,1+FIND("(",PasteHashtag!H275),FIND("/",PasteHashtag!H275)-FIND("(",PasteHashtag!H275)-1)*1</f>
        <v>2.6</v>
      </c>
      <c r="I275" s="5">
        <f>LEFT(PasteHashtag!H275,FIND("(",PasteHashtag!H275)-1)*1</f>
        <v>0.383</v>
      </c>
      <c r="J275" s="5">
        <f>MID(PasteHashtag!I275,1+FIND("(",PasteHashtag!I275),FIND("/",PasteHashtag!I275)-FIND("(",PasteHashtag!I275)-1)*1</f>
        <v>0.6</v>
      </c>
      <c r="K275" s="5">
        <f>LEFT(PasteHashtag!I275,FIND("(",PasteHashtag!I275)-1)*1</f>
        <v>0.598</v>
      </c>
      <c r="L275" s="5">
        <f>PasteHashtag!J275</f>
        <v>0.8</v>
      </c>
      <c r="M275" s="5">
        <f>PasteHashtag!K275</f>
        <v>6.6</v>
      </c>
      <c r="N275" s="5">
        <f>PasteHashtag!L275</f>
        <v>3.6</v>
      </c>
      <c r="O275" s="5">
        <f>PasteHashtag!M275</f>
        <v>3.1</v>
      </c>
      <c r="P275" s="5">
        <f>PasteHashtag!N275</f>
        <v>1</v>
      </c>
      <c r="Q275" s="5">
        <f>PasteHashtag!O275</f>
        <v>0.5</v>
      </c>
      <c r="R275" s="5">
        <f>PasteHashtag!P275</f>
        <v>1.2</v>
      </c>
      <c r="S275" s="5">
        <f>Mid(PasteHashtag!H275,FIND("/",PasteHashtag!H275)+1,LEN(PasteHashtag!H275)-FIND("/",PasteHashtag!H275)-1)*1</f>
        <v>6.7</v>
      </c>
      <c r="T275" s="306">
        <f>Mid(PasteHashtag!I275,FIND("/",PasteHashtag!I275)+1,LEN(PasteHashtag!I275)-FIND("/",PasteHashtag!I275)-1)*1</f>
        <v>1.1</v>
      </c>
    </row>
    <row r="276">
      <c r="A276" s="5">
        <v>275.0</v>
      </c>
      <c r="B276" s="5" t="str">
        <f>PasteHashtag!B276</f>
        <v/>
      </c>
      <c r="C276" s="305" t="str">
        <f>PasteHashtag!C276</f>
        <v>Alec Burks</v>
      </c>
      <c r="D276" s="5" t="str">
        <f>PasteHashtag!D276</f>
        <v>SG,SF</v>
      </c>
      <c r="E276" s="5" t="str">
        <f>PasteHashtag!E276</f>
        <v>MIA</v>
      </c>
      <c r="F276" s="5">
        <f>PasteHashtag!F276</f>
        <v>60</v>
      </c>
      <c r="G276" s="5">
        <f>PasteHashtag!G276</f>
        <v>17.2</v>
      </c>
      <c r="H276" s="5">
        <f>MID(PasteHashtag!H276,1+FIND("(",PasteHashtag!H276),FIND("/",PasteHashtag!H276)-FIND("(",PasteHashtag!H276)-1)*1</f>
        <v>3.1</v>
      </c>
      <c r="I276" s="5">
        <f>LEFT(PasteHashtag!H276,FIND("(",PasteHashtag!H276)-1)*1</f>
        <v>0.399</v>
      </c>
      <c r="J276" s="5">
        <f>MID(PasteHashtag!I276,1+FIND("(",PasteHashtag!I276),FIND("/",PasteHashtag!I276)-FIND("(",PasteHashtag!I276)-1)*1</f>
        <v>2.2</v>
      </c>
      <c r="K276" s="5">
        <f>LEFT(PasteHashtag!I276,FIND("(",PasteHashtag!I276)-1)*1</f>
        <v>0.841</v>
      </c>
      <c r="L276" s="5">
        <f>PasteHashtag!J276</f>
        <v>1.7</v>
      </c>
      <c r="M276" s="5">
        <f>PasteHashtag!K276</f>
        <v>10</v>
      </c>
      <c r="N276" s="5">
        <f>PasteHashtag!L276</f>
        <v>2.3</v>
      </c>
      <c r="O276" s="5">
        <f>PasteHashtag!M276</f>
        <v>1.5</v>
      </c>
      <c r="P276" s="5">
        <f>PasteHashtag!N276</f>
        <v>0.5</v>
      </c>
      <c r="Q276" s="5">
        <f>PasteHashtag!O276</f>
        <v>0.2</v>
      </c>
      <c r="R276" s="5">
        <f>PasteHashtag!P276</f>
        <v>0.8</v>
      </c>
      <c r="S276" s="5">
        <f>Mid(PasteHashtag!H276,FIND("/",PasteHashtag!H276)+1,LEN(PasteHashtag!H276)-FIND("/",PasteHashtag!H276)-1)*1</f>
        <v>7.7</v>
      </c>
      <c r="T276" s="306">
        <f>Mid(PasteHashtag!I276,FIND("/",PasteHashtag!I276)+1,LEN(PasteHashtag!I276)-FIND("/",PasteHashtag!I276)-1)*1</f>
        <v>2.6</v>
      </c>
    </row>
    <row r="277">
      <c r="A277" s="5">
        <v>276.0</v>
      </c>
      <c r="B277" s="5" t="str">
        <f>PasteHashtag!B277</f>
        <v/>
      </c>
      <c r="C277" s="305" t="str">
        <f>PasteHashtag!C277</f>
        <v>Dean Wade</v>
      </c>
      <c r="D277" s="5" t="str">
        <f>PasteHashtag!D277</f>
        <v>SF,PF</v>
      </c>
      <c r="E277" s="5" t="str">
        <f>PasteHashtag!E277</f>
        <v>CLE</v>
      </c>
      <c r="F277" s="5">
        <f>PasteHashtag!F277</f>
        <v>44</v>
      </c>
      <c r="G277" s="5">
        <f>PasteHashtag!G277</f>
        <v>19.3</v>
      </c>
      <c r="H277" s="5">
        <f>MID(PasteHashtag!H277,1+FIND("(",PasteHashtag!H277),FIND("/",PasteHashtag!H277)-FIND("(",PasteHashtag!H277)-1)*1</f>
        <v>1.7</v>
      </c>
      <c r="I277" s="5">
        <f>LEFT(PasteHashtag!H277,FIND("(",PasteHashtag!H277)-1)*1</f>
        <v>0.414</v>
      </c>
      <c r="J277" s="5">
        <f>MID(PasteHashtag!I277,1+FIND("(",PasteHashtag!I277),FIND("/",PasteHashtag!I277)-FIND("(",PasteHashtag!I277)-1)*1</f>
        <v>0.3</v>
      </c>
      <c r="K277" s="5">
        <f>LEFT(PasteHashtag!I277,FIND("(",PasteHashtag!I277)-1)*1</f>
        <v>0.708</v>
      </c>
      <c r="L277" s="5">
        <f>PasteHashtag!J277</f>
        <v>1.2</v>
      </c>
      <c r="M277" s="5">
        <f>PasteHashtag!K277</f>
        <v>4.9</v>
      </c>
      <c r="N277" s="5">
        <f>PasteHashtag!L277</f>
        <v>3.6</v>
      </c>
      <c r="O277" s="5">
        <f>PasteHashtag!M277</f>
        <v>0.8</v>
      </c>
      <c r="P277" s="5">
        <f>PasteHashtag!N277</f>
        <v>0.7</v>
      </c>
      <c r="Q277" s="5">
        <f>PasteHashtag!O277</f>
        <v>0.5</v>
      </c>
      <c r="R277" s="5">
        <f>PasteHashtag!P277</f>
        <v>0.4</v>
      </c>
      <c r="S277" s="5">
        <f>Mid(PasteHashtag!H277,FIND("/",PasteHashtag!H277)+1,LEN(PasteHashtag!H277)-FIND("/",PasteHashtag!H277)-1)*1</f>
        <v>4</v>
      </c>
      <c r="T277" s="306">
        <f>Mid(PasteHashtag!I277,FIND("/",PasteHashtag!I277)+1,LEN(PasteHashtag!I277)-FIND("/",PasteHashtag!I277)-1)*1</f>
        <v>0.5</v>
      </c>
    </row>
    <row r="278">
      <c r="A278" s="5">
        <v>277.0</v>
      </c>
      <c r="B278" s="5" t="str">
        <f>PasteHashtag!B278</f>
        <v/>
      </c>
      <c r="C278" s="305" t="str">
        <f>PasteHashtag!C278</f>
        <v>Aaron Wiggins</v>
      </c>
      <c r="D278" s="5" t="str">
        <f>PasteHashtag!D278</f>
        <v>SG,SF</v>
      </c>
      <c r="E278" s="5" t="str">
        <f>PasteHashtag!E278</f>
        <v>OKC</v>
      </c>
      <c r="F278" s="5">
        <f>PasteHashtag!F278</f>
        <v>74</v>
      </c>
      <c r="G278" s="5">
        <f>PasteHashtag!G278</f>
        <v>15.8</v>
      </c>
      <c r="H278" s="5">
        <f>MID(PasteHashtag!H278,1+FIND("(",PasteHashtag!H278),FIND("/",PasteHashtag!H278)-FIND("(",PasteHashtag!H278)-1)*1</f>
        <v>2.5</v>
      </c>
      <c r="I278" s="5">
        <f>LEFT(PasteHashtag!H278,FIND("(",PasteHashtag!H278)-1)*1</f>
        <v>0.538</v>
      </c>
      <c r="J278" s="5">
        <f>MID(PasteHashtag!I278,1+FIND("(",PasteHashtag!I278),FIND("/",PasteHashtag!I278)-FIND("(",PasteHashtag!I278)-1)*1</f>
        <v>0.7</v>
      </c>
      <c r="K278" s="5">
        <f>LEFT(PasteHashtag!I278,FIND("(",PasteHashtag!I278)-1)*1</f>
        <v>0.811</v>
      </c>
      <c r="L278" s="5">
        <f>PasteHashtag!J278</f>
        <v>0.7</v>
      </c>
      <c r="M278" s="5">
        <f>PasteHashtag!K278</f>
        <v>6.5</v>
      </c>
      <c r="N278" s="5">
        <f>PasteHashtag!L278</f>
        <v>2.5</v>
      </c>
      <c r="O278" s="5">
        <f>PasteHashtag!M278</f>
        <v>1.1</v>
      </c>
      <c r="P278" s="5">
        <f>PasteHashtag!N278</f>
        <v>0.6</v>
      </c>
      <c r="Q278" s="5">
        <f>PasteHashtag!O278</f>
        <v>0.2</v>
      </c>
      <c r="R278" s="5">
        <f>PasteHashtag!P278</f>
        <v>0.7</v>
      </c>
      <c r="S278" s="5">
        <f>Mid(PasteHashtag!H278,FIND("/",PasteHashtag!H278)+1,LEN(PasteHashtag!H278)-FIND("/",PasteHashtag!H278)-1)*1</f>
        <v>4.7</v>
      </c>
      <c r="T278" s="306">
        <f>Mid(PasteHashtag!I278,FIND("/",PasteHashtag!I278)+1,LEN(PasteHashtag!I278)-FIND("/",PasteHashtag!I278)-1)*1</f>
        <v>0.9</v>
      </c>
    </row>
    <row r="279">
      <c r="A279" s="5">
        <v>278.0</v>
      </c>
      <c r="B279" s="5" t="str">
        <f>PasteHashtag!B279</f>
        <v/>
      </c>
      <c r="C279" s="305" t="str">
        <f>PasteHashtag!C279</f>
        <v>Shake Milton</v>
      </c>
      <c r="D279" s="5" t="str">
        <f>PasteHashtag!D279</f>
        <v>PG,SG</v>
      </c>
      <c r="E279" s="5" t="str">
        <f>PasteHashtag!E279</f>
        <v>BKN</v>
      </c>
      <c r="F279" s="5">
        <f>PasteHashtag!F279</f>
        <v>46</v>
      </c>
      <c r="G279" s="5">
        <f>PasteHashtag!G279</f>
        <v>20.3</v>
      </c>
      <c r="H279" s="5">
        <f>MID(PasteHashtag!H279,1+FIND("(",PasteHashtag!H279),FIND("/",PasteHashtag!H279)-FIND("(",PasteHashtag!H279)-1)*1</f>
        <v>3</v>
      </c>
      <c r="I279" s="5">
        <f>LEFT(PasteHashtag!H279,FIND("(",PasteHashtag!H279)-1)*1</f>
        <v>0.457</v>
      </c>
      <c r="J279" s="5">
        <f>MID(PasteHashtag!I279,1+FIND("(",PasteHashtag!I279),FIND("/",PasteHashtag!I279)-FIND("(",PasteHashtag!I279)-1)*1</f>
        <v>1.3</v>
      </c>
      <c r="K279" s="5">
        <f>LEFT(PasteHashtag!I279,FIND("(",PasteHashtag!I279)-1)*1</f>
        <v>0.847</v>
      </c>
      <c r="L279" s="5">
        <f>PasteHashtag!J279</f>
        <v>0.7</v>
      </c>
      <c r="M279" s="5">
        <f>PasteHashtag!K279</f>
        <v>8.1</v>
      </c>
      <c r="N279" s="5">
        <f>PasteHashtag!L279</f>
        <v>2.5</v>
      </c>
      <c r="O279" s="5">
        <f>PasteHashtag!M279</f>
        <v>2.9</v>
      </c>
      <c r="P279" s="5">
        <f>PasteHashtag!N279</f>
        <v>0.4</v>
      </c>
      <c r="Q279" s="5">
        <f>PasteHashtag!O279</f>
        <v>0.2</v>
      </c>
      <c r="R279" s="5">
        <f>PasteHashtag!P279</f>
        <v>1.2</v>
      </c>
      <c r="S279" s="5">
        <f>Mid(PasteHashtag!H279,FIND("/",PasteHashtag!H279)+1,LEN(PasteHashtag!H279)-FIND("/",PasteHashtag!H279)-1)*1</f>
        <v>6.7</v>
      </c>
      <c r="T279" s="306">
        <f>Mid(PasteHashtag!I279,FIND("/",PasteHashtag!I279)+1,LEN(PasteHashtag!I279)-FIND("/",PasteHashtag!I279)-1)*1</f>
        <v>1.6</v>
      </c>
    </row>
    <row r="280">
      <c r="A280" s="5">
        <v>279.0</v>
      </c>
      <c r="B280" s="5" t="str">
        <f>PasteHashtag!B280</f>
        <v/>
      </c>
      <c r="C280" s="305" t="str">
        <f>PasteHashtag!C280</f>
        <v>Kevin Love</v>
      </c>
      <c r="D280" s="5" t="str">
        <f>PasteHashtag!D280</f>
        <v>PF,C</v>
      </c>
      <c r="E280" s="5" t="str">
        <f>PasteHashtag!E280</f>
        <v>MIA</v>
      </c>
      <c r="F280" s="5">
        <f>PasteHashtag!F280</f>
        <v>48</v>
      </c>
      <c r="G280" s="5">
        <f>PasteHashtag!G280</f>
        <v>15.5</v>
      </c>
      <c r="H280" s="5">
        <f>MID(PasteHashtag!H280,1+FIND("(",PasteHashtag!H280),FIND("/",PasteHashtag!H280)-FIND("(",PasteHashtag!H280)-1)*1</f>
        <v>2.3</v>
      </c>
      <c r="I280" s="5">
        <f>LEFT(PasteHashtag!H280,FIND("(",PasteHashtag!H280)-1)*1</f>
        <v>0.412</v>
      </c>
      <c r="J280" s="5">
        <f>MID(PasteHashtag!I280,1+FIND("(",PasteHashtag!I280),FIND("/",PasteHashtag!I280)-FIND("(",PasteHashtag!I280)-1)*1</f>
        <v>1.2</v>
      </c>
      <c r="K280" s="5">
        <f>LEFT(PasteHashtag!I280,FIND("(",PasteHashtag!I280)-1)*1</f>
        <v>0.826</v>
      </c>
      <c r="L280" s="5">
        <f>PasteHashtag!J280</f>
        <v>1.3</v>
      </c>
      <c r="M280" s="5">
        <f>PasteHashtag!K280</f>
        <v>7.2</v>
      </c>
      <c r="N280" s="5">
        <f>PasteHashtag!L280</f>
        <v>5.3</v>
      </c>
      <c r="O280" s="5">
        <f>PasteHashtag!M280</f>
        <v>1.7</v>
      </c>
      <c r="P280" s="5">
        <f>PasteHashtag!N280</f>
        <v>0.3</v>
      </c>
      <c r="Q280" s="5">
        <f>PasteHashtag!O280</f>
        <v>0.2</v>
      </c>
      <c r="R280" s="5">
        <f>PasteHashtag!P280</f>
        <v>0.9</v>
      </c>
      <c r="S280" s="5">
        <f>Mid(PasteHashtag!H280,FIND("/",PasteHashtag!H280)+1,LEN(PasteHashtag!H280)-FIND("/",PasteHashtag!H280)-1)*1</f>
        <v>5.7</v>
      </c>
      <c r="T280" s="306">
        <f>Mid(PasteHashtag!I280,FIND("/",PasteHashtag!I280)+1,LEN(PasteHashtag!I280)-FIND("/",PasteHashtag!I280)-1)*1</f>
        <v>1.4</v>
      </c>
    </row>
    <row r="281">
      <c r="A281" s="5">
        <v>280.0</v>
      </c>
      <c r="B281" s="5" t="str">
        <f>PasteHashtag!B281</f>
        <v/>
      </c>
      <c r="C281" s="305" t="str">
        <f>PasteHashtag!C281</f>
        <v>Jarace Walker</v>
      </c>
      <c r="D281" s="5" t="str">
        <f>PasteHashtag!D281</f>
        <v>PF</v>
      </c>
      <c r="E281" s="5" t="str">
        <f>PasteHashtag!E281</f>
        <v>IND</v>
      </c>
      <c r="F281" s="5">
        <f>PasteHashtag!F281</f>
        <v>42</v>
      </c>
      <c r="G281" s="5">
        <f>PasteHashtag!G281</f>
        <v>14.2</v>
      </c>
      <c r="H281" s="5">
        <f>MID(PasteHashtag!H281,1+FIND("(",PasteHashtag!H281),FIND("/",PasteHashtag!H281)-FIND("(",PasteHashtag!H281)-1)*1</f>
        <v>1.9</v>
      </c>
      <c r="I281" s="5">
        <f>LEFT(PasteHashtag!H281,FIND("(",PasteHashtag!H281)-1)*1</f>
        <v>0.409</v>
      </c>
      <c r="J281" s="5">
        <f>MID(PasteHashtag!I281,1+FIND("(",PasteHashtag!I281),FIND("/",PasteHashtag!I281)-FIND("(",PasteHashtag!I281)-1)*1</f>
        <v>0.3</v>
      </c>
      <c r="K281" s="5">
        <f>LEFT(PasteHashtag!I281,FIND("(",PasteHashtag!I281)-1)*1</f>
        <v>0.895</v>
      </c>
      <c r="L281" s="5">
        <f>PasteHashtag!J281</f>
        <v>0.9</v>
      </c>
      <c r="M281" s="5">
        <f>PasteHashtag!K281</f>
        <v>5.1</v>
      </c>
      <c r="N281" s="5">
        <f>PasteHashtag!L281</f>
        <v>2.7</v>
      </c>
      <c r="O281" s="5">
        <f>PasteHashtag!M281</f>
        <v>1.7</v>
      </c>
      <c r="P281" s="5">
        <f>PasteHashtag!N281</f>
        <v>0.6</v>
      </c>
      <c r="Q281" s="5">
        <f>PasteHashtag!O281</f>
        <v>0.5</v>
      </c>
      <c r="R281" s="5">
        <f>PasteHashtag!P281</f>
        <v>0.7</v>
      </c>
      <c r="S281" s="5">
        <f>Mid(PasteHashtag!H281,FIND("/",PasteHashtag!H281)+1,LEN(PasteHashtag!H281)-FIND("/",PasteHashtag!H281)-1)*1</f>
        <v>4.6</v>
      </c>
      <c r="T281" s="306">
        <f>Mid(PasteHashtag!I281,FIND("/",PasteHashtag!I281)+1,LEN(PasteHashtag!I281)-FIND("/",PasteHashtag!I281)-1)*1</f>
        <v>0.4</v>
      </c>
    </row>
    <row r="282">
      <c r="A282" s="5">
        <v>281.0</v>
      </c>
      <c r="B282" s="5" t="str">
        <f>PasteHashtag!B282</f>
        <v/>
      </c>
      <c r="C282" s="305" t="str">
        <f>PasteHashtag!C282</f>
        <v>Kyshawn George</v>
      </c>
      <c r="D282" s="5" t="str">
        <f>PasteHashtag!D282</f>
        <v>SF</v>
      </c>
      <c r="E282" s="5" t="str">
        <f>PasteHashtag!E282</f>
        <v>WAS</v>
      </c>
      <c r="F282" s="5">
        <f>PasteHashtag!F282</f>
        <v>60</v>
      </c>
      <c r="G282" s="5">
        <f>PasteHashtag!G282</f>
        <v>16.4</v>
      </c>
      <c r="H282" s="5">
        <f>MID(PasteHashtag!H282,1+FIND("(",PasteHashtag!H282),FIND("/",PasteHashtag!H282)-FIND("(",PasteHashtag!H282)-1)*1</f>
        <v>2.1</v>
      </c>
      <c r="I282" s="5">
        <f>LEFT(PasteHashtag!H282,FIND("(",PasteHashtag!H282)-1)*1</f>
        <v>0.425</v>
      </c>
      <c r="J282" s="5">
        <f>MID(PasteHashtag!I282,1+FIND("(",PasteHashtag!I282),FIND("/",PasteHashtag!I282)-FIND("(",PasteHashtag!I282)-1)*1</f>
        <v>0.5</v>
      </c>
      <c r="K282" s="5">
        <f>LEFT(PasteHashtag!I282,FIND("(",PasteHashtag!I282)-1)*1</f>
        <v>0.768</v>
      </c>
      <c r="L282" s="5">
        <f>PasteHashtag!J282</f>
        <v>1.3</v>
      </c>
      <c r="M282" s="5">
        <f>PasteHashtag!K282</f>
        <v>6</v>
      </c>
      <c r="N282" s="5">
        <f>PasteHashtag!L282</f>
        <v>2.4</v>
      </c>
      <c r="O282" s="5">
        <f>PasteHashtag!M282</f>
        <v>1.7</v>
      </c>
      <c r="P282" s="5">
        <f>PasteHashtag!N282</f>
        <v>0.7</v>
      </c>
      <c r="Q282" s="5">
        <f>PasteHashtag!O282</f>
        <v>0.3</v>
      </c>
      <c r="R282" s="5">
        <f>PasteHashtag!P282</f>
        <v>1.2</v>
      </c>
      <c r="S282" s="5">
        <f>Mid(PasteHashtag!H282,FIND("/",PasteHashtag!H282)+1,LEN(PasteHashtag!H282)-FIND("/",PasteHashtag!H282)-1)*1</f>
        <v>4.8</v>
      </c>
      <c r="T282" s="306">
        <f>Mid(PasteHashtag!I282,FIND("/",PasteHashtag!I282)+1,LEN(PasteHashtag!I282)-FIND("/",PasteHashtag!I282)-1)*1</f>
        <v>0.7</v>
      </c>
    </row>
    <row r="283">
      <c r="A283" s="5">
        <v>282.0</v>
      </c>
      <c r="B283" s="5" t="str">
        <f>PasteHashtag!B283</f>
        <v/>
      </c>
      <c r="C283" s="305" t="str">
        <f>PasteHashtag!C283</f>
        <v>Josh Minott</v>
      </c>
      <c r="D283" s="5" t="str">
        <f>PasteHashtag!D283</f>
        <v>SF,PF</v>
      </c>
      <c r="E283" s="5" t="str">
        <f>PasteHashtag!E283</f>
        <v>MIN</v>
      </c>
      <c r="F283" s="5">
        <f>PasteHashtag!F283</f>
        <v>54</v>
      </c>
      <c r="G283" s="5">
        <f>PasteHashtag!G283</f>
        <v>9.8</v>
      </c>
      <c r="H283" s="5">
        <f>MID(PasteHashtag!H283,1+FIND("(",PasteHashtag!H283),FIND("/",PasteHashtag!H283)-FIND("(",PasteHashtag!H283)-1)*1</f>
        <v>1.9</v>
      </c>
      <c r="I283" s="5">
        <f>LEFT(PasteHashtag!H283,FIND("(",PasteHashtag!H283)-1)*1</f>
        <v>0.487</v>
      </c>
      <c r="J283" s="5">
        <f>MID(PasteHashtag!I283,1+FIND("(",PasteHashtag!I283),FIND("/",PasteHashtag!I283)-FIND("(",PasteHashtag!I283)-1)*1</f>
        <v>1.1</v>
      </c>
      <c r="K283" s="5">
        <f>LEFT(PasteHashtag!I283,FIND("(",PasteHashtag!I283)-1)*1</f>
        <v>0.915</v>
      </c>
      <c r="L283" s="5">
        <f>PasteHashtag!J283</f>
        <v>0.3</v>
      </c>
      <c r="M283" s="5">
        <f>PasteHashtag!K283</f>
        <v>5.2</v>
      </c>
      <c r="N283" s="5">
        <f>PasteHashtag!L283</f>
        <v>2.3</v>
      </c>
      <c r="O283" s="5">
        <f>PasteHashtag!M283</f>
        <v>0.7</v>
      </c>
      <c r="P283" s="5">
        <f>PasteHashtag!N283</f>
        <v>0.5</v>
      </c>
      <c r="Q283" s="5">
        <f>PasteHashtag!O283</f>
        <v>0.6</v>
      </c>
      <c r="R283" s="5">
        <f>PasteHashtag!P283</f>
        <v>0.3</v>
      </c>
      <c r="S283" s="5">
        <f>Mid(PasteHashtag!H283,FIND("/",PasteHashtag!H283)+1,LEN(PasteHashtag!H283)-FIND("/",PasteHashtag!H283)-1)*1</f>
        <v>3.9</v>
      </c>
      <c r="T283" s="306">
        <f>Mid(PasteHashtag!I283,FIND("/",PasteHashtag!I283)+1,LEN(PasteHashtag!I283)-FIND("/",PasteHashtag!I283)-1)*1</f>
        <v>1.2</v>
      </c>
    </row>
    <row r="284">
      <c r="A284" s="5">
        <v>283.0</v>
      </c>
      <c r="B284" s="5">
        <f>PasteHashtag!B284</f>
        <v>142.6</v>
      </c>
      <c r="C284" s="305" t="str">
        <f>PasteHashtag!C284</f>
        <v>Cam Whitmore</v>
      </c>
      <c r="D284" s="5" t="str">
        <f>PasteHashtag!D284</f>
        <v>SF,PF</v>
      </c>
      <c r="E284" s="5" t="str">
        <f>PasteHashtag!E284</f>
        <v>HOU</v>
      </c>
      <c r="F284" s="5">
        <f>PasteHashtag!F284</f>
        <v>45</v>
      </c>
      <c r="G284" s="5">
        <f>PasteHashtag!G284</f>
        <v>17.1</v>
      </c>
      <c r="H284" s="5">
        <f>MID(PasteHashtag!H284,1+FIND("(",PasteHashtag!H284),FIND("/",PasteHashtag!H284)-FIND("(",PasteHashtag!H284)-1)*1</f>
        <v>4.2</v>
      </c>
      <c r="I284" s="5">
        <f>LEFT(PasteHashtag!H284,FIND("(",PasteHashtag!H284)-1)*1</f>
        <v>0.454</v>
      </c>
      <c r="J284" s="5">
        <f>MID(PasteHashtag!I284,1+FIND("(",PasteHashtag!I284),FIND("/",PasteHashtag!I284)-FIND("(",PasteHashtag!I284)-1)*1</f>
        <v>1.5</v>
      </c>
      <c r="K284" s="5">
        <f>LEFT(PasteHashtag!I284,FIND("(",PasteHashtag!I284)-1)*1</f>
        <v>0.677</v>
      </c>
      <c r="L284" s="5">
        <f>PasteHashtag!J284</f>
        <v>1.6</v>
      </c>
      <c r="M284" s="5">
        <f>PasteHashtag!K284</f>
        <v>11.4</v>
      </c>
      <c r="N284" s="5">
        <f>PasteHashtag!L284</f>
        <v>3.5</v>
      </c>
      <c r="O284" s="5">
        <f>PasteHashtag!M284</f>
        <v>0.7</v>
      </c>
      <c r="P284" s="5">
        <f>PasteHashtag!N284</f>
        <v>0.6</v>
      </c>
      <c r="Q284" s="5">
        <f>PasteHashtag!O284</f>
        <v>0.3</v>
      </c>
      <c r="R284" s="5">
        <f>PasteHashtag!P284</f>
        <v>0.9</v>
      </c>
      <c r="S284" s="5">
        <f>Mid(PasteHashtag!H284,FIND("/",PasteHashtag!H284)+1,LEN(PasteHashtag!H284)-FIND("/",PasteHashtag!H284)-1)*1</f>
        <v>9.2</v>
      </c>
      <c r="T284" s="306">
        <f>Mid(PasteHashtag!I284,FIND("/",PasteHashtag!I284)+1,LEN(PasteHashtag!I284)-FIND("/",PasteHashtag!I284)-1)*1</f>
        <v>2.2</v>
      </c>
    </row>
    <row r="285">
      <c r="A285" s="5">
        <v>284.0</v>
      </c>
      <c r="B285" s="5" t="str">
        <f>PasteHashtag!B285</f>
        <v/>
      </c>
      <c r="C285" s="305" t="str">
        <f>PasteHashtag!C285</f>
        <v>Mason Plumlee</v>
      </c>
      <c r="D285" s="5" t="str">
        <f>PasteHashtag!D285</f>
        <v>C</v>
      </c>
      <c r="E285" s="5" t="str">
        <f>PasteHashtag!E285</f>
        <v>PHO</v>
      </c>
      <c r="F285" s="5">
        <f>PasteHashtag!F285</f>
        <v>65</v>
      </c>
      <c r="G285" s="5">
        <f>PasteHashtag!G285</f>
        <v>16.4</v>
      </c>
      <c r="H285" s="5">
        <f>MID(PasteHashtag!H285,1+FIND("(",PasteHashtag!H285),FIND("/",PasteHashtag!H285)-FIND("(",PasteHashtag!H285)-1)*1</f>
        <v>2.5</v>
      </c>
      <c r="I285" s="5">
        <f>LEFT(PasteHashtag!H285,FIND("(",PasteHashtag!H285)-1)*1</f>
        <v>0.654</v>
      </c>
      <c r="J285" s="5">
        <f>MID(PasteHashtag!I285,1+FIND("(",PasteHashtag!I285),FIND("/",PasteHashtag!I285)-FIND("(",PasteHashtag!I285)-1)*1</f>
        <v>1.6</v>
      </c>
      <c r="K285" s="5">
        <f>LEFT(PasteHashtag!I285,FIND("(",PasteHashtag!I285)-1)*1</f>
        <v>0.652</v>
      </c>
      <c r="L285" s="5">
        <f>PasteHashtag!J285</f>
        <v>0</v>
      </c>
      <c r="M285" s="5">
        <f>PasteHashtag!K285</f>
        <v>6.7</v>
      </c>
      <c r="N285" s="5">
        <f>PasteHashtag!L285</f>
        <v>5.7</v>
      </c>
      <c r="O285" s="5">
        <f>PasteHashtag!M285</f>
        <v>1.8</v>
      </c>
      <c r="P285" s="5">
        <f>PasteHashtag!N285</f>
        <v>0.4</v>
      </c>
      <c r="Q285" s="5">
        <f>PasteHashtag!O285</f>
        <v>0.4</v>
      </c>
      <c r="R285" s="5">
        <f>PasteHashtag!P285</f>
        <v>0.9</v>
      </c>
      <c r="S285" s="5">
        <f>Mid(PasteHashtag!H285,FIND("/",PasteHashtag!H285)+1,LEN(PasteHashtag!H285)-FIND("/",PasteHashtag!H285)-1)*1</f>
        <v>3.9</v>
      </c>
      <c r="T285" s="306">
        <f>Mid(PasteHashtag!I285,FIND("/",PasteHashtag!I285)+1,LEN(PasteHashtag!I285)-FIND("/",PasteHashtag!I285)-1)*1</f>
        <v>2.5</v>
      </c>
    </row>
    <row r="286">
      <c r="A286" s="5">
        <v>285.0</v>
      </c>
      <c r="B286" s="5" t="str">
        <f>PasteHashtag!B286</f>
        <v/>
      </c>
      <c r="C286" s="305" t="str">
        <f>PasteHashtag!C286</f>
        <v>Ziaire Williams</v>
      </c>
      <c r="D286" s="5" t="str">
        <f>PasteHashtag!D286</f>
        <v>SG,SF</v>
      </c>
      <c r="E286" s="5" t="str">
        <f>PasteHashtag!E286</f>
        <v>BKN</v>
      </c>
      <c r="F286" s="5">
        <f>PasteHashtag!F286</f>
        <v>45</v>
      </c>
      <c r="G286" s="5">
        <f>PasteHashtag!G286</f>
        <v>21.5</v>
      </c>
      <c r="H286" s="5">
        <f>MID(PasteHashtag!H286,1+FIND("(",PasteHashtag!H286),FIND("/",PasteHashtag!H286)-FIND("(",PasteHashtag!H286)-1)*1</f>
        <v>3.2</v>
      </c>
      <c r="I286" s="5">
        <f>LEFT(PasteHashtag!H286,FIND("(",PasteHashtag!H286)-1)*1</f>
        <v>0.408</v>
      </c>
      <c r="J286" s="5">
        <f>MID(PasteHashtag!I286,1+FIND("(",PasteHashtag!I286),FIND("/",PasteHashtag!I286)-FIND("(",PasteHashtag!I286)-1)*1</f>
        <v>1.1</v>
      </c>
      <c r="K286" s="5">
        <f>LEFT(PasteHashtag!I286,FIND("(",PasteHashtag!I286)-1)*1</f>
        <v>0.811</v>
      </c>
      <c r="L286" s="5">
        <f>PasteHashtag!J286</f>
        <v>1.1</v>
      </c>
      <c r="M286" s="5">
        <f>PasteHashtag!K286</f>
        <v>8.6</v>
      </c>
      <c r="N286" s="5">
        <f>PasteHashtag!L286</f>
        <v>3.5</v>
      </c>
      <c r="O286" s="5">
        <f>PasteHashtag!M286</f>
        <v>1.5</v>
      </c>
      <c r="P286" s="5">
        <f>PasteHashtag!N286</f>
        <v>0.7</v>
      </c>
      <c r="Q286" s="5">
        <f>PasteHashtag!O286</f>
        <v>0.2</v>
      </c>
      <c r="R286" s="5">
        <f>PasteHashtag!P286</f>
        <v>1.4</v>
      </c>
      <c r="S286" s="5">
        <f>Mid(PasteHashtag!H286,FIND("/",PasteHashtag!H286)+1,LEN(PasteHashtag!H286)-FIND("/",PasteHashtag!H286)-1)*1</f>
        <v>7.8</v>
      </c>
      <c r="T286" s="306">
        <f>Mid(PasteHashtag!I286,FIND("/",PasteHashtag!I286)+1,LEN(PasteHashtag!I286)-FIND("/",PasteHashtag!I286)-1)*1</f>
        <v>1.3</v>
      </c>
    </row>
    <row r="287">
      <c r="A287" s="5">
        <v>286.0</v>
      </c>
      <c r="B287" s="5" t="str">
        <f>PasteHashtag!B287</f>
        <v/>
      </c>
      <c r="C287" s="305" t="str">
        <f>PasteHashtag!C287</f>
        <v>Jay Huff</v>
      </c>
      <c r="D287" s="5" t="str">
        <f>PasteHashtag!D287</f>
        <v>C</v>
      </c>
      <c r="E287" s="5" t="str">
        <f>PasteHashtag!E287</f>
        <v>MEM</v>
      </c>
      <c r="F287" s="5">
        <f>PasteHashtag!F287</f>
        <v>22</v>
      </c>
      <c r="G287" s="5">
        <f>PasteHashtag!G287</f>
        <v>8.8</v>
      </c>
      <c r="H287" s="5">
        <f>MID(PasteHashtag!H287,1+FIND("(",PasteHashtag!H287),FIND("/",PasteHashtag!H287)-FIND("(",PasteHashtag!H287)-1)*1</f>
        <v>1.5</v>
      </c>
      <c r="I287" s="5">
        <f>LEFT(PasteHashtag!H287,FIND("(",PasteHashtag!H287)-1)*1</f>
        <v>0.599</v>
      </c>
      <c r="J287" s="5">
        <f>MID(PasteHashtag!I287,1+FIND("(",PasteHashtag!I287),FIND("/",PasteHashtag!I287)-FIND("(",PasteHashtag!I287)-1)*1</f>
        <v>1.1</v>
      </c>
      <c r="K287" s="5">
        <f>LEFT(PasteHashtag!I287,FIND("(",PasteHashtag!I287)-1)*1</f>
        <v>0.946</v>
      </c>
      <c r="L287" s="5">
        <f>PasteHashtag!J287</f>
        <v>0.6</v>
      </c>
      <c r="M287" s="5">
        <f>PasteHashtag!K287</f>
        <v>4.6</v>
      </c>
      <c r="N287" s="5">
        <f>PasteHashtag!L287</f>
        <v>2</v>
      </c>
      <c r="O287" s="5">
        <f>PasteHashtag!M287</f>
        <v>0.7</v>
      </c>
      <c r="P287" s="5">
        <f>PasteHashtag!N287</f>
        <v>0.3</v>
      </c>
      <c r="Q287" s="5">
        <f>PasteHashtag!O287</f>
        <v>0.4</v>
      </c>
      <c r="R287" s="5">
        <f>PasteHashtag!P287</f>
        <v>0.4</v>
      </c>
      <c r="S287" s="5">
        <f>Mid(PasteHashtag!H287,FIND("/",PasteHashtag!H287)+1,LEN(PasteHashtag!H287)-FIND("/",PasteHashtag!H287)-1)*1</f>
        <v>2.5</v>
      </c>
      <c r="T287" s="306">
        <f>Mid(PasteHashtag!I287,FIND("/",PasteHashtag!I287)+1,LEN(PasteHashtag!I287)-FIND("/",PasteHashtag!I287)-1)*1</f>
        <v>1.1</v>
      </c>
    </row>
    <row r="288">
      <c r="A288" s="5">
        <v>287.0</v>
      </c>
      <c r="B288" s="5" t="str">
        <f>PasteHashtag!B288</f>
        <v/>
      </c>
      <c r="C288" s="305" t="str">
        <f>PasteHashtag!C288</f>
        <v>Max Christie</v>
      </c>
      <c r="D288" s="5" t="str">
        <f>PasteHashtag!D288</f>
        <v>SG,SF</v>
      </c>
      <c r="E288" s="5" t="str">
        <f>PasteHashtag!E288</f>
        <v>LAL</v>
      </c>
      <c r="F288" s="5">
        <f>PasteHashtag!F288</f>
        <v>67</v>
      </c>
      <c r="G288" s="5">
        <f>PasteHashtag!G288</f>
        <v>22</v>
      </c>
      <c r="H288" s="5">
        <f>MID(PasteHashtag!H288,1+FIND("(",PasteHashtag!H288),FIND("/",PasteHashtag!H288)-FIND("(",PasteHashtag!H288)-1)*1</f>
        <v>2.3</v>
      </c>
      <c r="I288" s="5">
        <f>LEFT(PasteHashtag!H288,FIND("(",PasteHashtag!H288)-1)*1</f>
        <v>0.439</v>
      </c>
      <c r="J288" s="5">
        <f>MID(PasteHashtag!I288,1+FIND("(",PasteHashtag!I288),FIND("/",PasteHashtag!I288)-FIND("(",PasteHashtag!I288)-1)*1</f>
        <v>0.8</v>
      </c>
      <c r="K288" s="5">
        <f>LEFT(PasteHashtag!I288,FIND("(",PasteHashtag!I288)-1)*1</f>
        <v>0.809</v>
      </c>
      <c r="L288" s="5">
        <f>PasteHashtag!J288</f>
        <v>1</v>
      </c>
      <c r="M288" s="5">
        <f>PasteHashtag!K288</f>
        <v>6.5</v>
      </c>
      <c r="N288" s="5">
        <f>PasteHashtag!L288</f>
        <v>3.3</v>
      </c>
      <c r="O288" s="5">
        <f>PasteHashtag!M288</f>
        <v>1.2</v>
      </c>
      <c r="P288" s="5">
        <f>PasteHashtag!N288</f>
        <v>0.4</v>
      </c>
      <c r="Q288" s="5">
        <f>PasteHashtag!O288</f>
        <v>0.4</v>
      </c>
      <c r="R288" s="5">
        <f>PasteHashtag!P288</f>
        <v>0.7</v>
      </c>
      <c r="S288" s="5">
        <f>Mid(PasteHashtag!H288,FIND("/",PasteHashtag!H288)+1,LEN(PasteHashtag!H288)-FIND("/",PasteHashtag!H288)-1)*1</f>
        <v>5.3</v>
      </c>
      <c r="T288" s="306">
        <f>Mid(PasteHashtag!I288,FIND("/",PasteHashtag!I288)+1,LEN(PasteHashtag!I288)-FIND("/",PasteHashtag!I288)-1)*1</f>
        <v>0.9</v>
      </c>
    </row>
    <row r="289">
      <c r="A289" s="5">
        <v>288.0</v>
      </c>
      <c r="B289" s="5" t="str">
        <f>PasteHashtag!B289</f>
        <v/>
      </c>
      <c r="C289" s="305" t="str">
        <f>PasteHashtag!C289</f>
        <v>Ryan Dunn</v>
      </c>
      <c r="D289" s="5" t="str">
        <f>PasteHashtag!D289</f>
        <v>SF</v>
      </c>
      <c r="E289" s="5" t="str">
        <f>PasteHashtag!E289</f>
        <v>PHO</v>
      </c>
      <c r="F289" s="5">
        <f>PasteHashtag!F289</f>
        <v>48</v>
      </c>
      <c r="G289" s="5">
        <f>PasteHashtag!G289</f>
        <v>15.1</v>
      </c>
      <c r="H289" s="5">
        <f>MID(PasteHashtag!H289,1+FIND("(",PasteHashtag!H289),FIND("/",PasteHashtag!H289)-FIND("(",PasteHashtag!H289)-1)*1</f>
        <v>1.7</v>
      </c>
      <c r="I289" s="5">
        <f>LEFT(PasteHashtag!H289,FIND("(",PasteHashtag!H289)-1)*1</f>
        <v>0.498</v>
      </c>
      <c r="J289" s="5">
        <f>MID(PasteHashtag!I289,1+FIND("(",PasteHashtag!I289),FIND("/",PasteHashtag!I289)-FIND("(",PasteHashtag!I289)-1)*1</f>
        <v>0.7</v>
      </c>
      <c r="K289" s="5">
        <f>LEFT(PasteHashtag!I289,FIND("(",PasteHashtag!I289)-1)*1</f>
        <v>0.589</v>
      </c>
      <c r="L289" s="5">
        <f>PasteHashtag!J289</f>
        <v>0.1</v>
      </c>
      <c r="M289" s="5">
        <f>PasteHashtag!K289</f>
        <v>4.1</v>
      </c>
      <c r="N289" s="5">
        <f>PasteHashtag!L289</f>
        <v>3.4</v>
      </c>
      <c r="O289" s="5">
        <f>PasteHashtag!M289</f>
        <v>0.4</v>
      </c>
      <c r="P289" s="5">
        <f>PasteHashtag!N289</f>
        <v>0.6</v>
      </c>
      <c r="Q289" s="5">
        <f>PasteHashtag!O289</f>
        <v>1.1</v>
      </c>
      <c r="R289" s="5">
        <f>PasteHashtag!P289</f>
        <v>0.4</v>
      </c>
      <c r="S289" s="5">
        <f>Mid(PasteHashtag!H289,FIND("/",PasteHashtag!H289)+1,LEN(PasteHashtag!H289)-FIND("/",PasteHashtag!H289)-1)*1</f>
        <v>3.3</v>
      </c>
      <c r="T289" s="306">
        <f>Mid(PasteHashtag!I289,FIND("/",PasteHashtag!I289)+1,LEN(PasteHashtag!I289)-FIND("/",PasteHashtag!I289)-1)*1</f>
        <v>1.1</v>
      </c>
    </row>
    <row r="290">
      <c r="A290" s="5">
        <v>289.0</v>
      </c>
      <c r="B290" s="5" t="str">
        <f>PasteHashtag!B290</f>
        <v/>
      </c>
      <c r="C290" s="305" t="str">
        <f>PasteHashtag!C290</f>
        <v>Jericho Sims</v>
      </c>
      <c r="D290" s="5" t="str">
        <f>PasteHashtag!D290</f>
        <v>C</v>
      </c>
      <c r="E290" s="5" t="str">
        <f>PasteHashtag!E290</f>
        <v>NY</v>
      </c>
      <c r="F290" s="5">
        <f>PasteHashtag!F290</f>
        <v>42</v>
      </c>
      <c r="G290" s="5">
        <f>PasteHashtag!G290</f>
        <v>16.4</v>
      </c>
      <c r="H290" s="5">
        <f>MID(PasteHashtag!H290,1+FIND("(",PasteHashtag!H290),FIND("/",PasteHashtag!H290)-FIND("(",PasteHashtag!H290)-1)*1</f>
        <v>1.5</v>
      </c>
      <c r="I290" s="5">
        <f>LEFT(PasteHashtag!H290,FIND("(",PasteHashtag!H290)-1)*1</f>
        <v>0.744</v>
      </c>
      <c r="J290" s="5">
        <f>MID(PasteHashtag!I290,1+FIND("(",PasteHashtag!I290),FIND("/",PasteHashtag!I290)-FIND("(",PasteHashtag!I290)-1)*1</f>
        <v>0.3</v>
      </c>
      <c r="K290" s="5">
        <f>LEFT(PasteHashtag!I290,FIND("(",PasteHashtag!I290)-1)*1</f>
        <v>0.694</v>
      </c>
      <c r="L290" s="5">
        <f>PasteHashtag!J290</f>
        <v>0</v>
      </c>
      <c r="M290" s="5">
        <f>PasteHashtag!K290</f>
        <v>3.3</v>
      </c>
      <c r="N290" s="5">
        <f>PasteHashtag!L290</f>
        <v>4.8</v>
      </c>
      <c r="O290" s="5">
        <f>PasteHashtag!M290</f>
        <v>0.6</v>
      </c>
      <c r="P290" s="5">
        <f>PasteHashtag!N290</f>
        <v>0.3</v>
      </c>
      <c r="Q290" s="5">
        <f>PasteHashtag!O290</f>
        <v>0.6</v>
      </c>
      <c r="R290" s="5">
        <f>PasteHashtag!P290</f>
        <v>0.5</v>
      </c>
      <c r="S290" s="5">
        <f>Mid(PasteHashtag!H290,FIND("/",PasteHashtag!H290)+1,LEN(PasteHashtag!H290)-FIND("/",PasteHashtag!H290)-1)*1</f>
        <v>2</v>
      </c>
      <c r="T290" s="306">
        <f>Mid(PasteHashtag!I290,FIND("/",PasteHashtag!I290)+1,LEN(PasteHashtag!I290)-FIND("/",PasteHashtag!I290)-1)*1</f>
        <v>0.5</v>
      </c>
    </row>
    <row r="291">
      <c r="A291" s="5">
        <v>290.0</v>
      </c>
      <c r="B291" s="5" t="str">
        <f>PasteHashtag!B291</f>
        <v/>
      </c>
      <c r="C291" s="305" t="str">
        <f>PasteHashtag!C291</f>
        <v>Dalton Knecht</v>
      </c>
      <c r="D291" s="5" t="str">
        <f>PasteHashtag!D291</f>
        <v>SG</v>
      </c>
      <c r="E291" s="5" t="str">
        <f>PasteHashtag!E291</f>
        <v>LAL</v>
      </c>
      <c r="F291" s="5">
        <f>PasteHashtag!F291</f>
        <v>64</v>
      </c>
      <c r="G291" s="5">
        <f>PasteHashtag!G291</f>
        <v>17.4</v>
      </c>
      <c r="H291" s="5">
        <f>MID(PasteHashtag!H291,1+FIND("(",PasteHashtag!H291),FIND("/",PasteHashtag!H291)-FIND("(",PasteHashtag!H291)-1)*1</f>
        <v>3</v>
      </c>
      <c r="I291" s="5">
        <f>LEFT(PasteHashtag!H291,FIND("(",PasteHashtag!H291)-1)*1</f>
        <v>0.444</v>
      </c>
      <c r="J291" s="5">
        <f>MID(PasteHashtag!I291,1+FIND("(",PasteHashtag!I291),FIND("/",PasteHashtag!I291)-FIND("(",PasteHashtag!I291)-1)*1</f>
        <v>1.9</v>
      </c>
      <c r="K291" s="5">
        <f>LEFT(PasteHashtag!I291,FIND("(",PasteHashtag!I291)-1)*1</f>
        <v>0.77</v>
      </c>
      <c r="L291" s="5">
        <f>PasteHashtag!J291</f>
        <v>1.1</v>
      </c>
      <c r="M291" s="5">
        <f>PasteHashtag!K291</f>
        <v>9</v>
      </c>
      <c r="N291" s="5">
        <f>PasteHashtag!L291</f>
        <v>3.3</v>
      </c>
      <c r="O291" s="5">
        <f>PasteHashtag!M291</f>
        <v>1.1</v>
      </c>
      <c r="P291" s="5">
        <f>PasteHashtag!N291</f>
        <v>0.3</v>
      </c>
      <c r="Q291" s="5">
        <f>PasteHashtag!O291</f>
        <v>0.4</v>
      </c>
      <c r="R291" s="5">
        <f>PasteHashtag!P291</f>
        <v>0.7</v>
      </c>
      <c r="S291" s="5">
        <f>Mid(PasteHashtag!H291,FIND("/",PasteHashtag!H291)+1,LEN(PasteHashtag!H291)-FIND("/",PasteHashtag!H291)-1)*1</f>
        <v>6.8</v>
      </c>
      <c r="T291" s="306">
        <f>Mid(PasteHashtag!I291,FIND("/",PasteHashtag!I291)+1,LEN(PasteHashtag!I291)-FIND("/",PasteHashtag!I291)-1)*1</f>
        <v>2.4</v>
      </c>
    </row>
    <row r="292">
      <c r="A292" s="5">
        <v>291.0</v>
      </c>
      <c r="B292" s="5" t="str">
        <f>PasteHashtag!B292</f>
        <v/>
      </c>
      <c r="C292" s="305" t="str">
        <f>PasteHashtag!C292</f>
        <v>Damion Lee</v>
      </c>
      <c r="D292" s="5" t="str">
        <f>PasteHashtag!D292</f>
        <v>SG,SF</v>
      </c>
      <c r="E292" s="5" t="str">
        <f>PasteHashtag!E292</f>
        <v>PHO</v>
      </c>
      <c r="F292" s="5">
        <f>PasteHashtag!F292</f>
        <v>64</v>
      </c>
      <c r="G292" s="5">
        <f>PasteHashtag!G292</f>
        <v>17.8</v>
      </c>
      <c r="H292" s="5">
        <f>MID(PasteHashtag!H292,1+FIND("(",PasteHashtag!H292),FIND("/",PasteHashtag!H292)-FIND("(",PasteHashtag!H292)-1)*1</f>
        <v>2.4</v>
      </c>
      <c r="I292" s="5">
        <f>LEFT(PasteHashtag!H292,FIND("(",PasteHashtag!H292)-1)*1</f>
        <v>0.443</v>
      </c>
      <c r="J292" s="5">
        <f>MID(PasteHashtag!I292,1+FIND("(",PasteHashtag!I292),FIND("/",PasteHashtag!I292)-FIND("(",PasteHashtag!I292)-1)*1</f>
        <v>1.1</v>
      </c>
      <c r="K292" s="5">
        <f>LEFT(PasteHashtag!I292,FIND("(",PasteHashtag!I292)-1)*1</f>
        <v>0.903</v>
      </c>
      <c r="L292" s="5">
        <f>PasteHashtag!J292</f>
        <v>1.3</v>
      </c>
      <c r="M292" s="5">
        <f>PasteHashtag!K292</f>
        <v>7.2</v>
      </c>
      <c r="N292" s="5">
        <f>PasteHashtag!L292</f>
        <v>2.7</v>
      </c>
      <c r="O292" s="5">
        <f>PasteHashtag!M292</f>
        <v>1.2</v>
      </c>
      <c r="P292" s="5">
        <f>PasteHashtag!N292</f>
        <v>0.4</v>
      </c>
      <c r="Q292" s="5">
        <f>PasteHashtag!O292</f>
        <v>0.1</v>
      </c>
      <c r="R292" s="5">
        <f>PasteHashtag!P292</f>
        <v>0.9</v>
      </c>
      <c r="S292" s="5">
        <f>Mid(PasteHashtag!H292,FIND("/",PasteHashtag!H292)+1,LEN(PasteHashtag!H292)-FIND("/",PasteHashtag!H292)-1)*1</f>
        <v>5.4</v>
      </c>
      <c r="T292" s="306">
        <f>Mid(PasteHashtag!I292,FIND("/",PasteHashtag!I292)+1,LEN(PasteHashtag!I292)-FIND("/",PasteHashtag!I292)-1)*1</f>
        <v>1.2</v>
      </c>
    </row>
    <row r="293">
      <c r="A293" s="5">
        <v>292.0</v>
      </c>
      <c r="B293" s="5" t="str">
        <f>PasteHashtag!B293</f>
        <v/>
      </c>
      <c r="C293" s="305" t="str">
        <f>PasteHashtag!C293</f>
        <v>Chris Boucher</v>
      </c>
      <c r="D293" s="5" t="str">
        <f>PasteHashtag!D293</f>
        <v>PF,C</v>
      </c>
      <c r="E293" s="5" t="str">
        <f>PasteHashtag!E293</f>
        <v>TOR</v>
      </c>
      <c r="F293" s="5">
        <f>PasteHashtag!F293</f>
        <v>65</v>
      </c>
      <c r="G293" s="5">
        <f>PasteHashtag!G293</f>
        <v>13.4</v>
      </c>
      <c r="H293" s="5">
        <f>MID(PasteHashtag!H293,1+FIND("(",PasteHashtag!H293),FIND("/",PasteHashtag!H293)-FIND("(",PasteHashtag!H293)-1)*1</f>
        <v>2.3</v>
      </c>
      <c r="I293" s="5">
        <f>LEFT(PasteHashtag!H293,FIND("(",PasteHashtag!H293)-1)*1</f>
        <v>0.497</v>
      </c>
      <c r="J293" s="5">
        <f>MID(PasteHashtag!I293,1+FIND("(",PasteHashtag!I293),FIND("/",PasteHashtag!I293)-FIND("(",PasteHashtag!I293)-1)*1</f>
        <v>1.2</v>
      </c>
      <c r="K293" s="5">
        <f>LEFT(PasteHashtag!I293,FIND("(",PasteHashtag!I293)-1)*1</f>
        <v>0.766</v>
      </c>
      <c r="L293" s="5">
        <f>PasteHashtag!J293</f>
        <v>0.6</v>
      </c>
      <c r="M293" s="5">
        <f>PasteHashtag!K293</f>
        <v>6.3</v>
      </c>
      <c r="N293" s="5">
        <f>PasteHashtag!L293</f>
        <v>3.8</v>
      </c>
      <c r="O293" s="5">
        <f>PasteHashtag!M293</f>
        <v>0.3</v>
      </c>
      <c r="P293" s="5">
        <f>PasteHashtag!N293</f>
        <v>0.4</v>
      </c>
      <c r="Q293" s="5">
        <f>PasteHashtag!O293</f>
        <v>0.5</v>
      </c>
      <c r="R293" s="5">
        <f>PasteHashtag!P293</f>
        <v>0.4</v>
      </c>
      <c r="S293" s="5">
        <f>Mid(PasteHashtag!H293,FIND("/",PasteHashtag!H293)+1,LEN(PasteHashtag!H293)-FIND("/",PasteHashtag!H293)-1)*1</f>
        <v>4.5</v>
      </c>
      <c r="T293" s="306">
        <f>Mid(PasteHashtag!I293,FIND("/",PasteHashtag!I293)+1,LEN(PasteHashtag!I293)-FIND("/",PasteHashtag!I293)-1)*1</f>
        <v>1.6</v>
      </c>
    </row>
    <row r="294">
      <c r="A294" s="5">
        <v>293.0</v>
      </c>
      <c r="B294" s="5" t="str">
        <f>PasteHashtag!B294</f>
        <v/>
      </c>
      <c r="C294" s="305" t="str">
        <f>PasteHashtag!C294</f>
        <v>Duop Reath</v>
      </c>
      <c r="D294" s="5" t="str">
        <f>PasteHashtag!D294</f>
        <v>C</v>
      </c>
      <c r="E294" s="5" t="str">
        <f>PasteHashtag!E294</f>
        <v>POR</v>
      </c>
      <c r="F294" s="5">
        <f>PasteHashtag!F294</f>
        <v>58</v>
      </c>
      <c r="G294" s="5">
        <f>PasteHashtag!G294</f>
        <v>14.3</v>
      </c>
      <c r="H294" s="5">
        <f>MID(PasteHashtag!H294,1+FIND("(",PasteHashtag!H294),FIND("/",PasteHashtag!H294)-FIND("(",PasteHashtag!H294)-1)*1</f>
        <v>2.7</v>
      </c>
      <c r="I294" s="5">
        <f>LEFT(PasteHashtag!H294,FIND("(",PasteHashtag!H294)-1)*1</f>
        <v>0.461</v>
      </c>
      <c r="J294" s="5">
        <f>MID(PasteHashtag!I294,1+FIND("(",PasteHashtag!I294),FIND("/",PasteHashtag!I294)-FIND("(",PasteHashtag!I294)-1)*1</f>
        <v>0.8</v>
      </c>
      <c r="K294" s="5">
        <f>LEFT(PasteHashtag!I294,FIND("(",PasteHashtag!I294)-1)*1</f>
        <v>0.739</v>
      </c>
      <c r="L294" s="5">
        <f>PasteHashtag!J294</f>
        <v>1.1</v>
      </c>
      <c r="M294" s="5">
        <f>PasteHashtag!K294</f>
        <v>7.3</v>
      </c>
      <c r="N294" s="5">
        <f>PasteHashtag!L294</f>
        <v>3</v>
      </c>
      <c r="O294" s="5">
        <f>PasteHashtag!M294</f>
        <v>0.8</v>
      </c>
      <c r="P294" s="5">
        <f>PasteHashtag!N294</f>
        <v>0.4</v>
      </c>
      <c r="Q294" s="5">
        <f>PasteHashtag!O294</f>
        <v>0.5</v>
      </c>
      <c r="R294" s="5">
        <f>PasteHashtag!P294</f>
        <v>0.6</v>
      </c>
      <c r="S294" s="5">
        <f>Mid(PasteHashtag!H294,FIND("/",PasteHashtag!H294)+1,LEN(PasteHashtag!H294)-FIND("/",PasteHashtag!H294)-1)*1</f>
        <v>5.9</v>
      </c>
      <c r="T294" s="306">
        <f>Mid(PasteHashtag!I294,FIND("/",PasteHashtag!I294)+1,LEN(PasteHashtag!I294)-FIND("/",PasteHashtag!I294)-1)*1</f>
        <v>1.1</v>
      </c>
    </row>
    <row r="295">
      <c r="A295" s="5">
        <v>294.0</v>
      </c>
      <c r="B295" s="5" t="str">
        <f>PasteHashtag!B295</f>
        <v/>
      </c>
      <c r="C295" s="305" t="str">
        <f>PasteHashtag!C295</f>
        <v>Gary Harris</v>
      </c>
      <c r="D295" s="5" t="str">
        <f>PasteHashtag!D295</f>
        <v>PG,SG</v>
      </c>
      <c r="E295" s="5" t="str">
        <f>PasteHashtag!E295</f>
        <v>ORL</v>
      </c>
      <c r="F295" s="5">
        <f>PasteHashtag!F295</f>
        <v>50</v>
      </c>
      <c r="G295" s="5">
        <f>PasteHashtag!G295</f>
        <v>18</v>
      </c>
      <c r="H295" s="5">
        <f>MID(PasteHashtag!H295,1+FIND("(",PasteHashtag!H295),FIND("/",PasteHashtag!H295)-FIND("(",PasteHashtag!H295)-1)*1</f>
        <v>2</v>
      </c>
      <c r="I295" s="5">
        <f>LEFT(PasteHashtag!H295,FIND("(",PasteHashtag!H295)-1)*1</f>
        <v>0.445</v>
      </c>
      <c r="J295" s="5">
        <f>MID(PasteHashtag!I295,1+FIND("(",PasteHashtag!I295),FIND("/",PasteHashtag!I295)-FIND("(",PasteHashtag!I295)-1)*1</f>
        <v>0.5</v>
      </c>
      <c r="K295" s="5">
        <f>LEFT(PasteHashtag!I295,FIND("(",PasteHashtag!I295)-1)*1</f>
        <v>0.818</v>
      </c>
      <c r="L295" s="5">
        <f>PasteHashtag!J295</f>
        <v>1.3</v>
      </c>
      <c r="M295" s="5">
        <f>PasteHashtag!K295</f>
        <v>5.6</v>
      </c>
      <c r="N295" s="5">
        <f>PasteHashtag!L295</f>
        <v>1.4</v>
      </c>
      <c r="O295" s="5">
        <f>PasteHashtag!M295</f>
        <v>1.1</v>
      </c>
      <c r="P295" s="5">
        <f>PasteHashtag!N295</f>
        <v>0.7</v>
      </c>
      <c r="Q295" s="5">
        <f>PasteHashtag!O295</f>
        <v>0.2</v>
      </c>
      <c r="R295" s="5">
        <f>PasteHashtag!P295</f>
        <v>0.4</v>
      </c>
      <c r="S295" s="5">
        <f>Mid(PasteHashtag!H295,FIND("/",PasteHashtag!H295)+1,LEN(PasteHashtag!H295)-FIND("/",PasteHashtag!H295)-1)*1</f>
        <v>4.4</v>
      </c>
      <c r="T295" s="306">
        <f>Mid(PasteHashtag!I295,FIND("/",PasteHashtag!I295)+1,LEN(PasteHashtag!I295)-FIND("/",PasteHashtag!I295)-1)*1</f>
        <v>0.6</v>
      </c>
    </row>
    <row r="296">
      <c r="A296" s="5">
        <v>295.0</v>
      </c>
      <c r="B296" s="5" t="str">
        <f>PasteHashtag!B296</f>
        <v/>
      </c>
      <c r="C296" s="305" t="str">
        <f>PasteHashtag!C296</f>
        <v>Dante Exum</v>
      </c>
      <c r="D296" s="5" t="str">
        <f>PasteHashtag!D296</f>
        <v>PG,SG</v>
      </c>
      <c r="E296" s="5" t="str">
        <f>PasteHashtag!E296</f>
        <v>DAL</v>
      </c>
      <c r="F296" s="5">
        <f>PasteHashtag!F296</f>
        <v>20</v>
      </c>
      <c r="G296" s="5">
        <f>PasteHashtag!G296</f>
        <v>16.7</v>
      </c>
      <c r="H296" s="5">
        <f>MID(PasteHashtag!H296,1+FIND("(",PasteHashtag!H296),FIND("/",PasteHashtag!H296)-FIND("(",PasteHashtag!H296)-1)*1</f>
        <v>2.4</v>
      </c>
      <c r="I296" s="5">
        <f>LEFT(PasteHashtag!H296,FIND("(",PasteHashtag!H296)-1)*1</f>
        <v>0.535</v>
      </c>
      <c r="J296" s="5">
        <f>MID(PasteHashtag!I296,1+FIND("(",PasteHashtag!I296),FIND("/",PasteHashtag!I296)-FIND("(",PasteHashtag!I296)-1)*1</f>
        <v>0.8</v>
      </c>
      <c r="K296" s="5">
        <f>LEFT(PasteHashtag!I296,FIND("(",PasteHashtag!I296)-1)*1</f>
        <v>0.782</v>
      </c>
      <c r="L296" s="5">
        <f>PasteHashtag!J296</f>
        <v>0.8</v>
      </c>
      <c r="M296" s="5">
        <f>PasteHashtag!K296</f>
        <v>6.4</v>
      </c>
      <c r="N296" s="5">
        <f>PasteHashtag!L296</f>
        <v>2.2</v>
      </c>
      <c r="O296" s="5">
        <f>PasteHashtag!M296</f>
        <v>2.3</v>
      </c>
      <c r="P296" s="5">
        <f>PasteHashtag!N296</f>
        <v>0.3</v>
      </c>
      <c r="Q296" s="5">
        <f>PasteHashtag!O296</f>
        <v>0.1</v>
      </c>
      <c r="R296" s="5">
        <f>PasteHashtag!P296</f>
        <v>0.7</v>
      </c>
      <c r="S296" s="5">
        <f>Mid(PasteHashtag!H296,FIND("/",PasteHashtag!H296)+1,LEN(PasteHashtag!H296)-FIND("/",PasteHashtag!H296)-1)*1</f>
        <v>4.5</v>
      </c>
      <c r="T296" s="306">
        <f>Mid(PasteHashtag!I296,FIND("/",PasteHashtag!I296)+1,LEN(PasteHashtag!I296)-FIND("/",PasteHashtag!I296)-1)*1</f>
        <v>1</v>
      </c>
    </row>
    <row r="297">
      <c r="A297" s="5">
        <v>296.0</v>
      </c>
      <c r="B297" s="5" t="str">
        <f>PasteHashtag!B297</f>
        <v/>
      </c>
      <c r="C297" s="305" t="str">
        <f>PasteHashtag!C297</f>
        <v>Leonard Miller</v>
      </c>
      <c r="D297" s="5" t="str">
        <f>PasteHashtag!D297</f>
        <v>PF</v>
      </c>
      <c r="E297" s="5" t="str">
        <f>PasteHashtag!E297</f>
        <v>MIN</v>
      </c>
      <c r="F297" s="5">
        <f>PasteHashtag!F297</f>
        <v>44</v>
      </c>
      <c r="G297" s="5">
        <f>PasteHashtag!G297</f>
        <v>8.8</v>
      </c>
      <c r="H297" s="5">
        <f>MID(PasteHashtag!H297,1+FIND("(",PasteHashtag!H297),FIND("/",PasteHashtag!H297)-FIND("(",PasteHashtag!H297)-1)*1</f>
        <v>2.2</v>
      </c>
      <c r="I297" s="5">
        <f>LEFT(PasteHashtag!H297,FIND("(",PasteHashtag!H297)-1)*1</f>
        <v>0.652</v>
      </c>
      <c r="J297" s="5">
        <f>MID(PasteHashtag!I297,1+FIND("(",PasteHashtag!I297),FIND("/",PasteHashtag!I297)-FIND("(",PasteHashtag!I297)-1)*1</f>
        <v>0.2</v>
      </c>
      <c r="K297" s="5">
        <f>LEFT(PasteHashtag!I297,FIND("(",PasteHashtag!I297)-1)*1</f>
        <v>0.5</v>
      </c>
      <c r="L297" s="5">
        <f>PasteHashtag!J297</f>
        <v>0.3</v>
      </c>
      <c r="M297" s="5">
        <f>PasteHashtag!K297</f>
        <v>4.9</v>
      </c>
      <c r="N297" s="5">
        <f>PasteHashtag!L297</f>
        <v>3.4</v>
      </c>
      <c r="O297" s="5">
        <f>PasteHashtag!M297</f>
        <v>1.4</v>
      </c>
      <c r="P297" s="5">
        <f>PasteHashtag!N297</f>
        <v>0.3</v>
      </c>
      <c r="Q297" s="5">
        <f>PasteHashtag!O297</f>
        <v>0.2</v>
      </c>
      <c r="R297" s="5">
        <f>PasteHashtag!P297</f>
        <v>0.2</v>
      </c>
      <c r="S297" s="5">
        <f>Mid(PasteHashtag!H297,FIND("/",PasteHashtag!H297)+1,LEN(PasteHashtag!H297)-FIND("/",PasteHashtag!H297)-1)*1</f>
        <v>3.4</v>
      </c>
      <c r="T297" s="306">
        <f>Mid(PasteHashtag!I297,FIND("/",PasteHashtag!I297)+1,LEN(PasteHashtag!I297)-FIND("/",PasteHashtag!I297)-1)*1</f>
        <v>0.3</v>
      </c>
    </row>
    <row r="298">
      <c r="A298" s="5">
        <v>297.0</v>
      </c>
      <c r="B298" s="5">
        <f>PasteHashtag!B298</f>
        <v>139.8</v>
      </c>
      <c r="C298" s="305" t="str">
        <f>PasteHashtag!C298</f>
        <v>Steven Adams</v>
      </c>
      <c r="D298" s="5" t="str">
        <f>PasteHashtag!D298</f>
        <v>C</v>
      </c>
      <c r="E298" s="5" t="str">
        <f>PasteHashtag!E298</f>
        <v>HOU</v>
      </c>
      <c r="F298" s="5">
        <f>PasteHashtag!F298</f>
        <v>60</v>
      </c>
      <c r="G298" s="5">
        <f>PasteHashtag!G298</f>
        <v>17.8</v>
      </c>
      <c r="H298" s="5">
        <f>MID(PasteHashtag!H298,1+FIND("(",PasteHashtag!H298),FIND("/",PasteHashtag!H298)-FIND("(",PasteHashtag!H298)-1)*1</f>
        <v>2.5</v>
      </c>
      <c r="I298" s="5">
        <f>LEFT(PasteHashtag!H298,FIND("(",PasteHashtag!H298)-1)*1</f>
        <v>0.597</v>
      </c>
      <c r="J298" s="5">
        <f>MID(PasteHashtag!I298,1+FIND("(",PasteHashtag!I298),FIND("/",PasteHashtag!I298)-FIND("(",PasteHashtag!I298)-1)*1</f>
        <v>0.8</v>
      </c>
      <c r="K298" s="5">
        <f>LEFT(PasteHashtag!I298,FIND("(",PasteHashtag!I298)-1)*1</f>
        <v>0.366</v>
      </c>
      <c r="L298" s="5">
        <f>PasteHashtag!J298</f>
        <v>0</v>
      </c>
      <c r="M298" s="5">
        <f>PasteHashtag!K298</f>
        <v>5.7</v>
      </c>
      <c r="N298" s="5">
        <f>PasteHashtag!L298</f>
        <v>7.7</v>
      </c>
      <c r="O298" s="5">
        <f>PasteHashtag!M298</f>
        <v>1.5</v>
      </c>
      <c r="P298" s="5">
        <f>PasteHashtag!N298</f>
        <v>0.6</v>
      </c>
      <c r="Q298" s="5">
        <f>PasteHashtag!O298</f>
        <v>0.7</v>
      </c>
      <c r="R298" s="5">
        <f>PasteHashtag!P298</f>
        <v>1.3</v>
      </c>
      <c r="S298" s="5">
        <f>Mid(PasteHashtag!H298,FIND("/",PasteHashtag!H298)+1,LEN(PasteHashtag!H298)-FIND("/",PasteHashtag!H298)-1)*1</f>
        <v>4.2</v>
      </c>
      <c r="T298" s="306">
        <f>Mid(PasteHashtag!I298,FIND("/",PasteHashtag!I298)+1,LEN(PasteHashtag!I298)-FIND("/",PasteHashtag!I298)-1)*1</f>
        <v>2.1</v>
      </c>
    </row>
    <row r="299">
      <c r="A299" s="5">
        <v>298.0</v>
      </c>
      <c r="B299" s="5" t="str">
        <f>PasteHashtag!B299</f>
        <v/>
      </c>
      <c r="C299" s="305" t="str">
        <f>PasteHashtag!C299</f>
        <v>James Wiseman</v>
      </c>
      <c r="D299" s="5" t="str">
        <f>PasteHashtag!D299</f>
        <v>C</v>
      </c>
      <c r="E299" s="5" t="str">
        <f>PasteHashtag!E299</f>
        <v>IND</v>
      </c>
      <c r="F299" s="5">
        <f>PasteHashtag!F299</f>
        <v>50</v>
      </c>
      <c r="G299" s="5">
        <f>PasteHashtag!G299</f>
        <v>15.4</v>
      </c>
      <c r="H299" s="5">
        <f>MID(PasteHashtag!H299,1+FIND("(",PasteHashtag!H299),FIND("/",PasteHashtag!H299)-FIND("(",PasteHashtag!H299)-1)*1</f>
        <v>3</v>
      </c>
      <c r="I299" s="5">
        <f>LEFT(PasteHashtag!H299,FIND("(",PasteHashtag!H299)-1)*1</f>
        <v>0.584</v>
      </c>
      <c r="J299" s="5">
        <f>MID(PasteHashtag!I299,1+FIND("(",PasteHashtag!I299),FIND("/",PasteHashtag!I299)-FIND("(",PasteHashtag!I299)-1)*1</f>
        <v>1.1</v>
      </c>
      <c r="K299" s="5">
        <f>LEFT(PasteHashtag!I299,FIND("(",PasteHashtag!I299)-1)*1</f>
        <v>0.703</v>
      </c>
      <c r="L299" s="5">
        <f>PasteHashtag!J299</f>
        <v>0</v>
      </c>
      <c r="M299" s="5">
        <f>PasteHashtag!K299</f>
        <v>7.1</v>
      </c>
      <c r="N299" s="5">
        <f>PasteHashtag!L299</f>
        <v>4.8</v>
      </c>
      <c r="O299" s="5">
        <f>PasteHashtag!M299</f>
        <v>0.7</v>
      </c>
      <c r="P299" s="5">
        <f>PasteHashtag!N299</f>
        <v>0.2</v>
      </c>
      <c r="Q299" s="5">
        <f>PasteHashtag!O299</f>
        <v>0.5</v>
      </c>
      <c r="R299" s="5">
        <f>PasteHashtag!P299</f>
        <v>0.9</v>
      </c>
      <c r="S299" s="5">
        <f>Mid(PasteHashtag!H299,FIND("/",PasteHashtag!H299)+1,LEN(PasteHashtag!H299)-FIND("/",PasteHashtag!H299)-1)*1</f>
        <v>5.1</v>
      </c>
      <c r="T299" s="306">
        <f>Mid(PasteHashtag!I299,FIND("/",PasteHashtag!I299)+1,LEN(PasteHashtag!I299)-FIND("/",PasteHashtag!I299)-1)*1</f>
        <v>1.6</v>
      </c>
    </row>
    <row r="300">
      <c r="A300" s="5">
        <v>299.0</v>
      </c>
      <c r="B300" s="5" t="str">
        <f>PasteHashtag!B300</f>
        <v/>
      </c>
      <c r="C300" s="305" t="str">
        <f>PasteHashtag!C300</f>
        <v>Seth Curry</v>
      </c>
      <c r="D300" s="5" t="str">
        <f>PasteHashtag!D300</f>
        <v>SG</v>
      </c>
      <c r="E300" s="5" t="str">
        <f>PasteHashtag!E300</f>
        <v>CHA</v>
      </c>
      <c r="F300" s="5">
        <f>PasteHashtag!F300</f>
        <v>60</v>
      </c>
      <c r="G300" s="5">
        <f>PasteHashtag!G300</f>
        <v>15.9</v>
      </c>
      <c r="H300" s="5">
        <f>MID(PasteHashtag!H300,1+FIND("(",PasteHashtag!H300),FIND("/",PasteHashtag!H300)-FIND("(",PasteHashtag!H300)-1)*1</f>
        <v>2.6</v>
      </c>
      <c r="I300" s="5">
        <f>LEFT(PasteHashtag!H300,FIND("(",PasteHashtag!H300)-1)*1</f>
        <v>0.441</v>
      </c>
      <c r="J300" s="5">
        <f>MID(PasteHashtag!I300,1+FIND("(",PasteHashtag!I300),FIND("/",PasteHashtag!I300)-FIND("(",PasteHashtag!I300)-1)*1</f>
        <v>0.7</v>
      </c>
      <c r="K300" s="5">
        <f>LEFT(PasteHashtag!I300,FIND("(",PasteHashtag!I300)-1)*1</f>
        <v>0.921</v>
      </c>
      <c r="L300" s="5">
        <f>PasteHashtag!J300</f>
        <v>1.2</v>
      </c>
      <c r="M300" s="5">
        <f>PasteHashtag!K300</f>
        <v>7</v>
      </c>
      <c r="N300" s="5">
        <f>PasteHashtag!L300</f>
        <v>1.5</v>
      </c>
      <c r="O300" s="5">
        <f>PasteHashtag!M300</f>
        <v>1.3</v>
      </c>
      <c r="P300" s="5">
        <f>PasteHashtag!N300</f>
        <v>0.5</v>
      </c>
      <c r="Q300" s="5">
        <f>PasteHashtag!O300</f>
        <v>0.1</v>
      </c>
      <c r="R300" s="5">
        <f>PasteHashtag!P300</f>
        <v>0.6</v>
      </c>
      <c r="S300" s="5">
        <f>Mid(PasteHashtag!H300,FIND("/",PasteHashtag!H300)+1,LEN(PasteHashtag!H300)-FIND("/",PasteHashtag!H300)-1)*1</f>
        <v>5.8</v>
      </c>
      <c r="T300" s="306">
        <f>Mid(PasteHashtag!I300,FIND("/",PasteHashtag!I300)+1,LEN(PasteHashtag!I300)-FIND("/",PasteHashtag!I300)-1)*1</f>
        <v>0.8</v>
      </c>
    </row>
    <row r="301">
      <c r="A301" s="5">
        <v>300.0</v>
      </c>
      <c r="B301" s="5" t="str">
        <f>PasteHashtag!B301</f>
        <v/>
      </c>
      <c r="C301" s="305" t="str">
        <f>PasteHashtag!C301</f>
        <v>Jaylin Williams</v>
      </c>
      <c r="D301" s="5" t="str">
        <f>PasteHashtag!D301</f>
        <v>PF,C</v>
      </c>
      <c r="E301" s="5" t="str">
        <f>PasteHashtag!E301</f>
        <v>OKC</v>
      </c>
      <c r="F301" s="5">
        <f>PasteHashtag!F301</f>
        <v>69</v>
      </c>
      <c r="G301" s="5">
        <f>PasteHashtag!G301</f>
        <v>14.5</v>
      </c>
      <c r="H301" s="5">
        <f>MID(PasteHashtag!H301,1+FIND("(",PasteHashtag!H301),FIND("/",PasteHashtag!H301)-FIND("(",PasteHashtag!H301)-1)*1</f>
        <v>1.6</v>
      </c>
      <c r="I301" s="5">
        <f>LEFT(PasteHashtag!H301,FIND("(",PasteHashtag!H301)-1)*1</f>
        <v>0.426</v>
      </c>
      <c r="J301" s="5">
        <f>MID(PasteHashtag!I301,1+FIND("(",PasteHashtag!I301),FIND("/",PasteHashtag!I301)-FIND("(",PasteHashtag!I301)-1)*1</f>
        <v>0.6</v>
      </c>
      <c r="K301" s="5">
        <f>LEFT(PasteHashtag!I301,FIND("(",PasteHashtag!I301)-1)*1</f>
        <v>0.74</v>
      </c>
      <c r="L301" s="5">
        <f>PasteHashtag!J301</f>
        <v>0.8</v>
      </c>
      <c r="M301" s="5">
        <f>PasteHashtag!K301</f>
        <v>4.6</v>
      </c>
      <c r="N301" s="5">
        <f>PasteHashtag!L301</f>
        <v>3.8</v>
      </c>
      <c r="O301" s="5">
        <f>PasteHashtag!M301</f>
        <v>1.5</v>
      </c>
      <c r="P301" s="5">
        <f>PasteHashtag!N301</f>
        <v>0.5</v>
      </c>
      <c r="Q301" s="5">
        <f>PasteHashtag!O301</f>
        <v>0.3</v>
      </c>
      <c r="R301" s="5">
        <f>PasteHashtag!P301</f>
        <v>0.6</v>
      </c>
      <c r="S301" s="5">
        <f>Mid(PasteHashtag!H301,FIND("/",PasteHashtag!H301)+1,LEN(PasteHashtag!H301)-FIND("/",PasteHashtag!H301)-1)*1</f>
        <v>3.7</v>
      </c>
      <c r="T301" s="306">
        <f>Mid(PasteHashtag!I301,FIND("/",PasteHashtag!I301)+1,LEN(PasteHashtag!I301)-FIND("/",PasteHashtag!I301)-1)*1</f>
        <v>0.8</v>
      </c>
    </row>
    <row r="302">
      <c r="A302" s="5">
        <v>301.0</v>
      </c>
      <c r="B302" s="5" t="str">
        <f>PasteHashtag!B302</f>
        <v/>
      </c>
      <c r="C302" s="305" t="str">
        <f>PasteHashtag!C302</f>
        <v>Trey Jemison</v>
      </c>
      <c r="D302" s="5" t="str">
        <f>PasteHashtag!D302</f>
        <v>C</v>
      </c>
      <c r="E302" s="5" t="str">
        <f>PasteHashtag!E302</f>
        <v>NO</v>
      </c>
      <c r="F302" s="5">
        <f>PasteHashtag!F302</f>
        <v>40</v>
      </c>
      <c r="G302" s="5">
        <f>PasteHashtag!G302</f>
        <v>13.3</v>
      </c>
      <c r="H302" s="5">
        <f>MID(PasteHashtag!H302,1+FIND("(",PasteHashtag!H302),FIND("/",PasteHashtag!H302)-FIND("(",PasteHashtag!H302)-1)*1</f>
        <v>1.9</v>
      </c>
      <c r="I302" s="5">
        <f>LEFT(PasteHashtag!H302,FIND("(",PasteHashtag!H302)-1)*1</f>
        <v>0.552</v>
      </c>
      <c r="J302" s="5">
        <f>MID(PasteHashtag!I302,1+FIND("(",PasteHashtag!I302),FIND("/",PasteHashtag!I302)-FIND("(",PasteHashtag!I302)-1)*1</f>
        <v>0.5</v>
      </c>
      <c r="K302" s="5">
        <f>LEFT(PasteHashtag!I302,FIND("(",PasteHashtag!I302)-1)*1</f>
        <v>0.839</v>
      </c>
      <c r="L302" s="5">
        <f>PasteHashtag!J302</f>
        <v>0</v>
      </c>
      <c r="M302" s="5">
        <f>PasteHashtag!K302</f>
        <v>4.2</v>
      </c>
      <c r="N302" s="5">
        <f>PasteHashtag!L302</f>
        <v>3.3</v>
      </c>
      <c r="O302" s="5">
        <f>PasteHashtag!M302</f>
        <v>0.7</v>
      </c>
      <c r="P302" s="5">
        <f>PasteHashtag!N302</f>
        <v>0.3</v>
      </c>
      <c r="Q302" s="5">
        <f>PasteHashtag!O302</f>
        <v>0.7</v>
      </c>
      <c r="R302" s="5">
        <f>PasteHashtag!P302</f>
        <v>0.8</v>
      </c>
      <c r="S302" s="5">
        <f>Mid(PasteHashtag!H302,FIND("/",PasteHashtag!H302)+1,LEN(PasteHashtag!H302)-FIND("/",PasteHashtag!H302)-1)*1</f>
        <v>3.4</v>
      </c>
      <c r="T302" s="306">
        <f>Mid(PasteHashtag!I302,FIND("/",PasteHashtag!I302)+1,LEN(PasteHashtag!I302)-FIND("/",PasteHashtag!I302)-1)*1</f>
        <v>0.6</v>
      </c>
    </row>
    <row r="303">
      <c r="A303" s="5">
        <v>302.0</v>
      </c>
      <c r="B303" s="5" t="str">
        <f>PasteHashtag!B303</f>
        <v/>
      </c>
      <c r="C303" s="305" t="str">
        <f>PasteHashtag!C303</f>
        <v>Thomas Bryant</v>
      </c>
      <c r="D303" s="5" t="str">
        <f>PasteHashtag!D303</f>
        <v>C</v>
      </c>
      <c r="E303" s="5" t="str">
        <f>PasteHashtag!E303</f>
        <v>MIA</v>
      </c>
      <c r="F303" s="5">
        <f>PasteHashtag!F303</f>
        <v>38</v>
      </c>
      <c r="G303" s="5">
        <f>PasteHashtag!G303</f>
        <v>11.4</v>
      </c>
      <c r="H303" s="5">
        <f>MID(PasteHashtag!H303,1+FIND("(",PasteHashtag!H303),FIND("/",PasteHashtag!H303)-FIND("(",PasteHashtag!H303)-1)*1</f>
        <v>2.4</v>
      </c>
      <c r="I303" s="5">
        <f>LEFT(PasteHashtag!H303,FIND("(",PasteHashtag!H303)-1)*1</f>
        <v>0.61</v>
      </c>
      <c r="J303" s="5">
        <f>MID(PasteHashtag!I303,1+FIND("(",PasteHashtag!I303),FIND("/",PasteHashtag!I303)-FIND("(",PasteHashtag!I303)-1)*1</f>
        <v>1</v>
      </c>
      <c r="K303" s="5">
        <f>LEFT(PasteHashtag!I303,FIND("(",PasteHashtag!I303)-1)*1</f>
        <v>0.771</v>
      </c>
      <c r="L303" s="5">
        <f>PasteHashtag!J303</f>
        <v>0.2</v>
      </c>
      <c r="M303" s="5">
        <f>PasteHashtag!K303</f>
        <v>6</v>
      </c>
      <c r="N303" s="5">
        <f>PasteHashtag!L303</f>
        <v>3.6</v>
      </c>
      <c r="O303" s="5">
        <f>PasteHashtag!M303</f>
        <v>0.4</v>
      </c>
      <c r="P303" s="5">
        <f>PasteHashtag!N303</f>
        <v>0.2</v>
      </c>
      <c r="Q303" s="5">
        <f>PasteHashtag!O303</f>
        <v>0.4</v>
      </c>
      <c r="R303" s="5">
        <f>PasteHashtag!P303</f>
        <v>0.5</v>
      </c>
      <c r="S303" s="5">
        <f>Mid(PasteHashtag!H303,FIND("/",PasteHashtag!H303)+1,LEN(PasteHashtag!H303)-FIND("/",PasteHashtag!H303)-1)*1</f>
        <v>3.9</v>
      </c>
      <c r="T303" s="306">
        <f>Mid(PasteHashtag!I303,FIND("/",PasteHashtag!I303)+1,LEN(PasteHashtag!I303)-FIND("/",PasteHashtag!I303)-1)*1</f>
        <v>1.3</v>
      </c>
    </row>
    <row r="304">
      <c r="A304" s="5">
        <v>303.0</v>
      </c>
      <c r="B304" s="5" t="str">
        <f>PasteHashtag!B304</f>
        <v/>
      </c>
      <c r="C304" s="305" t="str">
        <f>PasteHashtag!C304</f>
        <v>Devin Carter</v>
      </c>
      <c r="D304" s="5" t="str">
        <f>PasteHashtag!D304</f>
        <v>PG</v>
      </c>
      <c r="E304" s="5" t="str">
        <f>PasteHashtag!E304</f>
        <v>SAC</v>
      </c>
      <c r="F304" s="5">
        <f>PasteHashtag!F304</f>
        <v>30</v>
      </c>
      <c r="G304" s="5">
        <f>PasteHashtag!G304</f>
        <v>14.5</v>
      </c>
      <c r="H304" s="5">
        <f>MID(PasteHashtag!H304,1+FIND("(",PasteHashtag!H304),FIND("/",PasteHashtag!H304)-FIND("(",PasteHashtag!H304)-1)*1</f>
        <v>2</v>
      </c>
      <c r="I304" s="5">
        <f>LEFT(PasteHashtag!H304,FIND("(",PasteHashtag!H304)-1)*1</f>
        <v>0.472</v>
      </c>
      <c r="J304" s="5">
        <f>MID(PasteHashtag!I304,1+FIND("(",PasteHashtag!I304),FIND("/",PasteHashtag!I304)-FIND("(",PasteHashtag!I304)-1)*1</f>
        <v>1.2</v>
      </c>
      <c r="K304" s="5">
        <f>LEFT(PasteHashtag!I304,FIND("(",PasteHashtag!I304)-1)*1</f>
        <v>0.748</v>
      </c>
      <c r="L304" s="5">
        <f>PasteHashtag!J304</f>
        <v>0.8</v>
      </c>
      <c r="M304" s="5">
        <f>PasteHashtag!K304</f>
        <v>6.1</v>
      </c>
      <c r="N304" s="5">
        <f>PasteHashtag!L304</f>
        <v>2.7</v>
      </c>
      <c r="O304" s="5">
        <f>PasteHashtag!M304</f>
        <v>1.1</v>
      </c>
      <c r="P304" s="5">
        <f>PasteHashtag!N304</f>
        <v>0.5</v>
      </c>
      <c r="Q304" s="5">
        <f>PasteHashtag!O304</f>
        <v>0.3</v>
      </c>
      <c r="R304" s="5">
        <f>PasteHashtag!P304</f>
        <v>0.8</v>
      </c>
      <c r="S304" s="5">
        <f>Mid(PasteHashtag!H304,FIND("/",PasteHashtag!H304)+1,LEN(PasteHashtag!H304)-FIND("/",PasteHashtag!H304)-1)*1</f>
        <v>4.3</v>
      </c>
      <c r="T304" s="306">
        <f>Mid(PasteHashtag!I304,FIND("/",PasteHashtag!I304)+1,LEN(PasteHashtag!I304)-FIND("/",PasteHashtag!I304)-1)*1</f>
        <v>1.6</v>
      </c>
    </row>
    <row r="305">
      <c r="A305" s="5">
        <v>304.0</v>
      </c>
      <c r="B305" s="5" t="str">
        <f>PasteHashtag!B305</f>
        <v/>
      </c>
      <c r="C305" s="305" t="str">
        <f>PasteHashtag!C305</f>
        <v>Joe Ingles</v>
      </c>
      <c r="D305" s="5" t="str">
        <f>PasteHashtag!D305</f>
        <v>SG,SF</v>
      </c>
      <c r="E305" s="5" t="str">
        <f>PasteHashtag!E305</f>
        <v>MIN</v>
      </c>
      <c r="F305" s="5">
        <f>PasteHashtag!F305</f>
        <v>50</v>
      </c>
      <c r="G305" s="5">
        <f>PasteHashtag!G305</f>
        <v>15.1</v>
      </c>
      <c r="H305" s="5">
        <f>MID(PasteHashtag!H305,1+FIND("(",PasteHashtag!H305),FIND("/",PasteHashtag!H305)-FIND("(",PasteHashtag!H305)-1)*1</f>
        <v>1.4</v>
      </c>
      <c r="I305" s="5">
        <f>LEFT(PasteHashtag!H305,FIND("(",PasteHashtag!H305)-1)*1</f>
        <v>0.437</v>
      </c>
      <c r="J305" s="5">
        <f>MID(PasteHashtag!I305,1+FIND("(",PasteHashtag!I305),FIND("/",PasteHashtag!I305)-FIND("(",PasteHashtag!I305)-1)*1</f>
        <v>0.3</v>
      </c>
      <c r="K305" s="5">
        <f>LEFT(PasteHashtag!I305,FIND("(",PasteHashtag!I305)-1)*1</f>
        <v>0.842</v>
      </c>
      <c r="L305" s="5">
        <f>PasteHashtag!J305</f>
        <v>1.1</v>
      </c>
      <c r="M305" s="5">
        <f>PasteHashtag!K305</f>
        <v>4.2</v>
      </c>
      <c r="N305" s="5">
        <f>PasteHashtag!L305</f>
        <v>1.9</v>
      </c>
      <c r="O305" s="5">
        <f>PasteHashtag!M305</f>
        <v>2.4</v>
      </c>
      <c r="P305" s="5">
        <f>PasteHashtag!N305</f>
        <v>0.5</v>
      </c>
      <c r="Q305" s="5">
        <f>PasteHashtag!O305</f>
        <v>0.1</v>
      </c>
      <c r="R305" s="5">
        <f>PasteHashtag!P305</f>
        <v>0.8</v>
      </c>
      <c r="S305" s="5">
        <f>Mid(PasteHashtag!H305,FIND("/",PasteHashtag!H305)+1,LEN(PasteHashtag!H305)-FIND("/",PasteHashtag!H305)-1)*1</f>
        <v>3.3</v>
      </c>
      <c r="T305" s="306">
        <f>Mid(PasteHashtag!I305,FIND("/",PasteHashtag!I305)+1,LEN(PasteHashtag!I305)-FIND("/",PasteHashtag!I305)-1)*1</f>
        <v>0.4</v>
      </c>
    </row>
    <row r="306">
      <c r="A306" s="5">
        <v>305.0</v>
      </c>
      <c r="B306" s="5">
        <f>PasteHashtag!B306</f>
        <v>140.6</v>
      </c>
      <c r="C306" s="305" t="str">
        <f>PasteHashtag!C306</f>
        <v>Tim Hardaway Jr.</v>
      </c>
      <c r="D306" s="5" t="str">
        <f>PasteHashtag!D306</f>
        <v>SG,SF</v>
      </c>
      <c r="E306" s="5" t="str">
        <f>PasteHashtag!E306</f>
        <v>DET</v>
      </c>
      <c r="F306" s="5">
        <f>PasteHashtag!F306</f>
        <v>65</v>
      </c>
      <c r="G306" s="5">
        <f>PasteHashtag!G306</f>
        <v>18.3</v>
      </c>
      <c r="H306" s="5">
        <f>MID(PasteHashtag!H306,1+FIND("(",PasteHashtag!H306),FIND("/",PasteHashtag!H306)-FIND("(",PasteHashtag!H306)-1)*1</f>
        <v>3.2</v>
      </c>
      <c r="I306" s="5">
        <f>LEFT(PasteHashtag!H306,FIND("(",PasteHashtag!H306)-1)*1</f>
        <v>0.402</v>
      </c>
      <c r="J306" s="5">
        <f>MID(PasteHashtag!I306,1+FIND("(",PasteHashtag!I306),FIND("/",PasteHashtag!I306)-FIND("(",PasteHashtag!I306)-1)*1</f>
        <v>1.2</v>
      </c>
      <c r="K306" s="5">
        <f>LEFT(PasteHashtag!I306,FIND("(",PasteHashtag!I306)-1)*1</f>
        <v>0.813</v>
      </c>
      <c r="L306" s="5">
        <f>PasteHashtag!J306</f>
        <v>1.8</v>
      </c>
      <c r="M306" s="5">
        <f>PasteHashtag!K306</f>
        <v>9.3</v>
      </c>
      <c r="N306" s="5">
        <f>PasteHashtag!L306</f>
        <v>2.2</v>
      </c>
      <c r="O306" s="5">
        <f>PasteHashtag!M306</f>
        <v>1.2</v>
      </c>
      <c r="P306" s="5">
        <f>PasteHashtag!N306</f>
        <v>0.4</v>
      </c>
      <c r="Q306" s="5">
        <f>PasteHashtag!O306</f>
        <v>0.1</v>
      </c>
      <c r="R306" s="5">
        <f>PasteHashtag!P306</f>
        <v>0.6</v>
      </c>
      <c r="S306" s="5">
        <f>Mid(PasteHashtag!H306,FIND("/",PasteHashtag!H306)+1,LEN(PasteHashtag!H306)-FIND("/",PasteHashtag!H306)-1)*1</f>
        <v>7.9</v>
      </c>
      <c r="T306" s="306">
        <f>Mid(PasteHashtag!I306,FIND("/",PasteHashtag!I306)+1,LEN(PasteHashtag!I306)-FIND("/",PasteHashtag!I306)-1)*1</f>
        <v>1.4</v>
      </c>
    </row>
    <row r="307">
      <c r="A307" s="5">
        <v>306.0</v>
      </c>
      <c r="B307" s="5">
        <f>PasteHashtag!B307</f>
        <v>144</v>
      </c>
      <c r="C307" s="305" t="str">
        <f>PasteHashtag!C307</f>
        <v>Tre Mann</v>
      </c>
      <c r="D307" s="5" t="str">
        <f>PasteHashtag!D307</f>
        <v>PG,SG</v>
      </c>
      <c r="E307" s="5" t="str">
        <f>PasteHashtag!E307</f>
        <v>CHA</v>
      </c>
      <c r="F307" s="5">
        <f>PasteHashtag!F307</f>
        <v>62</v>
      </c>
      <c r="G307" s="5">
        <f>PasteHashtag!G307</f>
        <v>15.7</v>
      </c>
      <c r="H307" s="5">
        <f>MID(PasteHashtag!H307,1+FIND("(",PasteHashtag!H307),FIND("/",PasteHashtag!H307)-FIND("(",PasteHashtag!H307)-1)*1</f>
        <v>2.5</v>
      </c>
      <c r="I307" s="5">
        <f>LEFT(PasteHashtag!H307,FIND("(",PasteHashtag!H307)-1)*1</f>
        <v>0.419</v>
      </c>
      <c r="J307" s="5">
        <f>MID(PasteHashtag!I307,1+FIND("(",PasteHashtag!I307),FIND("/",PasteHashtag!I307)-FIND("(",PasteHashtag!I307)-1)*1</f>
        <v>0.6</v>
      </c>
      <c r="K307" s="5">
        <f>LEFT(PasteHashtag!I307,FIND("(",PasteHashtag!I307)-1)*1</f>
        <v>0.771</v>
      </c>
      <c r="L307" s="5">
        <f>PasteHashtag!J307</f>
        <v>0.9</v>
      </c>
      <c r="M307" s="5">
        <f>PasteHashtag!K307</f>
        <v>6.6</v>
      </c>
      <c r="N307" s="5">
        <f>PasteHashtag!L307</f>
        <v>2.2</v>
      </c>
      <c r="O307" s="5">
        <f>PasteHashtag!M307</f>
        <v>2.1</v>
      </c>
      <c r="P307" s="5">
        <f>PasteHashtag!N307</f>
        <v>0.7</v>
      </c>
      <c r="Q307" s="5">
        <f>PasteHashtag!O307</f>
        <v>0.1</v>
      </c>
      <c r="R307" s="5">
        <f>PasteHashtag!P307</f>
        <v>0.9</v>
      </c>
      <c r="S307" s="5">
        <f>Mid(PasteHashtag!H307,FIND("/",PasteHashtag!H307)+1,LEN(PasteHashtag!H307)-FIND("/",PasteHashtag!H307)-1)*1</f>
        <v>6</v>
      </c>
      <c r="T307" s="306">
        <f>Mid(PasteHashtag!I307,FIND("/",PasteHashtag!I307)+1,LEN(PasteHashtag!I307)-FIND("/",PasteHashtag!I307)-1)*1</f>
        <v>0.8</v>
      </c>
    </row>
    <row r="308">
      <c r="A308" s="5">
        <v>307.0</v>
      </c>
      <c r="B308" s="5" t="str">
        <f>PasteHashtag!B308</f>
        <v/>
      </c>
      <c r="C308" s="305" t="str">
        <f>PasteHashtag!C308</f>
        <v>Davion Mitchell</v>
      </c>
      <c r="D308" s="5" t="str">
        <f>PasteHashtag!D308</f>
        <v>PG,SG</v>
      </c>
      <c r="E308" s="5" t="str">
        <f>PasteHashtag!E308</f>
        <v>TOR</v>
      </c>
      <c r="F308" s="5">
        <f>PasteHashtag!F308</f>
        <v>70</v>
      </c>
      <c r="G308" s="5">
        <f>PasteHashtag!G308</f>
        <v>18.8</v>
      </c>
      <c r="H308" s="5">
        <f>MID(PasteHashtag!H308,1+FIND("(",PasteHashtag!H308),FIND("/",PasteHashtag!H308)-FIND("(",PasteHashtag!H308)-1)*1</f>
        <v>2.6</v>
      </c>
      <c r="I308" s="5">
        <f>LEFT(PasteHashtag!H308,FIND("(",PasteHashtag!H308)-1)*1</f>
        <v>0.453</v>
      </c>
      <c r="J308" s="5">
        <f>MID(PasteHashtag!I308,1+FIND("(",PasteHashtag!I308),FIND("/",PasteHashtag!I308)-FIND("(",PasteHashtag!I308)-1)*1</f>
        <v>0.4</v>
      </c>
      <c r="K308" s="5">
        <f>LEFT(PasteHashtag!I308,FIND("(",PasteHashtag!I308)-1)*1</f>
        <v>0.741</v>
      </c>
      <c r="L308" s="5">
        <f>PasteHashtag!J308</f>
        <v>1</v>
      </c>
      <c r="M308" s="5">
        <f>PasteHashtag!K308</f>
        <v>6.6</v>
      </c>
      <c r="N308" s="5">
        <f>PasteHashtag!L308</f>
        <v>1.6</v>
      </c>
      <c r="O308" s="5">
        <f>PasteHashtag!M308</f>
        <v>2.5</v>
      </c>
      <c r="P308" s="5">
        <f>PasteHashtag!N308</f>
        <v>0.5</v>
      </c>
      <c r="Q308" s="5">
        <f>PasteHashtag!O308</f>
        <v>0.1</v>
      </c>
      <c r="R308" s="5">
        <f>PasteHashtag!P308</f>
        <v>0.8</v>
      </c>
      <c r="S308" s="5">
        <f>Mid(PasteHashtag!H308,FIND("/",PasteHashtag!H308)+1,LEN(PasteHashtag!H308)-FIND("/",PasteHashtag!H308)-1)*1</f>
        <v>5.7</v>
      </c>
      <c r="T308" s="306">
        <f>Mid(PasteHashtag!I308,FIND("/",PasteHashtag!I308)+1,LEN(PasteHashtag!I308)-FIND("/",PasteHashtag!I308)-1)*1</f>
        <v>0.6</v>
      </c>
    </row>
    <row r="309">
      <c r="A309" s="5">
        <v>308.0</v>
      </c>
      <c r="B309" s="5" t="str">
        <f>PasteHashtag!B309</f>
        <v/>
      </c>
      <c r="C309" s="305" t="str">
        <f>PasteHashtag!C309</f>
        <v>Josh Okogie</v>
      </c>
      <c r="D309" s="5" t="str">
        <f>PasteHashtag!D309</f>
        <v>SG,SF</v>
      </c>
      <c r="E309" s="5" t="str">
        <f>PasteHashtag!E309</f>
        <v>PHO</v>
      </c>
      <c r="F309" s="5">
        <f>PasteHashtag!F309</f>
        <v>62</v>
      </c>
      <c r="G309" s="5">
        <f>PasteHashtag!G309</f>
        <v>16.4</v>
      </c>
      <c r="H309" s="5">
        <f>MID(PasteHashtag!H309,1+FIND("(",PasteHashtag!H309),FIND("/",PasteHashtag!H309)-FIND("(",PasteHashtag!H309)-1)*1</f>
        <v>1.8</v>
      </c>
      <c r="I309" s="5">
        <f>LEFT(PasteHashtag!H309,FIND("(",PasteHashtag!H309)-1)*1</f>
        <v>0.4</v>
      </c>
      <c r="J309" s="5">
        <f>MID(PasteHashtag!I309,1+FIND("(",PasteHashtag!I309),FIND("/",PasteHashtag!I309)-FIND("(",PasteHashtag!I309)-1)*1</f>
        <v>1.5</v>
      </c>
      <c r="K309" s="5">
        <f>LEFT(PasteHashtag!I309,FIND("(",PasteHashtag!I309)-1)*1</f>
        <v>0.73</v>
      </c>
      <c r="L309" s="5">
        <f>PasteHashtag!J309</f>
        <v>0.7</v>
      </c>
      <c r="M309" s="5">
        <f>PasteHashtag!K309</f>
        <v>5.8</v>
      </c>
      <c r="N309" s="5">
        <f>PasteHashtag!L309</f>
        <v>2.9</v>
      </c>
      <c r="O309" s="5">
        <f>PasteHashtag!M309</f>
        <v>1.2</v>
      </c>
      <c r="P309" s="5">
        <f>PasteHashtag!N309</f>
        <v>0.8</v>
      </c>
      <c r="Q309" s="5">
        <f>PasteHashtag!O309</f>
        <v>0.4</v>
      </c>
      <c r="R309" s="5">
        <f>PasteHashtag!P309</f>
        <v>0.7</v>
      </c>
      <c r="S309" s="5">
        <f>Mid(PasteHashtag!H309,FIND("/",PasteHashtag!H309)+1,LEN(PasteHashtag!H309)-FIND("/",PasteHashtag!H309)-1)*1</f>
        <v>4.5</v>
      </c>
      <c r="T309" s="306">
        <f>Mid(PasteHashtag!I309,FIND("/",PasteHashtag!I309)+1,LEN(PasteHashtag!I309)-FIND("/",PasteHashtag!I309)-1)*1</f>
        <v>2.1</v>
      </c>
    </row>
    <row r="310">
      <c r="A310" s="5">
        <v>309.0</v>
      </c>
      <c r="B310" s="5" t="str">
        <f>PasteHashtag!B310</f>
        <v/>
      </c>
      <c r="C310" s="305" t="str">
        <f>PasteHashtag!C310</f>
        <v>Jaden Springer</v>
      </c>
      <c r="D310" s="5" t="str">
        <f>PasteHashtag!D310</f>
        <v>SG</v>
      </c>
      <c r="E310" s="5" t="str">
        <f>PasteHashtag!E310</f>
        <v>BOS</v>
      </c>
      <c r="F310" s="5">
        <f>PasteHashtag!F310</f>
        <v>40</v>
      </c>
      <c r="G310" s="5">
        <f>PasteHashtag!G310</f>
        <v>12.1</v>
      </c>
      <c r="H310" s="5">
        <f>MID(PasteHashtag!H310,1+FIND("(",PasteHashtag!H310),FIND("/",PasteHashtag!H310)-FIND("(",PasteHashtag!H310)-1)*1</f>
        <v>1.6</v>
      </c>
      <c r="I310" s="5">
        <f>LEFT(PasteHashtag!H310,FIND("(",PasteHashtag!H310)-1)*1</f>
        <v>0.416</v>
      </c>
      <c r="J310" s="5">
        <f>MID(PasteHashtag!I310,1+FIND("(",PasteHashtag!I310),FIND("/",PasteHashtag!I310)-FIND("(",PasteHashtag!I310)-1)*1</f>
        <v>0.8</v>
      </c>
      <c r="K310" s="5">
        <f>LEFT(PasteHashtag!I310,FIND("(",PasteHashtag!I310)-1)*1</f>
        <v>0.824</v>
      </c>
      <c r="L310" s="5">
        <f>PasteHashtag!J310</f>
        <v>0.3</v>
      </c>
      <c r="M310" s="5">
        <f>PasteHashtag!K310</f>
        <v>4.2</v>
      </c>
      <c r="N310" s="5">
        <f>PasteHashtag!L310</f>
        <v>1.9</v>
      </c>
      <c r="O310" s="5">
        <f>PasteHashtag!M310</f>
        <v>1.1</v>
      </c>
      <c r="P310" s="5">
        <f>PasteHashtag!N310</f>
        <v>0.9</v>
      </c>
      <c r="Q310" s="5">
        <f>PasteHashtag!O310</f>
        <v>0.4</v>
      </c>
      <c r="R310" s="5">
        <f>PasteHashtag!P310</f>
        <v>0.8</v>
      </c>
      <c r="S310" s="5">
        <f>Mid(PasteHashtag!H310,FIND("/",PasteHashtag!H310)+1,LEN(PasteHashtag!H310)-FIND("/",PasteHashtag!H310)-1)*1</f>
        <v>3.8</v>
      </c>
      <c r="T310" s="306">
        <f>Mid(PasteHashtag!I310,FIND("/",PasteHashtag!I310)+1,LEN(PasteHashtag!I310)-FIND("/",PasteHashtag!I310)-1)*1</f>
        <v>1</v>
      </c>
    </row>
    <row r="311">
      <c r="A311" s="5">
        <v>310.0</v>
      </c>
      <c r="B311" s="5" t="str">
        <f>PasteHashtag!B311</f>
        <v/>
      </c>
      <c r="C311" s="305" t="str">
        <f>PasteHashtag!C311</f>
        <v>Bol Bol</v>
      </c>
      <c r="D311" s="5" t="str">
        <f>PasteHashtag!D311</f>
        <v>PF,C</v>
      </c>
      <c r="E311" s="5" t="str">
        <f>PasteHashtag!E311</f>
        <v>PHO</v>
      </c>
      <c r="F311" s="5">
        <f>PasteHashtag!F311</f>
        <v>34</v>
      </c>
      <c r="G311" s="5">
        <f>PasteHashtag!G311</f>
        <v>11.1</v>
      </c>
      <c r="H311" s="5">
        <f>MID(PasteHashtag!H311,1+FIND("(",PasteHashtag!H311),FIND("/",PasteHashtag!H311)-FIND("(",PasteHashtag!H311)-1)*1</f>
        <v>2</v>
      </c>
      <c r="I311" s="5">
        <f>LEFT(PasteHashtag!H311,FIND("(",PasteHashtag!H311)-1)*1</f>
        <v>0.563</v>
      </c>
      <c r="J311" s="5">
        <f>MID(PasteHashtag!I311,1+FIND("(",PasteHashtag!I311),FIND("/",PasteHashtag!I311)-FIND("(",PasteHashtag!I311)-1)*1</f>
        <v>0.6</v>
      </c>
      <c r="K311" s="5">
        <f>LEFT(PasteHashtag!I311,FIND("(",PasteHashtag!I311)-1)*1</f>
        <v>0.764</v>
      </c>
      <c r="L311" s="5">
        <f>PasteHashtag!J311</f>
        <v>0.3</v>
      </c>
      <c r="M311" s="5">
        <f>PasteHashtag!K311</f>
        <v>4.9</v>
      </c>
      <c r="N311" s="5">
        <f>PasteHashtag!L311</f>
        <v>3.1</v>
      </c>
      <c r="O311" s="5">
        <f>PasteHashtag!M311</f>
        <v>0.5</v>
      </c>
      <c r="P311" s="5">
        <f>PasteHashtag!N311</f>
        <v>0.2</v>
      </c>
      <c r="Q311" s="5">
        <f>PasteHashtag!O311</f>
        <v>0.6</v>
      </c>
      <c r="R311" s="5">
        <f>PasteHashtag!P311</f>
        <v>0.7</v>
      </c>
      <c r="S311" s="5">
        <f>Mid(PasteHashtag!H311,FIND("/",PasteHashtag!H311)+1,LEN(PasteHashtag!H311)-FIND("/",PasteHashtag!H311)-1)*1</f>
        <v>3.6</v>
      </c>
      <c r="T311" s="306">
        <f>Mid(PasteHashtag!I311,FIND("/",PasteHashtag!I311)+1,LEN(PasteHashtag!I311)-FIND("/",PasteHashtag!I311)-1)*1</f>
        <v>0.7</v>
      </c>
    </row>
    <row r="312">
      <c r="A312" s="5">
        <v>311.0</v>
      </c>
      <c r="B312" s="5" t="str">
        <f>PasteHashtag!B312</f>
        <v/>
      </c>
      <c r="C312" s="305" t="str">
        <f>PasteHashtag!C312</f>
        <v>Cameron Payne</v>
      </c>
      <c r="D312" s="5" t="str">
        <f>PasteHashtag!D312</f>
        <v>PG,SG</v>
      </c>
      <c r="E312" s="5" t="str">
        <f>PasteHashtag!E312</f>
        <v>NY</v>
      </c>
      <c r="F312" s="5">
        <f>PasteHashtag!F312</f>
        <v>50</v>
      </c>
      <c r="G312" s="5">
        <f>PasteHashtag!G312</f>
        <v>14.1</v>
      </c>
      <c r="H312" s="5">
        <f>MID(PasteHashtag!H312,1+FIND("(",PasteHashtag!H312),FIND("/",PasteHashtag!H312)-FIND("(",PasteHashtag!H312)-1)*1</f>
        <v>2.5</v>
      </c>
      <c r="I312" s="5">
        <f>LEFT(PasteHashtag!H312,FIND("(",PasteHashtag!H312)-1)*1</f>
        <v>0.424</v>
      </c>
      <c r="J312" s="5">
        <f>MID(PasteHashtag!I312,1+FIND("(",PasteHashtag!I312),FIND("/",PasteHashtag!I312)-FIND("(",PasteHashtag!I312)-1)*1</f>
        <v>0.7</v>
      </c>
      <c r="K312" s="5">
        <f>LEFT(PasteHashtag!I312,FIND("(",PasteHashtag!I312)-1)*1</f>
        <v>0.817</v>
      </c>
      <c r="L312" s="5">
        <f>PasteHashtag!J312</f>
        <v>1.1</v>
      </c>
      <c r="M312" s="5">
        <f>PasteHashtag!K312</f>
        <v>6.7</v>
      </c>
      <c r="N312" s="5">
        <f>PasteHashtag!L312</f>
        <v>1.4</v>
      </c>
      <c r="O312" s="5">
        <f>PasteHashtag!M312</f>
        <v>2.6</v>
      </c>
      <c r="P312" s="5">
        <f>PasteHashtag!N312</f>
        <v>0.5</v>
      </c>
      <c r="Q312" s="5">
        <f>PasteHashtag!O312</f>
        <v>0.1</v>
      </c>
      <c r="R312" s="5">
        <f>PasteHashtag!P312</f>
        <v>0.9</v>
      </c>
      <c r="S312" s="5">
        <f>Mid(PasteHashtag!H312,FIND("/",PasteHashtag!H312)+1,LEN(PasteHashtag!H312)-FIND("/",PasteHashtag!H312)-1)*1</f>
        <v>5.9</v>
      </c>
      <c r="T312" s="306">
        <f>Mid(PasteHashtag!I312,FIND("/",PasteHashtag!I312)+1,LEN(PasteHashtag!I312)-FIND("/",PasteHashtag!I312)-1)*1</f>
        <v>0.8</v>
      </c>
    </row>
    <row r="313">
      <c r="A313" s="5">
        <v>312.0</v>
      </c>
      <c r="B313" s="5" t="str">
        <f>PasteHashtag!B313</f>
        <v/>
      </c>
      <c r="C313" s="305" t="str">
        <f>PasteHashtag!C313</f>
        <v>Monte Morris</v>
      </c>
      <c r="D313" s="5" t="str">
        <f>PasteHashtag!D313</f>
        <v>PG,SG</v>
      </c>
      <c r="E313" s="5" t="str">
        <f>PasteHashtag!E313</f>
        <v>PHO</v>
      </c>
      <c r="F313" s="5">
        <f>PasteHashtag!F313</f>
        <v>60</v>
      </c>
      <c r="G313" s="5">
        <f>PasteHashtag!G313</f>
        <v>14.1</v>
      </c>
      <c r="H313" s="5">
        <f>MID(PasteHashtag!H313,1+FIND("(",PasteHashtag!H313),FIND("/",PasteHashtag!H313)-FIND("(",PasteHashtag!H313)-1)*1</f>
        <v>2</v>
      </c>
      <c r="I313" s="5">
        <f>LEFT(PasteHashtag!H313,FIND("(",PasteHashtag!H313)-1)*1</f>
        <v>0.463</v>
      </c>
      <c r="J313" s="5">
        <f>MID(PasteHashtag!I313,1+FIND("(",PasteHashtag!I313),FIND("/",PasteHashtag!I313)-FIND("(",PasteHashtag!I313)-1)*1</f>
        <v>0.5</v>
      </c>
      <c r="K313" s="5">
        <f>LEFT(PasteHashtag!I313,FIND("(",PasteHashtag!I313)-1)*1</f>
        <v>0.81</v>
      </c>
      <c r="L313" s="5">
        <f>PasteHashtag!J313</f>
        <v>0.7</v>
      </c>
      <c r="M313" s="5">
        <f>PasteHashtag!K313</f>
        <v>5.3</v>
      </c>
      <c r="N313" s="5">
        <f>PasteHashtag!L313</f>
        <v>1.8</v>
      </c>
      <c r="O313" s="5">
        <f>PasteHashtag!M313</f>
        <v>2.6</v>
      </c>
      <c r="P313" s="5">
        <f>PasteHashtag!N313</f>
        <v>0.4</v>
      </c>
      <c r="Q313" s="5">
        <f>PasteHashtag!O313</f>
        <v>0.2</v>
      </c>
      <c r="R313" s="5">
        <f>PasteHashtag!P313</f>
        <v>0.4</v>
      </c>
      <c r="S313" s="5">
        <f>Mid(PasteHashtag!H313,FIND("/",PasteHashtag!H313)+1,LEN(PasteHashtag!H313)-FIND("/",PasteHashtag!H313)-1)*1</f>
        <v>4.4</v>
      </c>
      <c r="T313" s="306">
        <f>Mid(PasteHashtag!I313,FIND("/",PasteHashtag!I313)+1,LEN(PasteHashtag!I313)-FIND("/",PasteHashtag!I313)-1)*1</f>
        <v>0.6</v>
      </c>
    </row>
    <row r="314">
      <c r="A314" s="5">
        <v>313.0</v>
      </c>
      <c r="B314" s="5" t="str">
        <f>PasteHashtag!B314</f>
        <v/>
      </c>
      <c r="C314" s="305" t="str">
        <f>PasteHashtag!C314</f>
        <v>Amir Coffey</v>
      </c>
      <c r="D314" s="5" t="str">
        <f>PasteHashtag!D314</f>
        <v>SF,PF</v>
      </c>
      <c r="E314" s="5" t="str">
        <f>PasteHashtag!E314</f>
        <v>LAC</v>
      </c>
      <c r="F314" s="5">
        <f>PasteHashtag!F314</f>
        <v>65</v>
      </c>
      <c r="G314" s="5">
        <f>PasteHashtag!G314</f>
        <v>20.8</v>
      </c>
      <c r="H314" s="5">
        <f>MID(PasteHashtag!H314,1+FIND("(",PasteHashtag!H314),FIND("/",PasteHashtag!H314)-FIND("(",PasteHashtag!H314)-1)*1</f>
        <v>2.2</v>
      </c>
      <c r="I314" s="5">
        <f>LEFT(PasteHashtag!H314,FIND("(",PasteHashtag!H314)-1)*1</f>
        <v>0.447</v>
      </c>
      <c r="J314" s="5">
        <f>MID(PasteHashtag!I314,1+FIND("(",PasteHashtag!I314),FIND("/",PasteHashtag!I314)-FIND("(",PasteHashtag!I314)-1)*1</f>
        <v>1.1</v>
      </c>
      <c r="K314" s="5">
        <f>LEFT(PasteHashtag!I314,FIND("(",PasteHashtag!I314)-1)*1</f>
        <v>0.822</v>
      </c>
      <c r="L314" s="5">
        <f>PasteHashtag!J314</f>
        <v>0.8</v>
      </c>
      <c r="M314" s="5">
        <f>PasteHashtag!K314</f>
        <v>6.4</v>
      </c>
      <c r="N314" s="5">
        <f>PasteHashtag!L314</f>
        <v>2</v>
      </c>
      <c r="O314" s="5">
        <f>PasteHashtag!M314</f>
        <v>1.3</v>
      </c>
      <c r="P314" s="5">
        <f>PasteHashtag!N314</f>
        <v>0.5</v>
      </c>
      <c r="Q314" s="5">
        <f>PasteHashtag!O314</f>
        <v>0.2</v>
      </c>
      <c r="R314" s="5">
        <f>PasteHashtag!P314</f>
        <v>0.5</v>
      </c>
      <c r="S314" s="5">
        <f>Mid(PasteHashtag!H314,FIND("/",PasteHashtag!H314)+1,LEN(PasteHashtag!H314)-FIND("/",PasteHashtag!H314)-1)*1</f>
        <v>5</v>
      </c>
      <c r="T314" s="306">
        <f>Mid(PasteHashtag!I314,FIND("/",PasteHashtag!I314)+1,LEN(PasteHashtag!I314)-FIND("/",PasteHashtag!I314)-1)*1</f>
        <v>1.4</v>
      </c>
    </row>
    <row r="315">
      <c r="A315" s="5">
        <v>314.0</v>
      </c>
      <c r="B315" s="5" t="str">
        <f>PasteHashtag!B315</f>
        <v/>
      </c>
      <c r="C315" s="305" t="str">
        <f>PasteHashtag!C315</f>
        <v>Anthony Black</v>
      </c>
      <c r="D315" s="5" t="str">
        <f>PasteHashtag!D315</f>
        <v>PG,SG</v>
      </c>
      <c r="E315" s="5" t="str">
        <f>PasteHashtag!E315</f>
        <v>ORL</v>
      </c>
      <c r="F315" s="5">
        <f>PasteHashtag!F315</f>
        <v>70</v>
      </c>
      <c r="G315" s="5">
        <f>PasteHashtag!G315</f>
        <v>20</v>
      </c>
      <c r="H315" s="5">
        <f>MID(PasteHashtag!H315,1+FIND("(",PasteHashtag!H315),FIND("/",PasteHashtag!H315)-FIND("(",PasteHashtag!H315)-1)*1</f>
        <v>2.2</v>
      </c>
      <c r="I315" s="5">
        <f>LEFT(PasteHashtag!H315,FIND("(",PasteHashtag!H315)-1)*1</f>
        <v>0.466</v>
      </c>
      <c r="J315" s="5">
        <f>MID(PasteHashtag!I315,1+FIND("(",PasteHashtag!I315),FIND("/",PasteHashtag!I315)-FIND("(",PasteHashtag!I315)-1)*1</f>
        <v>1</v>
      </c>
      <c r="K315" s="5">
        <f>LEFT(PasteHashtag!I315,FIND("(",PasteHashtag!I315)-1)*1</f>
        <v>0.634</v>
      </c>
      <c r="L315" s="5">
        <f>PasteHashtag!J315</f>
        <v>0.7</v>
      </c>
      <c r="M315" s="5">
        <f>PasteHashtag!K315</f>
        <v>6.1</v>
      </c>
      <c r="N315" s="5">
        <f>PasteHashtag!L315</f>
        <v>2.7</v>
      </c>
      <c r="O315" s="5">
        <f>PasteHashtag!M315</f>
        <v>1.7</v>
      </c>
      <c r="P315" s="5">
        <f>PasteHashtag!N315</f>
        <v>0.7</v>
      </c>
      <c r="Q315" s="5">
        <f>PasteHashtag!O315</f>
        <v>0.4</v>
      </c>
      <c r="R315" s="5">
        <f>PasteHashtag!P315</f>
        <v>1.1</v>
      </c>
      <c r="S315" s="5">
        <f>Mid(PasteHashtag!H315,FIND("/",PasteHashtag!H315)+1,LEN(PasteHashtag!H315)-FIND("/",PasteHashtag!H315)-1)*1</f>
        <v>4.7</v>
      </c>
      <c r="T315" s="306">
        <f>Mid(PasteHashtag!I315,FIND("/",PasteHashtag!I315)+1,LEN(PasteHashtag!I315)-FIND("/",PasteHashtag!I315)-1)*1</f>
        <v>1.5</v>
      </c>
    </row>
    <row r="316">
      <c r="A316" s="5">
        <v>315.0</v>
      </c>
      <c r="B316" s="5" t="str">
        <f>PasteHashtag!B316</f>
        <v/>
      </c>
      <c r="C316" s="305" t="str">
        <f>PasteHashtag!C316</f>
        <v>Cam Reddish</v>
      </c>
      <c r="D316" s="5" t="str">
        <f>PasteHashtag!D316</f>
        <v>SG,SF</v>
      </c>
      <c r="E316" s="5" t="str">
        <f>PasteHashtag!E316</f>
        <v>LAL</v>
      </c>
      <c r="F316" s="5">
        <f>PasteHashtag!F316</f>
        <v>40</v>
      </c>
      <c r="G316" s="5">
        <f>PasteHashtag!G316</f>
        <v>17.5</v>
      </c>
      <c r="H316" s="5">
        <f>MID(PasteHashtag!H316,1+FIND("(",PasteHashtag!H316),FIND("/",PasteHashtag!H316)-FIND("(",PasteHashtag!H316)-1)*1</f>
        <v>2.1</v>
      </c>
      <c r="I316" s="5">
        <f>LEFT(PasteHashtag!H316,FIND("(",PasteHashtag!H316)-1)*1</f>
        <v>0.421</v>
      </c>
      <c r="J316" s="5">
        <f>MID(PasteHashtag!I316,1+FIND("(",PasteHashtag!I316),FIND("/",PasteHashtag!I316)-FIND("(",PasteHashtag!I316)-1)*1</f>
        <v>0.9</v>
      </c>
      <c r="K316" s="5">
        <f>LEFT(PasteHashtag!I316,FIND("(",PasteHashtag!I316)-1)*1</f>
        <v>0.81</v>
      </c>
      <c r="L316" s="5">
        <f>PasteHashtag!J316</f>
        <v>0.7</v>
      </c>
      <c r="M316" s="5">
        <f>PasteHashtag!K316</f>
        <v>5.8</v>
      </c>
      <c r="N316" s="5">
        <f>PasteHashtag!L316</f>
        <v>1.7</v>
      </c>
      <c r="O316" s="5">
        <f>PasteHashtag!M316</f>
        <v>0.9</v>
      </c>
      <c r="P316" s="5">
        <f>PasteHashtag!N316</f>
        <v>0.8</v>
      </c>
      <c r="Q316" s="5">
        <f>PasteHashtag!O316</f>
        <v>0.3</v>
      </c>
      <c r="R316" s="5">
        <f>PasteHashtag!P316</f>
        <v>0.7</v>
      </c>
      <c r="S316" s="5">
        <f>Mid(PasteHashtag!H316,FIND("/",PasteHashtag!H316)+1,LEN(PasteHashtag!H316)-FIND("/",PasteHashtag!H316)-1)*1</f>
        <v>4.9</v>
      </c>
      <c r="T316" s="306">
        <f>Mid(PasteHashtag!I316,FIND("/",PasteHashtag!I316)+1,LEN(PasteHashtag!I316)-FIND("/",PasteHashtag!I316)-1)*1</f>
        <v>1.2</v>
      </c>
    </row>
    <row r="317">
      <c r="A317" s="5">
        <v>316.0</v>
      </c>
      <c r="B317" s="5" t="str">
        <f>PasteHashtag!B317</f>
        <v/>
      </c>
      <c r="C317" s="305" t="str">
        <f>PasteHashtag!C317</f>
        <v>Sam Merrill</v>
      </c>
      <c r="D317" s="5" t="str">
        <f>PasteHashtag!D317</f>
        <v>SG</v>
      </c>
      <c r="E317" s="5" t="str">
        <f>PasteHashtag!E317</f>
        <v>CLE</v>
      </c>
      <c r="F317" s="5">
        <f>PasteHashtag!F317</f>
        <v>58</v>
      </c>
      <c r="G317" s="5">
        <f>PasteHashtag!G317</f>
        <v>14.4</v>
      </c>
      <c r="H317" s="5">
        <f>MID(PasteHashtag!H317,1+FIND("(",PasteHashtag!H317),FIND("/",PasteHashtag!H317)-FIND("(",PasteHashtag!H317)-1)*1</f>
        <v>2.2</v>
      </c>
      <c r="I317" s="5">
        <f>LEFT(PasteHashtag!H317,FIND("(",PasteHashtag!H317)-1)*1</f>
        <v>0.402</v>
      </c>
      <c r="J317" s="5">
        <f>MID(PasteHashtag!I317,1+FIND("(",PasteHashtag!I317),FIND("/",PasteHashtag!I317)-FIND("(",PasteHashtag!I317)-1)*1</f>
        <v>0.4</v>
      </c>
      <c r="K317" s="5">
        <f>LEFT(PasteHashtag!I317,FIND("(",PasteHashtag!I317)-1)*1</f>
        <v>0.923</v>
      </c>
      <c r="L317" s="5">
        <f>PasteHashtag!J317</f>
        <v>1.9</v>
      </c>
      <c r="M317" s="5">
        <f>PasteHashtag!K317</f>
        <v>6.6</v>
      </c>
      <c r="N317" s="5">
        <f>PasteHashtag!L317</f>
        <v>1.7</v>
      </c>
      <c r="O317" s="5">
        <f>PasteHashtag!M317</f>
        <v>1.5</v>
      </c>
      <c r="P317" s="5">
        <f>PasteHashtag!N317</f>
        <v>0.3</v>
      </c>
      <c r="Q317" s="5">
        <f>PasteHashtag!O317</f>
        <v>0.1</v>
      </c>
      <c r="R317" s="5">
        <f>PasteHashtag!P317</f>
        <v>0.3</v>
      </c>
      <c r="S317" s="5">
        <f>Mid(PasteHashtag!H317,FIND("/",PasteHashtag!H317)+1,LEN(PasteHashtag!H317)-FIND("/",PasteHashtag!H317)-1)*1</f>
        <v>5.4</v>
      </c>
      <c r="T317" s="306">
        <f>Mid(PasteHashtag!I317,FIND("/",PasteHashtag!I317)+1,LEN(PasteHashtag!I317)-FIND("/",PasteHashtag!I317)-1)*1</f>
        <v>0.4</v>
      </c>
    </row>
    <row r="318">
      <c r="A318" s="5">
        <v>317.0</v>
      </c>
      <c r="B318" s="5" t="str">
        <f>PasteHashtag!B318</f>
        <v/>
      </c>
      <c r="C318" s="305" t="str">
        <f>PasteHashtag!C318</f>
        <v>Ochai Agbaji</v>
      </c>
      <c r="D318" s="5" t="str">
        <f>PasteHashtag!D318</f>
        <v>SG,SF</v>
      </c>
      <c r="E318" s="5" t="str">
        <f>PasteHashtag!E318</f>
        <v>TOR</v>
      </c>
      <c r="F318" s="5">
        <f>PasteHashtag!F318</f>
        <v>68</v>
      </c>
      <c r="G318" s="5">
        <f>PasteHashtag!G318</f>
        <v>20.5</v>
      </c>
      <c r="H318" s="5">
        <f>MID(PasteHashtag!H318,1+FIND("(",PasteHashtag!H318),FIND("/",PasteHashtag!H318)-FIND("(",PasteHashtag!H318)-1)*1</f>
        <v>2.5</v>
      </c>
      <c r="I318" s="5">
        <f>LEFT(PasteHashtag!H318,FIND("(",PasteHashtag!H318)-1)*1</f>
        <v>0.418</v>
      </c>
      <c r="J318" s="5">
        <f>MID(PasteHashtag!I318,1+FIND("(",PasteHashtag!I318),FIND("/",PasteHashtag!I318)-FIND("(",PasteHashtag!I318)-1)*1</f>
        <v>0.7</v>
      </c>
      <c r="K318" s="5">
        <f>LEFT(PasteHashtag!I318,FIND("(",PasteHashtag!I318)-1)*1</f>
        <v>0.747</v>
      </c>
      <c r="L318" s="5">
        <f>PasteHashtag!J318</f>
        <v>1</v>
      </c>
      <c r="M318" s="5">
        <f>PasteHashtag!K318</f>
        <v>6.7</v>
      </c>
      <c r="N318" s="5">
        <f>PasteHashtag!L318</f>
        <v>2.5</v>
      </c>
      <c r="O318" s="5">
        <f>PasteHashtag!M318</f>
        <v>1.1</v>
      </c>
      <c r="P318" s="5">
        <f>PasteHashtag!N318</f>
        <v>0.5</v>
      </c>
      <c r="Q318" s="5">
        <f>PasteHashtag!O318</f>
        <v>0.4</v>
      </c>
      <c r="R318" s="5">
        <f>PasteHashtag!P318</f>
        <v>0.8</v>
      </c>
      <c r="S318" s="5">
        <f>Mid(PasteHashtag!H318,FIND("/",PasteHashtag!H318)+1,LEN(PasteHashtag!H318)-FIND("/",PasteHashtag!H318)-1)*1</f>
        <v>6</v>
      </c>
      <c r="T318" s="306">
        <f>Mid(PasteHashtag!I318,FIND("/",PasteHashtag!I318)+1,LEN(PasteHashtag!I318)-FIND("/",PasteHashtag!I318)-1)*1</f>
        <v>0.9</v>
      </c>
    </row>
    <row r="319">
      <c r="A319" s="5">
        <v>318.0</v>
      </c>
      <c r="B319" s="5" t="str">
        <f>PasteHashtag!B319</f>
        <v/>
      </c>
      <c r="C319" s="305" t="str">
        <f>PasteHashtag!C319</f>
        <v>Haywood Highsmith</v>
      </c>
      <c r="D319" s="5" t="str">
        <f>PasteHashtag!D319</f>
        <v>SF,PF</v>
      </c>
      <c r="E319" s="5" t="str">
        <f>PasteHashtag!E319</f>
        <v>MIA</v>
      </c>
      <c r="F319" s="5">
        <f>PasteHashtag!F319</f>
        <v>60</v>
      </c>
      <c r="G319" s="5">
        <f>PasteHashtag!G319</f>
        <v>16.6</v>
      </c>
      <c r="H319" s="5">
        <f>MID(PasteHashtag!H319,1+FIND("(",PasteHashtag!H319),FIND("/",PasteHashtag!H319)-FIND("(",PasteHashtag!H319)-1)*1</f>
        <v>1.8</v>
      </c>
      <c r="I319" s="5">
        <f>LEFT(PasteHashtag!H319,FIND("(",PasteHashtag!H319)-1)*1</f>
        <v>0.453</v>
      </c>
      <c r="J319" s="5">
        <f>MID(PasteHashtag!I319,1+FIND("(",PasteHashtag!I319),FIND("/",PasteHashtag!I319)-FIND("(",PasteHashtag!I319)-1)*1</f>
        <v>0.3</v>
      </c>
      <c r="K319" s="5">
        <f>LEFT(PasteHashtag!I319,FIND("(",PasteHashtag!I319)-1)*1</f>
        <v>0.565</v>
      </c>
      <c r="L319" s="5">
        <f>PasteHashtag!J319</f>
        <v>0.8</v>
      </c>
      <c r="M319" s="5">
        <f>PasteHashtag!K319</f>
        <v>4.6</v>
      </c>
      <c r="N319" s="5">
        <f>PasteHashtag!L319</f>
        <v>2.9</v>
      </c>
      <c r="O319" s="5">
        <f>PasteHashtag!M319</f>
        <v>0.8</v>
      </c>
      <c r="P319" s="5">
        <f>PasteHashtag!N319</f>
        <v>0.6</v>
      </c>
      <c r="Q319" s="5">
        <f>PasteHashtag!O319</f>
        <v>0.3</v>
      </c>
      <c r="R319" s="5">
        <f>PasteHashtag!P319</f>
        <v>0.6</v>
      </c>
      <c r="S319" s="5">
        <f>Mid(PasteHashtag!H319,FIND("/",PasteHashtag!H319)+1,LEN(PasteHashtag!H319)-FIND("/",PasteHashtag!H319)-1)*1</f>
        <v>3.9</v>
      </c>
      <c r="T319" s="306">
        <f>Mid(PasteHashtag!I319,FIND("/",PasteHashtag!I319)+1,LEN(PasteHashtag!I319)-FIND("/",PasteHashtag!I319)-1)*1</f>
        <v>0.5</v>
      </c>
    </row>
    <row r="320">
      <c r="A320" s="5">
        <v>319.0</v>
      </c>
      <c r="B320" s="5" t="str">
        <f>PasteHashtag!B320</f>
        <v/>
      </c>
      <c r="C320" s="305" t="str">
        <f>PasteHashtag!C320</f>
        <v>Malaki Branham</v>
      </c>
      <c r="D320" s="5" t="str">
        <f>PasteHashtag!D320</f>
        <v>PG,SG</v>
      </c>
      <c r="E320" s="5" t="str">
        <f>PasteHashtag!E320</f>
        <v>SA</v>
      </c>
      <c r="F320" s="5">
        <f>PasteHashtag!F320</f>
        <v>65</v>
      </c>
      <c r="G320" s="5">
        <f>PasteHashtag!G320</f>
        <v>19.7</v>
      </c>
      <c r="H320" s="5">
        <f>MID(PasteHashtag!H320,1+FIND("(",PasteHashtag!H320),FIND("/",PasteHashtag!H320)-FIND("(",PasteHashtag!H320)-1)*1</f>
        <v>3.4</v>
      </c>
      <c r="I320" s="5">
        <f>LEFT(PasteHashtag!H320,FIND("(",PasteHashtag!H320)-1)*1</f>
        <v>0.436</v>
      </c>
      <c r="J320" s="5">
        <f>MID(PasteHashtag!I320,1+FIND("(",PasteHashtag!I320),FIND("/",PasteHashtag!I320)-FIND("(",PasteHashtag!I320)-1)*1</f>
        <v>0.7</v>
      </c>
      <c r="K320" s="5">
        <f>LEFT(PasteHashtag!I320,FIND("(",PasteHashtag!I320)-1)*1</f>
        <v>0.857</v>
      </c>
      <c r="L320" s="5">
        <f>PasteHashtag!J320</f>
        <v>1.1</v>
      </c>
      <c r="M320" s="5">
        <f>PasteHashtag!K320</f>
        <v>8.6</v>
      </c>
      <c r="N320" s="5">
        <f>PasteHashtag!L320</f>
        <v>2.1</v>
      </c>
      <c r="O320" s="5">
        <f>PasteHashtag!M320</f>
        <v>1.8</v>
      </c>
      <c r="P320" s="5">
        <f>PasteHashtag!N320</f>
        <v>0.4</v>
      </c>
      <c r="Q320" s="5">
        <f>PasteHashtag!O320</f>
        <v>0.1</v>
      </c>
      <c r="R320" s="5">
        <f>PasteHashtag!P320</f>
        <v>1.1</v>
      </c>
      <c r="S320" s="5">
        <f>Mid(PasteHashtag!H320,FIND("/",PasteHashtag!H320)+1,LEN(PasteHashtag!H320)-FIND("/",PasteHashtag!H320)-1)*1</f>
        <v>7.8</v>
      </c>
      <c r="T320" s="306">
        <f>Mid(PasteHashtag!I320,FIND("/",PasteHashtag!I320)+1,LEN(PasteHashtag!I320)-FIND("/",PasteHashtag!I320)-1)*1</f>
        <v>0.8</v>
      </c>
    </row>
    <row r="321">
      <c r="A321" s="5">
        <v>320.0</v>
      </c>
      <c r="B321" s="5" t="str">
        <f>PasteHashtag!B321</f>
        <v/>
      </c>
      <c r="C321" s="305" t="str">
        <f>PasteHashtag!C321</f>
        <v>Charles Bassey</v>
      </c>
      <c r="D321" s="5" t="str">
        <f>PasteHashtag!D321</f>
        <v>C</v>
      </c>
      <c r="E321" s="5" t="str">
        <f>PasteHashtag!E321</f>
        <v>SA</v>
      </c>
      <c r="F321" s="5">
        <f>PasteHashtag!F321</f>
        <v>20</v>
      </c>
      <c r="G321" s="5">
        <f>PasteHashtag!G321</f>
        <v>8.8</v>
      </c>
      <c r="H321" s="5">
        <f>MID(PasteHashtag!H321,1+FIND("(",PasteHashtag!H321),FIND("/",PasteHashtag!H321)-FIND("(",PasteHashtag!H321)-1)*1</f>
        <v>1.5</v>
      </c>
      <c r="I321" s="5">
        <f>LEFT(PasteHashtag!H321,FIND("(",PasteHashtag!H321)-1)*1</f>
        <v>0.665</v>
      </c>
      <c r="J321" s="5">
        <f>MID(PasteHashtag!I321,1+FIND("(",PasteHashtag!I321),FIND("/",PasteHashtag!I321)-FIND("(",PasteHashtag!I321)-1)*1</f>
        <v>0.3</v>
      </c>
      <c r="K321" s="5">
        <f>LEFT(PasteHashtag!I321,FIND("(",PasteHashtag!I321)-1)*1</f>
        <v>0.63</v>
      </c>
      <c r="L321" s="5">
        <f>PasteHashtag!J321</f>
        <v>0</v>
      </c>
      <c r="M321" s="5">
        <f>PasteHashtag!K321</f>
        <v>3.3</v>
      </c>
      <c r="N321" s="5">
        <f>PasteHashtag!L321</f>
        <v>3.4</v>
      </c>
      <c r="O321" s="5">
        <f>PasteHashtag!M321</f>
        <v>0.9</v>
      </c>
      <c r="P321" s="5">
        <f>PasteHashtag!N321</f>
        <v>0.3</v>
      </c>
      <c r="Q321" s="5">
        <f>PasteHashtag!O321</f>
        <v>0.6</v>
      </c>
      <c r="R321" s="5">
        <f>PasteHashtag!P321</f>
        <v>0.7</v>
      </c>
      <c r="S321" s="5">
        <f>Mid(PasteHashtag!H321,FIND("/",PasteHashtag!H321)+1,LEN(PasteHashtag!H321)-FIND("/",PasteHashtag!H321)-1)*1</f>
        <v>2.2</v>
      </c>
      <c r="T321" s="306">
        <f>Mid(PasteHashtag!I321,FIND("/",PasteHashtag!I321)+1,LEN(PasteHashtag!I321)-FIND("/",PasteHashtag!I321)-1)*1</f>
        <v>0.5</v>
      </c>
    </row>
    <row r="322">
      <c r="A322" s="5">
        <v>321.0</v>
      </c>
      <c r="B322" s="5" t="str">
        <f>PasteHashtag!B322</f>
        <v/>
      </c>
      <c r="C322" s="305" t="str">
        <f>PasteHashtag!C322</f>
        <v>Maxi Kleber</v>
      </c>
      <c r="D322" s="5" t="str">
        <f>PasteHashtag!D322</f>
        <v>PF,C</v>
      </c>
      <c r="E322" s="5" t="str">
        <f>PasteHashtag!E322</f>
        <v>DAL</v>
      </c>
      <c r="F322" s="5">
        <f>PasteHashtag!F322</f>
        <v>40</v>
      </c>
      <c r="G322" s="5">
        <f>PasteHashtag!G322</f>
        <v>18.5</v>
      </c>
      <c r="H322" s="5">
        <f>MID(PasteHashtag!H322,1+FIND("(",PasteHashtag!H322),FIND("/",PasteHashtag!H322)-FIND("(",PasteHashtag!H322)-1)*1</f>
        <v>1.5</v>
      </c>
      <c r="I322" s="5">
        <f>LEFT(PasteHashtag!H322,FIND("(",PasteHashtag!H322)-1)*1</f>
        <v>0.443</v>
      </c>
      <c r="J322" s="5">
        <f>MID(PasteHashtag!I322,1+FIND("(",PasteHashtag!I322),FIND("/",PasteHashtag!I322)-FIND("(",PasteHashtag!I322)-1)*1</f>
        <v>0.6</v>
      </c>
      <c r="K322" s="5">
        <f>LEFT(PasteHashtag!I322,FIND("(",PasteHashtag!I322)-1)*1</f>
        <v>0.705</v>
      </c>
      <c r="L322" s="5">
        <f>PasteHashtag!J322</f>
        <v>0.7</v>
      </c>
      <c r="M322" s="5">
        <f>PasteHashtag!K322</f>
        <v>4.3</v>
      </c>
      <c r="N322" s="5">
        <f>PasteHashtag!L322</f>
        <v>2.9</v>
      </c>
      <c r="O322" s="5">
        <f>PasteHashtag!M322</f>
        <v>1.2</v>
      </c>
      <c r="P322" s="5">
        <f>PasteHashtag!N322</f>
        <v>0.3</v>
      </c>
      <c r="Q322" s="5">
        <f>PasteHashtag!O322</f>
        <v>0.6</v>
      </c>
      <c r="R322" s="5">
        <f>PasteHashtag!P322</f>
        <v>0.6</v>
      </c>
      <c r="S322" s="5">
        <f>Mid(PasteHashtag!H322,FIND("/",PasteHashtag!H322)+1,LEN(PasteHashtag!H322)-FIND("/",PasteHashtag!H322)-1)*1</f>
        <v>3.3</v>
      </c>
      <c r="T322" s="306">
        <f>Mid(PasteHashtag!I322,FIND("/",PasteHashtag!I322)+1,LEN(PasteHashtag!I322)-FIND("/",PasteHashtag!I322)-1)*1</f>
        <v>0.9</v>
      </c>
    </row>
    <row r="323">
      <c r="A323" s="5">
        <v>322.0</v>
      </c>
      <c r="B323" s="5" t="str">
        <f>PasteHashtag!B323</f>
        <v/>
      </c>
      <c r="C323" s="305" t="str">
        <f>PasteHashtag!C323</f>
        <v>Guerschon Yabusele</v>
      </c>
      <c r="D323" s="5" t="str">
        <f>PasteHashtag!D323</f>
        <v/>
      </c>
      <c r="E323" s="5" t="str">
        <f>PasteHashtag!E323</f>
        <v>PHI</v>
      </c>
      <c r="F323" s="5">
        <f>PasteHashtag!F323</f>
        <v>60</v>
      </c>
      <c r="G323" s="5">
        <f>PasteHashtag!G323</f>
        <v>12.4</v>
      </c>
      <c r="H323" s="5">
        <f>MID(PasteHashtag!H323,1+FIND("(",PasteHashtag!H323),FIND("/",PasteHashtag!H323)-FIND("(",PasteHashtag!H323)-1)*1</f>
        <v>2</v>
      </c>
      <c r="I323" s="5">
        <f>LEFT(PasteHashtag!H323,FIND("(",PasteHashtag!H323)-1)*1</f>
        <v>0.466</v>
      </c>
      <c r="J323" s="5">
        <f>MID(PasteHashtag!I323,1+FIND("(",PasteHashtag!I323),FIND("/",PasteHashtag!I323)-FIND("(",PasteHashtag!I323)-1)*1</f>
        <v>0.9</v>
      </c>
      <c r="K323" s="5">
        <f>LEFT(PasteHashtag!I323,FIND("(",PasteHashtag!I323)-1)*1</f>
        <v>0.77</v>
      </c>
      <c r="L323" s="5">
        <f>PasteHashtag!J323</f>
        <v>0.9</v>
      </c>
      <c r="M323" s="5">
        <f>PasteHashtag!K323</f>
        <v>5.7</v>
      </c>
      <c r="N323" s="5">
        <f>PasteHashtag!L323</f>
        <v>2.7</v>
      </c>
      <c r="O323" s="5">
        <f>PasteHashtag!M323</f>
        <v>0.8</v>
      </c>
      <c r="P323" s="5">
        <f>PasteHashtag!N323</f>
        <v>0.4</v>
      </c>
      <c r="Q323" s="5">
        <f>PasteHashtag!O323</f>
        <v>0.4</v>
      </c>
      <c r="R323" s="5">
        <f>PasteHashtag!P323</f>
        <v>0.8</v>
      </c>
      <c r="S323" s="5">
        <f>Mid(PasteHashtag!H323,FIND("/",PasteHashtag!H323)+1,LEN(PasteHashtag!H323)-FIND("/",PasteHashtag!H323)-1)*1</f>
        <v>4.3</v>
      </c>
      <c r="T323" s="306">
        <f>Mid(PasteHashtag!I323,FIND("/",PasteHashtag!I323)+1,LEN(PasteHashtag!I323)-FIND("/",PasteHashtag!I323)-1)*1</f>
        <v>1.1</v>
      </c>
    </row>
    <row r="324">
      <c r="A324" s="5">
        <v>323.0</v>
      </c>
      <c r="B324" s="5" t="str">
        <f>PasteHashtag!B324</f>
        <v/>
      </c>
      <c r="C324" s="305" t="str">
        <f>PasteHashtag!C324</f>
        <v>Kyle Filipowski</v>
      </c>
      <c r="D324" s="5" t="str">
        <f>PasteHashtag!D324</f>
        <v>PF</v>
      </c>
      <c r="E324" s="5" t="str">
        <f>PasteHashtag!E324</f>
        <v>UTA</v>
      </c>
      <c r="F324" s="5">
        <f>PasteHashtag!F324</f>
        <v>54</v>
      </c>
      <c r="G324" s="5">
        <f>PasteHashtag!G324</f>
        <v>15.2</v>
      </c>
      <c r="H324" s="5">
        <f>MID(PasteHashtag!H324,1+FIND("(",PasteHashtag!H324),FIND("/",PasteHashtag!H324)-FIND("(",PasteHashtag!H324)-1)*1</f>
        <v>2.3</v>
      </c>
      <c r="I324" s="5">
        <f>LEFT(PasteHashtag!H324,FIND("(",PasteHashtag!H324)-1)*1</f>
        <v>0.506</v>
      </c>
      <c r="J324" s="5">
        <f>MID(PasteHashtag!I324,1+FIND("(",PasteHashtag!I324),FIND("/",PasteHashtag!I324)-FIND("(",PasteHashtag!I324)-1)*1</f>
        <v>1.2</v>
      </c>
      <c r="K324" s="5">
        <f>LEFT(PasteHashtag!I324,FIND("(",PasteHashtag!I324)-1)*1</f>
        <v>0.672</v>
      </c>
      <c r="L324" s="5">
        <f>PasteHashtag!J324</f>
        <v>0.4</v>
      </c>
      <c r="M324" s="5">
        <f>PasteHashtag!K324</f>
        <v>6.2</v>
      </c>
      <c r="N324" s="5">
        <f>PasteHashtag!L324</f>
        <v>3.1</v>
      </c>
      <c r="O324" s="5">
        <f>PasteHashtag!M324</f>
        <v>1</v>
      </c>
      <c r="P324" s="5">
        <f>PasteHashtag!N324</f>
        <v>0.4</v>
      </c>
      <c r="Q324" s="5">
        <f>PasteHashtag!O324</f>
        <v>0.6</v>
      </c>
      <c r="R324" s="5">
        <f>PasteHashtag!P324</f>
        <v>0.8</v>
      </c>
      <c r="S324" s="5">
        <f>Mid(PasteHashtag!H324,FIND("/",PasteHashtag!H324)+1,LEN(PasteHashtag!H324)-FIND("/",PasteHashtag!H324)-1)*1</f>
        <v>4.5</v>
      </c>
      <c r="T324" s="306">
        <f>Mid(PasteHashtag!I324,FIND("/",PasteHashtag!I324)+1,LEN(PasteHashtag!I324)-FIND("/",PasteHashtag!I324)-1)*1</f>
        <v>1.7</v>
      </c>
    </row>
    <row r="325">
      <c r="A325" s="5">
        <v>324.0</v>
      </c>
      <c r="B325" s="5" t="str">
        <f>PasteHashtag!B325</f>
        <v/>
      </c>
      <c r="C325" s="305" t="str">
        <f>PasteHashtag!C325</f>
        <v>Jaxson Hayes</v>
      </c>
      <c r="D325" s="5" t="str">
        <f>PasteHashtag!D325</f>
        <v>PF,C</v>
      </c>
      <c r="E325" s="5" t="str">
        <f>PasteHashtag!E325</f>
        <v>LAL</v>
      </c>
      <c r="F325" s="5">
        <f>PasteHashtag!F325</f>
        <v>70</v>
      </c>
      <c r="G325" s="5">
        <f>PasteHashtag!G325</f>
        <v>13.6</v>
      </c>
      <c r="H325" s="5">
        <f>MID(PasteHashtag!H325,1+FIND("(",PasteHashtag!H325),FIND("/",PasteHashtag!H325)-FIND("(",PasteHashtag!H325)-1)*1</f>
        <v>2</v>
      </c>
      <c r="I325" s="5">
        <f>LEFT(PasteHashtag!H325,FIND("(",PasteHashtag!H325)-1)*1</f>
        <v>0.641</v>
      </c>
      <c r="J325" s="5">
        <f>MID(PasteHashtag!I325,1+FIND("(",PasteHashtag!I325),FIND("/",PasteHashtag!I325)-FIND("(",PasteHashtag!I325)-1)*1</f>
        <v>1</v>
      </c>
      <c r="K325" s="5">
        <f>LEFT(PasteHashtag!I325,FIND("(",PasteHashtag!I325)-1)*1</f>
        <v>0.664</v>
      </c>
      <c r="L325" s="5">
        <f>PasteHashtag!J325</f>
        <v>0</v>
      </c>
      <c r="M325" s="5">
        <f>PasteHashtag!K325</f>
        <v>5</v>
      </c>
      <c r="N325" s="5">
        <f>PasteHashtag!L325</f>
        <v>3.2</v>
      </c>
      <c r="O325" s="5">
        <f>PasteHashtag!M325</f>
        <v>0.6</v>
      </c>
      <c r="P325" s="5">
        <f>PasteHashtag!N325</f>
        <v>0.5</v>
      </c>
      <c r="Q325" s="5">
        <f>PasteHashtag!O325</f>
        <v>0.4</v>
      </c>
      <c r="R325" s="5">
        <f>PasteHashtag!P325</f>
        <v>0.7</v>
      </c>
      <c r="S325" s="5">
        <f>Mid(PasteHashtag!H325,FIND("/",PasteHashtag!H325)+1,LEN(PasteHashtag!H325)-FIND("/",PasteHashtag!H325)-1)*1</f>
        <v>3.1</v>
      </c>
      <c r="T325" s="306">
        <f>Mid(PasteHashtag!I325,FIND("/",PasteHashtag!I325)+1,LEN(PasteHashtag!I325)-FIND("/",PasteHashtag!I325)-1)*1</f>
        <v>1.5</v>
      </c>
    </row>
    <row r="326">
      <c r="A326" s="5">
        <v>325.0</v>
      </c>
      <c r="B326" s="5" t="str">
        <f>PasteHashtag!B326</f>
        <v/>
      </c>
      <c r="C326" s="305" t="str">
        <f>PasteHashtag!C326</f>
        <v>Richaun Holmes</v>
      </c>
      <c r="D326" s="5" t="str">
        <f>PasteHashtag!D326</f>
        <v>C</v>
      </c>
      <c r="E326" s="5" t="str">
        <f>PasteHashtag!E326</f>
        <v>WAS</v>
      </c>
      <c r="F326" s="5">
        <f>PasteHashtag!F326</f>
        <v>54</v>
      </c>
      <c r="G326" s="5">
        <f>PasteHashtag!G326</f>
        <v>13.4</v>
      </c>
      <c r="H326" s="5">
        <f>MID(PasteHashtag!H326,1+FIND("(",PasteHashtag!H326),FIND("/",PasteHashtag!H326)-FIND("(",PasteHashtag!H326)-1)*1</f>
        <v>2.1</v>
      </c>
      <c r="I326" s="5">
        <f>LEFT(PasteHashtag!H326,FIND("(",PasteHashtag!H326)-1)*1</f>
        <v>0.582</v>
      </c>
      <c r="J326" s="5">
        <f>MID(PasteHashtag!I326,1+FIND("(",PasteHashtag!I326),FIND("/",PasteHashtag!I326)-FIND("(",PasteHashtag!I326)-1)*1</f>
        <v>0.7</v>
      </c>
      <c r="K326" s="5">
        <f>LEFT(PasteHashtag!I326,FIND("(",PasteHashtag!I326)-1)*1</f>
        <v>0.747</v>
      </c>
      <c r="L326" s="5">
        <f>PasteHashtag!J326</f>
        <v>0.1</v>
      </c>
      <c r="M326" s="5">
        <f>PasteHashtag!K326</f>
        <v>4.9</v>
      </c>
      <c r="N326" s="5">
        <f>PasteHashtag!L326</f>
        <v>3.9</v>
      </c>
      <c r="O326" s="5">
        <f>PasteHashtag!M326</f>
        <v>0.5</v>
      </c>
      <c r="P326" s="5">
        <f>PasteHashtag!N326</f>
        <v>0.2</v>
      </c>
      <c r="Q326" s="5">
        <f>PasteHashtag!O326</f>
        <v>0.5</v>
      </c>
      <c r="R326" s="5">
        <f>PasteHashtag!P326</f>
        <v>0.6</v>
      </c>
      <c r="S326" s="5">
        <f>Mid(PasteHashtag!H326,FIND("/",PasteHashtag!H326)+1,LEN(PasteHashtag!H326)-FIND("/",PasteHashtag!H326)-1)*1</f>
        <v>3.5</v>
      </c>
      <c r="T326" s="306">
        <f>Mid(PasteHashtag!I326,FIND("/",PasteHashtag!I326)+1,LEN(PasteHashtag!I326)-FIND("/",PasteHashtag!I326)-1)*1</f>
        <v>1</v>
      </c>
    </row>
    <row r="327">
      <c r="A327" s="5">
        <v>326.0</v>
      </c>
      <c r="B327" s="5" t="str">
        <f>PasteHashtag!B327</f>
        <v/>
      </c>
      <c r="C327" s="305" t="str">
        <f>PasteHashtag!C327</f>
        <v>Jock Landale</v>
      </c>
      <c r="D327" s="5" t="str">
        <f>PasteHashtag!D327</f>
        <v>C</v>
      </c>
      <c r="E327" s="5" t="str">
        <f>PasteHashtag!E327</f>
        <v>HOU</v>
      </c>
      <c r="F327" s="5">
        <f>PasteHashtag!F327</f>
        <v>44</v>
      </c>
      <c r="G327" s="5">
        <f>PasteHashtag!G327</f>
        <v>12.4</v>
      </c>
      <c r="H327" s="5">
        <f>MID(PasteHashtag!H327,1+FIND("(",PasteHashtag!H327),FIND("/",PasteHashtag!H327)-FIND("(",PasteHashtag!H327)-1)*1</f>
        <v>2</v>
      </c>
      <c r="I327" s="5">
        <f>LEFT(PasteHashtag!H327,FIND("(",PasteHashtag!H327)-1)*1</f>
        <v>0.523</v>
      </c>
      <c r="J327" s="5">
        <f>MID(PasteHashtag!I327,1+FIND("(",PasteHashtag!I327),FIND("/",PasteHashtag!I327)-FIND("(",PasteHashtag!I327)-1)*1</f>
        <v>0.9</v>
      </c>
      <c r="K327" s="5">
        <f>LEFT(PasteHashtag!I327,FIND("(",PasteHashtag!I327)-1)*1</f>
        <v>0.77</v>
      </c>
      <c r="L327" s="5">
        <f>PasteHashtag!J327</f>
        <v>0.2</v>
      </c>
      <c r="M327" s="5">
        <f>PasteHashtag!K327</f>
        <v>5.3</v>
      </c>
      <c r="N327" s="5">
        <f>PasteHashtag!L327</f>
        <v>3.3</v>
      </c>
      <c r="O327" s="5">
        <f>PasteHashtag!M327</f>
        <v>1</v>
      </c>
      <c r="P327" s="5">
        <f>PasteHashtag!N327</f>
        <v>0.3</v>
      </c>
      <c r="Q327" s="5">
        <f>PasteHashtag!O327</f>
        <v>0.5</v>
      </c>
      <c r="R327" s="5">
        <f>PasteHashtag!P327</f>
        <v>0.7</v>
      </c>
      <c r="S327" s="5">
        <f>Mid(PasteHashtag!H327,FIND("/",PasteHashtag!H327)+1,LEN(PasteHashtag!H327)-FIND("/",PasteHashtag!H327)-1)*1</f>
        <v>3.9</v>
      </c>
      <c r="T327" s="306">
        <f>Mid(PasteHashtag!I327,FIND("/",PasteHashtag!I327)+1,LEN(PasteHashtag!I327)-FIND("/",PasteHashtag!I327)-1)*1</f>
        <v>1.2</v>
      </c>
    </row>
    <row r="328">
      <c r="A328" s="5">
        <v>327.0</v>
      </c>
      <c r="B328" s="5" t="str">
        <f>PasteHashtag!B328</f>
        <v/>
      </c>
      <c r="C328" s="305" t="str">
        <f>PasteHashtag!C328</f>
        <v>Craig Porter Jr.</v>
      </c>
      <c r="D328" s="5" t="str">
        <f>PasteHashtag!D328</f>
        <v>PG,SG</v>
      </c>
      <c r="E328" s="5" t="str">
        <f>PasteHashtag!E328</f>
        <v>CLE</v>
      </c>
      <c r="F328" s="5">
        <f>PasteHashtag!F328</f>
        <v>55</v>
      </c>
      <c r="G328" s="5">
        <f>PasteHashtag!G328</f>
        <v>12.4</v>
      </c>
      <c r="H328" s="5">
        <f>MID(PasteHashtag!H328,1+FIND("(",PasteHashtag!H328),FIND("/",PasteHashtag!H328)-FIND("(",PasteHashtag!H328)-1)*1</f>
        <v>2.2</v>
      </c>
      <c r="I328" s="5">
        <f>LEFT(PasteHashtag!H328,FIND("(",PasteHashtag!H328)-1)*1</f>
        <v>0.509</v>
      </c>
      <c r="J328" s="5">
        <f>MID(PasteHashtag!I328,1+FIND("(",PasteHashtag!I328),FIND("/",PasteHashtag!I328)-FIND("(",PasteHashtag!I328)-1)*1</f>
        <v>0.8</v>
      </c>
      <c r="K328" s="5">
        <f>LEFT(PasteHashtag!I328,FIND("(",PasteHashtag!I328)-1)*1</f>
        <v>0.731</v>
      </c>
      <c r="L328" s="5">
        <f>PasteHashtag!J328</f>
        <v>0.2</v>
      </c>
      <c r="M328" s="5">
        <f>PasteHashtag!K328</f>
        <v>5.5</v>
      </c>
      <c r="N328" s="5">
        <f>PasteHashtag!L328</f>
        <v>2.1</v>
      </c>
      <c r="O328" s="5">
        <f>PasteHashtag!M328</f>
        <v>2.3</v>
      </c>
      <c r="P328" s="5">
        <f>PasteHashtag!N328</f>
        <v>0.4</v>
      </c>
      <c r="Q328" s="5">
        <f>PasteHashtag!O328</f>
        <v>0.3</v>
      </c>
      <c r="R328" s="5">
        <f>PasteHashtag!P328</f>
        <v>0.9</v>
      </c>
      <c r="S328" s="5">
        <f>Mid(PasteHashtag!H328,FIND("/",PasteHashtag!H328)+1,LEN(PasteHashtag!H328)-FIND("/",PasteHashtag!H328)-1)*1</f>
        <v>4.4</v>
      </c>
      <c r="T328" s="306">
        <f>Mid(PasteHashtag!I328,FIND("/",PasteHashtag!I328)+1,LEN(PasteHashtag!I328)-FIND("/",PasteHashtag!I328)-1)*1</f>
        <v>1.1</v>
      </c>
    </row>
    <row r="329">
      <c r="A329" s="5">
        <v>328.0</v>
      </c>
      <c r="B329" s="5" t="str">
        <f>PasteHashtag!B329</f>
        <v/>
      </c>
      <c r="C329" s="305" t="str">
        <f>PasteHashtag!C329</f>
        <v>Jordan Hawkins</v>
      </c>
      <c r="D329" s="5" t="str">
        <f>PasteHashtag!D329</f>
        <v>SG</v>
      </c>
      <c r="E329" s="5" t="str">
        <f>PasteHashtag!E329</f>
        <v>NO</v>
      </c>
      <c r="F329" s="5">
        <f>PasteHashtag!F329</f>
        <v>64</v>
      </c>
      <c r="G329" s="5">
        <f>PasteHashtag!G329</f>
        <v>18.8</v>
      </c>
      <c r="H329" s="5">
        <f>MID(PasteHashtag!H329,1+FIND("(",PasteHashtag!H329),FIND("/",PasteHashtag!H329)-FIND("(",PasteHashtag!H329)-1)*1</f>
        <v>2.9</v>
      </c>
      <c r="I329" s="5">
        <f>LEFT(PasteHashtag!H329,FIND("(",PasteHashtag!H329)-1)*1</f>
        <v>0.382</v>
      </c>
      <c r="J329" s="5">
        <f>MID(PasteHashtag!I329,1+FIND("(",PasteHashtag!I329),FIND("/",PasteHashtag!I329)-FIND("(",PasteHashtag!I329)-1)*1</f>
        <v>1.1</v>
      </c>
      <c r="K329" s="5">
        <f>LEFT(PasteHashtag!I329,FIND("(",PasteHashtag!I329)-1)*1</f>
        <v>0.84</v>
      </c>
      <c r="L329" s="5">
        <f>PasteHashtag!J329</f>
        <v>1.8</v>
      </c>
      <c r="M329" s="5">
        <f>PasteHashtag!K329</f>
        <v>8.6</v>
      </c>
      <c r="N329" s="5">
        <f>PasteHashtag!L329</f>
        <v>2.4</v>
      </c>
      <c r="O329" s="5">
        <f>PasteHashtag!M329</f>
        <v>1.2</v>
      </c>
      <c r="P329" s="5">
        <f>PasteHashtag!N329</f>
        <v>0.3</v>
      </c>
      <c r="Q329" s="5">
        <f>PasteHashtag!O329</f>
        <v>0.1</v>
      </c>
      <c r="R329" s="5">
        <f>PasteHashtag!P329</f>
        <v>0.7</v>
      </c>
      <c r="S329" s="5">
        <f>Mid(PasteHashtag!H329,FIND("/",PasteHashtag!H329)+1,LEN(PasteHashtag!H329)-FIND("/",PasteHashtag!H329)-1)*1</f>
        <v>7.5</v>
      </c>
      <c r="T329" s="306">
        <f>Mid(PasteHashtag!I329,FIND("/",PasteHashtag!I329)+1,LEN(PasteHashtag!I329)-FIND("/",PasteHashtag!I329)-1)*1</f>
        <v>1.3</v>
      </c>
    </row>
    <row r="330">
      <c r="A330" s="5">
        <v>329.0</v>
      </c>
      <c r="B330" s="5" t="str">
        <f>PasteHashtag!B330</f>
        <v/>
      </c>
      <c r="C330" s="305" t="str">
        <f>PasteHashtag!C330</f>
        <v>Jabari Walker</v>
      </c>
      <c r="D330" s="5" t="str">
        <f>PasteHashtag!D330</f>
        <v>SF,PF</v>
      </c>
      <c r="E330" s="5" t="str">
        <f>PasteHashtag!E330</f>
        <v>POR</v>
      </c>
      <c r="F330" s="5">
        <f>PasteHashtag!F330</f>
        <v>65</v>
      </c>
      <c r="G330" s="5">
        <f>PasteHashtag!G330</f>
        <v>17.1</v>
      </c>
      <c r="H330" s="5">
        <f>MID(PasteHashtag!H330,1+FIND("(",PasteHashtag!H330),FIND("/",PasteHashtag!H330)-FIND("(",PasteHashtag!H330)-1)*1</f>
        <v>2.4</v>
      </c>
      <c r="I330" s="5">
        <f>LEFT(PasteHashtag!H330,FIND("(",PasteHashtag!H330)-1)*1</f>
        <v>0.449</v>
      </c>
      <c r="J330" s="5">
        <f>MID(PasteHashtag!I330,1+FIND("(",PasteHashtag!I330),FIND("/",PasteHashtag!I330)-FIND("(",PasteHashtag!I330)-1)*1</f>
        <v>1.2</v>
      </c>
      <c r="K330" s="5">
        <f>LEFT(PasteHashtag!I330,FIND("(",PasteHashtag!I330)-1)*1</f>
        <v>0.752</v>
      </c>
      <c r="L330" s="5">
        <f>PasteHashtag!J330</f>
        <v>0.4</v>
      </c>
      <c r="M330" s="5">
        <f>PasteHashtag!K330</f>
        <v>6.4</v>
      </c>
      <c r="N330" s="5">
        <f>PasteHashtag!L330</f>
        <v>4.8</v>
      </c>
      <c r="O330" s="5">
        <f>PasteHashtag!M330</f>
        <v>0.8</v>
      </c>
      <c r="P330" s="5">
        <f>PasteHashtag!N330</f>
        <v>0.4</v>
      </c>
      <c r="Q330" s="5">
        <f>PasteHashtag!O330</f>
        <v>0.3</v>
      </c>
      <c r="R330" s="5">
        <f>PasteHashtag!P330</f>
        <v>0.7</v>
      </c>
      <c r="S330" s="5">
        <f>Mid(PasteHashtag!H330,FIND("/",PasteHashtag!H330)+1,LEN(PasteHashtag!H330)-FIND("/",PasteHashtag!H330)-1)*1</f>
        <v>5.3</v>
      </c>
      <c r="T330" s="306">
        <f>Mid(PasteHashtag!I330,FIND("/",PasteHashtag!I330)+1,LEN(PasteHashtag!I330)-FIND("/",PasteHashtag!I330)-1)*1</f>
        <v>1.6</v>
      </c>
    </row>
    <row r="331">
      <c r="A331" s="5">
        <v>330.0</v>
      </c>
      <c r="B331" s="5" t="str">
        <f>PasteHashtag!B331</f>
        <v/>
      </c>
      <c r="C331" s="305" t="str">
        <f>PasteHashtag!C331</f>
        <v>Vasilije Micic</v>
      </c>
      <c r="D331" s="5" t="str">
        <f>PasteHashtag!D331</f>
        <v>PG,SG</v>
      </c>
      <c r="E331" s="5" t="str">
        <f>PasteHashtag!E331</f>
        <v>CHA</v>
      </c>
      <c r="F331" s="5">
        <f>PasteHashtag!F331</f>
        <v>58</v>
      </c>
      <c r="G331" s="5">
        <f>PasteHashtag!G331</f>
        <v>16.5</v>
      </c>
      <c r="H331" s="5">
        <f>MID(PasteHashtag!H331,1+FIND("(",PasteHashtag!H331),FIND("/",PasteHashtag!H331)-FIND("(",PasteHashtag!H331)-1)*1</f>
        <v>2.3</v>
      </c>
      <c r="I331" s="5">
        <f>LEFT(PasteHashtag!H331,FIND("(",PasteHashtag!H331)-1)*1</f>
        <v>0.429</v>
      </c>
      <c r="J331" s="5">
        <f>MID(PasteHashtag!I331,1+FIND("(",PasteHashtag!I331),FIND("/",PasteHashtag!I331)-FIND("(",PasteHashtag!I331)-1)*1</f>
        <v>0.9</v>
      </c>
      <c r="K331" s="5">
        <f>LEFT(PasteHashtag!I331,FIND("(",PasteHashtag!I331)-1)*1</f>
        <v>0.811</v>
      </c>
      <c r="L331" s="5">
        <f>PasteHashtag!J331</f>
        <v>0.6</v>
      </c>
      <c r="M331" s="5">
        <f>PasteHashtag!K331</f>
        <v>6</v>
      </c>
      <c r="N331" s="5">
        <f>PasteHashtag!L331</f>
        <v>1.3</v>
      </c>
      <c r="O331" s="5">
        <f>PasteHashtag!M331</f>
        <v>3.7</v>
      </c>
      <c r="P331" s="5">
        <f>PasteHashtag!N331</f>
        <v>0.4</v>
      </c>
      <c r="Q331" s="5">
        <f>PasteHashtag!O331</f>
        <v>0.1</v>
      </c>
      <c r="R331" s="5">
        <f>PasteHashtag!P331</f>
        <v>1.4</v>
      </c>
      <c r="S331" s="5">
        <f>Mid(PasteHashtag!H331,FIND("/",PasteHashtag!H331)+1,LEN(PasteHashtag!H331)-FIND("/",PasteHashtag!H331)-1)*1</f>
        <v>5.2</v>
      </c>
      <c r="T331" s="306">
        <f>Mid(PasteHashtag!I331,FIND("/",PasteHashtag!I331)+1,LEN(PasteHashtag!I331)-FIND("/",PasteHashtag!I331)-1)*1</f>
        <v>1.1</v>
      </c>
    </row>
    <row r="332">
      <c r="A332" s="5">
        <v>331.0</v>
      </c>
      <c r="B332" s="5" t="str">
        <f>PasteHashtag!B332</f>
        <v/>
      </c>
      <c r="C332" s="305" t="str">
        <f>PasteHashtag!C332</f>
        <v>Kenrich Williams</v>
      </c>
      <c r="D332" s="5" t="str">
        <f>PasteHashtag!D332</f>
        <v>PF</v>
      </c>
      <c r="E332" s="5" t="str">
        <f>PasteHashtag!E332</f>
        <v>OKC</v>
      </c>
      <c r="F332" s="5">
        <f>PasteHashtag!F332</f>
        <v>58</v>
      </c>
      <c r="G332" s="5">
        <f>PasteHashtag!G332</f>
        <v>14.2</v>
      </c>
      <c r="H332" s="5">
        <f>MID(PasteHashtag!H332,1+FIND("(",PasteHashtag!H332),FIND("/",PasteHashtag!H332)-FIND("(",PasteHashtag!H332)-1)*1</f>
        <v>2</v>
      </c>
      <c r="I332" s="5">
        <f>LEFT(PasteHashtag!H332,FIND("(",PasteHashtag!H332)-1)*1</f>
        <v>0.495</v>
      </c>
      <c r="J332" s="5">
        <f>MID(PasteHashtag!I332,1+FIND("(",PasteHashtag!I332),FIND("/",PasteHashtag!I332)-FIND("(",PasteHashtag!I332)-1)*1</f>
        <v>0.2</v>
      </c>
      <c r="K332" s="5">
        <f>LEFT(PasteHashtag!I332,FIND("(",PasteHashtag!I332)-1)*1</f>
        <v>0.441</v>
      </c>
      <c r="L332" s="5">
        <f>PasteHashtag!J332</f>
        <v>0.7</v>
      </c>
      <c r="M332" s="5">
        <f>PasteHashtag!K332</f>
        <v>4.8</v>
      </c>
      <c r="N332" s="5">
        <f>PasteHashtag!L332</f>
        <v>3</v>
      </c>
      <c r="O332" s="5">
        <f>PasteHashtag!M332</f>
        <v>1.3</v>
      </c>
      <c r="P332" s="5">
        <f>PasteHashtag!N332</f>
        <v>0.5</v>
      </c>
      <c r="Q332" s="5">
        <f>PasteHashtag!O332</f>
        <v>0.2</v>
      </c>
      <c r="R332" s="5">
        <f>PasteHashtag!P332</f>
        <v>0.4</v>
      </c>
      <c r="S332" s="5">
        <f>Mid(PasteHashtag!H332,FIND("/",PasteHashtag!H332)+1,LEN(PasteHashtag!H332)-FIND("/",PasteHashtag!H332)-1)*1</f>
        <v>4</v>
      </c>
      <c r="T332" s="306">
        <f>Mid(PasteHashtag!I332,FIND("/",PasteHashtag!I332)+1,LEN(PasteHashtag!I332)-FIND("/",PasteHashtag!I332)-1)*1</f>
        <v>0.3</v>
      </c>
    </row>
    <row r="333">
      <c r="A333" s="5">
        <v>332.0</v>
      </c>
      <c r="B333" s="5" t="str">
        <f>PasteHashtag!B333</f>
        <v/>
      </c>
      <c r="C333" s="305" t="str">
        <f>PasteHashtag!C333</f>
        <v>Jordan McLaughlin</v>
      </c>
      <c r="D333" s="5" t="str">
        <f>PasteHashtag!D333</f>
        <v>PG,SG</v>
      </c>
      <c r="E333" s="5" t="str">
        <f>PasteHashtag!E333</f>
        <v>SAC</v>
      </c>
      <c r="F333" s="5">
        <f>PasteHashtag!F333</f>
        <v>50</v>
      </c>
      <c r="G333" s="5">
        <f>PasteHashtag!G333</f>
        <v>12.2</v>
      </c>
      <c r="H333" s="5">
        <f>MID(PasteHashtag!H333,1+FIND("(",PasteHashtag!H333),FIND("/",PasteHashtag!H333)-FIND("(",PasteHashtag!H333)-1)*1</f>
        <v>1.2</v>
      </c>
      <c r="I333" s="5">
        <f>LEFT(PasteHashtag!H333,FIND("(",PasteHashtag!H333)-1)*1</f>
        <v>0.453</v>
      </c>
      <c r="J333" s="5">
        <f>MID(PasteHashtag!I333,1+FIND("(",PasteHashtag!I333),FIND("/",PasteHashtag!I333)-FIND("(",PasteHashtag!I333)-1)*1</f>
        <v>0.3</v>
      </c>
      <c r="K333" s="5">
        <f>LEFT(PasteHashtag!I333,FIND("(",PasteHashtag!I333)-1)*1</f>
        <v>0.765</v>
      </c>
      <c r="L333" s="5">
        <f>PasteHashtag!J333</f>
        <v>0.6</v>
      </c>
      <c r="M333" s="5">
        <f>PasteHashtag!K333</f>
        <v>3.4</v>
      </c>
      <c r="N333" s="5">
        <f>PasteHashtag!L333</f>
        <v>1.3</v>
      </c>
      <c r="O333" s="5">
        <f>PasteHashtag!M333</f>
        <v>2.4</v>
      </c>
      <c r="P333" s="5">
        <f>PasteHashtag!N333</f>
        <v>0.6</v>
      </c>
      <c r="Q333" s="5">
        <f>PasteHashtag!O333</f>
        <v>0.1</v>
      </c>
      <c r="R333" s="5">
        <f>PasteHashtag!P333</f>
        <v>0.5</v>
      </c>
      <c r="S333" s="5">
        <f>Mid(PasteHashtag!H333,FIND("/",PasteHashtag!H333)+1,LEN(PasteHashtag!H333)-FIND("/",PasteHashtag!H333)-1)*1</f>
        <v>2.7</v>
      </c>
      <c r="T333" s="306">
        <f>Mid(PasteHashtag!I333,FIND("/",PasteHashtag!I333)+1,LEN(PasteHashtag!I333)-FIND("/",PasteHashtag!I333)-1)*1</f>
        <v>0.3</v>
      </c>
    </row>
    <row r="334">
      <c r="A334" s="5">
        <v>333.0</v>
      </c>
      <c r="B334" s="5" t="str">
        <f>PasteHashtag!B334</f>
        <v/>
      </c>
      <c r="C334" s="305" t="str">
        <f>PasteHashtag!C334</f>
        <v>Johnny Furphy</v>
      </c>
      <c r="D334" s="5" t="str">
        <f>PasteHashtag!D334</f>
        <v>SG</v>
      </c>
      <c r="E334" s="5" t="str">
        <f>PasteHashtag!E334</f>
        <v>IND</v>
      </c>
      <c r="F334" s="5">
        <f>PasteHashtag!F334</f>
        <v>60</v>
      </c>
      <c r="G334" s="5">
        <f>PasteHashtag!G334</f>
        <v>18.6</v>
      </c>
      <c r="H334" s="5">
        <f>MID(PasteHashtag!H334,1+FIND("(",PasteHashtag!H334),FIND("/",PasteHashtag!H334)-FIND("(",PasteHashtag!H334)-1)*1</f>
        <v>1.7</v>
      </c>
      <c r="I334" s="5">
        <f>LEFT(PasteHashtag!H334,FIND("(",PasteHashtag!H334)-1)*1</f>
        <v>0.457</v>
      </c>
      <c r="J334" s="5">
        <f>MID(PasteHashtag!I334,1+FIND("(",PasteHashtag!I334),FIND("/",PasteHashtag!I334)-FIND("(",PasteHashtag!I334)-1)*1</f>
        <v>1.1</v>
      </c>
      <c r="K334" s="5">
        <f>LEFT(PasteHashtag!I334,FIND("(",PasteHashtag!I334)-1)*1</f>
        <v>0.761</v>
      </c>
      <c r="L334" s="5">
        <f>PasteHashtag!J334</f>
        <v>0.8</v>
      </c>
      <c r="M334" s="5">
        <f>PasteHashtag!K334</f>
        <v>5.1</v>
      </c>
      <c r="N334" s="5">
        <f>PasteHashtag!L334</f>
        <v>2.8</v>
      </c>
      <c r="O334" s="5">
        <f>PasteHashtag!M334</f>
        <v>0.6</v>
      </c>
      <c r="P334" s="5">
        <f>PasteHashtag!N334</f>
        <v>0.5</v>
      </c>
      <c r="Q334" s="5">
        <f>PasteHashtag!O334</f>
        <v>0.2</v>
      </c>
      <c r="R334" s="5">
        <f>PasteHashtag!P334</f>
        <v>0.5</v>
      </c>
      <c r="S334" s="5">
        <f>Mid(PasteHashtag!H334,FIND("/",PasteHashtag!H334)+1,LEN(PasteHashtag!H334)-FIND("/",PasteHashtag!H334)-1)*1</f>
        <v>3.6</v>
      </c>
      <c r="T334" s="306">
        <f>Mid(PasteHashtag!I334,FIND("/",PasteHashtag!I334)+1,LEN(PasteHashtag!I334)-FIND("/",PasteHashtag!I334)-1)*1</f>
        <v>1.4</v>
      </c>
    </row>
    <row r="335">
      <c r="A335" s="5">
        <v>334.0</v>
      </c>
      <c r="B335" s="5" t="str">
        <f>PasteHashtag!B335</f>
        <v/>
      </c>
      <c r="C335" s="305" t="str">
        <f>PasteHashtag!C335</f>
        <v>Ben Sheppard</v>
      </c>
      <c r="D335" s="5" t="str">
        <f>PasteHashtag!D335</f>
        <v>SG,SF</v>
      </c>
      <c r="E335" s="5" t="str">
        <f>PasteHashtag!E335</f>
        <v>IND</v>
      </c>
      <c r="F335" s="5">
        <f>PasteHashtag!F335</f>
        <v>56</v>
      </c>
      <c r="G335" s="5">
        <f>PasteHashtag!G335</f>
        <v>16.4</v>
      </c>
      <c r="H335" s="5">
        <f>MID(PasteHashtag!H335,1+FIND("(",PasteHashtag!H335),FIND("/",PasteHashtag!H335)-FIND("(",PasteHashtag!H335)-1)*1</f>
        <v>1.8</v>
      </c>
      <c r="I335" s="5">
        <f>LEFT(PasteHashtag!H335,FIND("(",PasteHashtag!H335)-1)*1</f>
        <v>0.393</v>
      </c>
      <c r="J335" s="5">
        <f>MID(PasteHashtag!I335,1+FIND("(",PasteHashtag!I335),FIND("/",PasteHashtag!I335)-FIND("(",PasteHashtag!I335)-1)*1</f>
        <v>0.5</v>
      </c>
      <c r="K335" s="5">
        <f>LEFT(PasteHashtag!I335,FIND("(",PasteHashtag!I335)-1)*1</f>
        <v>0.887</v>
      </c>
      <c r="L335" s="5">
        <f>PasteHashtag!J335</f>
        <v>1</v>
      </c>
      <c r="M335" s="5">
        <f>PasteHashtag!K335</f>
        <v>5.1</v>
      </c>
      <c r="N335" s="5">
        <f>PasteHashtag!L335</f>
        <v>1.8</v>
      </c>
      <c r="O335" s="5">
        <f>PasteHashtag!M335</f>
        <v>1.1</v>
      </c>
      <c r="P335" s="5">
        <f>PasteHashtag!N335</f>
        <v>0.7</v>
      </c>
      <c r="Q335" s="5">
        <f>PasteHashtag!O335</f>
        <v>0</v>
      </c>
      <c r="R335" s="5">
        <f>PasteHashtag!P335</f>
        <v>0.3</v>
      </c>
      <c r="S335" s="5">
        <f>Mid(PasteHashtag!H335,FIND("/",PasteHashtag!H335)+1,LEN(PasteHashtag!H335)-FIND("/",PasteHashtag!H335)-1)*1</f>
        <v>4.7</v>
      </c>
      <c r="T335" s="306">
        <f>Mid(PasteHashtag!I335,FIND("/",PasteHashtag!I335)+1,LEN(PasteHashtag!I335)-FIND("/",PasteHashtag!I335)-1)*1</f>
        <v>0.5</v>
      </c>
    </row>
    <row r="336">
      <c r="A336" s="5">
        <v>335.0</v>
      </c>
      <c r="B336" s="5" t="str">
        <f>PasteHashtag!B336</f>
        <v/>
      </c>
      <c r="C336" s="305" t="str">
        <f>PasteHashtag!C336</f>
        <v>Kenyon Martin Jr.</v>
      </c>
      <c r="D336" s="5" t="str">
        <f>PasteHashtag!D336</f>
        <v>SF,PF</v>
      </c>
      <c r="E336" s="5" t="str">
        <f>PasteHashtag!E336</f>
        <v>PHI</v>
      </c>
      <c r="F336" s="5">
        <f>PasteHashtag!F336</f>
        <v>44</v>
      </c>
      <c r="G336" s="5">
        <f>PasteHashtag!G336</f>
        <v>15.1</v>
      </c>
      <c r="H336" s="5">
        <f>MID(PasteHashtag!H336,1+FIND("(",PasteHashtag!H336),FIND("/",PasteHashtag!H336)-FIND("(",PasteHashtag!H336)-1)*1</f>
        <v>2.7</v>
      </c>
      <c r="I336" s="5">
        <f>LEFT(PasteHashtag!H336,FIND("(",PasteHashtag!H336)-1)*1</f>
        <v>0.562</v>
      </c>
      <c r="J336" s="5">
        <f>MID(PasteHashtag!I336,1+FIND("(",PasteHashtag!I336),FIND("/",PasteHashtag!I336)-FIND("(",PasteHashtag!I336)-1)*1</f>
        <v>0.9</v>
      </c>
      <c r="K336" s="5">
        <f>LEFT(PasteHashtag!I336,FIND("(",PasteHashtag!I336)-1)*1</f>
        <v>0.657</v>
      </c>
      <c r="L336" s="5">
        <f>PasteHashtag!J336</f>
        <v>0.4</v>
      </c>
      <c r="M336" s="5">
        <f>PasteHashtag!K336</f>
        <v>6.7</v>
      </c>
      <c r="N336" s="5">
        <f>PasteHashtag!L336</f>
        <v>3.1</v>
      </c>
      <c r="O336" s="5">
        <f>PasteHashtag!M336</f>
        <v>0.9</v>
      </c>
      <c r="P336" s="5">
        <f>PasteHashtag!N336</f>
        <v>0.3</v>
      </c>
      <c r="Q336" s="5">
        <f>PasteHashtag!O336</f>
        <v>0.2</v>
      </c>
      <c r="R336" s="5">
        <f>PasteHashtag!P336</f>
        <v>0.7</v>
      </c>
      <c r="S336" s="5">
        <f>Mid(PasteHashtag!H336,FIND("/",PasteHashtag!H336)+1,LEN(PasteHashtag!H336)-FIND("/",PasteHashtag!H336)-1)*1</f>
        <v>4.8</v>
      </c>
      <c r="T336" s="306">
        <f>Mid(PasteHashtag!I336,FIND("/",PasteHashtag!I336)+1,LEN(PasteHashtag!I336)-FIND("/",PasteHashtag!I336)-1)*1</f>
        <v>1.4</v>
      </c>
    </row>
    <row r="337">
      <c r="A337" s="5">
        <v>336.0</v>
      </c>
      <c r="B337" s="5" t="str">
        <f>PasteHashtag!B337</f>
        <v/>
      </c>
      <c r="C337" s="305" t="str">
        <f>PasteHashtag!C337</f>
        <v>Dwight Powell</v>
      </c>
      <c r="D337" s="5" t="str">
        <f>PasteHashtag!D337</f>
        <v>C</v>
      </c>
      <c r="E337" s="5" t="str">
        <f>PasteHashtag!E337</f>
        <v>DAL</v>
      </c>
      <c r="F337" s="5">
        <f>PasteHashtag!F337</f>
        <v>64</v>
      </c>
      <c r="G337" s="5">
        <f>PasteHashtag!G337</f>
        <v>13.4</v>
      </c>
      <c r="H337" s="5">
        <f>MID(PasteHashtag!H337,1+FIND("(",PasteHashtag!H337),FIND("/",PasteHashtag!H337)-FIND("(",PasteHashtag!H337)-1)*1</f>
        <v>1.6</v>
      </c>
      <c r="I337" s="5">
        <f>LEFT(PasteHashtag!H337,FIND("(",PasteHashtag!H337)-1)*1</f>
        <v>0.719</v>
      </c>
      <c r="J337" s="5">
        <f>MID(PasteHashtag!I337,1+FIND("(",PasteHashtag!I337),FIND("/",PasteHashtag!I337)-FIND("(",PasteHashtag!I337)-1)*1</f>
        <v>1</v>
      </c>
      <c r="K337" s="5">
        <f>LEFT(PasteHashtag!I337,FIND("(",PasteHashtag!I337)-1)*1</f>
        <v>0.678</v>
      </c>
      <c r="L337" s="5">
        <f>PasteHashtag!J337</f>
        <v>0</v>
      </c>
      <c r="M337" s="5">
        <f>PasteHashtag!K337</f>
        <v>4.2</v>
      </c>
      <c r="N337" s="5">
        <f>PasteHashtag!L337</f>
        <v>3.1</v>
      </c>
      <c r="O337" s="5">
        <f>PasteHashtag!M337</f>
        <v>0.9</v>
      </c>
      <c r="P337" s="5">
        <f>PasteHashtag!N337</f>
        <v>0.4</v>
      </c>
      <c r="Q337" s="5">
        <f>PasteHashtag!O337</f>
        <v>0.3</v>
      </c>
      <c r="R337" s="5">
        <f>PasteHashtag!P337</f>
        <v>0.6</v>
      </c>
      <c r="S337" s="5">
        <f>Mid(PasteHashtag!H337,FIND("/",PasteHashtag!H337)+1,LEN(PasteHashtag!H337)-FIND("/",PasteHashtag!H337)-1)*1</f>
        <v>2.2</v>
      </c>
      <c r="T337" s="306">
        <f>Mid(PasteHashtag!I337,FIND("/",PasteHashtag!I337)+1,LEN(PasteHashtag!I337)-FIND("/",PasteHashtag!I337)-1)*1</f>
        <v>1.5</v>
      </c>
    </row>
    <row r="338">
      <c r="A338" s="5">
        <v>337.0</v>
      </c>
      <c r="B338" s="5" t="str">
        <f>PasteHashtag!B338</f>
        <v/>
      </c>
      <c r="C338" s="305" t="str">
        <f>PasteHashtag!C338</f>
        <v>Yves Missi</v>
      </c>
      <c r="D338" s="5" t="str">
        <f>PasteHashtag!D338</f>
        <v>C</v>
      </c>
      <c r="E338" s="5" t="str">
        <f>PasteHashtag!E338</f>
        <v>NO</v>
      </c>
      <c r="F338" s="5">
        <f>PasteHashtag!F338</f>
        <v>60</v>
      </c>
      <c r="G338" s="5">
        <f>PasteHashtag!G338</f>
        <v>15.9</v>
      </c>
      <c r="H338" s="5">
        <f>MID(PasteHashtag!H338,1+FIND("(",PasteHashtag!H338),FIND("/",PasteHashtag!H338)-FIND("(",PasteHashtag!H338)-1)*1</f>
        <v>2.4</v>
      </c>
      <c r="I338" s="5">
        <f>LEFT(PasteHashtag!H338,FIND("(",PasteHashtag!H338)-1)*1</f>
        <v>0.614</v>
      </c>
      <c r="J338" s="5">
        <f>MID(PasteHashtag!I338,1+FIND("(",PasteHashtag!I338),FIND("/",PasteHashtag!I338)-FIND("(",PasteHashtag!I338)-1)*1</f>
        <v>1.5</v>
      </c>
      <c r="K338" s="5">
        <f>LEFT(PasteHashtag!I338,FIND("(",PasteHashtag!I338)-1)*1</f>
        <v>0.615</v>
      </c>
      <c r="L338" s="5">
        <f>PasteHashtag!J338</f>
        <v>0</v>
      </c>
      <c r="M338" s="5">
        <f>PasteHashtag!K338</f>
        <v>6.3</v>
      </c>
      <c r="N338" s="5">
        <f>PasteHashtag!L338</f>
        <v>3.3</v>
      </c>
      <c r="O338" s="5">
        <f>PasteHashtag!M338</f>
        <v>0.2</v>
      </c>
      <c r="P338" s="5">
        <f>PasteHashtag!N338</f>
        <v>0.4</v>
      </c>
      <c r="Q338" s="5">
        <f>PasteHashtag!O338</f>
        <v>0.9</v>
      </c>
      <c r="R338" s="5">
        <f>PasteHashtag!P338</f>
        <v>0.7</v>
      </c>
      <c r="S338" s="5">
        <f>Mid(PasteHashtag!H338,FIND("/",PasteHashtag!H338)+1,LEN(PasteHashtag!H338)-FIND("/",PasteHashtag!H338)-1)*1</f>
        <v>3.9</v>
      </c>
      <c r="T338" s="306">
        <f>Mid(PasteHashtag!I338,FIND("/",PasteHashtag!I338)+1,LEN(PasteHashtag!I338)-FIND("/",PasteHashtag!I338)-1)*1</f>
        <v>2.4</v>
      </c>
    </row>
    <row r="339">
      <c r="A339" s="5">
        <v>338.0</v>
      </c>
      <c r="B339" s="5" t="str">
        <f>PasteHashtag!B339</f>
        <v/>
      </c>
      <c r="C339" s="305" t="str">
        <f>PasteHashtag!C339</f>
        <v>Jake LaRavia</v>
      </c>
      <c r="D339" s="5" t="str">
        <f>PasteHashtag!D339</f>
        <v>SF,PF</v>
      </c>
      <c r="E339" s="5" t="str">
        <f>PasteHashtag!E339</f>
        <v>MEM</v>
      </c>
      <c r="F339" s="5">
        <f>PasteHashtag!F339</f>
        <v>35</v>
      </c>
      <c r="G339" s="5">
        <f>PasteHashtag!G339</f>
        <v>14.8</v>
      </c>
      <c r="H339" s="5">
        <f>MID(PasteHashtag!H339,1+FIND("(",PasteHashtag!H339),FIND("/",PasteHashtag!H339)-FIND("(",PasteHashtag!H339)-1)*1</f>
        <v>1.9</v>
      </c>
      <c r="I339" s="5">
        <f>LEFT(PasteHashtag!H339,FIND("(",PasteHashtag!H339)-1)*1</f>
        <v>0.389</v>
      </c>
      <c r="J339" s="5">
        <f>MID(PasteHashtag!I339,1+FIND("(",PasteHashtag!I339),FIND("/",PasteHashtag!I339)-FIND("(",PasteHashtag!I339)-1)*1</f>
        <v>1.2</v>
      </c>
      <c r="K339" s="5">
        <f>LEFT(PasteHashtag!I339,FIND("(",PasteHashtag!I339)-1)*1</f>
        <v>0.821</v>
      </c>
      <c r="L339" s="5">
        <f>PasteHashtag!J339</f>
        <v>0.9</v>
      </c>
      <c r="M339" s="5">
        <f>PasteHashtag!K339</f>
        <v>5.9</v>
      </c>
      <c r="N339" s="5">
        <f>PasteHashtag!L339</f>
        <v>2.3</v>
      </c>
      <c r="O339" s="5">
        <f>PasteHashtag!M339</f>
        <v>1</v>
      </c>
      <c r="P339" s="5">
        <f>PasteHashtag!N339</f>
        <v>0.5</v>
      </c>
      <c r="Q339" s="5">
        <f>PasteHashtag!O339</f>
        <v>0.2</v>
      </c>
      <c r="R339" s="5">
        <f>PasteHashtag!P339</f>
        <v>0.8</v>
      </c>
      <c r="S339" s="5">
        <f>Mid(PasteHashtag!H339,FIND("/",PasteHashtag!H339)+1,LEN(PasteHashtag!H339)-FIND("/",PasteHashtag!H339)-1)*1</f>
        <v>4.9</v>
      </c>
      <c r="T339" s="306">
        <f>Mid(PasteHashtag!I339,FIND("/",PasteHashtag!I339)+1,LEN(PasteHashtag!I339)-FIND("/",PasteHashtag!I339)-1)*1</f>
        <v>1.5</v>
      </c>
    </row>
    <row r="340">
      <c r="A340" s="5">
        <v>339.0</v>
      </c>
      <c r="B340" s="5">
        <f>PasteHashtag!B340</f>
        <v>142.7</v>
      </c>
      <c r="C340" s="305" t="str">
        <f>PasteHashtag!C340</f>
        <v>Kel'el Ware</v>
      </c>
      <c r="D340" s="5" t="str">
        <f>PasteHashtag!D340</f>
        <v>C</v>
      </c>
      <c r="E340" s="5" t="str">
        <f>PasteHashtag!E340</f>
        <v>MIA</v>
      </c>
      <c r="F340" s="5">
        <f>PasteHashtag!F340</f>
        <v>50</v>
      </c>
      <c r="G340" s="5">
        <f>PasteHashtag!G340</f>
        <v>16.1</v>
      </c>
      <c r="H340" s="5">
        <f>MID(PasteHashtag!H340,1+FIND("(",PasteHashtag!H340),FIND("/",PasteHashtag!H340)-FIND("(",PasteHashtag!H340)-1)*1</f>
        <v>2.5</v>
      </c>
      <c r="I340" s="5">
        <f>LEFT(PasteHashtag!H340,FIND("(",PasteHashtag!H340)-1)*1</f>
        <v>0.512</v>
      </c>
      <c r="J340" s="5">
        <f>MID(PasteHashtag!I340,1+FIND("(",PasteHashtag!I340),FIND("/",PasteHashtag!I340)-FIND("(",PasteHashtag!I340)-1)*1</f>
        <v>1.1</v>
      </c>
      <c r="K340" s="5">
        <f>LEFT(PasteHashtag!I340,FIND("(",PasteHashtag!I340)-1)*1</f>
        <v>0.633</v>
      </c>
      <c r="L340" s="5">
        <f>PasteHashtag!J340</f>
        <v>0.2</v>
      </c>
      <c r="M340" s="5">
        <f>PasteHashtag!K340</f>
        <v>6.3</v>
      </c>
      <c r="N340" s="5">
        <f>PasteHashtag!L340</f>
        <v>3.9</v>
      </c>
      <c r="O340" s="5">
        <f>PasteHashtag!M340</f>
        <v>0.6</v>
      </c>
      <c r="P340" s="5">
        <f>PasteHashtag!N340</f>
        <v>0.2</v>
      </c>
      <c r="Q340" s="5">
        <f>PasteHashtag!O340</f>
        <v>0.7</v>
      </c>
      <c r="R340" s="5">
        <f>PasteHashtag!P340</f>
        <v>0.6</v>
      </c>
      <c r="S340" s="5">
        <f>Mid(PasteHashtag!H340,FIND("/",PasteHashtag!H340)+1,LEN(PasteHashtag!H340)-FIND("/",PasteHashtag!H340)-1)*1</f>
        <v>4.8</v>
      </c>
      <c r="T340" s="306">
        <f>Mid(PasteHashtag!I340,FIND("/",PasteHashtag!I340)+1,LEN(PasteHashtag!I340)-FIND("/",PasteHashtag!I340)-1)*1</f>
        <v>1.8</v>
      </c>
    </row>
    <row r="341">
      <c r="A341" s="5">
        <v>340.0</v>
      </c>
      <c r="B341" s="5" t="str">
        <f>PasteHashtag!B341</f>
        <v/>
      </c>
      <c r="C341" s="305" t="str">
        <f>PasteHashtag!C341</f>
        <v>Tristan Da Silva</v>
      </c>
      <c r="D341" s="5" t="str">
        <f>PasteHashtag!D341</f>
        <v>SF</v>
      </c>
      <c r="E341" s="5" t="str">
        <f>PasteHashtag!E341</f>
        <v>ORL</v>
      </c>
      <c r="F341" s="5">
        <f>PasteHashtag!F341</f>
        <v>52</v>
      </c>
      <c r="G341" s="5">
        <f>PasteHashtag!G341</f>
        <v>15.2</v>
      </c>
      <c r="H341" s="5">
        <f>MID(PasteHashtag!H341,1+FIND("(",PasteHashtag!H341),FIND("/",PasteHashtag!H341)-FIND("(",PasteHashtag!H341)-1)*1</f>
        <v>1.9</v>
      </c>
      <c r="I341" s="5">
        <f>LEFT(PasteHashtag!H341,FIND("(",PasteHashtag!H341)-1)*1</f>
        <v>0.492</v>
      </c>
      <c r="J341" s="5">
        <f>MID(PasteHashtag!I341,1+FIND("(",PasteHashtag!I341),FIND("/",PasteHashtag!I341)-FIND("(",PasteHashtag!I341)-1)*1</f>
        <v>0.9</v>
      </c>
      <c r="K341" s="5">
        <f>LEFT(PasteHashtag!I341,FIND("(",PasteHashtag!I341)-1)*1</f>
        <v>0.833</v>
      </c>
      <c r="L341" s="5">
        <f>PasteHashtag!J341</f>
        <v>0.6</v>
      </c>
      <c r="M341" s="5">
        <f>PasteHashtag!K341</f>
        <v>5.4</v>
      </c>
      <c r="N341" s="5">
        <f>PasteHashtag!L341</f>
        <v>1.7</v>
      </c>
      <c r="O341" s="5">
        <f>PasteHashtag!M341</f>
        <v>0.8</v>
      </c>
      <c r="P341" s="5">
        <f>PasteHashtag!N341</f>
        <v>0.4</v>
      </c>
      <c r="Q341" s="5">
        <f>PasteHashtag!O341</f>
        <v>0.2</v>
      </c>
      <c r="R341" s="5">
        <f>PasteHashtag!P341</f>
        <v>0.6</v>
      </c>
      <c r="S341" s="5">
        <f>Mid(PasteHashtag!H341,FIND("/",PasteHashtag!H341)+1,LEN(PasteHashtag!H341)-FIND("/",PasteHashtag!H341)-1)*1</f>
        <v>3.9</v>
      </c>
      <c r="T341" s="306">
        <f>Mid(PasteHashtag!I341,FIND("/",PasteHashtag!I341)+1,LEN(PasteHashtag!I341)-FIND("/",PasteHashtag!I341)-1)*1</f>
        <v>1</v>
      </c>
    </row>
    <row r="342">
      <c r="A342" s="5">
        <v>341.0</v>
      </c>
      <c r="B342" s="5">
        <f>PasteHashtag!B342</f>
        <v>142.3</v>
      </c>
      <c r="C342" s="305" t="str">
        <f>PasteHashtag!C342</f>
        <v>Simone Fontecchio</v>
      </c>
      <c r="D342" s="5" t="str">
        <f>PasteHashtag!D342</f>
        <v>SF,PF</v>
      </c>
      <c r="E342" s="5" t="str">
        <f>PasteHashtag!E342</f>
        <v>DET</v>
      </c>
      <c r="F342" s="5">
        <f>PasteHashtag!F342</f>
        <v>40</v>
      </c>
      <c r="G342" s="5">
        <f>PasteHashtag!G342</f>
        <v>14.4</v>
      </c>
      <c r="H342" s="5">
        <f>MID(PasteHashtag!H342,1+FIND("(",PasteHashtag!H342),FIND("/",PasteHashtag!H342)-FIND("(",PasteHashtag!H342)-1)*1</f>
        <v>2.2</v>
      </c>
      <c r="I342" s="5">
        <f>LEFT(PasteHashtag!H342,FIND("(",PasteHashtag!H342)-1)*1</f>
        <v>0.426</v>
      </c>
      <c r="J342" s="5">
        <f>MID(PasteHashtag!I342,1+FIND("(",PasteHashtag!I342),FIND("/",PasteHashtag!I342)-FIND("(",PasteHashtag!I342)-1)*1</f>
        <v>0.5</v>
      </c>
      <c r="K342" s="5">
        <f>LEFT(PasteHashtag!I342,FIND("(",PasteHashtag!I342)-1)*1</f>
        <v>0.818</v>
      </c>
      <c r="L342" s="5">
        <f>PasteHashtag!J342</f>
        <v>1.2</v>
      </c>
      <c r="M342" s="5">
        <f>PasteHashtag!K342</f>
        <v>6.2</v>
      </c>
      <c r="N342" s="5">
        <f>PasteHashtag!L342</f>
        <v>2</v>
      </c>
      <c r="O342" s="5">
        <f>PasteHashtag!M342</f>
        <v>0.9</v>
      </c>
      <c r="P342" s="5">
        <f>PasteHashtag!N342</f>
        <v>0.4</v>
      </c>
      <c r="Q342" s="5">
        <f>PasteHashtag!O342</f>
        <v>0.2</v>
      </c>
      <c r="R342" s="5">
        <f>PasteHashtag!P342</f>
        <v>0.7</v>
      </c>
      <c r="S342" s="5">
        <f>Mid(PasteHashtag!H342,FIND("/",PasteHashtag!H342)+1,LEN(PasteHashtag!H342)-FIND("/",PasteHashtag!H342)-1)*1</f>
        <v>5.2</v>
      </c>
      <c r="T342" s="306">
        <f>Mid(PasteHashtag!I342,FIND("/",PasteHashtag!I342)+1,LEN(PasteHashtag!I342)-FIND("/",PasteHashtag!I342)-1)*1</f>
        <v>0.7</v>
      </c>
    </row>
    <row r="343">
      <c r="A343" s="5">
        <v>342.0</v>
      </c>
      <c r="B343" s="5" t="str">
        <f>PasteHashtag!B343</f>
        <v/>
      </c>
      <c r="C343" s="305" t="str">
        <f>PasteHashtag!C343</f>
        <v>Jaden Hardy</v>
      </c>
      <c r="D343" s="5" t="str">
        <f>PasteHashtag!D343</f>
        <v>PG,SG</v>
      </c>
      <c r="E343" s="5" t="str">
        <f>PasteHashtag!E343</f>
        <v>DAL</v>
      </c>
      <c r="F343" s="5">
        <f>PasteHashtag!F343</f>
        <v>71</v>
      </c>
      <c r="G343" s="5">
        <f>PasteHashtag!G343</f>
        <v>14.2</v>
      </c>
      <c r="H343" s="5">
        <f>MID(PasteHashtag!H343,1+FIND("(",PasteHashtag!H343),FIND("/",PasteHashtag!H343)-FIND("(",PasteHashtag!H343)-1)*1</f>
        <v>2.9</v>
      </c>
      <c r="I343" s="5">
        <f>LEFT(PasteHashtag!H343,FIND("(",PasteHashtag!H343)-1)*1</f>
        <v>0.42</v>
      </c>
      <c r="J343" s="5">
        <f>MID(PasteHashtag!I343,1+FIND("(",PasteHashtag!I343),FIND("/",PasteHashtag!I343)-FIND("(",PasteHashtag!I343)-1)*1</f>
        <v>1.1</v>
      </c>
      <c r="K343" s="5">
        <f>LEFT(PasteHashtag!I343,FIND("(",PasteHashtag!I343)-1)*1</f>
        <v>0.802</v>
      </c>
      <c r="L343" s="5">
        <f>PasteHashtag!J343</f>
        <v>1.2</v>
      </c>
      <c r="M343" s="5">
        <f>PasteHashtag!K343</f>
        <v>8</v>
      </c>
      <c r="N343" s="5">
        <f>PasteHashtag!L343</f>
        <v>1.9</v>
      </c>
      <c r="O343" s="5">
        <f>PasteHashtag!M343</f>
        <v>1.5</v>
      </c>
      <c r="P343" s="5">
        <f>PasteHashtag!N343</f>
        <v>0.3</v>
      </c>
      <c r="Q343" s="5">
        <f>PasteHashtag!O343</f>
        <v>0.1</v>
      </c>
      <c r="R343" s="5">
        <f>PasteHashtag!P343</f>
        <v>0.9</v>
      </c>
      <c r="S343" s="5">
        <f>Mid(PasteHashtag!H343,FIND("/",PasteHashtag!H343)+1,LEN(PasteHashtag!H343)-FIND("/",PasteHashtag!H343)-1)*1</f>
        <v>6.9</v>
      </c>
      <c r="T343" s="306">
        <f>Mid(PasteHashtag!I343,FIND("/",PasteHashtag!I343)+1,LEN(PasteHashtag!I343)-FIND("/",PasteHashtag!I343)-1)*1</f>
        <v>1.3</v>
      </c>
    </row>
    <row r="344">
      <c r="A344" s="5">
        <v>343.0</v>
      </c>
      <c r="B344" s="5" t="str">
        <f>PasteHashtag!B344</f>
        <v/>
      </c>
      <c r="C344" s="305" t="str">
        <f>PasteHashtag!C344</f>
        <v>Bobi Klintman</v>
      </c>
      <c r="D344" s="5" t="str">
        <f>PasteHashtag!D344</f>
        <v>PF</v>
      </c>
      <c r="E344" s="5" t="str">
        <f>PasteHashtag!E344</f>
        <v>DET</v>
      </c>
      <c r="F344" s="5">
        <f>PasteHashtag!F344</f>
        <v>44</v>
      </c>
      <c r="G344" s="5">
        <f>PasteHashtag!G344</f>
        <v>15.1</v>
      </c>
      <c r="H344" s="5">
        <f>MID(PasteHashtag!H344,1+FIND("(",PasteHashtag!H344),FIND("/",PasteHashtag!H344)-FIND("(",PasteHashtag!H344)-1)*1</f>
        <v>1.8</v>
      </c>
      <c r="I344" s="5">
        <f>LEFT(PasteHashtag!H344,FIND("(",PasteHashtag!H344)-1)*1</f>
        <v>0.439</v>
      </c>
      <c r="J344" s="5">
        <f>MID(PasteHashtag!I344,1+FIND("(",PasteHashtag!I344),FIND("/",PasteHashtag!I344)-FIND("(",PasteHashtag!I344)-1)*1</f>
        <v>1.1</v>
      </c>
      <c r="K344" s="5">
        <f>LEFT(PasteHashtag!I344,FIND("(",PasteHashtag!I344)-1)*1</f>
        <v>0.786</v>
      </c>
      <c r="L344" s="5">
        <f>PasteHashtag!J344</f>
        <v>0.7</v>
      </c>
      <c r="M344" s="5">
        <f>PasteHashtag!K344</f>
        <v>5.3</v>
      </c>
      <c r="N344" s="5">
        <f>PasteHashtag!L344</f>
        <v>2.7</v>
      </c>
      <c r="O344" s="5">
        <f>PasteHashtag!M344</f>
        <v>0.4</v>
      </c>
      <c r="P344" s="5">
        <f>PasteHashtag!N344</f>
        <v>0.4</v>
      </c>
      <c r="Q344" s="5">
        <f>PasteHashtag!O344</f>
        <v>0.3</v>
      </c>
      <c r="R344" s="5">
        <f>PasteHashtag!P344</f>
        <v>0.9</v>
      </c>
      <c r="S344" s="5">
        <f>Mid(PasteHashtag!H344,FIND("/",PasteHashtag!H344)+1,LEN(PasteHashtag!H344)-FIND("/",PasteHashtag!H344)-1)*1</f>
        <v>4</v>
      </c>
      <c r="T344" s="306">
        <f>Mid(PasteHashtag!I344,FIND("/",PasteHashtag!I344)+1,LEN(PasteHashtag!I344)-FIND("/",PasteHashtag!I344)-1)*1</f>
        <v>1.4</v>
      </c>
    </row>
    <row r="345">
      <c r="A345" s="5">
        <v>344.0</v>
      </c>
      <c r="B345" s="5" t="str">
        <f>PasteHashtag!B345</f>
        <v/>
      </c>
      <c r="C345" s="305" t="str">
        <f>PasteHashtag!C345</f>
        <v>Jevon Carter</v>
      </c>
      <c r="D345" s="5" t="str">
        <f>PasteHashtag!D345</f>
        <v>PG,SG</v>
      </c>
      <c r="E345" s="5" t="str">
        <f>PasteHashtag!E345</f>
        <v>CHI</v>
      </c>
      <c r="F345" s="5">
        <f>PasteHashtag!F345</f>
        <v>64</v>
      </c>
      <c r="G345" s="5">
        <f>PasteHashtag!G345</f>
        <v>13.2</v>
      </c>
      <c r="H345" s="5">
        <f>MID(PasteHashtag!H345,1+FIND("(",PasteHashtag!H345),FIND("/",PasteHashtag!H345)-FIND("(",PasteHashtag!H345)-1)*1</f>
        <v>1.8</v>
      </c>
      <c r="I345" s="5">
        <f>LEFT(PasteHashtag!H345,FIND("(",PasteHashtag!H345)-1)*1</f>
        <v>0.406</v>
      </c>
      <c r="J345" s="5">
        <f>MID(PasteHashtag!I345,1+FIND("(",PasteHashtag!I345),FIND("/",PasteHashtag!I345)-FIND("(",PasteHashtag!I345)-1)*1</f>
        <v>0.2</v>
      </c>
      <c r="K345" s="5">
        <f>LEFT(PasteHashtag!I345,FIND("(",PasteHashtag!I345)-1)*1</f>
        <v>0.81</v>
      </c>
      <c r="L345" s="5">
        <f>PasteHashtag!J345</f>
        <v>1</v>
      </c>
      <c r="M345" s="5">
        <f>PasteHashtag!K345</f>
        <v>4.8</v>
      </c>
      <c r="N345" s="5">
        <f>PasteHashtag!L345</f>
        <v>1.2</v>
      </c>
      <c r="O345" s="5">
        <f>PasteHashtag!M345</f>
        <v>1.4</v>
      </c>
      <c r="P345" s="5">
        <f>PasteHashtag!N345</f>
        <v>0.5</v>
      </c>
      <c r="Q345" s="5">
        <f>PasteHashtag!O345</f>
        <v>0.2</v>
      </c>
      <c r="R345" s="5">
        <f>PasteHashtag!P345</f>
        <v>0.5</v>
      </c>
      <c r="S345" s="5">
        <f>Mid(PasteHashtag!H345,FIND("/",PasteHashtag!H345)+1,LEN(PasteHashtag!H345)-FIND("/",PasteHashtag!H345)-1)*1</f>
        <v>4.4</v>
      </c>
      <c r="T345" s="306">
        <f>Mid(PasteHashtag!I345,FIND("/",PasteHashtag!I345)+1,LEN(PasteHashtag!I345)-FIND("/",PasteHashtag!I345)-1)*1</f>
        <v>0.2</v>
      </c>
    </row>
    <row r="346">
      <c r="A346" s="5">
        <v>345.0</v>
      </c>
      <c r="B346" s="5" t="str">
        <f>PasteHashtag!B346</f>
        <v/>
      </c>
      <c r="C346" s="305" t="str">
        <f>PasteHashtag!C346</f>
        <v>Tidjane Salaun</v>
      </c>
      <c r="D346" s="5" t="str">
        <f>PasteHashtag!D346</f>
        <v>PF</v>
      </c>
      <c r="E346" s="5" t="str">
        <f>PasteHashtag!E346</f>
        <v>CHA</v>
      </c>
      <c r="F346" s="5">
        <f>PasteHashtag!F346</f>
        <v>60</v>
      </c>
      <c r="G346" s="5">
        <f>PasteHashtag!G346</f>
        <v>18.9</v>
      </c>
      <c r="H346" s="5">
        <f>MID(PasteHashtag!H346,1+FIND("(",PasteHashtag!H346),FIND("/",PasteHashtag!H346)-FIND("(",PasteHashtag!H346)-1)*1</f>
        <v>2</v>
      </c>
      <c r="I346" s="5">
        <f>LEFT(PasteHashtag!H346,FIND("(",PasteHashtag!H346)-1)*1</f>
        <v>0.404</v>
      </c>
      <c r="J346" s="5">
        <f>MID(PasteHashtag!I346,1+FIND("(",PasteHashtag!I346),FIND("/",PasteHashtag!I346)-FIND("(",PasteHashtag!I346)-1)*1</f>
        <v>1</v>
      </c>
      <c r="K346" s="5">
        <f>LEFT(PasteHashtag!I346,FIND("(",PasteHashtag!I346)-1)*1</f>
        <v>0.776</v>
      </c>
      <c r="L346" s="5">
        <f>PasteHashtag!J346</f>
        <v>0.8</v>
      </c>
      <c r="M346" s="5">
        <f>PasteHashtag!K346</f>
        <v>5.9</v>
      </c>
      <c r="N346" s="5">
        <f>PasteHashtag!L346</f>
        <v>2.4</v>
      </c>
      <c r="O346" s="5">
        <f>PasteHashtag!M346</f>
        <v>0.6</v>
      </c>
      <c r="P346" s="5">
        <f>PasteHashtag!N346</f>
        <v>0.7</v>
      </c>
      <c r="Q346" s="5">
        <f>PasteHashtag!O346</f>
        <v>0.1</v>
      </c>
      <c r="R346" s="5">
        <f>PasteHashtag!P346</f>
        <v>0.8</v>
      </c>
      <c r="S346" s="5">
        <f>Mid(PasteHashtag!H346,FIND("/",PasteHashtag!H346)+1,LEN(PasteHashtag!H346)-FIND("/",PasteHashtag!H346)-1)*1</f>
        <v>5</v>
      </c>
      <c r="T346" s="306">
        <f>Mid(PasteHashtag!I346,FIND("/",PasteHashtag!I346)+1,LEN(PasteHashtag!I346)-FIND("/",PasteHashtag!I346)-1)*1</f>
        <v>1.3</v>
      </c>
    </row>
    <row r="347">
      <c r="A347" s="5">
        <v>346.0</v>
      </c>
      <c r="B347" s="5" t="str">
        <f>PasteHashtag!B347</f>
        <v/>
      </c>
      <c r="C347" s="305" t="str">
        <f>PasteHashtag!C347</f>
        <v>Tyler Smith</v>
      </c>
      <c r="D347" s="5" t="str">
        <f>PasteHashtag!D347</f>
        <v>PF</v>
      </c>
      <c r="E347" s="5" t="str">
        <f>PasteHashtag!E347</f>
        <v>MIL</v>
      </c>
      <c r="F347" s="5">
        <f>PasteHashtag!F347</f>
        <v>50</v>
      </c>
      <c r="G347" s="5">
        <f>PasteHashtag!G347</f>
        <v>12.1</v>
      </c>
      <c r="H347" s="5">
        <f>MID(PasteHashtag!H347,1+FIND("(",PasteHashtag!H347),FIND("/",PasteHashtag!H347)-FIND("(",PasteHashtag!H347)-1)*1</f>
        <v>2</v>
      </c>
      <c r="I347" s="5">
        <f>LEFT(PasteHashtag!H347,FIND("(",PasteHashtag!H347)-1)*1</f>
        <v>0.483</v>
      </c>
      <c r="J347" s="5">
        <f>MID(PasteHashtag!I347,1+FIND("(",PasteHashtag!I347),FIND("/",PasteHashtag!I347)-FIND("(",PasteHashtag!I347)-1)*1</f>
        <v>0.6</v>
      </c>
      <c r="K347" s="5">
        <f>LEFT(PasteHashtag!I347,FIND("(",PasteHashtag!I347)-1)*1</f>
        <v>0.731</v>
      </c>
      <c r="L347" s="5">
        <f>PasteHashtag!J347</f>
        <v>0.6</v>
      </c>
      <c r="M347" s="5">
        <f>PasteHashtag!K347</f>
        <v>5.5</v>
      </c>
      <c r="N347" s="5">
        <f>PasteHashtag!L347</f>
        <v>2.1</v>
      </c>
      <c r="O347" s="5">
        <f>PasteHashtag!M347</f>
        <v>0.5</v>
      </c>
      <c r="P347" s="5">
        <f>PasteHashtag!N347</f>
        <v>0.3</v>
      </c>
      <c r="Q347" s="5">
        <f>PasteHashtag!O347</f>
        <v>0.4</v>
      </c>
      <c r="R347" s="5">
        <f>PasteHashtag!P347</f>
        <v>0.5</v>
      </c>
      <c r="S347" s="5">
        <f>Mid(PasteHashtag!H347,FIND("/",PasteHashtag!H347)+1,LEN(PasteHashtag!H347)-FIND("/",PasteHashtag!H347)-1)*1</f>
        <v>4.1</v>
      </c>
      <c r="T347" s="306">
        <f>Mid(PasteHashtag!I347,FIND("/",PasteHashtag!I347)+1,LEN(PasteHashtag!I347)-FIND("/",PasteHashtag!I347)-1)*1</f>
        <v>0.8</v>
      </c>
    </row>
    <row r="348">
      <c r="A348" s="5">
        <v>347.0</v>
      </c>
      <c r="B348" s="5" t="str">
        <f>PasteHashtag!B348</f>
        <v/>
      </c>
      <c r="C348" s="305" t="str">
        <f>PasteHashtag!C348</f>
        <v>Andre Jackson Jr.</v>
      </c>
      <c r="D348" s="5" t="str">
        <f>PasteHashtag!D348</f>
        <v>SG,SF</v>
      </c>
      <c r="E348" s="5" t="str">
        <f>PasteHashtag!E348</f>
        <v>MIL</v>
      </c>
      <c r="F348" s="5">
        <f>PasteHashtag!F348</f>
        <v>50</v>
      </c>
      <c r="G348" s="5">
        <f>PasteHashtag!G348</f>
        <v>14.2</v>
      </c>
      <c r="H348" s="5">
        <f>MID(PasteHashtag!H348,1+FIND("(",PasteHashtag!H348),FIND("/",PasteHashtag!H348)-FIND("(",PasteHashtag!H348)-1)*1</f>
        <v>1.3</v>
      </c>
      <c r="I348" s="5">
        <f>LEFT(PasteHashtag!H348,FIND("(",PasteHashtag!H348)-1)*1</f>
        <v>0.498</v>
      </c>
      <c r="J348" s="5">
        <f>MID(PasteHashtag!I348,1+FIND("(",PasteHashtag!I348),FIND("/",PasteHashtag!I348)-FIND("(",PasteHashtag!I348)-1)*1</f>
        <v>0.2</v>
      </c>
      <c r="K348" s="5">
        <f>LEFT(PasteHashtag!I348,FIND("(",PasteHashtag!I348)-1)*1</f>
        <v>0.714</v>
      </c>
      <c r="L348" s="5">
        <f>PasteHashtag!J348</f>
        <v>0.4</v>
      </c>
      <c r="M348" s="5">
        <f>PasteHashtag!K348</f>
        <v>3.1</v>
      </c>
      <c r="N348" s="5">
        <f>PasteHashtag!L348</f>
        <v>2.8</v>
      </c>
      <c r="O348" s="5">
        <f>PasteHashtag!M348</f>
        <v>1.3</v>
      </c>
      <c r="P348" s="5">
        <f>PasteHashtag!N348</f>
        <v>0.4</v>
      </c>
      <c r="Q348" s="5">
        <f>PasteHashtag!O348</f>
        <v>0.2</v>
      </c>
      <c r="R348" s="5">
        <f>PasteHashtag!P348</f>
        <v>0.7</v>
      </c>
      <c r="S348" s="5">
        <f>Mid(PasteHashtag!H348,FIND("/",PasteHashtag!H348)+1,LEN(PasteHashtag!H348)-FIND("/",PasteHashtag!H348)-1)*1</f>
        <v>2.5</v>
      </c>
      <c r="T348" s="306">
        <f>Mid(PasteHashtag!I348,FIND("/",PasteHashtag!I348)+1,LEN(PasteHashtag!I348)-FIND("/",PasteHashtag!I348)-1)*1</f>
        <v>0.3</v>
      </c>
    </row>
    <row r="349">
      <c r="A349" s="5">
        <v>348.0</v>
      </c>
      <c r="B349" s="5" t="str">
        <f>PasteHashtag!B349</f>
        <v/>
      </c>
      <c r="C349" s="305" t="str">
        <f>PasteHashtag!C349</f>
        <v>Jaylon Tyson</v>
      </c>
      <c r="D349" s="5" t="str">
        <f>PasteHashtag!D349</f>
        <v>SG</v>
      </c>
      <c r="E349" s="5" t="str">
        <f>PasteHashtag!E349</f>
        <v>CLE</v>
      </c>
      <c r="F349" s="5">
        <f>PasteHashtag!F349</f>
        <v>30</v>
      </c>
      <c r="G349" s="5">
        <f>PasteHashtag!G349</f>
        <v>15.4</v>
      </c>
      <c r="H349" s="5">
        <f>MID(PasteHashtag!H349,1+FIND("(",PasteHashtag!H349),FIND("/",PasteHashtag!H349)-FIND("(",PasteHashtag!H349)-1)*1</f>
        <v>2.3</v>
      </c>
      <c r="I349" s="5">
        <f>LEFT(PasteHashtag!H349,FIND("(",PasteHashtag!H349)-1)*1</f>
        <v>0.452</v>
      </c>
      <c r="J349" s="5">
        <f>MID(PasteHashtag!I349,1+FIND("(",PasteHashtag!I349),FIND("/",PasteHashtag!I349)-FIND("(",PasteHashtag!I349)-1)*1</f>
        <v>1.2</v>
      </c>
      <c r="K349" s="5">
        <f>LEFT(PasteHashtag!I349,FIND("(",PasteHashtag!I349)-1)*1</f>
        <v>0.779</v>
      </c>
      <c r="L349" s="5">
        <f>PasteHashtag!J349</f>
        <v>0.5</v>
      </c>
      <c r="M349" s="5">
        <f>PasteHashtag!K349</f>
        <v>6.4</v>
      </c>
      <c r="N349" s="5">
        <f>PasteHashtag!L349</f>
        <v>2.3</v>
      </c>
      <c r="O349" s="5">
        <f>PasteHashtag!M349</f>
        <v>1.2</v>
      </c>
      <c r="P349" s="5">
        <f>PasteHashtag!N349</f>
        <v>0.4</v>
      </c>
      <c r="Q349" s="5">
        <f>PasteHashtag!O349</f>
        <v>0.2</v>
      </c>
      <c r="R349" s="5">
        <f>PasteHashtag!P349</f>
        <v>1</v>
      </c>
      <c r="S349" s="5">
        <f>Mid(PasteHashtag!H349,FIND("/",PasteHashtag!H349)+1,LEN(PasteHashtag!H349)-FIND("/",PasteHashtag!H349)-1)*1</f>
        <v>5.2</v>
      </c>
      <c r="T349" s="306">
        <f>Mid(PasteHashtag!I349,FIND("/",PasteHashtag!I349)+1,LEN(PasteHashtag!I349)-FIND("/",PasteHashtag!I349)-1)*1</f>
        <v>1.5</v>
      </c>
    </row>
    <row r="350">
      <c r="A350" s="5">
        <v>349.0</v>
      </c>
      <c r="B350" s="5" t="str">
        <f>PasteHashtag!B350</f>
        <v/>
      </c>
      <c r="C350" s="305" t="str">
        <f>PasteHashtag!C350</f>
        <v>Keon Johnson</v>
      </c>
      <c r="D350" s="5" t="str">
        <f>PasteHashtag!D350</f>
        <v>PG,SG</v>
      </c>
      <c r="E350" s="5" t="str">
        <f>PasteHashtag!E350</f>
        <v>BKN</v>
      </c>
      <c r="F350" s="5">
        <f>PasteHashtag!F350</f>
        <v>40</v>
      </c>
      <c r="G350" s="5">
        <f>PasteHashtag!G350</f>
        <v>14.9</v>
      </c>
      <c r="H350" s="5">
        <f>MID(PasteHashtag!H350,1+FIND("(",PasteHashtag!H350),FIND("/",PasteHashtag!H350)-FIND("(",PasteHashtag!H350)-1)*1</f>
        <v>2.4</v>
      </c>
      <c r="I350" s="5">
        <f>LEFT(PasteHashtag!H350,FIND("(",PasteHashtag!H350)-1)*1</f>
        <v>0.376</v>
      </c>
      <c r="J350" s="5">
        <f>MID(PasteHashtag!I350,1+FIND("(",PasteHashtag!I350),FIND("/",PasteHashtag!I350)-FIND("(",PasteHashtag!I350)-1)*1</f>
        <v>1.2</v>
      </c>
      <c r="K350" s="5">
        <f>LEFT(PasteHashtag!I350,FIND("(",PasteHashtag!I350)-1)*1</f>
        <v>0.719</v>
      </c>
      <c r="L350" s="5">
        <f>PasteHashtag!J350</f>
        <v>1</v>
      </c>
      <c r="M350" s="5">
        <f>PasteHashtag!K350</f>
        <v>6.9</v>
      </c>
      <c r="N350" s="5">
        <f>PasteHashtag!L350</f>
        <v>1.6</v>
      </c>
      <c r="O350" s="5">
        <f>PasteHashtag!M350</f>
        <v>2</v>
      </c>
      <c r="P350" s="5">
        <f>PasteHashtag!N350</f>
        <v>0.7</v>
      </c>
      <c r="Q350" s="5">
        <f>PasteHashtag!O350</f>
        <v>0.2</v>
      </c>
      <c r="R350" s="5">
        <f>PasteHashtag!P350</f>
        <v>1.5</v>
      </c>
      <c r="S350" s="5">
        <f>Mid(PasteHashtag!H350,FIND("/",PasteHashtag!H350)+1,LEN(PasteHashtag!H350)-FIND("/",PasteHashtag!H350)-1)*1</f>
        <v>6.3</v>
      </c>
      <c r="T350" s="306">
        <f>Mid(PasteHashtag!I350,FIND("/",PasteHashtag!I350)+1,LEN(PasteHashtag!I350)-FIND("/",PasteHashtag!I350)-1)*1</f>
        <v>1.7</v>
      </c>
    </row>
    <row r="351">
      <c r="A351" s="5">
        <v>350.0</v>
      </c>
      <c r="B351" s="5" t="str">
        <f>PasteHashtag!B351</f>
        <v/>
      </c>
      <c r="C351" s="305" t="str">
        <f>PasteHashtag!C351</f>
        <v>Chris Duarte</v>
      </c>
      <c r="D351" s="5" t="str">
        <f>PasteHashtag!D351</f>
        <v>SG</v>
      </c>
      <c r="E351" s="5" t="str">
        <f>PasteHashtag!E351</f>
        <v>CHI</v>
      </c>
      <c r="F351" s="5">
        <f>PasteHashtag!F351</f>
        <v>50</v>
      </c>
      <c r="G351" s="5">
        <f>PasteHashtag!G351</f>
        <v>15</v>
      </c>
      <c r="H351" s="5">
        <f>MID(PasteHashtag!H351,1+FIND("(",PasteHashtag!H351),FIND("/",PasteHashtag!H351)-FIND("(",PasteHashtag!H351)-1)*1</f>
        <v>1.9</v>
      </c>
      <c r="I351" s="5">
        <f>LEFT(PasteHashtag!H351,FIND("(",PasteHashtag!H351)-1)*1</f>
        <v>0.373</v>
      </c>
      <c r="J351" s="5">
        <f>MID(PasteHashtag!I351,1+FIND("(",PasteHashtag!I351),FIND("/",PasteHashtag!I351)-FIND("(",PasteHashtag!I351)-1)*1</f>
        <v>0.8</v>
      </c>
      <c r="K351" s="5">
        <f>LEFT(PasteHashtag!I351,FIND("(",PasteHashtag!I351)-1)*1</f>
        <v>0.837</v>
      </c>
      <c r="L351" s="5">
        <f>PasteHashtag!J351</f>
        <v>0.9</v>
      </c>
      <c r="M351" s="5">
        <f>PasteHashtag!K351</f>
        <v>5.6</v>
      </c>
      <c r="N351" s="5">
        <f>PasteHashtag!L351</f>
        <v>2.1</v>
      </c>
      <c r="O351" s="5">
        <f>PasteHashtag!M351</f>
        <v>1</v>
      </c>
      <c r="P351" s="5">
        <f>PasteHashtag!N351</f>
        <v>0.5</v>
      </c>
      <c r="Q351" s="5">
        <f>PasteHashtag!O351</f>
        <v>0.2</v>
      </c>
      <c r="R351" s="5">
        <f>PasteHashtag!P351</f>
        <v>0.6</v>
      </c>
      <c r="S351" s="5">
        <f>Mid(PasteHashtag!H351,FIND("/",PasteHashtag!H351)+1,LEN(PasteHashtag!H351)-FIND("/",PasteHashtag!H351)-1)*1</f>
        <v>5.1</v>
      </c>
      <c r="T351" s="306">
        <f>Mid(PasteHashtag!I351,FIND("/",PasteHashtag!I351)+1,LEN(PasteHashtag!I351)-FIND("/",PasteHashtag!I351)-1)*1</f>
        <v>1</v>
      </c>
    </row>
    <row r="352">
      <c r="A352" s="5">
        <v>351.0</v>
      </c>
      <c r="B352" s="5" t="str">
        <f>PasteHashtag!B352</f>
        <v/>
      </c>
      <c r="C352" s="305" t="str">
        <f>PasteHashtag!C352</f>
        <v>Alex Len</v>
      </c>
      <c r="D352" s="5" t="str">
        <f>PasteHashtag!D352</f>
        <v>C</v>
      </c>
      <c r="E352" s="5" t="str">
        <f>PasteHashtag!E352</f>
        <v>SAC</v>
      </c>
      <c r="F352" s="5">
        <f>PasteHashtag!F352</f>
        <v>54</v>
      </c>
      <c r="G352" s="5">
        <f>PasteHashtag!G352</f>
        <v>9.4</v>
      </c>
      <c r="H352" s="5">
        <f>MID(PasteHashtag!H352,1+FIND("(",PasteHashtag!H352),FIND("/",PasteHashtag!H352)-FIND("(",PasteHashtag!H352)-1)*1</f>
        <v>1</v>
      </c>
      <c r="I352" s="5">
        <f>LEFT(PasteHashtag!H352,FIND("(",PasteHashtag!H352)-1)*1</f>
        <v>0.592</v>
      </c>
      <c r="J352" s="5">
        <f>MID(PasteHashtag!I352,1+FIND("(",PasteHashtag!I352),FIND("/",PasteHashtag!I352)-FIND("(",PasteHashtag!I352)-1)*1</f>
        <v>0.5</v>
      </c>
      <c r="K352" s="5">
        <f>LEFT(PasteHashtag!I352,FIND("(",PasteHashtag!I352)-1)*1</f>
        <v>0.628</v>
      </c>
      <c r="L352" s="5">
        <f>PasteHashtag!J352</f>
        <v>0</v>
      </c>
      <c r="M352" s="5">
        <f>PasteHashtag!K352</f>
        <v>2.6</v>
      </c>
      <c r="N352" s="5">
        <f>PasteHashtag!L352</f>
        <v>3</v>
      </c>
      <c r="O352" s="5">
        <f>PasteHashtag!M352</f>
        <v>1</v>
      </c>
      <c r="P352" s="5">
        <f>PasteHashtag!N352</f>
        <v>0.2</v>
      </c>
      <c r="Q352" s="5">
        <f>PasteHashtag!O352</f>
        <v>0.7</v>
      </c>
      <c r="R352" s="5">
        <f>PasteHashtag!P352</f>
        <v>0.7</v>
      </c>
      <c r="S352" s="5">
        <f>Mid(PasteHashtag!H352,FIND("/",PasteHashtag!H352)+1,LEN(PasteHashtag!H352)-FIND("/",PasteHashtag!H352)-1)*1</f>
        <v>1.7</v>
      </c>
      <c r="T352" s="306">
        <f>Mid(PasteHashtag!I352,FIND("/",PasteHashtag!I352)+1,LEN(PasteHashtag!I352)-FIND("/",PasteHashtag!I352)-1)*1</f>
        <v>0.8</v>
      </c>
    </row>
    <row r="353">
      <c r="A353" s="5">
        <v>352.0</v>
      </c>
      <c r="B353" s="5">
        <f>PasteHashtag!B353</f>
        <v>135.6</v>
      </c>
      <c r="C353" s="305" t="str">
        <f>PasteHashtag!C353</f>
        <v>Kevon Looney</v>
      </c>
      <c r="D353" s="5" t="str">
        <f>PasteHashtag!D353</f>
        <v>PF,C</v>
      </c>
      <c r="E353" s="5" t="str">
        <f>PasteHashtag!E353</f>
        <v>GS</v>
      </c>
      <c r="F353" s="5">
        <f>PasteHashtag!F353</f>
        <v>68</v>
      </c>
      <c r="G353" s="5">
        <f>PasteHashtag!G353</f>
        <v>10.4</v>
      </c>
      <c r="H353" s="5">
        <f>MID(PasteHashtag!H353,1+FIND("(",PasteHashtag!H353),FIND("/",PasteHashtag!H353)-FIND("(",PasteHashtag!H353)-1)*1</f>
        <v>1.3</v>
      </c>
      <c r="I353" s="5">
        <f>LEFT(PasteHashtag!H353,FIND("(",PasteHashtag!H353)-1)*1</f>
        <v>0.617</v>
      </c>
      <c r="J353" s="5">
        <f>MID(PasteHashtag!I353,1+FIND("(",PasteHashtag!I353),FIND("/",PasteHashtag!I353)-FIND("(",PasteHashtag!I353)-1)*1</f>
        <v>0.5</v>
      </c>
      <c r="K353" s="5">
        <f>LEFT(PasteHashtag!I353,FIND("(",PasteHashtag!I353)-1)*1</f>
        <v>0.633</v>
      </c>
      <c r="L353" s="5">
        <f>PasteHashtag!J353</f>
        <v>0</v>
      </c>
      <c r="M353" s="5">
        <f>PasteHashtag!K353</f>
        <v>3</v>
      </c>
      <c r="N353" s="5">
        <f>PasteHashtag!L353</f>
        <v>3.9</v>
      </c>
      <c r="O353" s="5">
        <f>PasteHashtag!M353</f>
        <v>1.1</v>
      </c>
      <c r="P353" s="5">
        <f>PasteHashtag!N353</f>
        <v>0.3</v>
      </c>
      <c r="Q353" s="5">
        <f>PasteHashtag!O353</f>
        <v>0.3</v>
      </c>
      <c r="R353" s="5">
        <f>PasteHashtag!P353</f>
        <v>0.3</v>
      </c>
      <c r="S353" s="5">
        <f>Mid(PasteHashtag!H353,FIND("/",PasteHashtag!H353)+1,LEN(PasteHashtag!H353)-FIND("/",PasteHashtag!H353)-1)*1</f>
        <v>2.1</v>
      </c>
      <c r="T353" s="306">
        <f>Mid(PasteHashtag!I353,FIND("/",PasteHashtag!I353)+1,LEN(PasteHashtag!I353)-FIND("/",PasteHashtag!I353)-1)*1</f>
        <v>0.8</v>
      </c>
    </row>
    <row r="354">
      <c r="A354" s="5">
        <v>353.0</v>
      </c>
      <c r="B354" s="5" t="str">
        <f>PasteHashtag!B354</f>
        <v/>
      </c>
      <c r="C354" s="305" t="str">
        <f>PasteHashtag!C354</f>
        <v>Jeremiah Robinson-Earl</v>
      </c>
      <c r="D354" s="5" t="str">
        <f>PasteHashtag!D354</f>
        <v>PF,C</v>
      </c>
      <c r="E354" s="5" t="str">
        <f>PasteHashtag!E354</f>
        <v>NO</v>
      </c>
      <c r="F354" s="5">
        <f>PasteHashtag!F354</f>
        <v>36</v>
      </c>
      <c r="G354" s="5">
        <f>PasteHashtag!G354</f>
        <v>12.1</v>
      </c>
      <c r="H354" s="5">
        <f>MID(PasteHashtag!H354,1+FIND("(",PasteHashtag!H354),FIND("/",PasteHashtag!H354)-FIND("(",PasteHashtag!H354)-1)*1</f>
        <v>1.7</v>
      </c>
      <c r="I354" s="5">
        <f>LEFT(PasteHashtag!H354,FIND("(",PasteHashtag!H354)-1)*1</f>
        <v>0.452</v>
      </c>
      <c r="J354" s="5">
        <f>MID(PasteHashtag!I354,1+FIND("(",PasteHashtag!I354),FIND("/",PasteHashtag!I354)-FIND("(",PasteHashtag!I354)-1)*1</f>
        <v>0.5</v>
      </c>
      <c r="K354" s="5">
        <f>LEFT(PasteHashtag!I354,FIND("(",PasteHashtag!I354)-1)*1</f>
        <v>0.806</v>
      </c>
      <c r="L354" s="5">
        <f>PasteHashtag!J354</f>
        <v>0.5</v>
      </c>
      <c r="M354" s="5">
        <f>PasteHashtag!K354</f>
        <v>4.3</v>
      </c>
      <c r="N354" s="5">
        <f>PasteHashtag!L354</f>
        <v>2.7</v>
      </c>
      <c r="O354" s="5">
        <f>PasteHashtag!M354</f>
        <v>0.7</v>
      </c>
      <c r="P354" s="5">
        <f>PasteHashtag!N354</f>
        <v>0.4</v>
      </c>
      <c r="Q354" s="5">
        <f>PasteHashtag!O354</f>
        <v>0.2</v>
      </c>
      <c r="R354" s="5">
        <f>PasteHashtag!P354</f>
        <v>0.4</v>
      </c>
      <c r="S354" s="5">
        <f>Mid(PasteHashtag!H354,FIND("/",PasteHashtag!H354)+1,LEN(PasteHashtag!H354)-FIND("/",PasteHashtag!H354)-1)*1</f>
        <v>3.7</v>
      </c>
      <c r="T354" s="306">
        <f>Mid(PasteHashtag!I354,FIND("/",PasteHashtag!I354)+1,LEN(PasteHashtag!I354)-FIND("/",PasteHashtag!I354)-1)*1</f>
        <v>0.6</v>
      </c>
    </row>
    <row r="355">
      <c r="A355" s="5">
        <v>354.0</v>
      </c>
      <c r="B355" s="5" t="str">
        <f>PasteHashtag!B355</f>
        <v/>
      </c>
      <c r="C355" s="305" t="str">
        <f>PasteHashtag!C355</f>
        <v>Jamal Cain</v>
      </c>
      <c r="D355" s="5" t="str">
        <f>PasteHashtag!D355</f>
        <v>SF,PF</v>
      </c>
      <c r="E355" s="5" t="str">
        <f>PasteHashtag!E355</f>
        <v>NO</v>
      </c>
      <c r="F355" s="5">
        <f>PasteHashtag!F355</f>
        <v>22</v>
      </c>
      <c r="G355" s="5">
        <f>PasteHashtag!G355</f>
        <v>11.1</v>
      </c>
      <c r="H355" s="5">
        <f>MID(PasteHashtag!H355,1+FIND("(",PasteHashtag!H355),FIND("/",PasteHashtag!H355)-FIND("(",PasteHashtag!H355)-1)*1</f>
        <v>1.6</v>
      </c>
      <c r="I355" s="5">
        <f>LEFT(PasteHashtag!H355,FIND("(",PasteHashtag!H355)-1)*1</f>
        <v>0.488</v>
      </c>
      <c r="J355" s="5">
        <f>MID(PasteHashtag!I355,1+FIND("(",PasteHashtag!I355),FIND("/",PasteHashtag!I355)-FIND("(",PasteHashtag!I355)-1)*1</f>
        <v>0.8</v>
      </c>
      <c r="K355" s="5">
        <f>LEFT(PasteHashtag!I355,FIND("(",PasteHashtag!I355)-1)*1</f>
        <v>0.782</v>
      </c>
      <c r="L355" s="5">
        <f>PasteHashtag!J355</f>
        <v>0.4</v>
      </c>
      <c r="M355" s="5">
        <f>PasteHashtag!K355</f>
        <v>4.4</v>
      </c>
      <c r="N355" s="5">
        <f>PasteHashtag!L355</f>
        <v>2</v>
      </c>
      <c r="O355" s="5">
        <f>PasteHashtag!M355</f>
        <v>0.5</v>
      </c>
      <c r="P355" s="5">
        <f>PasteHashtag!N355</f>
        <v>0.5</v>
      </c>
      <c r="Q355" s="5">
        <f>PasteHashtag!O355</f>
        <v>0.1</v>
      </c>
      <c r="R355" s="5">
        <f>PasteHashtag!P355</f>
        <v>0.3</v>
      </c>
      <c r="S355" s="5">
        <f>Mid(PasteHashtag!H355,FIND("/",PasteHashtag!H355)+1,LEN(PasteHashtag!H355)-FIND("/",PasteHashtag!H355)-1)*1</f>
        <v>3.3</v>
      </c>
      <c r="T355" s="306">
        <f>Mid(PasteHashtag!I355,FIND("/",PasteHashtag!I355)+1,LEN(PasteHashtag!I355)-FIND("/",PasteHashtag!I355)-1)*1</f>
        <v>1</v>
      </c>
    </row>
    <row r="356">
      <c r="A356" s="5">
        <v>355.0</v>
      </c>
      <c r="B356" s="5" t="str">
        <f>PasteHashtag!B356</f>
        <v/>
      </c>
      <c r="C356" s="305" t="str">
        <f>PasteHashtag!C356</f>
        <v>Dru Smith</v>
      </c>
      <c r="D356" s="5" t="str">
        <f>PasteHashtag!D356</f>
        <v>PG,SG</v>
      </c>
      <c r="E356" s="5" t="str">
        <f>PasteHashtag!E356</f>
        <v>MIA</v>
      </c>
      <c r="F356" s="5">
        <f>PasteHashtag!F356</f>
        <v>10</v>
      </c>
      <c r="G356" s="5">
        <f>PasteHashtag!G356</f>
        <v>8.8</v>
      </c>
      <c r="H356" s="5">
        <f>MID(PasteHashtag!H356,1+FIND("(",PasteHashtag!H356),FIND("/",PasteHashtag!H356)-FIND("(",PasteHashtag!H356)-1)*1</f>
        <v>1</v>
      </c>
      <c r="I356" s="5">
        <f>LEFT(PasteHashtag!H356,FIND("(",PasteHashtag!H356)-1)*1</f>
        <v>0.421</v>
      </c>
      <c r="J356" s="5">
        <f>MID(PasteHashtag!I356,1+FIND("(",PasteHashtag!I356),FIND("/",PasteHashtag!I356)-FIND("(",PasteHashtag!I356)-1)*1</f>
        <v>0.2</v>
      </c>
      <c r="K356" s="5">
        <f>LEFT(PasteHashtag!I356,FIND("(",PasteHashtag!I356)-1)*1</f>
        <v>1</v>
      </c>
      <c r="L356" s="5">
        <f>PasteHashtag!J356</f>
        <v>0.4</v>
      </c>
      <c r="M356" s="5">
        <f>PasteHashtag!K356</f>
        <v>2.6</v>
      </c>
      <c r="N356" s="5">
        <f>PasteHashtag!L356</f>
        <v>1.2</v>
      </c>
      <c r="O356" s="5">
        <f>PasteHashtag!M356</f>
        <v>1.1</v>
      </c>
      <c r="P356" s="5">
        <f>PasteHashtag!N356</f>
        <v>0.6</v>
      </c>
      <c r="Q356" s="5">
        <f>PasteHashtag!O356</f>
        <v>0.2</v>
      </c>
      <c r="R356" s="5">
        <f>PasteHashtag!P356</f>
        <v>0.3</v>
      </c>
      <c r="S356" s="5">
        <f>Mid(PasteHashtag!H356,FIND("/",PasteHashtag!H356)+1,LEN(PasteHashtag!H356)-FIND("/",PasteHashtag!H356)-1)*1</f>
        <v>2.4</v>
      </c>
      <c r="T356" s="306">
        <f>Mid(PasteHashtag!I356,FIND("/",PasteHashtag!I356)+1,LEN(PasteHashtag!I356)-FIND("/",PasteHashtag!I356)-1)*1</f>
        <v>0.2</v>
      </c>
    </row>
    <row r="357">
      <c r="A357" s="5">
        <v>356.0</v>
      </c>
      <c r="B357" s="5" t="str">
        <f>PasteHashtag!B357</f>
        <v/>
      </c>
      <c r="C357" s="305" t="str">
        <f>PasteHashtag!C357</f>
        <v>Zeke Nnaji</v>
      </c>
      <c r="D357" s="5" t="str">
        <f>PasteHashtag!D357</f>
        <v>PF,C</v>
      </c>
      <c r="E357" s="5" t="str">
        <f>PasteHashtag!E357</f>
        <v>DEN</v>
      </c>
      <c r="F357" s="5">
        <f>PasteHashtag!F357</f>
        <v>58</v>
      </c>
      <c r="G357" s="5">
        <f>PasteHashtag!G357</f>
        <v>12.1</v>
      </c>
      <c r="H357" s="5">
        <f>MID(PasteHashtag!H357,1+FIND("(",PasteHashtag!H357),FIND("/",PasteHashtag!H357)-FIND("(",PasteHashtag!H357)-1)*1</f>
        <v>1.7</v>
      </c>
      <c r="I357" s="5">
        <f>LEFT(PasteHashtag!H357,FIND("(",PasteHashtag!H357)-1)*1</f>
        <v>0.519</v>
      </c>
      <c r="J357" s="5">
        <f>MID(PasteHashtag!I357,1+FIND("(",PasteHashtag!I357),FIND("/",PasteHashtag!I357)-FIND("(",PasteHashtag!I357)-1)*1</f>
        <v>0.8</v>
      </c>
      <c r="K357" s="5">
        <f>LEFT(PasteHashtag!I357,FIND("(",PasteHashtag!I357)-1)*1</f>
        <v>0.664</v>
      </c>
      <c r="L357" s="5">
        <f>PasteHashtag!J357</f>
        <v>0.2</v>
      </c>
      <c r="M357" s="5">
        <f>PasteHashtag!K357</f>
        <v>4.3</v>
      </c>
      <c r="N357" s="5">
        <f>PasteHashtag!L357</f>
        <v>2.5</v>
      </c>
      <c r="O357" s="5">
        <f>PasteHashtag!M357</f>
        <v>0.5</v>
      </c>
      <c r="P357" s="5">
        <f>PasteHashtag!N357</f>
        <v>0.3</v>
      </c>
      <c r="Q357" s="5">
        <f>PasteHashtag!O357</f>
        <v>0.6</v>
      </c>
      <c r="R357" s="5">
        <f>PasteHashtag!P357</f>
        <v>0.5</v>
      </c>
      <c r="S357" s="5">
        <f>Mid(PasteHashtag!H357,FIND("/",PasteHashtag!H357)+1,LEN(PasteHashtag!H357)-FIND("/",PasteHashtag!H357)-1)*1</f>
        <v>3.2</v>
      </c>
      <c r="T357" s="306">
        <f>Mid(PasteHashtag!I357,FIND("/",PasteHashtag!I357)+1,LEN(PasteHashtag!I357)-FIND("/",PasteHashtag!I357)-1)*1</f>
        <v>1.2</v>
      </c>
    </row>
    <row r="358">
      <c r="A358" s="5">
        <v>357.0</v>
      </c>
      <c r="B358" s="5" t="str">
        <f>PasteHashtag!B358</f>
        <v/>
      </c>
      <c r="C358" s="305" t="str">
        <f>PasteHashtag!C358</f>
        <v>Kobe Bufkin</v>
      </c>
      <c r="D358" s="5" t="str">
        <f>PasteHashtag!D358</f>
        <v>PG,SG</v>
      </c>
      <c r="E358" s="5" t="str">
        <f>PasteHashtag!E358</f>
        <v>ATL</v>
      </c>
      <c r="F358" s="5">
        <f>PasteHashtag!F358</f>
        <v>40</v>
      </c>
      <c r="G358" s="5">
        <f>PasteHashtag!G358</f>
        <v>15.4</v>
      </c>
      <c r="H358" s="5">
        <f>MID(PasteHashtag!H358,1+FIND("(",PasteHashtag!H358),FIND("/",PasteHashtag!H358)-FIND("(",PasteHashtag!H358)-1)*1</f>
        <v>2.7</v>
      </c>
      <c r="I358" s="5">
        <f>LEFT(PasteHashtag!H358,FIND("(",PasteHashtag!H358)-1)*1</f>
        <v>0.37</v>
      </c>
      <c r="J358" s="5">
        <f>MID(PasteHashtag!I358,1+FIND("(",PasteHashtag!I358),FIND("/",PasteHashtag!I358)-FIND("(",PasteHashtag!I358)-1)*1</f>
        <v>0.3</v>
      </c>
      <c r="K358" s="5">
        <f>LEFT(PasteHashtag!I358,FIND("(",PasteHashtag!I358)-1)*1</f>
        <v>0.508</v>
      </c>
      <c r="L358" s="5">
        <f>PasteHashtag!J358</f>
        <v>0.7</v>
      </c>
      <c r="M358" s="5">
        <f>PasteHashtag!K358</f>
        <v>6.4</v>
      </c>
      <c r="N358" s="5">
        <f>PasteHashtag!L358</f>
        <v>2.6</v>
      </c>
      <c r="O358" s="5">
        <f>PasteHashtag!M358</f>
        <v>2.1</v>
      </c>
      <c r="P358" s="5">
        <f>PasteHashtag!N358</f>
        <v>0.6</v>
      </c>
      <c r="Q358" s="5">
        <f>PasteHashtag!O358</f>
        <v>0.4</v>
      </c>
      <c r="R358" s="5">
        <f>PasteHashtag!P358</f>
        <v>0.8</v>
      </c>
      <c r="S358" s="5">
        <f>Mid(PasteHashtag!H358,FIND("/",PasteHashtag!H358)+1,LEN(PasteHashtag!H358)-FIND("/",PasteHashtag!H358)-1)*1</f>
        <v>7.3</v>
      </c>
      <c r="T358" s="306">
        <f>Mid(PasteHashtag!I358,FIND("/",PasteHashtag!I358)+1,LEN(PasteHashtag!I358)-FIND("/",PasteHashtag!I358)-1)*1</f>
        <v>0.6</v>
      </c>
    </row>
    <row r="359">
      <c r="A359" s="5">
        <v>358.0</v>
      </c>
      <c r="B359" s="5" t="str">
        <f>PasteHashtag!B359</f>
        <v/>
      </c>
      <c r="C359" s="305" t="str">
        <f>PasteHashtag!C359</f>
        <v>Trendon Watford</v>
      </c>
      <c r="D359" s="5" t="str">
        <f>PasteHashtag!D359</f>
        <v>PF,C</v>
      </c>
      <c r="E359" s="5" t="str">
        <f>PasteHashtag!E359</f>
        <v>BKN</v>
      </c>
      <c r="F359" s="5">
        <f>PasteHashtag!F359</f>
        <v>44</v>
      </c>
      <c r="G359" s="5">
        <f>PasteHashtag!G359</f>
        <v>10.1</v>
      </c>
      <c r="H359" s="5">
        <f>MID(PasteHashtag!H359,1+FIND("(",PasteHashtag!H359),FIND("/",PasteHashtag!H359)-FIND("(",PasteHashtag!H359)-1)*1</f>
        <v>1.7</v>
      </c>
      <c r="I359" s="5">
        <f>LEFT(PasteHashtag!H359,FIND("(",PasteHashtag!H359)-1)*1</f>
        <v>0.546</v>
      </c>
      <c r="J359" s="5">
        <f>MID(PasteHashtag!I359,1+FIND("(",PasteHashtag!I359),FIND("/",PasteHashtag!I359)-FIND("(",PasteHashtag!I359)-1)*1</f>
        <v>0.8</v>
      </c>
      <c r="K359" s="5">
        <f>LEFT(PasteHashtag!I359,FIND("(",PasteHashtag!I359)-1)*1</f>
        <v>0.758</v>
      </c>
      <c r="L359" s="5">
        <f>PasteHashtag!J359</f>
        <v>0.3</v>
      </c>
      <c r="M359" s="5">
        <f>PasteHashtag!K359</f>
        <v>4.5</v>
      </c>
      <c r="N359" s="5">
        <f>PasteHashtag!L359</f>
        <v>2.2</v>
      </c>
      <c r="O359" s="5">
        <f>PasteHashtag!M359</f>
        <v>1.1</v>
      </c>
      <c r="P359" s="5">
        <f>PasteHashtag!N359</f>
        <v>0.3</v>
      </c>
      <c r="Q359" s="5">
        <f>PasteHashtag!O359</f>
        <v>0.2</v>
      </c>
      <c r="R359" s="5">
        <f>PasteHashtag!P359</f>
        <v>0.7</v>
      </c>
      <c r="S359" s="5">
        <f>Mid(PasteHashtag!H359,FIND("/",PasteHashtag!H359)+1,LEN(PasteHashtag!H359)-FIND("/",PasteHashtag!H359)-1)*1</f>
        <v>3.2</v>
      </c>
      <c r="T359" s="306">
        <f>Mid(PasteHashtag!I359,FIND("/",PasteHashtag!I359)+1,LEN(PasteHashtag!I359)-FIND("/",PasteHashtag!I359)-1)*1</f>
        <v>1</v>
      </c>
    </row>
    <row r="360">
      <c r="A360" s="5">
        <v>359.0</v>
      </c>
      <c r="B360" s="5" t="str">
        <f>PasteHashtag!B360</f>
        <v/>
      </c>
      <c r="C360" s="305" t="str">
        <f>PasteHashtag!C360</f>
        <v>Garrison Mathews</v>
      </c>
      <c r="D360" s="5" t="str">
        <f>PasteHashtag!D360</f>
        <v>SG,SF</v>
      </c>
      <c r="E360" s="5" t="str">
        <f>PasteHashtag!E360</f>
        <v>ATL</v>
      </c>
      <c r="F360" s="5">
        <f>PasteHashtag!F360</f>
        <v>54</v>
      </c>
      <c r="G360" s="5">
        <f>PasteHashtag!G360</f>
        <v>12.7</v>
      </c>
      <c r="H360" s="5">
        <f>MID(PasteHashtag!H360,1+FIND("(",PasteHashtag!H360),FIND("/",PasteHashtag!H360)-FIND("(",PasteHashtag!H360)-1)*1</f>
        <v>1.4</v>
      </c>
      <c r="I360" s="5">
        <f>LEFT(PasteHashtag!H360,FIND("(",PasteHashtag!H360)-1)*1</f>
        <v>0.414</v>
      </c>
      <c r="J360" s="5">
        <f>MID(PasteHashtag!I360,1+FIND("(",PasteHashtag!I360),FIND("/",PasteHashtag!I360)-FIND("(",PasteHashtag!I360)-1)*1</f>
        <v>0.6</v>
      </c>
      <c r="K360" s="5">
        <f>LEFT(PasteHashtag!I360,FIND("(",PasteHashtag!I360)-1)*1</f>
        <v>0.863</v>
      </c>
      <c r="L360" s="5">
        <f>PasteHashtag!J360</f>
        <v>1.1</v>
      </c>
      <c r="M360" s="5">
        <f>PasteHashtag!K360</f>
        <v>4.5</v>
      </c>
      <c r="N360" s="5">
        <f>PasteHashtag!L360</f>
        <v>1.3</v>
      </c>
      <c r="O360" s="5">
        <f>PasteHashtag!M360</f>
        <v>0.5</v>
      </c>
      <c r="P360" s="5">
        <f>PasteHashtag!N360</f>
        <v>0.3</v>
      </c>
      <c r="Q360" s="5">
        <f>PasteHashtag!O360</f>
        <v>0.1</v>
      </c>
      <c r="R360" s="5">
        <f>PasteHashtag!P360</f>
        <v>0.3</v>
      </c>
      <c r="S360" s="5">
        <f>Mid(PasteHashtag!H360,FIND("/",PasteHashtag!H360)+1,LEN(PasteHashtag!H360)-FIND("/",PasteHashtag!H360)-1)*1</f>
        <v>3.3</v>
      </c>
      <c r="T360" s="306">
        <f>Mid(PasteHashtag!I360,FIND("/",PasteHashtag!I360)+1,LEN(PasteHashtag!I360)-FIND("/",PasteHashtag!I360)-1)*1</f>
        <v>0.7</v>
      </c>
    </row>
    <row r="361">
      <c r="A361" s="5">
        <v>360.0</v>
      </c>
      <c r="B361" s="5" t="str">
        <f>PasteHashtag!B361</f>
        <v/>
      </c>
      <c r="C361" s="305" t="str">
        <f>PasteHashtag!C361</f>
        <v>Nikola Djurisic</v>
      </c>
      <c r="D361" s="5" t="str">
        <f>PasteHashtag!D361</f>
        <v>SF</v>
      </c>
      <c r="E361" s="5" t="str">
        <f>PasteHashtag!E361</f>
        <v>ATL</v>
      </c>
      <c r="F361" s="5">
        <f>PasteHashtag!F361</f>
        <v>52</v>
      </c>
      <c r="G361" s="5">
        <f>PasteHashtag!G361</f>
        <v>17.4</v>
      </c>
      <c r="H361" s="5">
        <f>MID(PasteHashtag!H361,1+FIND("(",PasteHashtag!H361),FIND("/",PasteHashtag!H361)-FIND("(",PasteHashtag!H361)-1)*1</f>
        <v>2.2</v>
      </c>
      <c r="I361" s="5">
        <f>LEFT(PasteHashtag!H361,FIND("(",PasteHashtag!H361)-1)*1</f>
        <v>0.449</v>
      </c>
      <c r="J361" s="5">
        <f>MID(PasteHashtag!I361,1+FIND("(",PasteHashtag!I361),FIND("/",PasteHashtag!I361)-FIND("(",PasteHashtag!I361)-1)*1</f>
        <v>1.7</v>
      </c>
      <c r="K361" s="5">
        <f>LEFT(PasteHashtag!I361,FIND("(",PasteHashtag!I361)-1)*1</f>
        <v>0.759</v>
      </c>
      <c r="L361" s="5">
        <f>PasteHashtag!J361</f>
        <v>0.5</v>
      </c>
      <c r="M361" s="5">
        <f>PasteHashtag!K361</f>
        <v>6.5</v>
      </c>
      <c r="N361" s="5">
        <f>PasteHashtag!L361</f>
        <v>1.2</v>
      </c>
      <c r="O361" s="5">
        <f>PasteHashtag!M361</f>
        <v>1.5</v>
      </c>
      <c r="P361" s="5">
        <f>PasteHashtag!N361</f>
        <v>0.5</v>
      </c>
      <c r="Q361" s="5">
        <f>PasteHashtag!O361</f>
        <v>0.2</v>
      </c>
      <c r="R361" s="5">
        <f>PasteHashtag!P361</f>
        <v>1.4</v>
      </c>
      <c r="S361" s="5">
        <f>Mid(PasteHashtag!H361,FIND("/",PasteHashtag!H361)+1,LEN(PasteHashtag!H361)-FIND("/",PasteHashtag!H361)-1)*1</f>
        <v>4.8</v>
      </c>
      <c r="T361" s="306">
        <f>Mid(PasteHashtag!I361,FIND("/",PasteHashtag!I361)+1,LEN(PasteHashtag!I361)-FIND("/",PasteHashtag!I361)-1)*1</f>
        <v>2.2</v>
      </c>
    </row>
    <row r="362">
      <c r="A362" s="5">
        <v>361.0</v>
      </c>
      <c r="B362" s="5" t="str">
        <f>PasteHashtag!B362</f>
        <v/>
      </c>
      <c r="C362" s="305" t="str">
        <f>PasteHashtag!C362</f>
        <v>Adem Bona</v>
      </c>
      <c r="D362" s="5" t="str">
        <f>PasteHashtag!D362</f>
        <v>C</v>
      </c>
      <c r="E362" s="5" t="str">
        <f>PasteHashtag!E362</f>
        <v>PHI</v>
      </c>
      <c r="F362" s="5">
        <f>PasteHashtag!F362</f>
        <v>44</v>
      </c>
      <c r="G362" s="5">
        <f>PasteHashtag!G362</f>
        <v>11.2</v>
      </c>
      <c r="H362" s="5">
        <f>MID(PasteHashtag!H362,1+FIND("(",PasteHashtag!H362),FIND("/",PasteHashtag!H362)-FIND("(",PasteHashtag!H362)-1)*1</f>
        <v>1.5</v>
      </c>
      <c r="I362" s="5">
        <f>LEFT(PasteHashtag!H362,FIND("(",PasteHashtag!H362)-1)*1</f>
        <v>0.59</v>
      </c>
      <c r="J362" s="5">
        <f>MID(PasteHashtag!I362,1+FIND("(",PasteHashtag!I362),FIND("/",PasteHashtag!I362)-FIND("(",PasteHashtag!I362)-1)*1</f>
        <v>1</v>
      </c>
      <c r="K362" s="5">
        <f>LEFT(PasteHashtag!I362,FIND("(",PasteHashtag!I362)-1)*1</f>
        <v>0.702</v>
      </c>
      <c r="L362" s="5">
        <f>PasteHashtag!J362</f>
        <v>0</v>
      </c>
      <c r="M362" s="5">
        <f>PasteHashtag!K362</f>
        <v>3.9</v>
      </c>
      <c r="N362" s="5">
        <f>PasteHashtag!L362</f>
        <v>1.9</v>
      </c>
      <c r="O362" s="5">
        <f>PasteHashtag!M362</f>
        <v>0.4</v>
      </c>
      <c r="P362" s="5">
        <f>PasteHashtag!N362</f>
        <v>0.4</v>
      </c>
      <c r="Q362" s="5">
        <f>PasteHashtag!O362</f>
        <v>0.6</v>
      </c>
      <c r="R362" s="5">
        <f>PasteHashtag!P362</f>
        <v>0.8</v>
      </c>
      <c r="S362" s="5">
        <f>Mid(PasteHashtag!H362,FIND("/",PasteHashtag!H362)+1,LEN(PasteHashtag!H362)-FIND("/",PasteHashtag!H362)-1)*1</f>
        <v>2.5</v>
      </c>
      <c r="T362" s="306">
        <f>Mid(PasteHashtag!I362,FIND("/",PasteHashtag!I362)+1,LEN(PasteHashtag!I362)-FIND("/",PasteHashtag!I362)-1)*1</f>
        <v>1.4</v>
      </c>
    </row>
    <row r="363">
      <c r="A363" s="5">
        <v>362.0</v>
      </c>
      <c r="B363" s="5" t="str">
        <f>PasteHashtag!B363</f>
        <v/>
      </c>
      <c r="C363" s="305" t="str">
        <f>PasteHashtag!C363</f>
        <v>Cody Williams</v>
      </c>
      <c r="D363" s="5" t="str">
        <f>PasteHashtag!D363</f>
        <v>SF</v>
      </c>
      <c r="E363" s="5" t="str">
        <f>PasteHashtag!E363</f>
        <v>UTA</v>
      </c>
      <c r="F363" s="5">
        <f>PasteHashtag!F363</f>
        <v>64</v>
      </c>
      <c r="G363" s="5">
        <f>PasteHashtag!G363</f>
        <v>17.3</v>
      </c>
      <c r="H363" s="5">
        <f>MID(PasteHashtag!H363,1+FIND("(",PasteHashtag!H363),FIND("/",PasteHashtag!H363)-FIND("(",PasteHashtag!H363)-1)*1</f>
        <v>2.1</v>
      </c>
      <c r="I363" s="5">
        <f>LEFT(PasteHashtag!H363,FIND("(",PasteHashtag!H363)-1)*1</f>
        <v>0.552</v>
      </c>
      <c r="J363" s="5">
        <f>MID(PasteHashtag!I363,1+FIND("(",PasteHashtag!I363),FIND("/",PasteHashtag!I363)-FIND("(",PasteHashtag!I363)-1)*1</f>
        <v>1.1</v>
      </c>
      <c r="K363" s="5">
        <f>LEFT(PasteHashtag!I363,FIND("(",PasteHashtag!I363)-1)*1</f>
        <v>0.716</v>
      </c>
      <c r="L363" s="5">
        <f>PasteHashtag!J363</f>
        <v>0.3</v>
      </c>
      <c r="M363" s="5">
        <f>PasteHashtag!K363</f>
        <v>5.5</v>
      </c>
      <c r="N363" s="5">
        <f>PasteHashtag!L363</f>
        <v>1.4</v>
      </c>
      <c r="O363" s="5">
        <f>PasteHashtag!M363</f>
        <v>0.7</v>
      </c>
      <c r="P363" s="5">
        <f>PasteHashtag!N363</f>
        <v>0.3</v>
      </c>
      <c r="Q363" s="5">
        <f>PasteHashtag!O363</f>
        <v>0.3</v>
      </c>
      <c r="R363" s="5">
        <f>PasteHashtag!P363</f>
        <v>0.9</v>
      </c>
      <c r="S363" s="5">
        <f>Mid(PasteHashtag!H363,FIND("/",PasteHashtag!H363)+1,LEN(PasteHashtag!H363)-FIND("/",PasteHashtag!H363)-1)*1</f>
        <v>3.7</v>
      </c>
      <c r="T363" s="306">
        <f>Mid(PasteHashtag!I363,FIND("/",PasteHashtag!I363)+1,LEN(PasteHashtag!I363)-FIND("/",PasteHashtag!I363)-1)*1</f>
        <v>1.5</v>
      </c>
    </row>
    <row r="364">
      <c r="A364" s="5">
        <v>363.0</v>
      </c>
      <c r="B364" s="5" t="str">
        <f>PasteHashtag!B364</f>
        <v/>
      </c>
      <c r="C364" s="305" t="str">
        <f>PasteHashtag!C364</f>
        <v>MarJon Beauchamp</v>
      </c>
      <c r="D364" s="5" t="str">
        <f>PasteHashtag!D364</f>
        <v>SG,SF</v>
      </c>
      <c r="E364" s="5" t="str">
        <f>PasteHashtag!E364</f>
        <v>MIL</v>
      </c>
      <c r="F364" s="5">
        <f>PasteHashtag!F364</f>
        <v>54</v>
      </c>
      <c r="G364" s="5">
        <f>PasteHashtag!G364</f>
        <v>13.8</v>
      </c>
      <c r="H364" s="5">
        <f>MID(PasteHashtag!H364,1+FIND("(",PasteHashtag!H364),FIND("/",PasteHashtag!H364)-FIND("(",PasteHashtag!H364)-1)*1</f>
        <v>1.9</v>
      </c>
      <c r="I364" s="5">
        <f>LEFT(PasteHashtag!H364,FIND("(",PasteHashtag!H364)-1)*1</f>
        <v>0.432</v>
      </c>
      <c r="J364" s="5">
        <f>MID(PasteHashtag!I364,1+FIND("(",PasteHashtag!I364),FIND("/",PasteHashtag!I364)-FIND("(",PasteHashtag!I364)-1)*1</f>
        <v>0.5</v>
      </c>
      <c r="K364" s="5">
        <f>LEFT(PasteHashtag!I364,FIND("(",PasteHashtag!I364)-1)*1</f>
        <v>0.71</v>
      </c>
      <c r="L364" s="5">
        <f>PasteHashtag!J364</f>
        <v>0.8</v>
      </c>
      <c r="M364" s="5">
        <f>PasteHashtag!K364</f>
        <v>5.1</v>
      </c>
      <c r="N364" s="5">
        <f>PasteHashtag!L364</f>
        <v>2.3</v>
      </c>
      <c r="O364" s="5">
        <f>PasteHashtag!M364</f>
        <v>0.7</v>
      </c>
      <c r="P364" s="5">
        <f>PasteHashtag!N364</f>
        <v>0.4</v>
      </c>
      <c r="Q364" s="5">
        <f>PasteHashtag!O364</f>
        <v>0.2</v>
      </c>
      <c r="R364" s="5">
        <f>PasteHashtag!P364</f>
        <v>0.8</v>
      </c>
      <c r="S364" s="5">
        <f>Mid(PasteHashtag!H364,FIND("/",PasteHashtag!H364)+1,LEN(PasteHashtag!H364)-FIND("/",PasteHashtag!H364)-1)*1</f>
        <v>4.4</v>
      </c>
      <c r="T364" s="306">
        <f>Mid(PasteHashtag!I364,FIND("/",PasteHashtag!I364)+1,LEN(PasteHashtag!I364)-FIND("/",PasteHashtag!I364)-1)*1</f>
        <v>0.7</v>
      </c>
    </row>
    <row r="365">
      <c r="A365" s="5">
        <v>364.0</v>
      </c>
      <c r="B365" s="5" t="str">
        <f>PasteHashtag!B365</f>
        <v/>
      </c>
      <c r="C365" s="305" t="str">
        <f>PasteHashtag!C365</f>
        <v>Tristan Vukcevic</v>
      </c>
      <c r="D365" s="5" t="str">
        <f>PasteHashtag!D365</f>
        <v>C</v>
      </c>
      <c r="E365" s="5" t="str">
        <f>PasteHashtag!E365</f>
        <v>WAS</v>
      </c>
      <c r="F365" s="5">
        <f>PasteHashtag!F365</f>
        <v>30</v>
      </c>
      <c r="G365" s="5">
        <f>PasteHashtag!G365</f>
        <v>7.9</v>
      </c>
      <c r="H365" s="5">
        <f>MID(PasteHashtag!H365,1+FIND("(",PasteHashtag!H365),FIND("/",PasteHashtag!H365)-FIND("(",PasteHashtag!H365)-1)*1</f>
        <v>1.5</v>
      </c>
      <c r="I365" s="5">
        <f>LEFT(PasteHashtag!H365,FIND("(",PasteHashtag!H365)-1)*1</f>
        <v>0.434</v>
      </c>
      <c r="J365" s="5">
        <f>MID(PasteHashtag!I365,1+FIND("(",PasteHashtag!I365),FIND("/",PasteHashtag!I365)-FIND("(",PasteHashtag!I365)-1)*1</f>
        <v>0.9</v>
      </c>
      <c r="K365" s="5">
        <f>LEFT(PasteHashtag!I365,FIND("(",PasteHashtag!I365)-1)*1</f>
        <v>0.772</v>
      </c>
      <c r="L365" s="5">
        <f>PasteHashtag!J365</f>
        <v>0.5</v>
      </c>
      <c r="M365" s="5">
        <f>PasteHashtag!K365</f>
        <v>4.4</v>
      </c>
      <c r="N365" s="5">
        <f>PasteHashtag!L365</f>
        <v>1.9</v>
      </c>
      <c r="O365" s="5">
        <f>PasteHashtag!M365</f>
        <v>0.7</v>
      </c>
      <c r="P365" s="5">
        <f>PasteHashtag!N365</f>
        <v>0.3</v>
      </c>
      <c r="Q365" s="5">
        <f>PasteHashtag!O365</f>
        <v>0.4</v>
      </c>
      <c r="R365" s="5">
        <f>PasteHashtag!P365</f>
        <v>0.5</v>
      </c>
      <c r="S365" s="5">
        <f>Mid(PasteHashtag!H365,FIND("/",PasteHashtag!H365)+1,LEN(PasteHashtag!H365)-FIND("/",PasteHashtag!H365)-1)*1</f>
        <v>3.5</v>
      </c>
      <c r="T365" s="306">
        <f>Mid(PasteHashtag!I365,FIND("/",PasteHashtag!I365)+1,LEN(PasteHashtag!I365)-FIND("/",PasteHashtag!I365)-1)*1</f>
        <v>1.1</v>
      </c>
    </row>
    <row r="366">
      <c r="A366" s="5">
        <v>365.0</v>
      </c>
      <c r="B366" s="5" t="str">
        <f>PasteHashtag!B366</f>
        <v/>
      </c>
      <c r="C366" s="305" t="str">
        <f>PasteHashtag!C366</f>
        <v>Aaron Holiday</v>
      </c>
      <c r="D366" s="5" t="str">
        <f>PasteHashtag!D366</f>
        <v>PG,SG</v>
      </c>
      <c r="E366" s="5" t="str">
        <f>PasteHashtag!E366</f>
        <v>HOU</v>
      </c>
      <c r="F366" s="5">
        <f>PasteHashtag!F366</f>
        <v>40</v>
      </c>
      <c r="G366" s="5">
        <f>PasteHashtag!G366</f>
        <v>10.4</v>
      </c>
      <c r="H366" s="5">
        <f>MID(PasteHashtag!H366,1+FIND("(",PasteHashtag!H366),FIND("/",PasteHashtag!H366)-FIND("(",PasteHashtag!H366)-1)*1</f>
        <v>1.4</v>
      </c>
      <c r="I366" s="5">
        <f>LEFT(PasteHashtag!H366,FIND("(",PasteHashtag!H366)-1)*1</f>
        <v>0.437</v>
      </c>
      <c r="J366" s="5">
        <f>MID(PasteHashtag!I366,1+FIND("(",PasteHashtag!I366),FIND("/",PasteHashtag!I366)-FIND("(",PasteHashtag!I366)-1)*1</f>
        <v>0.4</v>
      </c>
      <c r="K366" s="5">
        <f>LEFT(PasteHashtag!I366,FIND("(",PasteHashtag!I366)-1)*1</f>
        <v>0.894</v>
      </c>
      <c r="L366" s="5">
        <f>PasteHashtag!J366</f>
        <v>0.6</v>
      </c>
      <c r="M366" s="5">
        <f>PasteHashtag!K366</f>
        <v>3.8</v>
      </c>
      <c r="N366" s="5">
        <f>PasteHashtag!L366</f>
        <v>1</v>
      </c>
      <c r="O366" s="5">
        <f>PasteHashtag!M366</f>
        <v>1.1</v>
      </c>
      <c r="P366" s="5">
        <f>PasteHashtag!N366</f>
        <v>0.4</v>
      </c>
      <c r="Q366" s="5">
        <f>PasteHashtag!O366</f>
        <v>0.1</v>
      </c>
      <c r="R366" s="5">
        <f>PasteHashtag!P366</f>
        <v>0.4</v>
      </c>
      <c r="S366" s="5">
        <f>Mid(PasteHashtag!H366,FIND("/",PasteHashtag!H366)+1,LEN(PasteHashtag!H366)-FIND("/",PasteHashtag!H366)-1)*1</f>
        <v>3.2</v>
      </c>
      <c r="T366" s="306">
        <f>Mid(PasteHashtag!I366,FIND("/",PasteHashtag!I366)+1,LEN(PasteHashtag!I366)-FIND("/",PasteHashtag!I366)-1)*1</f>
        <v>0.5</v>
      </c>
    </row>
    <row r="367">
      <c r="A367" s="5">
        <v>366.0</v>
      </c>
      <c r="B367" s="5" t="str">
        <f>PasteHashtag!B367</f>
        <v/>
      </c>
      <c r="C367" s="305" t="str">
        <f>PasteHashtag!C367</f>
        <v>Derrick Rose</v>
      </c>
      <c r="D367" s="5" t="str">
        <f>PasteHashtag!D367</f>
        <v>PG</v>
      </c>
      <c r="E367" s="5" t="str">
        <f>PasteHashtag!E367</f>
        <v>MEM</v>
      </c>
      <c r="F367" s="5">
        <f>PasteHashtag!F367</f>
        <v>22</v>
      </c>
      <c r="G367" s="5">
        <f>PasteHashtag!G367</f>
        <v>11.4</v>
      </c>
      <c r="H367" s="5">
        <f>MID(PasteHashtag!H367,1+FIND("(",PasteHashtag!H367),FIND("/",PasteHashtag!H367)-FIND("(",PasteHashtag!H367)-1)*1</f>
        <v>2.1</v>
      </c>
      <c r="I367" s="5">
        <f>LEFT(PasteHashtag!H367,FIND("(",PasteHashtag!H367)-1)*1</f>
        <v>0.423</v>
      </c>
      <c r="J367" s="5">
        <f>MID(PasteHashtag!I367,1+FIND("(",PasteHashtag!I367),FIND("/",PasteHashtag!I367)-FIND("(",PasteHashtag!I367)-1)*1</f>
        <v>0.6</v>
      </c>
      <c r="K367" s="5">
        <f>LEFT(PasteHashtag!I367,FIND("(",PasteHashtag!I367)-1)*1</f>
        <v>0.902</v>
      </c>
      <c r="L367" s="5">
        <f>PasteHashtag!J367</f>
        <v>0.5</v>
      </c>
      <c r="M367" s="5">
        <f>PasteHashtag!K367</f>
        <v>5.4</v>
      </c>
      <c r="N367" s="5">
        <f>PasteHashtag!L367</f>
        <v>1.3</v>
      </c>
      <c r="O367" s="5">
        <f>PasteHashtag!M367</f>
        <v>1.9</v>
      </c>
      <c r="P367" s="5">
        <f>PasteHashtag!N367</f>
        <v>0.2</v>
      </c>
      <c r="Q367" s="5">
        <f>PasteHashtag!O367</f>
        <v>0.1</v>
      </c>
      <c r="R367" s="5">
        <f>PasteHashtag!P367</f>
        <v>0.8</v>
      </c>
      <c r="S367" s="5">
        <f>Mid(PasteHashtag!H367,FIND("/",PasteHashtag!H367)+1,LEN(PasteHashtag!H367)-FIND("/",PasteHashtag!H367)-1)*1</f>
        <v>5.1</v>
      </c>
      <c r="T367" s="306">
        <f>Mid(PasteHashtag!I367,FIND("/",PasteHashtag!I367)+1,LEN(PasteHashtag!I367)-FIND("/",PasteHashtag!I367)-1)*1</f>
        <v>0.6</v>
      </c>
    </row>
    <row r="368">
      <c r="A368" s="5">
        <v>367.0</v>
      </c>
      <c r="B368" s="5" t="str">
        <f>PasteHashtag!B368</f>
        <v/>
      </c>
      <c r="C368" s="305" t="str">
        <f>PasteHashtag!C368</f>
        <v>Jordan Walsh</v>
      </c>
      <c r="D368" s="5" t="str">
        <f>PasteHashtag!D368</f>
        <v>SG,SF</v>
      </c>
      <c r="E368" s="5" t="str">
        <f>PasteHashtag!E368</f>
        <v>BOS</v>
      </c>
      <c r="F368" s="5">
        <f>PasteHashtag!F368</f>
        <v>20</v>
      </c>
      <c r="G368" s="5">
        <f>PasteHashtag!G368</f>
        <v>11.1</v>
      </c>
      <c r="H368" s="5">
        <f>MID(PasteHashtag!H368,1+FIND("(",PasteHashtag!H368),FIND("/",PasteHashtag!H368)-FIND("(",PasteHashtag!H368)-1)*1</f>
        <v>0.8</v>
      </c>
      <c r="I368" s="5">
        <f>LEFT(PasteHashtag!H368,FIND("(",PasteHashtag!H368)-1)*1</f>
        <v>0.401</v>
      </c>
      <c r="J368" s="5">
        <f>MID(PasteHashtag!I368,1+FIND("(",PasteHashtag!I368),FIND("/",PasteHashtag!I368)-FIND("(",PasteHashtag!I368)-1)*1</f>
        <v>0.1</v>
      </c>
      <c r="K368" s="5">
        <f>LEFT(PasteHashtag!I368,FIND("(",PasteHashtag!I368)-1)*1</f>
        <v>0.481</v>
      </c>
      <c r="L368" s="5">
        <f>PasteHashtag!J368</f>
        <v>0.3</v>
      </c>
      <c r="M368" s="5">
        <f>PasteHashtag!K368</f>
        <v>2</v>
      </c>
      <c r="N368" s="5">
        <f>PasteHashtag!L368</f>
        <v>2.7</v>
      </c>
      <c r="O368" s="5">
        <f>PasteHashtag!M368</f>
        <v>0.7</v>
      </c>
      <c r="P368" s="5">
        <f>PasteHashtag!N368</f>
        <v>0.7</v>
      </c>
      <c r="Q368" s="5">
        <f>PasteHashtag!O368</f>
        <v>0.1</v>
      </c>
      <c r="R368" s="5">
        <f>PasteHashtag!P368</f>
        <v>0.4</v>
      </c>
      <c r="S368" s="5">
        <f>Mid(PasteHashtag!H368,FIND("/",PasteHashtag!H368)+1,LEN(PasteHashtag!H368)-FIND("/",PasteHashtag!H368)-1)*1</f>
        <v>2</v>
      </c>
      <c r="T368" s="306">
        <f>Mid(PasteHashtag!I368,FIND("/",PasteHashtag!I368)+1,LEN(PasteHashtag!I368)-FIND("/",PasteHashtag!I368)-1)*1</f>
        <v>0.3</v>
      </c>
    </row>
    <row r="369">
      <c r="A369" s="5">
        <v>368.0</v>
      </c>
      <c r="B369" s="5" t="str">
        <f>PasteHashtag!B369</f>
        <v/>
      </c>
      <c r="C369" s="305" t="str">
        <f>PasteHashtag!C369</f>
        <v>Dalano Banton</v>
      </c>
      <c r="D369" s="5" t="str">
        <f>PasteHashtag!D369</f>
        <v>SF</v>
      </c>
      <c r="E369" s="5" t="str">
        <f>PasteHashtag!E369</f>
        <v>POR</v>
      </c>
      <c r="F369" s="5">
        <f>PasteHashtag!F369</f>
        <v>30</v>
      </c>
      <c r="G369" s="5">
        <f>PasteHashtag!G369</f>
        <v>10</v>
      </c>
      <c r="H369" s="5">
        <f>MID(PasteHashtag!H369,1+FIND("(",PasteHashtag!H369),FIND("/",PasteHashtag!H369)-FIND("(",PasteHashtag!H369)-1)*1</f>
        <v>2</v>
      </c>
      <c r="I369" s="5">
        <f>LEFT(PasteHashtag!H369,FIND("(",PasteHashtag!H369)-1)*1</f>
        <v>0.408</v>
      </c>
      <c r="J369" s="5">
        <f>MID(PasteHashtag!I369,1+FIND("(",PasteHashtag!I369),FIND("/",PasteHashtag!I369)-FIND("(",PasteHashtag!I369)-1)*1</f>
        <v>0.9</v>
      </c>
      <c r="K369" s="5">
        <f>LEFT(PasteHashtag!I369,FIND("(",PasteHashtag!I369)-1)*1</f>
        <v>0.773</v>
      </c>
      <c r="L369" s="5">
        <f>PasteHashtag!J369</f>
        <v>0.6</v>
      </c>
      <c r="M369" s="5">
        <f>PasteHashtag!K369</f>
        <v>5.3</v>
      </c>
      <c r="N369" s="5">
        <f>PasteHashtag!L369</f>
        <v>1.7</v>
      </c>
      <c r="O369" s="5">
        <f>PasteHashtag!M369</f>
        <v>1.2</v>
      </c>
      <c r="P369" s="5">
        <f>PasteHashtag!N369</f>
        <v>0.4</v>
      </c>
      <c r="Q369" s="5">
        <f>PasteHashtag!O369</f>
        <v>0.3</v>
      </c>
      <c r="R369" s="5">
        <f>PasteHashtag!P369</f>
        <v>0.7</v>
      </c>
      <c r="S369" s="5">
        <f>Mid(PasteHashtag!H369,FIND("/",PasteHashtag!H369)+1,LEN(PasteHashtag!H369)-FIND("/",PasteHashtag!H369)-1)*1</f>
        <v>4.8</v>
      </c>
      <c r="T369" s="306">
        <f>Mid(PasteHashtag!I369,FIND("/",PasteHashtag!I369)+1,LEN(PasteHashtag!I369)-FIND("/",PasteHashtag!I369)-1)*1</f>
        <v>1.1</v>
      </c>
    </row>
    <row r="370">
      <c r="A370" s="5">
        <v>369.0</v>
      </c>
      <c r="B370" s="5" t="str">
        <f>PasteHashtag!B370</f>
        <v/>
      </c>
      <c r="C370" s="305" t="str">
        <f>PasteHashtag!C370</f>
        <v>Jalen McDaniels</v>
      </c>
      <c r="D370" s="5" t="str">
        <f>PasteHashtag!D370</f>
        <v>SF,PF</v>
      </c>
      <c r="E370" s="5" t="str">
        <f>PasteHashtag!E370</f>
        <v>SAC</v>
      </c>
      <c r="F370" s="5">
        <f>PasteHashtag!F370</f>
        <v>60</v>
      </c>
      <c r="G370" s="5">
        <f>PasteHashtag!G370</f>
        <v>10.4</v>
      </c>
      <c r="H370" s="5">
        <f>MID(PasteHashtag!H370,1+FIND("(",PasteHashtag!H370),FIND("/",PasteHashtag!H370)-FIND("(",PasteHashtag!H370)-1)*1</f>
        <v>1.5</v>
      </c>
      <c r="I370" s="5">
        <f>LEFT(PasteHashtag!H370,FIND("(",PasteHashtag!H370)-1)*1</f>
        <v>0.429</v>
      </c>
      <c r="J370" s="5">
        <f>MID(PasteHashtag!I370,1+FIND("(",PasteHashtag!I370),FIND("/",PasteHashtag!I370)-FIND("(",PasteHashtag!I370)-1)*1</f>
        <v>0.6</v>
      </c>
      <c r="K370" s="5">
        <f>LEFT(PasteHashtag!I370,FIND("(",PasteHashtag!I370)-1)*1</f>
        <v>0.813</v>
      </c>
      <c r="L370" s="5">
        <f>PasteHashtag!J370</f>
        <v>0.4</v>
      </c>
      <c r="M370" s="5">
        <f>PasteHashtag!K370</f>
        <v>4</v>
      </c>
      <c r="N370" s="5">
        <f>PasteHashtag!L370</f>
        <v>1.8</v>
      </c>
      <c r="O370" s="5">
        <f>PasteHashtag!M370</f>
        <v>0.7</v>
      </c>
      <c r="P370" s="5">
        <f>PasteHashtag!N370</f>
        <v>0.4</v>
      </c>
      <c r="Q370" s="5">
        <f>PasteHashtag!O370</f>
        <v>0.2</v>
      </c>
      <c r="R370" s="5">
        <f>PasteHashtag!P370</f>
        <v>0.5</v>
      </c>
      <c r="S370" s="5">
        <f>Mid(PasteHashtag!H370,FIND("/",PasteHashtag!H370)+1,LEN(PasteHashtag!H370)-FIND("/",PasteHashtag!H370)-1)*1</f>
        <v>3.5</v>
      </c>
      <c r="T370" s="306">
        <f>Mid(PasteHashtag!I370,FIND("/",PasteHashtag!I370)+1,LEN(PasteHashtag!I370)-FIND("/",PasteHashtag!I370)-1)*1</f>
        <v>0.8</v>
      </c>
    </row>
    <row r="371">
      <c r="A371" s="5">
        <v>370.0</v>
      </c>
      <c r="B371" s="5" t="str">
        <f>PasteHashtag!B371</f>
        <v/>
      </c>
      <c r="C371" s="305" t="str">
        <f>PasteHashtag!C371</f>
        <v>Jalen Wilson</v>
      </c>
      <c r="D371" s="5" t="str">
        <f>PasteHashtag!D371</f>
        <v>SF</v>
      </c>
      <c r="E371" s="5" t="str">
        <f>PasteHashtag!E371</f>
        <v>BKN</v>
      </c>
      <c r="F371" s="5">
        <f>PasteHashtag!F371</f>
        <v>20</v>
      </c>
      <c r="G371" s="5">
        <f>PasteHashtag!G371</f>
        <v>13.5</v>
      </c>
      <c r="H371" s="5">
        <f>MID(PasteHashtag!H371,1+FIND("(",PasteHashtag!H371),FIND("/",PasteHashtag!H371)-FIND("(",PasteHashtag!H371)-1)*1</f>
        <v>1.6</v>
      </c>
      <c r="I371" s="5">
        <f>LEFT(PasteHashtag!H371,FIND("(",PasteHashtag!H371)-1)*1</f>
        <v>0.425</v>
      </c>
      <c r="J371" s="5">
        <f>MID(PasteHashtag!I371,1+FIND("(",PasteHashtag!I371),FIND("/",PasteHashtag!I371)-FIND("(",PasteHashtag!I371)-1)*1</f>
        <v>0.8</v>
      </c>
      <c r="K371" s="5">
        <f>LEFT(PasteHashtag!I371,FIND("(",PasteHashtag!I371)-1)*1</f>
        <v>0.83</v>
      </c>
      <c r="L371" s="5">
        <f>PasteHashtag!J371</f>
        <v>0.5</v>
      </c>
      <c r="M371" s="5">
        <f>PasteHashtag!K371</f>
        <v>4.4</v>
      </c>
      <c r="N371" s="5">
        <f>PasteHashtag!L371</f>
        <v>2.7</v>
      </c>
      <c r="O371" s="5">
        <f>PasteHashtag!M371</f>
        <v>0.9</v>
      </c>
      <c r="P371" s="5">
        <f>PasteHashtag!N371</f>
        <v>0.2</v>
      </c>
      <c r="Q371" s="5">
        <f>PasteHashtag!O371</f>
        <v>0.1</v>
      </c>
      <c r="R371" s="5">
        <f>PasteHashtag!P371</f>
        <v>0.4</v>
      </c>
      <c r="S371" s="5">
        <f>Mid(PasteHashtag!H371,FIND("/",PasteHashtag!H371)+1,LEN(PasteHashtag!H371)-FIND("/",PasteHashtag!H371)-1)*1</f>
        <v>3.7</v>
      </c>
      <c r="T371" s="306">
        <f>Mid(PasteHashtag!I371,FIND("/",PasteHashtag!I371)+1,LEN(PasteHashtag!I371)-FIND("/",PasteHashtag!I371)-1)*1</f>
        <v>0.9</v>
      </c>
    </row>
    <row r="372">
      <c r="A372" s="5">
        <v>371.0</v>
      </c>
      <c r="B372" s="5" t="str">
        <f>PasteHashtag!B372</f>
        <v/>
      </c>
      <c r="C372" s="305" t="str">
        <f>PasteHashtag!C372</f>
        <v>Devonte' Graham</v>
      </c>
      <c r="D372" s="5" t="str">
        <f>PasteHashtag!D372</f>
        <v>PG,SG</v>
      </c>
      <c r="E372" s="5" t="str">
        <f>PasteHashtag!E372</f>
        <v>POR</v>
      </c>
      <c r="F372" s="5">
        <f>PasteHashtag!F372</f>
        <v>40</v>
      </c>
      <c r="G372" s="5">
        <f>PasteHashtag!G372</f>
        <v>11.1</v>
      </c>
      <c r="H372" s="5">
        <f>MID(PasteHashtag!H372,1+FIND("(",PasteHashtag!H372),FIND("/",PasteHashtag!H372)-FIND("(",PasteHashtag!H372)-1)*1</f>
        <v>1.4</v>
      </c>
      <c r="I372" s="5">
        <f>LEFT(PasteHashtag!H372,FIND("(",PasteHashtag!H372)-1)*1</f>
        <v>0.369</v>
      </c>
      <c r="J372" s="5">
        <f>MID(PasteHashtag!I372,1+FIND("(",PasteHashtag!I372),FIND("/",PasteHashtag!I372)-FIND("(",PasteHashtag!I372)-1)*1</f>
        <v>0.8</v>
      </c>
      <c r="K372" s="5">
        <f>LEFT(PasteHashtag!I372,FIND("(",PasteHashtag!I372)-1)*1</f>
        <v>0.75</v>
      </c>
      <c r="L372" s="5">
        <f>PasteHashtag!J372</f>
        <v>1</v>
      </c>
      <c r="M372" s="5">
        <f>PasteHashtag!K372</f>
        <v>4.4</v>
      </c>
      <c r="N372" s="5">
        <f>PasteHashtag!L372</f>
        <v>1.1</v>
      </c>
      <c r="O372" s="5">
        <f>PasteHashtag!M372</f>
        <v>1.7</v>
      </c>
      <c r="P372" s="5">
        <f>PasteHashtag!N372</f>
        <v>0.4</v>
      </c>
      <c r="Q372" s="5">
        <f>PasteHashtag!O372</f>
        <v>0.1</v>
      </c>
      <c r="R372" s="5">
        <f>PasteHashtag!P372</f>
        <v>0.5</v>
      </c>
      <c r="S372" s="5">
        <f>Mid(PasteHashtag!H372,FIND("/",PasteHashtag!H372)+1,LEN(PasteHashtag!H372)-FIND("/",PasteHashtag!H372)-1)*1</f>
        <v>3.7</v>
      </c>
      <c r="T372" s="306">
        <f>Mid(PasteHashtag!I372,FIND("/",PasteHashtag!I372)+1,LEN(PasteHashtag!I372)-FIND("/",PasteHashtag!I372)-1)*1</f>
        <v>1</v>
      </c>
    </row>
    <row r="373">
      <c r="A373" s="5">
        <v>372.0</v>
      </c>
      <c r="B373" s="5" t="str">
        <f>PasteHashtag!B373</f>
        <v/>
      </c>
      <c r="C373" s="305" t="str">
        <f>PasteHashtag!C373</f>
        <v>David Jones</v>
      </c>
      <c r="D373" s="5" t="str">
        <f>PasteHashtag!D373</f>
        <v>SF</v>
      </c>
      <c r="E373" s="5" t="str">
        <f>PasteHashtag!E373</f>
        <v>PHI</v>
      </c>
      <c r="F373" s="5">
        <f>PasteHashtag!F373</f>
        <v>20</v>
      </c>
      <c r="G373" s="5">
        <f>PasteHashtag!G373</f>
        <v>8.4</v>
      </c>
      <c r="H373" s="5">
        <f>MID(PasteHashtag!H373,1+FIND("(",PasteHashtag!H373),FIND("/",PasteHashtag!H373)-FIND("(",PasteHashtag!H373)-1)*1</f>
        <v>1.4</v>
      </c>
      <c r="I373" s="5">
        <f>LEFT(PasteHashtag!H373,FIND("(",PasteHashtag!H373)-1)*1</f>
        <v>0.461</v>
      </c>
      <c r="J373" s="5">
        <f>MID(PasteHashtag!I373,1+FIND("(",PasteHashtag!I373),FIND("/",PasteHashtag!I373)-FIND("(",PasteHashtag!I373)-1)*1</f>
        <v>1.1</v>
      </c>
      <c r="K373" s="5">
        <f>LEFT(PasteHashtag!I373,FIND("(",PasteHashtag!I373)-1)*1</f>
        <v>0.795</v>
      </c>
      <c r="L373" s="5">
        <f>PasteHashtag!J373</f>
        <v>0.5</v>
      </c>
      <c r="M373" s="5">
        <f>PasteHashtag!K373</f>
        <v>4.3</v>
      </c>
      <c r="N373" s="5">
        <f>PasteHashtag!L373</f>
        <v>1.5</v>
      </c>
      <c r="O373" s="5">
        <f>PasteHashtag!M373</f>
        <v>0.4</v>
      </c>
      <c r="P373" s="5">
        <f>PasteHashtag!N373</f>
        <v>0.4</v>
      </c>
      <c r="Q373" s="5">
        <f>PasteHashtag!O373</f>
        <v>0.1</v>
      </c>
      <c r="R373" s="5">
        <f>PasteHashtag!P373</f>
        <v>0.6</v>
      </c>
      <c r="S373" s="5">
        <f>Mid(PasteHashtag!H373,FIND("/",PasteHashtag!H373)+1,LEN(PasteHashtag!H373)-FIND("/",PasteHashtag!H373)-1)*1</f>
        <v>3</v>
      </c>
      <c r="T373" s="306">
        <f>Mid(PasteHashtag!I373,FIND("/",PasteHashtag!I373)+1,LEN(PasteHashtag!I373)-FIND("/",PasteHashtag!I373)-1)*1</f>
        <v>1.3</v>
      </c>
    </row>
    <row r="374">
      <c r="A374" s="5">
        <v>373.0</v>
      </c>
      <c r="B374" s="5" t="str">
        <f>PasteHashtag!B374</f>
        <v/>
      </c>
      <c r="C374" s="305" t="str">
        <f>PasteHashtag!C374</f>
        <v>Orlando Robinson</v>
      </c>
      <c r="D374" s="5" t="str">
        <f>PasteHashtag!D374</f>
        <v>C</v>
      </c>
      <c r="E374" s="5" t="str">
        <f>PasteHashtag!E374</f>
        <v>SAC</v>
      </c>
      <c r="F374" s="5">
        <f>PasteHashtag!F374</f>
        <v>40</v>
      </c>
      <c r="G374" s="5">
        <f>PasteHashtag!G374</f>
        <v>9.4</v>
      </c>
      <c r="H374" s="5">
        <f>MID(PasteHashtag!H374,1+FIND("(",PasteHashtag!H374),FIND("/",PasteHashtag!H374)-FIND("(",PasteHashtag!H374)-1)*1</f>
        <v>1.1</v>
      </c>
      <c r="I374" s="5">
        <f>LEFT(PasteHashtag!H374,FIND("(",PasteHashtag!H374)-1)*1</f>
        <v>0.514</v>
      </c>
      <c r="J374" s="5">
        <f>MID(PasteHashtag!I374,1+FIND("(",PasteHashtag!I374),FIND("/",PasteHashtag!I374)-FIND("(",PasteHashtag!I374)-1)*1</f>
        <v>0.5</v>
      </c>
      <c r="K374" s="5">
        <f>LEFT(PasteHashtag!I374,FIND("(",PasteHashtag!I374)-1)*1</f>
        <v>0.726</v>
      </c>
      <c r="L374" s="5">
        <f>PasteHashtag!J374</f>
        <v>0.1</v>
      </c>
      <c r="M374" s="5">
        <f>PasteHashtag!K374</f>
        <v>2.8</v>
      </c>
      <c r="N374" s="5">
        <f>PasteHashtag!L374</f>
        <v>2.7</v>
      </c>
      <c r="O374" s="5">
        <f>PasteHashtag!M374</f>
        <v>0.8</v>
      </c>
      <c r="P374" s="5">
        <f>PasteHashtag!N374</f>
        <v>0.3</v>
      </c>
      <c r="Q374" s="5">
        <f>PasteHashtag!O374</f>
        <v>0.3</v>
      </c>
      <c r="R374" s="5">
        <f>PasteHashtag!P374</f>
        <v>0.4</v>
      </c>
      <c r="S374" s="5">
        <f>Mid(PasteHashtag!H374,FIND("/",PasteHashtag!H374)+1,LEN(PasteHashtag!H374)-FIND("/",PasteHashtag!H374)-1)*1</f>
        <v>2.1</v>
      </c>
      <c r="T374" s="306">
        <f>Mid(PasteHashtag!I374,FIND("/",PasteHashtag!I374)+1,LEN(PasteHashtag!I374)-FIND("/",PasteHashtag!I374)-1)*1</f>
        <v>0.7</v>
      </c>
    </row>
    <row r="375">
      <c r="A375" s="5">
        <v>374.0</v>
      </c>
      <c r="B375" s="5" t="str">
        <f>PasteHashtag!B375</f>
        <v/>
      </c>
      <c r="C375" s="305" t="str">
        <f>PasteHashtag!C375</f>
        <v>Baylor Scheierman</v>
      </c>
      <c r="D375" s="5" t="str">
        <f>PasteHashtag!D375</f>
        <v>SG</v>
      </c>
      <c r="E375" s="5" t="str">
        <f>PasteHashtag!E375</f>
        <v>BOS</v>
      </c>
      <c r="F375" s="5">
        <f>PasteHashtag!F375</f>
        <v>40</v>
      </c>
      <c r="G375" s="5">
        <f>PasteHashtag!G375</f>
        <v>11.1</v>
      </c>
      <c r="H375" s="5">
        <f>MID(PasteHashtag!H375,1+FIND("(",PasteHashtag!H375),FIND("/",PasteHashtag!H375)-FIND("(",PasteHashtag!H375)-1)*1</f>
        <v>1.4</v>
      </c>
      <c r="I375" s="5">
        <f>LEFT(PasteHashtag!H375,FIND("(",PasteHashtag!H375)-1)*1</f>
        <v>0.442</v>
      </c>
      <c r="J375" s="5">
        <f>MID(PasteHashtag!I375,1+FIND("(",PasteHashtag!I375),FIND("/",PasteHashtag!I375)-FIND("(",PasteHashtag!I375)-1)*1</f>
        <v>0.6</v>
      </c>
      <c r="K375" s="5">
        <f>LEFT(PasteHashtag!I375,FIND("(",PasteHashtag!I375)-1)*1</f>
        <v>0.822</v>
      </c>
      <c r="L375" s="5">
        <f>PasteHashtag!J375</f>
        <v>0.7</v>
      </c>
      <c r="M375" s="5">
        <f>PasteHashtag!K375</f>
        <v>4.1</v>
      </c>
      <c r="N375" s="5">
        <f>PasteHashtag!L375</f>
        <v>2</v>
      </c>
      <c r="O375" s="5">
        <f>PasteHashtag!M375</f>
        <v>0.9</v>
      </c>
      <c r="P375" s="5">
        <f>PasteHashtag!N375</f>
        <v>0.2</v>
      </c>
      <c r="Q375" s="5">
        <f>PasteHashtag!O375</f>
        <v>0</v>
      </c>
      <c r="R375" s="5">
        <f>PasteHashtag!P375</f>
        <v>0.5</v>
      </c>
      <c r="S375" s="5">
        <f>Mid(PasteHashtag!H375,FIND("/",PasteHashtag!H375)+1,LEN(PasteHashtag!H375)-FIND("/",PasteHashtag!H375)-1)*1</f>
        <v>3.2</v>
      </c>
      <c r="T375" s="306">
        <f>Mid(PasteHashtag!I375,FIND("/",PasteHashtag!I375)+1,LEN(PasteHashtag!I375)-FIND("/",PasteHashtag!I375)-1)*1</f>
        <v>0.7</v>
      </c>
    </row>
    <row r="376">
      <c r="A376" s="5">
        <v>375.0</v>
      </c>
      <c r="B376" s="5" t="str">
        <f>PasteHashtag!B376</f>
        <v/>
      </c>
      <c r="C376" s="305" t="str">
        <f>PasteHashtag!C376</f>
        <v>AJ Green</v>
      </c>
      <c r="D376" s="5" t="str">
        <f>PasteHashtag!D376</f>
        <v>PG,SG</v>
      </c>
      <c r="E376" s="5" t="str">
        <f>PasteHashtag!E376</f>
        <v>MIL</v>
      </c>
      <c r="F376" s="5">
        <f>PasteHashtag!F376</f>
        <v>58</v>
      </c>
      <c r="G376" s="5">
        <f>PasteHashtag!G376</f>
        <v>10.4</v>
      </c>
      <c r="H376" s="5">
        <f>MID(PasteHashtag!H376,1+FIND("(",PasteHashtag!H376),FIND("/",PasteHashtag!H376)-FIND("(",PasteHashtag!H376)-1)*1</f>
        <v>1.5</v>
      </c>
      <c r="I376" s="5">
        <f>LEFT(PasteHashtag!H376,FIND("(",PasteHashtag!H376)-1)*1</f>
        <v>0.425</v>
      </c>
      <c r="J376" s="5">
        <f>MID(PasteHashtag!I376,1+FIND("(",PasteHashtag!I376),FIND("/",PasteHashtag!I376)-FIND("(",PasteHashtag!I376)-1)*1</f>
        <v>0.2</v>
      </c>
      <c r="K376" s="5">
        <f>LEFT(PasteHashtag!I376,FIND("(",PasteHashtag!I376)-1)*1</f>
        <v>0.92</v>
      </c>
      <c r="L376" s="5">
        <f>PasteHashtag!J376</f>
        <v>1.2</v>
      </c>
      <c r="M376" s="5">
        <f>PasteHashtag!K376</f>
        <v>4.5</v>
      </c>
      <c r="N376" s="5">
        <f>PasteHashtag!L376</f>
        <v>1.2</v>
      </c>
      <c r="O376" s="5">
        <f>PasteHashtag!M376</f>
        <v>0.6</v>
      </c>
      <c r="P376" s="5">
        <f>PasteHashtag!N376</f>
        <v>0.2</v>
      </c>
      <c r="Q376" s="5">
        <f>PasteHashtag!O376</f>
        <v>0</v>
      </c>
      <c r="R376" s="5">
        <f>PasteHashtag!P376</f>
        <v>0.2</v>
      </c>
      <c r="S376" s="5">
        <f>Mid(PasteHashtag!H376,FIND("/",PasteHashtag!H376)+1,LEN(PasteHashtag!H376)-FIND("/",PasteHashtag!H376)-1)*1</f>
        <v>3.5</v>
      </c>
      <c r="T376" s="306">
        <f>Mid(PasteHashtag!I376,FIND("/",PasteHashtag!I376)+1,LEN(PasteHashtag!I376)-FIND("/",PasteHashtag!I376)-1)*1</f>
        <v>0.3</v>
      </c>
    </row>
    <row r="377">
      <c r="A377" s="5">
        <v>376.0</v>
      </c>
      <c r="B377" s="5" t="str">
        <f>PasteHashtag!B377</f>
        <v/>
      </c>
      <c r="C377" s="305" t="str">
        <f>PasteHashtag!C377</f>
        <v>Isaiah Collier</v>
      </c>
      <c r="D377" s="5" t="str">
        <f>PasteHashtag!D377</f>
        <v>PG</v>
      </c>
      <c r="E377" s="5" t="str">
        <f>PasteHashtag!E377</f>
        <v>UTA</v>
      </c>
      <c r="F377" s="5">
        <f>PasteHashtag!F377</f>
        <v>50</v>
      </c>
      <c r="G377" s="5">
        <f>PasteHashtag!G377</f>
        <v>15.5</v>
      </c>
      <c r="H377" s="5">
        <f>MID(PasteHashtag!H377,1+FIND("(",PasteHashtag!H377),FIND("/",PasteHashtag!H377)-FIND("(",PasteHashtag!H377)-1)*1</f>
        <v>2.2</v>
      </c>
      <c r="I377" s="5">
        <f>LEFT(PasteHashtag!H377,FIND("(",PasteHashtag!H377)-1)*1</f>
        <v>0.491</v>
      </c>
      <c r="J377" s="5">
        <f>MID(PasteHashtag!I377,1+FIND("(",PasteHashtag!I377),FIND("/",PasteHashtag!I377)-FIND("(",PasteHashtag!I377)-1)*1</f>
        <v>1.5</v>
      </c>
      <c r="K377" s="5">
        <f>LEFT(PasteHashtag!I377,FIND("(",PasteHashtag!I377)-1)*1</f>
        <v>0.671</v>
      </c>
      <c r="L377" s="5">
        <f>PasteHashtag!J377</f>
        <v>0.4</v>
      </c>
      <c r="M377" s="5">
        <f>PasteHashtag!K377</f>
        <v>6.3</v>
      </c>
      <c r="N377" s="5">
        <f>PasteHashtag!L377</f>
        <v>1.1</v>
      </c>
      <c r="O377" s="5">
        <f>PasteHashtag!M377</f>
        <v>1.7</v>
      </c>
      <c r="P377" s="5">
        <f>PasteHashtag!N377</f>
        <v>0.6</v>
      </c>
      <c r="Q377" s="5">
        <f>PasteHashtag!O377</f>
        <v>0.1</v>
      </c>
      <c r="R377" s="5">
        <f>PasteHashtag!P377</f>
        <v>1.3</v>
      </c>
      <c r="S377" s="5">
        <f>Mid(PasteHashtag!H377,FIND("/",PasteHashtag!H377)+1,LEN(PasteHashtag!H377)-FIND("/",PasteHashtag!H377)-1)*1</f>
        <v>4.5</v>
      </c>
      <c r="T377" s="306">
        <f>Mid(PasteHashtag!I377,FIND("/",PasteHashtag!I377)+1,LEN(PasteHashtag!I377)-FIND("/",PasteHashtag!I377)-1)*1</f>
        <v>2.3</v>
      </c>
    </row>
    <row r="378">
      <c r="A378" s="5">
        <v>377.0</v>
      </c>
      <c r="B378" s="5" t="str">
        <f>PasteHashtag!B378</f>
        <v/>
      </c>
      <c r="C378" s="305" t="str">
        <f>PasteHashtag!C378</f>
        <v>Cory Joseph</v>
      </c>
      <c r="D378" s="5" t="str">
        <f>PasteHashtag!D378</f>
        <v>PG</v>
      </c>
      <c r="E378" s="5" t="str">
        <f>PasteHashtag!E378</f>
        <v>ORL</v>
      </c>
      <c r="F378" s="5">
        <f>PasteHashtag!F378</f>
        <v>20</v>
      </c>
      <c r="G378" s="5">
        <f>PasteHashtag!G378</f>
        <v>11.1</v>
      </c>
      <c r="H378" s="5">
        <f>MID(PasteHashtag!H378,1+FIND("(",PasteHashtag!H378),FIND("/",PasteHashtag!H378)-FIND("(",PasteHashtag!H378)-1)*1</f>
        <v>1.3</v>
      </c>
      <c r="I378" s="5">
        <f>LEFT(PasteHashtag!H378,FIND("(",PasteHashtag!H378)-1)*1</f>
        <v>0.416</v>
      </c>
      <c r="J378" s="5">
        <f>MID(PasteHashtag!I378,1+FIND("(",PasteHashtag!I378),FIND("/",PasteHashtag!I378)-FIND("(",PasteHashtag!I378)-1)*1</f>
        <v>0.5</v>
      </c>
      <c r="K378" s="5">
        <f>LEFT(PasteHashtag!I378,FIND("(",PasteHashtag!I378)-1)*1</f>
        <v>0.776</v>
      </c>
      <c r="L378" s="5">
        <f>PasteHashtag!J378</f>
        <v>0.6</v>
      </c>
      <c r="M378" s="5">
        <f>PasteHashtag!K378</f>
        <v>3.6</v>
      </c>
      <c r="N378" s="5">
        <f>PasteHashtag!L378</f>
        <v>1</v>
      </c>
      <c r="O378" s="5">
        <f>PasteHashtag!M378</f>
        <v>1.9</v>
      </c>
      <c r="P378" s="5">
        <f>PasteHashtag!N378</f>
        <v>0.3</v>
      </c>
      <c r="Q378" s="5">
        <f>PasteHashtag!O378</f>
        <v>0.1</v>
      </c>
      <c r="R378" s="5">
        <f>PasteHashtag!P378</f>
        <v>0.5</v>
      </c>
      <c r="S378" s="5">
        <f>Mid(PasteHashtag!H378,FIND("/",PasteHashtag!H378)+1,LEN(PasteHashtag!H378)-FIND("/",PasteHashtag!H378)-1)*1</f>
        <v>3.1</v>
      </c>
      <c r="T378" s="306">
        <f>Mid(PasteHashtag!I378,FIND("/",PasteHashtag!I378)+1,LEN(PasteHashtag!I378)-FIND("/",PasteHashtag!I378)-1)*1</f>
        <v>0.6</v>
      </c>
    </row>
    <row r="379">
      <c r="A379" s="5">
        <v>378.0</v>
      </c>
      <c r="B379" s="5" t="str">
        <f>PasteHashtag!B379</f>
        <v/>
      </c>
      <c r="C379" s="305" t="str">
        <f>PasteHashtag!C379</f>
        <v>DeAndre Jordan</v>
      </c>
      <c r="D379" s="5" t="str">
        <f>PasteHashtag!D379</f>
        <v>C</v>
      </c>
      <c r="E379" s="5" t="str">
        <f>PasteHashtag!E379</f>
        <v>DEN</v>
      </c>
      <c r="F379" s="5">
        <f>PasteHashtag!F379</f>
        <v>30</v>
      </c>
      <c r="G379" s="5">
        <f>PasteHashtag!G379</f>
        <v>10</v>
      </c>
      <c r="H379" s="5">
        <f>MID(PasteHashtag!H379,1+FIND("(",PasteHashtag!H379),FIND("/",PasteHashtag!H379)-FIND("(",PasteHashtag!H379)-1)*1</f>
        <v>1.5</v>
      </c>
      <c r="I379" s="5">
        <f>LEFT(PasteHashtag!H379,FIND("(",PasteHashtag!H379)-1)*1</f>
        <v>0.701</v>
      </c>
      <c r="J379" s="5">
        <f>MID(PasteHashtag!I379,1+FIND("(",PasteHashtag!I379),FIND("/",PasteHashtag!I379)-FIND("(",PasteHashtag!I379)-1)*1</f>
        <v>0.5</v>
      </c>
      <c r="K379" s="5">
        <f>LEFT(PasteHashtag!I379,FIND("(",PasteHashtag!I379)-1)*1</f>
        <v>0.471</v>
      </c>
      <c r="L379" s="5">
        <f>PasteHashtag!J379</f>
        <v>0</v>
      </c>
      <c r="M379" s="5">
        <f>PasteHashtag!K379</f>
        <v>3.5</v>
      </c>
      <c r="N379" s="5">
        <f>PasteHashtag!L379</f>
        <v>3.7</v>
      </c>
      <c r="O379" s="5">
        <f>PasteHashtag!M379</f>
        <v>0.6</v>
      </c>
      <c r="P379" s="5">
        <f>PasteHashtag!N379</f>
        <v>0.2</v>
      </c>
      <c r="Q379" s="5">
        <f>PasteHashtag!O379</f>
        <v>0.4</v>
      </c>
      <c r="R379" s="5">
        <f>PasteHashtag!P379</f>
        <v>0.7</v>
      </c>
      <c r="S379" s="5">
        <f>Mid(PasteHashtag!H379,FIND("/",PasteHashtag!H379)+1,LEN(PasteHashtag!H379)-FIND("/",PasteHashtag!H379)-1)*1</f>
        <v>2.1</v>
      </c>
      <c r="T379" s="306">
        <f>Mid(PasteHashtag!I379,FIND("/",PasteHashtag!I379)+1,LEN(PasteHashtag!I379)-FIND("/",PasteHashtag!I379)-1)*1</f>
        <v>1</v>
      </c>
    </row>
    <row r="380">
      <c r="A380" s="5">
        <v>379.0</v>
      </c>
      <c r="B380" s="5" t="str">
        <f>PasteHashtag!B380</f>
        <v/>
      </c>
      <c r="C380" s="305" t="str">
        <f>PasteHashtag!C380</f>
        <v>Pelle Larsson</v>
      </c>
      <c r="D380" s="5" t="str">
        <f>PasteHashtag!D380</f>
        <v>SG</v>
      </c>
      <c r="E380" s="5" t="str">
        <f>PasteHashtag!E380</f>
        <v>MIA</v>
      </c>
      <c r="F380" s="5">
        <f>PasteHashtag!F380</f>
        <v>40</v>
      </c>
      <c r="G380" s="5">
        <f>PasteHashtag!G380</f>
        <v>12.4</v>
      </c>
      <c r="H380" s="5">
        <f>MID(PasteHashtag!H380,1+FIND("(",PasteHashtag!H380),FIND("/",PasteHashtag!H380)-FIND("(",PasteHashtag!H380)-1)*1</f>
        <v>1.4</v>
      </c>
      <c r="I380" s="5">
        <f>LEFT(PasteHashtag!H380,FIND("(",PasteHashtag!H380)-1)*1</f>
        <v>0.519</v>
      </c>
      <c r="J380" s="5">
        <f>MID(PasteHashtag!I380,1+FIND("(",PasteHashtag!I380),FIND("/",PasteHashtag!I380)-FIND("(",PasteHashtag!I380)-1)*1</f>
        <v>0.8</v>
      </c>
      <c r="K380" s="5">
        <f>LEFT(PasteHashtag!I380,FIND("(",PasteHashtag!I380)-1)*1</f>
        <v>0.75</v>
      </c>
      <c r="L380" s="5">
        <f>PasteHashtag!J380</f>
        <v>0.4</v>
      </c>
      <c r="M380" s="5">
        <f>PasteHashtag!K380</f>
        <v>4</v>
      </c>
      <c r="N380" s="5">
        <f>PasteHashtag!L380</f>
        <v>1.3</v>
      </c>
      <c r="O380" s="5">
        <f>PasteHashtag!M380</f>
        <v>1.2</v>
      </c>
      <c r="P380" s="5">
        <f>PasteHashtag!N380</f>
        <v>0.3</v>
      </c>
      <c r="Q380" s="5">
        <f>PasteHashtag!O380</f>
        <v>0.1</v>
      </c>
      <c r="R380" s="5">
        <f>PasteHashtag!P380</f>
        <v>0.6</v>
      </c>
      <c r="S380" s="5">
        <f>Mid(PasteHashtag!H380,FIND("/",PasteHashtag!H380)+1,LEN(PasteHashtag!H380)-FIND("/",PasteHashtag!H380)-1)*1</f>
        <v>2.7</v>
      </c>
      <c r="T380" s="306">
        <f>Mid(PasteHashtag!I380,FIND("/",PasteHashtag!I380)+1,LEN(PasteHashtag!I380)-FIND("/",PasteHashtag!I380)-1)*1</f>
        <v>1</v>
      </c>
    </row>
    <row r="381">
      <c r="A381" s="5">
        <v>380.0</v>
      </c>
      <c r="B381" s="5" t="str">
        <f>PasteHashtag!B381</f>
        <v/>
      </c>
      <c r="C381" s="305" t="str">
        <f>PasteHashtag!C381</f>
        <v>Keita Bates-Diop</v>
      </c>
      <c r="D381" s="5" t="str">
        <f>PasteHashtag!D381</f>
        <v>SF,PF</v>
      </c>
      <c r="E381" s="5" t="str">
        <f>PasteHashtag!E381</f>
        <v>NY</v>
      </c>
      <c r="F381" s="5">
        <f>PasteHashtag!F381</f>
        <v>20</v>
      </c>
      <c r="G381" s="5">
        <f>PasteHashtag!G381</f>
        <v>8.8</v>
      </c>
      <c r="H381" s="5">
        <f>MID(PasteHashtag!H381,1+FIND("(",PasteHashtag!H381),FIND("/",PasteHashtag!H381)-FIND("(",PasteHashtag!H381)-1)*1</f>
        <v>1.3</v>
      </c>
      <c r="I381" s="5">
        <f>LEFT(PasteHashtag!H381,FIND("(",PasteHashtag!H381)-1)*1</f>
        <v>0.487</v>
      </c>
      <c r="J381" s="5">
        <f>MID(PasteHashtag!I381,1+FIND("(",PasteHashtag!I381),FIND("/",PasteHashtag!I381)-FIND("(",PasteHashtag!I381)-1)*1</f>
        <v>0.6</v>
      </c>
      <c r="K381" s="5">
        <f>LEFT(PasteHashtag!I381,FIND("(",PasteHashtag!I381)-1)*1</f>
        <v>0.778</v>
      </c>
      <c r="L381" s="5">
        <f>PasteHashtag!J381</f>
        <v>0.3</v>
      </c>
      <c r="M381" s="5">
        <f>PasteHashtag!K381</f>
        <v>3.5</v>
      </c>
      <c r="N381" s="5">
        <f>PasteHashtag!L381</f>
        <v>1.5</v>
      </c>
      <c r="O381" s="5">
        <f>PasteHashtag!M381</f>
        <v>0.6</v>
      </c>
      <c r="P381" s="5">
        <f>PasteHashtag!N381</f>
        <v>0.3</v>
      </c>
      <c r="Q381" s="5">
        <f>PasteHashtag!O381</f>
        <v>0.2</v>
      </c>
      <c r="R381" s="5">
        <f>PasteHashtag!P381</f>
        <v>0.3</v>
      </c>
      <c r="S381" s="5">
        <f>Mid(PasteHashtag!H381,FIND("/",PasteHashtag!H381)+1,LEN(PasteHashtag!H381)-FIND("/",PasteHashtag!H381)-1)*1</f>
        <v>2.7</v>
      </c>
      <c r="T381" s="306">
        <f>Mid(PasteHashtag!I381,FIND("/",PasteHashtag!I381)+1,LEN(PasteHashtag!I381)-FIND("/",PasteHashtag!I381)-1)*1</f>
        <v>0.8</v>
      </c>
    </row>
    <row r="382">
      <c r="A382" s="5">
        <v>381.0</v>
      </c>
      <c r="B382" s="5" t="str">
        <f>PasteHashtag!B382</f>
        <v/>
      </c>
      <c r="C382" s="305" t="str">
        <f>PasteHashtag!C382</f>
        <v>Johnny Juzang</v>
      </c>
      <c r="D382" s="5" t="str">
        <f>PasteHashtag!D382</f>
        <v>SG,SF</v>
      </c>
      <c r="E382" s="5" t="str">
        <f>PasteHashtag!E382</f>
        <v>UTA</v>
      </c>
      <c r="F382" s="5">
        <f>PasteHashtag!F382</f>
        <v>30</v>
      </c>
      <c r="G382" s="5">
        <f>PasteHashtag!G382</f>
        <v>14.9</v>
      </c>
      <c r="H382" s="5">
        <f>MID(PasteHashtag!H382,1+FIND("(",PasteHashtag!H382),FIND("/",PasteHashtag!H382)-FIND("(",PasteHashtag!H382)-1)*1</f>
        <v>2.1</v>
      </c>
      <c r="I382" s="5">
        <f>LEFT(PasteHashtag!H382,FIND("(",PasteHashtag!H382)-1)*1</f>
        <v>0.402</v>
      </c>
      <c r="J382" s="5">
        <f>MID(PasteHashtag!I382,1+FIND("(",PasteHashtag!I382),FIND("/",PasteHashtag!I382)-FIND("(",PasteHashtag!I382)-1)*1</f>
        <v>0.3</v>
      </c>
      <c r="K382" s="5">
        <f>LEFT(PasteHashtag!I382,FIND("(",PasteHashtag!I382)-1)*1</f>
        <v>0.667</v>
      </c>
      <c r="L382" s="5">
        <f>PasteHashtag!J382</f>
        <v>1.2</v>
      </c>
      <c r="M382" s="5">
        <f>PasteHashtag!K382</f>
        <v>5.8</v>
      </c>
      <c r="N382" s="5">
        <f>PasteHashtag!L382</f>
        <v>1.9</v>
      </c>
      <c r="O382" s="5">
        <f>PasteHashtag!M382</f>
        <v>0.8</v>
      </c>
      <c r="P382" s="5">
        <f>PasteHashtag!N382</f>
        <v>0.2</v>
      </c>
      <c r="Q382" s="5">
        <f>PasteHashtag!O382</f>
        <v>0.1</v>
      </c>
      <c r="R382" s="5">
        <f>PasteHashtag!P382</f>
        <v>0.4</v>
      </c>
      <c r="S382" s="5">
        <f>Mid(PasteHashtag!H382,FIND("/",PasteHashtag!H382)+1,LEN(PasteHashtag!H382)-FIND("/",PasteHashtag!H382)-1)*1</f>
        <v>5.3</v>
      </c>
      <c r="T382" s="306">
        <f>Mid(PasteHashtag!I382,FIND("/",PasteHashtag!I382)+1,LEN(PasteHashtag!I382)-FIND("/",PasteHashtag!I382)-1)*1</f>
        <v>0.5</v>
      </c>
    </row>
    <row r="383">
      <c r="A383" s="5">
        <v>382.0</v>
      </c>
      <c r="B383" s="5" t="str">
        <f>PasteHashtag!B383</f>
        <v/>
      </c>
      <c r="C383" s="305" t="str">
        <f>PasteHashtag!C383</f>
        <v>Nick Smith Jr.</v>
      </c>
      <c r="D383" s="5" t="str">
        <f>PasteHashtag!D383</f>
        <v>PG,SG</v>
      </c>
      <c r="E383" s="5" t="str">
        <f>PasteHashtag!E383</f>
        <v>CHA</v>
      </c>
      <c r="F383" s="5">
        <f>PasteHashtag!F383</f>
        <v>30</v>
      </c>
      <c r="G383" s="5">
        <f>PasteHashtag!G383</f>
        <v>13.1</v>
      </c>
      <c r="H383" s="5">
        <f>MID(PasteHashtag!H383,1+FIND("(",PasteHashtag!H383),FIND("/",PasteHashtag!H383)-FIND("(",PasteHashtag!H383)-1)*1</f>
        <v>2.1</v>
      </c>
      <c r="I383" s="5">
        <f>LEFT(PasteHashtag!H383,FIND("(",PasteHashtag!H383)-1)*1</f>
        <v>0.39</v>
      </c>
      <c r="J383" s="5">
        <f>MID(PasteHashtag!I383,1+FIND("(",PasteHashtag!I383),FIND("/",PasteHashtag!I383)-FIND("(",PasteHashtag!I383)-1)*1</f>
        <v>0.2</v>
      </c>
      <c r="K383" s="5">
        <f>LEFT(PasteHashtag!I383,FIND("(",PasteHashtag!I383)-1)*1</f>
        <v>0.889</v>
      </c>
      <c r="L383" s="5">
        <f>PasteHashtag!J383</f>
        <v>1.1</v>
      </c>
      <c r="M383" s="5">
        <f>PasteHashtag!K383</f>
        <v>5.5</v>
      </c>
      <c r="N383" s="5">
        <f>PasteHashtag!L383</f>
        <v>1.3</v>
      </c>
      <c r="O383" s="5">
        <f>PasteHashtag!M383</f>
        <v>1.1</v>
      </c>
      <c r="P383" s="5">
        <f>PasteHashtag!N383</f>
        <v>0.2</v>
      </c>
      <c r="Q383" s="5">
        <f>PasteHashtag!O383</f>
        <v>0.1</v>
      </c>
      <c r="R383" s="5">
        <f>PasteHashtag!P383</f>
        <v>0.7</v>
      </c>
      <c r="S383" s="5">
        <f>Mid(PasteHashtag!H383,FIND("/",PasteHashtag!H383)+1,LEN(PasteHashtag!H383)-FIND("/",PasteHashtag!H383)-1)*1</f>
        <v>5.3</v>
      </c>
      <c r="T383" s="306">
        <f>Mid(PasteHashtag!I383,FIND("/",PasteHashtag!I383)+1,LEN(PasteHashtag!I383)-FIND("/",PasteHashtag!I383)-1)*1</f>
        <v>0.3</v>
      </c>
    </row>
    <row r="384">
      <c r="A384" s="5">
        <v>383.0</v>
      </c>
      <c r="B384" s="5" t="str">
        <f>PasteHashtag!B384</f>
        <v/>
      </c>
      <c r="C384" s="305" t="str">
        <f>PasteHashtag!C384</f>
        <v>Vlatko Cancar</v>
      </c>
      <c r="D384" s="5" t="str">
        <f>PasteHashtag!D384</f>
        <v>PF</v>
      </c>
      <c r="E384" s="5" t="str">
        <f>PasteHashtag!E384</f>
        <v>DEN</v>
      </c>
      <c r="F384" s="5">
        <f>PasteHashtag!F384</f>
        <v>40</v>
      </c>
      <c r="G384" s="5">
        <f>PasteHashtag!G384</f>
        <v>8.8</v>
      </c>
      <c r="H384" s="5">
        <f>MID(PasteHashtag!H384,1+FIND("(",PasteHashtag!H384),FIND("/",PasteHashtag!H384)-FIND("(",PasteHashtag!H384)-1)*1</f>
        <v>1.1</v>
      </c>
      <c r="I384" s="5">
        <f>LEFT(PasteHashtag!H384,FIND("(",PasteHashtag!H384)-1)*1</f>
        <v>0.476</v>
      </c>
      <c r="J384" s="5">
        <f>MID(PasteHashtag!I384,1+FIND("(",PasteHashtag!I384),FIND("/",PasteHashtag!I384)-FIND("(",PasteHashtag!I384)-1)*1</f>
        <v>0.4</v>
      </c>
      <c r="K384" s="5">
        <f>LEFT(PasteHashtag!I384,FIND("(",PasteHashtag!I384)-1)*1</f>
        <v>0.927</v>
      </c>
      <c r="L384" s="5">
        <f>PasteHashtag!J384</f>
        <v>0.4</v>
      </c>
      <c r="M384" s="5">
        <f>PasteHashtag!K384</f>
        <v>3</v>
      </c>
      <c r="N384" s="5">
        <f>PasteHashtag!L384</f>
        <v>1.3</v>
      </c>
      <c r="O384" s="5">
        <f>PasteHashtag!M384</f>
        <v>0.8</v>
      </c>
      <c r="P384" s="5">
        <f>PasteHashtag!N384</f>
        <v>0.2</v>
      </c>
      <c r="Q384" s="5">
        <f>PasteHashtag!O384</f>
        <v>0.1</v>
      </c>
      <c r="R384" s="5">
        <f>PasteHashtag!P384</f>
        <v>0.4</v>
      </c>
      <c r="S384" s="5">
        <f>Mid(PasteHashtag!H384,FIND("/",PasteHashtag!H384)+1,LEN(PasteHashtag!H384)-FIND("/",PasteHashtag!H384)-1)*1</f>
        <v>2.3</v>
      </c>
      <c r="T384" s="306">
        <f>Mid(PasteHashtag!I384,FIND("/",PasteHashtag!I384)+1,LEN(PasteHashtag!I384)-FIND("/",PasteHashtag!I384)-1)*1</f>
        <v>0.4</v>
      </c>
    </row>
    <row r="385">
      <c r="A385" s="5">
        <v>384.0</v>
      </c>
      <c r="B385" s="5" t="str">
        <f>PasteHashtag!B385</f>
        <v/>
      </c>
      <c r="C385" s="305" t="str">
        <f>PasteHashtag!C385</f>
        <v>KJ Simpson</v>
      </c>
      <c r="D385" s="5" t="str">
        <f>PasteHashtag!D385</f>
        <v>PG</v>
      </c>
      <c r="E385" s="5" t="str">
        <f>PasteHashtag!E385</f>
        <v>CHA</v>
      </c>
      <c r="F385" s="5">
        <f>PasteHashtag!F385</f>
        <v>30</v>
      </c>
      <c r="G385" s="5">
        <f>PasteHashtag!G385</f>
        <v>8.4</v>
      </c>
      <c r="H385" s="5">
        <f>MID(PasteHashtag!H385,1+FIND("(",PasteHashtag!H385),FIND("/",PasteHashtag!H385)-FIND("(",PasteHashtag!H385)-1)*1</f>
        <v>1.2</v>
      </c>
      <c r="I385" s="5">
        <f>LEFT(PasteHashtag!H385,FIND("(",PasteHashtag!H385)-1)*1</f>
        <v>0.476</v>
      </c>
      <c r="J385" s="5">
        <f>MID(PasteHashtag!I385,1+FIND("(",PasteHashtag!I385),FIND("/",PasteHashtag!I385)-FIND("(",PasteHashtag!I385)-1)*1</f>
        <v>0.8</v>
      </c>
      <c r="K385" s="5">
        <f>LEFT(PasteHashtag!I385,FIND("(",PasteHashtag!I385)-1)*1</f>
        <v>0.878</v>
      </c>
      <c r="L385" s="5">
        <f>PasteHashtag!J385</f>
        <v>0.4</v>
      </c>
      <c r="M385" s="5">
        <f>PasteHashtag!K385</f>
        <v>3.5</v>
      </c>
      <c r="N385" s="5">
        <f>PasteHashtag!L385</f>
        <v>1</v>
      </c>
      <c r="O385" s="5">
        <f>PasteHashtag!M385</f>
        <v>0.9</v>
      </c>
      <c r="P385" s="5">
        <f>PasteHashtag!N385</f>
        <v>0.3</v>
      </c>
      <c r="Q385" s="5">
        <f>PasteHashtag!O385</f>
        <v>0</v>
      </c>
      <c r="R385" s="5">
        <f>PasteHashtag!P385</f>
        <v>0.4</v>
      </c>
      <c r="S385" s="5">
        <f>Mid(PasteHashtag!H385,FIND("/",PasteHashtag!H385)+1,LEN(PasteHashtag!H385)-FIND("/",PasteHashtag!H385)-1)*1</f>
        <v>2.5</v>
      </c>
      <c r="T385" s="306">
        <f>Mid(PasteHashtag!I385,FIND("/",PasteHashtag!I385)+1,LEN(PasteHashtag!I385)-FIND("/",PasteHashtag!I385)-1)*1</f>
        <v>0.9</v>
      </c>
    </row>
    <row r="386">
      <c r="A386" s="5">
        <v>385.0</v>
      </c>
      <c r="B386" s="5" t="str">
        <f>PasteHashtag!B386</f>
        <v/>
      </c>
      <c r="C386" s="305" t="str">
        <f>PasteHashtag!C386</f>
        <v>DaRon Holmes II</v>
      </c>
      <c r="D386" s="5" t="str">
        <f>PasteHashtag!D386</f>
        <v>PF</v>
      </c>
      <c r="E386" s="5" t="str">
        <f>PasteHashtag!E386</f>
        <v>DEN</v>
      </c>
      <c r="F386" s="5">
        <f>PasteHashtag!F386</f>
        <v>10</v>
      </c>
      <c r="G386" s="5">
        <f>PasteHashtag!G386</f>
        <v>8.8</v>
      </c>
      <c r="H386" s="5">
        <f>MID(PasteHashtag!H386,1+FIND("(",PasteHashtag!H386),FIND("/",PasteHashtag!H386)-FIND("(",PasteHashtag!H386)-1)*1</f>
        <v>1.3</v>
      </c>
      <c r="I386" s="5">
        <f>LEFT(PasteHashtag!H386,FIND("(",PasteHashtag!H386)-1)*1</f>
        <v>0.545</v>
      </c>
      <c r="J386" s="5">
        <f>MID(PasteHashtag!I386,1+FIND("(",PasteHashtag!I386),FIND("/",PasteHashtag!I386)-FIND("(",PasteHashtag!I386)-1)*1</f>
        <v>1.3</v>
      </c>
      <c r="K386" s="5">
        <f>LEFT(PasteHashtag!I386,FIND("(",PasteHashtag!I386)-1)*1</f>
        <v>0.713</v>
      </c>
      <c r="L386" s="5">
        <f>PasteHashtag!J386</f>
        <v>0.2</v>
      </c>
      <c r="M386" s="5">
        <f>PasteHashtag!K386</f>
        <v>4.2</v>
      </c>
      <c r="N386" s="5">
        <f>PasteHashtag!L386</f>
        <v>1.7</v>
      </c>
      <c r="O386" s="5">
        <f>PasteHashtag!M386</f>
        <v>0.5</v>
      </c>
      <c r="P386" s="5">
        <f>PasteHashtag!N386</f>
        <v>0.2</v>
      </c>
      <c r="Q386" s="5">
        <f>PasteHashtag!O386</f>
        <v>0.4</v>
      </c>
      <c r="R386" s="5">
        <f>PasteHashtag!P386</f>
        <v>0.5</v>
      </c>
      <c r="S386" s="5">
        <f>Mid(PasteHashtag!H386,FIND("/",PasteHashtag!H386)+1,LEN(PasteHashtag!H386)-FIND("/",PasteHashtag!H386)-1)*1</f>
        <v>2.5</v>
      </c>
      <c r="T386" s="306">
        <f>Mid(PasteHashtag!I386,FIND("/",PasteHashtag!I386)+1,LEN(PasteHashtag!I386)-FIND("/",PasteHashtag!I386)-1)*1</f>
        <v>1.8</v>
      </c>
    </row>
    <row r="387">
      <c r="A387" s="5">
        <v>386.0</v>
      </c>
      <c r="B387" s="5" t="str">
        <f>PasteHashtag!B387</f>
        <v/>
      </c>
      <c r="C387" s="305" t="str">
        <f>PasteHashtag!C387</f>
        <v>Jeff Green</v>
      </c>
      <c r="D387" s="5" t="str">
        <f>PasteHashtag!D387</f>
        <v>PF,C</v>
      </c>
      <c r="E387" s="5" t="str">
        <f>PasteHashtag!E387</f>
        <v>HOU</v>
      </c>
      <c r="F387" s="5">
        <f>PasteHashtag!F387</f>
        <v>30</v>
      </c>
      <c r="G387" s="5">
        <f>PasteHashtag!G387</f>
        <v>11.4</v>
      </c>
      <c r="H387" s="5">
        <f>MID(PasteHashtag!H387,1+FIND("(",PasteHashtag!H387),FIND("/",PasteHashtag!H387)-FIND("(",PasteHashtag!H387)-1)*1</f>
        <v>1.6</v>
      </c>
      <c r="I387" s="5">
        <f>LEFT(PasteHashtag!H387,FIND("(",PasteHashtag!H387)-1)*1</f>
        <v>0.471</v>
      </c>
      <c r="J387" s="5">
        <f>MID(PasteHashtag!I387,1+FIND("(",PasteHashtag!I387),FIND("/",PasteHashtag!I387)-FIND("(",PasteHashtag!I387)-1)*1</f>
        <v>1</v>
      </c>
      <c r="K387" s="5">
        <f>LEFT(PasteHashtag!I387,FIND("(",PasteHashtag!I387)-1)*1</f>
        <v>0.781</v>
      </c>
      <c r="L387" s="5">
        <f>PasteHashtag!J387</f>
        <v>0.4</v>
      </c>
      <c r="M387" s="5">
        <f>PasteHashtag!K387</f>
        <v>4.5</v>
      </c>
      <c r="N387" s="5">
        <f>PasteHashtag!L387</f>
        <v>1.5</v>
      </c>
      <c r="O387" s="5">
        <f>PasteHashtag!M387</f>
        <v>0.7</v>
      </c>
      <c r="P387" s="5">
        <f>PasteHashtag!N387</f>
        <v>0.2</v>
      </c>
      <c r="Q387" s="5">
        <f>PasteHashtag!O387</f>
        <v>0.2</v>
      </c>
      <c r="R387" s="5">
        <f>PasteHashtag!P387</f>
        <v>0.4</v>
      </c>
      <c r="S387" s="5">
        <f>Mid(PasteHashtag!H387,FIND("/",PasteHashtag!H387)+1,LEN(PasteHashtag!H387)-FIND("/",PasteHashtag!H387)-1)*1</f>
        <v>3.3</v>
      </c>
      <c r="T387" s="306">
        <f>Mid(PasteHashtag!I387,FIND("/",PasteHashtag!I387)+1,LEN(PasteHashtag!I387)-FIND("/",PasteHashtag!I387)-1)*1</f>
        <v>1.3</v>
      </c>
    </row>
    <row r="388">
      <c r="A388" s="5">
        <v>387.0</v>
      </c>
      <c r="B388" s="5" t="str">
        <f>PasteHashtag!B388</f>
        <v/>
      </c>
      <c r="C388" s="305" t="str">
        <f>PasteHashtag!C388</f>
        <v>Caleb Houstan</v>
      </c>
      <c r="D388" s="5" t="str">
        <f>PasteHashtag!D388</f>
        <v>SG,SF</v>
      </c>
      <c r="E388" s="5" t="str">
        <f>PasteHashtag!E388</f>
        <v>ORL</v>
      </c>
      <c r="F388" s="5">
        <f>PasteHashtag!F388</f>
        <v>40</v>
      </c>
      <c r="G388" s="5">
        <f>PasteHashtag!G388</f>
        <v>14.4</v>
      </c>
      <c r="H388" s="5">
        <f>MID(PasteHashtag!H388,1+FIND("(",PasteHashtag!H388),FIND("/",PasteHashtag!H388)-FIND("(",PasteHashtag!H388)-1)*1</f>
        <v>1.3</v>
      </c>
      <c r="I388" s="5">
        <f>LEFT(PasteHashtag!H388,FIND("(",PasteHashtag!H388)-1)*1</f>
        <v>0.375</v>
      </c>
      <c r="J388" s="5">
        <f>MID(PasteHashtag!I388,1+FIND("(",PasteHashtag!I388),FIND("/",PasteHashtag!I388)-FIND("(",PasteHashtag!I388)-1)*1</f>
        <v>0.3</v>
      </c>
      <c r="K388" s="5">
        <f>LEFT(PasteHashtag!I388,FIND("(",PasteHashtag!I388)-1)*1</f>
        <v>0.821</v>
      </c>
      <c r="L388" s="5">
        <f>PasteHashtag!J388</f>
        <v>1.1</v>
      </c>
      <c r="M388" s="5">
        <f>PasteHashtag!K388</f>
        <v>4</v>
      </c>
      <c r="N388" s="5">
        <f>PasteHashtag!L388</f>
        <v>1.6</v>
      </c>
      <c r="O388" s="5">
        <f>PasteHashtag!M388</f>
        <v>0.5</v>
      </c>
      <c r="P388" s="5">
        <f>PasteHashtag!N388</f>
        <v>0.2</v>
      </c>
      <c r="Q388" s="5">
        <f>PasteHashtag!O388</f>
        <v>0.1</v>
      </c>
      <c r="R388" s="5">
        <f>PasteHashtag!P388</f>
        <v>0.3</v>
      </c>
      <c r="S388" s="5">
        <f>Mid(PasteHashtag!H388,FIND("/",PasteHashtag!H388)+1,LEN(PasteHashtag!H388)-FIND("/",PasteHashtag!H388)-1)*1</f>
        <v>3.5</v>
      </c>
      <c r="T388" s="306">
        <f>Mid(PasteHashtag!I388,FIND("/",PasteHashtag!I388)+1,LEN(PasteHashtag!I388)-FIND("/",PasteHashtag!I388)-1)*1</f>
        <v>0.4</v>
      </c>
    </row>
    <row r="389">
      <c r="A389" s="5">
        <v>388.0</v>
      </c>
      <c r="B389" s="5" t="str">
        <f>PasteHashtag!B389</f>
        <v/>
      </c>
      <c r="C389" s="305" t="str">
        <f>PasteHashtag!C389</f>
        <v>Nassir Little</v>
      </c>
      <c r="D389" s="5" t="str">
        <f>PasteHashtag!D389</f>
        <v>SF,PF</v>
      </c>
      <c r="E389" s="5" t="str">
        <f>PasteHashtag!E389</f>
        <v>MIA</v>
      </c>
      <c r="F389" s="5">
        <f>PasteHashtag!F389</f>
        <v>55</v>
      </c>
      <c r="G389" s="5">
        <f>PasteHashtag!G389</f>
        <v>10.2</v>
      </c>
      <c r="H389" s="5">
        <f>MID(PasteHashtag!H389,1+FIND("(",PasteHashtag!H389),FIND("/",PasteHashtag!H389)-FIND("(",PasteHashtag!H389)-1)*1</f>
        <v>1.4</v>
      </c>
      <c r="I389" s="5">
        <f>LEFT(PasteHashtag!H389,FIND("(",PasteHashtag!H389)-1)*1</f>
        <v>0.446</v>
      </c>
      <c r="J389" s="5">
        <f>MID(PasteHashtag!I389,1+FIND("(",PasteHashtag!I389),FIND("/",PasteHashtag!I389)-FIND("(",PasteHashtag!I389)-1)*1</f>
        <v>0.4</v>
      </c>
      <c r="K389" s="5">
        <f>LEFT(PasteHashtag!I389,FIND("(",PasteHashtag!I389)-1)*1</f>
        <v>0.766</v>
      </c>
      <c r="L389" s="5">
        <f>PasteHashtag!J389</f>
        <v>0.6</v>
      </c>
      <c r="M389" s="5">
        <f>PasteHashtag!K389</f>
        <v>3.7</v>
      </c>
      <c r="N389" s="5">
        <f>PasteHashtag!L389</f>
        <v>1.6</v>
      </c>
      <c r="O389" s="5">
        <f>PasteHashtag!M389</f>
        <v>0.5</v>
      </c>
      <c r="P389" s="5">
        <f>PasteHashtag!N389</f>
        <v>0.2</v>
      </c>
      <c r="Q389" s="5">
        <f>PasteHashtag!O389</f>
        <v>0.2</v>
      </c>
      <c r="R389" s="5">
        <f>PasteHashtag!P389</f>
        <v>0.4</v>
      </c>
      <c r="S389" s="5">
        <f>Mid(PasteHashtag!H389,FIND("/",PasteHashtag!H389)+1,LEN(PasteHashtag!H389)-FIND("/",PasteHashtag!H389)-1)*1</f>
        <v>3.1</v>
      </c>
      <c r="T389" s="306">
        <f>Mid(PasteHashtag!I389,FIND("/",PasteHashtag!I389)+1,LEN(PasteHashtag!I389)-FIND("/",PasteHashtag!I389)-1)*1</f>
        <v>0.5</v>
      </c>
    </row>
    <row r="390">
      <c r="A390" s="5">
        <v>389.0</v>
      </c>
      <c r="B390" s="5" t="str">
        <f>PasteHashtag!B390</f>
        <v/>
      </c>
      <c r="C390" s="305" t="str">
        <f>PasteHashtag!C390</f>
        <v>Ariel Hukporti</v>
      </c>
      <c r="D390" s="5" t="str">
        <f>PasteHashtag!D390</f>
        <v>C</v>
      </c>
      <c r="E390" s="5" t="str">
        <f>PasteHashtag!E390</f>
        <v>NY</v>
      </c>
      <c r="F390" s="5">
        <f>PasteHashtag!F390</f>
        <v>28</v>
      </c>
      <c r="G390" s="5">
        <f>PasteHashtag!G390</f>
        <v>8.8</v>
      </c>
      <c r="H390" s="5">
        <f>MID(PasteHashtag!H390,1+FIND("(",PasteHashtag!H390),FIND("/",PasteHashtag!H390)-FIND("(",PasteHashtag!H390)-1)*1</f>
        <v>1.2</v>
      </c>
      <c r="I390" s="5">
        <f>LEFT(PasteHashtag!H390,FIND("(",PasteHashtag!H390)-1)*1</f>
        <v>0.563</v>
      </c>
      <c r="J390" s="5">
        <f>MID(PasteHashtag!I390,1+FIND("(",PasteHashtag!I390),FIND("/",PasteHashtag!I390)-FIND("(",PasteHashtag!I390)-1)*1</f>
        <v>0.6</v>
      </c>
      <c r="K390" s="5">
        <f>LEFT(PasteHashtag!I390,FIND("(",PasteHashtag!I390)-1)*1</f>
        <v>0.615</v>
      </c>
      <c r="L390" s="5">
        <f>PasteHashtag!J390</f>
        <v>0</v>
      </c>
      <c r="M390" s="5">
        <f>PasteHashtag!K390</f>
        <v>3</v>
      </c>
      <c r="N390" s="5">
        <f>PasteHashtag!L390</f>
        <v>2.6</v>
      </c>
      <c r="O390" s="5">
        <f>PasteHashtag!M390</f>
        <v>0.3</v>
      </c>
      <c r="P390" s="5">
        <f>PasteHashtag!N390</f>
        <v>0.2</v>
      </c>
      <c r="Q390" s="5">
        <f>PasteHashtag!O390</f>
        <v>0.6</v>
      </c>
      <c r="R390" s="5">
        <f>PasteHashtag!P390</f>
        <v>0.6</v>
      </c>
      <c r="S390" s="5">
        <f>Mid(PasteHashtag!H390,FIND("/",PasteHashtag!H390)+1,LEN(PasteHashtag!H390)-FIND("/",PasteHashtag!H390)-1)*1</f>
        <v>2.1</v>
      </c>
      <c r="T390" s="306">
        <f>Mid(PasteHashtag!I390,FIND("/",PasteHashtag!I390)+1,LEN(PasteHashtag!I390)-FIND("/",PasteHashtag!I390)-1)*1</f>
        <v>1</v>
      </c>
    </row>
    <row r="391">
      <c r="A391" s="5">
        <v>390.0</v>
      </c>
      <c r="B391" s="5" t="str">
        <f>PasteHashtag!B391</f>
        <v/>
      </c>
      <c r="C391" s="305" t="str">
        <f>PasteHashtag!C391</f>
        <v>Matt Ryan</v>
      </c>
      <c r="D391" s="5" t="str">
        <f>PasteHashtag!D391</f>
        <v>SF</v>
      </c>
      <c r="E391" s="5" t="str">
        <f>PasteHashtag!E391</f>
        <v>NO</v>
      </c>
      <c r="F391" s="5">
        <f>PasteHashtag!F391</f>
        <v>30</v>
      </c>
      <c r="G391" s="5">
        <f>PasteHashtag!G391</f>
        <v>11.1</v>
      </c>
      <c r="H391" s="5">
        <f>MID(PasteHashtag!H391,1+FIND("(",PasteHashtag!H391),FIND("/",PasteHashtag!H391)-FIND("(",PasteHashtag!H391)-1)*1</f>
        <v>1.4</v>
      </c>
      <c r="I391" s="5">
        <f>LEFT(PasteHashtag!H391,FIND("(",PasteHashtag!H391)-1)*1</f>
        <v>0.401</v>
      </c>
      <c r="J391" s="5">
        <f>MID(PasteHashtag!I391,1+FIND("(",PasteHashtag!I391),FIND("/",PasteHashtag!I391)-FIND("(",PasteHashtag!I391)-1)*1</f>
        <v>0.4</v>
      </c>
      <c r="K391" s="5">
        <f>LEFT(PasteHashtag!I391,FIND("(",PasteHashtag!I391)-1)*1</f>
        <v>0.881</v>
      </c>
      <c r="L391" s="5">
        <f>PasteHashtag!J391</f>
        <v>1.2</v>
      </c>
      <c r="M391" s="5">
        <f>PasteHashtag!K391</f>
        <v>4.4</v>
      </c>
      <c r="N391" s="5">
        <f>PasteHashtag!L391</f>
        <v>1.1</v>
      </c>
      <c r="O391" s="5">
        <f>PasteHashtag!M391</f>
        <v>0.5</v>
      </c>
      <c r="P391" s="5">
        <f>PasteHashtag!N391</f>
        <v>0.2</v>
      </c>
      <c r="Q391" s="5">
        <f>PasteHashtag!O391</f>
        <v>0</v>
      </c>
      <c r="R391" s="5">
        <f>PasteHashtag!P391</f>
        <v>0.4</v>
      </c>
      <c r="S391" s="5">
        <f>Mid(PasteHashtag!H391,FIND("/",PasteHashtag!H391)+1,LEN(PasteHashtag!H391)-FIND("/",PasteHashtag!H391)-1)*1</f>
        <v>3.5</v>
      </c>
      <c r="T391" s="306">
        <f>Mid(PasteHashtag!I391,FIND("/",PasteHashtag!I391)+1,LEN(PasteHashtag!I391)-FIND("/",PasteHashtag!I391)-1)*1</f>
        <v>0.4</v>
      </c>
    </row>
    <row r="392">
      <c r="A392" s="5">
        <v>391.0</v>
      </c>
      <c r="B392" s="5" t="str">
        <f>PasteHashtag!B392</f>
        <v/>
      </c>
      <c r="C392" s="305" t="str">
        <f>PasteHashtag!C392</f>
        <v>Ousmane Dieng</v>
      </c>
      <c r="D392" s="5" t="str">
        <f>PasteHashtag!D392</f>
        <v>SF,PF</v>
      </c>
      <c r="E392" s="5" t="str">
        <f>PasteHashtag!E392</f>
        <v>OKC</v>
      </c>
      <c r="F392" s="5">
        <f>PasteHashtag!F392</f>
        <v>30</v>
      </c>
      <c r="G392" s="5">
        <f>PasteHashtag!G392</f>
        <v>10.4</v>
      </c>
      <c r="H392" s="5">
        <f>MID(PasteHashtag!H392,1+FIND("(",PasteHashtag!H392),FIND("/",PasteHashtag!H392)-FIND("(",PasteHashtag!H392)-1)*1</f>
        <v>1.4</v>
      </c>
      <c r="I392" s="5">
        <f>LEFT(PasteHashtag!H392,FIND("(",PasteHashtag!H392)-1)*1</f>
        <v>0.422</v>
      </c>
      <c r="J392" s="5">
        <f>MID(PasteHashtag!I392,1+FIND("(",PasteHashtag!I392),FIND("/",PasteHashtag!I392)-FIND("(",PasteHashtag!I392)-1)*1</f>
        <v>0.3</v>
      </c>
      <c r="K392" s="5">
        <f>LEFT(PasteHashtag!I392,FIND("(",PasteHashtag!I392)-1)*1</f>
        <v>0.75</v>
      </c>
      <c r="L392" s="5">
        <f>PasteHashtag!J392</f>
        <v>0.5</v>
      </c>
      <c r="M392" s="5">
        <f>PasteHashtag!K392</f>
        <v>3.7</v>
      </c>
      <c r="N392" s="5">
        <f>PasteHashtag!L392</f>
        <v>1.8</v>
      </c>
      <c r="O392" s="5">
        <f>PasteHashtag!M392</f>
        <v>0.9</v>
      </c>
      <c r="P392" s="5">
        <f>PasteHashtag!N392</f>
        <v>0.3</v>
      </c>
      <c r="Q392" s="5">
        <f>PasteHashtag!O392</f>
        <v>0.1</v>
      </c>
      <c r="R392" s="5">
        <f>PasteHashtag!P392</f>
        <v>0.5</v>
      </c>
      <c r="S392" s="5">
        <f>Mid(PasteHashtag!H392,FIND("/",PasteHashtag!H392)+1,LEN(PasteHashtag!H392)-FIND("/",PasteHashtag!H392)-1)*1</f>
        <v>3.3</v>
      </c>
      <c r="T392" s="306">
        <f>Mid(PasteHashtag!I392,FIND("/",PasteHashtag!I392)+1,LEN(PasteHashtag!I392)-FIND("/",PasteHashtag!I392)-1)*1</f>
        <v>0.4</v>
      </c>
    </row>
    <row r="393">
      <c r="A393" s="5">
        <v>392.0</v>
      </c>
      <c r="B393" s="5" t="str">
        <f>PasteHashtag!B393</f>
        <v/>
      </c>
      <c r="C393" s="305" t="str">
        <f>PasteHashtag!C393</f>
        <v>Kris Murray</v>
      </c>
      <c r="D393" s="5" t="str">
        <f>PasteHashtag!D393</f>
        <v>SF,PF</v>
      </c>
      <c r="E393" s="5" t="str">
        <f>PasteHashtag!E393</f>
        <v>POR</v>
      </c>
      <c r="F393" s="5">
        <f>PasteHashtag!F393</f>
        <v>48</v>
      </c>
      <c r="G393" s="5">
        <f>PasteHashtag!G393</f>
        <v>11.2</v>
      </c>
      <c r="H393" s="5">
        <f>MID(PasteHashtag!H393,1+FIND("(",PasteHashtag!H393),FIND("/",PasteHashtag!H393)-FIND("(",PasteHashtag!H393)-1)*1</f>
        <v>1.2</v>
      </c>
      <c r="I393" s="5">
        <f>LEFT(PasteHashtag!H393,FIND("(",PasteHashtag!H393)-1)*1</f>
        <v>0.397</v>
      </c>
      <c r="J393" s="5">
        <f>MID(PasteHashtag!I393,1+FIND("(",PasteHashtag!I393),FIND("/",PasteHashtag!I393)-FIND("(",PasteHashtag!I393)-1)*1</f>
        <v>0.3</v>
      </c>
      <c r="K393" s="5">
        <f>LEFT(PasteHashtag!I393,FIND("(",PasteHashtag!I393)-1)*1</f>
        <v>0.66</v>
      </c>
      <c r="L393" s="5">
        <f>PasteHashtag!J393</f>
        <v>0.4</v>
      </c>
      <c r="M393" s="5">
        <f>PasteHashtag!K393</f>
        <v>3.2</v>
      </c>
      <c r="N393" s="5">
        <f>PasteHashtag!L393</f>
        <v>1.9</v>
      </c>
      <c r="O393" s="5">
        <f>PasteHashtag!M393</f>
        <v>0.7</v>
      </c>
      <c r="P393" s="5">
        <f>PasteHashtag!N393</f>
        <v>0.4</v>
      </c>
      <c r="Q393" s="5">
        <f>PasteHashtag!O393</f>
        <v>0.2</v>
      </c>
      <c r="R393" s="5">
        <f>PasteHashtag!P393</f>
        <v>0.5</v>
      </c>
      <c r="S393" s="5">
        <f>Mid(PasteHashtag!H393,FIND("/",PasteHashtag!H393)+1,LEN(PasteHashtag!H393)-FIND("/",PasteHashtag!H393)-1)*1</f>
        <v>3.1</v>
      </c>
      <c r="T393" s="306">
        <f>Mid(PasteHashtag!I393,FIND("/",PasteHashtag!I393)+1,LEN(PasteHashtag!I393)-FIND("/",PasteHashtag!I393)-1)*1</f>
        <v>0.5</v>
      </c>
    </row>
    <row r="394">
      <c r="A394" s="5">
        <v>393.0</v>
      </c>
      <c r="B394" s="5" t="str">
        <f>PasteHashtag!B394</f>
        <v/>
      </c>
      <c r="C394" s="305" t="str">
        <f>PasteHashtag!C394</f>
        <v>Garrett Temple</v>
      </c>
      <c r="D394" s="5" t="str">
        <f>PasteHashtag!D394</f>
        <v>SG</v>
      </c>
      <c r="E394" s="5" t="str">
        <f>PasteHashtag!E394</f>
        <v>TOR</v>
      </c>
      <c r="F394" s="5">
        <f>PasteHashtag!F394</f>
        <v>57</v>
      </c>
      <c r="G394" s="5">
        <f>PasteHashtag!G394</f>
        <v>8.4</v>
      </c>
      <c r="H394" s="5">
        <f>MID(PasteHashtag!H394,1+FIND("(",PasteHashtag!H394),FIND("/",PasteHashtag!H394)-FIND("(",PasteHashtag!H394)-1)*1</f>
        <v>0.9</v>
      </c>
      <c r="I394" s="5">
        <f>LEFT(PasteHashtag!H394,FIND("(",PasteHashtag!H394)-1)*1</f>
        <v>0.384</v>
      </c>
      <c r="J394" s="5">
        <f>MID(PasteHashtag!I394,1+FIND("(",PasteHashtag!I394),FIND("/",PasteHashtag!I394)-FIND("(",PasteHashtag!I394)-1)*1</f>
        <v>0.4</v>
      </c>
      <c r="K394" s="5">
        <f>LEFT(PasteHashtag!I394,FIND("(",PasteHashtag!I394)-1)*1</f>
        <v>0.816</v>
      </c>
      <c r="L394" s="5">
        <f>PasteHashtag!J394</f>
        <v>0.4</v>
      </c>
      <c r="M394" s="5">
        <f>PasteHashtag!K394</f>
        <v>2.6</v>
      </c>
      <c r="N394" s="5">
        <f>PasteHashtag!L394</f>
        <v>1.2</v>
      </c>
      <c r="O394" s="5">
        <f>PasteHashtag!M394</f>
        <v>0.8</v>
      </c>
      <c r="P394" s="5">
        <f>PasteHashtag!N394</f>
        <v>0.4</v>
      </c>
      <c r="Q394" s="5">
        <f>PasteHashtag!O394</f>
        <v>0.1</v>
      </c>
      <c r="R394" s="5">
        <f>PasteHashtag!P394</f>
        <v>0.3</v>
      </c>
      <c r="S394" s="5">
        <f>Mid(PasteHashtag!H394,FIND("/",PasteHashtag!H394)+1,LEN(PasteHashtag!H394)-FIND("/",PasteHashtag!H394)-1)*1</f>
        <v>2.3</v>
      </c>
      <c r="T394" s="306">
        <f>Mid(PasteHashtag!I394,FIND("/",PasteHashtag!I394)+1,LEN(PasteHashtag!I394)-FIND("/",PasteHashtag!I394)-1)*1</f>
        <v>0.5</v>
      </c>
    </row>
    <row r="395">
      <c r="A395" s="5">
        <v>394.0</v>
      </c>
      <c r="B395" s="5" t="str">
        <f>PasteHashtag!B395</f>
        <v/>
      </c>
      <c r="C395" s="305" t="str">
        <f>PasteHashtag!C395</f>
        <v>Terrence Shannon Jr.</v>
      </c>
      <c r="D395" s="5" t="str">
        <f>PasteHashtag!D395</f>
        <v>SG</v>
      </c>
      <c r="E395" s="5" t="str">
        <f>PasteHashtag!E395</f>
        <v>MIN</v>
      </c>
      <c r="F395" s="5">
        <f>PasteHashtag!F395</f>
        <v>30</v>
      </c>
      <c r="G395" s="5">
        <f>PasteHashtag!G395</f>
        <v>8.2</v>
      </c>
      <c r="H395" s="5">
        <f>MID(PasteHashtag!H395,1+FIND("(",PasteHashtag!H395),FIND("/",PasteHashtag!H395)-FIND("(",PasteHashtag!H395)-1)*1</f>
        <v>1.2</v>
      </c>
      <c r="I395" s="5">
        <f>LEFT(PasteHashtag!H395,FIND("(",PasteHashtag!H395)-1)*1</f>
        <v>0.475</v>
      </c>
      <c r="J395" s="5">
        <f>MID(PasteHashtag!I395,1+FIND("(",PasteHashtag!I395),FIND("/",PasteHashtag!I395)-FIND("(",PasteHashtag!I395)-1)*1</f>
        <v>1.3</v>
      </c>
      <c r="K395" s="5">
        <f>LEFT(PasteHashtag!I395,FIND("(",PasteHashtag!I395)-1)*1</f>
        <v>0.801</v>
      </c>
      <c r="L395" s="5">
        <f>PasteHashtag!J395</f>
        <v>0.4</v>
      </c>
      <c r="M395" s="5">
        <f>PasteHashtag!K395</f>
        <v>4.2</v>
      </c>
      <c r="N395" s="5">
        <f>PasteHashtag!L395</f>
        <v>0.7</v>
      </c>
      <c r="O395" s="5">
        <f>PasteHashtag!M395</f>
        <v>0.4</v>
      </c>
      <c r="P395" s="5">
        <f>PasteHashtag!N395</f>
        <v>0.2</v>
      </c>
      <c r="Q395" s="5">
        <f>PasteHashtag!O395</f>
        <v>0.2</v>
      </c>
      <c r="R395" s="5">
        <f>PasteHashtag!P395</f>
        <v>0.4</v>
      </c>
      <c r="S395" s="5">
        <f>Mid(PasteHashtag!H395,FIND("/",PasteHashtag!H395)+1,LEN(PasteHashtag!H395)-FIND("/",PasteHashtag!H395)-1)*1</f>
        <v>2.6</v>
      </c>
      <c r="T395" s="306">
        <f>Mid(PasteHashtag!I395,FIND("/",PasteHashtag!I395)+1,LEN(PasteHashtag!I395)-FIND("/",PasteHashtag!I395)-1)*1</f>
        <v>1.6</v>
      </c>
    </row>
    <row r="396">
      <c r="A396" s="5">
        <v>395.0</v>
      </c>
      <c r="B396" s="5" t="str">
        <f>PasteHashtag!B396</f>
        <v/>
      </c>
      <c r="C396" s="305" t="str">
        <f>PasteHashtag!C396</f>
        <v>Jamal Shead</v>
      </c>
      <c r="D396" s="5" t="str">
        <f>PasteHashtag!D396</f>
        <v>PG</v>
      </c>
      <c r="E396" s="5" t="str">
        <f>PasteHashtag!E396</f>
        <v>TOR</v>
      </c>
      <c r="F396" s="5">
        <f>PasteHashtag!F396</f>
        <v>20</v>
      </c>
      <c r="G396" s="5">
        <f>PasteHashtag!G396</f>
        <v>8</v>
      </c>
      <c r="H396" s="5">
        <f>MID(PasteHashtag!H396,1+FIND("(",PasteHashtag!H396),FIND("/",PasteHashtag!H396)-FIND("(",PasteHashtag!H396)-1)*1</f>
        <v>0.9</v>
      </c>
      <c r="I396" s="5">
        <f>LEFT(PasteHashtag!H396,FIND("(",PasteHashtag!H396)-1)*1</f>
        <v>0.407</v>
      </c>
      <c r="J396" s="5">
        <f>MID(PasteHashtag!I396,1+FIND("(",PasteHashtag!I396),FIND("/",PasteHashtag!I396)-FIND("(",PasteHashtag!I396)-1)*1</f>
        <v>0.4</v>
      </c>
      <c r="K396" s="5">
        <f>LEFT(PasteHashtag!I396,FIND("(",PasteHashtag!I396)-1)*1</f>
        <v>0.778</v>
      </c>
      <c r="L396" s="5">
        <f>PasteHashtag!J396</f>
        <v>0.2</v>
      </c>
      <c r="M396" s="5">
        <f>PasteHashtag!K396</f>
        <v>2.5</v>
      </c>
      <c r="N396" s="5">
        <f>PasteHashtag!L396</f>
        <v>0.7</v>
      </c>
      <c r="O396" s="5">
        <f>PasteHashtag!M396</f>
        <v>1.2</v>
      </c>
      <c r="P396" s="5">
        <f>PasteHashtag!N396</f>
        <v>0.4</v>
      </c>
      <c r="Q396" s="5">
        <f>PasteHashtag!O396</f>
        <v>0.1</v>
      </c>
      <c r="R396" s="5">
        <f>PasteHashtag!P396</f>
        <v>0.4</v>
      </c>
      <c r="S396" s="5">
        <f>Mid(PasteHashtag!H396,FIND("/",PasteHashtag!H396)+1,LEN(PasteHashtag!H396)-FIND("/",PasteHashtag!H396)-1)*1</f>
        <v>2.3</v>
      </c>
      <c r="T396" s="306">
        <f>Mid(PasteHashtag!I396,FIND("/",PasteHashtag!I396)+1,LEN(PasteHashtag!I396)-FIND("/",PasteHashtag!I396)-1)*1</f>
        <v>0.5</v>
      </c>
    </row>
    <row r="397">
      <c r="A397" s="5">
        <v>396.0</v>
      </c>
      <c r="B397" s="5" t="str">
        <f>PasteHashtag!B397</f>
        <v/>
      </c>
      <c r="C397" s="305" t="str">
        <f>PasteHashtag!C397</f>
        <v>Blake Wesley</v>
      </c>
      <c r="D397" s="5" t="str">
        <f>PasteHashtag!D397</f>
        <v>PG,SG</v>
      </c>
      <c r="E397" s="5" t="str">
        <f>PasteHashtag!E397</f>
        <v>SA</v>
      </c>
      <c r="F397" s="5">
        <f>PasteHashtag!F397</f>
        <v>58</v>
      </c>
      <c r="G397" s="5">
        <f>PasteHashtag!G397</f>
        <v>12.4</v>
      </c>
      <c r="H397" s="5">
        <f>MID(PasteHashtag!H397,1+FIND("(",PasteHashtag!H397),FIND("/",PasteHashtag!H397)-FIND("(",PasteHashtag!H397)-1)*1</f>
        <v>1.4</v>
      </c>
      <c r="I397" s="5">
        <f>LEFT(PasteHashtag!H397,FIND("(",PasteHashtag!H397)-1)*1</f>
        <v>0.398</v>
      </c>
      <c r="J397" s="5">
        <f>MID(PasteHashtag!I397,1+FIND("(",PasteHashtag!I397),FIND("/",PasteHashtag!I397)-FIND("(",PasteHashtag!I397)-1)*1</f>
        <v>0.6</v>
      </c>
      <c r="K397" s="5">
        <f>LEFT(PasteHashtag!I397,FIND("(",PasteHashtag!I397)-1)*1</f>
        <v>0.636</v>
      </c>
      <c r="L397" s="5">
        <f>PasteHashtag!J397</f>
        <v>0.3</v>
      </c>
      <c r="M397" s="5">
        <f>PasteHashtag!K397</f>
        <v>3.7</v>
      </c>
      <c r="N397" s="5">
        <f>PasteHashtag!L397</f>
        <v>1.4</v>
      </c>
      <c r="O397" s="5">
        <f>PasteHashtag!M397</f>
        <v>2.2</v>
      </c>
      <c r="P397" s="5">
        <f>PasteHashtag!N397</f>
        <v>0.4</v>
      </c>
      <c r="Q397" s="5">
        <f>PasteHashtag!O397</f>
        <v>0.1</v>
      </c>
      <c r="R397" s="5">
        <f>PasteHashtag!P397</f>
        <v>1</v>
      </c>
      <c r="S397" s="5">
        <f>Mid(PasteHashtag!H397,FIND("/",PasteHashtag!H397)+1,LEN(PasteHashtag!H397)-FIND("/",PasteHashtag!H397)-1)*1</f>
        <v>3.5</v>
      </c>
      <c r="T397" s="306">
        <f>Mid(PasteHashtag!I397,FIND("/",PasteHashtag!I397)+1,LEN(PasteHashtag!I397)-FIND("/",PasteHashtag!I397)-1)*1</f>
        <v>1</v>
      </c>
    </row>
    <row r="398">
      <c r="A398" s="5">
        <v>397.0</v>
      </c>
      <c r="B398" s="5" t="str">
        <f>PasteHashtag!B398</f>
        <v/>
      </c>
      <c r="C398" s="305" t="str">
        <f>PasteHashtag!C398</f>
        <v>Dalen Terry</v>
      </c>
      <c r="D398" s="5" t="str">
        <f>PasteHashtag!D398</f>
        <v>SG,SF</v>
      </c>
      <c r="E398" s="5" t="str">
        <f>PasteHashtag!E398</f>
        <v>CHI</v>
      </c>
      <c r="F398" s="5">
        <f>PasteHashtag!F398</f>
        <v>20</v>
      </c>
      <c r="G398" s="5">
        <f>PasteHashtag!G398</f>
        <v>8.4</v>
      </c>
      <c r="H398" s="5">
        <f>MID(PasteHashtag!H398,1+FIND("(",PasteHashtag!H398),FIND("/",PasteHashtag!H398)-FIND("(",PasteHashtag!H398)-1)*1</f>
        <v>1</v>
      </c>
      <c r="I398" s="5">
        <f>LEFT(PasteHashtag!H398,FIND("(",PasteHashtag!H398)-1)*1</f>
        <v>0.442</v>
      </c>
      <c r="J398" s="5">
        <f>MID(PasteHashtag!I398,1+FIND("(",PasteHashtag!I398),FIND("/",PasteHashtag!I398)-FIND("(",PasteHashtag!I398)-1)*1</f>
        <v>0.4</v>
      </c>
      <c r="K398" s="5">
        <f>LEFT(PasteHashtag!I398,FIND("(",PasteHashtag!I398)-1)*1</f>
        <v>0.607</v>
      </c>
      <c r="L398" s="5">
        <f>PasteHashtag!J398</f>
        <v>0.2</v>
      </c>
      <c r="M398" s="5">
        <f>PasteHashtag!K398</f>
        <v>2.5</v>
      </c>
      <c r="N398" s="5">
        <f>PasteHashtag!L398</f>
        <v>1.4</v>
      </c>
      <c r="O398" s="5">
        <f>PasteHashtag!M398</f>
        <v>1</v>
      </c>
      <c r="P398" s="5">
        <f>PasteHashtag!N398</f>
        <v>0.4</v>
      </c>
      <c r="Q398" s="5">
        <f>PasteHashtag!O398</f>
        <v>0.2</v>
      </c>
      <c r="R398" s="5">
        <f>PasteHashtag!P398</f>
        <v>0.4</v>
      </c>
      <c r="S398" s="5">
        <f>Mid(PasteHashtag!H398,FIND("/",PasteHashtag!H398)+1,LEN(PasteHashtag!H398)-FIND("/",PasteHashtag!H398)-1)*1</f>
        <v>2.2</v>
      </c>
      <c r="T398" s="306">
        <f>Mid(PasteHashtag!I398,FIND("/",PasteHashtag!I398)+1,LEN(PasteHashtag!I398)-FIND("/",PasteHashtag!I398)-1)*1</f>
        <v>0.6</v>
      </c>
    </row>
    <row r="399">
      <c r="A399" s="5">
        <v>398.0</v>
      </c>
      <c r="B399" s="5" t="str">
        <f>PasteHashtag!B399</f>
        <v/>
      </c>
      <c r="C399" s="305" t="str">
        <f>PasteHashtag!C399</f>
        <v>Vít Krejcí</v>
      </c>
      <c r="D399" s="5" t="str">
        <f>PasteHashtag!D399</f>
        <v>SG,SF</v>
      </c>
      <c r="E399" s="5" t="str">
        <f>PasteHashtag!E399</f>
        <v>ATL</v>
      </c>
      <c r="F399" s="5">
        <f>PasteHashtag!F399</f>
        <v>20</v>
      </c>
      <c r="G399" s="5">
        <f>PasteHashtag!G399</f>
        <v>8.8</v>
      </c>
      <c r="H399" s="5">
        <f>MID(PasteHashtag!H399,1+FIND("(",PasteHashtag!H399),FIND("/",PasteHashtag!H399)-FIND("(",PasteHashtag!H399)-1)*1</f>
        <v>0.8</v>
      </c>
      <c r="I399" s="5">
        <f>LEFT(PasteHashtag!H399,FIND("(",PasteHashtag!H399)-1)*1</f>
        <v>0.469</v>
      </c>
      <c r="J399" s="5">
        <f>MID(PasteHashtag!I399,1+FIND("(",PasteHashtag!I399),FIND("/",PasteHashtag!I399)-FIND("(",PasteHashtag!I399)-1)*1</f>
        <v>0.1</v>
      </c>
      <c r="K399" s="5">
        <f>LEFT(PasteHashtag!I399,FIND("(",PasteHashtag!I399)-1)*1</f>
        <v>0.8</v>
      </c>
      <c r="L399" s="5">
        <f>PasteHashtag!J399</f>
        <v>0.4</v>
      </c>
      <c r="M399" s="5">
        <f>PasteHashtag!K399</f>
        <v>2.2</v>
      </c>
      <c r="N399" s="5">
        <f>PasteHashtag!L399</f>
        <v>1</v>
      </c>
      <c r="O399" s="5">
        <f>PasteHashtag!M399</f>
        <v>0.8</v>
      </c>
      <c r="P399" s="5">
        <f>PasteHashtag!N399</f>
        <v>0.2</v>
      </c>
      <c r="Q399" s="5">
        <f>PasteHashtag!O399</f>
        <v>0.1</v>
      </c>
      <c r="R399" s="5">
        <f>PasteHashtag!P399</f>
        <v>0.3</v>
      </c>
      <c r="S399" s="5">
        <f>Mid(PasteHashtag!H399,FIND("/",PasteHashtag!H399)+1,LEN(PasteHashtag!H399)-FIND("/",PasteHashtag!H399)-1)*1</f>
        <v>1.8</v>
      </c>
      <c r="T399" s="306">
        <f>Mid(PasteHashtag!I399,FIND("/",PasteHashtag!I399)+1,LEN(PasteHashtag!I399)-FIND("/",PasteHashtag!I399)-1)*1</f>
        <v>0.1</v>
      </c>
    </row>
    <row r="400">
      <c r="A400" s="5">
        <v>399.0</v>
      </c>
      <c r="B400" s="5" t="str">
        <f>PasteHashtag!B400</f>
        <v/>
      </c>
      <c r="C400" s="305" t="str">
        <f>PasteHashtag!C400</f>
        <v>Anthony Gill</v>
      </c>
      <c r="D400" s="5" t="str">
        <f>PasteHashtag!D400</f>
        <v>PF,C</v>
      </c>
      <c r="E400" s="5" t="str">
        <f>PasteHashtag!E400</f>
        <v>WAS</v>
      </c>
      <c r="F400" s="5">
        <f>PasteHashtag!F400</f>
        <v>24</v>
      </c>
      <c r="G400" s="5">
        <f>PasteHashtag!G400</f>
        <v>8.8</v>
      </c>
      <c r="H400" s="5">
        <f>MID(PasteHashtag!H400,1+FIND("(",PasteHashtag!H400),FIND("/",PasteHashtag!H400)-FIND("(",PasteHashtag!H400)-1)*1</f>
        <v>1.2</v>
      </c>
      <c r="I400" s="5">
        <f>LEFT(PasteHashtag!H400,FIND("(",PasteHashtag!H400)-1)*1</f>
        <v>0.5</v>
      </c>
      <c r="J400" s="5">
        <f>MID(PasteHashtag!I400,1+FIND("(",PasteHashtag!I400),FIND("/",PasteHashtag!I400)-FIND("(",PasteHashtag!I400)-1)*1</f>
        <v>0.6</v>
      </c>
      <c r="K400" s="5">
        <f>LEFT(PasteHashtag!I400,FIND("(",PasteHashtag!I400)-1)*1</f>
        <v>0.762</v>
      </c>
      <c r="L400" s="5">
        <f>PasteHashtag!J400</f>
        <v>0.1</v>
      </c>
      <c r="M400" s="5">
        <f>PasteHashtag!K400</f>
        <v>3.1</v>
      </c>
      <c r="N400" s="5">
        <f>PasteHashtag!L400</f>
        <v>1.6</v>
      </c>
      <c r="O400" s="5">
        <f>PasteHashtag!M400</f>
        <v>0.6</v>
      </c>
      <c r="P400" s="5">
        <f>PasteHashtag!N400</f>
        <v>0.2</v>
      </c>
      <c r="Q400" s="5">
        <f>PasteHashtag!O400</f>
        <v>0.2</v>
      </c>
      <c r="R400" s="5">
        <f>PasteHashtag!P400</f>
        <v>0.3</v>
      </c>
      <c r="S400" s="5">
        <f>Mid(PasteHashtag!H400,FIND("/",PasteHashtag!H400)+1,LEN(PasteHashtag!H400)-FIND("/",PasteHashtag!H400)-1)*1</f>
        <v>2.4</v>
      </c>
      <c r="T400" s="306">
        <f>Mid(PasteHashtag!I400,FIND("/",PasteHashtag!I400)+1,LEN(PasteHashtag!I400)-FIND("/",PasteHashtag!I400)-1)*1</f>
        <v>0.8</v>
      </c>
    </row>
    <row r="401">
      <c r="A401" s="5">
        <v>400.0</v>
      </c>
      <c r="B401" s="5" t="str">
        <f>PasteHashtag!B401</f>
        <v/>
      </c>
      <c r="C401" s="305" t="str">
        <f>PasteHashtag!C401</f>
        <v>Jared McCain</v>
      </c>
      <c r="D401" s="5" t="str">
        <f>PasteHashtag!D401</f>
        <v>PG</v>
      </c>
      <c r="E401" s="5" t="str">
        <f>PasteHashtag!E401</f>
        <v>PHI</v>
      </c>
      <c r="F401" s="5">
        <f>PasteHashtag!F401</f>
        <v>40</v>
      </c>
      <c r="G401" s="5">
        <f>PasteHashtag!G401</f>
        <v>8.4</v>
      </c>
      <c r="H401" s="5">
        <f>MID(PasteHashtag!H401,1+FIND("(",PasteHashtag!H401),FIND("/",PasteHashtag!H401)-FIND("(",PasteHashtag!H401)-1)*1</f>
        <v>1</v>
      </c>
      <c r="I401" s="5">
        <f>LEFT(PasteHashtag!H401,FIND("(",PasteHashtag!H401)-1)*1</f>
        <v>0.462</v>
      </c>
      <c r="J401" s="5">
        <f>MID(PasteHashtag!I401,1+FIND("(",PasteHashtag!I401),FIND("/",PasteHashtag!I401)-FIND("(",PasteHashtag!I401)-1)*1</f>
        <v>0.4</v>
      </c>
      <c r="K401" s="5">
        <f>LEFT(PasteHashtag!I401,FIND("(",PasteHashtag!I401)-1)*1</f>
        <v>0.896</v>
      </c>
      <c r="L401" s="5">
        <f>PasteHashtag!J401</f>
        <v>0.5</v>
      </c>
      <c r="M401" s="5">
        <f>PasteHashtag!K401</f>
        <v>2.9</v>
      </c>
      <c r="N401" s="5">
        <f>PasteHashtag!L401</f>
        <v>1</v>
      </c>
      <c r="O401" s="5">
        <f>PasteHashtag!M401</f>
        <v>0.4</v>
      </c>
      <c r="P401" s="5">
        <f>PasteHashtag!N401</f>
        <v>0.2</v>
      </c>
      <c r="Q401" s="5">
        <f>PasteHashtag!O401</f>
        <v>0</v>
      </c>
      <c r="R401" s="5">
        <f>PasteHashtag!P401</f>
        <v>0.3</v>
      </c>
      <c r="S401" s="5">
        <f>Mid(PasteHashtag!H401,FIND("/",PasteHashtag!H401)+1,LEN(PasteHashtag!H401)-FIND("/",PasteHashtag!H401)-1)*1</f>
        <v>2.1</v>
      </c>
      <c r="T401" s="306">
        <f>Mid(PasteHashtag!I401,FIND("/",PasteHashtag!I401)+1,LEN(PasteHashtag!I401)-FIND("/",PasteHashtag!I401)-1)*1</f>
        <v>0.5</v>
      </c>
    </row>
    <row r="402">
      <c r="A402" s="5">
        <v>401.0</v>
      </c>
      <c r="F402" s="406"/>
      <c r="G402" s="306"/>
      <c r="H402" s="407"/>
      <c r="I402" s="407"/>
      <c r="J402" s="407"/>
      <c r="K402" s="407"/>
      <c r="L402" s="407"/>
      <c r="M402" s="407"/>
      <c r="N402" s="407"/>
      <c r="O402" s="407"/>
      <c r="P402" s="407"/>
      <c r="Q402" s="407"/>
      <c r="R402" s="306"/>
      <c r="S402" s="306"/>
    </row>
    <row r="403">
      <c r="A403" s="5">
        <v>402.0</v>
      </c>
      <c r="F403" s="406"/>
      <c r="G403" s="306"/>
      <c r="H403" s="407"/>
      <c r="I403" s="407"/>
      <c r="J403" s="407"/>
      <c r="K403" s="407"/>
      <c r="L403" s="407"/>
      <c r="M403" s="407"/>
      <c r="N403" s="407"/>
      <c r="O403" s="407"/>
      <c r="P403" s="407"/>
      <c r="Q403" s="407"/>
      <c r="R403" s="306"/>
      <c r="S403" s="306"/>
    </row>
    <row r="404">
      <c r="A404" s="5">
        <v>403.0</v>
      </c>
      <c r="F404" s="406"/>
      <c r="G404" s="306"/>
      <c r="H404" s="407"/>
      <c r="I404" s="407"/>
      <c r="J404" s="407"/>
      <c r="K404" s="407"/>
      <c r="L404" s="407"/>
      <c r="M404" s="407"/>
      <c r="N404" s="407"/>
      <c r="O404" s="407"/>
      <c r="P404" s="407"/>
      <c r="Q404" s="407"/>
      <c r="R404" s="306"/>
      <c r="S404" s="306"/>
    </row>
    <row r="405">
      <c r="A405" s="5">
        <v>404.0</v>
      </c>
      <c r="F405" s="406"/>
      <c r="G405" s="306"/>
      <c r="H405" s="407"/>
      <c r="I405" s="407"/>
      <c r="J405" s="407"/>
      <c r="K405" s="407"/>
      <c r="L405" s="407"/>
      <c r="M405" s="407"/>
      <c r="N405" s="407"/>
      <c r="O405" s="407"/>
      <c r="P405" s="407"/>
      <c r="Q405" s="407"/>
      <c r="R405" s="306"/>
      <c r="S405" s="306"/>
    </row>
    <row r="406">
      <c r="A406" s="5">
        <v>405.0</v>
      </c>
      <c r="F406" s="406"/>
      <c r="G406" s="306"/>
      <c r="H406" s="407"/>
      <c r="I406" s="407"/>
      <c r="J406" s="407"/>
      <c r="K406" s="407"/>
      <c r="L406" s="407"/>
      <c r="M406" s="407"/>
      <c r="N406" s="407"/>
      <c r="O406" s="407"/>
      <c r="P406" s="407"/>
      <c r="Q406" s="407"/>
      <c r="R406" s="306"/>
      <c r="S406" s="306"/>
    </row>
    <row r="407">
      <c r="A407" s="5">
        <v>406.0</v>
      </c>
      <c r="F407" s="406"/>
      <c r="G407" s="306"/>
      <c r="H407" s="407"/>
      <c r="I407" s="407"/>
      <c r="J407" s="407"/>
      <c r="K407" s="407"/>
      <c r="L407" s="407"/>
      <c r="M407" s="407"/>
      <c r="N407" s="407"/>
      <c r="O407" s="407"/>
      <c r="P407" s="407"/>
      <c r="Q407" s="407"/>
      <c r="R407" s="306"/>
      <c r="S407" s="306"/>
    </row>
    <row r="408">
      <c r="A408" s="5">
        <v>407.0</v>
      </c>
      <c r="F408" s="406"/>
      <c r="G408" s="306"/>
      <c r="H408" s="407"/>
      <c r="I408" s="407"/>
      <c r="J408" s="407"/>
      <c r="K408" s="407"/>
      <c r="L408" s="407"/>
      <c r="M408" s="407"/>
      <c r="N408" s="407"/>
      <c r="O408" s="407"/>
      <c r="P408" s="407"/>
      <c r="Q408" s="407"/>
      <c r="R408" s="306"/>
      <c r="S408" s="306"/>
    </row>
    <row r="409">
      <c r="A409" s="5">
        <v>408.0</v>
      </c>
      <c r="F409" s="406"/>
      <c r="G409" s="306"/>
      <c r="H409" s="407"/>
      <c r="I409" s="407"/>
      <c r="J409" s="407"/>
      <c r="K409" s="407"/>
      <c r="L409" s="407"/>
      <c r="M409" s="407"/>
      <c r="N409" s="407"/>
      <c r="O409" s="407"/>
      <c r="P409" s="407"/>
      <c r="Q409" s="407"/>
      <c r="R409" s="306"/>
      <c r="S409" s="306"/>
    </row>
    <row r="410">
      <c r="A410" s="5">
        <v>409.0</v>
      </c>
    </row>
    <row r="411">
      <c r="A411" s="5">
        <v>410.0</v>
      </c>
    </row>
    <row r="412">
      <c r="A412" s="5">
        <v>411.0</v>
      </c>
    </row>
    <row r="413">
      <c r="A413" s="5">
        <v>412.0</v>
      </c>
    </row>
    <row r="414">
      <c r="A414" s="5">
        <v>413.0</v>
      </c>
    </row>
    <row r="415">
      <c r="A415" s="5">
        <v>414.0</v>
      </c>
    </row>
    <row r="416">
      <c r="A416" s="5">
        <v>415.0</v>
      </c>
    </row>
    <row r="417">
      <c r="A417" s="408"/>
    </row>
    <row r="418">
      <c r="A418" s="408"/>
    </row>
    <row r="419">
      <c r="A419" s="408"/>
    </row>
    <row r="420">
      <c r="A420" s="408"/>
    </row>
    <row r="421">
      <c r="A421" s="408"/>
    </row>
    <row r="422">
      <c r="A422" s="408"/>
    </row>
    <row r="423">
      <c r="A423" s="408"/>
    </row>
    <row r="424">
      <c r="A424" s="408"/>
    </row>
    <row r="425">
      <c r="A425" s="408"/>
    </row>
    <row r="426">
      <c r="A426" s="408"/>
    </row>
    <row r="427">
      <c r="A427" s="408"/>
    </row>
    <row r="428">
      <c r="A428" s="408"/>
    </row>
    <row r="429">
      <c r="A429" s="408"/>
    </row>
    <row r="430">
      <c r="A430" s="408"/>
    </row>
    <row r="431">
      <c r="A431" s="408"/>
    </row>
    <row r="432">
      <c r="A432" s="408"/>
    </row>
    <row r="433">
      <c r="A433" s="408"/>
    </row>
    <row r="434">
      <c r="A434" s="408"/>
    </row>
    <row r="435">
      <c r="A435" s="408"/>
    </row>
    <row r="436">
      <c r="A436" s="408"/>
    </row>
    <row r="437">
      <c r="A437" s="408"/>
    </row>
    <row r="438">
      <c r="A438" s="408"/>
    </row>
    <row r="439">
      <c r="A439" s="408"/>
    </row>
    <row r="440">
      <c r="A440" s="408"/>
    </row>
    <row r="441">
      <c r="A441" s="408"/>
    </row>
    <row r="442">
      <c r="A442" s="408"/>
    </row>
    <row r="443">
      <c r="A443" s="408"/>
    </row>
    <row r="444">
      <c r="A444" s="408"/>
    </row>
    <row r="445">
      <c r="A445" s="408"/>
    </row>
    <row r="446">
      <c r="A446" s="408"/>
    </row>
    <row r="447">
      <c r="A447" s="408"/>
    </row>
    <row r="448">
      <c r="A448" s="408"/>
    </row>
    <row r="449">
      <c r="A449" s="408"/>
    </row>
    <row r="450">
      <c r="A450" s="408"/>
    </row>
    <row r="451">
      <c r="A451" s="408"/>
    </row>
    <row r="452">
      <c r="A452" s="408"/>
    </row>
    <row r="453">
      <c r="A453" s="408"/>
    </row>
    <row r="454">
      <c r="A454" s="408"/>
    </row>
    <row r="455">
      <c r="A455" s="408"/>
    </row>
    <row r="456">
      <c r="A456" s="408"/>
    </row>
    <row r="457">
      <c r="A457" s="408"/>
    </row>
    <row r="458">
      <c r="A458" s="408"/>
    </row>
    <row r="459">
      <c r="A459" s="408"/>
    </row>
    <row r="460">
      <c r="A460" s="408"/>
    </row>
    <row r="461">
      <c r="A461" s="408"/>
    </row>
    <row r="462">
      <c r="A462" s="408"/>
    </row>
    <row r="463">
      <c r="A463" s="408"/>
    </row>
    <row r="464">
      <c r="A464" s="408"/>
    </row>
    <row r="465">
      <c r="A465" s="408"/>
    </row>
    <row r="466">
      <c r="A466" s="408"/>
    </row>
    <row r="467">
      <c r="A467" s="408"/>
    </row>
    <row r="468">
      <c r="A468" s="408"/>
    </row>
    <row r="469">
      <c r="A469" s="408"/>
    </row>
    <row r="470">
      <c r="A470" s="408"/>
    </row>
    <row r="471">
      <c r="A471" s="408"/>
    </row>
    <row r="472">
      <c r="A472" s="408"/>
    </row>
    <row r="473">
      <c r="A473" s="408"/>
    </row>
    <row r="474">
      <c r="A474" s="408"/>
    </row>
    <row r="475">
      <c r="A475" s="408"/>
    </row>
    <row r="476">
      <c r="A476" s="408"/>
    </row>
    <row r="477">
      <c r="A477" s="408"/>
    </row>
    <row r="478">
      <c r="A478" s="408"/>
    </row>
    <row r="479">
      <c r="A479" s="408"/>
    </row>
    <row r="480">
      <c r="A480" s="408"/>
    </row>
    <row r="481">
      <c r="A481" s="408"/>
    </row>
    <row r="482">
      <c r="A482" s="408"/>
    </row>
    <row r="483">
      <c r="A483" s="408"/>
    </row>
    <row r="484">
      <c r="A484" s="408"/>
    </row>
    <row r="485">
      <c r="A485" s="408"/>
    </row>
    <row r="486">
      <c r="A486" s="408"/>
    </row>
    <row r="487">
      <c r="A487" s="408"/>
    </row>
    <row r="488">
      <c r="A488" s="408"/>
    </row>
    <row r="489">
      <c r="A489" s="408"/>
    </row>
    <row r="490">
      <c r="A490" s="408"/>
    </row>
    <row r="491">
      <c r="A491" s="408"/>
    </row>
    <row r="492">
      <c r="A492" s="408"/>
    </row>
    <row r="493">
      <c r="A493" s="408"/>
    </row>
    <row r="494">
      <c r="A494" s="408"/>
    </row>
    <row r="495">
      <c r="A495" s="408"/>
    </row>
    <row r="496">
      <c r="A496" s="408"/>
    </row>
    <row r="497">
      <c r="A497" s="408"/>
    </row>
    <row r="498">
      <c r="A498" s="408"/>
    </row>
    <row r="499">
      <c r="A499" s="408"/>
    </row>
    <row r="500">
      <c r="A500" s="408"/>
    </row>
    <row r="501">
      <c r="A501" s="408"/>
    </row>
    <row r="502">
      <c r="A502" s="408"/>
    </row>
    <row r="503">
      <c r="A503" s="408"/>
    </row>
    <row r="504">
      <c r="A504" s="408"/>
    </row>
    <row r="505">
      <c r="A505" s="408"/>
    </row>
    <row r="506">
      <c r="A506" s="408"/>
    </row>
    <row r="507">
      <c r="A507" s="408"/>
    </row>
    <row r="508">
      <c r="A508" s="408"/>
    </row>
    <row r="509">
      <c r="A509" s="408"/>
    </row>
    <row r="510">
      <c r="A510" s="408"/>
    </row>
    <row r="511">
      <c r="A511" s="408"/>
    </row>
    <row r="512">
      <c r="A512" s="408"/>
    </row>
    <row r="513">
      <c r="A513" s="408"/>
    </row>
    <row r="514">
      <c r="A514" s="408"/>
    </row>
    <row r="515">
      <c r="A515" s="408"/>
    </row>
    <row r="516">
      <c r="A516" s="408"/>
    </row>
    <row r="517">
      <c r="A517" s="408"/>
    </row>
    <row r="518">
      <c r="A518" s="408"/>
    </row>
    <row r="519">
      <c r="A519" s="408"/>
    </row>
    <row r="520">
      <c r="A520" s="408"/>
    </row>
    <row r="521">
      <c r="A521" s="408"/>
    </row>
    <row r="522">
      <c r="A522" s="408"/>
    </row>
    <row r="523">
      <c r="A523" s="408"/>
    </row>
    <row r="524">
      <c r="A524" s="408"/>
    </row>
    <row r="525">
      <c r="A525" s="408"/>
    </row>
    <row r="526">
      <c r="A526" s="408"/>
    </row>
    <row r="527">
      <c r="A527" s="408"/>
    </row>
    <row r="528">
      <c r="A528" s="408"/>
    </row>
    <row r="529">
      <c r="A529" s="408"/>
    </row>
    <row r="530">
      <c r="A530" s="408"/>
    </row>
    <row r="531">
      <c r="A531" s="408"/>
    </row>
    <row r="532">
      <c r="A532" s="408"/>
    </row>
    <row r="533">
      <c r="A533" s="408"/>
    </row>
    <row r="534">
      <c r="A534" s="408"/>
    </row>
    <row r="535">
      <c r="A535" s="408"/>
    </row>
    <row r="536">
      <c r="A536" s="408"/>
    </row>
    <row r="537">
      <c r="A537" s="408"/>
    </row>
    <row r="538">
      <c r="A538" s="408"/>
    </row>
    <row r="539">
      <c r="A539" s="408"/>
    </row>
    <row r="540">
      <c r="A540" s="408"/>
    </row>
    <row r="541">
      <c r="A541" s="408"/>
    </row>
    <row r="542">
      <c r="A542" s="408"/>
    </row>
    <row r="543">
      <c r="A543" s="408"/>
    </row>
    <row r="544">
      <c r="A544" s="408"/>
    </row>
    <row r="545">
      <c r="A545" s="408"/>
    </row>
    <row r="546">
      <c r="A546" s="408"/>
    </row>
    <row r="547">
      <c r="A547" s="408"/>
    </row>
    <row r="548">
      <c r="A548" s="408"/>
    </row>
    <row r="549">
      <c r="A549" s="408"/>
    </row>
    <row r="550">
      <c r="A550" s="408"/>
    </row>
    <row r="551">
      <c r="A551" s="408"/>
    </row>
    <row r="552">
      <c r="A552" s="408"/>
    </row>
    <row r="553">
      <c r="A553" s="408"/>
    </row>
    <row r="554">
      <c r="A554" s="408"/>
    </row>
    <row r="555">
      <c r="A555" s="408"/>
    </row>
    <row r="556">
      <c r="A556" s="408"/>
    </row>
    <row r="557">
      <c r="A557" s="408"/>
    </row>
    <row r="558">
      <c r="A558" s="408"/>
    </row>
    <row r="559">
      <c r="A559" s="408"/>
    </row>
    <row r="560">
      <c r="A560" s="408"/>
    </row>
    <row r="561">
      <c r="A561" s="408"/>
    </row>
    <row r="562">
      <c r="A562" s="408"/>
    </row>
    <row r="563">
      <c r="A563" s="408"/>
    </row>
    <row r="564">
      <c r="A564" s="408"/>
    </row>
    <row r="565">
      <c r="A565" s="408"/>
    </row>
    <row r="566">
      <c r="A566" s="408"/>
    </row>
    <row r="567">
      <c r="A567" s="408"/>
    </row>
    <row r="568">
      <c r="A568" s="408"/>
    </row>
    <row r="569">
      <c r="A569" s="408"/>
    </row>
    <row r="570">
      <c r="A570" s="408"/>
    </row>
    <row r="571">
      <c r="A571" s="408"/>
    </row>
    <row r="572">
      <c r="A572" s="408"/>
    </row>
    <row r="573">
      <c r="A573" s="408"/>
    </row>
    <row r="574">
      <c r="A574" s="408"/>
    </row>
    <row r="575">
      <c r="A575" s="408"/>
    </row>
    <row r="576">
      <c r="A576" s="408"/>
    </row>
    <row r="577">
      <c r="A577" s="408"/>
    </row>
    <row r="578">
      <c r="A578" s="408"/>
    </row>
    <row r="579">
      <c r="A579" s="408"/>
    </row>
    <row r="580">
      <c r="A580" s="408"/>
    </row>
    <row r="581">
      <c r="A581" s="408"/>
    </row>
    <row r="582">
      <c r="A582" s="408"/>
    </row>
    <row r="583">
      <c r="A583" s="408"/>
    </row>
    <row r="584">
      <c r="A584" s="408"/>
    </row>
    <row r="585">
      <c r="A585" s="408"/>
    </row>
    <row r="586">
      <c r="A586" s="408"/>
    </row>
    <row r="587">
      <c r="A587" s="408"/>
    </row>
    <row r="588">
      <c r="A588" s="408"/>
    </row>
    <row r="589">
      <c r="A589" s="408"/>
    </row>
    <row r="590">
      <c r="A590" s="408"/>
    </row>
    <row r="591">
      <c r="A591" s="408"/>
    </row>
    <row r="592">
      <c r="A592" s="408"/>
    </row>
    <row r="593">
      <c r="A593" s="408"/>
    </row>
    <row r="594">
      <c r="A594" s="408"/>
    </row>
    <row r="595">
      <c r="A595" s="408"/>
    </row>
    <row r="596">
      <c r="A596" s="408"/>
    </row>
    <row r="597">
      <c r="A597" s="408"/>
    </row>
    <row r="598">
      <c r="A598" s="408"/>
    </row>
    <row r="599">
      <c r="A599" s="408"/>
    </row>
    <row r="600">
      <c r="A600" s="408"/>
    </row>
    <row r="601">
      <c r="A601" s="408"/>
    </row>
    <row r="602">
      <c r="A602" s="408"/>
    </row>
    <row r="603">
      <c r="A603" s="408"/>
    </row>
    <row r="604">
      <c r="A604" s="408"/>
    </row>
    <row r="605">
      <c r="A605" s="408"/>
    </row>
    <row r="606">
      <c r="A606" s="408"/>
    </row>
    <row r="607">
      <c r="A607" s="408"/>
    </row>
    <row r="608">
      <c r="A608" s="408"/>
    </row>
    <row r="609">
      <c r="A609" s="408"/>
    </row>
    <row r="610">
      <c r="A610" s="408"/>
    </row>
    <row r="611">
      <c r="A611" s="408"/>
    </row>
    <row r="612">
      <c r="A612" s="408"/>
    </row>
    <row r="613">
      <c r="A613" s="408"/>
    </row>
    <row r="614">
      <c r="A614" s="408"/>
    </row>
    <row r="615">
      <c r="A615" s="408"/>
    </row>
    <row r="616">
      <c r="A616" s="408"/>
    </row>
    <row r="617">
      <c r="A617" s="408"/>
    </row>
    <row r="618">
      <c r="A618" s="408"/>
    </row>
    <row r="619">
      <c r="A619" s="408"/>
    </row>
    <row r="620">
      <c r="A620" s="408"/>
    </row>
    <row r="621">
      <c r="A621" s="408"/>
    </row>
    <row r="622">
      <c r="A622" s="408"/>
    </row>
    <row r="623">
      <c r="A623" s="408"/>
    </row>
    <row r="624">
      <c r="A624" s="408"/>
    </row>
    <row r="625">
      <c r="A625" s="408"/>
    </row>
    <row r="626">
      <c r="A626" s="408"/>
    </row>
    <row r="627">
      <c r="A627" s="408"/>
    </row>
    <row r="628">
      <c r="A628" s="408"/>
    </row>
    <row r="629">
      <c r="A629" s="408"/>
    </row>
    <row r="630">
      <c r="A630" s="408"/>
    </row>
    <row r="631">
      <c r="A631" s="408"/>
    </row>
    <row r="632">
      <c r="A632" s="408"/>
    </row>
    <row r="633">
      <c r="A633" s="408"/>
    </row>
    <row r="634">
      <c r="A634" s="408"/>
    </row>
    <row r="635">
      <c r="A635" s="408"/>
    </row>
    <row r="636">
      <c r="A636" s="408"/>
    </row>
    <row r="637">
      <c r="A637" s="408"/>
    </row>
    <row r="638">
      <c r="A638" s="408"/>
    </row>
    <row r="639">
      <c r="A639" s="408"/>
    </row>
    <row r="640">
      <c r="A640" s="408"/>
    </row>
    <row r="641">
      <c r="A641" s="408"/>
    </row>
    <row r="642">
      <c r="A642" s="408"/>
    </row>
    <row r="643">
      <c r="A643" s="408"/>
    </row>
    <row r="644">
      <c r="A644" s="408"/>
    </row>
    <row r="645">
      <c r="A645" s="408"/>
    </row>
    <row r="646">
      <c r="A646" s="408"/>
    </row>
    <row r="647">
      <c r="A647" s="408"/>
    </row>
    <row r="648">
      <c r="A648" s="408"/>
    </row>
    <row r="649">
      <c r="A649" s="408"/>
    </row>
    <row r="650">
      <c r="A650" s="408"/>
    </row>
    <row r="651">
      <c r="A651" s="408"/>
    </row>
    <row r="652">
      <c r="A652" s="408"/>
    </row>
    <row r="653">
      <c r="A653" s="408"/>
    </row>
    <row r="654">
      <c r="A654" s="408"/>
    </row>
    <row r="655">
      <c r="A655" s="408"/>
    </row>
    <row r="656">
      <c r="A656" s="408"/>
    </row>
    <row r="657">
      <c r="A657" s="408"/>
    </row>
    <row r="658">
      <c r="A658" s="408"/>
    </row>
    <row r="659">
      <c r="A659" s="408"/>
    </row>
    <row r="660">
      <c r="A660" s="408"/>
    </row>
    <row r="661">
      <c r="A661" s="408"/>
    </row>
    <row r="662">
      <c r="A662" s="408"/>
    </row>
    <row r="663">
      <c r="A663" s="408"/>
    </row>
    <row r="664">
      <c r="A664" s="408"/>
    </row>
    <row r="665">
      <c r="A665" s="408"/>
    </row>
    <row r="666">
      <c r="A666" s="408"/>
    </row>
    <row r="667">
      <c r="A667" s="408"/>
    </row>
    <row r="668">
      <c r="A668" s="408"/>
    </row>
    <row r="669">
      <c r="A669" s="408"/>
    </row>
    <row r="670">
      <c r="A670" s="408"/>
    </row>
    <row r="671">
      <c r="A671" s="408"/>
    </row>
    <row r="672">
      <c r="A672" s="408"/>
    </row>
    <row r="673">
      <c r="A673" s="408"/>
    </row>
    <row r="674">
      <c r="A674" s="408"/>
    </row>
    <row r="675">
      <c r="A675" s="408"/>
    </row>
    <row r="676">
      <c r="A676" s="408"/>
    </row>
    <row r="677">
      <c r="A677" s="408"/>
    </row>
    <row r="678">
      <c r="A678" s="408"/>
    </row>
    <row r="679">
      <c r="A679" s="408"/>
    </row>
    <row r="680">
      <c r="A680" s="408"/>
    </row>
    <row r="681">
      <c r="A681" s="408"/>
    </row>
    <row r="682">
      <c r="A682" s="408"/>
    </row>
    <row r="683">
      <c r="A683" s="408"/>
    </row>
    <row r="684">
      <c r="A684" s="408"/>
    </row>
    <row r="685">
      <c r="A685" s="408"/>
    </row>
    <row r="686">
      <c r="A686" s="408"/>
    </row>
    <row r="687">
      <c r="A687" s="408"/>
    </row>
    <row r="688">
      <c r="A688" s="408"/>
    </row>
    <row r="689">
      <c r="A689" s="408"/>
    </row>
    <row r="690">
      <c r="A690" s="408"/>
    </row>
    <row r="691">
      <c r="A691" s="408"/>
    </row>
    <row r="692">
      <c r="A692" s="408"/>
    </row>
    <row r="693">
      <c r="A693" s="408"/>
    </row>
    <row r="694">
      <c r="A694" s="408"/>
    </row>
    <row r="695">
      <c r="A695" s="408"/>
    </row>
    <row r="696">
      <c r="A696" s="408"/>
    </row>
    <row r="697">
      <c r="A697" s="408"/>
    </row>
    <row r="698">
      <c r="A698" s="408"/>
    </row>
    <row r="699">
      <c r="A699" s="408"/>
    </row>
    <row r="700">
      <c r="A700" s="408"/>
    </row>
    <row r="701">
      <c r="A701" s="408"/>
    </row>
    <row r="702">
      <c r="A702" s="408"/>
    </row>
    <row r="703">
      <c r="A703" s="408"/>
    </row>
    <row r="704">
      <c r="A704" s="408"/>
    </row>
    <row r="705">
      <c r="A705" s="408"/>
    </row>
    <row r="706">
      <c r="A706" s="408"/>
    </row>
    <row r="707">
      <c r="A707" s="408"/>
    </row>
    <row r="708">
      <c r="A708" s="408"/>
    </row>
    <row r="709">
      <c r="A709" s="408"/>
    </row>
    <row r="710">
      <c r="A710" s="408"/>
    </row>
    <row r="711">
      <c r="A711" s="408"/>
    </row>
    <row r="712">
      <c r="A712" s="408"/>
    </row>
    <row r="713">
      <c r="A713" s="408"/>
    </row>
    <row r="714">
      <c r="A714" s="408"/>
    </row>
    <row r="715">
      <c r="A715" s="408"/>
    </row>
    <row r="716">
      <c r="A716" s="408"/>
    </row>
    <row r="717">
      <c r="A717" s="408"/>
    </row>
    <row r="718">
      <c r="A718" s="408"/>
    </row>
    <row r="719">
      <c r="A719" s="408"/>
    </row>
    <row r="720">
      <c r="A720" s="408"/>
    </row>
    <row r="721">
      <c r="A721" s="408"/>
    </row>
    <row r="722">
      <c r="A722" s="408"/>
    </row>
    <row r="723">
      <c r="A723" s="408"/>
    </row>
    <row r="724">
      <c r="A724" s="408"/>
    </row>
    <row r="725">
      <c r="A725" s="408"/>
    </row>
    <row r="726">
      <c r="A726" s="408"/>
    </row>
    <row r="727">
      <c r="A727" s="408"/>
    </row>
    <row r="728">
      <c r="A728" s="408"/>
    </row>
    <row r="729">
      <c r="A729" s="408"/>
    </row>
    <row r="730">
      <c r="A730" s="408"/>
    </row>
    <row r="731">
      <c r="A731" s="408"/>
    </row>
    <row r="732">
      <c r="A732" s="408"/>
    </row>
    <row r="733">
      <c r="A733" s="408"/>
    </row>
    <row r="734">
      <c r="A734" s="408"/>
    </row>
    <row r="735">
      <c r="A735" s="408"/>
    </row>
    <row r="736">
      <c r="A736" s="408"/>
    </row>
    <row r="737">
      <c r="A737" s="408"/>
    </row>
    <row r="738">
      <c r="A738" s="408"/>
    </row>
    <row r="739">
      <c r="A739" s="408"/>
    </row>
    <row r="740">
      <c r="A740" s="408"/>
    </row>
    <row r="741">
      <c r="A741" s="408"/>
    </row>
    <row r="742">
      <c r="A742" s="408"/>
    </row>
    <row r="743">
      <c r="A743" s="408"/>
    </row>
    <row r="744">
      <c r="A744" s="408"/>
    </row>
    <row r="745">
      <c r="A745" s="408"/>
    </row>
    <row r="746">
      <c r="A746" s="408"/>
    </row>
    <row r="747">
      <c r="A747" s="408"/>
    </row>
    <row r="748">
      <c r="A748" s="408"/>
    </row>
    <row r="749">
      <c r="A749" s="408"/>
    </row>
    <row r="750">
      <c r="A750" s="408"/>
    </row>
    <row r="751">
      <c r="A751" s="408"/>
    </row>
    <row r="752">
      <c r="A752" s="408"/>
    </row>
    <row r="753">
      <c r="A753" s="408"/>
    </row>
    <row r="754">
      <c r="A754" s="408"/>
    </row>
    <row r="755">
      <c r="A755" s="408"/>
    </row>
    <row r="756">
      <c r="A756" s="408"/>
    </row>
    <row r="757">
      <c r="A757" s="408"/>
    </row>
    <row r="758">
      <c r="A758" s="408"/>
    </row>
    <row r="759">
      <c r="A759" s="408"/>
    </row>
    <row r="760">
      <c r="A760" s="408"/>
    </row>
    <row r="761">
      <c r="A761" s="408"/>
    </row>
    <row r="762">
      <c r="A762" s="408"/>
    </row>
    <row r="763">
      <c r="A763" s="408"/>
    </row>
    <row r="764">
      <c r="A764" s="408"/>
    </row>
    <row r="765">
      <c r="A765" s="408"/>
    </row>
    <row r="766">
      <c r="A766" s="408"/>
    </row>
    <row r="767">
      <c r="A767" s="408"/>
    </row>
    <row r="768">
      <c r="A768" s="408"/>
    </row>
    <row r="769">
      <c r="A769" s="408"/>
    </row>
    <row r="770">
      <c r="A770" s="408"/>
    </row>
    <row r="771">
      <c r="A771" s="408"/>
    </row>
    <row r="772">
      <c r="A772" s="408"/>
    </row>
    <row r="773">
      <c r="A773" s="408"/>
    </row>
    <row r="774">
      <c r="A774" s="408"/>
    </row>
    <row r="775">
      <c r="A775" s="408"/>
    </row>
    <row r="776">
      <c r="A776" s="408"/>
    </row>
    <row r="777">
      <c r="A777" s="408"/>
    </row>
    <row r="778">
      <c r="A778" s="408"/>
    </row>
    <row r="779">
      <c r="A779" s="408"/>
    </row>
    <row r="780">
      <c r="A780" s="408"/>
    </row>
    <row r="781">
      <c r="A781" s="408"/>
    </row>
    <row r="782">
      <c r="A782" s="408"/>
    </row>
    <row r="783">
      <c r="A783" s="408"/>
    </row>
    <row r="784">
      <c r="A784" s="408"/>
    </row>
    <row r="785">
      <c r="A785" s="408"/>
    </row>
    <row r="786">
      <c r="A786" s="408"/>
    </row>
    <row r="787">
      <c r="A787" s="408"/>
    </row>
    <row r="788">
      <c r="A788" s="408"/>
    </row>
    <row r="789">
      <c r="A789" s="408"/>
    </row>
    <row r="790">
      <c r="A790" s="408"/>
    </row>
    <row r="791">
      <c r="A791" s="408"/>
    </row>
    <row r="792">
      <c r="A792" s="408"/>
    </row>
    <row r="793">
      <c r="A793" s="408"/>
    </row>
    <row r="794">
      <c r="A794" s="408"/>
    </row>
    <row r="795">
      <c r="A795" s="408"/>
    </row>
    <row r="796">
      <c r="A796" s="408"/>
    </row>
    <row r="797">
      <c r="A797" s="408"/>
    </row>
    <row r="798">
      <c r="A798" s="408"/>
    </row>
    <row r="799">
      <c r="A799" s="408"/>
    </row>
    <row r="800">
      <c r="A800" s="408"/>
    </row>
    <row r="801">
      <c r="A801" s="408"/>
    </row>
    <row r="802">
      <c r="A802" s="408"/>
    </row>
    <row r="803">
      <c r="A803" s="408"/>
    </row>
    <row r="804">
      <c r="A804" s="408"/>
    </row>
    <row r="805">
      <c r="A805" s="408"/>
    </row>
    <row r="806">
      <c r="A806" s="408"/>
    </row>
    <row r="807">
      <c r="A807" s="408"/>
    </row>
    <row r="808">
      <c r="A808" s="408"/>
    </row>
    <row r="809">
      <c r="A809" s="408"/>
    </row>
    <row r="810">
      <c r="A810" s="408"/>
    </row>
    <row r="811">
      <c r="A811" s="408"/>
    </row>
    <row r="812">
      <c r="A812" s="408"/>
    </row>
    <row r="813">
      <c r="A813" s="408"/>
    </row>
    <row r="814">
      <c r="A814" s="408"/>
    </row>
    <row r="815">
      <c r="A815" s="408"/>
    </row>
    <row r="816">
      <c r="A816" s="408"/>
    </row>
    <row r="817">
      <c r="A817" s="408"/>
    </row>
    <row r="818">
      <c r="A818" s="408"/>
    </row>
    <row r="819">
      <c r="A819" s="408"/>
    </row>
    <row r="820">
      <c r="A820" s="408"/>
    </row>
    <row r="821">
      <c r="A821" s="408"/>
    </row>
    <row r="822">
      <c r="A822" s="408"/>
    </row>
    <row r="823">
      <c r="A823" s="408"/>
    </row>
    <row r="824">
      <c r="A824" s="408"/>
    </row>
    <row r="825">
      <c r="A825" s="408"/>
    </row>
    <row r="826">
      <c r="A826" s="408"/>
    </row>
    <row r="827">
      <c r="A827" s="408"/>
    </row>
    <row r="828">
      <c r="A828" s="408"/>
    </row>
    <row r="829">
      <c r="A829" s="408"/>
    </row>
    <row r="830">
      <c r="A830" s="408"/>
    </row>
    <row r="831">
      <c r="A831" s="408"/>
    </row>
    <row r="832">
      <c r="A832" s="408"/>
    </row>
    <row r="833">
      <c r="A833" s="408"/>
    </row>
    <row r="834">
      <c r="A834" s="408"/>
    </row>
    <row r="835">
      <c r="A835" s="408"/>
    </row>
    <row r="836">
      <c r="A836" s="408"/>
    </row>
    <row r="837">
      <c r="A837" s="408"/>
    </row>
    <row r="838">
      <c r="A838" s="408"/>
    </row>
    <row r="839">
      <c r="A839" s="408"/>
    </row>
    <row r="840">
      <c r="A840" s="408"/>
    </row>
    <row r="841">
      <c r="A841" s="408"/>
    </row>
    <row r="842">
      <c r="A842" s="408"/>
    </row>
    <row r="843">
      <c r="A843" s="408"/>
    </row>
    <row r="844">
      <c r="A844" s="408"/>
    </row>
    <row r="845">
      <c r="A845" s="408"/>
    </row>
    <row r="846">
      <c r="A846" s="408"/>
    </row>
    <row r="847">
      <c r="A847" s="408"/>
    </row>
    <row r="848">
      <c r="A848" s="408"/>
    </row>
    <row r="849">
      <c r="A849" s="408"/>
    </row>
    <row r="850">
      <c r="A850" s="408"/>
    </row>
    <row r="851">
      <c r="A851" s="408"/>
    </row>
    <row r="852">
      <c r="A852" s="408"/>
    </row>
    <row r="853">
      <c r="A853" s="408"/>
    </row>
    <row r="854">
      <c r="A854" s="408"/>
    </row>
    <row r="855">
      <c r="A855" s="408"/>
    </row>
    <row r="856">
      <c r="A856" s="408"/>
    </row>
    <row r="857">
      <c r="A857" s="408"/>
    </row>
    <row r="858">
      <c r="A858" s="408"/>
    </row>
    <row r="859">
      <c r="A859" s="408"/>
    </row>
    <row r="860">
      <c r="A860" s="408"/>
    </row>
    <row r="861">
      <c r="A861" s="408"/>
    </row>
    <row r="862">
      <c r="A862" s="408"/>
    </row>
    <row r="863">
      <c r="A863" s="408"/>
    </row>
    <row r="864">
      <c r="A864" s="408"/>
    </row>
    <row r="865">
      <c r="A865" s="408"/>
    </row>
    <row r="866">
      <c r="A866" s="408"/>
    </row>
    <row r="867">
      <c r="A867" s="408"/>
    </row>
    <row r="868">
      <c r="A868" s="408"/>
    </row>
    <row r="869">
      <c r="A869" s="408"/>
    </row>
    <row r="870">
      <c r="A870" s="408"/>
    </row>
    <row r="871">
      <c r="A871" s="408"/>
    </row>
    <row r="872">
      <c r="A872" s="408"/>
    </row>
    <row r="873">
      <c r="A873" s="408"/>
    </row>
    <row r="874">
      <c r="A874" s="408"/>
    </row>
    <row r="875">
      <c r="A875" s="408"/>
    </row>
    <row r="876">
      <c r="A876" s="408"/>
    </row>
    <row r="877">
      <c r="A877" s="408"/>
    </row>
    <row r="878">
      <c r="A878" s="408"/>
    </row>
    <row r="879">
      <c r="A879" s="408"/>
    </row>
    <row r="880">
      <c r="A880" s="408"/>
    </row>
    <row r="881">
      <c r="A881" s="408"/>
    </row>
    <row r="882">
      <c r="A882" s="408"/>
    </row>
    <row r="883">
      <c r="A883" s="408"/>
    </row>
    <row r="884">
      <c r="A884" s="408"/>
    </row>
    <row r="885">
      <c r="A885" s="408"/>
    </row>
    <row r="886">
      <c r="A886" s="408"/>
    </row>
    <row r="887">
      <c r="A887" s="408"/>
    </row>
    <row r="888">
      <c r="A888" s="408"/>
    </row>
    <row r="889">
      <c r="A889" s="408"/>
    </row>
    <row r="890">
      <c r="A890" s="408"/>
    </row>
    <row r="891">
      <c r="A891" s="408"/>
    </row>
    <row r="892">
      <c r="A892" s="408"/>
    </row>
    <row r="893">
      <c r="A893" s="408"/>
    </row>
    <row r="894">
      <c r="A894" s="408"/>
    </row>
    <row r="895">
      <c r="A895" s="408"/>
    </row>
    <row r="896">
      <c r="A896" s="408"/>
    </row>
    <row r="897">
      <c r="A897" s="408"/>
    </row>
    <row r="898">
      <c r="A898" s="408"/>
    </row>
    <row r="899">
      <c r="A899" s="408"/>
    </row>
    <row r="900">
      <c r="A900" s="408"/>
    </row>
    <row r="901">
      <c r="A901" s="408"/>
    </row>
    <row r="902">
      <c r="A902" s="408"/>
    </row>
    <row r="903">
      <c r="A903" s="408"/>
    </row>
    <row r="904">
      <c r="A904" s="408"/>
    </row>
    <row r="905">
      <c r="A905" s="408"/>
    </row>
    <row r="906">
      <c r="A906" s="408"/>
    </row>
    <row r="907">
      <c r="A907" s="408"/>
    </row>
    <row r="908">
      <c r="A908" s="408"/>
    </row>
    <row r="909">
      <c r="A909" s="408"/>
    </row>
    <row r="910">
      <c r="A910" s="408"/>
    </row>
    <row r="911">
      <c r="A911" s="408"/>
    </row>
    <row r="912">
      <c r="A912" s="408"/>
    </row>
    <row r="913">
      <c r="A913" s="408"/>
    </row>
    <row r="914">
      <c r="A914" s="408"/>
    </row>
    <row r="915">
      <c r="A915" s="408"/>
    </row>
    <row r="916">
      <c r="A916" s="408"/>
    </row>
    <row r="917">
      <c r="A917" s="408"/>
    </row>
    <row r="918">
      <c r="A918" s="408"/>
    </row>
    <row r="919">
      <c r="A919" s="408"/>
    </row>
    <row r="920">
      <c r="A920" s="408"/>
    </row>
    <row r="921">
      <c r="A921" s="408"/>
    </row>
    <row r="922">
      <c r="A922" s="408"/>
    </row>
    <row r="923">
      <c r="A923" s="408"/>
    </row>
    <row r="924">
      <c r="A924" s="408"/>
    </row>
    <row r="925">
      <c r="A925" s="408"/>
    </row>
    <row r="926">
      <c r="A926" s="408"/>
    </row>
    <row r="927">
      <c r="A927" s="408"/>
    </row>
    <row r="928">
      <c r="A928" s="408"/>
    </row>
    <row r="929">
      <c r="A929" s="408"/>
    </row>
    <row r="930">
      <c r="A930" s="408"/>
    </row>
    <row r="931">
      <c r="A931" s="408"/>
    </row>
    <row r="932">
      <c r="A932" s="408"/>
    </row>
    <row r="933">
      <c r="A933" s="408"/>
    </row>
    <row r="934">
      <c r="A934" s="408"/>
    </row>
    <row r="935">
      <c r="A935" s="408"/>
    </row>
    <row r="936">
      <c r="A936" s="408"/>
    </row>
    <row r="937">
      <c r="A937" s="408"/>
    </row>
    <row r="938">
      <c r="A938" s="408"/>
    </row>
    <row r="939">
      <c r="A939" s="408"/>
    </row>
    <row r="940">
      <c r="A940" s="408"/>
    </row>
    <row r="941">
      <c r="A941" s="408"/>
    </row>
    <row r="942">
      <c r="A942" s="408"/>
    </row>
    <row r="943">
      <c r="A943" s="408"/>
    </row>
    <row r="944">
      <c r="A944" s="408"/>
    </row>
    <row r="945">
      <c r="A945" s="408"/>
    </row>
    <row r="946">
      <c r="A946" s="408"/>
    </row>
    <row r="947">
      <c r="A947" s="408"/>
    </row>
    <row r="948">
      <c r="A948" s="408"/>
    </row>
    <row r="949">
      <c r="A949" s="408"/>
    </row>
    <row r="950">
      <c r="A950" s="408"/>
    </row>
    <row r="951">
      <c r="A951" s="408"/>
    </row>
    <row r="952">
      <c r="A952" s="408"/>
    </row>
    <row r="953">
      <c r="A953" s="408"/>
    </row>
    <row r="954">
      <c r="A954" s="408"/>
    </row>
    <row r="955">
      <c r="A955" s="408"/>
    </row>
    <row r="956">
      <c r="A956" s="408"/>
    </row>
    <row r="957">
      <c r="A957" s="408"/>
    </row>
    <row r="958">
      <c r="A958" s="408"/>
    </row>
    <row r="959">
      <c r="A959" s="408"/>
    </row>
    <row r="960">
      <c r="A960" s="408"/>
    </row>
    <row r="961">
      <c r="A961" s="408"/>
    </row>
    <row r="962">
      <c r="A962" s="408"/>
    </row>
    <row r="963">
      <c r="A963" s="408"/>
    </row>
    <row r="964">
      <c r="A964" s="408"/>
    </row>
    <row r="965">
      <c r="A965" s="408"/>
    </row>
    <row r="966">
      <c r="A966" s="408"/>
    </row>
    <row r="967">
      <c r="A967" s="408"/>
    </row>
    <row r="968">
      <c r="A968" s="408"/>
    </row>
    <row r="969">
      <c r="A969" s="408"/>
    </row>
    <row r="970">
      <c r="A970" s="408"/>
    </row>
    <row r="971">
      <c r="A971" s="408"/>
    </row>
    <row r="972">
      <c r="A972" s="408"/>
    </row>
    <row r="973">
      <c r="A973" s="408"/>
    </row>
    <row r="974">
      <c r="A974" s="408"/>
    </row>
    <row r="975">
      <c r="A975" s="408"/>
    </row>
    <row r="976">
      <c r="A976" s="408"/>
    </row>
    <row r="977">
      <c r="A977" s="408"/>
    </row>
    <row r="978">
      <c r="A978" s="408"/>
    </row>
    <row r="979">
      <c r="A979" s="408"/>
    </row>
    <row r="980">
      <c r="A980" s="408"/>
    </row>
    <row r="981">
      <c r="A981" s="408"/>
    </row>
    <row r="982">
      <c r="A982" s="408"/>
    </row>
    <row r="983">
      <c r="A983" s="408"/>
    </row>
    <row r="984">
      <c r="A984" s="408"/>
    </row>
    <row r="985">
      <c r="A985" s="408"/>
    </row>
    <row r="986">
      <c r="A986" s="408"/>
    </row>
    <row r="987">
      <c r="A987" s="408"/>
    </row>
    <row r="988">
      <c r="A988" s="408"/>
    </row>
    <row r="989">
      <c r="A989" s="408"/>
    </row>
    <row r="990">
      <c r="A990" s="408"/>
    </row>
    <row r="991">
      <c r="A991" s="408"/>
    </row>
    <row r="992">
      <c r="A992" s="408"/>
    </row>
    <row r="993">
      <c r="A993" s="408"/>
    </row>
    <row r="994">
      <c r="A994" s="408"/>
    </row>
    <row r="995">
      <c r="A995" s="408"/>
    </row>
    <row r="996">
      <c r="A996" s="408"/>
    </row>
    <row r="997">
      <c r="A997" s="408"/>
    </row>
    <row r="998">
      <c r="A998" s="408"/>
    </row>
    <row r="999">
      <c r="A999" s="408"/>
    </row>
    <row r="1000">
      <c r="A1000" s="40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v>
      </c>
      <c r="B1" s="5" t="s">
        <v>2</v>
      </c>
      <c r="C1" s="5" t="s">
        <v>1076</v>
      </c>
      <c r="D1" s="5" t="s">
        <v>4</v>
      </c>
      <c r="E1" s="5" t="s">
        <v>5</v>
      </c>
      <c r="F1" s="5" t="s">
        <v>6</v>
      </c>
      <c r="G1" s="5" t="s">
        <v>7</v>
      </c>
      <c r="H1" s="5" t="s">
        <v>1077</v>
      </c>
      <c r="I1" s="303" t="s">
        <v>8</v>
      </c>
      <c r="J1" s="5" t="s">
        <v>1078</v>
      </c>
      <c r="K1" s="303" t="s">
        <v>9</v>
      </c>
      <c r="L1" s="304" t="s">
        <v>1079</v>
      </c>
      <c r="M1" s="5" t="s">
        <v>11</v>
      </c>
      <c r="N1" s="5" t="s">
        <v>12</v>
      </c>
      <c r="O1" s="5" t="s">
        <v>14</v>
      </c>
      <c r="P1" s="5" t="s">
        <v>15</v>
      </c>
      <c r="Q1" s="5" t="s">
        <v>16</v>
      </c>
      <c r="R1" s="5" t="s">
        <v>17</v>
      </c>
      <c r="S1" s="5" t="s">
        <v>463</v>
      </c>
      <c r="T1" s="5" t="s">
        <v>464</v>
      </c>
    </row>
    <row r="2">
      <c r="A2" s="5">
        <v>1.0</v>
      </c>
      <c r="B2">
        <f t="array" ref="B2">INDEX(PasteHashtag!$B$2:$B1000,MATCH(C2,PasteHashtag!$C$2:$C1000,0))</f>
        <v>2</v>
      </c>
      <c r="C2" t="str">
        <f>PasteBBM!J2</f>
        <v>Victor Wembanyama</v>
      </c>
      <c r="D2" t="str">
        <f>IFERROR(REPLACE(PasteBBM!L2, FIND("/",PasteBBM!L2),1,","),PasteBBM!L2)</f>
        <v>F,C</v>
      </c>
      <c r="E2" t="str">
        <f>PasteBBM!K2</f>
        <v>SAS</v>
      </c>
      <c r="F2">
        <f>PasteBBM!T2</f>
        <v>73</v>
      </c>
      <c r="G2">
        <f>PasteBBM!V2</f>
        <v>34</v>
      </c>
      <c r="H2">
        <f>PasteBBM!AC2*PasteBBM!AD2</f>
        <v>8.840547947</v>
      </c>
      <c r="I2">
        <f>PasteBBM!AC2</f>
        <v>0.4727531115</v>
      </c>
      <c r="J2">
        <f>PasteBBM!AE2*PasteBBM!AF2</f>
        <v>5.209726027</v>
      </c>
      <c r="K2">
        <f>PasteBBM!AE2</f>
        <v>0.7959939721</v>
      </c>
      <c r="L2">
        <f>PasteBBM!X2</f>
        <v>2.309589041</v>
      </c>
      <c r="M2">
        <f>PasteBBM!W2</f>
        <v>25.20041096</v>
      </c>
      <c r="N2">
        <f>PasteBBM!Y2</f>
        <v>12.32493151</v>
      </c>
      <c r="O2">
        <f>PasteBBM!Z2</f>
        <v>5.170821918</v>
      </c>
      <c r="P2">
        <f>PasteBBM!AA2</f>
        <v>1.274931507</v>
      </c>
      <c r="Q2">
        <f>PasteBBM!AB2</f>
        <v>4.125479452</v>
      </c>
      <c r="R2">
        <f>PasteBBM!AG2</f>
        <v>3.683287671</v>
      </c>
      <c r="S2">
        <f>PasteBBM!AD2</f>
        <v>18.70013699</v>
      </c>
      <c r="T2">
        <f>PasteBBM!AF2</f>
        <v>6.544931507</v>
      </c>
    </row>
    <row r="3">
      <c r="A3" s="5">
        <v>2.0</v>
      </c>
      <c r="B3">
        <f t="array" ref="B3">INDEX(PasteHashtag!$B$2:$B1000,MATCH(C3,PasteHashtag!$C$2:$C1000,0))</f>
        <v>9.6</v>
      </c>
      <c r="C3" t="str">
        <f>PasteBBM!J3</f>
        <v>Joel Embiid</v>
      </c>
      <c r="D3" t="str">
        <f>IFERROR(REPLACE(PasteBBM!L3, FIND("/",PasteBBM!L3),1,","),PasteBBM!L3)</f>
        <v>C</v>
      </c>
      <c r="E3" t="str">
        <f>PasteBBM!K3</f>
        <v>PHI</v>
      </c>
      <c r="F3">
        <f>PasteBBM!T3</f>
        <v>57</v>
      </c>
      <c r="G3">
        <f>PasteBBM!V3</f>
        <v>33</v>
      </c>
      <c r="H3">
        <f>PasteBBM!AC3*PasteBBM!AD3</f>
        <v>10.23491228</v>
      </c>
      <c r="I3">
        <f>PasteBBM!AC3</f>
        <v>0.5367911594</v>
      </c>
      <c r="J3">
        <f>PasteBBM!AE3*PasteBBM!AF3</f>
        <v>8.625964913</v>
      </c>
      <c r="K3">
        <f>PasteBBM!AE3</f>
        <v>0.8699991153</v>
      </c>
      <c r="L3">
        <f>PasteBBM!X3</f>
        <v>1.142982456</v>
      </c>
      <c r="M3">
        <f>PasteBBM!W3</f>
        <v>30.23877193</v>
      </c>
      <c r="N3">
        <f>PasteBBM!Y3</f>
        <v>10.51052632</v>
      </c>
      <c r="O3">
        <f>PasteBBM!Z3</f>
        <v>5.037368421</v>
      </c>
      <c r="P3">
        <f>PasteBBM!AA3</f>
        <v>1.143859649</v>
      </c>
      <c r="Q3">
        <f>PasteBBM!AB3</f>
        <v>1.551052632</v>
      </c>
      <c r="R3">
        <f>PasteBBM!AG3</f>
        <v>3.573684211</v>
      </c>
      <c r="S3">
        <f>PasteBBM!AD3</f>
        <v>19.06684211</v>
      </c>
      <c r="T3">
        <f>PasteBBM!AF3</f>
        <v>9.914912281</v>
      </c>
    </row>
    <row r="4">
      <c r="A4" s="5">
        <v>3.0</v>
      </c>
      <c r="B4">
        <f t="array" ref="B4">INDEX(PasteHashtag!$B$2:$B1000,MATCH(C4,PasteHashtag!$C$2:$C1000,0))</f>
        <v>2.4</v>
      </c>
      <c r="C4" t="str">
        <f>PasteBBM!J4</f>
        <v>Nikola Jokic</v>
      </c>
      <c r="D4" t="str">
        <f>IFERROR(REPLACE(PasteBBM!L4, FIND("/",PasteBBM!L4),1,","),PasteBBM!L4)</f>
        <v>C</v>
      </c>
      <c r="E4" t="str">
        <f>PasteBBM!K4</f>
        <v>DEN</v>
      </c>
      <c r="F4">
        <f>PasteBBM!T4</f>
        <v>77</v>
      </c>
      <c r="G4">
        <f>PasteBBM!V4</f>
        <v>35</v>
      </c>
      <c r="H4">
        <f>PasteBBM!AC4*PasteBBM!AD4</f>
        <v>10.19792208</v>
      </c>
      <c r="I4">
        <f>PasteBBM!AC4</f>
        <v>0.5897010341</v>
      </c>
      <c r="J4">
        <f>PasteBBM!AE4*PasteBBM!AF4</f>
        <v>4.171948052</v>
      </c>
      <c r="K4">
        <f>PasteBBM!AE4</f>
        <v>0.8110073214</v>
      </c>
      <c r="L4">
        <f>PasteBBM!X4</f>
        <v>0.9916883117</v>
      </c>
      <c r="M4">
        <f>PasteBBM!W4</f>
        <v>25.55948052</v>
      </c>
      <c r="N4">
        <f>PasteBBM!Y4</f>
        <v>11.79064935</v>
      </c>
      <c r="O4">
        <f>PasteBBM!Z4</f>
        <v>8.360649351</v>
      </c>
      <c r="P4">
        <f>PasteBBM!AA4</f>
        <v>1.492597403</v>
      </c>
      <c r="Q4">
        <f>PasteBBM!AB4</f>
        <v>0.788961039</v>
      </c>
      <c r="R4">
        <f>PasteBBM!AG4</f>
        <v>3.215584416</v>
      </c>
      <c r="S4">
        <f>PasteBBM!AD4</f>
        <v>17.29337662</v>
      </c>
      <c r="T4">
        <f>PasteBBM!AF4</f>
        <v>5.144155844</v>
      </c>
    </row>
    <row r="5">
      <c r="A5" s="5">
        <v>4.0</v>
      </c>
      <c r="B5">
        <f t="array" ref="B5">INDEX(PasteHashtag!$B$2:$B1000,MATCH(C5,PasteHashtag!$C$2:$C1000,0))</f>
        <v>3.8</v>
      </c>
      <c r="C5" t="str">
        <f>PasteBBM!J5</f>
        <v>Luka Doncic</v>
      </c>
      <c r="D5" t="str">
        <f>IFERROR(REPLACE(PasteBBM!L5, FIND("/",PasteBBM!L5),1,","),PasteBBM!L5)</f>
        <v>G</v>
      </c>
      <c r="E5" t="str">
        <f>PasteBBM!K5</f>
        <v>DAL</v>
      </c>
      <c r="F5">
        <f>PasteBBM!T5</f>
        <v>68</v>
      </c>
      <c r="G5">
        <f>PasteBBM!V5</f>
        <v>37</v>
      </c>
      <c r="H5">
        <f>PasteBBM!AC5*PasteBBM!AD5</f>
        <v>10.98014706</v>
      </c>
      <c r="I5">
        <f>PasteBBM!AC5</f>
        <v>0.4797165326</v>
      </c>
      <c r="J5">
        <f>PasteBBM!AE5*PasteBBM!AF5</f>
        <v>5.936911765</v>
      </c>
      <c r="K5">
        <f>PasteBBM!AE5</f>
        <v>0.7859938088</v>
      </c>
      <c r="L5">
        <f>PasteBBM!X5</f>
        <v>3.974117647</v>
      </c>
      <c r="M5">
        <f>PasteBBM!W5</f>
        <v>31.87132353</v>
      </c>
      <c r="N5">
        <f>PasteBBM!Y5</f>
        <v>9.108970588</v>
      </c>
      <c r="O5">
        <f>PasteBBM!Z5</f>
        <v>9.498235294</v>
      </c>
      <c r="P5">
        <f>PasteBBM!AA5</f>
        <v>1.394852941</v>
      </c>
      <c r="Q5">
        <f>PasteBBM!AB5</f>
        <v>0.5467647059</v>
      </c>
      <c r="R5">
        <f>PasteBBM!AG5</f>
        <v>3.903676471</v>
      </c>
      <c r="S5">
        <f>PasteBBM!AD5</f>
        <v>22.88882353</v>
      </c>
      <c r="T5">
        <f>PasteBBM!AF5</f>
        <v>7.553382353</v>
      </c>
    </row>
    <row r="6">
      <c r="A6" s="5">
        <v>5.0</v>
      </c>
      <c r="B6">
        <f t="array" ref="B6">INDEX(PasteHashtag!$B$2:$B1000,MATCH(C6,PasteHashtag!$C$2:$C1000,0))</f>
        <v>7.4</v>
      </c>
      <c r="C6" t="str">
        <f>PasteBBM!J6</f>
        <v>Anthony Davis</v>
      </c>
      <c r="D6" t="str">
        <f>IFERROR(REPLACE(PasteBBM!L6, FIND("/",PasteBBM!L6),1,","),PasteBBM!L6)</f>
        <v>F,C</v>
      </c>
      <c r="E6" t="str">
        <f>PasteBBM!K6</f>
        <v>LAL</v>
      </c>
      <c r="F6">
        <f>PasteBBM!T6</f>
        <v>66</v>
      </c>
      <c r="G6">
        <f>PasteBBM!V6</f>
        <v>36</v>
      </c>
      <c r="H6">
        <f>PasteBBM!AC6*PasteBBM!AD6</f>
        <v>9.572878786</v>
      </c>
      <c r="I6">
        <f>PasteBBM!AC6</f>
        <v>0.556141401</v>
      </c>
      <c r="J6">
        <f>PasteBBM!AE6*PasteBBM!AF6</f>
        <v>5.473030303</v>
      </c>
      <c r="K6">
        <f>PasteBBM!AE6</f>
        <v>0.8080080528</v>
      </c>
      <c r="L6">
        <f>PasteBBM!X6</f>
        <v>0.5036363636</v>
      </c>
      <c r="M6">
        <f>PasteBBM!W6</f>
        <v>25.12242424</v>
      </c>
      <c r="N6">
        <f>PasteBBM!Y6</f>
        <v>13.46393939</v>
      </c>
      <c r="O6">
        <f>PasteBBM!Z6</f>
        <v>3.366060606</v>
      </c>
      <c r="P6">
        <f>PasteBBM!AA6</f>
        <v>1.307878788</v>
      </c>
      <c r="Q6">
        <f>PasteBBM!AB6</f>
        <v>2.065454545</v>
      </c>
      <c r="R6">
        <f>PasteBBM!AG6</f>
        <v>2.371515152</v>
      </c>
      <c r="S6">
        <f>PasteBBM!AD6</f>
        <v>17.2130303</v>
      </c>
      <c r="T6">
        <f>PasteBBM!AF6</f>
        <v>6.773484848</v>
      </c>
    </row>
    <row r="7">
      <c r="A7" s="5">
        <v>6.0</v>
      </c>
      <c r="B7">
        <f t="array" ref="B7">INDEX(PasteHashtag!$B$2:$B1000,MATCH(C7,PasteHashtag!$C$2:$C1000,0))</f>
        <v>4.5</v>
      </c>
      <c r="C7" t="str">
        <f>PasteBBM!J7</f>
        <v>Shai Gilgeous-Alexander</v>
      </c>
      <c r="D7" t="str">
        <f>IFERROR(REPLACE(PasteBBM!L7, FIND("/",PasteBBM!L7),1,","),PasteBBM!L7)</f>
        <v>G</v>
      </c>
      <c r="E7" t="str">
        <f>PasteBBM!K7</f>
        <v>OKC</v>
      </c>
      <c r="F7">
        <f>PasteBBM!T7</f>
        <v>73</v>
      </c>
      <c r="G7">
        <f>PasteBBM!V7</f>
        <v>34</v>
      </c>
      <c r="H7">
        <f>PasteBBM!AC7*PasteBBM!AD7</f>
        <v>10.22780822</v>
      </c>
      <c r="I7">
        <f>PasteBBM!AC7</f>
        <v>0.5123976584</v>
      </c>
      <c r="J7">
        <f>PasteBBM!AE7*PasteBBM!AF7</f>
        <v>7.167671233</v>
      </c>
      <c r="K7">
        <f>PasteBBM!AE7</f>
        <v>0.8549952613</v>
      </c>
      <c r="L7">
        <f>PasteBBM!X7</f>
        <v>1.557945205</v>
      </c>
      <c r="M7">
        <f>PasteBBM!W7</f>
        <v>29.18123288</v>
      </c>
      <c r="N7">
        <f>PasteBBM!Y7</f>
        <v>5.437123288</v>
      </c>
      <c r="O7">
        <f>PasteBBM!Z7</f>
        <v>6.939589041</v>
      </c>
      <c r="P7">
        <f>PasteBBM!AA7</f>
        <v>1.502328767</v>
      </c>
      <c r="Q7">
        <f>PasteBBM!AB7</f>
        <v>0.7869863014</v>
      </c>
      <c r="R7">
        <f>PasteBBM!AG7</f>
        <v>2.646986301</v>
      </c>
      <c r="S7">
        <f>PasteBBM!AD7</f>
        <v>19.96068493</v>
      </c>
      <c r="T7">
        <f>PasteBBM!AF7</f>
        <v>8.383287671</v>
      </c>
    </row>
    <row r="8">
      <c r="A8" s="5">
        <v>7.0</v>
      </c>
      <c r="B8">
        <f t="array" ref="B8">INDEX(PasteHashtag!$B$2:$B1000,MATCH(C8,PasteHashtag!$C$2:$C1000,0))</f>
        <v>22.3</v>
      </c>
      <c r="C8" t="str">
        <f>PasteBBM!J8</f>
        <v>LaMelo Ball</v>
      </c>
      <c r="D8" t="str">
        <f>IFERROR(REPLACE(PasteBBM!L8, FIND("/",PasteBBM!L8),1,","),PasteBBM!L8)</f>
        <v>G</v>
      </c>
      <c r="E8" t="str">
        <f>PasteBBM!K8</f>
        <v>CHA</v>
      </c>
      <c r="F8">
        <f>PasteBBM!T8</f>
        <v>62</v>
      </c>
      <c r="G8">
        <f>PasteBBM!V8</f>
        <v>34</v>
      </c>
      <c r="H8">
        <f>PasteBBM!AC8*PasteBBM!AD8</f>
        <v>9.121290323</v>
      </c>
      <c r="I8">
        <f>PasteBBM!AC8</f>
        <v>0.4356151932</v>
      </c>
      <c r="J8">
        <f>PasteBBM!AE8*PasteBBM!AF8</f>
        <v>3.897258064</v>
      </c>
      <c r="K8">
        <f>PasteBBM!AE8</f>
        <v>0.846013795</v>
      </c>
      <c r="L8">
        <f>PasteBBM!X8</f>
        <v>3.96</v>
      </c>
      <c r="M8">
        <f>PasteBBM!W8</f>
        <v>26.09983871</v>
      </c>
      <c r="N8">
        <f>PasteBBM!Y8</f>
        <v>5.909677419</v>
      </c>
      <c r="O8">
        <f>PasteBBM!Z8</f>
        <v>8.492419355</v>
      </c>
      <c r="P8">
        <f>PasteBBM!AA8</f>
        <v>1.680483871</v>
      </c>
      <c r="Q8">
        <f>PasteBBM!AB8</f>
        <v>0.2917741935</v>
      </c>
      <c r="R8">
        <f>PasteBBM!AG8</f>
        <v>3.429032258</v>
      </c>
      <c r="S8">
        <f>PasteBBM!AD8</f>
        <v>20.93887097</v>
      </c>
      <c r="T8">
        <f>PasteBBM!AF8</f>
        <v>4.606612903</v>
      </c>
    </row>
    <row r="9">
      <c r="A9" s="5">
        <v>8.0</v>
      </c>
      <c r="B9">
        <f t="array" ref="B9">INDEX(PasteHashtag!$B$2:$B1000,MATCH(C9,PasteHashtag!$C$2:$C1000,0))</f>
        <v>8.4</v>
      </c>
      <c r="C9" t="str">
        <f>PasteBBM!J9</f>
        <v>Tyrese Haliburton</v>
      </c>
      <c r="D9" t="str">
        <f>IFERROR(REPLACE(PasteBBM!L9, FIND("/",PasteBBM!L9),1,","),PasteBBM!L9)</f>
        <v>G</v>
      </c>
      <c r="E9" t="str">
        <f>PasteBBM!K9</f>
        <v>IND</v>
      </c>
      <c r="F9">
        <f>PasteBBM!T9</f>
        <v>68</v>
      </c>
      <c r="G9">
        <f>PasteBBM!V9</f>
        <v>33</v>
      </c>
      <c r="H9">
        <f>PasteBBM!AC9*PasteBBM!AD9</f>
        <v>7.06235294</v>
      </c>
      <c r="I9">
        <f>PasteBBM!AC9</f>
        <v>0.4795063553</v>
      </c>
      <c r="J9">
        <f>PasteBBM!AE9*PasteBBM!AF9</f>
        <v>2.704705883</v>
      </c>
      <c r="K9">
        <f>PasteBBM!AE9</f>
        <v>0.8569964121</v>
      </c>
      <c r="L9">
        <f>PasteBBM!X9</f>
        <v>2.888382353</v>
      </c>
      <c r="M9">
        <f>PasteBBM!W9</f>
        <v>19.71779412</v>
      </c>
      <c r="N9">
        <f>PasteBBM!Y9</f>
        <v>3.965441176</v>
      </c>
      <c r="O9">
        <f>PasteBBM!Z9</f>
        <v>10.62191176</v>
      </c>
      <c r="P9">
        <f>PasteBBM!AA9</f>
        <v>1.416176471</v>
      </c>
      <c r="Q9">
        <f>PasteBBM!AB9</f>
        <v>0.6373529412</v>
      </c>
      <c r="R9">
        <f>PasteBBM!AG9</f>
        <v>2.319852941</v>
      </c>
      <c r="S9">
        <f>PasteBBM!AD9</f>
        <v>14.72838235</v>
      </c>
      <c r="T9">
        <f>PasteBBM!AF9</f>
        <v>3.156029412</v>
      </c>
    </row>
    <row r="10">
      <c r="A10" s="5">
        <v>9.0</v>
      </c>
      <c r="B10">
        <f t="array" ref="B10">INDEX(PasteHashtag!$B$2:$B1000,MATCH(C10,PasteHashtag!$C$2:$C1000,0))</f>
        <v>12.4</v>
      </c>
      <c r="C10" t="str">
        <f>PasteBBM!J10</f>
        <v>Stephen Curry</v>
      </c>
      <c r="D10" t="str">
        <f>IFERROR(REPLACE(PasteBBM!L10, FIND("/",PasteBBM!L10),1,","),PasteBBM!L10)</f>
        <v>G</v>
      </c>
      <c r="E10" t="str">
        <f>PasteBBM!K10</f>
        <v>GSW</v>
      </c>
      <c r="F10">
        <f>PasteBBM!T10</f>
        <v>68</v>
      </c>
      <c r="G10">
        <f>PasteBBM!V10</f>
        <v>33</v>
      </c>
      <c r="H10">
        <f>PasteBBM!AC10*PasteBBM!AD10</f>
        <v>9.080441178</v>
      </c>
      <c r="I10">
        <f>PasteBBM!AC10</f>
        <v>0.4492422534</v>
      </c>
      <c r="J10">
        <f>PasteBBM!AE10*PasteBBM!AF10</f>
        <v>4.099852941</v>
      </c>
      <c r="K10">
        <f>PasteBBM!AE10</f>
        <v>0.9219855811</v>
      </c>
      <c r="L10">
        <f>PasteBBM!X10</f>
        <v>5.063235294</v>
      </c>
      <c r="M10">
        <f>PasteBBM!W10</f>
        <v>27.32397059</v>
      </c>
      <c r="N10">
        <f>PasteBBM!Y10</f>
        <v>4.8125</v>
      </c>
      <c r="O10">
        <f>PasteBBM!Z10</f>
        <v>6.1875</v>
      </c>
      <c r="P10">
        <f>PasteBBM!AA10</f>
        <v>0.825</v>
      </c>
      <c r="Q10">
        <f>PasteBBM!AB10</f>
        <v>0.3408823529</v>
      </c>
      <c r="R10">
        <f>PasteBBM!AG10</f>
        <v>3.025</v>
      </c>
      <c r="S10">
        <f>PasteBBM!AD10</f>
        <v>20.21279412</v>
      </c>
      <c r="T10">
        <f>PasteBBM!AF10</f>
        <v>4.446764706</v>
      </c>
    </row>
    <row r="11">
      <c r="A11" s="5">
        <v>10.0</v>
      </c>
      <c r="B11">
        <f t="array" ref="B11">INDEX(PasteHashtag!$B$2:$B1000,MATCH(C11,PasteHashtag!$C$2:$C1000,0))</f>
        <v>16.2</v>
      </c>
      <c r="C11" t="str">
        <f>PasteBBM!J11</f>
        <v>James Harden</v>
      </c>
      <c r="D11" t="str">
        <f>IFERROR(REPLACE(PasteBBM!L11, FIND("/",PasteBBM!L11),1,","),PasteBBM!L11)</f>
        <v>G</v>
      </c>
      <c r="E11" t="str">
        <f>PasteBBM!K11</f>
        <v>LAC</v>
      </c>
      <c r="F11">
        <f>PasteBBM!T11</f>
        <v>68</v>
      </c>
      <c r="G11">
        <f>PasteBBM!V11</f>
        <v>34</v>
      </c>
      <c r="H11">
        <f>PasteBBM!AC11*PasteBBM!AD11</f>
        <v>6.865588233</v>
      </c>
      <c r="I11">
        <f>PasteBBM!AC11</f>
        <v>0.4337920333</v>
      </c>
      <c r="J11">
        <f>PasteBBM!AE11*PasteBBM!AF11</f>
        <v>6.121323529</v>
      </c>
      <c r="K11">
        <f>PasteBBM!AE11</f>
        <v>0.8789990497</v>
      </c>
      <c r="L11">
        <f>PasteBBM!X11</f>
        <v>2.797941176</v>
      </c>
      <c r="M11">
        <f>PasteBBM!W11</f>
        <v>22.65044118</v>
      </c>
      <c r="N11">
        <f>PasteBBM!Y11</f>
        <v>5.900441176</v>
      </c>
      <c r="O11">
        <f>PasteBBM!Z11</f>
        <v>9.440735294</v>
      </c>
      <c r="P11">
        <f>PasteBBM!AA11</f>
        <v>0.9710294118</v>
      </c>
      <c r="Q11">
        <f>PasteBBM!AB11</f>
        <v>0.5552941176</v>
      </c>
      <c r="R11">
        <f>PasteBBM!AG11</f>
        <v>3.262647059</v>
      </c>
      <c r="S11">
        <f>PasteBBM!AD11</f>
        <v>15.82691176</v>
      </c>
      <c r="T11">
        <f>PasteBBM!AF11</f>
        <v>6.963970588</v>
      </c>
    </row>
    <row r="12">
      <c r="A12" s="5">
        <v>11.0</v>
      </c>
      <c r="B12">
        <f t="array" ref="B12">INDEX(PasteHashtag!$B$2:$B1000,MATCH(C12,PasteHashtag!$C$2:$C1000,0))</f>
        <v>24.2</v>
      </c>
      <c r="C12" t="str">
        <f>PasteBBM!J12</f>
        <v>LeBron James</v>
      </c>
      <c r="D12" t="str">
        <f>IFERROR(REPLACE(PasteBBM!L12, FIND("/",PasteBBM!L12),1,","),PasteBBM!L12)</f>
        <v>F</v>
      </c>
      <c r="E12" t="str">
        <f>PasteBBM!K12</f>
        <v>LAL</v>
      </c>
      <c r="F12">
        <f>PasteBBM!T12</f>
        <v>66</v>
      </c>
      <c r="G12">
        <f>PasteBBM!V12</f>
        <v>35</v>
      </c>
      <c r="H12">
        <f>PasteBBM!AC12*PasteBBM!AD12</f>
        <v>9.187878788</v>
      </c>
      <c r="I12">
        <f>PasteBBM!AC12</f>
        <v>0.5371077316</v>
      </c>
      <c r="J12">
        <f>PasteBBM!AE12*PasteBBM!AF12</f>
        <v>4.341060606</v>
      </c>
      <c r="K12">
        <f>PasteBBM!AE12</f>
        <v>0.7690098505</v>
      </c>
      <c r="L12">
        <f>PasteBBM!X12</f>
        <v>1.924848485</v>
      </c>
      <c r="M12">
        <f>PasteBBM!W12</f>
        <v>24.64166667</v>
      </c>
      <c r="N12">
        <f>PasteBBM!Y12</f>
        <v>7.14</v>
      </c>
      <c r="O12">
        <f>PasteBBM!Z12</f>
        <v>8.776212121</v>
      </c>
      <c r="P12">
        <f>PasteBBM!AA12</f>
        <v>1.109242424</v>
      </c>
      <c r="Q12">
        <f>PasteBBM!AB12</f>
        <v>0.5227272727</v>
      </c>
      <c r="R12">
        <f>PasteBBM!AG12</f>
        <v>3.644393939</v>
      </c>
      <c r="S12">
        <f>PasteBBM!AD12</f>
        <v>17.10621212</v>
      </c>
      <c r="T12">
        <f>PasteBBM!AF12</f>
        <v>5.645</v>
      </c>
    </row>
    <row r="13">
      <c r="A13" s="5">
        <v>12.0</v>
      </c>
      <c r="B13">
        <f t="array" ref="B13">INDEX(PasteHashtag!$B$2:$B1000,MATCH(C13,PasteHashtag!$C$2:$C1000,0))</f>
        <v>26.6</v>
      </c>
      <c r="C13" t="str">
        <f>PasteBBM!J13</f>
        <v>Kyrie Irving</v>
      </c>
      <c r="D13" t="str">
        <f>IFERROR(REPLACE(PasteBBM!L13, FIND("/",PasteBBM!L13),1,","),PasteBBM!L13)</f>
        <v>G</v>
      </c>
      <c r="E13" t="str">
        <f>PasteBBM!K13</f>
        <v>DAL</v>
      </c>
      <c r="F13">
        <f>PasteBBM!T13</f>
        <v>68</v>
      </c>
      <c r="G13">
        <f>PasteBBM!V13</f>
        <v>36</v>
      </c>
      <c r="H13">
        <f>PasteBBM!AC13*PasteBBM!AD13</f>
        <v>9.44220588</v>
      </c>
      <c r="I13">
        <f>PasteBBM!AC13</f>
        <v>0.5067040208</v>
      </c>
      <c r="J13">
        <f>PasteBBM!AE13*PasteBBM!AF13</f>
        <v>3.049705882</v>
      </c>
      <c r="K13">
        <f>PasteBBM!AE13</f>
        <v>0.9090032436</v>
      </c>
      <c r="L13">
        <f>PasteBBM!X13</f>
        <v>2.898382353</v>
      </c>
      <c r="M13">
        <f>PasteBBM!W13</f>
        <v>24.8325</v>
      </c>
      <c r="N13">
        <f>PasteBBM!Y13</f>
        <v>4.999558824</v>
      </c>
      <c r="O13">
        <f>PasteBBM!Z13</f>
        <v>4.999558824</v>
      </c>
      <c r="P13">
        <f>PasteBBM!AA13</f>
        <v>1.212205882</v>
      </c>
      <c r="Q13">
        <f>PasteBBM!AB13</f>
        <v>0.5301470588</v>
      </c>
      <c r="R13">
        <f>PasteBBM!AG13</f>
        <v>2.045294118</v>
      </c>
      <c r="S13">
        <f>PasteBBM!AD13</f>
        <v>18.63455882</v>
      </c>
      <c r="T13">
        <f>PasteBBM!AF13</f>
        <v>3.355</v>
      </c>
    </row>
    <row r="14">
      <c r="A14" s="5">
        <v>13.0</v>
      </c>
      <c r="B14">
        <f t="array" ref="B14">INDEX(PasteHashtag!$B$2:$B1000,MATCH(C14,PasteHashtag!$C$2:$C1000,0))</f>
        <v>32.1</v>
      </c>
      <c r="C14" t="str">
        <f>PasteBBM!J14</f>
        <v>Paul George</v>
      </c>
      <c r="D14" t="str">
        <f>IFERROR(REPLACE(PasteBBM!L14, FIND("/",PasteBBM!L14),1,","),PasteBBM!L14)</f>
        <v>G,F</v>
      </c>
      <c r="E14" t="str">
        <f>PasteBBM!K14</f>
        <v>PHI</v>
      </c>
      <c r="F14">
        <f>PasteBBM!T14</f>
        <v>62</v>
      </c>
      <c r="G14">
        <f>PasteBBM!V14</f>
        <v>35</v>
      </c>
      <c r="H14">
        <f>PasteBBM!AC14*PasteBBM!AD14</f>
        <v>7.323709676</v>
      </c>
      <c r="I14">
        <f>PasteBBM!AC14</f>
        <v>0.4722811616</v>
      </c>
      <c r="J14">
        <f>PasteBBM!AE14*PasteBBM!AF14</f>
        <v>3.315967742</v>
      </c>
      <c r="K14">
        <f>PasteBBM!AE14</f>
        <v>0.8910028604</v>
      </c>
      <c r="L14">
        <f>PasteBBM!X14</f>
        <v>2.860322581</v>
      </c>
      <c r="M14">
        <f>PasteBBM!W14</f>
        <v>20.82370968</v>
      </c>
      <c r="N14">
        <f>PasteBBM!Y14</f>
        <v>6.431290323</v>
      </c>
      <c r="O14">
        <f>PasteBBM!Z14</f>
        <v>4.787741935</v>
      </c>
      <c r="P14">
        <f>PasteBBM!AA14</f>
        <v>1.589032258</v>
      </c>
      <c r="Q14">
        <f>PasteBBM!AB14</f>
        <v>0.5001612903</v>
      </c>
      <c r="R14">
        <f>PasteBBM!AG14</f>
        <v>2.715483871</v>
      </c>
      <c r="S14">
        <f>PasteBBM!AD14</f>
        <v>15.50709677</v>
      </c>
      <c r="T14">
        <f>PasteBBM!AF14</f>
        <v>3.721612903</v>
      </c>
    </row>
    <row r="15">
      <c r="A15" s="5">
        <v>14.0</v>
      </c>
      <c r="B15">
        <f t="array" ref="B15">INDEX(PasteHashtag!$B$2:$B1000,MATCH(C15,PasteHashtag!$C$2:$C1000,0))</f>
        <v>17</v>
      </c>
      <c r="C15" t="str">
        <f>PasteBBM!J15</f>
        <v>Donovan Mitchell</v>
      </c>
      <c r="D15" t="str">
        <f>IFERROR(REPLACE(PasteBBM!L15, FIND("/",PasteBBM!L15),1,","),PasteBBM!L15)</f>
        <v>G</v>
      </c>
      <c r="E15" t="str">
        <f>PasteBBM!K15</f>
        <v>CLE</v>
      </c>
      <c r="F15">
        <f>PasteBBM!T15</f>
        <v>68</v>
      </c>
      <c r="G15">
        <f>PasteBBM!V15</f>
        <v>33</v>
      </c>
      <c r="H15">
        <f>PasteBBM!AC15*PasteBBM!AD15</f>
        <v>8.865441175</v>
      </c>
      <c r="I15">
        <f>PasteBBM!AC15</f>
        <v>0.4648033924</v>
      </c>
      <c r="J15">
        <f>PasteBBM!AE15*PasteBBM!AF15</f>
        <v>4.26</v>
      </c>
      <c r="K15">
        <f>PasteBBM!AE15</f>
        <v>0.8589983098</v>
      </c>
      <c r="L15">
        <f>PasteBBM!X15</f>
        <v>3.406617647</v>
      </c>
      <c r="M15">
        <f>PasteBBM!W15</f>
        <v>25.3975</v>
      </c>
      <c r="N15">
        <f>PasteBBM!Y15</f>
        <v>4.2075</v>
      </c>
      <c r="O15">
        <f>PasteBBM!Z15</f>
        <v>5.469705882</v>
      </c>
      <c r="P15">
        <f>PasteBBM!AA15</f>
        <v>1.472647059</v>
      </c>
      <c r="Q15">
        <f>PasteBBM!AB15</f>
        <v>0.4908823529</v>
      </c>
      <c r="R15">
        <f>PasteBBM!AG15</f>
        <v>2.754411765</v>
      </c>
      <c r="S15">
        <f>PasteBBM!AD15</f>
        <v>19.07352941</v>
      </c>
      <c r="T15">
        <f>PasteBBM!AF15</f>
        <v>4.959264706</v>
      </c>
    </row>
    <row r="16">
      <c r="A16" s="5">
        <v>15.0</v>
      </c>
      <c r="B16">
        <f t="array" ref="B16">INDEX(PasteHashtag!$B$2:$B1000,MATCH(C16,PasteHashtag!$C$2:$C1000,0))</f>
        <v>22.1</v>
      </c>
      <c r="C16" t="str">
        <f>PasteBBM!J16</f>
        <v>Karl-Anthony Towns</v>
      </c>
      <c r="D16" t="str">
        <f>IFERROR(REPLACE(PasteBBM!L16, FIND("/",PasteBBM!L16),1,","),PasteBBM!L16)</f>
        <v>F,C</v>
      </c>
      <c r="E16" t="str">
        <f>PasteBBM!K16</f>
        <v>NYK</v>
      </c>
      <c r="F16">
        <f>PasteBBM!T16</f>
        <v>68</v>
      </c>
      <c r="G16">
        <f>PasteBBM!V16</f>
        <v>35</v>
      </c>
      <c r="H16">
        <f>PasteBBM!AC16*PasteBBM!AD16</f>
        <v>8.242794119</v>
      </c>
      <c r="I16">
        <f>PasteBBM!AC16</f>
        <v>0.5164562794</v>
      </c>
      <c r="J16">
        <f>PasteBBM!AE16*PasteBBM!AF16</f>
        <v>4.36</v>
      </c>
      <c r="K16">
        <f>PasteBBM!AE16</f>
        <v>0.8590137336</v>
      </c>
      <c r="L16">
        <f>PasteBBM!X16</f>
        <v>2.154264706</v>
      </c>
      <c r="M16">
        <f>PasteBBM!W16</f>
        <v>22.99985294</v>
      </c>
      <c r="N16">
        <f>PasteBBM!Y16</f>
        <v>10.5</v>
      </c>
      <c r="O16">
        <f>PasteBBM!Z16</f>
        <v>3.488235294</v>
      </c>
      <c r="P16">
        <f>PasteBBM!AA16</f>
        <v>0.6401470588</v>
      </c>
      <c r="Q16">
        <f>PasteBBM!AB16</f>
        <v>1.05</v>
      </c>
      <c r="R16">
        <f>PasteBBM!AG16</f>
        <v>2.981911765</v>
      </c>
      <c r="S16">
        <f>PasteBBM!AD16</f>
        <v>15.96029412</v>
      </c>
      <c r="T16">
        <f>PasteBBM!AF16</f>
        <v>5.075588235</v>
      </c>
    </row>
    <row r="17">
      <c r="A17" s="5">
        <v>16.0</v>
      </c>
      <c r="B17">
        <f t="array" ref="B17">INDEX(PasteHashtag!$B$2:$B1000,MATCH(C17,PasteHashtag!$C$2:$C1000,0))</f>
        <v>10.1</v>
      </c>
      <c r="C17" t="str">
        <f>PasteBBM!J17</f>
        <v>Anthony Edwards</v>
      </c>
      <c r="D17" t="str">
        <f>IFERROR(REPLACE(PasteBBM!L17, FIND("/",PasteBBM!L17),1,","),PasteBBM!L17)</f>
        <v>G,F</v>
      </c>
      <c r="E17" t="str">
        <f>PasteBBM!K17</f>
        <v>MIN</v>
      </c>
      <c r="F17">
        <f>PasteBBM!T17</f>
        <v>77</v>
      </c>
      <c r="G17">
        <f>PasteBBM!V17</f>
        <v>35</v>
      </c>
      <c r="H17">
        <f>PasteBBM!AC17*PasteBBM!AD17</f>
        <v>9.07896104</v>
      </c>
      <c r="I17">
        <f>PasteBBM!AC17</f>
        <v>0.4670996365</v>
      </c>
      <c r="J17">
        <f>PasteBBM!AE17*PasteBBM!AF17</f>
        <v>5.775584416</v>
      </c>
      <c r="K17">
        <f>PasteBBM!AE17</f>
        <v>0.8489939292</v>
      </c>
      <c r="L17">
        <f>PasteBBM!X17</f>
        <v>2.313246753</v>
      </c>
      <c r="M17">
        <f>PasteBBM!W17</f>
        <v>26.24675325</v>
      </c>
      <c r="N17">
        <f>PasteBBM!Y17</f>
        <v>5.359350649</v>
      </c>
      <c r="O17">
        <f>PasteBBM!Z17</f>
        <v>5.359350649</v>
      </c>
      <c r="P17">
        <f>PasteBBM!AA17</f>
        <v>1.356103896</v>
      </c>
      <c r="Q17">
        <f>PasteBBM!AB17</f>
        <v>0.5720779221</v>
      </c>
      <c r="R17">
        <f>PasteBBM!AG17</f>
        <v>2.717272727</v>
      </c>
      <c r="S17">
        <f>PasteBBM!AD17</f>
        <v>19.43688312</v>
      </c>
      <c r="T17">
        <f>PasteBBM!AF17</f>
        <v>6.802857143</v>
      </c>
    </row>
    <row r="18">
      <c r="A18" s="5">
        <v>17.0</v>
      </c>
      <c r="B18">
        <f t="array" ref="B18">INDEX(PasteHashtag!$B$2:$B1000,MATCH(C18,PasteHashtag!$C$2:$C1000,0))</f>
        <v>9.5</v>
      </c>
      <c r="C18" t="str">
        <f>PasteBBM!J18</f>
        <v>Jayson Tatum</v>
      </c>
      <c r="D18" t="str">
        <f>IFERROR(REPLACE(PasteBBM!L18, FIND("/",PasteBBM!L18),1,","),PasteBBM!L18)</f>
        <v>F</v>
      </c>
      <c r="E18" t="str">
        <f>PasteBBM!K18</f>
        <v>BOS</v>
      </c>
      <c r="F18">
        <f>PasteBBM!T18</f>
        <v>71</v>
      </c>
      <c r="G18">
        <f>PasteBBM!V18</f>
        <v>35</v>
      </c>
      <c r="H18">
        <f>PasteBBM!AC18*PasteBBM!AD18</f>
        <v>8.709154928</v>
      </c>
      <c r="I18">
        <f>PasteBBM!AC18</f>
        <v>0.4581999526</v>
      </c>
      <c r="J18">
        <f>PasteBBM!AE18*PasteBBM!AF18</f>
        <v>5.462816901</v>
      </c>
      <c r="K18">
        <f>PasteBBM!AE18</f>
        <v>0.8500109577</v>
      </c>
      <c r="L18">
        <f>PasteBBM!X18</f>
        <v>2.897605634</v>
      </c>
      <c r="M18">
        <f>PasteBBM!W18</f>
        <v>25.77873239</v>
      </c>
      <c r="N18">
        <f>PasteBBM!Y18</f>
        <v>7.717464789</v>
      </c>
      <c r="O18">
        <f>PasteBBM!Z18</f>
        <v>5.245211268</v>
      </c>
      <c r="P18">
        <f>PasteBBM!AA18</f>
        <v>0.9969014085</v>
      </c>
      <c r="Q18">
        <f>PasteBBM!AB18</f>
        <v>0.5730985915</v>
      </c>
      <c r="R18">
        <f>PasteBBM!AG18</f>
        <v>2.500985915</v>
      </c>
      <c r="S18">
        <f>PasteBBM!AD18</f>
        <v>19.00732394</v>
      </c>
      <c r="T18">
        <f>PasteBBM!AF18</f>
        <v>6.426760563</v>
      </c>
    </row>
    <row r="19">
      <c r="A19" s="5">
        <v>18.0</v>
      </c>
      <c r="B19">
        <f t="array" ref="B19">INDEX(PasteHashtag!$B$2:$B1000,MATCH(C19,PasteHashtag!$C$2:$C1000,0))</f>
        <v>49.1</v>
      </c>
      <c r="C19" t="str">
        <f>PasteBBM!J19</f>
        <v>Kawhi Leonard</v>
      </c>
      <c r="D19" t="str">
        <f>IFERROR(REPLACE(PasteBBM!L19, FIND("/",PasteBBM!L19),1,","),PasteBBM!L19)</f>
        <v>G,F</v>
      </c>
      <c r="E19" t="str">
        <f>PasteBBM!K19</f>
        <v>LAC</v>
      </c>
      <c r="F19">
        <f>PasteBBM!T19</f>
        <v>41</v>
      </c>
      <c r="G19">
        <f>PasteBBM!V19</f>
        <v>31</v>
      </c>
      <c r="H19">
        <f>PasteBBM!AC19*PasteBBM!AD19</f>
        <v>8.237317075</v>
      </c>
      <c r="I19">
        <f>PasteBBM!AC19</f>
        <v>0.5124108633</v>
      </c>
      <c r="J19">
        <f>PasteBBM!AE19*PasteBBM!AF19</f>
        <v>4.102439025</v>
      </c>
      <c r="K19">
        <f>PasteBBM!AE19</f>
        <v>0.8799832583</v>
      </c>
      <c r="L19">
        <f>PasteBBM!X19</f>
        <v>1.713414634</v>
      </c>
      <c r="M19">
        <f>PasteBBM!W19</f>
        <v>22.2904878</v>
      </c>
      <c r="N19">
        <f>PasteBBM!Y19</f>
        <v>6.265853659</v>
      </c>
      <c r="O19">
        <f>PasteBBM!Z19</f>
        <v>3.797560976</v>
      </c>
      <c r="P19">
        <f>PasteBBM!AA19</f>
        <v>1.390243902</v>
      </c>
      <c r="Q19">
        <f>PasteBBM!AB19</f>
        <v>0.6329268293</v>
      </c>
      <c r="R19">
        <f>PasteBBM!AG19</f>
        <v>1.772195122</v>
      </c>
      <c r="S19">
        <f>PasteBBM!AD19</f>
        <v>16.07560976</v>
      </c>
      <c r="T19">
        <f>PasteBBM!AF19</f>
        <v>4.66195122</v>
      </c>
    </row>
    <row r="20">
      <c r="A20" s="5">
        <v>19.0</v>
      </c>
      <c r="B20">
        <f t="array" ref="B20">INDEX(PasteHashtag!$B$2:$B1000,MATCH(C20,PasteHashtag!$C$2:$C1000,0))</f>
        <v>12.5</v>
      </c>
      <c r="C20" t="str">
        <f>PasteBBM!J20</f>
        <v>Trae Young</v>
      </c>
      <c r="D20" t="str">
        <f>IFERROR(REPLACE(PasteBBM!L20, FIND("/",PasteBBM!L20),1,","),PasteBBM!L20)</f>
        <v>G</v>
      </c>
      <c r="E20" t="str">
        <f>PasteBBM!K20</f>
        <v>ATL</v>
      </c>
      <c r="F20">
        <f>PasteBBM!T20</f>
        <v>75</v>
      </c>
      <c r="G20">
        <f>PasteBBM!V20</f>
        <v>36</v>
      </c>
      <c r="H20">
        <f>PasteBBM!AC20*PasteBBM!AD20</f>
        <v>8.561466669</v>
      </c>
      <c r="I20">
        <f>PasteBBM!AC20</f>
        <v>0.4390615812</v>
      </c>
      <c r="J20">
        <f>PasteBBM!AE20*PasteBBM!AF20</f>
        <v>6.844133333</v>
      </c>
      <c r="K20">
        <f>PasteBBM!AE20</f>
        <v>0.8540079193</v>
      </c>
      <c r="L20">
        <f>PasteBBM!X20</f>
        <v>2.7916</v>
      </c>
      <c r="M20">
        <f>PasteBBM!W20</f>
        <v>26.75866667</v>
      </c>
      <c r="N20">
        <f>PasteBBM!Y20</f>
        <v>3.374933333</v>
      </c>
      <c r="O20">
        <f>PasteBBM!Z20</f>
        <v>10.05</v>
      </c>
      <c r="P20">
        <f>PasteBBM!AA20</f>
        <v>1.05</v>
      </c>
      <c r="Q20">
        <f>PasteBBM!AB20</f>
        <v>0.2248</v>
      </c>
      <c r="R20">
        <f>PasteBBM!AG20</f>
        <v>4.05</v>
      </c>
      <c r="S20">
        <f>PasteBBM!AD20</f>
        <v>19.49946667</v>
      </c>
      <c r="T20">
        <f>PasteBBM!AF20</f>
        <v>8.014133333</v>
      </c>
    </row>
    <row r="21">
      <c r="A21" s="5">
        <v>20.0</v>
      </c>
      <c r="B21">
        <f t="array" ref="B21">INDEX(PasteHashtag!$B$2:$B1000,MATCH(C21,PasteHashtag!$C$2:$C1000,0))</f>
        <v>19.1</v>
      </c>
      <c r="C21" t="str">
        <f>PasteBBM!J21</f>
        <v>Jalen Brunson</v>
      </c>
      <c r="D21" t="str">
        <f>IFERROR(REPLACE(PasteBBM!L21, FIND("/",PasteBBM!L21),1,","),PasteBBM!L21)</f>
        <v>G</v>
      </c>
      <c r="E21" t="str">
        <f>PasteBBM!K21</f>
        <v>NYK</v>
      </c>
      <c r="F21">
        <f>PasteBBM!T21</f>
        <v>73</v>
      </c>
      <c r="G21">
        <f>PasteBBM!V21</f>
        <v>36</v>
      </c>
      <c r="H21">
        <f>PasteBBM!AC21*PasteBBM!AD21</f>
        <v>10.44232877</v>
      </c>
      <c r="I21">
        <f>PasteBBM!AC21</f>
        <v>0.4834350148</v>
      </c>
      <c r="J21">
        <f>PasteBBM!AE21*PasteBBM!AF21</f>
        <v>5.937397261</v>
      </c>
      <c r="K21">
        <f>PasteBBM!AE21</f>
        <v>0.8589916366</v>
      </c>
      <c r="L21">
        <f>PasteBBM!X21</f>
        <v>2.575890411</v>
      </c>
      <c r="M21">
        <f>PasteBBM!W21</f>
        <v>29.39794521</v>
      </c>
      <c r="N21">
        <f>PasteBBM!Y21</f>
        <v>3.527945205</v>
      </c>
      <c r="O21">
        <f>PasteBBM!Z21</f>
        <v>7.703972603</v>
      </c>
      <c r="P21">
        <f>PasteBBM!AA21</f>
        <v>0.9384931507</v>
      </c>
      <c r="Q21">
        <f>PasteBBM!AB21</f>
        <v>0.1436986301</v>
      </c>
      <c r="R21">
        <f>PasteBBM!AG21</f>
        <v>2.587808219</v>
      </c>
      <c r="S21">
        <f>PasteBBM!AD21</f>
        <v>21.60027397</v>
      </c>
      <c r="T21">
        <f>PasteBBM!AF21</f>
        <v>6.912054795</v>
      </c>
    </row>
    <row r="22">
      <c r="A22" s="5">
        <v>21.0</v>
      </c>
      <c r="B22">
        <f t="array" ref="B22">INDEX(PasteHashtag!$B$2:$B1000,MATCH(C22,PasteHashtag!$C$2:$C1000,0))</f>
        <v>20</v>
      </c>
      <c r="C22" t="str">
        <f>PasteBBM!J22</f>
        <v>Devin Booker</v>
      </c>
      <c r="D22" t="str">
        <f>IFERROR(REPLACE(PasteBBM!L22, FIND("/",PasteBBM!L22),1,","),PasteBBM!L22)</f>
        <v>G,F</v>
      </c>
      <c r="E22" t="str">
        <f>PasteBBM!K22</f>
        <v>PHO</v>
      </c>
      <c r="F22">
        <f>PasteBBM!T22</f>
        <v>73</v>
      </c>
      <c r="G22">
        <f>PasteBBM!V22</f>
        <v>35</v>
      </c>
      <c r="H22">
        <f>PasteBBM!AC22*PasteBBM!AD22</f>
        <v>8.843561643</v>
      </c>
      <c r="I22">
        <f>PasteBBM!AC22</f>
        <v>0.4664797607</v>
      </c>
      <c r="J22">
        <f>PasteBBM!AE22*PasteBBM!AF22</f>
        <v>5.829589041</v>
      </c>
      <c r="K22">
        <f>PasteBBM!AE22</f>
        <v>0.8880078459</v>
      </c>
      <c r="L22">
        <f>PasteBBM!X22</f>
        <v>2.919589041</v>
      </c>
      <c r="M22">
        <f>PasteBBM!W22</f>
        <v>26.43630137</v>
      </c>
      <c r="N22">
        <f>PasteBBM!Y22</f>
        <v>4.15630137</v>
      </c>
      <c r="O22">
        <f>PasteBBM!Z22</f>
        <v>5.90630137</v>
      </c>
      <c r="P22">
        <f>PasteBBM!AA22</f>
        <v>0.9415068493</v>
      </c>
      <c r="Q22">
        <f>PasteBBM!AB22</f>
        <v>0.3663013699</v>
      </c>
      <c r="R22">
        <f>PasteBBM!AG22</f>
        <v>2.489178082</v>
      </c>
      <c r="S22">
        <f>PasteBBM!AD22</f>
        <v>18.95808219</v>
      </c>
      <c r="T22">
        <f>PasteBBM!AF22</f>
        <v>6.564794521</v>
      </c>
    </row>
    <row r="23">
      <c r="A23" s="5">
        <v>22.0</v>
      </c>
      <c r="B23">
        <f t="array" ref="B23">INDEX(PasteHashtag!$B$2:$B1000,MATCH(C23,PasteHashtag!$C$2:$C1000,0))</f>
        <v>14.6</v>
      </c>
      <c r="C23" t="str">
        <f>PasteBBM!J23</f>
        <v>Domantas Sabonis</v>
      </c>
      <c r="D23" t="str">
        <f>IFERROR(REPLACE(PasteBBM!L23, FIND("/",PasteBBM!L23),1,","),PasteBBM!L23)</f>
        <v>F,C</v>
      </c>
      <c r="E23" t="str">
        <f>PasteBBM!K23</f>
        <v>SAC</v>
      </c>
      <c r="F23">
        <f>PasteBBM!T23</f>
        <v>77</v>
      </c>
      <c r="G23">
        <f>PasteBBM!V23</f>
        <v>36</v>
      </c>
      <c r="H23">
        <f>PasteBBM!AC23*PasteBBM!AD23</f>
        <v>7.336103893</v>
      </c>
      <c r="I23">
        <f>PasteBBM!AC23</f>
        <v>0.5834030467</v>
      </c>
      <c r="J23">
        <f>PasteBBM!AE23*PasteBBM!AF23</f>
        <v>3.485454545</v>
      </c>
      <c r="K23">
        <f>PasteBBM!AE23</f>
        <v>0.71</v>
      </c>
      <c r="L23">
        <f>PasteBBM!X23</f>
        <v>0.3036363636</v>
      </c>
      <c r="M23">
        <f>PasteBBM!W23</f>
        <v>18.4612987</v>
      </c>
      <c r="N23">
        <f>PasteBBM!Y23</f>
        <v>14.01376623</v>
      </c>
      <c r="O23">
        <f>PasteBBM!Z23</f>
        <v>6.968961039</v>
      </c>
      <c r="P23">
        <f>PasteBBM!AA23</f>
        <v>0.9853246753</v>
      </c>
      <c r="Q23">
        <f>PasteBBM!AB23</f>
        <v>0.6814285714</v>
      </c>
      <c r="R23">
        <f>PasteBBM!AG23</f>
        <v>2.802727273</v>
      </c>
      <c r="S23">
        <f>PasteBBM!AD23</f>
        <v>12.57467532</v>
      </c>
      <c r="T23">
        <f>PasteBBM!AF23</f>
        <v>4.909090909</v>
      </c>
    </row>
    <row r="24">
      <c r="A24" s="5">
        <v>23.0</v>
      </c>
      <c r="B24">
        <f t="array" ref="B24">INDEX(PasteHashtag!$B$2:$B1000,MATCH(C24,PasteHashtag!$C$2:$C1000,0))</f>
        <v>19</v>
      </c>
      <c r="C24" t="str">
        <f>PasteBBM!J24</f>
        <v>Scottie Barnes</v>
      </c>
      <c r="D24" t="str">
        <f>IFERROR(REPLACE(PasteBBM!L24, FIND("/",PasteBBM!L24),1,","),PasteBBM!L24)</f>
        <v>G,F</v>
      </c>
      <c r="E24" t="str">
        <f>PasteBBM!K24</f>
        <v>TOR</v>
      </c>
      <c r="F24">
        <f>PasteBBM!T24</f>
        <v>68</v>
      </c>
      <c r="G24">
        <f>PasteBBM!V24</f>
        <v>35</v>
      </c>
      <c r="H24">
        <f>PasteBBM!AC24*PasteBBM!AD24</f>
        <v>7.787941175</v>
      </c>
      <c r="I24">
        <f>PasteBBM!AC24</f>
        <v>0.4873241251</v>
      </c>
      <c r="J24">
        <f>PasteBBM!AE24*PasteBBM!AF24</f>
        <v>3.557352941</v>
      </c>
      <c r="K24">
        <f>PasteBBM!AE24</f>
        <v>0.7949914552</v>
      </c>
      <c r="L24">
        <f>PasteBBM!X24</f>
        <v>1.265735294</v>
      </c>
      <c r="M24">
        <f>PasteBBM!W24</f>
        <v>20.39897059</v>
      </c>
      <c r="N24">
        <f>PasteBBM!Y24</f>
        <v>7.585588235</v>
      </c>
      <c r="O24">
        <f>PasteBBM!Z24</f>
        <v>6.554411765</v>
      </c>
      <c r="P24">
        <f>PasteBBM!AA24</f>
        <v>1.180441176</v>
      </c>
      <c r="Q24">
        <f>PasteBBM!AB24</f>
        <v>1.325588235</v>
      </c>
      <c r="R24">
        <f>PasteBBM!AG24</f>
        <v>3.240441176</v>
      </c>
      <c r="S24">
        <f>PasteBBM!AD24</f>
        <v>15.98102941</v>
      </c>
      <c r="T24">
        <f>PasteBBM!AF24</f>
        <v>4.474705882</v>
      </c>
    </row>
    <row r="25">
      <c r="A25" s="5">
        <v>24.0</v>
      </c>
      <c r="B25">
        <f t="array" ref="B25">INDEX(PasteHashtag!$B$2:$B1000,MATCH(C25,PasteHashtag!$C$2:$C1000,0))</f>
        <v>38.4</v>
      </c>
      <c r="C25" t="str">
        <f>PasteBBM!J25</f>
        <v>Fred VanVleet</v>
      </c>
      <c r="D25" t="str">
        <f>IFERROR(REPLACE(PasteBBM!L25, FIND("/",PasteBBM!L25),1,","),PasteBBM!L25)</f>
        <v>G</v>
      </c>
      <c r="E25" t="str">
        <f>PasteBBM!K25</f>
        <v>HOU</v>
      </c>
      <c r="F25">
        <f>PasteBBM!T25</f>
        <v>73</v>
      </c>
      <c r="G25">
        <f>PasteBBM!V25</f>
        <v>36</v>
      </c>
      <c r="H25">
        <f>PasteBBM!AC25*PasteBBM!AD25</f>
        <v>5.898904109</v>
      </c>
      <c r="I25">
        <f>PasteBBM!AC25</f>
        <v>0.4186914797</v>
      </c>
      <c r="J25">
        <f>PasteBBM!AE25*PasteBBM!AF25</f>
        <v>2.77890411</v>
      </c>
      <c r="K25">
        <f>PasteBBM!AE25</f>
        <v>0.8609991087</v>
      </c>
      <c r="L25">
        <f>PasteBBM!X25</f>
        <v>3.176027397</v>
      </c>
      <c r="M25">
        <f>PasteBBM!W25</f>
        <v>17.75273973</v>
      </c>
      <c r="N25">
        <f>PasteBBM!Y25</f>
        <v>3.711780822</v>
      </c>
      <c r="O25">
        <f>PasteBBM!Z25</f>
        <v>7.347808219</v>
      </c>
      <c r="P25">
        <f>PasteBBM!AA25</f>
        <v>1.742191781</v>
      </c>
      <c r="Q25">
        <f>PasteBBM!AB25</f>
        <v>0.5302739726</v>
      </c>
      <c r="R25">
        <f>PasteBBM!AG25</f>
        <v>1.590684932</v>
      </c>
      <c r="S25">
        <f>PasteBBM!AD25</f>
        <v>14.08890411</v>
      </c>
      <c r="T25">
        <f>PasteBBM!AF25</f>
        <v>3.227534247</v>
      </c>
    </row>
    <row r="26">
      <c r="A26" s="5">
        <v>25.0</v>
      </c>
      <c r="B26">
        <f t="array" ref="B26">INDEX(PasteHashtag!$B$2:$B1000,MATCH(C26,PasteHashtag!$C$2:$C1000,0))</f>
        <v>18.3</v>
      </c>
      <c r="C26" t="str">
        <f>PasteBBM!J26</f>
        <v>Kevin Durant</v>
      </c>
      <c r="D26" t="str">
        <f>IFERROR(REPLACE(PasteBBM!L26, FIND("/",PasteBBM!L26),1,","),PasteBBM!L26)</f>
        <v>F</v>
      </c>
      <c r="E26" t="str">
        <f>PasteBBM!K26</f>
        <v>PHO</v>
      </c>
      <c r="F26">
        <f>PasteBBM!T26</f>
        <v>68</v>
      </c>
      <c r="G26">
        <f>PasteBBM!V26</f>
        <v>34</v>
      </c>
      <c r="H26">
        <f>PasteBBM!AC26*PasteBBM!AD26</f>
        <v>9.035588234</v>
      </c>
      <c r="I26">
        <f>PasteBBM!AC26</f>
        <v>0.5002442519</v>
      </c>
      <c r="J26">
        <f>PasteBBM!AE26*PasteBBM!AF26</f>
        <v>3.8925</v>
      </c>
      <c r="K26">
        <f>PasteBBM!AE26</f>
        <v>0.8620139386</v>
      </c>
      <c r="L26">
        <f>PasteBBM!X26</f>
        <v>2.611323529</v>
      </c>
      <c r="M26">
        <f>PasteBBM!W26</f>
        <v>24.575</v>
      </c>
      <c r="N26">
        <f>PasteBBM!Y26</f>
        <v>6.020882353</v>
      </c>
      <c r="O26">
        <f>PasteBBM!Z26</f>
        <v>3.754117647</v>
      </c>
      <c r="P26">
        <f>PasteBBM!AA26</f>
        <v>0.765</v>
      </c>
      <c r="Q26">
        <f>PasteBBM!AB26</f>
        <v>1.076323529</v>
      </c>
      <c r="R26">
        <f>PasteBBM!AG26</f>
        <v>3.007794118</v>
      </c>
      <c r="S26">
        <f>PasteBBM!AD26</f>
        <v>18.06235294</v>
      </c>
      <c r="T26">
        <f>PasteBBM!AF26</f>
        <v>4.515588235</v>
      </c>
    </row>
    <row r="27">
      <c r="A27" s="5">
        <v>26.0</v>
      </c>
      <c r="B27">
        <f t="array" ref="B27">INDEX(PasteHashtag!$B$2:$B1000,MATCH(C27,PasteHashtag!$C$2:$C1000,0))</f>
        <v>17.6</v>
      </c>
      <c r="C27" t="str">
        <f>PasteBBM!J27</f>
        <v>Chet Holmgren</v>
      </c>
      <c r="D27" t="str">
        <f>IFERROR(REPLACE(PasteBBM!L27, FIND("/",PasteBBM!L27),1,","),PasteBBM!L27)</f>
        <v>F,C</v>
      </c>
      <c r="E27" t="str">
        <f>PasteBBM!K27</f>
        <v>OKC</v>
      </c>
      <c r="F27">
        <f>PasteBBM!T27</f>
        <v>73</v>
      </c>
      <c r="G27">
        <f>PasteBBM!V27</f>
        <v>32</v>
      </c>
      <c r="H27">
        <f>PasteBBM!AC27*PasteBBM!AD27</f>
        <v>6.840684932</v>
      </c>
      <c r="I27">
        <f>PasteBBM!AC27</f>
        <v>0.5130794838</v>
      </c>
      <c r="J27">
        <f>PasteBBM!AE27*PasteBBM!AF27</f>
        <v>3.599041096</v>
      </c>
      <c r="K27">
        <f>PasteBBM!AE27</f>
        <v>0.7939860985</v>
      </c>
      <c r="L27">
        <f>PasteBBM!X27</f>
        <v>1.748630137</v>
      </c>
      <c r="M27">
        <f>PasteBBM!W27</f>
        <v>19.0290411</v>
      </c>
      <c r="N27">
        <f>PasteBBM!Y27</f>
        <v>9.09</v>
      </c>
      <c r="O27">
        <f>PasteBBM!Z27</f>
        <v>2.356712329</v>
      </c>
      <c r="P27">
        <f>PasteBBM!AA27</f>
        <v>0.7565753425</v>
      </c>
      <c r="Q27">
        <f>PasteBBM!AB27</f>
        <v>2.222054795</v>
      </c>
      <c r="R27">
        <f>PasteBBM!AG27</f>
        <v>1.548630137</v>
      </c>
      <c r="S27">
        <f>PasteBBM!AD27</f>
        <v>13.33260274</v>
      </c>
      <c r="T27">
        <f>PasteBBM!AF27</f>
        <v>4.532876712</v>
      </c>
    </row>
    <row r="28">
      <c r="A28" s="5">
        <v>27.0</v>
      </c>
      <c r="B28">
        <f t="array" ref="B28">INDEX(PasteHashtag!$B$2:$B1000,MATCH(C28,PasteHashtag!$C$2:$C1000,0))</f>
        <v>6.7</v>
      </c>
      <c r="C28" t="str">
        <f>PasteBBM!J28</f>
        <v>Giannis Antetokounmpo</v>
      </c>
      <c r="D28" t="str">
        <f>IFERROR(REPLACE(PasteBBM!L28, FIND("/",PasteBBM!L28),1,","),PasteBBM!L28)</f>
        <v>F,C</v>
      </c>
      <c r="E28" t="str">
        <f>PasteBBM!K28</f>
        <v>MIL</v>
      </c>
      <c r="F28">
        <f>PasteBBM!T28</f>
        <v>68</v>
      </c>
      <c r="G28">
        <f>PasteBBM!V28</f>
        <v>35</v>
      </c>
      <c r="H28">
        <f>PasteBBM!AC28*PasteBBM!AD28</f>
        <v>10.7757353</v>
      </c>
      <c r="I28">
        <f>PasteBBM!AC28</f>
        <v>0.6018925424</v>
      </c>
      <c r="J28">
        <f>PasteBBM!AE28*PasteBBM!AF28</f>
        <v>5.755588236</v>
      </c>
      <c r="K28">
        <f>PasteBBM!AE28</f>
        <v>0.6429979628</v>
      </c>
      <c r="L28">
        <f>PasteBBM!X28</f>
        <v>0.4780882353</v>
      </c>
      <c r="M28">
        <f>PasteBBM!W28</f>
        <v>27.78514706</v>
      </c>
      <c r="N28">
        <f>PasteBBM!Y28</f>
        <v>11.83867647</v>
      </c>
      <c r="O28">
        <f>PasteBBM!Z28</f>
        <v>6.785588235</v>
      </c>
      <c r="P28">
        <f>PasteBBM!AA28</f>
        <v>1.080588235</v>
      </c>
      <c r="Q28">
        <f>PasteBBM!AB28</f>
        <v>1.082794118</v>
      </c>
      <c r="R28">
        <f>PasteBBM!AG28</f>
        <v>3.392794118</v>
      </c>
      <c r="S28">
        <f>PasteBBM!AD28</f>
        <v>17.90308824</v>
      </c>
      <c r="T28">
        <f>PasteBBM!AF28</f>
        <v>8.951176471</v>
      </c>
    </row>
    <row r="29">
      <c r="A29" s="5">
        <v>28.0</v>
      </c>
      <c r="B29">
        <f t="array" ref="B29">INDEX(PasteHashtag!$B$2:$B1000,MATCH(C29,PasteHashtag!$C$2:$C1000,0))</f>
        <v>24.3</v>
      </c>
      <c r="C29" t="str">
        <f>PasteBBM!J29</f>
        <v>Damian Lillard</v>
      </c>
      <c r="D29" t="str">
        <f>IFERROR(REPLACE(PasteBBM!L29, FIND("/",PasteBBM!L29),1,","),PasteBBM!L29)</f>
        <v>G</v>
      </c>
      <c r="E29" t="str">
        <f>PasteBBM!K29</f>
        <v>MIL</v>
      </c>
      <c r="F29">
        <f>PasteBBM!T29</f>
        <v>73</v>
      </c>
      <c r="G29">
        <f>PasteBBM!V29</f>
        <v>35</v>
      </c>
      <c r="H29">
        <f>PasteBBM!AC29*PasteBBM!AD29</f>
        <v>7.486027397</v>
      </c>
      <c r="I29">
        <f>PasteBBM!AC29</f>
        <v>0.433900243</v>
      </c>
      <c r="J29">
        <f>PasteBBM!AE29*PasteBBM!AF29</f>
        <v>5.514657534</v>
      </c>
      <c r="K29">
        <f>PasteBBM!AE29</f>
        <v>0.921002059</v>
      </c>
      <c r="L29">
        <f>PasteBBM!X29</f>
        <v>3.035342466</v>
      </c>
      <c r="M29">
        <f>PasteBBM!W29</f>
        <v>23.52205479</v>
      </c>
      <c r="N29">
        <f>PasteBBM!Y29</f>
        <v>4.331232877</v>
      </c>
      <c r="O29">
        <f>PasteBBM!Z29</f>
        <v>6.916575342</v>
      </c>
      <c r="P29">
        <f>PasteBBM!AA29</f>
        <v>0.8616438356</v>
      </c>
      <c r="Q29">
        <f>PasteBBM!AB29</f>
        <v>0.2898630137</v>
      </c>
      <c r="R29">
        <f>PasteBBM!AG29</f>
        <v>2.751780822</v>
      </c>
      <c r="S29">
        <f>PasteBBM!AD29</f>
        <v>17.25287671</v>
      </c>
      <c r="T29">
        <f>PasteBBM!AF29</f>
        <v>5.987671233</v>
      </c>
    </row>
    <row r="30">
      <c r="A30" s="5">
        <v>29.0</v>
      </c>
      <c r="B30">
        <f t="array" ref="B30">INDEX(PasteHashtag!$B$2:$B1000,MATCH(C30,PasteHashtag!$C$2:$C1000,0))</f>
        <v>36</v>
      </c>
      <c r="C30" t="str">
        <f>PasteBBM!J30</f>
        <v>Jalen Williams</v>
      </c>
      <c r="D30" t="str">
        <f>IFERROR(REPLACE(PasteBBM!L30, FIND("/",PasteBBM!L30),1,","),PasteBBM!L30)</f>
        <v>G,F</v>
      </c>
      <c r="E30" t="str">
        <f>PasteBBM!K30</f>
        <v>OKC</v>
      </c>
      <c r="F30">
        <f>PasteBBM!T30</f>
        <v>73</v>
      </c>
      <c r="G30">
        <f>PasteBBM!V30</f>
        <v>33</v>
      </c>
      <c r="H30">
        <f>PasteBBM!AC30*PasteBBM!AD30</f>
        <v>8.377808217</v>
      </c>
      <c r="I30">
        <f>PasteBBM!AC30</f>
        <v>0.5155965468</v>
      </c>
      <c r="J30">
        <f>PasteBBM!AE30*PasteBBM!AF30</f>
        <v>3.326849315</v>
      </c>
      <c r="K30">
        <f>PasteBBM!AE30</f>
        <v>0.8190065086</v>
      </c>
      <c r="L30">
        <f>PasteBBM!X30</f>
        <v>1.781232877</v>
      </c>
      <c r="M30">
        <f>PasteBBM!W30</f>
        <v>21.86369863</v>
      </c>
      <c r="N30">
        <f>PasteBBM!Y30</f>
        <v>4.305068493</v>
      </c>
      <c r="O30">
        <f>PasteBBM!Z30</f>
        <v>5.555068493</v>
      </c>
      <c r="P30">
        <f>PasteBBM!AA30</f>
        <v>1.319315068</v>
      </c>
      <c r="Q30">
        <f>PasteBBM!AB30</f>
        <v>0.6876712329</v>
      </c>
      <c r="R30">
        <f>PasteBBM!AG30</f>
        <v>2.01369863</v>
      </c>
      <c r="S30">
        <f>PasteBBM!AD30</f>
        <v>16.24876712</v>
      </c>
      <c r="T30">
        <f>PasteBBM!AF30</f>
        <v>4.062054795</v>
      </c>
    </row>
    <row r="31">
      <c r="A31" s="5">
        <v>30.0</v>
      </c>
      <c r="B31">
        <f t="array" ref="B31">INDEX(PasteHashtag!$B$2:$B1000,MATCH(C31,PasteHashtag!$C$2:$C1000,0))</f>
        <v>26.1</v>
      </c>
      <c r="C31" t="str">
        <f>PasteBBM!J31</f>
        <v>De'Aaron Fox</v>
      </c>
      <c r="D31" t="str">
        <f>IFERROR(REPLACE(PasteBBM!L31, FIND("/",PasteBBM!L31),1,","),PasteBBM!L31)</f>
        <v>G</v>
      </c>
      <c r="E31" t="str">
        <f>PasteBBM!K31</f>
        <v>SAC</v>
      </c>
      <c r="F31">
        <f>PasteBBM!T31</f>
        <v>73</v>
      </c>
      <c r="G31">
        <f>PasteBBM!V31</f>
        <v>36</v>
      </c>
      <c r="H31">
        <f>PasteBBM!AC31*PasteBBM!AD31</f>
        <v>9.514246576</v>
      </c>
      <c r="I31">
        <f>PasteBBM!AC31</f>
        <v>0.4634715994</v>
      </c>
      <c r="J31">
        <f>PasteBBM!AE31*PasteBBM!AF31</f>
        <v>3.340958904</v>
      </c>
      <c r="K31">
        <f>PasteBBM!AE31</f>
        <v>0.7749920559</v>
      </c>
      <c r="L31">
        <f>PasteBBM!X31</f>
        <v>2.718219178</v>
      </c>
      <c r="M31">
        <f>PasteBBM!W31</f>
        <v>25.08767123</v>
      </c>
      <c r="N31">
        <f>PasteBBM!Y31</f>
        <v>4.696438356</v>
      </c>
      <c r="O31">
        <f>PasteBBM!Z31</f>
        <v>5.075205479</v>
      </c>
      <c r="P31">
        <f>PasteBBM!AA31</f>
        <v>1.666438356</v>
      </c>
      <c r="Q31">
        <f>PasteBBM!AB31</f>
        <v>0.4553424658</v>
      </c>
      <c r="R31">
        <f>PasteBBM!AG31</f>
        <v>2.423972603</v>
      </c>
      <c r="S31">
        <f>PasteBBM!AD31</f>
        <v>20.52821918</v>
      </c>
      <c r="T31">
        <f>PasteBBM!AF31</f>
        <v>4.310958904</v>
      </c>
    </row>
    <row r="32">
      <c r="A32" s="5">
        <v>31.0</v>
      </c>
      <c r="B32">
        <f t="array" ref="B32">INDEX(PasteHashtag!$B$2:$B1000,MATCH(C32,PasteHashtag!$C$2:$C1000,0))</f>
        <v>30.1</v>
      </c>
      <c r="C32" t="str">
        <f>PasteBBM!J32</f>
        <v>Lauri Markkanen</v>
      </c>
      <c r="D32" t="str">
        <f>IFERROR(REPLACE(PasteBBM!L32, FIND("/",PasteBBM!L32),1,","),PasteBBM!L32)</f>
        <v>F</v>
      </c>
      <c r="E32" t="str">
        <f>PasteBBM!K32</f>
        <v>UTA</v>
      </c>
      <c r="F32">
        <f>PasteBBM!T32</f>
        <v>62</v>
      </c>
      <c r="G32">
        <f>PasteBBM!V32</f>
        <v>33</v>
      </c>
      <c r="H32">
        <f>PasteBBM!AC32*PasteBBM!AD32</f>
        <v>7.645967741</v>
      </c>
      <c r="I32">
        <f>PasteBBM!AC32</f>
        <v>0.4787610083</v>
      </c>
      <c r="J32">
        <f>PasteBBM!AE32*PasteBBM!AF32</f>
        <v>4.519193548</v>
      </c>
      <c r="K32">
        <f>PasteBBM!AE32</f>
        <v>0.8879979717</v>
      </c>
      <c r="L32">
        <f>PasteBBM!X32</f>
        <v>3.162741935</v>
      </c>
      <c r="M32">
        <f>PasteBBM!W32</f>
        <v>22.97387097</v>
      </c>
      <c r="N32">
        <f>PasteBBM!Y32</f>
        <v>7.290967742</v>
      </c>
      <c r="O32">
        <f>PasteBBM!Z32</f>
        <v>2.139354839</v>
      </c>
      <c r="P32">
        <f>PasteBBM!AA32</f>
        <v>0.9027419355</v>
      </c>
      <c r="Q32">
        <f>PasteBBM!AB32</f>
        <v>0.4174193548</v>
      </c>
      <c r="R32">
        <f>PasteBBM!AG32</f>
        <v>1.53</v>
      </c>
      <c r="S32">
        <f>PasteBBM!AD32</f>
        <v>15.97032258</v>
      </c>
      <c r="T32">
        <f>PasteBBM!AF32</f>
        <v>5.089193548</v>
      </c>
    </row>
    <row r="33">
      <c r="A33" s="5">
        <v>32.0</v>
      </c>
      <c r="B33">
        <f t="array" ref="B33">INDEX(PasteHashtag!$B$2:$B1000,MATCH(C33,PasteHashtag!$C$2:$C1000,0))</f>
        <v>39</v>
      </c>
      <c r="C33" t="str">
        <f>PasteBBM!J33</f>
        <v>Evan Mobley</v>
      </c>
      <c r="D33" t="str">
        <f>IFERROR(REPLACE(PasteBBM!L33, FIND("/",PasteBBM!L33),1,","),PasteBBM!L33)</f>
        <v>F,C</v>
      </c>
      <c r="E33" t="str">
        <f>PasteBBM!K33</f>
        <v>CLE</v>
      </c>
      <c r="F33">
        <f>PasteBBM!T33</f>
        <v>73</v>
      </c>
      <c r="G33">
        <f>PasteBBM!V33</f>
        <v>32</v>
      </c>
      <c r="H33">
        <f>PasteBBM!AC33*PasteBBM!AD33</f>
        <v>7.212328769</v>
      </c>
      <c r="I33">
        <f>PasteBBM!AC33</f>
        <v>0.5641756499</v>
      </c>
      <c r="J33">
        <f>PasteBBM!AE33*PasteBBM!AF33</f>
        <v>3.428630137</v>
      </c>
      <c r="K33">
        <f>PasteBBM!AE33</f>
        <v>0.7449994047</v>
      </c>
      <c r="L33">
        <f>PasteBBM!X33</f>
        <v>0.73</v>
      </c>
      <c r="M33">
        <f>PasteBBM!W33</f>
        <v>18.58328767</v>
      </c>
      <c r="N33">
        <f>PasteBBM!Y33</f>
        <v>9.52</v>
      </c>
      <c r="O33">
        <f>PasteBBM!Z33</f>
        <v>3.943972603</v>
      </c>
      <c r="P33">
        <f>PasteBBM!AA33</f>
        <v>0.9609589041</v>
      </c>
      <c r="Q33">
        <f>PasteBBM!AB33</f>
        <v>1.554109589</v>
      </c>
      <c r="R33">
        <f>PasteBBM!AG33</f>
        <v>1.758493151</v>
      </c>
      <c r="S33">
        <f>PasteBBM!AD33</f>
        <v>12.78383562</v>
      </c>
      <c r="T33">
        <f>PasteBBM!AF33</f>
        <v>4.602191781</v>
      </c>
    </row>
    <row r="34">
      <c r="A34" s="5">
        <v>33.0</v>
      </c>
      <c r="B34">
        <f t="array" ref="B34">INDEX(PasteHashtag!$B$2:$B1000,MATCH(C34,PasteHashtag!$C$2:$C1000,0))</f>
        <v>35.6</v>
      </c>
      <c r="C34" t="str">
        <f>PasteBBM!J34</f>
        <v>Dejounte Murray</v>
      </c>
      <c r="D34" t="str">
        <f>IFERROR(REPLACE(PasteBBM!L34, FIND("/",PasteBBM!L34),1,","),PasteBBM!L34)</f>
        <v>G</v>
      </c>
      <c r="E34" t="str">
        <f>PasteBBM!K34</f>
        <v>NOR</v>
      </c>
      <c r="F34">
        <f>PasteBBM!T34</f>
        <v>73</v>
      </c>
      <c r="G34">
        <f>PasteBBM!V34</f>
        <v>35</v>
      </c>
      <c r="H34">
        <f>PasteBBM!AC34*PasteBBM!AD34</f>
        <v>7.311643834</v>
      </c>
      <c r="I34">
        <f>PasteBBM!AC34</f>
        <v>0.450156026</v>
      </c>
      <c r="J34">
        <f>PasteBBM!AE34*PasteBBM!AF34</f>
        <v>1.63849315</v>
      </c>
      <c r="K34">
        <f>PasteBBM!AE34</f>
        <v>0.7759828727</v>
      </c>
      <c r="L34">
        <f>PasteBBM!X34</f>
        <v>2.435616438</v>
      </c>
      <c r="M34">
        <f>PasteBBM!W34</f>
        <v>18.69739726</v>
      </c>
      <c r="N34">
        <f>PasteBBM!Y34</f>
        <v>6.496849315</v>
      </c>
      <c r="O34">
        <f>PasteBBM!Z34</f>
        <v>7.868493151</v>
      </c>
      <c r="P34">
        <f>PasteBBM!AA34</f>
        <v>1.499589041</v>
      </c>
      <c r="Q34">
        <f>PasteBBM!AB34</f>
        <v>0.2909589041</v>
      </c>
      <c r="R34">
        <f>PasteBBM!AG34</f>
        <v>3.031917808</v>
      </c>
      <c r="S34">
        <f>PasteBBM!AD34</f>
        <v>16.24246575</v>
      </c>
      <c r="T34">
        <f>PasteBBM!AF34</f>
        <v>2.111506849</v>
      </c>
    </row>
    <row r="35">
      <c r="A35" s="5">
        <v>34.0</v>
      </c>
      <c r="B35">
        <f t="array" ref="B35">INDEX(PasteHashtag!$B$2:$B1000,MATCH(C35,PasteHashtag!$C$2:$C1000,0))</f>
        <v>34</v>
      </c>
      <c r="C35" t="str">
        <f>PasteBBM!J35</f>
        <v>Cade Cunningham</v>
      </c>
      <c r="D35" t="str">
        <f>IFERROR(REPLACE(PasteBBM!L35, FIND("/",PasteBBM!L35),1,","),PasteBBM!L35)</f>
        <v>G</v>
      </c>
      <c r="E35" t="str">
        <f>PasteBBM!K35</f>
        <v>DET</v>
      </c>
      <c r="F35">
        <f>PasteBBM!T35</f>
        <v>68</v>
      </c>
      <c r="G35">
        <f>PasteBBM!V35</f>
        <v>35</v>
      </c>
      <c r="H35">
        <f>PasteBBM!AC35*PasteBBM!AD35</f>
        <v>8.64147059</v>
      </c>
      <c r="I35">
        <f>PasteBBM!AC35</f>
        <v>0.4586624621</v>
      </c>
      <c r="J35">
        <f>PasteBBM!AE35*PasteBBM!AF35</f>
        <v>4.212794118</v>
      </c>
      <c r="K35">
        <f>PasteBBM!AE35</f>
        <v>0.8599861907</v>
      </c>
      <c r="L35">
        <f>PasteBBM!X35</f>
        <v>1.937058824</v>
      </c>
      <c r="M35">
        <f>PasteBBM!W35</f>
        <v>23.43279412</v>
      </c>
      <c r="N35">
        <f>PasteBBM!Y35</f>
        <v>5.053088235</v>
      </c>
      <c r="O35">
        <f>PasteBBM!Z35</f>
        <v>8.0575</v>
      </c>
      <c r="P35">
        <f>PasteBBM!AA35</f>
        <v>0.9517647059</v>
      </c>
      <c r="Q35">
        <f>PasteBBM!AB35</f>
        <v>0.4289705882</v>
      </c>
      <c r="R35">
        <f>PasteBBM!AG35</f>
        <v>3.176323529</v>
      </c>
      <c r="S35">
        <f>PasteBBM!AD35</f>
        <v>18.84058824</v>
      </c>
      <c r="T35">
        <f>PasteBBM!AF35</f>
        <v>4.898676471</v>
      </c>
    </row>
    <row r="36">
      <c r="A36" s="5">
        <v>35.0</v>
      </c>
      <c r="B36">
        <f t="array" ref="B36">INDEX(PasteHashtag!$B$2:$B1000,MATCH(C36,PasteHashtag!$C$2:$C1000,0))</f>
        <v>37.3</v>
      </c>
      <c r="C36" t="str">
        <f>PasteBBM!J36</f>
        <v>Jaren Jackson Jr.</v>
      </c>
      <c r="D36" t="str">
        <f>IFERROR(REPLACE(PasteBBM!L36, FIND("/",PasteBBM!L36),1,","),PasteBBM!L36)</f>
        <v>F,C</v>
      </c>
      <c r="E36" t="str">
        <f>PasteBBM!K36</f>
        <v>MEM</v>
      </c>
      <c r="F36">
        <f>PasteBBM!T36</f>
        <v>68</v>
      </c>
      <c r="G36">
        <f>PasteBBM!V36</f>
        <v>33</v>
      </c>
      <c r="H36">
        <f>PasteBBM!AC36*PasteBBM!AD36</f>
        <v>6.66985294</v>
      </c>
      <c r="I36">
        <f>PasteBBM!AC36</f>
        <v>0.4709663351</v>
      </c>
      <c r="J36">
        <f>PasteBBM!AE36*PasteBBM!AF36</f>
        <v>3.6075</v>
      </c>
      <c r="K36">
        <f>PasteBBM!AE36</f>
        <v>0.7959958466</v>
      </c>
      <c r="L36">
        <f>PasteBBM!X36</f>
        <v>1.729705882</v>
      </c>
      <c r="M36">
        <f>PasteBBM!W36</f>
        <v>18.67691176</v>
      </c>
      <c r="N36">
        <f>PasteBBM!Y36</f>
        <v>6.1875</v>
      </c>
      <c r="O36">
        <f>PasteBBM!Z36</f>
        <v>1.856323529</v>
      </c>
      <c r="P36">
        <f>PasteBBM!AA36</f>
        <v>1.2375</v>
      </c>
      <c r="Q36">
        <f>PasteBBM!AB36</f>
        <v>2.131176471</v>
      </c>
      <c r="R36">
        <f>PasteBBM!AG36</f>
        <v>2.0625</v>
      </c>
      <c r="S36">
        <f>PasteBBM!AD36</f>
        <v>14.16205882</v>
      </c>
      <c r="T36">
        <f>PasteBBM!AF36</f>
        <v>4.532058824</v>
      </c>
    </row>
    <row r="37">
      <c r="A37" s="5">
        <v>36.0</v>
      </c>
      <c r="B37">
        <f t="array" ref="B37">INDEX(PasteHashtag!$B$2:$B1000,MATCH(C37,PasteHashtag!$C$2:$C1000,0))</f>
        <v>27.8</v>
      </c>
      <c r="C37" t="str">
        <f>PasteBBM!J37</f>
        <v>Tyrese Maxey</v>
      </c>
      <c r="D37" t="str">
        <f>IFERROR(REPLACE(PasteBBM!L37, FIND("/",PasteBBM!L37),1,","),PasteBBM!L37)</f>
        <v>G</v>
      </c>
      <c r="E37" t="str">
        <f>PasteBBM!K37</f>
        <v>PHI</v>
      </c>
      <c r="F37">
        <f>PasteBBM!T37</f>
        <v>73</v>
      </c>
      <c r="G37">
        <f>PasteBBM!V37</f>
        <v>38</v>
      </c>
      <c r="H37">
        <f>PasteBBM!AC37*PasteBBM!AD37</f>
        <v>9.167808222</v>
      </c>
      <c r="I37">
        <f>PasteBBM!AC37</f>
        <v>0.4652092312</v>
      </c>
      <c r="J37">
        <f>PasteBBM!AE37*PasteBBM!AF37</f>
        <v>3.758767124</v>
      </c>
      <c r="K37">
        <f>PasteBBM!AE37</f>
        <v>0.867005814</v>
      </c>
      <c r="L37">
        <f>PasteBBM!X37</f>
        <v>2.966712329</v>
      </c>
      <c r="M37">
        <f>PasteBBM!W37</f>
        <v>25.06109589</v>
      </c>
      <c r="N37">
        <f>PasteBBM!Y37</f>
        <v>3.723972603</v>
      </c>
      <c r="O37">
        <f>PasteBBM!Z37</f>
        <v>6.206712329</v>
      </c>
      <c r="P37">
        <f>PasteBBM!AA37</f>
        <v>0.9324657534</v>
      </c>
      <c r="Q37">
        <f>PasteBBM!AB37</f>
        <v>0.3875342466</v>
      </c>
      <c r="R37">
        <f>PasteBBM!AG37</f>
        <v>1.782739726</v>
      </c>
      <c r="S37">
        <f>PasteBBM!AD37</f>
        <v>19.70684932</v>
      </c>
      <c r="T37">
        <f>PasteBBM!AF37</f>
        <v>4.335342466</v>
      </c>
    </row>
    <row r="38">
      <c r="A38" s="5">
        <v>37.0</v>
      </c>
      <c r="B38">
        <f t="array" ref="B38">INDEX(PasteHashtag!$B$2:$B1000,MATCH(C38,PasteHashtag!$C$2:$C1000,0))</f>
        <v>103.3</v>
      </c>
      <c r="C38" t="str">
        <f>PasteBBM!J38</f>
        <v>Kristaps Porzingis</v>
      </c>
      <c r="D38" t="str">
        <f>IFERROR(REPLACE(PasteBBM!L38, FIND("/",PasteBBM!L38),1,","),PasteBBM!L38)</f>
        <v>F,C</v>
      </c>
      <c r="E38" t="str">
        <f>PasteBBM!K38</f>
        <v>BOS</v>
      </c>
      <c r="F38">
        <f>PasteBBM!T38</f>
        <v>36</v>
      </c>
      <c r="G38">
        <f>PasteBBM!V38</f>
        <v>28</v>
      </c>
      <c r="H38">
        <f>PasteBBM!AC38*PasteBBM!AD38</f>
        <v>6.483888888</v>
      </c>
      <c r="I38">
        <f>PasteBBM!AC38</f>
        <v>0.5063670087</v>
      </c>
      <c r="J38">
        <f>PasteBBM!AE38*PasteBBM!AF38</f>
        <v>3.663888888</v>
      </c>
      <c r="K38">
        <f>PasteBBM!AE38</f>
        <v>0.8670216262</v>
      </c>
      <c r="L38">
        <f>PasteBBM!X38</f>
        <v>1.805277778</v>
      </c>
      <c r="M38">
        <f>PasteBBM!W38</f>
        <v>18.43694444</v>
      </c>
      <c r="N38">
        <f>PasteBBM!Y38</f>
        <v>6.802777778</v>
      </c>
      <c r="O38">
        <f>PasteBBM!Z38</f>
        <v>1.943611111</v>
      </c>
      <c r="P38">
        <f>PasteBBM!AA38</f>
        <v>0.7430555556</v>
      </c>
      <c r="Q38">
        <f>PasteBBM!AB38</f>
        <v>1.783333333</v>
      </c>
      <c r="R38">
        <f>PasteBBM!AG38</f>
        <v>1.429166667</v>
      </c>
      <c r="S38">
        <f>PasteBBM!AD38</f>
        <v>12.80472222</v>
      </c>
      <c r="T38">
        <f>PasteBBM!AF38</f>
        <v>4.225833333</v>
      </c>
    </row>
    <row r="39">
      <c r="A39" s="5">
        <v>38.0</v>
      </c>
      <c r="B39">
        <f t="array" ref="B39">INDEX(PasteHashtag!$B$2:$B1000,MATCH(C39,PasteHashtag!$C$2:$C1000,0))</f>
        <v>46</v>
      </c>
      <c r="C39" t="str">
        <f>PasteBBM!J39</f>
        <v>Jimmy Butler</v>
      </c>
      <c r="D39" t="str">
        <f>IFERROR(REPLACE(PasteBBM!L39, FIND("/",PasteBBM!L39),1,","),PasteBBM!L39)</f>
        <v>F</v>
      </c>
      <c r="E39" t="str">
        <f>PasteBBM!K39</f>
        <v>MIA</v>
      </c>
      <c r="F39">
        <f>PasteBBM!T39</f>
        <v>61</v>
      </c>
      <c r="G39">
        <f>PasteBBM!V39</f>
        <v>34</v>
      </c>
      <c r="H39">
        <f>PasteBBM!AC39*PasteBBM!AD39</f>
        <v>6.235901641</v>
      </c>
      <c r="I39">
        <f>PasteBBM!AC39</f>
        <v>0.4986563192</v>
      </c>
      <c r="J39">
        <f>PasteBBM!AE39*PasteBBM!AF39</f>
        <v>6.037377049</v>
      </c>
      <c r="K39">
        <f>PasteBBM!AE39</f>
        <v>0.8470101196</v>
      </c>
      <c r="L39">
        <f>PasteBBM!X39</f>
        <v>0.8672131148</v>
      </c>
      <c r="M39">
        <f>PasteBBM!W39</f>
        <v>19.37639344</v>
      </c>
      <c r="N39">
        <f>PasteBBM!Y39</f>
        <v>5.153114754</v>
      </c>
      <c r="O39">
        <f>PasteBBM!Z39</f>
        <v>5.274098361</v>
      </c>
      <c r="P39">
        <f>PasteBBM!AA39</f>
        <v>1.440983607</v>
      </c>
      <c r="Q39">
        <f>PasteBBM!AB39</f>
        <v>0.2750819672</v>
      </c>
      <c r="R39">
        <f>PasteBBM!AG39</f>
        <v>1.58147541</v>
      </c>
      <c r="S39">
        <f>PasteBBM!AD39</f>
        <v>12.50540984</v>
      </c>
      <c r="T39">
        <f>PasteBBM!AF39</f>
        <v>7.127868852</v>
      </c>
    </row>
    <row r="40">
      <c r="A40" s="5">
        <v>39.0</v>
      </c>
      <c r="B40">
        <f t="array" ref="B40">INDEX(PasteHashtag!$B$2:$B1000,MATCH(C40,PasteHashtag!$C$2:$C1000,0))</f>
        <v>46.6</v>
      </c>
      <c r="C40" t="str">
        <f>PasteBBM!J40</f>
        <v>Zion Williamson</v>
      </c>
      <c r="D40" t="str">
        <f>IFERROR(REPLACE(PasteBBM!L40, FIND("/",PasteBBM!L40),1,","),PasteBBM!L40)</f>
        <v>F,C</v>
      </c>
      <c r="E40" t="str">
        <f>PasteBBM!K40</f>
        <v>NOR</v>
      </c>
      <c r="F40">
        <f>PasteBBM!T40</f>
        <v>65</v>
      </c>
      <c r="G40">
        <f>PasteBBM!V40</f>
        <v>33</v>
      </c>
      <c r="H40">
        <f>PasteBBM!AC40*PasteBBM!AD40</f>
        <v>9.525538461</v>
      </c>
      <c r="I40">
        <f>PasteBBM!AC40</f>
        <v>0.5759092177</v>
      </c>
      <c r="J40">
        <f>PasteBBM!AE40*PasteBBM!AF40</f>
        <v>5.49</v>
      </c>
      <c r="K40">
        <f>PasteBBM!AE40</f>
        <v>0.7200072636</v>
      </c>
      <c r="L40">
        <f>PasteBBM!X40</f>
        <v>0.09169230769</v>
      </c>
      <c r="M40">
        <f>PasteBBM!W40</f>
        <v>24.63276923</v>
      </c>
      <c r="N40">
        <f>PasteBBM!Y40</f>
        <v>6.466</v>
      </c>
      <c r="O40">
        <f>PasteBBM!Z40</f>
        <v>5.376923077</v>
      </c>
      <c r="P40">
        <f>PasteBBM!AA40</f>
        <v>1.361230769</v>
      </c>
      <c r="Q40">
        <f>PasteBBM!AB40</f>
        <v>0.816</v>
      </c>
      <c r="R40">
        <f>PasteBBM!AG40</f>
        <v>2.992307692</v>
      </c>
      <c r="S40">
        <f>PasteBBM!AD40</f>
        <v>16.54</v>
      </c>
      <c r="T40">
        <f>PasteBBM!AF40</f>
        <v>7.624923077</v>
      </c>
    </row>
    <row r="41">
      <c r="A41" s="5">
        <v>40.0</v>
      </c>
      <c r="B41">
        <f t="array" ref="B41">INDEX(PasteHashtag!$B$2:$B1000,MATCH(C41,PasteHashtag!$C$2:$C1000,0))</f>
        <v>44.1</v>
      </c>
      <c r="C41" t="str">
        <f>PasteBBM!J41</f>
        <v>Desmond Bane</v>
      </c>
      <c r="D41" t="str">
        <f>IFERROR(REPLACE(PasteBBM!L41, FIND("/",PasteBBM!L41),1,","),PasteBBM!L41)</f>
        <v>G</v>
      </c>
      <c r="E41" t="str">
        <f>PasteBBM!K41</f>
        <v>MEM</v>
      </c>
      <c r="F41">
        <f>PasteBBM!T41</f>
        <v>73</v>
      </c>
      <c r="G41">
        <f>PasteBBM!V41</f>
        <v>34</v>
      </c>
      <c r="H41">
        <f>PasteBBM!AC41*PasteBBM!AD41</f>
        <v>7.696438355</v>
      </c>
      <c r="I41">
        <f>PasteBBM!AC41</f>
        <v>0.474470924</v>
      </c>
      <c r="J41">
        <f>PasteBBM!AE41*PasteBBM!AF41</f>
        <v>2.972191781</v>
      </c>
      <c r="K41">
        <f>PasteBBM!AE41</f>
        <v>0.8749848772</v>
      </c>
      <c r="L41">
        <f>PasteBBM!X41</f>
        <v>2.957671233</v>
      </c>
      <c r="M41">
        <f>PasteBBM!W41</f>
        <v>21.32273973</v>
      </c>
      <c r="N41">
        <f>PasteBBM!Y41</f>
        <v>4.887534247</v>
      </c>
      <c r="O41">
        <f>PasteBBM!Z41</f>
        <v>4.816712329</v>
      </c>
      <c r="P41">
        <f>PasteBBM!AA41</f>
        <v>0.9191780822</v>
      </c>
      <c r="Q41">
        <f>PasteBBM!AB41</f>
        <v>0.4254794521</v>
      </c>
      <c r="R41">
        <f>PasteBBM!AG41</f>
        <v>2.195890411</v>
      </c>
      <c r="S41">
        <f>PasteBBM!AD41</f>
        <v>16.22109589</v>
      </c>
      <c r="T41">
        <f>PasteBBM!AF41</f>
        <v>3.396849315</v>
      </c>
    </row>
    <row r="42">
      <c r="A42" s="5">
        <v>41.0</v>
      </c>
      <c r="B42">
        <f t="array" ref="B42">INDEX(PasteHashtag!$B$2:$B1000,MATCH(C42,PasteHashtag!$C$2:$C1000,0))</f>
        <v>53.8</v>
      </c>
      <c r="C42" t="str">
        <f>PasteBBM!J42</f>
        <v>Immanuel Quickley</v>
      </c>
      <c r="D42" t="str">
        <f>IFERROR(REPLACE(PasteBBM!L42, FIND("/",PasteBBM!L42),1,","),PasteBBM!L42)</f>
        <v>G</v>
      </c>
      <c r="E42" t="str">
        <f>PasteBBM!K42</f>
        <v>TOR</v>
      </c>
      <c r="F42">
        <f>PasteBBM!T42</f>
        <v>77</v>
      </c>
      <c r="G42">
        <f>PasteBBM!V42</f>
        <v>35</v>
      </c>
      <c r="H42">
        <f>PasteBBM!AC42*PasteBBM!AD42</f>
        <v>6.906493508</v>
      </c>
      <c r="I42">
        <f>PasteBBM!AC42</f>
        <v>0.434168524</v>
      </c>
      <c r="J42">
        <f>PasteBBM!AE42*PasteBBM!AF42</f>
        <v>4.162077922</v>
      </c>
      <c r="K42">
        <f>PasteBBM!AE42</f>
        <v>0.8440125359</v>
      </c>
      <c r="L42">
        <f>PasteBBM!X42</f>
        <v>2.955974026</v>
      </c>
      <c r="M42">
        <f>PasteBBM!W42</f>
        <v>20.93103896</v>
      </c>
      <c r="N42">
        <f>PasteBBM!Y42</f>
        <v>4.787012987</v>
      </c>
      <c r="O42">
        <f>PasteBBM!Z42</f>
        <v>7.07</v>
      </c>
      <c r="P42">
        <f>PasteBBM!AA42</f>
        <v>1.045454545</v>
      </c>
      <c r="Q42">
        <f>PasteBBM!AB42</f>
        <v>0.2188311688</v>
      </c>
      <c r="R42">
        <f>PasteBBM!AG42</f>
        <v>1.972207792</v>
      </c>
      <c r="S42">
        <f>PasteBBM!AD42</f>
        <v>15.9074026</v>
      </c>
      <c r="T42">
        <f>PasteBBM!AF42</f>
        <v>4.931298701</v>
      </c>
    </row>
    <row r="43">
      <c r="A43" s="5">
        <v>42.0</v>
      </c>
      <c r="B43">
        <f t="array" ref="B43">INDEX(PasteHashtag!$B$2:$B1000,MATCH(C43,PasteHashtag!$C$2:$C1000,0))</f>
        <v>48.4</v>
      </c>
      <c r="C43" t="str">
        <f>PasteBBM!J43</f>
        <v>Derrick White</v>
      </c>
      <c r="D43" t="str">
        <f>IFERROR(REPLACE(PasteBBM!L43, FIND("/",PasteBBM!L43),1,","),PasteBBM!L43)</f>
        <v>G</v>
      </c>
      <c r="E43" t="str">
        <f>PasteBBM!K43</f>
        <v>BOS</v>
      </c>
      <c r="F43">
        <f>PasteBBM!T43</f>
        <v>70</v>
      </c>
      <c r="G43">
        <f>PasteBBM!V43</f>
        <v>33</v>
      </c>
      <c r="H43">
        <f>PasteBBM!AC43*PasteBBM!AD43</f>
        <v>5.554142856</v>
      </c>
      <c r="I43">
        <f>PasteBBM!AC43</f>
        <v>0.4605479809</v>
      </c>
      <c r="J43">
        <f>PasteBBM!AE43*PasteBBM!AF43</f>
        <v>1.714857143</v>
      </c>
      <c r="K43">
        <f>PasteBBM!AE43</f>
        <v>0.8910332542</v>
      </c>
      <c r="L43">
        <f>PasteBBM!X43</f>
        <v>2.864857143</v>
      </c>
      <c r="M43">
        <f>PasteBBM!W43</f>
        <v>15.688</v>
      </c>
      <c r="N43">
        <f>PasteBBM!Y43</f>
        <v>4.312</v>
      </c>
      <c r="O43">
        <f>PasteBBM!Z43</f>
        <v>5.39</v>
      </c>
      <c r="P43">
        <f>PasteBBM!AA43</f>
        <v>0.9417142857</v>
      </c>
      <c r="Q43">
        <f>PasteBBM!AB43</f>
        <v>1.078</v>
      </c>
      <c r="R43">
        <f>PasteBBM!AG43</f>
        <v>1.483714286</v>
      </c>
      <c r="S43">
        <f>PasteBBM!AD43</f>
        <v>12.05985714</v>
      </c>
      <c r="T43">
        <f>PasteBBM!AF43</f>
        <v>1.924571429</v>
      </c>
    </row>
    <row r="44">
      <c r="A44" s="5">
        <v>43.0</v>
      </c>
      <c r="B44">
        <f t="array" ref="B44">INDEX(PasteHashtag!$B$2:$B1000,MATCH(C44,PasteHashtag!$C$2:$C1000,0))</f>
        <v>27.7</v>
      </c>
      <c r="C44" t="str">
        <f>PasteBBM!J44</f>
        <v>Alperen Sengün</v>
      </c>
      <c r="D44" t="str">
        <f>IFERROR(REPLACE(PasteBBM!L44, FIND("/",PasteBBM!L44),1,","),PasteBBM!L44)</f>
        <v>C</v>
      </c>
      <c r="E44" t="str">
        <f>PasteBBM!K44</f>
        <v>HOU</v>
      </c>
      <c r="F44">
        <f>PasteBBM!T44</f>
        <v>73</v>
      </c>
      <c r="G44">
        <f>PasteBBM!V44</f>
        <v>33</v>
      </c>
      <c r="H44">
        <f>PasteBBM!AC44*PasteBBM!AD44</f>
        <v>8.711232878</v>
      </c>
      <c r="I44">
        <f>PasteBBM!AC44</f>
        <v>0.5407574959</v>
      </c>
      <c r="J44">
        <f>PasteBBM!AE44*PasteBBM!AF44</f>
        <v>4.360273973</v>
      </c>
      <c r="K44">
        <f>PasteBBM!AE44</f>
        <v>0.6940083726</v>
      </c>
      <c r="L44">
        <f>PasteBBM!X44</f>
        <v>0.4330136986</v>
      </c>
      <c r="M44">
        <f>PasteBBM!W44</f>
        <v>22.21575342</v>
      </c>
      <c r="N44">
        <f>PasteBBM!Y44</f>
        <v>9.860136986</v>
      </c>
      <c r="O44">
        <f>PasteBBM!Z44</f>
        <v>5.207808219</v>
      </c>
      <c r="P44">
        <f>PasteBBM!AA44</f>
        <v>1.180410959</v>
      </c>
      <c r="Q44">
        <f>PasteBBM!AB44</f>
        <v>0.8332876712</v>
      </c>
      <c r="R44">
        <f>PasteBBM!AG44</f>
        <v>2.644109589</v>
      </c>
      <c r="S44">
        <f>PasteBBM!AD44</f>
        <v>16.10931507</v>
      </c>
      <c r="T44">
        <f>PasteBBM!AF44</f>
        <v>6.282739726</v>
      </c>
    </row>
    <row r="45">
      <c r="A45" s="5">
        <v>44.0</v>
      </c>
      <c r="B45">
        <f t="array" ref="B45">INDEX(PasteHashtag!$B$2:$B1000,MATCH(C45,PasteHashtag!$C$2:$C1000,0))</f>
        <v>32.2</v>
      </c>
      <c r="C45" t="str">
        <f>PasteBBM!J45</f>
        <v>Bam Adebayo</v>
      </c>
      <c r="D45" t="str">
        <f>IFERROR(REPLACE(PasteBBM!L45, FIND("/",PasteBBM!L45),1,","),PasteBBM!L45)</f>
        <v>C</v>
      </c>
      <c r="E45" t="str">
        <f>PasteBBM!K45</f>
        <v>MIA</v>
      </c>
      <c r="F45">
        <f>PasteBBM!T45</f>
        <v>73</v>
      </c>
      <c r="G45">
        <f>PasteBBM!V45</f>
        <v>34</v>
      </c>
      <c r="H45">
        <f>PasteBBM!AC45*PasteBBM!AD45</f>
        <v>6.981369861</v>
      </c>
      <c r="I45">
        <f>PasteBBM!AC45</f>
        <v>0.5157986357</v>
      </c>
      <c r="J45">
        <f>PasteBBM!AE45*PasteBBM!AF45</f>
        <v>3.105068493</v>
      </c>
      <c r="K45">
        <f>PasteBBM!AE45</f>
        <v>0.7400019588</v>
      </c>
      <c r="L45">
        <f>PasteBBM!X45</f>
        <v>0.8771232877</v>
      </c>
      <c r="M45">
        <f>PasteBBM!W45</f>
        <v>17.94493151</v>
      </c>
      <c r="N45">
        <f>PasteBBM!Y45</f>
        <v>9.344383562</v>
      </c>
      <c r="O45">
        <f>PasteBBM!Z45</f>
        <v>3.893150685</v>
      </c>
      <c r="P45">
        <f>PasteBBM!AA45</f>
        <v>1.243013699</v>
      </c>
      <c r="Q45">
        <f>PasteBBM!AB45</f>
        <v>0.8901369863</v>
      </c>
      <c r="R45">
        <f>PasteBBM!AG45</f>
        <v>2.192191781</v>
      </c>
      <c r="S45">
        <f>PasteBBM!AD45</f>
        <v>13.53506849</v>
      </c>
      <c r="T45">
        <f>PasteBBM!AF45</f>
        <v>4.196027397</v>
      </c>
    </row>
    <row r="46">
      <c r="A46" s="5">
        <v>45.0</v>
      </c>
      <c r="B46">
        <f t="array" ref="B46">INDEX(PasteHashtag!$B$2:$B1000,MATCH(C46,PasteHashtag!$C$2:$C1000,0))</f>
        <v>54.1</v>
      </c>
      <c r="C46" t="str">
        <f>PasteBBM!J46</f>
        <v>DeMar DeRozan</v>
      </c>
      <c r="D46" t="str">
        <f>IFERROR(REPLACE(PasteBBM!L46, FIND("/",PasteBBM!L46),1,","),PasteBBM!L46)</f>
        <v>G,F</v>
      </c>
      <c r="E46" t="str">
        <f>PasteBBM!K46</f>
        <v>SAC</v>
      </c>
      <c r="F46">
        <f>PasteBBM!T46</f>
        <v>77</v>
      </c>
      <c r="G46">
        <f>PasteBBM!V46</f>
        <v>37</v>
      </c>
      <c r="H46">
        <f>PasteBBM!AC46*PasteBBM!AD46</f>
        <v>8.106623378</v>
      </c>
      <c r="I46">
        <f>PasteBBM!AC46</f>
        <v>0.4843079597</v>
      </c>
      <c r="J46">
        <f>PasteBBM!AE46*PasteBBM!AF46</f>
        <v>5.751428571</v>
      </c>
      <c r="K46">
        <f>PasteBBM!AE46</f>
        <v>0.8590049462</v>
      </c>
      <c r="L46">
        <f>PasteBBM!X46</f>
        <v>0.9087012987</v>
      </c>
      <c r="M46">
        <f>PasteBBM!W46</f>
        <v>22.87337662</v>
      </c>
      <c r="N46">
        <f>PasteBBM!Y46</f>
        <v>4.593376623</v>
      </c>
      <c r="O46">
        <f>PasteBBM!Z46</f>
        <v>4.904805195</v>
      </c>
      <c r="P46">
        <f>PasteBBM!AA46</f>
        <v>1.08</v>
      </c>
      <c r="Q46">
        <f>PasteBBM!AB46</f>
        <v>0.4702597403</v>
      </c>
      <c r="R46">
        <f>PasteBBM!AG46</f>
        <v>1.712727273</v>
      </c>
      <c r="S46">
        <f>PasteBBM!AD46</f>
        <v>16.73857143</v>
      </c>
      <c r="T46">
        <f>PasteBBM!AF46</f>
        <v>6.695454545</v>
      </c>
    </row>
    <row r="47">
      <c r="A47" s="5">
        <v>46.0</v>
      </c>
      <c r="B47">
        <f t="array" ref="B47">INDEX(PasteHashtag!$B$2:$B1000,MATCH(C47,PasteHashtag!$C$2:$C1000,0))</f>
        <v>46.1</v>
      </c>
      <c r="C47" t="str">
        <f>PasteBBM!J47</f>
        <v>Franz Wagner</v>
      </c>
      <c r="D47" t="str">
        <f>IFERROR(REPLACE(PasteBBM!L47, FIND("/",PasteBBM!L47),1,","),PasteBBM!L47)</f>
        <v>G,F</v>
      </c>
      <c r="E47" t="str">
        <f>PasteBBM!K47</f>
        <v>ORL</v>
      </c>
      <c r="F47">
        <f>PasteBBM!T47</f>
        <v>73</v>
      </c>
      <c r="G47">
        <f>PasteBBM!V47</f>
        <v>33</v>
      </c>
      <c r="H47">
        <f>PasteBBM!AC47*PasteBBM!AD47</f>
        <v>7.969863015</v>
      </c>
      <c r="I47">
        <f>PasteBBM!AC47</f>
        <v>0.5151407827</v>
      </c>
      <c r="J47">
        <f>PasteBBM!AE47*PasteBBM!AF47</f>
        <v>4.173561644</v>
      </c>
      <c r="K47">
        <f>PasteBBM!AE47</f>
        <v>0.8430037907</v>
      </c>
      <c r="L47">
        <f>PasteBBM!X47</f>
        <v>1.582054795</v>
      </c>
      <c r="M47">
        <f>PasteBBM!W47</f>
        <v>21.69534247</v>
      </c>
      <c r="N47">
        <f>PasteBBM!Y47</f>
        <v>5.201643836</v>
      </c>
      <c r="O47">
        <f>PasteBBM!Z47</f>
        <v>3.467808219</v>
      </c>
      <c r="P47">
        <f>PasteBBM!AA47</f>
        <v>1.076027397</v>
      </c>
      <c r="Q47">
        <f>PasteBBM!AB47</f>
        <v>0.3978082192</v>
      </c>
      <c r="R47">
        <f>PasteBBM!AG47</f>
        <v>1.733835616</v>
      </c>
      <c r="S47">
        <f>PasteBBM!AD47</f>
        <v>15.47123288</v>
      </c>
      <c r="T47">
        <f>PasteBBM!AF47</f>
        <v>4.950821918</v>
      </c>
    </row>
    <row r="48">
      <c r="A48" s="5">
        <v>47.0</v>
      </c>
      <c r="B48">
        <f t="array" ref="B48">INDEX(PasteHashtag!$B$2:$B1000,MATCH(C48,PasteHashtag!$C$2:$C1000,0))</f>
        <v>41.4</v>
      </c>
      <c r="C48" t="str">
        <f>PasteBBM!J48</f>
        <v>Jalen Johnson</v>
      </c>
      <c r="D48" t="str">
        <f>IFERROR(REPLACE(PasteBBM!L48, FIND("/",PasteBBM!L48),1,","),PasteBBM!L48)</f>
        <v>F</v>
      </c>
      <c r="E48" t="str">
        <f>PasteBBM!K48</f>
        <v>ATL</v>
      </c>
      <c r="F48">
        <f>PasteBBM!T48</f>
        <v>68</v>
      </c>
      <c r="G48">
        <f>PasteBBM!V48</f>
        <v>35</v>
      </c>
      <c r="H48">
        <f>PasteBBM!AC48*PasteBBM!AD48</f>
        <v>7.917499998</v>
      </c>
      <c r="I48">
        <f>PasteBBM!AC48</f>
        <v>0.4891252998</v>
      </c>
      <c r="J48">
        <f>PasteBBM!AE48*PasteBBM!AF48</f>
        <v>2.331029412</v>
      </c>
      <c r="K48">
        <f>PasteBBM!AE48</f>
        <v>0.7200090847</v>
      </c>
      <c r="L48">
        <f>PasteBBM!X48</f>
        <v>1.545588235</v>
      </c>
      <c r="M48">
        <f>PasteBBM!W48</f>
        <v>19.71161765</v>
      </c>
      <c r="N48">
        <f>PasteBBM!Y48</f>
        <v>8.968823529</v>
      </c>
      <c r="O48">
        <f>PasteBBM!Z48</f>
        <v>4.375</v>
      </c>
      <c r="P48">
        <f>PasteBBM!AA48</f>
        <v>1.093823529</v>
      </c>
      <c r="Q48">
        <f>PasteBBM!AB48</f>
        <v>0.8020588235</v>
      </c>
      <c r="R48">
        <f>PasteBBM!AG48</f>
        <v>1.895882353</v>
      </c>
      <c r="S48">
        <f>PasteBBM!AD48</f>
        <v>16.18705882</v>
      </c>
      <c r="T48">
        <f>PasteBBM!AF48</f>
        <v>3.2375</v>
      </c>
    </row>
    <row r="49">
      <c r="A49" s="5">
        <v>48.0</v>
      </c>
      <c r="B49">
        <f t="array" ref="B49">INDEX(PasteHashtag!$B$2:$B1000,MATCH(C49,PasteHashtag!$C$2:$C1000,0))</f>
        <v>35.2</v>
      </c>
      <c r="C49" t="str">
        <f>PasteBBM!J49</f>
        <v>Ja Morant</v>
      </c>
      <c r="D49" t="str">
        <f>IFERROR(REPLACE(PasteBBM!L49, FIND("/",PasteBBM!L49),1,","),PasteBBM!L49)</f>
        <v>G</v>
      </c>
      <c r="E49" t="str">
        <f>PasteBBM!K49</f>
        <v>MEM</v>
      </c>
      <c r="F49">
        <f>PasteBBM!T49</f>
        <v>68</v>
      </c>
      <c r="G49">
        <f>PasteBBM!V49</f>
        <v>35</v>
      </c>
      <c r="H49">
        <f>PasteBBM!AC49*PasteBBM!AD49</f>
        <v>8.832205883</v>
      </c>
      <c r="I49">
        <f>PasteBBM!AC49</f>
        <v>0.4676800162</v>
      </c>
      <c r="J49">
        <f>PasteBBM!AE49*PasteBBM!AF49</f>
        <v>5.408382353</v>
      </c>
      <c r="K49">
        <f>PasteBBM!AE49</f>
        <v>0.7739919185</v>
      </c>
      <c r="L49">
        <f>PasteBBM!X49</f>
        <v>1.453382353</v>
      </c>
      <c r="M49">
        <f>PasteBBM!W49</f>
        <v>24.52617647</v>
      </c>
      <c r="N49">
        <f>PasteBBM!Y49</f>
        <v>5.614558824</v>
      </c>
      <c r="O49">
        <f>PasteBBM!Z49</f>
        <v>8.3125</v>
      </c>
      <c r="P49">
        <f>PasteBBM!AA49</f>
        <v>1.020882353</v>
      </c>
      <c r="Q49">
        <f>PasteBBM!AB49</f>
        <v>0.3602941176</v>
      </c>
      <c r="R49">
        <f>PasteBBM!AG49</f>
        <v>3.393235294</v>
      </c>
      <c r="S49">
        <f>PasteBBM!AD49</f>
        <v>18.88514706</v>
      </c>
      <c r="T49">
        <f>PasteBBM!AF49</f>
        <v>6.987647059</v>
      </c>
    </row>
    <row r="50">
      <c r="A50" s="5">
        <v>49.0</v>
      </c>
      <c r="B50">
        <f t="array" ref="B50">INDEX(PasteHashtag!$B$2:$B1000,MATCH(C50,PasteHashtag!$C$2:$C1000,0))</f>
        <v>62.6</v>
      </c>
      <c r="C50" t="str">
        <f>PasteBBM!J50</f>
        <v>Darius Garland</v>
      </c>
      <c r="D50" t="str">
        <f>IFERROR(REPLACE(PasteBBM!L50, FIND("/",PasteBBM!L50),1,","),PasteBBM!L50)</f>
        <v>G</v>
      </c>
      <c r="E50" t="str">
        <f>PasteBBM!K50</f>
        <v>CLE</v>
      </c>
      <c r="F50">
        <f>PasteBBM!T50</f>
        <v>68</v>
      </c>
      <c r="G50">
        <f>PasteBBM!V50</f>
        <v>33</v>
      </c>
      <c r="H50">
        <f>PasteBBM!AC50*PasteBBM!AD50</f>
        <v>7.117058822</v>
      </c>
      <c r="I50">
        <f>PasteBBM!AC50</f>
        <v>0.4490716254</v>
      </c>
      <c r="J50">
        <f>PasteBBM!AE50*PasteBBM!AF50</f>
        <v>2.544411765</v>
      </c>
      <c r="K50">
        <f>PasteBBM!AE50</f>
        <v>0.8449892557</v>
      </c>
      <c r="L50">
        <f>PasteBBM!X50</f>
        <v>2.7025</v>
      </c>
      <c r="M50">
        <f>PasteBBM!W50</f>
        <v>19.48102941</v>
      </c>
      <c r="N50">
        <f>PasteBBM!Y50</f>
        <v>2.805</v>
      </c>
      <c r="O50">
        <f>PasteBBM!Z50</f>
        <v>7.503382353</v>
      </c>
      <c r="P50">
        <f>PasteBBM!AA50</f>
        <v>1.251176471</v>
      </c>
      <c r="Q50">
        <f>PasteBBM!AB50</f>
        <v>0.1410294118</v>
      </c>
      <c r="R50">
        <f>PasteBBM!AG50</f>
        <v>2.960294118</v>
      </c>
      <c r="S50">
        <f>PasteBBM!AD50</f>
        <v>15.84838235</v>
      </c>
      <c r="T50">
        <f>PasteBBM!AF50</f>
        <v>3.011176471</v>
      </c>
    </row>
    <row r="51">
      <c r="A51" s="5">
        <v>50.0</v>
      </c>
      <c r="B51">
        <f t="array" ref="B51">INDEX(PasteHashtag!$B$2:$B1000,MATCH(C51,PasteHashtag!$C$2:$C1000,0))</f>
        <v>60.8</v>
      </c>
      <c r="C51" t="str">
        <f>PasteBBM!J51</f>
        <v>Deandre Ayton</v>
      </c>
      <c r="D51" t="str">
        <f>IFERROR(REPLACE(PasteBBM!L51, FIND("/",PasteBBM!L51),1,","),PasteBBM!L51)</f>
        <v>C</v>
      </c>
      <c r="E51" t="str">
        <f>PasteBBM!K51</f>
        <v>POR</v>
      </c>
      <c r="F51">
        <f>PasteBBM!T51</f>
        <v>62</v>
      </c>
      <c r="G51">
        <f>PasteBBM!V51</f>
        <v>33</v>
      </c>
      <c r="H51">
        <f>PasteBBM!AC51*PasteBBM!AD51</f>
        <v>7.97451613</v>
      </c>
      <c r="I51">
        <f>PasteBBM!AC51</f>
        <v>0.5743593318</v>
      </c>
      <c r="J51">
        <f>PasteBBM!AE51*PasteBBM!AF51</f>
        <v>1.241451613</v>
      </c>
      <c r="K51">
        <f>PasteBBM!AE51</f>
        <v>0.8129488804</v>
      </c>
      <c r="L51">
        <f>PasteBBM!X51</f>
        <v>0.05548387097</v>
      </c>
      <c r="M51">
        <f>PasteBBM!W51</f>
        <v>17.24596774</v>
      </c>
      <c r="N51">
        <f>PasteBBM!Y51</f>
        <v>11.43451613</v>
      </c>
      <c r="O51">
        <f>PasteBBM!Z51</f>
        <v>1.701612903</v>
      </c>
      <c r="P51">
        <f>PasteBBM!AA51</f>
        <v>0.8167741935</v>
      </c>
      <c r="Q51">
        <f>PasteBBM!AB51</f>
        <v>0.7487096774</v>
      </c>
      <c r="R51">
        <f>PasteBBM!AG51</f>
        <v>1.769677419</v>
      </c>
      <c r="S51">
        <f>PasteBBM!AD51</f>
        <v>13.88419355</v>
      </c>
      <c r="T51">
        <f>PasteBBM!AF51</f>
        <v>1.527096774</v>
      </c>
    </row>
    <row r="52">
      <c r="A52" s="5">
        <v>51.0</v>
      </c>
      <c r="B52">
        <f t="array" ref="B52">INDEX(PasteHashtag!$B$2:$B1000,MATCH(C52,PasteHashtag!$C$2:$C1000,0))</f>
        <v>82.6</v>
      </c>
      <c r="C52" t="str">
        <f>PasteBBM!J52</f>
        <v>OG Anunoby</v>
      </c>
      <c r="D52" t="str">
        <f>IFERROR(REPLACE(PasteBBM!L52, FIND("/",PasteBBM!L52),1,","),PasteBBM!L52)</f>
        <v>G,F</v>
      </c>
      <c r="E52" t="str">
        <f>PasteBBM!K52</f>
        <v>NYK</v>
      </c>
      <c r="F52">
        <f>PasteBBM!T52</f>
        <v>68</v>
      </c>
      <c r="G52">
        <f>PasteBBM!V52</f>
        <v>36</v>
      </c>
      <c r="H52">
        <f>PasteBBM!AC52*PasteBBM!AD52</f>
        <v>6.088235294</v>
      </c>
      <c r="I52">
        <f>PasteBBM!AC52</f>
        <v>0.4973988682</v>
      </c>
      <c r="J52">
        <f>PasteBBM!AE52*PasteBBM!AF52</f>
        <v>1.438529412</v>
      </c>
      <c r="K52">
        <f>PasteBBM!AE52</f>
        <v>0.7740148758</v>
      </c>
      <c r="L52">
        <f>PasteBBM!X52</f>
        <v>1.850735294</v>
      </c>
      <c r="M52">
        <f>PasteBBM!W52</f>
        <v>15.46573529</v>
      </c>
      <c r="N52">
        <f>PasteBBM!Y52</f>
        <v>5.183970588</v>
      </c>
      <c r="O52">
        <f>PasteBBM!Z52</f>
        <v>1.872058824</v>
      </c>
      <c r="P52">
        <f>PasteBBM!AA52</f>
        <v>1.656029412</v>
      </c>
      <c r="Q52">
        <f>PasteBBM!AB52</f>
        <v>0.8639705882</v>
      </c>
      <c r="R52">
        <f>PasteBBM!AG52</f>
        <v>1.576764706</v>
      </c>
      <c r="S52">
        <f>PasteBBM!AD52</f>
        <v>12.24014706</v>
      </c>
      <c r="T52">
        <f>PasteBBM!AF52</f>
        <v>1.858529412</v>
      </c>
    </row>
    <row r="53">
      <c r="A53" s="5">
        <v>52.0</v>
      </c>
      <c r="B53">
        <f t="array" ref="B53">INDEX(PasteHashtag!$B$2:$B1000,MATCH(C53,PasteHashtag!$C$2:$C1000,0))</f>
        <v>72.6</v>
      </c>
      <c r="C53" t="str">
        <f>PasteBBM!J53</f>
        <v>Bradley Beal</v>
      </c>
      <c r="D53" t="str">
        <f>IFERROR(REPLACE(PasteBBM!L53, FIND("/",PasteBBM!L53),1,","),PasteBBM!L53)</f>
        <v>G,F</v>
      </c>
      <c r="E53" t="str">
        <f>PasteBBM!K53</f>
        <v>PHO</v>
      </c>
      <c r="F53">
        <f>PasteBBM!T53</f>
        <v>68</v>
      </c>
      <c r="G53">
        <f>PasteBBM!V53</f>
        <v>33</v>
      </c>
      <c r="H53">
        <f>PasteBBM!AC53*PasteBBM!AD53</f>
        <v>7.148088233</v>
      </c>
      <c r="I53">
        <f>PasteBBM!AC53</f>
        <v>0.4904101296</v>
      </c>
      <c r="J53">
        <f>PasteBBM!AE53*PasteBBM!AF53</f>
        <v>1.858382353</v>
      </c>
      <c r="K53">
        <f>PasteBBM!AE53</f>
        <v>0.8500033632</v>
      </c>
      <c r="L53">
        <f>PasteBBM!X53</f>
        <v>2.250735294</v>
      </c>
      <c r="M53">
        <f>PasteBBM!W53</f>
        <v>18.40529412</v>
      </c>
      <c r="N53">
        <f>PasteBBM!Y53</f>
        <v>4.606176471</v>
      </c>
      <c r="O53">
        <f>PasteBBM!Z53</f>
        <v>4.675</v>
      </c>
      <c r="P53">
        <f>PasteBBM!AA53</f>
        <v>1.024705882</v>
      </c>
      <c r="Q53">
        <f>PasteBBM!AB53</f>
        <v>0.5523529412</v>
      </c>
      <c r="R53">
        <f>PasteBBM!AG53</f>
        <v>2.0625</v>
      </c>
      <c r="S53">
        <f>PasteBBM!AD53</f>
        <v>14.57573529</v>
      </c>
      <c r="T53">
        <f>PasteBBM!AF53</f>
        <v>2.186323529</v>
      </c>
    </row>
    <row r="54">
      <c r="A54" s="5">
        <v>53.0</v>
      </c>
      <c r="B54">
        <f t="array" ref="B54">INDEX(PasteHashtag!$B$2:$B1000,MATCH(C54,PasteHashtag!$C$2:$C1000,0))</f>
        <v>40.9</v>
      </c>
      <c r="C54" t="str">
        <f>PasteBBM!J54</f>
        <v>Jaylen Brown</v>
      </c>
      <c r="D54" t="str">
        <f>IFERROR(REPLACE(PasteBBM!L54, FIND("/",PasteBBM!L54),1,","),PasteBBM!L54)</f>
        <v>G,F</v>
      </c>
      <c r="E54" t="str">
        <f>PasteBBM!K54</f>
        <v>BOS</v>
      </c>
      <c r="F54">
        <f>PasteBBM!T54</f>
        <v>66</v>
      </c>
      <c r="G54">
        <f>PasteBBM!V54</f>
        <v>34</v>
      </c>
      <c r="H54">
        <f>PasteBBM!AC54*PasteBBM!AD54</f>
        <v>9.648939392</v>
      </c>
      <c r="I54">
        <f>PasteBBM!AC54</f>
        <v>0.505456739</v>
      </c>
      <c r="J54">
        <f>PasteBBM!AE54*PasteBBM!AF54</f>
        <v>2.931363637</v>
      </c>
      <c r="K54">
        <f>PasteBBM!AE54</f>
        <v>0.6979940833</v>
      </c>
      <c r="L54">
        <f>PasteBBM!X54</f>
        <v>2.173939394</v>
      </c>
      <c r="M54">
        <f>PasteBBM!W54</f>
        <v>24.40318182</v>
      </c>
      <c r="N54">
        <f>PasteBBM!Y54</f>
        <v>5.969848485</v>
      </c>
      <c r="O54">
        <f>PasteBBM!Z54</f>
        <v>3.331969697</v>
      </c>
      <c r="P54">
        <f>PasteBBM!AA54</f>
        <v>1.254393939</v>
      </c>
      <c r="Q54">
        <f>PasteBBM!AB54</f>
        <v>0.4154545455</v>
      </c>
      <c r="R54">
        <f>PasteBBM!AG54</f>
        <v>2.285606061</v>
      </c>
      <c r="S54">
        <f>PasteBBM!AD54</f>
        <v>19.08954545</v>
      </c>
      <c r="T54">
        <f>PasteBBM!AF54</f>
        <v>4.19969697</v>
      </c>
    </row>
    <row r="55">
      <c r="A55" s="5">
        <v>54.0</v>
      </c>
      <c r="B55">
        <f t="array" ref="B55">INDEX(PasteHashtag!$B$2:$B1000,MATCH(C55,PasteHashtag!$C$2:$C1000,0))</f>
        <v>52.7</v>
      </c>
      <c r="C55" t="str">
        <f>PasteBBM!J55</f>
        <v>Jamal Murray</v>
      </c>
      <c r="D55" t="str">
        <f>IFERROR(REPLACE(PasteBBM!L55, FIND("/",PasteBBM!L55),1,","),PasteBBM!L55)</f>
        <v>G</v>
      </c>
      <c r="E55" t="str">
        <f>PasteBBM!K55</f>
        <v>DEN</v>
      </c>
      <c r="F55">
        <f>PasteBBM!T55</f>
        <v>68</v>
      </c>
      <c r="G55">
        <f>PasteBBM!V55</f>
        <v>33</v>
      </c>
      <c r="H55">
        <f>PasteBBM!AC55*PasteBBM!AD55</f>
        <v>7.825588233</v>
      </c>
      <c r="I55">
        <f>PasteBBM!AC55</f>
        <v>0.4609148311</v>
      </c>
      <c r="J55">
        <f>PasteBBM!AE55*PasteBBM!AF55</f>
        <v>2.592941177</v>
      </c>
      <c r="K55">
        <f>PasteBBM!AE55</f>
        <v>0.8399790386</v>
      </c>
      <c r="L55">
        <f>PasteBBM!X55</f>
        <v>2.414264706</v>
      </c>
      <c r="M55">
        <f>PasteBBM!W55</f>
        <v>20.65838235</v>
      </c>
      <c r="N55">
        <f>PasteBBM!Y55</f>
        <v>3.705588235</v>
      </c>
      <c r="O55">
        <f>PasteBBM!Z55</f>
        <v>5.726911765</v>
      </c>
      <c r="P55">
        <f>PasteBBM!AA55</f>
        <v>1.016911765</v>
      </c>
      <c r="Q55">
        <f>PasteBBM!AB55</f>
        <v>0.4716176471</v>
      </c>
      <c r="R55">
        <f>PasteBBM!AG55</f>
        <v>2.021176471</v>
      </c>
      <c r="S55">
        <f>PasteBBM!AD55</f>
        <v>16.97838235</v>
      </c>
      <c r="T55">
        <f>PasteBBM!AF55</f>
        <v>3.086911765</v>
      </c>
    </row>
    <row r="56">
      <c r="A56" s="5">
        <v>55.0</v>
      </c>
      <c r="B56">
        <f t="array" ref="B56">INDEX(PasteHashtag!$B$2:$B1000,MATCH(C56,PasteHashtag!$C$2:$C1000,0))</f>
        <v>63</v>
      </c>
      <c r="C56" t="str">
        <f>PasteBBM!J56</f>
        <v>Brandon Miller</v>
      </c>
      <c r="D56" t="str">
        <f>IFERROR(REPLACE(PasteBBM!L56, FIND("/",PasteBBM!L56),1,","),PasteBBM!L56)</f>
        <v>F</v>
      </c>
      <c r="E56" t="str">
        <f>PasteBBM!K56</f>
        <v>CHA</v>
      </c>
      <c r="F56">
        <f>PasteBBM!T56</f>
        <v>73</v>
      </c>
      <c r="G56">
        <f>PasteBBM!V56</f>
        <v>34</v>
      </c>
      <c r="H56">
        <f>PasteBBM!AC56*PasteBBM!AD56</f>
        <v>7.311643834</v>
      </c>
      <c r="I56">
        <f>PasteBBM!AC56</f>
        <v>0.4534641689</v>
      </c>
      <c r="J56">
        <f>PasteBBM!AE56*PasteBBM!AF56</f>
        <v>2.54890411</v>
      </c>
      <c r="K56">
        <f>PasteBBM!AE56</f>
        <v>0.8320067966</v>
      </c>
      <c r="L56">
        <f>PasteBBM!X56</f>
        <v>2.994383562</v>
      </c>
      <c r="M56">
        <f>PasteBBM!W56</f>
        <v>20.16657534</v>
      </c>
      <c r="N56">
        <f>PasteBBM!Y56</f>
        <v>4.888219178</v>
      </c>
      <c r="O56">
        <f>PasteBBM!Z56</f>
        <v>2.772465753</v>
      </c>
      <c r="P56">
        <f>PasteBBM!AA56</f>
        <v>1.10109589</v>
      </c>
      <c r="Q56">
        <f>PasteBBM!AB56</f>
        <v>0.6538356164</v>
      </c>
      <c r="R56">
        <f>PasteBBM!AG56</f>
        <v>1.823972603</v>
      </c>
      <c r="S56">
        <f>PasteBBM!AD56</f>
        <v>16.1239726</v>
      </c>
      <c r="T56">
        <f>PasteBBM!AF56</f>
        <v>3.063561644</v>
      </c>
    </row>
    <row r="57">
      <c r="A57" s="5">
        <v>56.0</v>
      </c>
      <c r="B57">
        <f t="array" ref="B57">INDEX(PasteHashtag!$B$2:$B1000,MATCH(C57,PasteHashtag!$C$2:$C1000,0))</f>
        <v>86.4</v>
      </c>
      <c r="C57" t="str">
        <f>PasteBBM!J57</f>
        <v>Jordan Poole</v>
      </c>
      <c r="D57" t="str">
        <f>IFERROR(REPLACE(PasteBBM!L57, FIND("/",PasteBBM!L57),1,","),PasteBBM!L57)</f>
        <v>G</v>
      </c>
      <c r="E57" t="str">
        <f>PasteBBM!K57</f>
        <v>WAS</v>
      </c>
      <c r="F57">
        <f>PasteBBM!T57</f>
        <v>77</v>
      </c>
      <c r="G57">
        <f>PasteBBM!V57</f>
        <v>32</v>
      </c>
      <c r="H57">
        <f>PasteBBM!AC57*PasteBBM!AD57</f>
        <v>7.041948051</v>
      </c>
      <c r="I57">
        <f>PasteBBM!AC57</f>
        <v>0.4303583476</v>
      </c>
      <c r="J57">
        <f>PasteBBM!AE57*PasteBBM!AF57</f>
        <v>2.88974026</v>
      </c>
      <c r="K57">
        <f>PasteBBM!AE57</f>
        <v>0.8830112306</v>
      </c>
      <c r="L57">
        <f>PasteBBM!X57</f>
        <v>2.770519481</v>
      </c>
      <c r="M57">
        <f>PasteBBM!W57</f>
        <v>19.74415584</v>
      </c>
      <c r="N57">
        <f>PasteBBM!Y57</f>
        <v>2.911948052</v>
      </c>
      <c r="O57">
        <f>PasteBBM!Z57</f>
        <v>6.586623377</v>
      </c>
      <c r="P57">
        <f>PasteBBM!AA57</f>
        <v>1.04</v>
      </c>
      <c r="Q57">
        <f>PasteBBM!AB57</f>
        <v>0.347012987</v>
      </c>
      <c r="R57">
        <f>PasteBBM!AG57</f>
        <v>2.981298701</v>
      </c>
      <c r="S57">
        <f>PasteBBM!AD57</f>
        <v>16.36298701</v>
      </c>
      <c r="T57">
        <f>PasteBBM!AF57</f>
        <v>3.272597403</v>
      </c>
    </row>
    <row r="58">
      <c r="A58" s="5">
        <v>57.0</v>
      </c>
      <c r="B58">
        <f t="array" ref="B58">INDEX(PasteHashtag!$B$2:$B1000,MATCH(C58,PasteHashtag!$C$2:$C1000,0))</f>
        <v>66.6</v>
      </c>
      <c r="C58" t="str">
        <f>PasteBBM!J58</f>
        <v>Tobias Harris</v>
      </c>
      <c r="D58" t="str">
        <f>IFERROR(REPLACE(PasteBBM!L58, FIND("/",PasteBBM!L58),1,","),PasteBBM!L58)</f>
        <v>F</v>
      </c>
      <c r="E58" t="str">
        <f>PasteBBM!K58</f>
        <v>DET</v>
      </c>
      <c r="F58">
        <f>PasteBBM!T58</f>
        <v>73</v>
      </c>
      <c r="G58">
        <f>PasteBBM!V58</f>
        <v>34</v>
      </c>
      <c r="H58">
        <f>PasteBBM!AC58*PasteBBM!AD58</f>
        <v>6.788767124</v>
      </c>
      <c r="I58">
        <f>PasteBBM!AC58</f>
        <v>0.4745752973</v>
      </c>
      <c r="J58">
        <f>PasteBBM!AE58*PasteBBM!AF58</f>
        <v>3.269452055</v>
      </c>
      <c r="K58">
        <f>PasteBBM!AE58</f>
        <v>0.8790144372</v>
      </c>
      <c r="L58">
        <f>PasteBBM!X58</f>
        <v>1.421369863</v>
      </c>
      <c r="M58">
        <f>PasteBBM!W58</f>
        <v>18.26835616</v>
      </c>
      <c r="N58">
        <f>PasteBBM!Y58</f>
        <v>6.942328767</v>
      </c>
      <c r="O58">
        <f>PasteBBM!Z58</f>
        <v>3.50630137</v>
      </c>
      <c r="P58">
        <f>PasteBBM!AA58</f>
        <v>0.9116438356</v>
      </c>
      <c r="Q58">
        <f>PasteBBM!AB58</f>
        <v>0.5609589041</v>
      </c>
      <c r="R58">
        <f>PasteBBM!AG58</f>
        <v>1.47260274</v>
      </c>
      <c r="S58">
        <f>PasteBBM!AD58</f>
        <v>14.30493151</v>
      </c>
      <c r="T58">
        <f>PasteBBM!AF58</f>
        <v>3.719452055</v>
      </c>
    </row>
    <row r="59">
      <c r="A59" s="5">
        <v>58.0</v>
      </c>
      <c r="B59">
        <f t="array" ref="B59">INDEX(PasteHashtag!$B$2:$B1000,MATCH(C59,PasteHashtag!$C$2:$C1000,0))</f>
        <v>63</v>
      </c>
      <c r="C59" t="str">
        <f>PasteBBM!J59</f>
        <v>Zach LaVine</v>
      </c>
      <c r="D59" t="str">
        <f>IFERROR(REPLACE(PasteBBM!L59, FIND("/",PasteBBM!L59),1,","),PasteBBM!L59)</f>
        <v>G,F</v>
      </c>
      <c r="E59" t="str">
        <f>PasteBBM!K59</f>
        <v>CHI</v>
      </c>
      <c r="F59">
        <f>PasteBBM!T59</f>
        <v>68</v>
      </c>
      <c r="G59">
        <f>PasteBBM!V59</f>
        <v>35</v>
      </c>
      <c r="H59">
        <f>PasteBBM!AC59*PasteBBM!AD59</f>
        <v>7.571617645</v>
      </c>
      <c r="I59">
        <f>PasteBBM!AC59</f>
        <v>0.4751739668</v>
      </c>
      <c r="J59">
        <f>PasteBBM!AE59*PasteBBM!AF59</f>
        <v>3.652794118</v>
      </c>
      <c r="K59">
        <f>PasteBBM!AE59</f>
        <v>0.8489934033</v>
      </c>
      <c r="L59">
        <f>PasteBBM!X59</f>
        <v>2.576323529</v>
      </c>
      <c r="M59">
        <f>PasteBBM!W59</f>
        <v>21.37235294</v>
      </c>
      <c r="N59">
        <f>PasteBBM!Y59</f>
        <v>4.787647059</v>
      </c>
      <c r="O59">
        <f>PasteBBM!Z59</f>
        <v>3.858823529</v>
      </c>
      <c r="P59">
        <f>PasteBBM!AA59</f>
        <v>0.8577941176</v>
      </c>
      <c r="Q59">
        <f>PasteBBM!AB59</f>
        <v>0.2857352941</v>
      </c>
      <c r="R59">
        <f>PasteBBM!AG59</f>
        <v>2.143235294</v>
      </c>
      <c r="S59">
        <f>PasteBBM!AD59</f>
        <v>15.93441176</v>
      </c>
      <c r="T59">
        <f>PasteBBM!AF59</f>
        <v>4.3025</v>
      </c>
    </row>
    <row r="60">
      <c r="A60" s="5">
        <v>59.0</v>
      </c>
      <c r="B60">
        <f t="array" ref="B60">INDEX(PasteHashtag!$B$2:$B1000,MATCH(C60,PasteHashtag!$C$2:$C1000,0))</f>
        <v>94.9</v>
      </c>
      <c r="C60" t="str">
        <f>PasteBBM!J60</f>
        <v>Collin Sexton</v>
      </c>
      <c r="D60" t="str">
        <f>IFERROR(REPLACE(PasteBBM!L60, FIND("/",PasteBBM!L60),1,","),PasteBBM!L60)</f>
        <v>G</v>
      </c>
      <c r="E60" t="str">
        <f>PasteBBM!K60</f>
        <v>UTA</v>
      </c>
      <c r="F60">
        <f>PasteBBM!T60</f>
        <v>66</v>
      </c>
      <c r="G60">
        <f>PasteBBM!V60</f>
        <v>31</v>
      </c>
      <c r="H60">
        <f>PasteBBM!AC60*PasteBBM!AD60</f>
        <v>7.50878788</v>
      </c>
      <c r="I60">
        <f>PasteBBM!AC60</f>
        <v>0.4962002503</v>
      </c>
      <c r="J60">
        <f>PasteBBM!AE60*PasteBBM!AF60</f>
        <v>4.367727273</v>
      </c>
      <c r="K60">
        <f>PasteBBM!AE60</f>
        <v>0.83899415</v>
      </c>
      <c r="L60">
        <f>PasteBBM!X60</f>
        <v>1.707121212</v>
      </c>
      <c r="M60">
        <f>PasteBBM!W60</f>
        <v>21.09242424</v>
      </c>
      <c r="N60">
        <f>PasteBBM!Y60</f>
        <v>2.870151515</v>
      </c>
      <c r="O60">
        <f>PasteBBM!Z60</f>
        <v>6.066363636</v>
      </c>
      <c r="P60">
        <f>PasteBBM!AA60</f>
        <v>0.9198484848</v>
      </c>
      <c r="Q60">
        <f>PasteBBM!AB60</f>
        <v>0.2596969697</v>
      </c>
      <c r="R60">
        <f>PasteBBM!AG60</f>
        <v>2.533484848</v>
      </c>
      <c r="S60">
        <f>PasteBBM!AD60</f>
        <v>15.13257576</v>
      </c>
      <c r="T60">
        <f>PasteBBM!AF60</f>
        <v>5.205909091</v>
      </c>
    </row>
    <row r="61">
      <c r="A61" s="5">
        <v>60.0</v>
      </c>
      <c r="B61">
        <f t="array" ref="B61">INDEX(PasteHashtag!$B$2:$B1000,MATCH(C61,PasteHashtag!$C$2:$C1000,0))</f>
        <v>53.2</v>
      </c>
      <c r="C61" t="str">
        <f>PasteBBM!J61</f>
        <v>Jarrett Allen</v>
      </c>
      <c r="D61" t="str">
        <f>IFERROR(REPLACE(PasteBBM!L61, FIND("/",PasteBBM!L61),1,","),PasteBBM!L61)</f>
        <v>C</v>
      </c>
      <c r="E61" t="str">
        <f>PasteBBM!K61</f>
        <v>CLE</v>
      </c>
      <c r="F61">
        <f>PasteBBM!T61</f>
        <v>73</v>
      </c>
      <c r="G61">
        <f>PasteBBM!V61</f>
        <v>32</v>
      </c>
      <c r="H61">
        <f>PasteBBM!AC61*PasteBBM!AD61</f>
        <v>6.798904109</v>
      </c>
      <c r="I61">
        <f>PasteBBM!AC61</f>
        <v>0.6408925389</v>
      </c>
      <c r="J61">
        <f>PasteBBM!AE61*PasteBBM!AF61</f>
        <v>2.586986302</v>
      </c>
      <c r="K61">
        <f>PasteBBM!AE61</f>
        <v>0.738994326</v>
      </c>
      <c r="L61">
        <f>PasteBBM!X61</f>
        <v>0.01479452055</v>
      </c>
      <c r="M61">
        <f>PasteBBM!W61</f>
        <v>16.19958904</v>
      </c>
      <c r="N61">
        <f>PasteBBM!Y61</f>
        <v>10.3360274</v>
      </c>
      <c r="O61">
        <f>PasteBBM!Z61</f>
        <v>2.447945205</v>
      </c>
      <c r="P61">
        <f>PasteBBM!AA61</f>
        <v>0.61</v>
      </c>
      <c r="Q61">
        <f>PasteBBM!AB61</f>
        <v>1.022328767</v>
      </c>
      <c r="R61">
        <f>PasteBBM!AG61</f>
        <v>1.36</v>
      </c>
      <c r="S61">
        <f>PasteBBM!AD61</f>
        <v>10.60849315</v>
      </c>
      <c r="T61">
        <f>PasteBBM!AF61</f>
        <v>3.500684932</v>
      </c>
    </row>
    <row r="62">
      <c r="A62" s="5">
        <v>61.0</v>
      </c>
      <c r="B62">
        <f t="array" ref="B62">INDEX(PasteHashtag!$B$2:$B1000,MATCH(C62,PasteHashtag!$C$2:$C1000,0))</f>
        <v>54.7</v>
      </c>
      <c r="C62" t="str">
        <f>PasteBBM!J62</f>
        <v>Mikal Bridges</v>
      </c>
      <c r="D62" t="str">
        <f>IFERROR(REPLACE(PasteBBM!L62, FIND("/",PasteBBM!L62),1,","),PasteBBM!L62)</f>
        <v>G,F</v>
      </c>
      <c r="E62" t="str">
        <f>PasteBBM!K62</f>
        <v>NYK</v>
      </c>
      <c r="F62">
        <f>PasteBBM!T62</f>
        <v>80</v>
      </c>
      <c r="G62">
        <f>PasteBBM!V62</f>
        <v>36</v>
      </c>
      <c r="H62">
        <f>PasteBBM!AC62*PasteBBM!AD62</f>
        <v>6.832999999</v>
      </c>
      <c r="I62">
        <f>PasteBBM!AC62</f>
        <v>0.4476619441</v>
      </c>
      <c r="J62">
        <f>PasteBBM!AE62*PasteBBM!AF62</f>
        <v>2.15375</v>
      </c>
      <c r="K62">
        <f>PasteBBM!AE62</f>
        <v>0.8300014452</v>
      </c>
      <c r="L62">
        <f>PasteBBM!X62</f>
        <v>3.184875</v>
      </c>
      <c r="M62">
        <f>PasteBBM!W62</f>
        <v>19.004625</v>
      </c>
      <c r="N62">
        <f>PasteBBM!Y62</f>
        <v>4.464</v>
      </c>
      <c r="O62">
        <f>PasteBBM!Z62</f>
        <v>3.168</v>
      </c>
      <c r="P62">
        <f>PasteBBM!AA62</f>
        <v>1.152</v>
      </c>
      <c r="Q62">
        <f>PasteBBM!AB62</f>
        <v>0.504</v>
      </c>
      <c r="R62">
        <f>PasteBBM!AG62</f>
        <v>1.44</v>
      </c>
      <c r="S62">
        <f>PasteBBM!AD62</f>
        <v>15.26375</v>
      </c>
      <c r="T62">
        <f>PasteBBM!AF62</f>
        <v>2.594875</v>
      </c>
    </row>
    <row r="63">
      <c r="A63" s="5">
        <v>62.0</v>
      </c>
      <c r="B63">
        <f t="array" ref="B63">INDEX(PasteHashtag!$B$2:$B1000,MATCH(C63,PasteHashtag!$C$2:$C1000,0))</f>
        <v>45</v>
      </c>
      <c r="C63" t="str">
        <f>PasteBBM!J63</f>
        <v>Myles Turner</v>
      </c>
      <c r="D63" t="str">
        <f>IFERROR(REPLACE(PasteBBM!L63, FIND("/",PasteBBM!L63),1,","),PasteBBM!L63)</f>
        <v>C</v>
      </c>
      <c r="E63" t="str">
        <f>PasteBBM!K63</f>
        <v>IND</v>
      </c>
      <c r="F63">
        <f>PasteBBM!T63</f>
        <v>73</v>
      </c>
      <c r="G63">
        <f>PasteBBM!V63</f>
        <v>28</v>
      </c>
      <c r="H63">
        <f>PasteBBM!AC63*PasteBBM!AD63</f>
        <v>6.386027397</v>
      </c>
      <c r="I63">
        <f>PasteBBM!AC63</f>
        <v>0.5184559093</v>
      </c>
      <c r="J63">
        <f>PasteBBM!AE63*PasteBBM!AF63</f>
        <v>2.963972603</v>
      </c>
      <c r="K63">
        <f>PasteBBM!AE63</f>
        <v>0.7519897126</v>
      </c>
      <c r="L63">
        <f>PasteBBM!X63</f>
        <v>1.77260274</v>
      </c>
      <c r="M63">
        <f>PasteBBM!W63</f>
        <v>17.50863014</v>
      </c>
      <c r="N63">
        <f>PasteBBM!Y63</f>
        <v>7.330136986</v>
      </c>
      <c r="O63">
        <f>PasteBBM!Z63</f>
        <v>1.414109589</v>
      </c>
      <c r="P63">
        <f>PasteBBM!AA63</f>
        <v>0.4806849315</v>
      </c>
      <c r="Q63">
        <f>PasteBBM!AB63</f>
        <v>2.042876712</v>
      </c>
      <c r="R63">
        <f>PasteBBM!AG63</f>
        <v>1.494383562</v>
      </c>
      <c r="S63">
        <f>PasteBBM!AD63</f>
        <v>12.31739726</v>
      </c>
      <c r="T63">
        <f>PasteBBM!AF63</f>
        <v>3.941506849</v>
      </c>
    </row>
    <row r="64">
      <c r="A64" s="5">
        <v>63.0</v>
      </c>
      <c r="B64">
        <f t="array" ref="B64">INDEX(PasteHashtag!$B$2:$B1000,MATCH(C64,PasteHashtag!$C$2:$C1000,0))</f>
        <v>74</v>
      </c>
      <c r="C64" t="str">
        <f>PasteBBM!J64</f>
        <v>D'Angelo Russell</v>
      </c>
      <c r="D64" t="str">
        <f>IFERROR(REPLACE(PasteBBM!L64, FIND("/",PasteBBM!L64),1,","),PasteBBM!L64)</f>
        <v>G</v>
      </c>
      <c r="E64" t="str">
        <f>PasteBBM!K64</f>
        <v>LAL</v>
      </c>
      <c r="F64">
        <f>PasteBBM!T64</f>
        <v>73</v>
      </c>
      <c r="G64">
        <f>PasteBBM!V64</f>
        <v>34</v>
      </c>
      <c r="H64">
        <f>PasteBBM!AC64*PasteBBM!AD64</f>
        <v>6.254520548</v>
      </c>
      <c r="I64">
        <f>PasteBBM!AC64</f>
        <v>0.43945023</v>
      </c>
      <c r="J64">
        <f>PasteBBM!AE64*PasteBBM!AF64</f>
        <v>1.903835616</v>
      </c>
      <c r="K64">
        <f>PasteBBM!AE64</f>
        <v>0.8360202117</v>
      </c>
      <c r="L64">
        <f>PasteBBM!X64</f>
        <v>3.184794521</v>
      </c>
      <c r="M64">
        <f>PasteBBM!W64</f>
        <v>17.59767123</v>
      </c>
      <c r="N64">
        <f>PasteBBM!Y64</f>
        <v>3.395753425</v>
      </c>
      <c r="O64">
        <f>PasteBBM!Z64</f>
        <v>6.177808219</v>
      </c>
      <c r="P64">
        <f>PasteBBM!AA64</f>
        <v>0.9278082192</v>
      </c>
      <c r="Q64">
        <f>PasteBBM!AB64</f>
        <v>0.437260274</v>
      </c>
      <c r="R64">
        <f>PasteBBM!AG64</f>
        <v>2.110410959</v>
      </c>
      <c r="S64">
        <f>PasteBBM!AD64</f>
        <v>14.23260274</v>
      </c>
      <c r="T64">
        <f>PasteBBM!AF64</f>
        <v>2.277260274</v>
      </c>
    </row>
    <row r="65">
      <c r="A65" s="5">
        <v>64.0</v>
      </c>
      <c r="B65">
        <f t="array" ref="B65">INDEX(PasteHashtag!$B$2:$B1000,MATCH(C65,PasteHashtag!$C$2:$C1000,0))</f>
        <v>70.1</v>
      </c>
      <c r="C65" t="str">
        <f>PasteBBM!J65</f>
        <v>Cam Thomas</v>
      </c>
      <c r="D65" t="str">
        <f>IFERROR(REPLACE(PasteBBM!L65, FIND("/",PasteBBM!L65),1,","),PasteBBM!L65)</f>
        <v>G,F</v>
      </c>
      <c r="E65" t="str">
        <f>PasteBBM!K65</f>
        <v>BKN</v>
      </c>
      <c r="F65">
        <f>PasteBBM!T65</f>
        <v>73</v>
      </c>
      <c r="G65">
        <f>PasteBBM!V65</f>
        <v>34</v>
      </c>
      <c r="H65">
        <f>PasteBBM!AC65*PasteBBM!AD65</f>
        <v>9.075616438</v>
      </c>
      <c r="I65">
        <f>PasteBBM!AC65</f>
        <v>0.4314966784</v>
      </c>
      <c r="J65">
        <f>PasteBBM!AE65*PasteBBM!AF65</f>
        <v>5.88260274</v>
      </c>
      <c r="K65">
        <f>PasteBBM!AE65</f>
        <v>0.8739976391</v>
      </c>
      <c r="L65">
        <f>PasteBBM!X65</f>
        <v>2.650136986</v>
      </c>
      <c r="M65">
        <f>PasteBBM!W65</f>
        <v>26.6839726</v>
      </c>
      <c r="N65">
        <f>PasteBBM!Y65</f>
        <v>3.648630137</v>
      </c>
      <c r="O65">
        <f>PasteBBM!Z65</f>
        <v>3.648630137</v>
      </c>
      <c r="P65">
        <f>PasteBBM!AA65</f>
        <v>0.7884931507</v>
      </c>
      <c r="Q65">
        <f>PasteBBM!AB65</f>
        <v>0.2143835616</v>
      </c>
      <c r="R65">
        <f>PasteBBM!AG65</f>
        <v>2.072465753</v>
      </c>
      <c r="S65">
        <f>PasteBBM!AD65</f>
        <v>21.03287671</v>
      </c>
      <c r="T65">
        <f>PasteBBM!AF65</f>
        <v>6.730684932</v>
      </c>
    </row>
    <row r="66">
      <c r="A66" s="5">
        <v>65.0</v>
      </c>
      <c r="B66">
        <f t="array" ref="B66">INDEX(PasteHashtag!$B$2:$B1000,MATCH(C66,PasteHashtag!$C$2:$C1000,0))</f>
        <v>96.7</v>
      </c>
      <c r="C66" t="str">
        <f>PasteBBM!J66</f>
        <v>Trey Murphy III</v>
      </c>
      <c r="D66" t="str">
        <f>IFERROR(REPLACE(PasteBBM!L66, FIND("/",PasteBBM!L66),1,","),PasteBBM!L66)</f>
        <v>F</v>
      </c>
      <c r="E66" t="str">
        <f>PasteBBM!K66</f>
        <v>NOR</v>
      </c>
      <c r="F66">
        <f>PasteBBM!T66</f>
        <v>69</v>
      </c>
      <c r="G66">
        <f>PasteBBM!V66</f>
        <v>31</v>
      </c>
      <c r="H66">
        <f>PasteBBM!AC66*PasteBBM!AD66</f>
        <v>5.286666665</v>
      </c>
      <c r="I66">
        <f>PasteBBM!AC66</f>
        <v>0.4493969521</v>
      </c>
      <c r="J66">
        <f>PasteBBM!AE66*PasteBBM!AF66</f>
        <v>2.562753623</v>
      </c>
      <c r="K66">
        <f>PasteBBM!AE66</f>
        <v>0.8500216315</v>
      </c>
      <c r="L66">
        <f>PasteBBM!X66</f>
        <v>3.33884058</v>
      </c>
      <c r="M66">
        <f>PasteBBM!W66</f>
        <v>16.47492754</v>
      </c>
      <c r="N66">
        <f>PasteBBM!Y66</f>
        <v>5.754347826</v>
      </c>
      <c r="O66">
        <f>PasteBBM!Z66</f>
        <v>2.045942029</v>
      </c>
      <c r="P66">
        <f>PasteBBM!AA66</f>
        <v>1.013913043</v>
      </c>
      <c r="Q66">
        <f>PasteBBM!AB66</f>
        <v>0.4475362319</v>
      </c>
      <c r="R66">
        <f>PasteBBM!AG66</f>
        <v>0.5784057971</v>
      </c>
      <c r="S66">
        <f>PasteBBM!AD66</f>
        <v>11.76391304</v>
      </c>
      <c r="T66">
        <f>PasteBBM!AF66</f>
        <v>3.014927536</v>
      </c>
    </row>
    <row r="67">
      <c r="A67" s="5">
        <v>66.0</v>
      </c>
      <c r="B67">
        <f t="array" ref="B67">INDEX(PasteHashtag!$B$2:$B1000,MATCH(C67,PasteHashtag!$C$2:$C1000,0))</f>
        <v>53.8</v>
      </c>
      <c r="C67" t="str">
        <f>PasteBBM!J67</f>
        <v>Jalen Duren</v>
      </c>
      <c r="D67" t="str">
        <f>IFERROR(REPLACE(PasteBBM!L67, FIND("/",PasteBBM!L67),1,","),PasteBBM!L67)</f>
        <v>C</v>
      </c>
      <c r="E67" t="str">
        <f>PasteBBM!K67</f>
        <v>DET</v>
      </c>
      <c r="F67">
        <f>PasteBBM!T67</f>
        <v>68</v>
      </c>
      <c r="G67">
        <f>PasteBBM!V67</f>
        <v>29</v>
      </c>
      <c r="H67">
        <f>PasteBBM!AC67*PasteBBM!AD67</f>
        <v>5.18</v>
      </c>
      <c r="I67">
        <f>PasteBBM!AC67</f>
        <v>0.6229925716</v>
      </c>
      <c r="J67">
        <f>PasteBBM!AE67*PasteBBM!AF67</f>
        <v>2.626470588</v>
      </c>
      <c r="K67">
        <f>PasteBBM!AE67</f>
        <v>0.8100140596</v>
      </c>
      <c r="L67">
        <f>PasteBBM!X67</f>
        <v>0</v>
      </c>
      <c r="M67">
        <f>PasteBBM!W67</f>
        <v>12.98647059</v>
      </c>
      <c r="N67">
        <f>PasteBBM!Y67</f>
        <v>11.42411765</v>
      </c>
      <c r="O67">
        <f>PasteBBM!Z67</f>
        <v>2.262941176</v>
      </c>
      <c r="P67">
        <f>PasteBBM!AA67</f>
        <v>0.6036764706</v>
      </c>
      <c r="Q67">
        <f>PasteBBM!AB67</f>
        <v>0.8373529412</v>
      </c>
      <c r="R67">
        <f>PasteBBM!AG67</f>
        <v>2.213088235</v>
      </c>
      <c r="S67">
        <f>PasteBBM!AD67</f>
        <v>8.314705882</v>
      </c>
      <c r="T67">
        <f>PasteBBM!AF67</f>
        <v>3.2425</v>
      </c>
    </row>
    <row r="68">
      <c r="A68" s="5">
        <v>67.0</v>
      </c>
      <c r="B68">
        <f t="array" ref="B68">INDEX(PasteHashtag!$B$2:$B1000,MATCH(C68,PasteHashtag!$C$2:$C1000,0))</f>
        <v>101.8</v>
      </c>
      <c r="C68" t="str">
        <f>PasteBBM!J68</f>
        <v>Jalen Suggs</v>
      </c>
      <c r="D68" t="str">
        <f>IFERROR(REPLACE(PasteBBM!L68, FIND("/",PasteBBM!L68),1,","),PasteBBM!L68)</f>
        <v>G</v>
      </c>
      <c r="E68" t="str">
        <f>PasteBBM!K68</f>
        <v>ORL</v>
      </c>
      <c r="F68">
        <f>PasteBBM!T68</f>
        <v>68</v>
      </c>
      <c r="G68">
        <f>PasteBBM!V68</f>
        <v>29</v>
      </c>
      <c r="H68">
        <f>PasteBBM!AC68*PasteBBM!AD68</f>
        <v>4.781176472</v>
      </c>
      <c r="I68">
        <f>PasteBBM!AC68</f>
        <v>0.4743023035</v>
      </c>
      <c r="J68">
        <f>PasteBBM!AE68*PasteBBM!AF68</f>
        <v>1.907647059</v>
      </c>
      <c r="K68">
        <f>PasteBBM!AE68</f>
        <v>0.7570028011</v>
      </c>
      <c r="L68">
        <f>PasteBBM!X68</f>
        <v>2.01</v>
      </c>
      <c r="M68">
        <f>PasteBBM!W68</f>
        <v>13.48</v>
      </c>
      <c r="N68">
        <f>PasteBBM!Y68</f>
        <v>3.398970588</v>
      </c>
      <c r="O68">
        <f>PasteBBM!Z68</f>
        <v>4.453970588</v>
      </c>
      <c r="P68">
        <f>PasteBBM!AA68</f>
        <v>1.540441176</v>
      </c>
      <c r="Q68">
        <f>PasteBBM!AB68</f>
        <v>0.64</v>
      </c>
      <c r="R68">
        <f>PasteBBM!AG68</f>
        <v>1.875294118</v>
      </c>
      <c r="S68">
        <f>PasteBBM!AD68</f>
        <v>10.08044118</v>
      </c>
      <c r="T68">
        <f>PasteBBM!AF68</f>
        <v>2.52</v>
      </c>
    </row>
    <row r="69">
      <c r="A69" s="5">
        <v>68.0</v>
      </c>
      <c r="B69">
        <f t="array" ref="B69">INDEX(PasteHashtag!$B$2:$B1000,MATCH(C69,PasteHashtag!$C$2:$C1000,0))</f>
        <v>102</v>
      </c>
      <c r="C69" t="str">
        <f>PasteBBM!J69</f>
        <v>Alex Caruso</v>
      </c>
      <c r="D69" t="str">
        <f>IFERROR(REPLACE(PasteBBM!L69, FIND("/",PasteBBM!L69),1,","),PasteBBM!L69)</f>
        <v>G</v>
      </c>
      <c r="E69" t="str">
        <f>PasteBBM!K69</f>
        <v>OKC</v>
      </c>
      <c r="F69">
        <f>PasteBBM!T69</f>
        <v>68</v>
      </c>
      <c r="G69">
        <f>PasteBBM!V69</f>
        <v>28</v>
      </c>
      <c r="H69">
        <f>PasteBBM!AC69*PasteBBM!AD69</f>
        <v>3.211617648</v>
      </c>
      <c r="I69">
        <f>PasteBBM!AC69</f>
        <v>0.4395757015</v>
      </c>
      <c r="J69">
        <f>PasteBBM!AE69*PasteBBM!AF69</f>
        <v>0.7322058824</v>
      </c>
      <c r="K69">
        <f>PasteBBM!AE69</f>
        <v>0.7709817281</v>
      </c>
      <c r="L69">
        <f>PasteBBM!X69</f>
        <v>1.822647059</v>
      </c>
      <c r="M69">
        <f>PasteBBM!W69</f>
        <v>8.978088235</v>
      </c>
      <c r="N69">
        <f>PasteBBM!Y69</f>
        <v>3.770735294</v>
      </c>
      <c r="O69">
        <f>PasteBBM!Z69</f>
        <v>3.829558824</v>
      </c>
      <c r="P69">
        <f>PasteBBM!AA69</f>
        <v>1.8</v>
      </c>
      <c r="Q69">
        <f>PasteBBM!AB69</f>
        <v>0.7658823529</v>
      </c>
      <c r="R69">
        <f>PasteBBM!AG69</f>
        <v>1.425735294</v>
      </c>
      <c r="S69">
        <f>PasteBBM!AD69</f>
        <v>7.306176471</v>
      </c>
      <c r="T69">
        <f>PasteBBM!AF69</f>
        <v>0.9497058824</v>
      </c>
    </row>
    <row r="70">
      <c r="A70" s="5">
        <v>69.0</v>
      </c>
      <c r="B70">
        <f t="array" ref="B70">INDEX(PasteHashtag!$B$2:$B1000,MATCH(C70,PasteHashtag!$C$2:$C1000,0))</f>
        <v>58.2</v>
      </c>
      <c r="C70" t="str">
        <f>PasteBBM!J70</f>
        <v>Miles Bridges</v>
      </c>
      <c r="D70" t="str">
        <f>IFERROR(REPLACE(PasteBBM!L70, FIND("/",PasteBBM!L70),1,","),PasteBBM!L70)</f>
        <v>F</v>
      </c>
      <c r="E70" t="str">
        <f>PasteBBM!K70</f>
        <v>CHA</v>
      </c>
      <c r="F70">
        <f>PasteBBM!T70</f>
        <v>74</v>
      </c>
      <c r="G70">
        <f>PasteBBM!V70</f>
        <v>35</v>
      </c>
      <c r="H70">
        <f>PasteBBM!AC70*PasteBBM!AD70</f>
        <v>7.442702701</v>
      </c>
      <c r="I70">
        <f>PasteBBM!AC70</f>
        <v>0.4741350367</v>
      </c>
      <c r="J70">
        <f>PasteBBM!AE70*PasteBBM!AF70</f>
        <v>1.888243243</v>
      </c>
      <c r="K70">
        <f>PasteBBM!AE70</f>
        <v>0.8019858807</v>
      </c>
      <c r="L70">
        <f>PasteBBM!X70</f>
        <v>2.032432432</v>
      </c>
      <c r="M70">
        <f>PasteBBM!W70</f>
        <v>18.80608108</v>
      </c>
      <c r="N70">
        <f>PasteBBM!Y70</f>
        <v>7.285135135</v>
      </c>
      <c r="O70">
        <f>PasteBBM!Z70</f>
        <v>3.079324324</v>
      </c>
      <c r="P70">
        <f>PasteBBM!AA70</f>
        <v>0.8133783784</v>
      </c>
      <c r="Q70">
        <f>PasteBBM!AB70</f>
        <v>0.6759459459</v>
      </c>
      <c r="R70">
        <f>PasteBBM!AG70</f>
        <v>1.802567568</v>
      </c>
      <c r="S70">
        <f>PasteBBM!AD70</f>
        <v>15.69743243</v>
      </c>
      <c r="T70">
        <f>PasteBBM!AF70</f>
        <v>2.354459459</v>
      </c>
    </row>
    <row r="71">
      <c r="A71" s="5">
        <v>70.0</v>
      </c>
      <c r="B71">
        <f t="array" ref="B71">INDEX(PasteHashtag!$B$2:$B1000,MATCH(C71,PasteHashtag!$C$2:$C1000,0))</f>
        <v>93.2</v>
      </c>
      <c r="C71" t="str">
        <f>PasteBBM!J71</f>
        <v>Walker Kessler</v>
      </c>
      <c r="D71" t="str">
        <f>IFERROR(REPLACE(PasteBBM!L71, FIND("/",PasteBBM!L71),1,","),PasteBBM!L71)</f>
        <v>C</v>
      </c>
      <c r="E71" t="str">
        <f>PasteBBM!K71</f>
        <v>UTA</v>
      </c>
      <c r="F71">
        <f>PasteBBM!T71</f>
        <v>73</v>
      </c>
      <c r="G71">
        <f>PasteBBM!V71</f>
        <v>27</v>
      </c>
      <c r="H71">
        <f>PasteBBM!AC71*PasteBBM!AD71</f>
        <v>4.117123288</v>
      </c>
      <c r="I71">
        <f>PasteBBM!AC71</f>
        <v>0.6835808675</v>
      </c>
      <c r="J71">
        <f>PasteBBM!AE71*PasteBBM!AF71</f>
        <v>1.056986301</v>
      </c>
      <c r="K71">
        <f>PasteBBM!AE71</f>
        <v>0.650042123</v>
      </c>
      <c r="L71">
        <f>PasteBBM!X71</f>
        <v>0.05712328767</v>
      </c>
      <c r="M71">
        <f>PasteBBM!W71</f>
        <v>9.348356164</v>
      </c>
      <c r="N71">
        <f>PasteBBM!Y71</f>
        <v>8.805890411</v>
      </c>
      <c r="O71">
        <f>PasteBBM!Z71</f>
        <v>1.306712329</v>
      </c>
      <c r="P71">
        <f>PasteBBM!AA71</f>
        <v>0.5171232877</v>
      </c>
      <c r="Q71">
        <f>PasteBBM!AB71</f>
        <v>2.556575342</v>
      </c>
      <c r="R71">
        <f>PasteBBM!AG71</f>
        <v>1.193013699</v>
      </c>
      <c r="S71">
        <f>PasteBBM!AD71</f>
        <v>6.022876712</v>
      </c>
      <c r="T71">
        <f>PasteBBM!AF71</f>
        <v>1.626027397</v>
      </c>
    </row>
    <row r="72">
      <c r="A72" s="5">
        <v>71.0</v>
      </c>
      <c r="B72">
        <f t="array" ref="B72">INDEX(PasteHashtag!$B$2:$B1000,MATCH(C72,PasteHashtag!$C$2:$C1000,0))</f>
        <v>101.4</v>
      </c>
      <c r="C72" t="str">
        <f>PasteBBM!J72</f>
        <v>Draymond Green</v>
      </c>
      <c r="D72" t="str">
        <f>IFERROR(REPLACE(PasteBBM!L72, FIND("/",PasteBBM!L72),1,","),PasteBBM!L72)</f>
        <v>F,C</v>
      </c>
      <c r="E72" t="str">
        <f>PasteBBM!K72</f>
        <v>GSW</v>
      </c>
      <c r="F72">
        <f>PasteBBM!T72</f>
        <v>66</v>
      </c>
      <c r="G72">
        <f>PasteBBM!V72</f>
        <v>28</v>
      </c>
      <c r="H72">
        <f>PasteBBM!AC72*PasteBBM!AD72</f>
        <v>3.343636364</v>
      </c>
      <c r="I72">
        <f>PasteBBM!AC72</f>
        <v>0.5117810761</v>
      </c>
      <c r="J72">
        <f>PasteBBM!AE72*PasteBBM!AF72</f>
        <v>0.8278787878</v>
      </c>
      <c r="K72">
        <f>PasteBBM!AE72</f>
        <v>0.7039422829</v>
      </c>
      <c r="L72">
        <f>PasteBBM!X72</f>
        <v>0.7610606061</v>
      </c>
      <c r="M72">
        <f>PasteBBM!W72</f>
        <v>8.276212121</v>
      </c>
      <c r="N72">
        <f>PasteBBM!Y72</f>
        <v>7.35</v>
      </c>
      <c r="O72">
        <f>PasteBBM!Z72</f>
        <v>6.416666667</v>
      </c>
      <c r="P72">
        <f>PasteBBM!AA72</f>
        <v>1.109545455</v>
      </c>
      <c r="Q72">
        <f>PasteBBM!AB72</f>
        <v>0.8743939394</v>
      </c>
      <c r="R72">
        <f>PasteBBM!AG72</f>
        <v>2.506818182</v>
      </c>
      <c r="S72">
        <f>PasteBBM!AD72</f>
        <v>6.533333333</v>
      </c>
      <c r="T72">
        <f>PasteBBM!AF72</f>
        <v>1.176060606</v>
      </c>
    </row>
    <row r="73">
      <c r="A73" s="5">
        <v>72.0</v>
      </c>
      <c r="B73">
        <f t="array" ref="B73">INDEX(PasteHashtag!$B$2:$B1000,MATCH(C73,PasteHashtag!$C$2:$C1000,0))</f>
        <v>48.3</v>
      </c>
      <c r="C73" t="str">
        <f>PasteBBM!J73</f>
        <v>Pascal Siakam</v>
      </c>
      <c r="D73" t="str">
        <f>IFERROR(REPLACE(PasteBBM!L73, FIND("/",PasteBBM!L73),1,","),PasteBBM!L73)</f>
        <v>F,C</v>
      </c>
      <c r="E73" t="str">
        <f>PasteBBM!K73</f>
        <v>IND</v>
      </c>
      <c r="F73">
        <f>PasteBBM!T73</f>
        <v>73</v>
      </c>
      <c r="G73">
        <f>PasteBBM!V73</f>
        <v>33</v>
      </c>
      <c r="H73">
        <f>PasteBBM!AC73*PasteBBM!AD73</f>
        <v>9.202739724</v>
      </c>
      <c r="I73">
        <f>PasteBBM!AC73</f>
        <v>0.5370361488</v>
      </c>
      <c r="J73">
        <f>PasteBBM!AE73*PasteBBM!AF73</f>
        <v>3.691917808</v>
      </c>
      <c r="K73">
        <f>PasteBBM!AE73</f>
        <v>0.7270103315</v>
      </c>
      <c r="L73">
        <f>PasteBBM!X73</f>
        <v>0.8468493151</v>
      </c>
      <c r="M73">
        <f>PasteBBM!W73</f>
        <v>22.94424658</v>
      </c>
      <c r="N73">
        <f>PasteBBM!Y73</f>
        <v>8.07260274</v>
      </c>
      <c r="O73">
        <f>PasteBBM!Z73</f>
        <v>3.399041096</v>
      </c>
      <c r="P73">
        <f>PasteBBM!AA73</f>
        <v>0.8612328767</v>
      </c>
      <c r="Q73">
        <f>PasteBBM!AB73</f>
        <v>0.4209589041</v>
      </c>
      <c r="R73">
        <f>PasteBBM!AG73</f>
        <v>1.41630137</v>
      </c>
      <c r="S73">
        <f>PasteBBM!AD73</f>
        <v>17.13616438</v>
      </c>
      <c r="T73">
        <f>PasteBBM!AF73</f>
        <v>5.078219178</v>
      </c>
    </row>
    <row r="74">
      <c r="A74" s="5">
        <v>73.0</v>
      </c>
      <c r="B74">
        <f t="array" ref="B74">INDEX(PasteHashtag!$B$2:$B1000,MATCH(C74,PasteHashtag!$C$2:$C1000,0))</f>
        <v>78.5</v>
      </c>
      <c r="C74" t="str">
        <f>PasteBBM!J74</f>
        <v>Jrue Holiday</v>
      </c>
      <c r="D74" t="str">
        <f>IFERROR(REPLACE(PasteBBM!L74, FIND("/",PasteBBM!L74),1,","),PasteBBM!L74)</f>
        <v>G</v>
      </c>
      <c r="E74" t="str">
        <f>PasteBBM!K74</f>
        <v>BOS</v>
      </c>
      <c r="F74">
        <f>PasteBBM!T74</f>
        <v>62</v>
      </c>
      <c r="G74">
        <f>PasteBBM!V74</f>
        <v>33</v>
      </c>
      <c r="H74">
        <f>PasteBBM!AC74*PasteBBM!AD74</f>
        <v>4.966612903</v>
      </c>
      <c r="I74">
        <f>PasteBBM!AC74</f>
        <v>0.4725389396</v>
      </c>
      <c r="J74">
        <f>PasteBBM!AE74*PasteBBM!AF74</f>
        <v>0.7238709677</v>
      </c>
      <c r="K74">
        <f>PasteBBM!AE74</f>
        <v>0.8609246115</v>
      </c>
      <c r="L74">
        <f>PasteBBM!X74</f>
        <v>2.158548387</v>
      </c>
      <c r="M74">
        <f>PasteBBM!W74</f>
        <v>12.81564516</v>
      </c>
      <c r="N74">
        <f>PasteBBM!Y74</f>
        <v>5.187903226</v>
      </c>
      <c r="O74">
        <f>PasteBBM!Z74</f>
        <v>4.985806452</v>
      </c>
      <c r="P74">
        <f>PasteBBM!AA74</f>
        <v>0.9503225806</v>
      </c>
      <c r="Q74">
        <f>PasteBBM!AB74</f>
        <v>0.7411290323</v>
      </c>
      <c r="R74">
        <f>PasteBBM!AG74</f>
        <v>1.751774194</v>
      </c>
      <c r="S74">
        <f>PasteBBM!AD74</f>
        <v>10.51048387</v>
      </c>
      <c r="T74">
        <f>PasteBBM!AF74</f>
        <v>0.8408064516</v>
      </c>
    </row>
    <row r="75">
      <c r="A75" s="5">
        <v>74.0</v>
      </c>
      <c r="B75">
        <f t="array" ref="B75">INDEX(PasteHashtag!$B$2:$B1000,MATCH(C75,PasteHashtag!$C$2:$C1000,0))</f>
        <v>46.4</v>
      </c>
      <c r="C75" t="str">
        <f>PasteBBM!J75</f>
        <v>Rudy Gobert</v>
      </c>
      <c r="D75" t="str">
        <f>IFERROR(REPLACE(PasteBBM!L75, FIND("/",PasteBBM!L75),1,","),PasteBBM!L75)</f>
        <v>C</v>
      </c>
      <c r="E75" t="str">
        <f>PasteBBM!K75</f>
        <v>MIN</v>
      </c>
      <c r="F75">
        <f>PasteBBM!T75</f>
        <v>73</v>
      </c>
      <c r="G75">
        <f>PasteBBM!V75</f>
        <v>33</v>
      </c>
      <c r="H75">
        <f>PasteBBM!AC75*PasteBBM!AD75</f>
        <v>4.59369863</v>
      </c>
      <c r="I75">
        <f>PasteBBM!AC75</f>
        <v>0.675</v>
      </c>
      <c r="J75">
        <f>PasteBBM!AE75*PasteBBM!AF75</f>
        <v>2.737808219</v>
      </c>
      <c r="K75">
        <f>PasteBBM!AE75</f>
        <v>0.6430088154</v>
      </c>
      <c r="L75">
        <f>PasteBBM!X75</f>
        <v>0</v>
      </c>
      <c r="M75">
        <f>PasteBBM!W75</f>
        <v>11.92520548</v>
      </c>
      <c r="N75">
        <f>PasteBBM!Y75</f>
        <v>12.46438356</v>
      </c>
      <c r="O75">
        <f>PasteBBM!Z75</f>
        <v>1.30369863</v>
      </c>
      <c r="P75">
        <f>PasteBBM!AA75</f>
        <v>0.6642465753</v>
      </c>
      <c r="Q75">
        <f>PasteBBM!AB75</f>
        <v>2.041232877</v>
      </c>
      <c r="R75">
        <f>PasteBBM!AG75</f>
        <v>1.494657534</v>
      </c>
      <c r="S75">
        <f>PasteBBM!AD75</f>
        <v>6.805479452</v>
      </c>
      <c r="T75">
        <f>PasteBBM!AF75</f>
        <v>4.257808219</v>
      </c>
    </row>
    <row r="76">
      <c r="A76" s="5">
        <v>75.0</v>
      </c>
      <c r="B76">
        <f t="array" ref="B76">INDEX(PasteHashtag!$B$2:$B1000,MATCH(C76,PasteHashtag!$C$2:$C1000,0))</f>
        <v>79.7</v>
      </c>
      <c r="C76" t="str">
        <f>PasteBBM!J76</f>
        <v>Anfernee Simons</v>
      </c>
      <c r="D76" t="str">
        <f>IFERROR(REPLACE(PasteBBM!L76, FIND("/",PasteBBM!L76),1,","),PasteBBM!L76)</f>
        <v>G</v>
      </c>
      <c r="E76" t="str">
        <f>PasteBBM!K76</f>
        <v>POR</v>
      </c>
      <c r="F76">
        <f>PasteBBM!T76</f>
        <v>62</v>
      </c>
      <c r="G76">
        <f>PasteBBM!V76</f>
        <v>35</v>
      </c>
      <c r="H76">
        <f>PasteBBM!AC76*PasteBBM!AD76</f>
        <v>7.658548388</v>
      </c>
      <c r="I76">
        <f>PasteBBM!AC76</f>
        <v>0.4348100802</v>
      </c>
      <c r="J76">
        <f>PasteBBM!AE76*PasteBBM!AF76</f>
        <v>3.182096774</v>
      </c>
      <c r="K76">
        <f>PasteBBM!AE76</f>
        <v>0.9000045618</v>
      </c>
      <c r="L76">
        <f>PasteBBM!X76</f>
        <v>3.438225806</v>
      </c>
      <c r="M76">
        <f>PasteBBM!W76</f>
        <v>21.93741935</v>
      </c>
      <c r="N76">
        <f>PasteBBM!Y76</f>
        <v>3.465</v>
      </c>
      <c r="O76">
        <f>PasteBBM!Z76</f>
        <v>5.847258065</v>
      </c>
      <c r="P76">
        <f>PasteBBM!AA76</f>
        <v>0.5064516129</v>
      </c>
      <c r="Q76">
        <f>PasteBBM!AB76</f>
        <v>0.1441935484</v>
      </c>
      <c r="R76">
        <f>PasteBBM!AG76</f>
        <v>2.887419355</v>
      </c>
      <c r="S76">
        <f>PasteBBM!AD76</f>
        <v>17.61354839</v>
      </c>
      <c r="T76">
        <f>PasteBBM!AF76</f>
        <v>3.535645161</v>
      </c>
    </row>
    <row r="77">
      <c r="A77" s="5">
        <v>76.0</v>
      </c>
      <c r="B77">
        <f t="array" ref="B77">INDEX(PasteHashtag!$B$2:$B1000,MATCH(C77,PasteHashtag!$C$2:$C1000,0))</f>
        <v>76.4</v>
      </c>
      <c r="C77" t="str">
        <f>PasteBBM!J77</f>
        <v>Isaiah Hartenstein</v>
      </c>
      <c r="D77" t="str">
        <f>IFERROR(REPLACE(PasteBBM!L77, FIND("/",PasteBBM!L77),1,","),PasteBBM!L77)</f>
        <v>C</v>
      </c>
      <c r="E77" t="str">
        <f>PasteBBM!K77</f>
        <v>OKC</v>
      </c>
      <c r="F77">
        <f>PasteBBM!T77</f>
        <v>49</v>
      </c>
      <c r="G77">
        <f>PasteBBM!V77</f>
        <v>27</v>
      </c>
      <c r="H77">
        <f>PasteBBM!AC77*PasteBBM!AD77</f>
        <v>4.642653061</v>
      </c>
      <c r="I77">
        <f>PasteBBM!AC77</f>
        <v>0.5965386128</v>
      </c>
      <c r="J77">
        <f>PasteBBM!AE77*PasteBBM!AF77</f>
        <v>1.780816326</v>
      </c>
      <c r="K77">
        <f>PasteBBM!AE77</f>
        <v>0.7150114716</v>
      </c>
      <c r="L77">
        <f>PasteBBM!X77</f>
        <v>0.1579591837</v>
      </c>
      <c r="M77">
        <f>PasteBBM!W77</f>
        <v>11.22408163</v>
      </c>
      <c r="N77">
        <f>PasteBBM!Y77</f>
        <v>8.749183673</v>
      </c>
      <c r="O77">
        <f>PasteBBM!Z77</f>
        <v>3.40877551</v>
      </c>
      <c r="P77">
        <f>PasteBBM!AA77</f>
        <v>0.9657142857</v>
      </c>
      <c r="Q77">
        <f>PasteBBM!AB77</f>
        <v>1.184489796</v>
      </c>
      <c r="R77">
        <f>PasteBBM!AG77</f>
        <v>1.411632653</v>
      </c>
      <c r="S77">
        <f>PasteBBM!AD77</f>
        <v>7.782653061</v>
      </c>
      <c r="T77">
        <f>PasteBBM!AF77</f>
        <v>2.490612245</v>
      </c>
    </row>
    <row r="78">
      <c r="A78" s="5">
        <v>77.0</v>
      </c>
      <c r="B78">
        <f t="array" ref="B78">INDEX(PasteHashtag!$B$2:$B1000,MATCH(C78,PasteHashtag!$C$2:$C1000,0))</f>
        <v>63.6</v>
      </c>
      <c r="C78" t="str">
        <f>PasteBBM!J78</f>
        <v>Julius Randle</v>
      </c>
      <c r="D78" t="str">
        <f>IFERROR(REPLACE(PasteBBM!L78, FIND("/",PasteBBM!L78),1,","),PasteBBM!L78)</f>
        <v>F</v>
      </c>
      <c r="E78" t="str">
        <f>PasteBBM!K78</f>
        <v>MIN</v>
      </c>
      <c r="F78">
        <f>PasteBBM!T78</f>
        <v>68</v>
      </c>
      <c r="G78">
        <f>PasteBBM!V78</f>
        <v>34</v>
      </c>
      <c r="H78">
        <f>PasteBBM!AC78*PasteBBM!AD78</f>
        <v>8.138823529</v>
      </c>
      <c r="I78">
        <f>PasteBBM!AC78</f>
        <v>0.482485659</v>
      </c>
      <c r="J78">
        <f>PasteBBM!AE78*PasteBBM!AF78</f>
        <v>4.115294117</v>
      </c>
      <c r="K78">
        <f>PasteBBM!AE78</f>
        <v>0.786995894</v>
      </c>
      <c r="L78">
        <f>PasteBBM!X78</f>
        <v>1.700882353</v>
      </c>
      <c r="M78">
        <f>PasteBBM!W78</f>
        <v>22.09382353</v>
      </c>
      <c r="N78">
        <f>PasteBBM!Y78</f>
        <v>8.954705882</v>
      </c>
      <c r="O78">
        <f>PasteBBM!Z78</f>
        <v>4.581470588</v>
      </c>
      <c r="P78">
        <f>PasteBBM!AA78</f>
        <v>0.4848529412</v>
      </c>
      <c r="Q78">
        <f>PasteBBM!AB78</f>
        <v>0.2780882353</v>
      </c>
      <c r="R78">
        <f>PasteBBM!AG78</f>
        <v>3.054264706</v>
      </c>
      <c r="S78">
        <f>PasteBBM!AD78</f>
        <v>16.86852941</v>
      </c>
      <c r="T78">
        <f>PasteBBM!AF78</f>
        <v>5.229117647</v>
      </c>
    </row>
    <row r="79">
      <c r="A79" s="5">
        <v>78.0</v>
      </c>
      <c r="B79">
        <f t="array" ref="B79">INDEX(PasteHashtag!$B$2:$B1000,MATCH(C79,PasteHashtag!$C$2:$C1000,0))</f>
        <v>111.1</v>
      </c>
      <c r="C79" t="str">
        <f>PasteBBM!J79</f>
        <v>Khris Middleton</v>
      </c>
      <c r="D79" t="str">
        <f>IFERROR(REPLACE(PasteBBM!L79, FIND("/",PasteBBM!L79),1,","),PasteBBM!L79)</f>
        <v>F</v>
      </c>
      <c r="E79" t="str">
        <f>PasteBBM!K79</f>
        <v>MIL</v>
      </c>
      <c r="F79">
        <f>PasteBBM!T79</f>
        <v>58</v>
      </c>
      <c r="G79">
        <f>PasteBBM!V79</f>
        <v>30</v>
      </c>
      <c r="H79">
        <f>PasteBBM!AC79*PasteBBM!AD79</f>
        <v>5.673103446</v>
      </c>
      <c r="I79">
        <f>PasteBBM!AC79</f>
        <v>0.4775616836</v>
      </c>
      <c r="J79">
        <f>PasteBBM!AE79*PasteBBM!AF79</f>
        <v>1.987241379</v>
      </c>
      <c r="K79">
        <f>PasteBBM!AE79</f>
        <v>0.8540308239</v>
      </c>
      <c r="L79">
        <f>PasteBBM!X79</f>
        <v>1.715344828</v>
      </c>
      <c r="M79">
        <f>PasteBBM!W79</f>
        <v>15.0487931</v>
      </c>
      <c r="N79">
        <f>PasteBBM!Y79</f>
        <v>5.073793103</v>
      </c>
      <c r="O79">
        <f>PasteBBM!Z79</f>
        <v>5.816206897</v>
      </c>
      <c r="P79">
        <f>PasteBBM!AA79</f>
        <v>0.9456896552</v>
      </c>
      <c r="Q79">
        <f>PasteBBM!AB79</f>
        <v>0.3055172414</v>
      </c>
      <c r="R79">
        <f>PasteBBM!AG79</f>
        <v>2.448793103</v>
      </c>
      <c r="S79">
        <f>PasteBBM!AD79</f>
        <v>11.87931034</v>
      </c>
      <c r="T79">
        <f>PasteBBM!AF79</f>
        <v>2.326896552</v>
      </c>
    </row>
    <row r="80">
      <c r="A80" s="5">
        <v>79.0</v>
      </c>
      <c r="B80">
        <f t="array" ref="B80">INDEX(PasteHashtag!$B$2:$B1000,MATCH(C80,PasteHashtag!$C$2:$C1000,0))</f>
        <v>63.9</v>
      </c>
      <c r="C80" t="str">
        <f>PasteBBM!J80</f>
        <v>Nicolas Claxton</v>
      </c>
      <c r="D80" t="str">
        <f>IFERROR(REPLACE(PasteBBM!L80, FIND("/",PasteBBM!L80),1,","),PasteBBM!L80)</f>
        <v>C</v>
      </c>
      <c r="E80" t="str">
        <f>PasteBBM!K80</f>
        <v>BKN</v>
      </c>
      <c r="F80">
        <f>PasteBBM!T80</f>
        <v>73</v>
      </c>
      <c r="G80">
        <f>PasteBBM!V80</f>
        <v>31</v>
      </c>
      <c r="H80">
        <f>PasteBBM!AC80*PasteBBM!AD80</f>
        <v>5.855068494</v>
      </c>
      <c r="I80">
        <f>PasteBBM!AC80</f>
        <v>0.6600061767</v>
      </c>
      <c r="J80">
        <f>PasteBBM!AE80*PasteBBM!AF80</f>
        <v>1.750136986</v>
      </c>
      <c r="K80">
        <f>PasteBBM!AE80</f>
        <v>0.5479969117</v>
      </c>
      <c r="L80">
        <f>PasteBBM!X80</f>
        <v>0</v>
      </c>
      <c r="M80">
        <f>PasteBBM!W80</f>
        <v>13.46027397</v>
      </c>
      <c r="N80">
        <f>PasteBBM!Y80</f>
        <v>9.98</v>
      </c>
      <c r="O80">
        <f>PasteBBM!Z80</f>
        <v>2.478767123</v>
      </c>
      <c r="P80">
        <f>PasteBBM!AA80</f>
        <v>0.7197260274</v>
      </c>
      <c r="Q80">
        <f>PasteBBM!AB80</f>
        <v>2.022054795</v>
      </c>
      <c r="R80">
        <f>PasteBBM!AG80</f>
        <v>1.630684932</v>
      </c>
      <c r="S80">
        <f>PasteBBM!AD80</f>
        <v>8.871232877</v>
      </c>
      <c r="T80">
        <f>PasteBBM!AF80</f>
        <v>3.19369863</v>
      </c>
    </row>
    <row r="81">
      <c r="A81" s="5">
        <v>80.0</v>
      </c>
      <c r="B81">
        <f t="array" ref="B81">INDEX(PasteHashtag!$B$2:$B1000,MATCH(C81,PasteHashtag!$C$2:$C1000,0))</f>
        <v>99.3</v>
      </c>
      <c r="C81" t="str">
        <f>PasteBBM!J81</f>
        <v>Mark Williams</v>
      </c>
      <c r="D81" t="str">
        <f>IFERROR(REPLACE(PasteBBM!L81, FIND("/",PasteBBM!L81),1,","),PasteBBM!L81)</f>
        <v>C</v>
      </c>
      <c r="E81" t="str">
        <f>PasteBBM!K81</f>
        <v>CHA</v>
      </c>
      <c r="F81">
        <f>PasteBBM!T81</f>
        <v>61</v>
      </c>
      <c r="G81">
        <f>PasteBBM!V81</f>
        <v>27</v>
      </c>
      <c r="H81">
        <f>PasteBBM!AC81*PasteBBM!AD81</f>
        <v>5.439180328</v>
      </c>
      <c r="I81">
        <f>PasteBBM!AC81</f>
        <v>0.643003876</v>
      </c>
      <c r="J81">
        <f>PasteBBM!AE81*PasteBBM!AF81</f>
        <v>2.197213115</v>
      </c>
      <c r="K81">
        <f>PasteBBM!AE81</f>
        <v>0.7020217892</v>
      </c>
      <c r="L81">
        <f>PasteBBM!X81</f>
        <v>0</v>
      </c>
      <c r="M81">
        <f>PasteBBM!W81</f>
        <v>13.07557377</v>
      </c>
      <c r="N81">
        <f>PasteBBM!Y81</f>
        <v>9.907377049</v>
      </c>
      <c r="O81">
        <f>PasteBBM!Z81</f>
        <v>1.158688525</v>
      </c>
      <c r="P81">
        <f>PasteBBM!AA81</f>
        <v>0.8316393443</v>
      </c>
      <c r="Q81">
        <f>PasteBBM!AB81</f>
        <v>1.332622951</v>
      </c>
      <c r="R81">
        <f>PasteBBM!AG81</f>
        <v>0.9849180328</v>
      </c>
      <c r="S81">
        <f>PasteBBM!AD81</f>
        <v>8.459016393</v>
      </c>
      <c r="T81">
        <f>PasteBBM!AF81</f>
        <v>3.129836066</v>
      </c>
    </row>
    <row r="82">
      <c r="A82" s="5">
        <v>81.0</v>
      </c>
      <c r="B82">
        <f t="array" ref="B82">INDEX(PasteHashtag!$B$2:$B1000,MATCH(C82,PasteHashtag!$C$2:$C1000,0))</f>
        <v>87.2</v>
      </c>
      <c r="C82" t="str">
        <f>PasteBBM!J82</f>
        <v>Austin Reaves</v>
      </c>
      <c r="D82" t="str">
        <f>IFERROR(REPLACE(PasteBBM!L82, FIND("/",PasteBBM!L82),1,","),PasteBBM!L82)</f>
        <v>G,F</v>
      </c>
      <c r="E82" t="str">
        <f>PasteBBM!K82</f>
        <v>LAL</v>
      </c>
      <c r="F82">
        <f>PasteBBM!T82</f>
        <v>77</v>
      </c>
      <c r="G82">
        <f>PasteBBM!V82</f>
        <v>33</v>
      </c>
      <c r="H82">
        <f>PasteBBM!AC82*PasteBBM!AD82</f>
        <v>5.963376622</v>
      </c>
      <c r="I82">
        <f>PasteBBM!AC82</f>
        <v>0.4831642746</v>
      </c>
      <c r="J82">
        <f>PasteBBM!AE82*PasteBBM!AF82</f>
        <v>2.384545455</v>
      </c>
      <c r="K82">
        <f>PasteBBM!AE82</f>
        <v>0.84001281</v>
      </c>
      <c r="L82">
        <f>PasteBBM!X82</f>
        <v>2.255714286</v>
      </c>
      <c r="M82">
        <f>PasteBBM!W82</f>
        <v>16.56701299</v>
      </c>
      <c r="N82">
        <f>PasteBBM!Y82</f>
        <v>4.558181818</v>
      </c>
      <c r="O82">
        <f>PasteBBM!Z82</f>
        <v>5.39961039</v>
      </c>
      <c r="P82">
        <f>PasteBBM!AA82</f>
        <v>0.6971428571</v>
      </c>
      <c r="Q82">
        <f>PasteBBM!AB82</f>
        <v>0.4224675325</v>
      </c>
      <c r="R82">
        <f>PasteBBM!AG82</f>
        <v>2.110909091</v>
      </c>
      <c r="S82">
        <f>PasteBBM!AD82</f>
        <v>12.34233766</v>
      </c>
      <c r="T82">
        <f>PasteBBM!AF82</f>
        <v>2.838701299</v>
      </c>
    </row>
    <row r="83">
      <c r="A83" s="5">
        <v>82.0</v>
      </c>
      <c r="B83">
        <f t="array" ref="B83">INDEX(PasteHashtag!$B$2:$B1000,MATCH(C83,PasteHashtag!$C$2:$C1000,0))</f>
        <v>90.4</v>
      </c>
      <c r="C83" t="str">
        <f>PasteBBM!J83</f>
        <v>Bogdan Bogdanovic</v>
      </c>
      <c r="D83" t="str">
        <f>IFERROR(REPLACE(PasteBBM!L83, FIND("/",PasteBBM!L83),1,","),PasteBBM!L83)</f>
        <v>G,F</v>
      </c>
      <c r="E83" t="str">
        <f>PasteBBM!K83</f>
        <v>ATL</v>
      </c>
      <c r="F83">
        <f>PasteBBM!T83</f>
        <v>73</v>
      </c>
      <c r="G83">
        <f>PasteBBM!V83</f>
        <v>32</v>
      </c>
      <c r="H83">
        <f>PasteBBM!AC83*PasteBBM!AD83</f>
        <v>5.958493151</v>
      </c>
      <c r="I83">
        <f>PasteBBM!AC83</f>
        <v>0.4296976103</v>
      </c>
      <c r="J83">
        <f>PasteBBM!AE83*PasteBBM!AF83</f>
        <v>1.827945205</v>
      </c>
      <c r="K83">
        <f>PasteBBM!AE83</f>
        <v>0.8840013249</v>
      </c>
      <c r="L83">
        <f>PasteBBM!X83</f>
        <v>2.866438356</v>
      </c>
      <c r="M83">
        <f>PasteBBM!W83</f>
        <v>16.61136986</v>
      </c>
      <c r="N83">
        <f>PasteBBM!Y83</f>
        <v>3.8</v>
      </c>
      <c r="O83">
        <f>PasteBBM!Z83</f>
        <v>3.8</v>
      </c>
      <c r="P83">
        <f>PasteBBM!AA83</f>
        <v>1.129178082</v>
      </c>
      <c r="Q83">
        <f>PasteBBM!AB83</f>
        <v>0.4009589041</v>
      </c>
      <c r="R83">
        <f>PasteBBM!AG83</f>
        <v>1.933287671</v>
      </c>
      <c r="S83">
        <f>PasteBBM!AD83</f>
        <v>13.86671233</v>
      </c>
      <c r="T83">
        <f>PasteBBM!AF83</f>
        <v>2.067808219</v>
      </c>
    </row>
    <row r="84">
      <c r="A84" s="5">
        <v>83.0</v>
      </c>
      <c r="B84">
        <f t="array" ref="B84">INDEX(PasteHashtag!$B$2:$B1000,MATCH(C84,PasteHashtag!$C$2:$C1000,0))</f>
        <v>69.9</v>
      </c>
      <c r="C84" t="str">
        <f>PasteBBM!J84</f>
        <v>Brandon Ingram</v>
      </c>
      <c r="D84" t="str">
        <f>IFERROR(REPLACE(PasteBBM!L84, FIND("/",PasteBBM!L84),1,","),PasteBBM!L84)</f>
        <v>G,F</v>
      </c>
      <c r="E84" t="str">
        <f>PasteBBM!K84</f>
        <v>NOR</v>
      </c>
      <c r="F84">
        <f>PasteBBM!T84</f>
        <v>68</v>
      </c>
      <c r="G84">
        <f>PasteBBM!V84</f>
        <v>33</v>
      </c>
      <c r="H84">
        <f>PasteBBM!AC84*PasteBBM!AD84</f>
        <v>7.069264704</v>
      </c>
      <c r="I84">
        <f>PasteBBM!AC84</f>
        <v>0.4993455769</v>
      </c>
      <c r="J84">
        <f>PasteBBM!AE84*PasteBBM!AF84</f>
        <v>2.65382353</v>
      </c>
      <c r="K84">
        <f>PasteBBM!AE84</f>
        <v>0.815012194</v>
      </c>
      <c r="L84">
        <f>PasteBBM!X84</f>
        <v>1.190441176</v>
      </c>
      <c r="M84">
        <f>PasteBBM!W84</f>
        <v>17.98279412</v>
      </c>
      <c r="N84">
        <f>PasteBBM!Y84</f>
        <v>5.785294118</v>
      </c>
      <c r="O84">
        <f>PasteBBM!Z84</f>
        <v>4.900441176</v>
      </c>
      <c r="P84">
        <f>PasteBBM!AA84</f>
        <v>0.7513235294</v>
      </c>
      <c r="Q84">
        <f>PasteBBM!AB84</f>
        <v>0.5445588235</v>
      </c>
      <c r="R84">
        <f>PasteBBM!AG84</f>
        <v>2.314117647</v>
      </c>
      <c r="S84">
        <f>PasteBBM!AD84</f>
        <v>14.15705882</v>
      </c>
      <c r="T84">
        <f>PasteBBM!AF84</f>
        <v>3.256176471</v>
      </c>
    </row>
    <row r="85">
      <c r="A85" s="5">
        <v>84.0</v>
      </c>
      <c r="B85">
        <f t="array" ref="B85">INDEX(PasteHashtag!$B$2:$B1000,MATCH(C85,PasteHashtag!$C$2:$C1000,0))</f>
        <v>67.4</v>
      </c>
      <c r="C85" t="str">
        <f>PasteBBM!J85</f>
        <v>Josh Giddey</v>
      </c>
      <c r="D85" t="str">
        <f>IFERROR(REPLACE(PasteBBM!L85, FIND("/",PasteBBM!L85),1,","),PasteBBM!L85)</f>
        <v>G,F</v>
      </c>
      <c r="E85" t="str">
        <f>PasteBBM!K85</f>
        <v>CHI</v>
      </c>
      <c r="F85">
        <f>PasteBBM!T85</f>
        <v>77</v>
      </c>
      <c r="G85">
        <f>PasteBBM!V85</f>
        <v>31</v>
      </c>
      <c r="H85">
        <f>PasteBBM!AC85*PasteBBM!AD85</f>
        <v>5.930909092</v>
      </c>
      <c r="I85">
        <f>PasteBBM!AC85</f>
        <v>0.4830343544</v>
      </c>
      <c r="J85">
        <f>PasteBBM!AE85*PasteBBM!AF85</f>
        <v>2.191428571</v>
      </c>
      <c r="K85">
        <f>PasteBBM!AE85</f>
        <v>0.7759944815</v>
      </c>
      <c r="L85">
        <f>PasteBBM!X85</f>
        <v>1.057532468</v>
      </c>
      <c r="M85">
        <f>PasteBBM!W85</f>
        <v>15.11077922</v>
      </c>
      <c r="N85">
        <f>PasteBBM!Y85</f>
        <v>7.721558442</v>
      </c>
      <c r="O85">
        <f>PasteBBM!Z85</f>
        <v>6.265844156</v>
      </c>
      <c r="P85">
        <f>PasteBBM!AA85</f>
        <v>0.7207792208</v>
      </c>
      <c r="Q85">
        <f>PasteBBM!AB85</f>
        <v>0.5696103896</v>
      </c>
      <c r="R85">
        <f>PasteBBM!AG85</f>
        <v>2.658311688</v>
      </c>
      <c r="S85">
        <f>PasteBBM!AD85</f>
        <v>12.27844156</v>
      </c>
      <c r="T85">
        <f>PasteBBM!AF85</f>
        <v>2.824025974</v>
      </c>
    </row>
    <row r="86">
      <c r="A86" s="5">
        <v>85.0</v>
      </c>
      <c r="B86">
        <f t="array" ref="B86">INDEX(PasteHashtag!$B$2:$B1000,MATCH(C86,PasteHashtag!$C$2:$C1000,0))</f>
        <v>34.6</v>
      </c>
      <c r="C86" t="str">
        <f>PasteBBM!J86</f>
        <v>Paolo Banchero</v>
      </c>
      <c r="D86" t="str">
        <f>IFERROR(REPLACE(PasteBBM!L86, FIND("/",PasteBBM!L86),1,","),PasteBBM!L86)</f>
        <v>F</v>
      </c>
      <c r="E86" t="str">
        <f>PasteBBM!K86</f>
        <v>ORL</v>
      </c>
      <c r="F86">
        <f>PasteBBM!T86</f>
        <v>77</v>
      </c>
      <c r="G86">
        <f>PasteBBM!V86</f>
        <v>35</v>
      </c>
      <c r="H86">
        <f>PasteBBM!AC86*PasteBBM!AD86</f>
        <v>8.320909092</v>
      </c>
      <c r="I86">
        <f>PasteBBM!AC86</f>
        <v>0.455972672</v>
      </c>
      <c r="J86">
        <f>PasteBBM!AE86*PasteBBM!AF86</f>
        <v>5.248701299</v>
      </c>
      <c r="K86">
        <f>PasteBBM!AE86</f>
        <v>0.7599947347</v>
      </c>
      <c r="L86">
        <f>PasteBBM!X86</f>
        <v>1.547402597</v>
      </c>
      <c r="M86">
        <f>PasteBBM!W86</f>
        <v>23.43792208</v>
      </c>
      <c r="N86">
        <f>PasteBBM!Y86</f>
        <v>7.355844156</v>
      </c>
      <c r="O86">
        <f>PasteBBM!Z86</f>
        <v>5.624935065</v>
      </c>
      <c r="P86">
        <f>PasteBBM!AA86</f>
        <v>0.7054545455</v>
      </c>
      <c r="Q86">
        <f>PasteBBM!AB86</f>
        <v>0.6376623377</v>
      </c>
      <c r="R86">
        <f>PasteBBM!AG86</f>
        <v>3.116753247</v>
      </c>
      <c r="S86">
        <f>PasteBBM!AD86</f>
        <v>18.2487013</v>
      </c>
      <c r="T86">
        <f>PasteBBM!AF86</f>
        <v>6.906233766</v>
      </c>
    </row>
    <row r="87">
      <c r="A87" s="5">
        <v>86.0</v>
      </c>
      <c r="B87">
        <f t="array" ref="B87">INDEX(PasteHashtag!$B$2:$B1000,MATCH(C87,PasteHashtag!$C$2:$C1000,0))</f>
        <v>55.2</v>
      </c>
      <c r="C87" t="str">
        <f>PasteBBM!J87</f>
        <v>Nikola Vucevic</v>
      </c>
      <c r="D87" t="str">
        <f>IFERROR(REPLACE(PasteBBM!L87, FIND("/",PasteBBM!L87),1,","),PasteBBM!L87)</f>
        <v>C</v>
      </c>
      <c r="E87" t="str">
        <f>PasteBBM!K87</f>
        <v>CHI</v>
      </c>
      <c r="F87">
        <f>PasteBBM!T87</f>
        <v>73</v>
      </c>
      <c r="G87">
        <f>PasteBBM!V87</f>
        <v>31</v>
      </c>
      <c r="H87">
        <f>PasteBBM!AC87*PasteBBM!AD87</f>
        <v>6.771643836</v>
      </c>
      <c r="I87">
        <f>PasteBBM!AC87</f>
        <v>0.4953355311</v>
      </c>
      <c r="J87">
        <f>PasteBBM!AE87*PasteBBM!AF87</f>
        <v>1.546438356</v>
      </c>
      <c r="K87">
        <f>PasteBBM!AE87</f>
        <v>0.807973089</v>
      </c>
      <c r="L87">
        <f>PasteBBM!X87</f>
        <v>1.126712329</v>
      </c>
      <c r="M87">
        <f>PasteBBM!W87</f>
        <v>16.21643836</v>
      </c>
      <c r="N87">
        <f>PasteBBM!Y87</f>
        <v>9.620273973</v>
      </c>
      <c r="O87">
        <f>PasteBBM!Z87</f>
        <v>2.911369863</v>
      </c>
      <c r="P87">
        <f>PasteBBM!AA87</f>
        <v>0.6328767123</v>
      </c>
      <c r="Q87">
        <f>PasteBBM!AB87</f>
        <v>0.705890411</v>
      </c>
      <c r="R87">
        <f>PasteBBM!AG87</f>
        <v>1.392465753</v>
      </c>
      <c r="S87">
        <f>PasteBBM!AD87</f>
        <v>13.67082192</v>
      </c>
      <c r="T87">
        <f>PasteBBM!AF87</f>
        <v>1.913972603</v>
      </c>
    </row>
    <row r="88">
      <c r="A88" s="5">
        <v>87.0</v>
      </c>
      <c r="B88">
        <f t="array" ref="B88">INDEX(PasteHashtag!$B$2:$B1000,MATCH(C88,PasteHashtag!$C$2:$C1000,0))</f>
        <v>82</v>
      </c>
      <c r="C88" t="str">
        <f>PasteBBM!J88</f>
        <v>Devin Vassell</v>
      </c>
      <c r="D88" t="str">
        <f>IFERROR(REPLACE(PasteBBM!L88, FIND("/",PasteBBM!L88),1,","),PasteBBM!L88)</f>
        <v>G,F</v>
      </c>
      <c r="E88" t="str">
        <f>PasteBBM!K88</f>
        <v>SAS</v>
      </c>
      <c r="F88">
        <f>PasteBBM!T88</f>
        <v>55</v>
      </c>
      <c r="G88">
        <f>PasteBBM!V88</f>
        <v>33</v>
      </c>
      <c r="H88">
        <f>PasteBBM!AC88*PasteBBM!AD88</f>
        <v>7.328909089</v>
      </c>
      <c r="I88">
        <f>PasteBBM!AC88</f>
        <v>0.4845355868</v>
      </c>
      <c r="J88">
        <f>PasteBBM!AE88*PasteBBM!AF88</f>
        <v>1.960181818</v>
      </c>
      <c r="K88">
        <f>PasteBBM!AE88</f>
        <v>0.8099924869</v>
      </c>
      <c r="L88">
        <f>PasteBBM!X88</f>
        <v>2.230181818</v>
      </c>
      <c r="M88">
        <f>PasteBBM!W88</f>
        <v>18.84818182</v>
      </c>
      <c r="N88">
        <f>PasteBBM!Y88</f>
        <v>3.85</v>
      </c>
      <c r="O88">
        <f>PasteBBM!Z88</f>
        <v>3.437454545</v>
      </c>
      <c r="P88">
        <f>PasteBBM!AA88</f>
        <v>1.031272727</v>
      </c>
      <c r="Q88">
        <f>PasteBBM!AB88</f>
        <v>0.4152727273</v>
      </c>
      <c r="R88">
        <f>PasteBBM!AG88</f>
        <v>1.443818182</v>
      </c>
      <c r="S88">
        <f>PasteBBM!AD88</f>
        <v>15.12563636</v>
      </c>
      <c r="T88">
        <f>PasteBBM!AF88</f>
        <v>2.42</v>
      </c>
    </row>
    <row r="89">
      <c r="A89" s="5">
        <v>88.0</v>
      </c>
      <c r="B89">
        <f t="array" ref="B89">INDEX(PasteHashtag!$B$2:$B1000,MATCH(C89,PasteHashtag!$C$2:$C1000,0))</f>
        <v>86.9</v>
      </c>
      <c r="C89" t="str">
        <f>PasteBBM!J89</f>
        <v>CJ McCollum</v>
      </c>
      <c r="D89" t="str">
        <f>IFERROR(REPLACE(PasteBBM!L89, FIND("/",PasteBBM!L89),1,","),PasteBBM!L89)</f>
        <v>G</v>
      </c>
      <c r="E89" t="str">
        <f>PasteBBM!K89</f>
        <v>NOR</v>
      </c>
      <c r="F89">
        <f>PasteBBM!T89</f>
        <v>68</v>
      </c>
      <c r="G89">
        <f>PasteBBM!V89</f>
        <v>33</v>
      </c>
      <c r="H89">
        <f>PasteBBM!AC89*PasteBBM!AD89</f>
        <v>6.840735296</v>
      </c>
      <c r="I89">
        <f>PasteBBM!AC89</f>
        <v>0.4369886049</v>
      </c>
      <c r="J89">
        <f>PasteBBM!AE89*PasteBBM!AF89</f>
        <v>1.530882353</v>
      </c>
      <c r="K89">
        <f>PasteBBM!AE89</f>
        <v>0.83299992</v>
      </c>
      <c r="L89">
        <f>PasteBBM!X89</f>
        <v>3.242205882</v>
      </c>
      <c r="M89">
        <f>PasteBBM!W89</f>
        <v>18.45455882</v>
      </c>
      <c r="N89">
        <f>PasteBBM!Y89</f>
        <v>4.356029412</v>
      </c>
      <c r="O89">
        <f>PasteBBM!Z89</f>
        <v>4.424117647</v>
      </c>
      <c r="P89">
        <f>PasteBBM!AA89</f>
        <v>0.8055882353</v>
      </c>
      <c r="Q89">
        <f>PasteBBM!AB89</f>
        <v>0.4808823529</v>
      </c>
      <c r="R89">
        <f>PasteBBM!AG89</f>
        <v>1.646617647</v>
      </c>
      <c r="S89">
        <f>PasteBBM!AD89</f>
        <v>15.65426471</v>
      </c>
      <c r="T89">
        <f>PasteBBM!AF89</f>
        <v>1.837794118</v>
      </c>
    </row>
    <row r="90">
      <c r="A90" s="5">
        <v>89.0</v>
      </c>
      <c r="B90">
        <f t="array" ref="B90">INDEX(PasteHashtag!$B$2:$B1000,MATCH(C90,PasteHashtag!$C$2:$C1000,0))</f>
        <v>81</v>
      </c>
      <c r="C90" t="str">
        <f>PasteBBM!J90</f>
        <v>Keegan Murray</v>
      </c>
      <c r="D90" t="str">
        <f>IFERROR(REPLACE(PasteBBM!L90, FIND("/",PasteBBM!L90),1,","),PasteBBM!L90)</f>
        <v>F</v>
      </c>
      <c r="E90" t="str">
        <f>PasteBBM!K90</f>
        <v>SAC</v>
      </c>
      <c r="F90">
        <f>PasteBBM!T90</f>
        <v>77</v>
      </c>
      <c r="G90">
        <f>PasteBBM!V90</f>
        <v>35</v>
      </c>
      <c r="H90">
        <f>PasteBBM!AC90*PasteBBM!AD90</f>
        <v>5.664935066</v>
      </c>
      <c r="I90">
        <f>PasteBBM!AC90</f>
        <v>0.4471965635</v>
      </c>
      <c r="J90">
        <f>PasteBBM!AE90*PasteBBM!AF90</f>
        <v>0.9576623377</v>
      </c>
      <c r="K90">
        <f>PasteBBM!AE90</f>
        <v>0.8400546822</v>
      </c>
      <c r="L90">
        <f>PasteBBM!X90</f>
        <v>2.654935065</v>
      </c>
      <c r="M90">
        <f>PasteBBM!W90</f>
        <v>14.94246753</v>
      </c>
      <c r="N90">
        <f>PasteBBM!Y90</f>
        <v>6.628181818</v>
      </c>
      <c r="O90">
        <f>PasteBBM!Z90</f>
        <v>1.546623377</v>
      </c>
      <c r="P90">
        <f>PasteBBM!AA90</f>
        <v>0.9588311688</v>
      </c>
      <c r="Q90">
        <f>PasteBBM!AB90</f>
        <v>0.8828571429</v>
      </c>
      <c r="R90">
        <f>PasteBBM!AG90</f>
        <v>0.882987013</v>
      </c>
      <c r="S90">
        <f>PasteBBM!AD90</f>
        <v>12.66766234</v>
      </c>
      <c r="T90">
        <f>PasteBBM!AF90</f>
        <v>1.14</v>
      </c>
    </row>
    <row r="91">
      <c r="A91" s="5">
        <v>90.0</v>
      </c>
      <c r="B91">
        <f t="array" ref="B91">INDEX(PasteHashtag!$B$2:$B1000,MATCH(C91,PasteHashtag!$C$2:$C1000,0))</f>
        <v>92.7</v>
      </c>
      <c r="C91" t="str">
        <f>PasteBBM!J91</f>
        <v>Jakob Poeltl</v>
      </c>
      <c r="D91" t="str">
        <f>IFERROR(REPLACE(PasteBBM!L91, FIND("/",PasteBBM!L91),1,","),PasteBBM!L91)</f>
        <v>C</v>
      </c>
      <c r="E91" t="str">
        <f>PasteBBM!K91</f>
        <v>TOR</v>
      </c>
      <c r="F91">
        <f>PasteBBM!T91</f>
        <v>73</v>
      </c>
      <c r="G91">
        <f>PasteBBM!V91</f>
        <v>27</v>
      </c>
      <c r="H91">
        <f>PasteBBM!AC91*PasteBBM!AD91</f>
        <v>5.406438356</v>
      </c>
      <c r="I91">
        <f>PasteBBM!AC91</f>
        <v>0.61</v>
      </c>
      <c r="J91">
        <f>PasteBBM!AE91*PasteBBM!AF91</f>
        <v>1.202739726</v>
      </c>
      <c r="K91">
        <f>PasteBBM!AE91</f>
        <v>0.590014112</v>
      </c>
      <c r="L91">
        <f>PasteBBM!X91</f>
        <v>0</v>
      </c>
      <c r="M91">
        <f>PasteBBM!W91</f>
        <v>12.01561644</v>
      </c>
      <c r="N91">
        <f>PasteBBM!Y91</f>
        <v>8.805890411</v>
      </c>
      <c r="O91">
        <f>PasteBBM!Z91</f>
        <v>2.684657534</v>
      </c>
      <c r="P91">
        <f>PasteBBM!AA91</f>
        <v>0.7971232877</v>
      </c>
      <c r="Q91">
        <f>PasteBBM!AB91</f>
        <v>1.704383562</v>
      </c>
      <c r="R91">
        <f>PasteBBM!AG91</f>
        <v>1.532054795</v>
      </c>
      <c r="S91">
        <f>PasteBBM!AD91</f>
        <v>8.863013699</v>
      </c>
      <c r="T91">
        <f>PasteBBM!AF91</f>
        <v>2.038493151</v>
      </c>
    </row>
    <row r="92">
      <c r="A92" s="5">
        <v>91.0</v>
      </c>
      <c r="B92">
        <f t="array" ref="B92">INDEX(PasteHashtag!$B$2:$B1000,MATCH(C92,PasteHashtag!$C$2:$C1000,0))</f>
        <v>91.6</v>
      </c>
      <c r="C92" t="str">
        <f>PasteBBM!J92</f>
        <v>Ivica Zubac</v>
      </c>
      <c r="D92" t="str">
        <f>IFERROR(REPLACE(PasteBBM!L92, FIND("/",PasteBBM!L92),1,","),PasteBBM!L92)</f>
        <v>C</v>
      </c>
      <c r="E92" t="str">
        <f>PasteBBM!K92</f>
        <v>LAC</v>
      </c>
      <c r="F92">
        <f>PasteBBM!T92</f>
        <v>73</v>
      </c>
      <c r="G92">
        <f>PasteBBM!V92</f>
        <v>29</v>
      </c>
      <c r="H92">
        <f>PasteBBM!AC92*PasteBBM!AD92</f>
        <v>5.893561644</v>
      </c>
      <c r="I92">
        <f>PasteBBM!AC92</f>
        <v>0.6339964633</v>
      </c>
      <c r="J92">
        <f>PasteBBM!AE92*PasteBBM!AF92</f>
        <v>2.498767123</v>
      </c>
      <c r="K92">
        <f>PasteBBM!AE92</f>
        <v>0.768009768</v>
      </c>
      <c r="L92">
        <f>PasteBBM!X92</f>
        <v>0</v>
      </c>
      <c r="M92">
        <f>PasteBBM!W92</f>
        <v>14.28589041</v>
      </c>
      <c r="N92">
        <f>PasteBBM!Y92</f>
        <v>10.12465753</v>
      </c>
      <c r="O92">
        <f>PasteBBM!Z92</f>
        <v>1.606712329</v>
      </c>
      <c r="P92">
        <f>PasteBBM!AA92</f>
        <v>0.4216438356</v>
      </c>
      <c r="Q92">
        <f>PasteBBM!AB92</f>
        <v>1.229452055</v>
      </c>
      <c r="R92">
        <f>PasteBBM!AG92</f>
        <v>1.290136986</v>
      </c>
      <c r="S92">
        <f>PasteBBM!AD92</f>
        <v>9.295890411</v>
      </c>
      <c r="T92">
        <f>PasteBBM!AF92</f>
        <v>3.253561644</v>
      </c>
    </row>
    <row r="93">
      <c r="A93" s="5">
        <v>92.0</v>
      </c>
      <c r="B93">
        <f t="array" ref="B93">INDEX(PasteHashtag!$B$2:$B1000,MATCH(C93,PasteHashtag!$C$2:$C1000,0))</f>
        <v>104.5</v>
      </c>
      <c r="C93" t="str">
        <f>PasteBBM!J93</f>
        <v>Daniel Gafford</v>
      </c>
      <c r="D93" t="str">
        <f>IFERROR(REPLACE(PasteBBM!L93, FIND("/",PasteBBM!L93),1,","),PasteBBM!L93)</f>
        <v>F,C</v>
      </c>
      <c r="E93" t="str">
        <f>PasteBBM!K93</f>
        <v>DAL</v>
      </c>
      <c r="F93">
        <f>PasteBBM!T93</f>
        <v>73</v>
      </c>
      <c r="G93">
        <f>PasteBBM!V93</f>
        <v>23</v>
      </c>
      <c r="H93">
        <f>PasteBBM!AC93*PasteBBM!AD93</f>
        <v>4.726849315</v>
      </c>
      <c r="I93">
        <f>PasteBBM!AC93</f>
        <v>0.7399957109</v>
      </c>
      <c r="J93">
        <f>PasteBBM!AE93*PasteBBM!AF93</f>
        <v>0.981506849</v>
      </c>
      <c r="K93">
        <f>PasteBBM!AE93</f>
        <v>0.6680029834</v>
      </c>
      <c r="L93">
        <f>PasteBBM!X93</f>
        <v>0</v>
      </c>
      <c r="M93">
        <f>PasteBBM!W93</f>
        <v>10.43520548</v>
      </c>
      <c r="N93">
        <f>PasteBBM!Y93</f>
        <v>6.630273973</v>
      </c>
      <c r="O93">
        <f>PasteBBM!Z93</f>
        <v>1.597123288</v>
      </c>
      <c r="P93">
        <f>PasteBBM!AA93</f>
        <v>0.7239726027</v>
      </c>
      <c r="Q93">
        <f>PasteBBM!AB93</f>
        <v>1.79369863</v>
      </c>
      <c r="R93">
        <f>PasteBBM!AG93</f>
        <v>0.9693150685</v>
      </c>
      <c r="S93">
        <f>PasteBBM!AD93</f>
        <v>6.387671233</v>
      </c>
      <c r="T93">
        <f>PasteBBM!AF93</f>
        <v>1.469315068</v>
      </c>
    </row>
    <row r="94">
      <c r="A94" s="5">
        <v>93.0</v>
      </c>
      <c r="B94">
        <f t="array" ref="B94">INDEX(PasteHashtag!$B$2:$B1000,MATCH(C94,PasteHashtag!$C$2:$C1000,0))</f>
        <v>96.2</v>
      </c>
      <c r="C94" t="str">
        <f>PasteBBM!J94</f>
        <v>Herbert Jones</v>
      </c>
      <c r="D94" t="str">
        <f>IFERROR(REPLACE(PasteBBM!L94, FIND("/",PasteBBM!L94),1,","),PasteBBM!L94)</f>
        <v>F</v>
      </c>
      <c r="E94" t="str">
        <f>PasteBBM!K94</f>
        <v>NOR</v>
      </c>
      <c r="F94">
        <f>PasteBBM!T94</f>
        <v>77</v>
      </c>
      <c r="G94">
        <f>PasteBBM!V94</f>
        <v>32</v>
      </c>
      <c r="H94">
        <f>PasteBBM!AC94*PasteBBM!AD94</f>
        <v>3.370909091</v>
      </c>
      <c r="I94">
        <f>PasteBBM!AC94</f>
        <v>0.4685706033</v>
      </c>
      <c r="J94">
        <f>PasteBBM!AE94*PasteBBM!AF94</f>
        <v>1.670779221</v>
      </c>
      <c r="K94">
        <f>PasteBBM!AE94</f>
        <v>0.8399712719</v>
      </c>
      <c r="L94">
        <f>PasteBBM!X94</f>
        <v>1.309480519</v>
      </c>
      <c r="M94">
        <f>PasteBBM!W94</f>
        <v>9.722077922</v>
      </c>
      <c r="N94">
        <f>PasteBBM!Y94</f>
        <v>4.818051948</v>
      </c>
      <c r="O94">
        <f>PasteBBM!Z94</f>
        <v>2.375974026</v>
      </c>
      <c r="P94">
        <f>PasteBBM!AA94</f>
        <v>1.571688312</v>
      </c>
      <c r="Q94">
        <f>PasteBBM!AB94</f>
        <v>0.7298701299</v>
      </c>
      <c r="R94">
        <f>PasteBBM!AG94</f>
        <v>1.25961039</v>
      </c>
      <c r="S94">
        <f>PasteBBM!AD94</f>
        <v>7.194025974</v>
      </c>
      <c r="T94">
        <f>PasteBBM!AF94</f>
        <v>1.989090909</v>
      </c>
    </row>
    <row r="95">
      <c r="A95" s="5">
        <v>94.0</v>
      </c>
      <c r="B95">
        <f t="array" ref="B95">INDEX(PasteHashtag!$B$2:$B1000,MATCH(C95,PasteHashtag!$C$2:$C1000,0))</f>
        <v>82.5</v>
      </c>
      <c r="C95" t="str">
        <f>PasteBBM!J95</f>
        <v>Kyle Kuzma</v>
      </c>
      <c r="D95" t="str">
        <f>IFERROR(REPLACE(PasteBBM!L95, FIND("/",PasteBBM!L95),1,","),PasteBBM!L95)</f>
        <v>F</v>
      </c>
      <c r="E95" t="str">
        <f>PasteBBM!K95</f>
        <v>WAS</v>
      </c>
      <c r="F95">
        <f>PasteBBM!T95</f>
        <v>73</v>
      </c>
      <c r="G95">
        <f>PasteBBM!V95</f>
        <v>33</v>
      </c>
      <c r="H95">
        <f>PasteBBM!AC95*PasteBBM!AD95</f>
        <v>8.379452056</v>
      </c>
      <c r="I95">
        <f>PasteBBM!AC95</f>
        <v>0.4744839783</v>
      </c>
      <c r="J95">
        <f>PasteBBM!AE95*PasteBBM!AF95</f>
        <v>3.119589041</v>
      </c>
      <c r="K95">
        <f>PasteBBM!AE95</f>
        <v>0.7680089033</v>
      </c>
      <c r="L95">
        <f>PasteBBM!X95</f>
        <v>1.784109589</v>
      </c>
      <c r="M95">
        <f>PasteBBM!W95</f>
        <v>21.66260274</v>
      </c>
      <c r="N95">
        <f>PasteBBM!Y95</f>
        <v>6.006027397</v>
      </c>
      <c r="O95">
        <f>PasteBBM!Z95</f>
        <v>4.29</v>
      </c>
      <c r="P95">
        <f>PasteBBM!AA95</f>
        <v>0.6387671233</v>
      </c>
      <c r="Q95">
        <f>PasteBBM!AB95</f>
        <v>0.718630137</v>
      </c>
      <c r="R95">
        <f>PasteBBM!AG95</f>
        <v>3.003013699</v>
      </c>
      <c r="S95">
        <f>PasteBBM!AD95</f>
        <v>17.66013699</v>
      </c>
      <c r="T95">
        <f>PasteBBM!AF95</f>
        <v>4.061917808</v>
      </c>
    </row>
    <row r="96">
      <c r="A96" s="5">
        <v>95.0</v>
      </c>
      <c r="B96">
        <f t="array" ref="B96">INDEX(PasteHashtag!$B$2:$B1000,MATCH(C96,PasteHashtag!$C$2:$C1000,0))</f>
        <v>116.8</v>
      </c>
      <c r="C96" t="str">
        <f>PasteBBM!J96</f>
        <v>Amen Thompson</v>
      </c>
      <c r="D96" t="str">
        <f>IFERROR(REPLACE(PasteBBM!L96, FIND("/",PasteBBM!L96),1,","),PasteBBM!L96)</f>
        <v>G,F</v>
      </c>
      <c r="E96" t="str">
        <f>PasteBBM!K96</f>
        <v>HOU</v>
      </c>
      <c r="F96">
        <f>PasteBBM!T96</f>
        <v>68</v>
      </c>
      <c r="G96">
        <f>PasteBBM!V96</f>
        <v>26</v>
      </c>
      <c r="H96">
        <f>PasteBBM!AC96*PasteBBM!AD96</f>
        <v>4.814852941</v>
      </c>
      <c r="I96">
        <f>PasteBBM!AC96</f>
        <v>0.5641206775</v>
      </c>
      <c r="J96">
        <f>PasteBBM!AE96*PasteBBM!AF96</f>
        <v>2.216764706</v>
      </c>
      <c r="K96">
        <f>PasteBBM!AE96</f>
        <v>0.7019978578</v>
      </c>
      <c r="L96">
        <f>PasteBBM!X96</f>
        <v>0.1511764706</v>
      </c>
      <c r="M96">
        <f>PasteBBM!W96</f>
        <v>11.99764706</v>
      </c>
      <c r="N96">
        <f>PasteBBM!Y96</f>
        <v>6.947941176</v>
      </c>
      <c r="O96">
        <f>PasteBBM!Z96</f>
        <v>3.227794118</v>
      </c>
      <c r="P96">
        <f>PasteBBM!AA96</f>
        <v>1.416176471</v>
      </c>
      <c r="Q96">
        <f>PasteBBM!AB96</f>
        <v>0.7680882353</v>
      </c>
      <c r="R96">
        <f>PasteBBM!AG96</f>
        <v>1.477058824</v>
      </c>
      <c r="S96">
        <f>PasteBBM!AD96</f>
        <v>8.535147059</v>
      </c>
      <c r="T96">
        <f>PasteBBM!AF96</f>
        <v>3.157794118</v>
      </c>
    </row>
    <row r="97">
      <c r="A97" s="5">
        <v>96.0</v>
      </c>
      <c r="B97">
        <f t="array" ref="B97">INDEX(PasteHashtag!$B$2:$B1000,MATCH(C97,PasteHashtag!$C$2:$C1000,0))</f>
        <v>116.3</v>
      </c>
      <c r="C97" t="str">
        <f>PasteBBM!J97</f>
        <v>Josh Hart</v>
      </c>
      <c r="D97" t="str">
        <f>IFERROR(REPLACE(PasteBBM!L97, FIND("/",PasteBBM!L97),1,","),PasteBBM!L97)</f>
        <v>G,F</v>
      </c>
      <c r="E97" t="str">
        <f>PasteBBM!K97</f>
        <v>NYK</v>
      </c>
      <c r="F97">
        <f>PasteBBM!T97</f>
        <v>73</v>
      </c>
      <c r="G97">
        <f>PasteBBM!V97</f>
        <v>37</v>
      </c>
      <c r="H97">
        <f>PasteBBM!AC97*PasteBBM!AD97</f>
        <v>3.57</v>
      </c>
      <c r="I97">
        <f>PasteBBM!AC97</f>
        <v>0.4730107449</v>
      </c>
      <c r="J97">
        <f>PasteBBM!AE97*PasteBBM!AF97</f>
        <v>1.06260274</v>
      </c>
      <c r="K97">
        <f>PasteBBM!AE97</f>
        <v>0.7660477977</v>
      </c>
      <c r="L97">
        <f>PasteBBM!X97</f>
        <v>0.7701369863</v>
      </c>
      <c r="M97">
        <f>PasteBBM!W97</f>
        <v>8.972739726</v>
      </c>
      <c r="N97">
        <f>PasteBBM!Y97</f>
        <v>9.693972603</v>
      </c>
      <c r="O97">
        <f>PasteBBM!Z97</f>
        <v>4.883972603</v>
      </c>
      <c r="P97">
        <f>PasteBBM!AA97</f>
        <v>1.086849315</v>
      </c>
      <c r="Q97">
        <f>PasteBBM!AB97</f>
        <v>0.3756164384</v>
      </c>
      <c r="R97">
        <f>PasteBBM!AG97</f>
        <v>1.72369863</v>
      </c>
      <c r="S97">
        <f>PasteBBM!AD97</f>
        <v>7.54739726</v>
      </c>
      <c r="T97">
        <f>PasteBBM!AF97</f>
        <v>1.387123288</v>
      </c>
    </row>
    <row r="98">
      <c r="A98" s="5">
        <v>97.0</v>
      </c>
      <c r="B98">
        <f t="array" ref="B98">INDEX(PasteHashtag!$B$2:$B1000,MATCH(C98,PasteHashtag!$C$2:$C1000,0))</f>
        <v>103.8</v>
      </c>
      <c r="C98" t="str">
        <f>PasteBBM!J98</f>
        <v>Chris Paul</v>
      </c>
      <c r="D98" t="str">
        <f>IFERROR(REPLACE(PasteBBM!L98, FIND("/",PasteBBM!L98),1,","),PasteBBM!L98)</f>
        <v>G</v>
      </c>
      <c r="E98" t="str">
        <f>PasteBBM!K98</f>
        <v>SAS</v>
      </c>
      <c r="F98">
        <f>PasteBBM!T98</f>
        <v>61</v>
      </c>
      <c r="G98">
        <f>PasteBBM!V98</f>
        <v>28</v>
      </c>
      <c r="H98">
        <f>PasteBBM!AC98*PasteBBM!AD98</f>
        <v>3.925081968</v>
      </c>
      <c r="I98">
        <f>PasteBBM!AC98</f>
        <v>0.4577398819</v>
      </c>
      <c r="J98">
        <f>PasteBBM!AE98*PasteBBM!AF98</f>
        <v>0.4186885246</v>
      </c>
      <c r="K98">
        <f>PasteBBM!AE98</f>
        <v>0.8138942001</v>
      </c>
      <c r="L98">
        <f>PasteBBM!X98</f>
        <v>1.234918033</v>
      </c>
      <c r="M98">
        <f>PasteBBM!W98</f>
        <v>9.503770492</v>
      </c>
      <c r="N98">
        <f>PasteBBM!Y98</f>
        <v>3.675081967</v>
      </c>
      <c r="O98">
        <f>PasteBBM!Z98</f>
        <v>8.05</v>
      </c>
      <c r="P98">
        <f>PasteBBM!AA98</f>
        <v>1.298196721</v>
      </c>
      <c r="Q98">
        <f>PasteBBM!AB98</f>
        <v>0.1737704918</v>
      </c>
      <c r="R98">
        <f>PasteBBM!AG98</f>
        <v>1.691639344</v>
      </c>
      <c r="S98">
        <f>PasteBBM!AD98</f>
        <v>8.574918033</v>
      </c>
      <c r="T98">
        <f>PasteBBM!AF98</f>
        <v>0.5144262295</v>
      </c>
    </row>
    <row r="99">
      <c r="A99" s="5">
        <v>98.0</v>
      </c>
      <c r="B99">
        <f t="array" ref="B99">INDEX(PasteHashtag!$B$2:$B1000,MATCH(C99,PasteHashtag!$C$2:$C1000,0))</f>
        <v>78</v>
      </c>
      <c r="C99" t="str">
        <f>PasteBBM!J99</f>
        <v>Tyler Herro</v>
      </c>
      <c r="D99" t="str">
        <f>IFERROR(REPLACE(PasteBBM!L99, FIND("/",PasteBBM!L99),1,","),PasteBBM!L99)</f>
        <v>G</v>
      </c>
      <c r="E99" t="str">
        <f>PasteBBM!K99</f>
        <v>MIA</v>
      </c>
      <c r="F99">
        <f>PasteBBM!T99</f>
        <v>68</v>
      </c>
      <c r="G99">
        <f>PasteBBM!V99</f>
        <v>34</v>
      </c>
      <c r="H99">
        <f>PasteBBM!AC99*PasteBBM!AD99</f>
        <v>7.182794118</v>
      </c>
      <c r="I99">
        <f>PasteBBM!AC99</f>
        <v>0.4448603749</v>
      </c>
      <c r="J99">
        <f>PasteBBM!AE99*PasteBBM!AF99</f>
        <v>2.127499999</v>
      </c>
      <c r="K99">
        <f>PasteBBM!AE99</f>
        <v>0.8699861687</v>
      </c>
      <c r="L99">
        <f>PasteBBM!X99</f>
        <v>2.970882353</v>
      </c>
      <c r="M99">
        <f>PasteBBM!W99</f>
        <v>19.46397059</v>
      </c>
      <c r="N99">
        <f>PasteBBM!Y99</f>
        <v>5.221764706</v>
      </c>
      <c r="O99">
        <f>PasteBBM!Z99</f>
        <v>4.328676471</v>
      </c>
      <c r="P99">
        <f>PasteBBM!AA99</f>
        <v>0.6220588235</v>
      </c>
      <c r="Q99">
        <f>PasteBBM!AB99</f>
        <v>0.06838235294</v>
      </c>
      <c r="R99">
        <f>PasteBBM!AG99</f>
        <v>2.061323529</v>
      </c>
      <c r="S99">
        <f>PasteBBM!AD99</f>
        <v>16.14617647</v>
      </c>
      <c r="T99">
        <f>PasteBBM!AF99</f>
        <v>2.445441176</v>
      </c>
    </row>
    <row r="100">
      <c r="A100" s="5">
        <v>99.0</v>
      </c>
      <c r="B100">
        <f t="array" ref="B100">INDEX(PasteHashtag!$B$2:$B1000,MATCH(C100,PasteHashtag!$C$2:$C1000,0))</f>
        <v>73.3</v>
      </c>
      <c r="C100" t="str">
        <f>PasteBBM!J100</f>
        <v>Michael Porter Jr.</v>
      </c>
      <c r="D100" t="str">
        <f>IFERROR(REPLACE(PasteBBM!L100, FIND("/",PasteBBM!L100),1,","),PasteBBM!L100)</f>
        <v>F</v>
      </c>
      <c r="E100" t="str">
        <f>PasteBBM!K100</f>
        <v>DEN</v>
      </c>
      <c r="F100">
        <f>PasteBBM!T100</f>
        <v>68</v>
      </c>
      <c r="G100">
        <f>PasteBBM!V100</f>
        <v>32</v>
      </c>
      <c r="H100">
        <f>PasteBBM!AC100*PasteBBM!AD100</f>
        <v>6.447941176</v>
      </c>
      <c r="I100">
        <f>PasteBBM!AC100</f>
        <v>0.4910021389</v>
      </c>
      <c r="J100">
        <f>PasteBBM!AE100*PasteBBM!AF100</f>
        <v>1.273823529</v>
      </c>
      <c r="K100">
        <f>PasteBBM!AE100</f>
        <v>0.8779647273</v>
      </c>
      <c r="L100">
        <f>PasteBBM!X100</f>
        <v>2.626470588</v>
      </c>
      <c r="M100">
        <f>PasteBBM!W100</f>
        <v>16.79617647</v>
      </c>
      <c r="N100">
        <f>PasteBBM!Y100</f>
        <v>6.206617647</v>
      </c>
      <c r="O100">
        <f>PasteBBM!Z100</f>
        <v>1.372058824</v>
      </c>
      <c r="P100">
        <f>PasteBBM!AA100</f>
        <v>0.5895588235</v>
      </c>
      <c r="Q100">
        <f>PasteBBM!AB100</f>
        <v>0.5869117647</v>
      </c>
      <c r="R100">
        <f>PasteBBM!AG100</f>
        <v>1.045294118</v>
      </c>
      <c r="S100">
        <f>PasteBBM!AD100</f>
        <v>13.13220588</v>
      </c>
      <c r="T100">
        <f>PasteBBM!AF100</f>
        <v>1.450882353</v>
      </c>
    </row>
    <row r="101">
      <c r="A101" s="5">
        <v>100.0</v>
      </c>
      <c r="B101">
        <f t="array" ref="B101">INDEX(PasteHashtag!$B$2:$B1000,MATCH(C101,PasteHashtag!$C$2:$C1000,0))</f>
        <v>118.7</v>
      </c>
      <c r="C101" t="str">
        <f>PasteBBM!J101</f>
        <v>Keyonte George</v>
      </c>
      <c r="D101" t="str">
        <f>IFERROR(REPLACE(PasteBBM!L101, FIND("/",PasteBBM!L101),1,","),PasteBBM!L101)</f>
        <v>G</v>
      </c>
      <c r="E101" t="str">
        <f>PasteBBM!K101</f>
        <v>UTA</v>
      </c>
      <c r="F101">
        <f>PasteBBM!T101</f>
        <v>73</v>
      </c>
      <c r="G101">
        <f>PasteBBM!V101</f>
        <v>33</v>
      </c>
      <c r="H101">
        <f>PasteBBM!AC101*PasteBBM!AD101</f>
        <v>6.003424656</v>
      </c>
      <c r="I101">
        <f>PasteBBM!AC101</f>
        <v>0.4156589368</v>
      </c>
      <c r="J101">
        <f>PasteBBM!AE101*PasteBBM!AF101</f>
        <v>3.50630137</v>
      </c>
      <c r="K101">
        <f>PasteBBM!AE101</f>
        <v>0.8670144299</v>
      </c>
      <c r="L101">
        <f>PasteBBM!X101</f>
        <v>2.684246575</v>
      </c>
      <c r="M101">
        <f>PasteBBM!W101</f>
        <v>18.19739726</v>
      </c>
      <c r="N101">
        <f>PasteBBM!Y101</f>
        <v>2.916438356</v>
      </c>
      <c r="O101">
        <f>PasteBBM!Z101</f>
        <v>6.18</v>
      </c>
      <c r="P101">
        <f>PasteBBM!AA101</f>
        <v>0.7638356164</v>
      </c>
      <c r="Q101">
        <f>PasteBBM!AB101</f>
        <v>0.1367123288</v>
      </c>
      <c r="R101">
        <f>PasteBBM!AG101</f>
        <v>3.471917808</v>
      </c>
      <c r="S101">
        <f>PasteBBM!AD101</f>
        <v>14.44315068</v>
      </c>
      <c r="T101">
        <f>PasteBBM!AF101</f>
        <v>4.044109589</v>
      </c>
    </row>
    <row r="102">
      <c r="A102" s="5">
        <v>101.0</v>
      </c>
      <c r="B102">
        <f t="array" ref="B102">INDEX(PasteHashtag!$B$2:$B1000,MATCH(C102,PasteHashtag!$C$2:$C1000,0))</f>
        <v>91</v>
      </c>
      <c r="C102" t="str">
        <f>PasteBBM!J102</f>
        <v>Jonathan Kuminga</v>
      </c>
      <c r="D102" t="str">
        <f>IFERROR(REPLACE(PasteBBM!L102, FIND("/",PasteBBM!L102),1,","),PasteBBM!L102)</f>
        <v>F,C</v>
      </c>
      <c r="E102" t="str">
        <f>PasteBBM!K102</f>
        <v>GSW</v>
      </c>
      <c r="F102">
        <f>PasteBBM!T102</f>
        <v>77</v>
      </c>
      <c r="G102">
        <f>PasteBBM!V102</f>
        <v>30</v>
      </c>
      <c r="H102">
        <f>PasteBBM!AC102*PasteBBM!AD102</f>
        <v>7.53818182</v>
      </c>
      <c r="I102">
        <f>PasteBBM!AC102</f>
        <v>0.5313195112</v>
      </c>
      <c r="J102">
        <f>PasteBBM!AE102*PasteBBM!AF102</f>
        <v>2.903636364</v>
      </c>
      <c r="K102">
        <f>PasteBBM!AE102</f>
        <v>0.7580010849</v>
      </c>
      <c r="L102">
        <f>PasteBBM!X102</f>
        <v>0.7936363636</v>
      </c>
      <c r="M102">
        <f>PasteBBM!W102</f>
        <v>18.77363636</v>
      </c>
      <c r="N102">
        <f>PasteBBM!Y102</f>
        <v>5.437532468</v>
      </c>
      <c r="O102">
        <f>PasteBBM!Z102</f>
        <v>3.25</v>
      </c>
      <c r="P102">
        <f>PasteBBM!AA102</f>
        <v>0.8842857143</v>
      </c>
      <c r="Q102">
        <f>PasteBBM!AB102</f>
        <v>0.5585714286</v>
      </c>
      <c r="R102">
        <f>PasteBBM!AG102</f>
        <v>1.801818182</v>
      </c>
      <c r="S102">
        <f>PasteBBM!AD102</f>
        <v>14.18766234</v>
      </c>
      <c r="T102">
        <f>PasteBBM!AF102</f>
        <v>3.830649351</v>
      </c>
    </row>
    <row r="103">
      <c r="A103" s="5">
        <v>102.0</v>
      </c>
      <c r="B103">
        <f t="array" ref="B103">INDEX(PasteHashtag!$B$2:$B1000,MATCH(C103,PasteHashtag!$C$2:$C1000,0))</f>
        <v>105.4</v>
      </c>
      <c r="C103" t="str">
        <f>PasteBBM!J103</f>
        <v>Terry Rozier</v>
      </c>
      <c r="D103" t="str">
        <f>IFERROR(REPLACE(PasteBBM!L103, FIND("/",PasteBBM!L103),1,","),PasteBBM!L103)</f>
        <v>G</v>
      </c>
      <c r="E103" t="str">
        <f>PasteBBM!K103</f>
        <v>MIA</v>
      </c>
      <c r="F103">
        <f>PasteBBM!T103</f>
        <v>68</v>
      </c>
      <c r="G103">
        <f>PasteBBM!V103</f>
        <v>33</v>
      </c>
      <c r="H103">
        <f>PasteBBM!AC103*PasteBBM!AD103</f>
        <v>6.269264705</v>
      </c>
      <c r="I103">
        <f>PasteBBM!AC103</f>
        <v>0.4413512506</v>
      </c>
      <c r="J103">
        <f>PasteBBM!AE103*PasteBBM!AF103</f>
        <v>1.690441177</v>
      </c>
      <c r="K103">
        <f>PasteBBM!AE103</f>
        <v>0.8500332766</v>
      </c>
      <c r="L103">
        <f>PasteBBM!X103</f>
        <v>2.146176471</v>
      </c>
      <c r="M103">
        <f>PasteBBM!W103</f>
        <v>16.37514706</v>
      </c>
      <c r="N103">
        <f>PasteBBM!Y103</f>
        <v>3.734558824</v>
      </c>
      <c r="O103">
        <f>PasteBBM!Z103</f>
        <v>4.534705882</v>
      </c>
      <c r="P103">
        <f>PasteBBM!AA103</f>
        <v>1.070882353</v>
      </c>
      <c r="Q103">
        <f>PasteBBM!AB103</f>
        <v>0.3326470588</v>
      </c>
      <c r="R103">
        <f>PasteBBM!AG103</f>
        <v>1.467058824</v>
      </c>
      <c r="S103">
        <f>PasteBBM!AD103</f>
        <v>14.20470588</v>
      </c>
      <c r="T103">
        <f>PasteBBM!AF103</f>
        <v>1.988676471</v>
      </c>
    </row>
    <row r="104">
      <c r="A104" s="5">
        <v>103.0</v>
      </c>
      <c r="B104">
        <f t="array" ref="B104">INDEX(PasteHashtag!$B$2:$B1000,MATCH(C104,PasteHashtag!$C$2:$C1000,0))</f>
        <v>84.2</v>
      </c>
      <c r="C104" t="str">
        <f>PasteBBM!J104</f>
        <v>Jusuf Nurkic</v>
      </c>
      <c r="D104" t="str">
        <f>IFERROR(REPLACE(PasteBBM!L104, FIND("/",PasteBBM!L104),1,","),PasteBBM!L104)</f>
        <v>C</v>
      </c>
      <c r="E104" t="str">
        <f>PasteBBM!K104</f>
        <v>PHO</v>
      </c>
      <c r="F104">
        <f>PasteBBM!T104</f>
        <v>73</v>
      </c>
      <c r="G104">
        <f>PasteBBM!V104</f>
        <v>27</v>
      </c>
      <c r="H104">
        <f>PasteBBM!AC104*PasteBBM!AD104</f>
        <v>4.212739726</v>
      </c>
      <c r="I104">
        <f>PasteBBM!AC104</f>
        <v>0.5060056601</v>
      </c>
      <c r="J104">
        <f>PasteBBM!AE104*PasteBBM!AF104</f>
        <v>2.325753425</v>
      </c>
      <c r="K104">
        <f>PasteBBM!AE104</f>
        <v>0.6300048239</v>
      </c>
      <c r="L104">
        <f>PasteBBM!X104</f>
        <v>0.355890411</v>
      </c>
      <c r="M104">
        <f>PasteBBM!W104</f>
        <v>11.10712329</v>
      </c>
      <c r="N104">
        <f>PasteBBM!Y104</f>
        <v>11.36246575</v>
      </c>
      <c r="O104">
        <f>PasteBBM!Z104</f>
        <v>3.431232877</v>
      </c>
      <c r="P104">
        <f>PasteBBM!AA104</f>
        <v>1.130410959</v>
      </c>
      <c r="Q104">
        <f>PasteBBM!AB104</f>
        <v>1.009315068</v>
      </c>
      <c r="R104">
        <f>PasteBBM!AG104</f>
        <v>2.412465753</v>
      </c>
      <c r="S104">
        <f>PasteBBM!AD104</f>
        <v>8.325479452</v>
      </c>
      <c r="T104">
        <f>PasteBBM!AF104</f>
        <v>3.691643836</v>
      </c>
    </row>
    <row r="105">
      <c r="A105" s="5">
        <v>104.0</v>
      </c>
      <c r="B105">
        <f t="array" ref="B105">INDEX(PasteHashtag!$B$2:$B1000,MATCH(C105,PasteHashtag!$C$2:$C1000,0))</f>
        <v>136.7</v>
      </c>
      <c r="C105" t="str">
        <f>PasteBBM!J105</f>
        <v>Al Horford</v>
      </c>
      <c r="D105" t="str">
        <f>IFERROR(REPLACE(PasteBBM!L105, FIND("/",PasteBBM!L105),1,","),PasteBBM!L105)</f>
        <v>F,C</v>
      </c>
      <c r="E105" t="str">
        <f>PasteBBM!K105</f>
        <v>BOS</v>
      </c>
      <c r="F105">
        <f>PasteBBM!T105</f>
        <v>55</v>
      </c>
      <c r="G105">
        <f>PasteBBM!V105</f>
        <v>29</v>
      </c>
      <c r="H105">
        <f>PasteBBM!AC105*PasteBBM!AD105</f>
        <v>3.872</v>
      </c>
      <c r="I105">
        <f>PasteBBM!AC105</f>
        <v>0.4954747447</v>
      </c>
      <c r="J105">
        <f>PasteBBM!AE105*PasteBBM!AF105</f>
        <v>0.5705454546</v>
      </c>
      <c r="K105">
        <f>PasteBBM!AE105</f>
        <v>0.81106229</v>
      </c>
      <c r="L105">
        <f>PasteBBM!X105</f>
        <v>1.853636364</v>
      </c>
      <c r="M105">
        <f>PasteBBM!W105</f>
        <v>10.16818182</v>
      </c>
      <c r="N105">
        <f>PasteBBM!Y105</f>
        <v>6.453636364</v>
      </c>
      <c r="O105">
        <f>PasteBBM!Z105</f>
        <v>2.605090909</v>
      </c>
      <c r="P105">
        <f>PasteBBM!AA105</f>
        <v>0.6607272727</v>
      </c>
      <c r="Q105">
        <f>PasteBBM!AB105</f>
        <v>1.124909091</v>
      </c>
      <c r="R105">
        <f>PasteBBM!AG105</f>
        <v>0.8289090909</v>
      </c>
      <c r="S105">
        <f>PasteBBM!AD105</f>
        <v>7.814727273</v>
      </c>
      <c r="T105">
        <f>PasteBBM!AF105</f>
        <v>0.7034545455</v>
      </c>
    </row>
    <row r="106">
      <c r="A106" s="5">
        <v>105.0</v>
      </c>
      <c r="B106">
        <f t="array" ref="B106">INDEX(PasteHashtag!$B$2:$B1000,MATCH(C106,PasteHashtag!$C$2:$C1000,0))</f>
        <v>76.9</v>
      </c>
      <c r="C106" t="str">
        <f>PasteBBM!J106</f>
        <v>Brook Lopez</v>
      </c>
      <c r="D106" t="str">
        <f>IFERROR(REPLACE(PasteBBM!L106, FIND("/",PasteBBM!L106),1,","),PasteBBM!L106)</f>
        <v>C</v>
      </c>
      <c r="E106" t="str">
        <f>PasteBBM!K106</f>
        <v>MIL</v>
      </c>
      <c r="F106">
        <f>PasteBBM!T106</f>
        <v>73</v>
      </c>
      <c r="G106">
        <f>PasteBBM!V106</f>
        <v>29</v>
      </c>
      <c r="H106">
        <f>PasteBBM!AC106*PasteBBM!AD106</f>
        <v>4.19369863</v>
      </c>
      <c r="I106">
        <f>PasteBBM!AC106</f>
        <v>0.4835494622</v>
      </c>
      <c r="J106">
        <f>PasteBBM!AE106*PasteBBM!AF106</f>
        <v>1.20150685</v>
      </c>
      <c r="K106">
        <f>PasteBBM!AE106</f>
        <v>0.8210240569</v>
      </c>
      <c r="L106">
        <f>PasteBBM!X106</f>
        <v>1.876575342</v>
      </c>
      <c r="M106">
        <f>PasteBBM!W106</f>
        <v>11.46547945</v>
      </c>
      <c r="N106">
        <f>PasteBBM!Y106</f>
        <v>4.605616438</v>
      </c>
      <c r="O106">
        <f>PasteBBM!Z106</f>
        <v>1.315890411</v>
      </c>
      <c r="P106">
        <f>PasteBBM!AA106</f>
        <v>0.4763013699</v>
      </c>
      <c r="Q106">
        <f>PasteBBM!AB106</f>
        <v>2.039863014</v>
      </c>
      <c r="R106">
        <f>PasteBBM!AG106</f>
        <v>1.019452055</v>
      </c>
      <c r="S106">
        <f>PasteBBM!AD106</f>
        <v>8.672739726</v>
      </c>
      <c r="T106">
        <f>PasteBBM!AF106</f>
        <v>1.463424658</v>
      </c>
    </row>
    <row r="107">
      <c r="A107" s="5">
        <v>106.0</v>
      </c>
      <c r="B107">
        <f t="array" ref="B107">INDEX(PasteHashtag!$B$2:$B1000,MATCH(C107,PasteHashtag!$C$2:$C1000,0))</f>
        <v>144.4</v>
      </c>
      <c r="C107" t="str">
        <f>PasteBBM!J107</f>
        <v>Dyson Daniels</v>
      </c>
      <c r="D107" t="str">
        <f>IFERROR(REPLACE(PasteBBM!L107, FIND("/",PasteBBM!L107),1,","),PasteBBM!L107)</f>
        <v>G</v>
      </c>
      <c r="E107" t="str">
        <f>PasteBBM!K107</f>
        <v>ATL</v>
      </c>
      <c r="F107">
        <f>PasteBBM!T107</f>
        <v>63</v>
      </c>
      <c r="G107">
        <f>PasteBBM!V107</f>
        <v>28</v>
      </c>
      <c r="H107">
        <f>PasteBBM!AC107*PasteBBM!AD107</f>
        <v>3.669365079</v>
      </c>
      <c r="I107">
        <f>PasteBBM!AC107</f>
        <v>0.4659558171</v>
      </c>
      <c r="J107">
        <f>PasteBBM!AE107*PasteBBM!AF107</f>
        <v>0.7530158733</v>
      </c>
      <c r="K107">
        <f>PasteBBM!AE107</f>
        <v>0.6829830118</v>
      </c>
      <c r="L107">
        <f>PasteBBM!X107</f>
        <v>1.195555556</v>
      </c>
      <c r="M107">
        <f>PasteBBM!W107</f>
        <v>9.287301587</v>
      </c>
      <c r="N107">
        <f>PasteBBM!Y107</f>
        <v>5.016666667</v>
      </c>
      <c r="O107">
        <f>PasteBBM!Z107</f>
        <v>3.5</v>
      </c>
      <c r="P107">
        <f>PasteBBM!AA107</f>
        <v>1.575079365</v>
      </c>
      <c r="Q107">
        <f>PasteBBM!AB107</f>
        <v>0.4568253968</v>
      </c>
      <c r="R107">
        <f>PasteBBM!AG107</f>
        <v>1.458412698</v>
      </c>
      <c r="S107">
        <f>PasteBBM!AD107</f>
        <v>7.874920635</v>
      </c>
      <c r="T107">
        <f>PasteBBM!AF107</f>
        <v>1.102539683</v>
      </c>
    </row>
    <row r="108">
      <c r="A108" s="5">
        <v>107.0</v>
      </c>
      <c r="B108">
        <f t="array" ref="B108">INDEX(PasteHashtag!$B$2:$B1000,MATCH(C108,PasteHashtag!$C$2:$C1000,0))</f>
        <v>86.5</v>
      </c>
      <c r="C108" t="str">
        <f>PasteBBM!J108</f>
        <v>Coby White</v>
      </c>
      <c r="D108" t="str">
        <f>IFERROR(REPLACE(PasteBBM!L108, FIND("/",PasteBBM!L108),1,","),PasteBBM!L108)</f>
        <v>G</v>
      </c>
      <c r="E108" t="str">
        <f>PasteBBM!K108</f>
        <v>CHI</v>
      </c>
      <c r="F108">
        <f>PasteBBM!T108</f>
        <v>73</v>
      </c>
      <c r="G108">
        <f>PasteBBM!V108</f>
        <v>36</v>
      </c>
      <c r="H108">
        <f>PasteBBM!AC108*PasteBBM!AD108</f>
        <v>6.743150686</v>
      </c>
      <c r="I108">
        <f>PasteBBM!AC108</f>
        <v>0.4497405255</v>
      </c>
      <c r="J108">
        <f>PasteBBM!AE108*PasteBBM!AF108</f>
        <v>3.208767124</v>
      </c>
      <c r="K108">
        <f>PasteBBM!AE108</f>
        <v>0.8560152025</v>
      </c>
      <c r="L108">
        <f>PasteBBM!X108</f>
        <v>2.273424658</v>
      </c>
      <c r="M108">
        <f>PasteBBM!W108</f>
        <v>18.96849315</v>
      </c>
      <c r="N108">
        <f>PasteBBM!Y108</f>
        <v>3.822054795</v>
      </c>
      <c r="O108">
        <f>PasteBBM!Z108</f>
        <v>4.41</v>
      </c>
      <c r="P108">
        <f>PasteBBM!AA108</f>
        <v>0.6620547945</v>
      </c>
      <c r="Q108">
        <f>PasteBBM!AB108</f>
        <v>0.2204109589</v>
      </c>
      <c r="R108">
        <f>PasteBBM!AG108</f>
        <v>1.616986301</v>
      </c>
      <c r="S108">
        <f>PasteBBM!AD108</f>
        <v>14.99342466</v>
      </c>
      <c r="T108">
        <f>PasteBBM!AF108</f>
        <v>3.748493151</v>
      </c>
    </row>
    <row r="109">
      <c r="A109" s="5">
        <v>108.0</v>
      </c>
      <c r="B109">
        <f t="array" ref="B109">INDEX(PasteHashtag!$B$2:$B1000,MATCH(C109,PasteHashtag!$C$2:$C1000,0))</f>
        <v>80.8</v>
      </c>
      <c r="C109" t="str">
        <f>PasteBBM!J109</f>
        <v>Jabari Smith Jr.</v>
      </c>
      <c r="D109" t="str">
        <f>IFERROR(REPLACE(PasteBBM!L109, FIND("/",PasteBBM!L109),1,","),PasteBBM!L109)</f>
        <v>F,C</v>
      </c>
      <c r="E109" t="str">
        <f>PasteBBM!K109</f>
        <v>HOU</v>
      </c>
      <c r="F109">
        <f>PasteBBM!T109</f>
        <v>73</v>
      </c>
      <c r="G109">
        <f>PasteBBM!V109</f>
        <v>31</v>
      </c>
      <c r="H109">
        <f>PasteBBM!AC109*PasteBBM!AD109</f>
        <v>5.124657534</v>
      </c>
      <c r="I109">
        <f>PasteBBM!AC109</f>
        <v>0.4621599585</v>
      </c>
      <c r="J109">
        <f>PasteBBM!AE109*PasteBBM!AF109</f>
        <v>2.034657534</v>
      </c>
      <c r="K109">
        <f>PasteBBM!AE109</f>
        <v>0.7990209264</v>
      </c>
      <c r="L109">
        <f>PasteBBM!X109</f>
        <v>1.953424658</v>
      </c>
      <c r="M109">
        <f>PasteBBM!W109</f>
        <v>14.23739726</v>
      </c>
      <c r="N109">
        <f>PasteBBM!Y109</f>
        <v>7.175205479</v>
      </c>
      <c r="O109">
        <f>PasteBBM!Z109</f>
        <v>1.826438356</v>
      </c>
      <c r="P109">
        <f>PasteBBM!AA109</f>
        <v>0.7168493151</v>
      </c>
      <c r="Q109">
        <f>PasteBBM!AB109</f>
        <v>0.8484931507</v>
      </c>
      <c r="R109">
        <f>PasteBBM!AG109</f>
        <v>0.9131506849</v>
      </c>
      <c r="S109">
        <f>PasteBBM!AD109</f>
        <v>11.08849315</v>
      </c>
      <c r="T109">
        <f>PasteBBM!AF109</f>
        <v>2.546438356</v>
      </c>
    </row>
    <row r="110">
      <c r="A110" s="5">
        <v>109.0</v>
      </c>
      <c r="B110">
        <f t="array" ref="B110">INDEX(PasteHashtag!$B$2:$B1000,MATCH(C110,PasteHashtag!$C$2:$C1000,0))</f>
        <v>96.4</v>
      </c>
      <c r="C110" t="str">
        <f>PasteBBM!J110</f>
        <v>Naz Reid</v>
      </c>
      <c r="D110" t="str">
        <f>IFERROR(REPLACE(PasteBBM!L110, FIND("/",PasteBBM!L110),1,","),PasteBBM!L110)</f>
        <v>F,C</v>
      </c>
      <c r="E110" t="str">
        <f>PasteBBM!K110</f>
        <v>MIN</v>
      </c>
      <c r="F110">
        <f>PasteBBM!T110</f>
        <v>77</v>
      </c>
      <c r="G110">
        <f>PasteBBM!V110</f>
        <v>28</v>
      </c>
      <c r="H110">
        <f>PasteBBM!AC110*PasteBBM!AD110</f>
        <v>5.212987014</v>
      </c>
      <c r="I110">
        <f>PasteBBM!AC110</f>
        <v>0.4676141659</v>
      </c>
      <c r="J110">
        <f>PasteBBM!AE110*PasteBBM!AF110</f>
        <v>1.406363636</v>
      </c>
      <c r="K110">
        <f>PasteBBM!AE110</f>
        <v>0.6939887208</v>
      </c>
      <c r="L110">
        <f>PasteBBM!X110</f>
        <v>2.004155844</v>
      </c>
      <c r="M110">
        <f>PasteBBM!W110</f>
        <v>13.83649351</v>
      </c>
      <c r="N110">
        <f>PasteBBM!Y110</f>
        <v>5.888181818</v>
      </c>
      <c r="O110">
        <f>PasteBBM!Z110</f>
        <v>1.682857143</v>
      </c>
      <c r="P110">
        <f>PasteBBM!AA110</f>
        <v>0.9201298701</v>
      </c>
      <c r="Q110">
        <f>PasteBBM!AB110</f>
        <v>1.195844156</v>
      </c>
      <c r="R110">
        <f>PasteBBM!AG110</f>
        <v>1.595454545</v>
      </c>
      <c r="S110">
        <f>PasteBBM!AD110</f>
        <v>11.14805195</v>
      </c>
      <c r="T110">
        <f>PasteBBM!AF110</f>
        <v>2.026493506</v>
      </c>
    </row>
    <row r="111">
      <c r="A111" s="5">
        <v>110.0</v>
      </c>
      <c r="B111">
        <f t="array" ref="B111">INDEX(PasteHashtag!$B$2:$B1000,MATCH(C111,PasteHashtag!$C$2:$C1000,0))</f>
        <v>133.4</v>
      </c>
      <c r="C111" t="str">
        <f>PasteBBM!J111</f>
        <v>Alexandre Sarr</v>
      </c>
      <c r="D111" t="str">
        <f>IFERROR(REPLACE(PasteBBM!L111, FIND("/",PasteBBM!L111),1,","),PasteBBM!L111)</f>
        <v>F</v>
      </c>
      <c r="E111" t="str">
        <f>PasteBBM!K111</f>
        <v>WAS</v>
      </c>
      <c r="F111">
        <f>PasteBBM!T111</f>
        <v>73</v>
      </c>
      <c r="G111">
        <f>PasteBBM!V111</f>
        <v>31</v>
      </c>
      <c r="H111">
        <f>PasteBBM!AC111*PasteBBM!AD111</f>
        <v>4.603561644</v>
      </c>
      <c r="I111">
        <f>PasteBBM!AC111</f>
        <v>0.4337825279</v>
      </c>
      <c r="J111">
        <f>PasteBBM!AE111*PasteBBM!AF111</f>
        <v>1.291780822</v>
      </c>
      <c r="K111">
        <f>PasteBBM!AE111</f>
        <v>0.7160212604</v>
      </c>
      <c r="L111">
        <f>PasteBBM!X111</f>
        <v>1.09</v>
      </c>
      <c r="M111">
        <f>PasteBBM!W111</f>
        <v>11.58890411</v>
      </c>
      <c r="N111">
        <f>PasteBBM!Y111</f>
        <v>6.716712329</v>
      </c>
      <c r="O111">
        <f>PasteBBM!Z111</f>
        <v>2.350821918</v>
      </c>
      <c r="P111">
        <f>PasteBBM!AA111</f>
        <v>0.7387671233</v>
      </c>
      <c r="Q111">
        <f>PasteBBM!AB111</f>
        <v>2.014931507</v>
      </c>
      <c r="R111">
        <f>PasteBBM!AG111</f>
        <v>2.014931507</v>
      </c>
      <c r="S111">
        <f>PasteBBM!AD111</f>
        <v>10.61260274</v>
      </c>
      <c r="T111">
        <f>PasteBBM!AF111</f>
        <v>1.804109589</v>
      </c>
    </row>
    <row r="112">
      <c r="A112" s="5">
        <v>111.0</v>
      </c>
      <c r="B112">
        <f t="array" ref="B112">INDEX(PasteHashtag!$B$2:$B1000,MATCH(C112,PasteHashtag!$C$2:$C1000,0))</f>
        <v>92.2</v>
      </c>
      <c r="C112" t="str">
        <f>PasteBBM!J112</f>
        <v>Jalen Green</v>
      </c>
      <c r="D112" t="str">
        <f>IFERROR(REPLACE(PasteBBM!L112, FIND("/",PasteBBM!L112),1,","),PasteBBM!L112)</f>
        <v>G</v>
      </c>
      <c r="E112" t="str">
        <f>PasteBBM!K112</f>
        <v>HOU</v>
      </c>
      <c r="F112">
        <f>PasteBBM!T112</f>
        <v>73</v>
      </c>
      <c r="G112">
        <f>PasteBBM!V112</f>
        <v>32</v>
      </c>
      <c r="H112">
        <f>PasteBBM!AC112*PasteBBM!AD112</f>
        <v>7.059726029</v>
      </c>
      <c r="I112">
        <f>PasteBBM!AC112</f>
        <v>0.4297209182</v>
      </c>
      <c r="J112">
        <f>PasteBBM!AE112*PasteBBM!AF112</f>
        <v>3.086164383</v>
      </c>
      <c r="K112">
        <f>PasteBBM!AE112</f>
        <v>0.801002631</v>
      </c>
      <c r="L112">
        <f>PasteBBM!X112</f>
        <v>2.66109589</v>
      </c>
      <c r="M112">
        <f>PasteBBM!W112</f>
        <v>19.86671233</v>
      </c>
      <c r="N112">
        <f>PasteBBM!Y112</f>
        <v>4.443972603</v>
      </c>
      <c r="O112">
        <f>PasteBBM!Z112</f>
        <v>3.644246575</v>
      </c>
      <c r="P112">
        <f>PasteBBM!AA112</f>
        <v>0.8628767123</v>
      </c>
      <c r="Q112">
        <f>PasteBBM!AB112</f>
        <v>0.34</v>
      </c>
      <c r="R112">
        <f>PasteBBM!AG112</f>
        <v>2.289315068</v>
      </c>
      <c r="S112">
        <f>PasteBBM!AD112</f>
        <v>16.42863014</v>
      </c>
      <c r="T112">
        <f>PasteBBM!AF112</f>
        <v>3.852876712</v>
      </c>
    </row>
    <row r="113">
      <c r="A113" s="5">
        <v>112.0</v>
      </c>
      <c r="B113">
        <f t="array" ref="B113">INDEX(PasteHashtag!$B$2:$B1000,MATCH(C113,PasteHashtag!$C$2:$C1000,0))</f>
        <v>106.5</v>
      </c>
      <c r="C113" t="str">
        <f>PasteBBM!J113</f>
        <v>Klay Thompson</v>
      </c>
      <c r="D113" t="str">
        <f>IFERROR(REPLACE(PasteBBM!L113, FIND("/",PasteBBM!L113),1,","),PasteBBM!L113)</f>
        <v>G,F</v>
      </c>
      <c r="E113" t="str">
        <f>PasteBBM!K113</f>
        <v>DAL</v>
      </c>
      <c r="F113">
        <f>PasteBBM!T113</f>
        <v>73</v>
      </c>
      <c r="G113">
        <f>PasteBBM!V113</f>
        <v>30</v>
      </c>
      <c r="H113">
        <f>PasteBBM!AC113*PasteBBM!AD113</f>
        <v>6.111643836</v>
      </c>
      <c r="I113">
        <f>PasteBBM!AC113</f>
        <v>0.4461633849</v>
      </c>
      <c r="J113">
        <f>PasteBBM!AE113*PasteBBM!AF113</f>
        <v>1.372465754</v>
      </c>
      <c r="K113">
        <f>PasteBBM!AE113</f>
        <v>0.9030193781</v>
      </c>
      <c r="L113">
        <f>PasteBBM!X113</f>
        <v>3.497945205</v>
      </c>
      <c r="M113">
        <f>PasteBBM!W113</f>
        <v>17.09369863</v>
      </c>
      <c r="N113">
        <f>PasteBBM!Y113</f>
        <v>2.90369863</v>
      </c>
      <c r="O113">
        <f>PasteBBM!Z113</f>
        <v>2.02</v>
      </c>
      <c r="P113">
        <f>PasteBBM!AA113</f>
        <v>0.7615068493</v>
      </c>
      <c r="Q113">
        <f>PasteBBM!AB113</f>
        <v>0.4402739726</v>
      </c>
      <c r="R113">
        <f>PasteBBM!AG113</f>
        <v>1.325616438</v>
      </c>
      <c r="S113">
        <f>PasteBBM!AD113</f>
        <v>13.69821918</v>
      </c>
      <c r="T113">
        <f>PasteBBM!AF113</f>
        <v>1.519863014</v>
      </c>
    </row>
    <row r="114">
      <c r="A114" s="5">
        <v>113.0</v>
      </c>
      <c r="B114">
        <f t="array" ref="B114">INDEX(PasteHashtag!$B$2:$B1000,MATCH(C114,PasteHashtag!$C$2:$C1000,0))</f>
        <v>124</v>
      </c>
      <c r="C114" t="str">
        <f>PasteBBM!J114</f>
        <v>Cameron Johnson</v>
      </c>
      <c r="D114" t="str">
        <f>IFERROR(REPLACE(PasteBBM!L114, FIND("/",PasteBBM!L114),1,","),PasteBBM!L114)</f>
        <v>F</v>
      </c>
      <c r="E114" t="str">
        <f>PasteBBM!K114</f>
        <v>BKN</v>
      </c>
      <c r="F114">
        <f>PasteBBM!T114</f>
        <v>61</v>
      </c>
      <c r="G114">
        <f>PasteBBM!V114</f>
        <v>28</v>
      </c>
      <c r="H114">
        <f>PasteBBM!AC114*PasteBBM!AD114</f>
        <v>5.071967211</v>
      </c>
      <c r="I114">
        <f>PasteBBM!AC114</f>
        <v>0.4483718099</v>
      </c>
      <c r="J114">
        <f>PasteBBM!AE114*PasteBBM!AF114</f>
        <v>2.068032787</v>
      </c>
      <c r="K114">
        <f>PasteBBM!AE114</f>
        <v>0.8309729267</v>
      </c>
      <c r="L114">
        <f>PasteBBM!X114</f>
        <v>2.645081967</v>
      </c>
      <c r="M114">
        <f>PasteBBM!W114</f>
        <v>14.85704918</v>
      </c>
      <c r="N114">
        <f>PasteBBM!Y114</f>
        <v>4.300983607</v>
      </c>
      <c r="O114">
        <f>PasteBBM!Z114</f>
        <v>2.425901639</v>
      </c>
      <c r="P114">
        <f>PasteBBM!AA114</f>
        <v>1.013442623</v>
      </c>
      <c r="Q114">
        <f>PasteBBM!AB114</f>
        <v>0.292295082</v>
      </c>
      <c r="R114">
        <f>PasteBBM!AG114</f>
        <v>1.119344262</v>
      </c>
      <c r="S114">
        <f>PasteBBM!AD114</f>
        <v>11.31196721</v>
      </c>
      <c r="T114">
        <f>PasteBBM!AF114</f>
        <v>2.488688525</v>
      </c>
    </row>
    <row r="115">
      <c r="A115" s="5">
        <v>114.0</v>
      </c>
      <c r="B115">
        <f t="array" ref="B115">INDEX(PasteHashtag!$B$2:$B1000,MATCH(C115,PasteHashtag!$C$2:$C1000,0))</f>
        <v>108.3</v>
      </c>
      <c r="C115" t="str">
        <f>PasteBBM!J115</f>
        <v>Dereck Lively II</v>
      </c>
      <c r="D115" t="str">
        <f>IFERROR(REPLACE(PasteBBM!L115, FIND("/",PasteBBM!L115),1,","),PasteBBM!L115)</f>
        <v>C</v>
      </c>
      <c r="E115" t="str">
        <f>PasteBBM!K115</f>
        <v>DAL</v>
      </c>
      <c r="F115">
        <f>PasteBBM!T115</f>
        <v>68</v>
      </c>
      <c r="G115">
        <f>PasteBBM!V115</f>
        <v>25</v>
      </c>
      <c r="H115">
        <f>PasteBBM!AC115*PasteBBM!AD115</f>
        <v>4.718970588</v>
      </c>
      <c r="I115">
        <f>PasteBBM!AC115</f>
        <v>0.7474900417</v>
      </c>
      <c r="J115">
        <f>PasteBBM!AE115*PasteBBM!AF115</f>
        <v>0.8180882353</v>
      </c>
      <c r="K115">
        <f>PasteBBM!AE115</f>
        <v>0.5399922345</v>
      </c>
      <c r="L115">
        <f>PasteBBM!X115</f>
        <v>0.01264705882</v>
      </c>
      <c r="M115">
        <f>PasteBBM!W115</f>
        <v>10.26867647</v>
      </c>
      <c r="N115">
        <f>PasteBBM!Y115</f>
        <v>7.259411765</v>
      </c>
      <c r="O115">
        <f>PasteBBM!Z115</f>
        <v>1.215</v>
      </c>
      <c r="P115">
        <f>PasteBBM!AA115</f>
        <v>0.6970588235</v>
      </c>
      <c r="Q115">
        <f>PasteBBM!AB115</f>
        <v>1.507205882</v>
      </c>
      <c r="R115">
        <f>PasteBBM!AG115</f>
        <v>0.7891176471</v>
      </c>
      <c r="S115">
        <f>PasteBBM!AD115</f>
        <v>6.313088235</v>
      </c>
      <c r="T115">
        <f>PasteBBM!AF115</f>
        <v>1.515</v>
      </c>
    </row>
    <row r="116">
      <c r="A116" s="5">
        <v>115.0</v>
      </c>
      <c r="B116">
        <f t="array" ref="B116">INDEX(PasteHashtag!$B$2:$B1000,MATCH(C116,PasteHashtag!$C$2:$C1000,0))</f>
        <v>132.8</v>
      </c>
      <c r="C116" t="str">
        <f>PasteBBM!J116</f>
        <v>Mike Conley</v>
      </c>
      <c r="D116" t="str">
        <f>IFERROR(REPLACE(PasteBBM!L116, FIND("/",PasteBBM!L116),1,","),PasteBBM!L116)</f>
        <v>G</v>
      </c>
      <c r="E116" t="str">
        <f>PasteBBM!K116</f>
        <v>MIN</v>
      </c>
      <c r="F116">
        <f>PasteBBM!T116</f>
        <v>61</v>
      </c>
      <c r="G116">
        <f>PasteBBM!V116</f>
        <v>28</v>
      </c>
      <c r="H116">
        <f>PasteBBM!AC116*PasteBBM!AD116</f>
        <v>3.40590164</v>
      </c>
      <c r="I116">
        <f>PasteBBM!AC116</f>
        <v>0.4445775914</v>
      </c>
      <c r="J116">
        <f>PasteBBM!AE116*PasteBBM!AF116</f>
        <v>1.159016393</v>
      </c>
      <c r="K116">
        <f>PasteBBM!AE116</f>
        <v>0.889979859</v>
      </c>
      <c r="L116">
        <f>PasteBBM!X116</f>
        <v>1.947213115</v>
      </c>
      <c r="M116">
        <f>PasteBBM!W116</f>
        <v>9.918032787</v>
      </c>
      <c r="N116">
        <f>PasteBBM!Y116</f>
        <v>2.686885246</v>
      </c>
      <c r="O116">
        <f>PasteBBM!Z116</f>
        <v>5.259344262</v>
      </c>
      <c r="P116">
        <f>PasteBBM!AA116</f>
        <v>1.194754098</v>
      </c>
      <c r="Q116">
        <f>PasteBBM!AB116</f>
        <v>0.2293442623</v>
      </c>
      <c r="R116">
        <f>PasteBBM!AG116</f>
        <v>1.543442623</v>
      </c>
      <c r="S116">
        <f>PasteBBM!AD116</f>
        <v>7.660983607</v>
      </c>
      <c r="T116">
        <f>PasteBBM!AF116</f>
        <v>1.302295082</v>
      </c>
    </row>
    <row r="117">
      <c r="A117" s="5">
        <v>116.0</v>
      </c>
      <c r="B117">
        <f t="array" ref="B117">INDEX(PasteHashtag!$B$2:$B1000,MATCH(C117,PasteHashtag!$C$2:$C1000,0))</f>
        <v>88.2</v>
      </c>
      <c r="C117" t="str">
        <f>PasteBBM!J117</f>
        <v>Jonas Valanciunas</v>
      </c>
      <c r="D117" t="str">
        <f>IFERROR(REPLACE(PasteBBM!L117, FIND("/",PasteBBM!L117),1,","),PasteBBM!L117)</f>
        <v>C</v>
      </c>
      <c r="E117" t="str">
        <f>PasteBBM!K117</f>
        <v>WAS</v>
      </c>
      <c r="F117">
        <f>PasteBBM!T117</f>
        <v>77</v>
      </c>
      <c r="G117">
        <f>PasteBBM!V117</f>
        <v>26</v>
      </c>
      <c r="H117">
        <f>PasteBBM!AC117*PasteBBM!AD117</f>
        <v>5.711038959</v>
      </c>
      <c r="I117">
        <f>PasteBBM!AC117</f>
        <v>0.5421716456</v>
      </c>
      <c r="J117">
        <f>PasteBBM!AE117*PasteBBM!AF117</f>
        <v>2.43935065</v>
      </c>
      <c r="K117">
        <f>PasteBBM!AE117</f>
        <v>0.7890027724</v>
      </c>
      <c r="L117">
        <f>PasteBBM!X117</f>
        <v>0.5123376623</v>
      </c>
      <c r="M117">
        <f>PasteBBM!W117</f>
        <v>14.37376623</v>
      </c>
      <c r="N117">
        <f>PasteBBM!Y117</f>
        <v>10.25272727</v>
      </c>
      <c r="O117">
        <f>PasteBBM!Z117</f>
        <v>2.028051948</v>
      </c>
      <c r="P117">
        <f>PasteBBM!AA117</f>
        <v>0.3476623377</v>
      </c>
      <c r="Q117">
        <f>PasteBBM!AB117</f>
        <v>0.7323376623</v>
      </c>
      <c r="R117">
        <f>PasteBBM!AG117</f>
        <v>1.664675325</v>
      </c>
      <c r="S117">
        <f>PasteBBM!AD117</f>
        <v>10.53363636</v>
      </c>
      <c r="T117">
        <f>PasteBBM!AF117</f>
        <v>3.091688312</v>
      </c>
    </row>
    <row r="118">
      <c r="A118" s="5">
        <v>117.0</v>
      </c>
      <c r="B118">
        <f t="array" ref="B118">INDEX(PasteHashtag!$B$2:$B1000,MATCH(C118,PasteHashtag!$C$2:$C1000,0))</f>
        <v>143.7</v>
      </c>
      <c r="C118" t="str">
        <f>PasteBBM!J118</f>
        <v>Jonathan Isaac</v>
      </c>
      <c r="D118" t="str">
        <f>IFERROR(REPLACE(PasteBBM!L118, FIND("/",PasteBBM!L118),1,","),PasteBBM!L118)</f>
        <v>F</v>
      </c>
      <c r="E118" t="str">
        <f>PasteBBM!K118</f>
        <v>ORL</v>
      </c>
      <c r="F118">
        <f>PasteBBM!T118</f>
        <v>56</v>
      </c>
      <c r="G118">
        <f>PasteBBM!V118</f>
        <v>22</v>
      </c>
      <c r="H118">
        <f>PasteBBM!AC118*PasteBBM!AD118</f>
        <v>3.424642857</v>
      </c>
      <c r="I118">
        <f>PasteBBM!AC118</f>
        <v>0.5068315759</v>
      </c>
      <c r="J118">
        <f>PasteBBM!AE118*PasteBBM!AF118</f>
        <v>1.103571428</v>
      </c>
      <c r="K118">
        <f>PasteBBM!AE118</f>
        <v>0.7100183824</v>
      </c>
      <c r="L118">
        <f>PasteBBM!X118</f>
        <v>1.009464286</v>
      </c>
      <c r="M118">
        <f>PasteBBM!W118</f>
        <v>8.962321429</v>
      </c>
      <c r="N118">
        <f>PasteBBM!Y118</f>
        <v>6.401964286</v>
      </c>
      <c r="O118">
        <f>PasteBBM!Z118</f>
        <v>0.965</v>
      </c>
      <c r="P118">
        <f>PasteBBM!AA118</f>
        <v>1.0225</v>
      </c>
      <c r="Q118">
        <f>PasteBBM!AB118</f>
        <v>1.484107143</v>
      </c>
      <c r="R118">
        <f>PasteBBM!AG118</f>
        <v>0.6225</v>
      </c>
      <c r="S118">
        <f>PasteBBM!AD118</f>
        <v>6.756964286</v>
      </c>
      <c r="T118">
        <f>PasteBBM!AF118</f>
        <v>1.554285714</v>
      </c>
    </row>
    <row r="119">
      <c r="A119" s="5">
        <v>118.0</v>
      </c>
      <c r="B119">
        <f t="array" ref="B119">INDEX(PasteHashtag!$B$2:$B1000,MATCH(C119,PasteHashtag!$C$2:$C1000,0))</f>
        <v>117.6</v>
      </c>
      <c r="C119" t="str">
        <f>PasteBBM!J119</f>
        <v>Onyeka Okongwu</v>
      </c>
      <c r="D119" t="str">
        <f>IFERROR(REPLACE(PasteBBM!L119, FIND("/",PasteBBM!L119),1,","),PasteBBM!L119)</f>
        <v>C</v>
      </c>
      <c r="E119" t="str">
        <f>PasteBBM!K119</f>
        <v>ATL</v>
      </c>
      <c r="F119">
        <f>PasteBBM!T119</f>
        <v>66</v>
      </c>
      <c r="G119">
        <f>PasteBBM!V119</f>
        <v>26</v>
      </c>
      <c r="H119">
        <f>PasteBBM!AC119*PasteBBM!AD119</f>
        <v>4.651515152</v>
      </c>
      <c r="I119">
        <f>PasteBBM!AC119</f>
        <v>0.6178429834</v>
      </c>
      <c r="J119">
        <f>PasteBBM!AE119*PasteBBM!AF119</f>
        <v>1.623333333</v>
      </c>
      <c r="K119">
        <f>PasteBBM!AE119</f>
        <v>0.7700158114</v>
      </c>
      <c r="L119">
        <f>PasteBBM!X119</f>
        <v>0.4396969697</v>
      </c>
      <c r="M119">
        <f>PasteBBM!W119</f>
        <v>11.36606061</v>
      </c>
      <c r="N119">
        <f>PasteBBM!Y119</f>
        <v>6.608333333</v>
      </c>
      <c r="O119">
        <f>PasteBBM!Z119</f>
        <v>1.354242424</v>
      </c>
      <c r="P119">
        <f>PasteBBM!AA119</f>
        <v>0.65</v>
      </c>
      <c r="Q119">
        <f>PasteBBM!AB119</f>
        <v>1.186515152</v>
      </c>
      <c r="R119">
        <f>PasteBBM!AG119</f>
        <v>0.9209090909</v>
      </c>
      <c r="S119">
        <f>PasteBBM!AD119</f>
        <v>7.528636364</v>
      </c>
      <c r="T119">
        <f>PasteBBM!AF119</f>
        <v>2.108181818</v>
      </c>
    </row>
    <row r="120">
      <c r="A120" s="5">
        <v>119.0</v>
      </c>
      <c r="B120">
        <f t="array" ref="B120">INDEX(PasteHashtag!$B$2:$B1000,MATCH(C120,PasteHashtag!$C$2:$C1000,0))</f>
        <v>141.7</v>
      </c>
      <c r="C120" t="str">
        <f>PasteBBM!J120</f>
        <v>Jeremy Sochan</v>
      </c>
      <c r="D120" t="str">
        <f>IFERROR(REPLACE(PasteBBM!L120, FIND("/",PasteBBM!L120),1,","),PasteBBM!L120)</f>
        <v>F</v>
      </c>
      <c r="E120" t="str">
        <f>PasteBBM!K120</f>
        <v>SAS</v>
      </c>
      <c r="F120">
        <f>PasteBBM!T120</f>
        <v>73</v>
      </c>
      <c r="G120">
        <f>PasteBBM!V120</f>
        <v>32</v>
      </c>
      <c r="H120">
        <f>PasteBBM!AC120*PasteBBM!AD120</f>
        <v>5.1739726</v>
      </c>
      <c r="I120">
        <f>PasteBBM!AC120</f>
        <v>0.4409704385</v>
      </c>
      <c r="J120">
        <f>PasteBBM!AE120*PasteBBM!AF120</f>
        <v>1.42109589</v>
      </c>
      <c r="K120">
        <f>PasteBBM!AE120</f>
        <v>0.7570052539</v>
      </c>
      <c r="L120">
        <f>PasteBBM!X120</f>
        <v>1.093013699</v>
      </c>
      <c r="M120">
        <f>PasteBBM!W120</f>
        <v>12.86205479</v>
      </c>
      <c r="N120">
        <f>PasteBBM!Y120</f>
        <v>7.266712329</v>
      </c>
      <c r="O120">
        <f>PasteBBM!Z120</f>
        <v>2.733287671</v>
      </c>
      <c r="P120">
        <f>PasteBBM!AA120</f>
        <v>1.133287671</v>
      </c>
      <c r="Q120">
        <f>PasteBBM!AB120</f>
        <v>0.6612328767</v>
      </c>
      <c r="R120">
        <f>PasteBBM!AG120</f>
        <v>1.6</v>
      </c>
      <c r="S120">
        <f>PasteBBM!AD120</f>
        <v>11.73315068</v>
      </c>
      <c r="T120">
        <f>PasteBBM!AF120</f>
        <v>1.877260274</v>
      </c>
    </row>
    <row r="121">
      <c r="A121" s="5">
        <v>120.0</v>
      </c>
      <c r="B121">
        <f t="array" ref="B121">INDEX(PasteHashtag!$B$2:$B1000,MATCH(C121,PasteHashtag!$C$2:$C1000,0))</f>
        <v>109.6</v>
      </c>
      <c r="C121" t="str">
        <f>PasteBBM!J121</f>
        <v>Jerami Grant</v>
      </c>
      <c r="D121" t="str">
        <f>IFERROR(REPLACE(PasteBBM!L121, FIND("/",PasteBBM!L121),1,","),PasteBBM!L121)</f>
        <v>F</v>
      </c>
      <c r="E121" t="str">
        <f>PasteBBM!K121</f>
        <v>POR</v>
      </c>
      <c r="F121">
        <f>PasteBBM!T121</f>
        <v>60</v>
      </c>
      <c r="G121">
        <f>PasteBBM!V121</f>
        <v>34</v>
      </c>
      <c r="H121">
        <f>PasteBBM!AC121*PasteBBM!AD121</f>
        <v>6.640499998</v>
      </c>
      <c r="I121">
        <f>PasteBBM!AC121</f>
        <v>0.4424836746</v>
      </c>
      <c r="J121">
        <f>PasteBBM!AE121*PasteBBM!AF121</f>
        <v>4.312166666</v>
      </c>
      <c r="K121">
        <f>PasteBBM!AE121</f>
        <v>0.8210001904</v>
      </c>
      <c r="L121">
        <f>PasteBBM!X121</f>
        <v>1.995</v>
      </c>
      <c r="M121">
        <f>PasteBBM!W121</f>
        <v>19.58816667</v>
      </c>
      <c r="N121">
        <f>PasteBBM!Y121</f>
        <v>3.295833333</v>
      </c>
      <c r="O121">
        <f>PasteBBM!Z121</f>
        <v>2.664666667</v>
      </c>
      <c r="P121">
        <f>PasteBBM!AA121</f>
        <v>0.8436666667</v>
      </c>
      <c r="Q121">
        <f>PasteBBM!AB121</f>
        <v>0.63</v>
      </c>
      <c r="R121">
        <f>PasteBBM!AG121</f>
        <v>1.9635</v>
      </c>
      <c r="S121">
        <f>PasteBBM!AD121</f>
        <v>15.00733333</v>
      </c>
      <c r="T121">
        <f>PasteBBM!AF121</f>
        <v>5.252333333</v>
      </c>
    </row>
    <row r="122">
      <c r="A122" s="5">
        <v>121.0</v>
      </c>
      <c r="B122">
        <f t="array" ref="B122">INDEX(PasteHashtag!$B$2:$B1000,MATCH(C122,PasteHashtag!$C$2:$C1000,0))</f>
        <v>144.9</v>
      </c>
      <c r="C122" t="str">
        <f>PasteBBM!J122</f>
        <v>Caris LeVert</v>
      </c>
      <c r="D122" t="str">
        <f>IFERROR(REPLACE(PasteBBM!L122, FIND("/",PasteBBM!L122),1,","),PasteBBM!L122)</f>
        <v>G</v>
      </c>
      <c r="E122" t="str">
        <f>PasteBBM!K122</f>
        <v>CLE</v>
      </c>
      <c r="F122">
        <f>PasteBBM!T122</f>
        <v>68</v>
      </c>
      <c r="G122">
        <f>PasteBBM!V122</f>
        <v>29</v>
      </c>
      <c r="H122">
        <f>PasteBBM!AC122*PasteBBM!AD122</f>
        <v>4.984264706</v>
      </c>
      <c r="I122">
        <f>PasteBBM!AC122</f>
        <v>0.4256898479</v>
      </c>
      <c r="J122">
        <f>PasteBBM!AE122*PasteBBM!AF122</f>
        <v>2.068529411</v>
      </c>
      <c r="K122">
        <f>PasteBBM!AE122</f>
        <v>0.7550187869</v>
      </c>
      <c r="L122">
        <f>PasteBBM!X122</f>
        <v>1.524705882</v>
      </c>
      <c r="M122">
        <f>PasteBBM!W122</f>
        <v>13.56176471</v>
      </c>
      <c r="N122">
        <f>PasteBBM!Y122</f>
        <v>4.498676471</v>
      </c>
      <c r="O122">
        <f>PasteBBM!Z122</f>
        <v>5.114852941</v>
      </c>
      <c r="P122">
        <f>PasteBBM!AA122</f>
        <v>1.213529412</v>
      </c>
      <c r="Q122">
        <f>PasteBBM!AB122</f>
        <v>0.4313235294</v>
      </c>
      <c r="R122">
        <f>PasteBBM!AG122</f>
        <v>1.602205882</v>
      </c>
      <c r="S122">
        <f>PasteBBM!AD122</f>
        <v>11.70867647</v>
      </c>
      <c r="T122">
        <f>PasteBBM!AF122</f>
        <v>2.739705882</v>
      </c>
    </row>
    <row r="123">
      <c r="A123" s="5">
        <v>122.0</v>
      </c>
      <c r="B123">
        <f t="array" ref="B123">INDEX(PasteHashtag!$B$2:$B1000,MATCH(C123,PasteHashtag!$C$2:$C1000,0))</f>
        <v>138.9</v>
      </c>
      <c r="C123" t="str">
        <f>PasteBBM!J123</f>
        <v>Taylor Hendricks</v>
      </c>
      <c r="D123" t="str">
        <f>IFERROR(REPLACE(PasteBBM!L123, FIND("/",PasteBBM!L123),1,","),PasteBBM!L123)</f>
        <v>F</v>
      </c>
      <c r="E123" t="str">
        <f>PasteBBM!K123</f>
        <v>UTA</v>
      </c>
      <c r="F123">
        <f>PasteBBM!T123</f>
        <v>73</v>
      </c>
      <c r="G123">
        <f>PasteBBM!V123</f>
        <v>29</v>
      </c>
      <c r="H123">
        <f>PasteBBM!AC123*PasteBBM!AD123</f>
        <v>3.910136987</v>
      </c>
      <c r="I123">
        <f>PasteBBM!AC123</f>
        <v>0.4610116933</v>
      </c>
      <c r="J123">
        <f>PasteBBM!AE123*PasteBBM!AF123</f>
        <v>1.008904109</v>
      </c>
      <c r="K123">
        <f>PasteBBM!AE123</f>
        <v>0.7929586563</v>
      </c>
      <c r="L123">
        <f>PasteBBM!X123</f>
        <v>1.819452055</v>
      </c>
      <c r="M123">
        <f>PasteBBM!W123</f>
        <v>10.64863014</v>
      </c>
      <c r="N123">
        <f>PasteBBM!Y123</f>
        <v>6.285205479</v>
      </c>
      <c r="O123">
        <f>PasteBBM!Z123</f>
        <v>1.169315068</v>
      </c>
      <c r="P123">
        <f>PasteBBM!AA123</f>
        <v>0.9153424658</v>
      </c>
      <c r="Q123">
        <f>PasteBBM!AB123</f>
        <v>1.021232877</v>
      </c>
      <c r="R123">
        <f>PasteBBM!AG123</f>
        <v>0.9031506849</v>
      </c>
      <c r="S123">
        <f>PasteBBM!AD123</f>
        <v>8.481643836</v>
      </c>
      <c r="T123">
        <f>PasteBBM!AF123</f>
        <v>1.272328767</v>
      </c>
    </row>
    <row r="124">
      <c r="A124" s="5">
        <v>123.0</v>
      </c>
      <c r="B124">
        <f t="array" ref="B124">INDEX(PasteHashtag!$B$2:$B1000,MATCH(C124,PasteHashtag!$C$2:$C1000,0))</f>
        <v>138.5</v>
      </c>
      <c r="C124" t="str">
        <f>PasteBBM!J124</f>
        <v>Ben Simmons</v>
      </c>
      <c r="D124" t="str">
        <f>IFERROR(REPLACE(PasteBBM!L124, FIND("/",PasteBBM!L124),1,","),PasteBBM!L124)</f>
        <v>G</v>
      </c>
      <c r="E124" t="str">
        <f>PasteBBM!K124</f>
        <v>BKN</v>
      </c>
      <c r="F124">
        <f>PasteBBM!T124</f>
        <v>39</v>
      </c>
      <c r="G124">
        <f>PasteBBM!V124</f>
        <v>25</v>
      </c>
      <c r="H124">
        <f>PasteBBM!AC124*PasteBBM!AD124</f>
        <v>3.206410256</v>
      </c>
      <c r="I124">
        <f>PasteBBM!AC124</f>
        <v>0.5859887535</v>
      </c>
      <c r="J124">
        <f>PasteBBM!AE124*PasteBBM!AF124</f>
        <v>0.6617948718</v>
      </c>
      <c r="K124">
        <f>PasteBBM!AE124</f>
        <v>0.5040031244</v>
      </c>
      <c r="L124">
        <f>PasteBBM!X124</f>
        <v>0</v>
      </c>
      <c r="M124">
        <f>PasteBBM!W124</f>
        <v>7.074615385</v>
      </c>
      <c r="N124">
        <f>PasteBBM!Y124</f>
        <v>8.101025641</v>
      </c>
      <c r="O124">
        <f>PasteBBM!Z124</f>
        <v>6.47025641</v>
      </c>
      <c r="P124">
        <f>PasteBBM!AA124</f>
        <v>1.052051282</v>
      </c>
      <c r="Q124">
        <f>PasteBBM!AB124</f>
        <v>0.4720512821</v>
      </c>
      <c r="R124">
        <f>PasteBBM!AG124</f>
        <v>2.203333333</v>
      </c>
      <c r="S124">
        <f>PasteBBM!AD124</f>
        <v>5.471794872</v>
      </c>
      <c r="T124">
        <f>PasteBBM!AF124</f>
        <v>1.313076923</v>
      </c>
    </row>
    <row r="125">
      <c r="A125" s="5">
        <v>124.0</v>
      </c>
      <c r="B125">
        <f t="array" ref="B125">INDEX(PasteHashtag!$B$2:$B1000,MATCH(C125,PasteHashtag!$C$2:$C1000,0))</f>
        <v>130.8</v>
      </c>
      <c r="C125" t="str">
        <f>PasteBBM!J125</f>
        <v>Scoot Henderson</v>
      </c>
      <c r="D125" t="str">
        <f>IFERROR(REPLACE(PasteBBM!L125, FIND("/",PasteBBM!L125),1,","),PasteBBM!L125)</f>
        <v>G</v>
      </c>
      <c r="E125" t="str">
        <f>PasteBBM!K125</f>
        <v>POR</v>
      </c>
      <c r="F125">
        <f>PasteBBM!T125</f>
        <v>68</v>
      </c>
      <c r="G125">
        <f>PasteBBM!V125</f>
        <v>31</v>
      </c>
      <c r="H125">
        <f>PasteBBM!AC125*PasteBBM!AD125</f>
        <v>5.935147058</v>
      </c>
      <c r="I125">
        <f>PasteBBM!AC125</f>
        <v>0.4143974864</v>
      </c>
      <c r="J125">
        <f>PasteBBM!AE125*PasteBBM!AF125</f>
        <v>2.697941176</v>
      </c>
      <c r="K125">
        <f>PasteBBM!AE125</f>
        <v>0.8190178571</v>
      </c>
      <c r="L125">
        <f>PasteBBM!X125</f>
        <v>1.855441176</v>
      </c>
      <c r="M125">
        <f>PasteBBM!W125</f>
        <v>16.42367647</v>
      </c>
      <c r="N125">
        <f>PasteBBM!Y125</f>
        <v>3.452647059</v>
      </c>
      <c r="O125">
        <f>PasteBBM!Z125</f>
        <v>6.841323529</v>
      </c>
      <c r="P125">
        <f>PasteBBM!AA125</f>
        <v>0.9064705882</v>
      </c>
      <c r="Q125">
        <f>PasteBBM!AB125</f>
        <v>0.1901470588</v>
      </c>
      <c r="R125">
        <f>PasteBBM!AG125</f>
        <v>3.452647059</v>
      </c>
      <c r="S125">
        <f>PasteBBM!AD125</f>
        <v>14.32235294</v>
      </c>
      <c r="T125">
        <f>PasteBBM!AF125</f>
        <v>3.294117647</v>
      </c>
    </row>
    <row r="126">
      <c r="A126" s="5">
        <v>125.0</v>
      </c>
      <c r="B126">
        <f t="array" ref="B126">INDEX(PasteHashtag!$B$2:$B1000,MATCH(C126,PasteHashtag!$C$2:$C1000,0))</f>
        <v>142</v>
      </c>
      <c r="C126" t="str">
        <f>PasteBBM!J126</f>
        <v>De'Anthony Melton</v>
      </c>
      <c r="D126" t="str">
        <f>IFERROR(REPLACE(PasteBBM!L126, FIND("/",PasteBBM!L126),1,","),PasteBBM!L126)</f>
        <v>G</v>
      </c>
      <c r="E126" t="str">
        <f>PasteBBM!K126</f>
        <v>GSW</v>
      </c>
      <c r="F126">
        <f>PasteBBM!T126</f>
        <v>62</v>
      </c>
      <c r="G126">
        <f>PasteBBM!V126</f>
        <v>25</v>
      </c>
      <c r="H126">
        <f>PasteBBM!AC126*PasteBBM!AD126</f>
        <v>3.872741935</v>
      </c>
      <c r="I126">
        <f>PasteBBM!AC126</f>
        <v>0.4041167362</v>
      </c>
      <c r="J126">
        <f>PasteBBM!AE126*PasteBBM!AF126</f>
        <v>1.621129032</v>
      </c>
      <c r="K126">
        <f>PasteBBM!AE126</f>
        <v>0.8470419686</v>
      </c>
      <c r="L126">
        <f>PasteBBM!X126</f>
        <v>2.155967742</v>
      </c>
      <c r="M126">
        <f>PasteBBM!W126</f>
        <v>11.52258065</v>
      </c>
      <c r="N126">
        <f>PasteBBM!Y126</f>
        <v>3.437419355</v>
      </c>
      <c r="O126">
        <f>PasteBBM!Z126</f>
        <v>2.546290323</v>
      </c>
      <c r="P126">
        <f>PasteBBM!AA126</f>
        <v>1.405</v>
      </c>
      <c r="Q126">
        <f>PasteBBM!AB126</f>
        <v>0.4169354839</v>
      </c>
      <c r="R126">
        <f>PasteBBM!AG126</f>
        <v>1.145806452</v>
      </c>
      <c r="S126">
        <f>PasteBBM!AD126</f>
        <v>9.583225806</v>
      </c>
      <c r="T126">
        <f>PasteBBM!AF126</f>
        <v>1.913870968</v>
      </c>
    </row>
    <row r="127">
      <c r="A127" s="5">
        <v>126.0</v>
      </c>
      <c r="B127">
        <f t="array" ref="B127">INDEX(PasteHashtag!$B$2:$B1000,MATCH(C127,PasteHashtag!$C$2:$C1000,0))</f>
        <v>140.6</v>
      </c>
      <c r="C127" t="str">
        <f>PasteBBM!J127</f>
        <v>Andrew Nembhard</v>
      </c>
      <c r="D127" t="str">
        <f>IFERROR(REPLACE(PasteBBM!L127, FIND("/",PasteBBM!L127),1,","),PasteBBM!L127)</f>
        <v>G</v>
      </c>
      <c r="E127" t="str">
        <f>PasteBBM!K127</f>
        <v>IND</v>
      </c>
      <c r="F127">
        <f>PasteBBM!T127</f>
        <v>73</v>
      </c>
      <c r="G127">
        <f>PasteBBM!V127</f>
        <v>32</v>
      </c>
      <c r="H127">
        <f>PasteBBM!AC127*PasteBBM!AD127</f>
        <v>5.043561646</v>
      </c>
      <c r="I127">
        <f>PasteBBM!AC127</f>
        <v>0.4832456129</v>
      </c>
      <c r="J127">
        <f>PasteBBM!AE127*PasteBBM!AF127</f>
        <v>0.8505479451</v>
      </c>
      <c r="K127">
        <f>PasteBBM!AE127</f>
        <v>0.8149363434</v>
      </c>
      <c r="L127">
        <f>PasteBBM!X127</f>
        <v>1.626164384</v>
      </c>
      <c r="M127">
        <f>PasteBBM!W127</f>
        <v>12.56383562</v>
      </c>
      <c r="N127">
        <f>PasteBBM!Y127</f>
        <v>2.677945205</v>
      </c>
      <c r="O127">
        <f>PasteBBM!Z127</f>
        <v>5.081369863</v>
      </c>
      <c r="P127">
        <f>PasteBBM!AA127</f>
        <v>1.118630137</v>
      </c>
      <c r="Q127">
        <f>PasteBBM!AB127</f>
        <v>0.1357534247</v>
      </c>
      <c r="R127">
        <f>PasteBBM!AG127</f>
        <v>1.373287671</v>
      </c>
      <c r="S127">
        <f>PasteBBM!AD127</f>
        <v>10.43684932</v>
      </c>
      <c r="T127">
        <f>PasteBBM!AF127</f>
        <v>1.04369863</v>
      </c>
    </row>
    <row r="128">
      <c r="A128" s="5">
        <v>127.0</v>
      </c>
      <c r="B128">
        <f t="array" ref="B128">INDEX(PasteHashtag!$B$2:$B1000,MATCH(C128,PasteHashtag!$C$2:$C1000,0))</f>
        <v>130.7</v>
      </c>
      <c r="C128" t="str">
        <f>PasteBBM!J128</f>
        <v>Marcus Smart</v>
      </c>
      <c r="D128" t="str">
        <f>IFERROR(REPLACE(PasteBBM!L128, FIND("/",PasteBBM!L128),1,","),PasteBBM!L128)</f>
        <v>G</v>
      </c>
      <c r="E128" t="str">
        <f>PasteBBM!K128</f>
        <v>MEM</v>
      </c>
      <c r="F128">
        <f>PasteBBM!T128</f>
        <v>68</v>
      </c>
      <c r="G128">
        <f>PasteBBM!V128</f>
        <v>30</v>
      </c>
      <c r="H128">
        <f>PasteBBM!AC128*PasteBBM!AD128</f>
        <v>3.764117647</v>
      </c>
      <c r="I128">
        <f>PasteBBM!AC128</f>
        <v>0.4153441729</v>
      </c>
      <c r="J128">
        <f>PasteBBM!AE128*PasteBBM!AF128</f>
        <v>1.3</v>
      </c>
      <c r="K128">
        <f>PasteBBM!AE128</f>
        <v>0.7549748057</v>
      </c>
      <c r="L128">
        <f>PasteBBM!X128</f>
        <v>1.756323529</v>
      </c>
      <c r="M128">
        <f>PasteBBM!W128</f>
        <v>10.58455882</v>
      </c>
      <c r="N128">
        <f>PasteBBM!Y128</f>
        <v>3.0625</v>
      </c>
      <c r="O128">
        <f>PasteBBM!Z128</f>
        <v>3.5</v>
      </c>
      <c r="P128">
        <f>PasteBBM!AA128</f>
        <v>1.690294118</v>
      </c>
      <c r="Q128">
        <f>PasteBBM!AB128</f>
        <v>0.2497058824</v>
      </c>
      <c r="R128">
        <f>PasteBBM!AG128</f>
        <v>2</v>
      </c>
      <c r="S128">
        <f>PasteBBM!AD128</f>
        <v>9.062647059</v>
      </c>
      <c r="T128">
        <f>PasteBBM!AF128</f>
        <v>1.721911765</v>
      </c>
    </row>
    <row r="129">
      <c r="A129" s="5">
        <v>128.0</v>
      </c>
      <c r="B129">
        <f t="array" ref="B129">INDEX(PasteHashtag!$B$2:$B1000,MATCH(C129,PasteHashtag!$C$2:$C1000,0))</f>
        <v>129.5</v>
      </c>
      <c r="C129" t="str">
        <f>PasteBBM!J129</f>
        <v>Malik Monk</v>
      </c>
      <c r="D129" t="str">
        <f>IFERROR(REPLACE(PasteBBM!L129, FIND("/",PasteBBM!L129),1,","),PasteBBM!L129)</f>
        <v>G</v>
      </c>
      <c r="E129" t="str">
        <f>PasteBBM!K129</f>
        <v>SAC</v>
      </c>
      <c r="F129">
        <f>PasteBBM!T129</f>
        <v>73</v>
      </c>
      <c r="G129">
        <f>PasteBBM!V129</f>
        <v>27</v>
      </c>
      <c r="H129">
        <f>PasteBBM!AC129*PasteBBM!AD129</f>
        <v>5.736986303</v>
      </c>
      <c r="I129">
        <f>PasteBBM!AC129</f>
        <v>0.4548712936</v>
      </c>
      <c r="J129">
        <f>PasteBBM!AE129*PasteBBM!AF129</f>
        <v>2.35849315</v>
      </c>
      <c r="K129">
        <f>PasteBBM!AE129</f>
        <v>0.8500123426</v>
      </c>
      <c r="L129">
        <f>PasteBBM!X129</f>
        <v>1.898082192</v>
      </c>
      <c r="M129">
        <f>PasteBBM!W129</f>
        <v>15.73054795</v>
      </c>
      <c r="N129">
        <f>PasteBBM!Y129</f>
        <v>3.181506849</v>
      </c>
      <c r="O129">
        <f>PasteBBM!Z129</f>
        <v>4.374520548</v>
      </c>
      <c r="P129">
        <f>PasteBBM!AA129</f>
        <v>0.6926027397</v>
      </c>
      <c r="Q129">
        <f>PasteBBM!AB129</f>
        <v>0.5060273973</v>
      </c>
      <c r="R129">
        <f>PasteBBM!AG129</f>
        <v>1.817945205</v>
      </c>
      <c r="S129">
        <f>PasteBBM!AD129</f>
        <v>12.61232877</v>
      </c>
      <c r="T129">
        <f>PasteBBM!AF129</f>
        <v>2.774657534</v>
      </c>
    </row>
    <row r="130">
      <c r="A130" s="5">
        <v>129.0</v>
      </c>
      <c r="B130">
        <f t="array" ref="B130">INDEX(PasteHashtag!$B$2:$B1000,MATCH(C130,PasteHashtag!$C$2:$C1000,0))</f>
        <v>110.3</v>
      </c>
      <c r="C130" t="str">
        <f>PasteBBM!J130</f>
        <v>Donte DiVincenzo</v>
      </c>
      <c r="D130" t="str">
        <f>IFERROR(REPLACE(PasteBBM!L130, FIND("/",PasteBBM!L130),1,","),PasteBBM!L130)</f>
        <v>G,F</v>
      </c>
      <c r="E130" t="str">
        <f>PasteBBM!K130</f>
        <v>MIN</v>
      </c>
      <c r="F130">
        <f>PasteBBM!T130</f>
        <v>73</v>
      </c>
      <c r="G130">
        <f>PasteBBM!V130</f>
        <v>26</v>
      </c>
      <c r="H130">
        <f>PasteBBM!AC130*PasteBBM!AD130</f>
        <v>4.350547945</v>
      </c>
      <c r="I130">
        <f>PasteBBM!AC130</f>
        <v>0.4359206643</v>
      </c>
      <c r="J130">
        <f>PasteBBM!AE130*PasteBBM!AF130</f>
        <v>0.79</v>
      </c>
      <c r="K130">
        <f>PasteBBM!AE130</f>
        <v>0.79</v>
      </c>
      <c r="L130">
        <f>PasteBBM!X130</f>
        <v>2.784657534</v>
      </c>
      <c r="M130">
        <f>PasteBBM!W130</f>
        <v>12.27575342</v>
      </c>
      <c r="N130">
        <f>PasteBBM!Y130</f>
        <v>3.503561644</v>
      </c>
      <c r="O130">
        <f>PasteBBM!Z130</f>
        <v>2.388767123</v>
      </c>
      <c r="P130">
        <f>PasteBBM!AA130</f>
        <v>1.102191781</v>
      </c>
      <c r="Q130">
        <f>PasteBBM!AB130</f>
        <v>0.4417808219</v>
      </c>
      <c r="R130">
        <f>PasteBBM!AG130</f>
        <v>1.372054795</v>
      </c>
      <c r="S130">
        <f>PasteBBM!AD130</f>
        <v>9.980136986</v>
      </c>
      <c r="T130">
        <f>PasteBBM!AF130</f>
        <v>1</v>
      </c>
    </row>
    <row r="131">
      <c r="A131" s="5">
        <v>130.0</v>
      </c>
      <c r="B131">
        <f t="array" ref="B131">INDEX(PasteHashtag!$B$2:$B1000,MATCH(C131,PasteHashtag!$C$2:$C1000,0))</f>
        <v>146.3</v>
      </c>
      <c r="C131" t="str">
        <f>PasteBBM!J131</f>
        <v>Keon Ellis</v>
      </c>
      <c r="D131" t="str">
        <f>IFERROR(REPLACE(PasteBBM!L131, FIND("/",PasteBBM!L131),1,","),PasteBBM!L131)</f>
        <v>G,F</v>
      </c>
      <c r="E131" t="str">
        <f>PasteBBM!K131</f>
        <v>SAC</v>
      </c>
      <c r="F131">
        <f>PasteBBM!T131</f>
        <v>73</v>
      </c>
      <c r="G131">
        <f>PasteBBM!V131</f>
        <v>26</v>
      </c>
      <c r="H131">
        <f>PasteBBM!AC131*PasteBBM!AD131</f>
        <v>2.792465754</v>
      </c>
      <c r="I131">
        <f>PasteBBM!AC131</f>
        <v>0.4362947585</v>
      </c>
      <c r="J131">
        <f>PasteBBM!AE131*PasteBBM!AF131</f>
        <v>0.7347945206</v>
      </c>
      <c r="K131">
        <f>PasteBBM!AE131</f>
        <v>0.8199327423</v>
      </c>
      <c r="L131">
        <f>PasteBBM!X131</f>
        <v>1.812328767</v>
      </c>
      <c r="M131">
        <f>PasteBBM!W131</f>
        <v>8.132054795</v>
      </c>
      <c r="N131">
        <f>PasteBBM!Y131</f>
        <v>3.337260274</v>
      </c>
      <c r="O131">
        <f>PasteBBM!Z131</f>
        <v>1.750684932</v>
      </c>
      <c r="P131">
        <f>PasteBBM!AA131</f>
        <v>1.491369863</v>
      </c>
      <c r="Q131">
        <f>PasteBBM!AB131</f>
        <v>0.6564383562</v>
      </c>
      <c r="R131">
        <f>PasteBBM!AG131</f>
        <v>0.765890411</v>
      </c>
      <c r="S131">
        <f>PasteBBM!AD131</f>
        <v>6.400410959</v>
      </c>
      <c r="T131">
        <f>PasteBBM!AF131</f>
        <v>0.8961643836</v>
      </c>
    </row>
    <row r="132">
      <c r="A132" s="5">
        <v>131.0</v>
      </c>
      <c r="B132">
        <f t="array" ref="B132">INDEX(PasteHashtag!$B$2:$B1000,MATCH(C132,PasteHashtag!$C$2:$C1000,0))</f>
        <v>107.7</v>
      </c>
      <c r="C132" t="str">
        <f>PasteBBM!J132</f>
        <v>RJ Barrett</v>
      </c>
      <c r="D132" t="str">
        <f>IFERROR(REPLACE(PasteBBM!L132, FIND("/",PasteBBM!L132),1,","),PasteBBM!L132)</f>
        <v>G,F</v>
      </c>
      <c r="E132" t="str">
        <f>PasteBBM!K132</f>
        <v>TOR</v>
      </c>
      <c r="F132">
        <f>PasteBBM!T132</f>
        <v>68</v>
      </c>
      <c r="G132">
        <f>PasteBBM!V132</f>
        <v>35</v>
      </c>
      <c r="H132">
        <f>PasteBBM!AC132*PasteBBM!AD132</f>
        <v>8.566470587</v>
      </c>
      <c r="I132">
        <f>PasteBBM!AC132</f>
        <v>0.5216020917</v>
      </c>
      <c r="J132">
        <f>PasteBBM!AE132*PasteBBM!AF132</f>
        <v>3.507794118</v>
      </c>
      <c r="K132">
        <f>PasteBBM!AE132</f>
        <v>0.6889948007</v>
      </c>
      <c r="L132">
        <f>PasteBBM!X132</f>
        <v>1.264558824</v>
      </c>
      <c r="M132">
        <f>PasteBBM!W132</f>
        <v>21.90529412</v>
      </c>
      <c r="N132">
        <f>PasteBBM!Y132</f>
        <v>6.186176471</v>
      </c>
      <c r="O132">
        <f>PasteBBM!Z132</f>
        <v>4.197794118</v>
      </c>
      <c r="P132">
        <f>PasteBBM!AA132</f>
        <v>0.5973529412</v>
      </c>
      <c r="Q132">
        <f>PasteBBM!AB132</f>
        <v>0.3647058824</v>
      </c>
      <c r="R132">
        <f>PasteBBM!AG132</f>
        <v>2.410735294</v>
      </c>
      <c r="S132">
        <f>PasteBBM!AD132</f>
        <v>16.42338235</v>
      </c>
      <c r="T132">
        <f>PasteBBM!AF132</f>
        <v>5.091176471</v>
      </c>
    </row>
    <row r="133">
      <c r="A133" s="5">
        <v>132.0</v>
      </c>
      <c r="B133">
        <f t="array" ref="B133">INDEX(PasteHashtag!$B$2:$B1000,MATCH(C133,PasteHashtag!$C$2:$C1000,0))</f>
        <v>106.7</v>
      </c>
      <c r="C133" t="str">
        <f>PasteBBM!J133</f>
        <v>John Collins</v>
      </c>
      <c r="D133" t="str">
        <f>IFERROR(REPLACE(PasteBBM!L133, FIND("/",PasteBBM!L133),1,","),PasteBBM!L133)</f>
        <v>F,C</v>
      </c>
      <c r="E133" t="str">
        <f>PasteBBM!K133</f>
        <v>UTA</v>
      </c>
      <c r="F133">
        <f>PasteBBM!T133</f>
        <v>64</v>
      </c>
      <c r="G133">
        <f>PasteBBM!V133</f>
        <v>25</v>
      </c>
      <c r="H133">
        <f>PasteBBM!AC133*PasteBBM!AD133</f>
        <v>5.19015625</v>
      </c>
      <c r="I133">
        <f>PasteBBM!AC133</f>
        <v>0.5304874154</v>
      </c>
      <c r="J133">
        <f>PasteBBM!AE133*PasteBBM!AF133</f>
        <v>2.19453125</v>
      </c>
      <c r="K133">
        <f>PasteBBM!AE133</f>
        <v>0.8010151705</v>
      </c>
      <c r="L133">
        <f>PasteBBM!X133</f>
        <v>1.01265625</v>
      </c>
      <c r="M133">
        <f>PasteBBM!W133</f>
        <v>13.5875</v>
      </c>
      <c r="N133">
        <f>PasteBBM!Y133</f>
        <v>7.7328125</v>
      </c>
      <c r="O133">
        <f>PasteBBM!Z133</f>
        <v>1.16375</v>
      </c>
      <c r="P133">
        <f>PasteBBM!AA133</f>
        <v>0.5271875</v>
      </c>
      <c r="Q133">
        <f>PasteBBM!AB133</f>
        <v>0.78796875</v>
      </c>
      <c r="R133">
        <f>PasteBBM!AG133</f>
        <v>1.2084375</v>
      </c>
      <c r="S133">
        <f>PasteBBM!AD133</f>
        <v>9.78375</v>
      </c>
      <c r="T133">
        <f>PasteBBM!AF133</f>
        <v>2.7396875</v>
      </c>
    </row>
    <row r="134">
      <c r="A134" s="5">
        <v>133.0</v>
      </c>
      <c r="B134">
        <f t="array" ref="B134">INDEX(PasteHashtag!$B$2:$B1000,MATCH(C134,PasteHashtag!$C$2:$C1000,0))</f>
        <v>132.1</v>
      </c>
      <c r="C134" t="str">
        <f>PasteBBM!J134</f>
        <v>Norman Powell</v>
      </c>
      <c r="D134" t="str">
        <f>IFERROR(REPLACE(PasteBBM!L134, FIND("/",PasteBBM!L134),1,","),PasteBBM!L134)</f>
        <v>G,F</v>
      </c>
      <c r="E134" t="str">
        <f>PasteBBM!K134</f>
        <v>LAC</v>
      </c>
      <c r="F134">
        <f>PasteBBM!T134</f>
        <v>73</v>
      </c>
      <c r="G134">
        <f>PasteBBM!V134</f>
        <v>32</v>
      </c>
      <c r="H134">
        <f>PasteBBM!AC134*PasteBBM!AD134</f>
        <v>6.630410961</v>
      </c>
      <c r="I134">
        <f>PasteBBM!AC134</f>
        <v>0.4720350306</v>
      </c>
      <c r="J134">
        <f>PasteBBM!AE134*PasteBBM!AF134</f>
        <v>2.94369863</v>
      </c>
      <c r="K134">
        <f>PasteBBM!AE134</f>
        <v>0.8060087769</v>
      </c>
      <c r="L134">
        <f>PasteBBM!X134</f>
        <v>2.610410959</v>
      </c>
      <c r="M134">
        <f>PasteBBM!W134</f>
        <v>18.81493151</v>
      </c>
      <c r="N134">
        <f>PasteBBM!Y134</f>
        <v>3.201369863</v>
      </c>
      <c r="O134">
        <f>PasteBBM!Z134</f>
        <v>1.763972603</v>
      </c>
      <c r="P134">
        <f>PasteBBM!AA134</f>
        <v>0.7839726027</v>
      </c>
      <c r="Q134">
        <f>PasteBBM!AB134</f>
        <v>0.3269863014</v>
      </c>
      <c r="R134">
        <f>PasteBBM!AG134</f>
        <v>1.50260274</v>
      </c>
      <c r="S134">
        <f>PasteBBM!AD134</f>
        <v>14.04643836</v>
      </c>
      <c r="T134">
        <f>PasteBBM!AF134</f>
        <v>3.652191781</v>
      </c>
    </row>
    <row r="135">
      <c r="A135" s="5">
        <v>134.0</v>
      </c>
      <c r="B135">
        <f t="array" ref="B135">INDEX(PasteHashtag!$B$2:$B1000,MATCH(C135,PasteHashtag!$C$2:$C1000,0))</f>
        <v>134.2</v>
      </c>
      <c r="C135" t="str">
        <f>PasteBBM!J135</f>
        <v>P.J. Washington</v>
      </c>
      <c r="D135" t="str">
        <f>IFERROR(REPLACE(PasteBBM!L135, FIND("/",PasteBBM!L135),1,","),PasteBBM!L135)</f>
        <v>F</v>
      </c>
      <c r="E135" t="str">
        <f>PasteBBM!K135</f>
        <v>DAL</v>
      </c>
      <c r="F135">
        <f>PasteBBM!T135</f>
        <v>73</v>
      </c>
      <c r="G135">
        <f>PasteBBM!V135</f>
        <v>31</v>
      </c>
      <c r="H135">
        <f>PasteBBM!AC135*PasteBBM!AD135</f>
        <v>4.458082193</v>
      </c>
      <c r="I135">
        <f>PasteBBM!AC135</f>
        <v>0.4325703804</v>
      </c>
      <c r="J135">
        <f>PasteBBM!AE135*PasteBBM!AF135</f>
        <v>1.274383562</v>
      </c>
      <c r="K135">
        <f>PasteBBM!AE135</f>
        <v>0.6900311526</v>
      </c>
      <c r="L135">
        <f>PasteBBM!X135</f>
        <v>2.020821918</v>
      </c>
      <c r="M135">
        <f>PasteBBM!W135</f>
        <v>12.21136986</v>
      </c>
      <c r="N135">
        <f>PasteBBM!Y135</f>
        <v>6.196712329</v>
      </c>
      <c r="O135">
        <f>PasteBBM!Z135</f>
        <v>1.749452055</v>
      </c>
      <c r="P135">
        <f>PasteBBM!AA135</f>
        <v>1.040821918</v>
      </c>
      <c r="Q135">
        <f>PasteBBM!AB135</f>
        <v>0.8495890411</v>
      </c>
      <c r="R135">
        <f>PasteBBM!AG135</f>
        <v>1.04369863</v>
      </c>
      <c r="S135">
        <f>PasteBBM!AD135</f>
        <v>10.3060274</v>
      </c>
      <c r="T135">
        <f>PasteBBM!AF135</f>
        <v>1.846849315</v>
      </c>
    </row>
    <row r="136">
      <c r="A136" s="5">
        <v>135.0</v>
      </c>
      <c r="B136">
        <f t="array" ref="B136">INDEX(PasteHashtag!$B$2:$B1000,MATCH(C136,PasteHashtag!$C$2:$C1000,0))</f>
        <v>116.6</v>
      </c>
      <c r="C136" t="str">
        <f>PasteBBM!J136</f>
        <v>Brandin Podziemski</v>
      </c>
      <c r="D136" t="str">
        <f>IFERROR(REPLACE(PasteBBM!L136, FIND("/",PasteBBM!L136),1,","),PasteBBM!L136)</f>
        <v>G</v>
      </c>
      <c r="E136" t="str">
        <f>PasteBBM!K136</f>
        <v>GSW</v>
      </c>
      <c r="F136">
        <f>PasteBBM!T136</f>
        <v>73</v>
      </c>
      <c r="G136">
        <f>PasteBBM!V136</f>
        <v>30</v>
      </c>
      <c r="H136">
        <f>PasteBBM!AC136*PasteBBM!AD136</f>
        <v>4.553698631</v>
      </c>
      <c r="I136">
        <f>PasteBBM!AC136</f>
        <v>0.4582322453</v>
      </c>
      <c r="J136">
        <f>PasteBBM!AE136*PasteBBM!AF136</f>
        <v>1.073287672</v>
      </c>
      <c r="K136">
        <f>PasteBBM!AE136</f>
        <v>0.7199963242</v>
      </c>
      <c r="L136">
        <f>PasteBBM!X136</f>
        <v>1.636575342</v>
      </c>
      <c r="M136">
        <f>PasteBBM!W136</f>
        <v>11.81726027</v>
      </c>
      <c r="N136">
        <f>PasteBBM!Y136</f>
        <v>6.437534247</v>
      </c>
      <c r="O136">
        <f>PasteBBM!Z136</f>
        <v>4.312465753</v>
      </c>
      <c r="P136">
        <f>PasteBBM!AA136</f>
        <v>0.8923287671</v>
      </c>
      <c r="Q136">
        <f>PasteBBM!AB136</f>
        <v>0.2467123288</v>
      </c>
      <c r="R136">
        <f>PasteBBM!AG136</f>
        <v>1.23630137</v>
      </c>
      <c r="S136">
        <f>PasteBBM!AD136</f>
        <v>9.937534247</v>
      </c>
      <c r="T136">
        <f>PasteBBM!AF136</f>
        <v>1.490684932</v>
      </c>
    </row>
    <row r="137">
      <c r="A137" s="5">
        <v>136.0</v>
      </c>
      <c r="B137">
        <f t="array" ref="B137">INDEX(PasteHashtag!$B$2:$B1000,MATCH(C137,PasteHashtag!$C$2:$C1000,0))</f>
        <v>139.4</v>
      </c>
      <c r="C137" t="str">
        <f>PasteBBM!J137</f>
        <v>Andrew Wiggins</v>
      </c>
      <c r="D137" t="str">
        <f>IFERROR(REPLACE(PasteBBM!L137, FIND("/",PasteBBM!L137),1,","),PasteBBM!L137)</f>
        <v>F</v>
      </c>
      <c r="E137" t="str">
        <f>PasteBBM!K137</f>
        <v>GSW</v>
      </c>
      <c r="F137">
        <f>PasteBBM!T137</f>
        <v>73</v>
      </c>
      <c r="G137">
        <f>PasteBBM!V137</f>
        <v>29</v>
      </c>
      <c r="H137">
        <f>PasteBBM!AC137*PasteBBM!AD137</f>
        <v>6.086849314</v>
      </c>
      <c r="I137">
        <f>PasteBBM!AC137</f>
        <v>0.4621657323</v>
      </c>
      <c r="J137">
        <f>PasteBBM!AE137*PasteBBM!AF137</f>
        <v>2.314246575</v>
      </c>
      <c r="K137">
        <f>PasteBBM!AE137</f>
        <v>0.7759864039</v>
      </c>
      <c r="L137">
        <f>PasteBBM!X137</f>
        <v>1.830273973</v>
      </c>
      <c r="M137">
        <f>PasteBBM!W137</f>
        <v>16.31821918</v>
      </c>
      <c r="N137">
        <f>PasteBBM!Y137</f>
        <v>4.833287671</v>
      </c>
      <c r="O137">
        <f>PasteBBM!Z137</f>
        <v>2.018767123</v>
      </c>
      <c r="P137">
        <f>PasteBBM!AA137</f>
        <v>0.7994520548</v>
      </c>
      <c r="Q137">
        <f>PasteBBM!AB137</f>
        <v>0.7165753425</v>
      </c>
      <c r="R137">
        <f>PasteBBM!AG137</f>
        <v>1.329178082</v>
      </c>
      <c r="S137">
        <f>PasteBBM!AD137</f>
        <v>13.17027397</v>
      </c>
      <c r="T137">
        <f>PasteBBM!AF137</f>
        <v>2.982328767</v>
      </c>
    </row>
    <row r="138">
      <c r="A138" s="5">
        <v>137.0</v>
      </c>
      <c r="B138">
        <f t="array" ref="B138">INDEX(PasteHashtag!$B$2:$B1000,MATCH(C138,PasteHashtag!$C$2:$C1000,0))</f>
        <v>125.6</v>
      </c>
      <c r="C138" t="str">
        <f>PasteBBM!J138</f>
        <v>Trayce Jackson-Davis</v>
      </c>
      <c r="D138" t="str">
        <f>IFERROR(REPLACE(PasteBBM!L138, FIND("/",PasteBBM!L138),1,","),PasteBBM!L138)</f>
        <v>F,C</v>
      </c>
      <c r="E138" t="str">
        <f>PasteBBM!K138</f>
        <v>GSW</v>
      </c>
      <c r="F138">
        <f>PasteBBM!T138</f>
        <v>73</v>
      </c>
      <c r="G138">
        <f>PasteBBM!V138</f>
        <v>22</v>
      </c>
      <c r="H138">
        <f>PasteBBM!AC138*PasteBBM!AD138</f>
        <v>5.159726028</v>
      </c>
      <c r="I138">
        <f>PasteBBM!AC138</f>
        <v>0.7080075188</v>
      </c>
      <c r="J138">
        <f>PasteBBM!AE138*PasteBBM!AF138</f>
        <v>1.620547945</v>
      </c>
      <c r="K138">
        <f>PasteBBM!AE138</f>
        <v>0.6009957326</v>
      </c>
      <c r="L138">
        <f>PasteBBM!X138</f>
        <v>0</v>
      </c>
      <c r="M138">
        <f>PasteBBM!W138</f>
        <v>11.94</v>
      </c>
      <c r="N138">
        <f>PasteBBM!Y138</f>
        <v>6.416712329</v>
      </c>
      <c r="O138">
        <f>PasteBBM!Z138</f>
        <v>1.783150685</v>
      </c>
      <c r="P138">
        <f>PasteBBM!AA138</f>
        <v>0.6204109589</v>
      </c>
      <c r="Q138">
        <f>PasteBBM!AB138</f>
        <v>1.420821918</v>
      </c>
      <c r="R138">
        <f>PasteBBM!AG138</f>
        <v>0.9423287671</v>
      </c>
      <c r="S138">
        <f>PasteBBM!AD138</f>
        <v>7.287671233</v>
      </c>
      <c r="T138">
        <f>PasteBBM!AF138</f>
        <v>2.696438356</v>
      </c>
    </row>
    <row r="139">
      <c r="A139" s="5">
        <v>138.0</v>
      </c>
      <c r="B139">
        <f t="array" ref="B139">INDEX(PasteHashtag!$B$2:$B1000,MATCH(C139,PasteHashtag!$C$2:$C1000,0))</f>
        <v>143.4</v>
      </c>
      <c r="C139" t="str">
        <f>PasteBBM!J139</f>
        <v>T.J. McConnell</v>
      </c>
      <c r="D139" t="str">
        <f>IFERROR(REPLACE(PasteBBM!L139, FIND("/",PasteBBM!L139),1,","),PasteBBM!L139)</f>
        <v>G</v>
      </c>
      <c r="E139" t="str">
        <f>PasteBBM!K139</f>
        <v>IND</v>
      </c>
      <c r="F139">
        <f>PasteBBM!T139</f>
        <v>73</v>
      </c>
      <c r="G139">
        <f>PasteBBM!V139</f>
        <v>20</v>
      </c>
      <c r="H139">
        <f>PasteBBM!AC139*PasteBBM!AD139</f>
        <v>4.89260274</v>
      </c>
      <c r="I139">
        <f>PasteBBM!AC139</f>
        <v>0.5480603977</v>
      </c>
      <c r="J139">
        <f>PasteBBM!AE139*PasteBBM!AF139</f>
        <v>0.4338356165</v>
      </c>
      <c r="K139">
        <f>PasteBBM!AE139</f>
        <v>0.8099744246</v>
      </c>
      <c r="L139">
        <f>PasteBBM!X139</f>
        <v>0.2819178082</v>
      </c>
      <c r="M139">
        <f>PasteBBM!W139</f>
        <v>10.5009589</v>
      </c>
      <c r="N139">
        <f>PasteBBM!Y139</f>
        <v>2.961232877</v>
      </c>
      <c r="O139">
        <f>PasteBBM!Z139</f>
        <v>5.917260274</v>
      </c>
      <c r="P139">
        <f>PasteBBM!AA139</f>
        <v>1.07260274</v>
      </c>
      <c r="Q139">
        <f>PasteBBM!AB139</f>
        <v>0.1287671233</v>
      </c>
      <c r="R139">
        <f>PasteBBM!AG139</f>
        <v>1.716986301</v>
      </c>
      <c r="S139">
        <f>PasteBBM!AD139</f>
        <v>8.927123288</v>
      </c>
      <c r="T139">
        <f>PasteBBM!AF139</f>
        <v>0.5356164384</v>
      </c>
    </row>
    <row r="140">
      <c r="A140" s="5">
        <v>139.0</v>
      </c>
      <c r="B140">
        <f t="array" ref="B140">INDEX(PasteHashtag!$B$2:$B1000,MATCH(C140,PasteHashtag!$C$2:$C1000,0))</f>
        <v>144.8</v>
      </c>
      <c r="C140" t="str">
        <f>PasteBBM!J140</f>
        <v>Max Strus</v>
      </c>
      <c r="D140" t="str">
        <f>IFERROR(REPLACE(PasteBBM!L140, FIND("/",PasteBBM!L140),1,","),PasteBBM!L140)</f>
        <v>G,F</v>
      </c>
      <c r="E140" t="str">
        <f>PasteBBM!K140</f>
        <v>CLE</v>
      </c>
      <c r="F140">
        <f>PasteBBM!T140</f>
        <v>49</v>
      </c>
      <c r="G140">
        <f>PasteBBM!V140</f>
        <v>30</v>
      </c>
      <c r="H140">
        <f>PasteBBM!AC140*PasteBBM!AD140</f>
        <v>4.104693878</v>
      </c>
      <c r="I140">
        <f>PasteBBM!AC140</f>
        <v>0.4321658788</v>
      </c>
      <c r="J140">
        <f>PasteBBM!AE140*PasteBBM!AF140</f>
        <v>1.080612245</v>
      </c>
      <c r="K140">
        <f>PasteBBM!AE140</f>
        <v>0.819025522</v>
      </c>
      <c r="L140">
        <f>PasteBBM!X140</f>
        <v>2.281836735</v>
      </c>
      <c r="M140">
        <f>PasteBBM!W140</f>
        <v>11.57183673</v>
      </c>
      <c r="N140">
        <f>PasteBBM!Y140</f>
        <v>4.653673469</v>
      </c>
      <c r="O140">
        <f>PasteBBM!Z140</f>
        <v>4.27122449</v>
      </c>
      <c r="P140">
        <f>PasteBBM!AA140</f>
        <v>0.7651020408</v>
      </c>
      <c r="Q140">
        <f>PasteBBM!AB140</f>
        <v>0.3197959184</v>
      </c>
      <c r="R140">
        <f>PasteBBM!AG140</f>
        <v>1.65755102</v>
      </c>
      <c r="S140">
        <f>PasteBBM!AD140</f>
        <v>9.497959184</v>
      </c>
      <c r="T140">
        <f>PasteBBM!AF140</f>
        <v>1.319387755</v>
      </c>
    </row>
    <row r="141">
      <c r="A141" s="5">
        <v>140.0</v>
      </c>
      <c r="B141">
        <f t="array" ref="B141">INDEX(PasteHashtag!$B$2:$B1000,MATCH(C141,PasteHashtag!$C$2:$C1000,0))</f>
        <v>140.6</v>
      </c>
      <c r="C141" t="str">
        <f>PasteBBM!J141</f>
        <v>Shaedon Sharpe</v>
      </c>
      <c r="D141" t="str">
        <f>IFERROR(REPLACE(PasteBBM!L141, FIND("/",PasteBBM!L141),1,","),PasteBBM!L141)</f>
        <v>G,F</v>
      </c>
      <c r="E141" t="str">
        <f>PasteBBM!K141</f>
        <v>POR</v>
      </c>
      <c r="F141">
        <f>PasteBBM!T141</f>
        <v>60</v>
      </c>
      <c r="G141">
        <f>PasteBBM!V141</f>
        <v>33</v>
      </c>
      <c r="H141">
        <f>PasteBBM!AC141*PasteBBM!AD141</f>
        <v>5.618666666</v>
      </c>
      <c r="I141">
        <f>PasteBBM!AC141</f>
        <v>0.4255115049</v>
      </c>
      <c r="J141">
        <f>PasteBBM!AE141*PasteBBM!AF141</f>
        <v>3.031666667</v>
      </c>
      <c r="K141">
        <f>PasteBBM!AE141</f>
        <v>0.8199972952</v>
      </c>
      <c r="L141">
        <f>PasteBBM!X141</f>
        <v>1.953166667</v>
      </c>
      <c r="M141">
        <f>PasteBBM!W141</f>
        <v>16.22216667</v>
      </c>
      <c r="N141">
        <f>PasteBBM!Y141</f>
        <v>4.764333333</v>
      </c>
      <c r="O141">
        <f>PasteBBM!Z141</f>
        <v>2.926666667</v>
      </c>
      <c r="P141">
        <f>PasteBBM!AA141</f>
        <v>0.8256666667</v>
      </c>
      <c r="Q141">
        <f>PasteBBM!AB141</f>
        <v>0.4053333333</v>
      </c>
      <c r="R141">
        <f>PasteBBM!AG141</f>
        <v>1.905666667</v>
      </c>
      <c r="S141">
        <f>PasteBBM!AD141</f>
        <v>13.2045</v>
      </c>
      <c r="T141">
        <f>PasteBBM!AF141</f>
        <v>3.697166667</v>
      </c>
    </row>
    <row r="142">
      <c r="A142" s="5">
        <v>141.0</v>
      </c>
      <c r="B142">
        <f t="array" ref="B142">INDEX(PasteHashtag!$B$2:$B1000,MATCH(C142,PasteHashtag!$C$2:$C1000,0))</f>
        <v>139.1</v>
      </c>
      <c r="C142" t="str">
        <f>PasteBBM!J142</f>
        <v>Andre Drummond</v>
      </c>
      <c r="D142" t="str">
        <f>IFERROR(REPLACE(PasteBBM!L142, FIND("/",PasteBBM!L142),1,","),PasteBBM!L142)</f>
        <v>C</v>
      </c>
      <c r="E142" t="str">
        <f>PasteBBM!K142</f>
        <v>PHI</v>
      </c>
      <c r="F142">
        <f>PasteBBM!T142</f>
        <v>73</v>
      </c>
      <c r="G142">
        <f>PasteBBM!V142</f>
        <v>21</v>
      </c>
      <c r="H142">
        <f>PasteBBM!AC142*PasteBBM!AD142</f>
        <v>3.568493151</v>
      </c>
      <c r="I142">
        <f>PasteBBM!AC142</f>
        <v>0.5779897937</v>
      </c>
      <c r="J142">
        <f>PasteBBM!AE142*PasteBBM!AF142</f>
        <v>1.458082192</v>
      </c>
      <c r="K142">
        <f>PasteBBM!AE142</f>
        <v>0.5760051951</v>
      </c>
      <c r="L142">
        <f>PasteBBM!X142</f>
        <v>0</v>
      </c>
      <c r="M142">
        <f>PasteBBM!W142</f>
        <v>8.595068493</v>
      </c>
      <c r="N142">
        <f>PasteBBM!Y142</f>
        <v>11.06178082</v>
      </c>
      <c r="O142">
        <f>PasteBBM!Z142</f>
        <v>1.029041096</v>
      </c>
      <c r="P142">
        <f>PasteBBM!AA142</f>
        <v>1.098219178</v>
      </c>
      <c r="Q142">
        <f>PasteBBM!AB142</f>
        <v>0.9004109589</v>
      </c>
      <c r="R142">
        <f>PasteBBM!AG142</f>
        <v>1.543561644</v>
      </c>
      <c r="S142">
        <f>PasteBBM!AD142</f>
        <v>6.173972603</v>
      </c>
      <c r="T142">
        <f>PasteBBM!AF142</f>
        <v>2.531369863</v>
      </c>
    </row>
    <row r="143">
      <c r="A143" s="5">
        <v>142.0</v>
      </c>
      <c r="B143">
        <f t="array" ref="B143">INDEX(PasteHashtag!$B$2:$B1000,MATCH(C143,PasteHashtag!$C$2:$C1000,0))</f>
        <v>132.1</v>
      </c>
      <c r="C143" t="str">
        <f>PasteBBM!J143</f>
        <v>Jaden Ivey</v>
      </c>
      <c r="D143" t="str">
        <f>IFERROR(REPLACE(PasteBBM!L143, FIND("/",PasteBBM!L143),1,","),PasteBBM!L143)</f>
        <v>G</v>
      </c>
      <c r="E143" t="str">
        <f>PasteBBM!K143</f>
        <v>DET</v>
      </c>
      <c r="F143">
        <f>PasteBBM!T143</f>
        <v>73</v>
      </c>
      <c r="G143">
        <f>PasteBBM!V143</f>
        <v>32</v>
      </c>
      <c r="H143">
        <f>PasteBBM!AC143*PasteBBM!AD143</f>
        <v>6.388630135</v>
      </c>
      <c r="I143">
        <f>PasteBBM!AC143</f>
        <v>0.4420107856</v>
      </c>
      <c r="J143">
        <f>PasteBBM!AE143*PasteBBM!AF143</f>
        <v>2.989452055</v>
      </c>
      <c r="K143">
        <f>PasteBBM!AE143</f>
        <v>0.7660149531</v>
      </c>
      <c r="L143">
        <f>PasteBBM!X143</f>
        <v>2.133424658</v>
      </c>
      <c r="M143">
        <f>PasteBBM!W143</f>
        <v>17.90013699</v>
      </c>
      <c r="N143">
        <f>PasteBBM!Y143</f>
        <v>3.366027397</v>
      </c>
      <c r="O143">
        <f>PasteBBM!Z143</f>
        <v>4.62</v>
      </c>
      <c r="P143">
        <f>PasteBBM!AA143</f>
        <v>0.708630137</v>
      </c>
      <c r="Q143">
        <f>PasteBBM!AB143</f>
        <v>0.4694520548</v>
      </c>
      <c r="R143">
        <f>PasteBBM!AG143</f>
        <v>2.442054795</v>
      </c>
      <c r="S143">
        <f>PasteBBM!AD143</f>
        <v>14.45356164</v>
      </c>
      <c r="T143">
        <f>PasteBBM!AF143</f>
        <v>3.90260274</v>
      </c>
    </row>
    <row r="144">
      <c r="A144" s="5">
        <v>143.0</v>
      </c>
      <c r="B144">
        <f t="array" ref="B144">INDEX(PasteHashtag!$B$2:$B1000,MATCH(C144,PasteHashtag!$C$2:$C1000,0))</f>
        <v>143.9</v>
      </c>
      <c r="C144" t="str">
        <f>PasteBBM!J144</f>
        <v>Gary Trent Jr.</v>
      </c>
      <c r="D144" t="str">
        <f>IFERROR(REPLACE(PasteBBM!L144, FIND("/",PasteBBM!L144),1,","),PasteBBM!L144)</f>
        <v>G</v>
      </c>
      <c r="E144" t="str">
        <f>PasteBBM!K144</f>
        <v>MIL</v>
      </c>
      <c r="F144">
        <f>PasteBBM!T144</f>
        <v>73</v>
      </c>
      <c r="G144">
        <f>PasteBBM!V144</f>
        <v>32</v>
      </c>
      <c r="H144">
        <f>PasteBBM!AC144*PasteBBM!AD144</f>
        <v>5.401780821</v>
      </c>
      <c r="I144">
        <f>PasteBBM!AC144</f>
        <v>0.4240654708</v>
      </c>
      <c r="J144">
        <f>PasteBBM!AE144*PasteBBM!AF144</f>
        <v>1.329178082</v>
      </c>
      <c r="K144">
        <f>PasteBBM!AE144</f>
        <v>0.853010989</v>
      </c>
      <c r="L144">
        <f>PasteBBM!X144</f>
        <v>2.742054795</v>
      </c>
      <c r="M144">
        <f>PasteBBM!W144</f>
        <v>14.87479452</v>
      </c>
      <c r="N144">
        <f>PasteBBM!Y144</f>
        <v>2.706027397</v>
      </c>
      <c r="O144">
        <f>PasteBBM!Z144</f>
        <v>1.583972603</v>
      </c>
      <c r="P144">
        <f>PasteBBM!AA144</f>
        <v>1.187945205</v>
      </c>
      <c r="Q144">
        <f>PasteBBM!AB144</f>
        <v>0.1964383562</v>
      </c>
      <c r="R144">
        <f>PasteBBM!AG144</f>
        <v>0.7210958904</v>
      </c>
      <c r="S144">
        <f>PasteBBM!AD144</f>
        <v>12.73808219</v>
      </c>
      <c r="T144">
        <f>PasteBBM!AF144</f>
        <v>1.558219178</v>
      </c>
    </row>
    <row r="145">
      <c r="A145" s="5">
        <v>144.0</v>
      </c>
      <c r="B145">
        <f t="array" ref="B145">INDEX(PasteHashtag!$B$2:$B1000,MATCH(C145,PasteHashtag!$C$2:$C1000,0))</f>
        <v>116.1</v>
      </c>
      <c r="C145" t="str">
        <f>PasteBBM!J145</f>
        <v>Tyus Jones</v>
      </c>
      <c r="D145" t="str">
        <f>IFERROR(REPLACE(PasteBBM!L145, FIND("/",PasteBBM!L145),1,","),PasteBBM!L145)</f>
        <v>G</v>
      </c>
      <c r="E145" t="str">
        <f>PasteBBM!K145</f>
        <v>PHO</v>
      </c>
      <c r="F145">
        <f>PasteBBM!T145</f>
        <v>73</v>
      </c>
      <c r="G145">
        <f>PasteBBM!V145</f>
        <v>27</v>
      </c>
      <c r="H145">
        <f>PasteBBM!AC145*PasteBBM!AD145</f>
        <v>3.711780822</v>
      </c>
      <c r="I145">
        <f>PasteBBM!AC145</f>
        <v>0.442868117</v>
      </c>
      <c r="J145">
        <f>PasteBBM!AE145*PasteBBM!AF145</f>
        <v>0.4008219178</v>
      </c>
      <c r="K145">
        <f>PasteBBM!AE145</f>
        <v>0.8239932413</v>
      </c>
      <c r="L145">
        <f>PasteBBM!X145</f>
        <v>1.654246575</v>
      </c>
      <c r="M145">
        <f>PasteBBM!W145</f>
        <v>9.478630137</v>
      </c>
      <c r="N145">
        <f>PasteBBM!Y145</f>
        <v>2.30630137</v>
      </c>
      <c r="O145">
        <f>PasteBBM!Z145</f>
        <v>5.625068493</v>
      </c>
      <c r="P145">
        <f>PasteBBM!AA145</f>
        <v>1.125068493</v>
      </c>
      <c r="Q145">
        <f>PasteBBM!AB145</f>
        <v>0.2280821918</v>
      </c>
      <c r="R145">
        <f>PasteBBM!AG145</f>
        <v>0.9</v>
      </c>
      <c r="S145">
        <f>PasteBBM!AD145</f>
        <v>8.381232877</v>
      </c>
      <c r="T145">
        <f>PasteBBM!AF145</f>
        <v>0.4864383562</v>
      </c>
    </row>
    <row r="146">
      <c r="A146" s="5">
        <v>145.0</v>
      </c>
      <c r="B146">
        <f t="array" ref="B146">INDEX(PasteHashtag!$B$2:$B1000,MATCH(C146,PasteHashtag!$C$2:$C1000,0))</f>
        <v>139.1</v>
      </c>
      <c r="C146" t="str">
        <f>PasteBBM!J146</f>
        <v>Ayo Dosunmu</v>
      </c>
      <c r="D146" t="str">
        <f>IFERROR(REPLACE(PasteBBM!L146, FIND("/",PasteBBM!L146),1,","),PasteBBM!L146)</f>
        <v>G</v>
      </c>
      <c r="E146" t="str">
        <f>PasteBBM!K146</f>
        <v>CHI</v>
      </c>
      <c r="F146">
        <f>PasteBBM!T146</f>
        <v>73</v>
      </c>
      <c r="G146">
        <f>PasteBBM!V146</f>
        <v>30</v>
      </c>
      <c r="H146">
        <f>PasteBBM!AC146*PasteBBM!AD146</f>
        <v>4.82479452</v>
      </c>
      <c r="I146">
        <f>PasteBBM!AC146</f>
        <v>0.4892553029</v>
      </c>
      <c r="J146">
        <f>PasteBBM!AE146*PasteBBM!AF146</f>
        <v>1.391506849</v>
      </c>
      <c r="K146">
        <f>PasteBBM!AE146</f>
        <v>0.8300375878</v>
      </c>
      <c r="L146">
        <f>PasteBBM!X146</f>
        <v>1.560136986</v>
      </c>
      <c r="M146">
        <f>PasteBBM!W146</f>
        <v>12.60123288</v>
      </c>
      <c r="N146">
        <f>PasteBBM!Y146</f>
        <v>2.817534247</v>
      </c>
      <c r="O146">
        <f>PasteBBM!Z146</f>
        <v>3.341369863</v>
      </c>
      <c r="P146">
        <f>PasteBBM!AA146</f>
        <v>0.8887671233</v>
      </c>
      <c r="Q146">
        <f>PasteBBM!AB146</f>
        <v>0.438630137</v>
      </c>
      <c r="R146">
        <f>PasteBBM!AG146</f>
        <v>1.498630137</v>
      </c>
      <c r="S146">
        <f>PasteBBM!AD146</f>
        <v>9.861506849</v>
      </c>
      <c r="T146">
        <f>PasteBBM!AF146</f>
        <v>1.676438356</v>
      </c>
    </row>
    <row r="147">
      <c r="A147" s="5">
        <v>146.0</v>
      </c>
      <c r="B147">
        <f t="array" ref="B147">INDEX(PasteHashtag!$B$2:$B1000,MATCH(C147,PasteHashtag!$C$2:$C1000,0))</f>
        <v>140.4</v>
      </c>
      <c r="C147" t="str">
        <f>PasteBBM!J147</f>
        <v>Kentavious Caldwell-Pope</v>
      </c>
      <c r="D147" t="str">
        <f>IFERROR(REPLACE(PasteBBM!L147, FIND("/",PasteBBM!L147),1,","),PasteBBM!L147)</f>
        <v>G,F</v>
      </c>
      <c r="E147" t="str">
        <f>PasteBBM!K147</f>
        <v>ORL</v>
      </c>
      <c r="F147">
        <f>PasteBBM!T147</f>
        <v>73</v>
      </c>
      <c r="G147">
        <f>PasteBBM!V147</f>
        <v>31</v>
      </c>
      <c r="H147">
        <f>PasteBBM!AC147*PasteBBM!AD147</f>
        <v>3.378630137</v>
      </c>
      <c r="I147">
        <f>PasteBBM!AC147</f>
        <v>0.4456973508</v>
      </c>
      <c r="J147">
        <f>PasteBBM!AE147*PasteBBM!AF147</f>
        <v>0.9275342468</v>
      </c>
      <c r="K147">
        <f>PasteBBM!AE147</f>
        <v>0.874015748</v>
      </c>
      <c r="L147">
        <f>PasteBBM!X147</f>
        <v>1.793424658</v>
      </c>
      <c r="M147">
        <f>PasteBBM!W147</f>
        <v>9.478219178</v>
      </c>
      <c r="N147">
        <f>PasteBBM!Y147</f>
        <v>2.819041096</v>
      </c>
      <c r="O147">
        <f>PasteBBM!Z147</f>
        <v>2.31739726</v>
      </c>
      <c r="P147">
        <f>PasteBBM!AA147</f>
        <v>1.252739726</v>
      </c>
      <c r="Q147">
        <f>PasteBBM!AB147</f>
        <v>0.4384931507</v>
      </c>
      <c r="R147">
        <f>PasteBBM!AG147</f>
        <v>0.9397260274</v>
      </c>
      <c r="S147">
        <f>PasteBBM!AD147</f>
        <v>7.580547945</v>
      </c>
      <c r="T147">
        <f>PasteBBM!AF147</f>
        <v>1.061232877</v>
      </c>
    </row>
    <row r="148">
      <c r="A148" s="5">
        <v>147.0</v>
      </c>
      <c r="B148">
        <f t="array" ref="B148">INDEX(PasteHashtag!$B$2:$B1000,MATCH(C148,PasteHashtag!$C$2:$C1000,0))</f>
        <v>123.8</v>
      </c>
      <c r="C148" t="str">
        <f>PasteBBM!J148</f>
        <v>Deni Avdija</v>
      </c>
      <c r="D148" t="str">
        <f>IFERROR(REPLACE(PasteBBM!L148, FIND("/",PasteBBM!L148),1,","),PasteBBM!L148)</f>
        <v>F</v>
      </c>
      <c r="E148" t="str">
        <f>PasteBBM!K148</f>
        <v>POR</v>
      </c>
      <c r="F148">
        <f>PasteBBM!T148</f>
        <v>67</v>
      </c>
      <c r="G148">
        <f>PasteBBM!V148</f>
        <v>31</v>
      </c>
      <c r="H148">
        <f>PasteBBM!AC148*PasteBBM!AD148</f>
        <v>4.605373134</v>
      </c>
      <c r="I148">
        <f>PasteBBM!AC148</f>
        <v>0.4801892371</v>
      </c>
      <c r="J148">
        <f>PasteBBM!AE148*PasteBBM!AF148</f>
        <v>2.420746269</v>
      </c>
      <c r="K148">
        <f>PasteBBM!AE148</f>
        <v>0.7359894723</v>
      </c>
      <c r="L148">
        <f>PasteBBM!X148</f>
        <v>1.275522388</v>
      </c>
      <c r="M148">
        <f>PasteBBM!W148</f>
        <v>12.90701493</v>
      </c>
      <c r="N148">
        <f>PasteBBM!Y148</f>
        <v>6.393731343</v>
      </c>
      <c r="O148">
        <f>PasteBBM!Z148</f>
        <v>3.196865672</v>
      </c>
      <c r="P148">
        <f>PasteBBM!AA148</f>
        <v>0.8311940299</v>
      </c>
      <c r="Q148">
        <f>PasteBBM!AB148</f>
        <v>0.4514925373</v>
      </c>
      <c r="R148">
        <f>PasteBBM!AG148</f>
        <v>1.918059701</v>
      </c>
      <c r="S148">
        <f>PasteBBM!AD148</f>
        <v>9.590746269</v>
      </c>
      <c r="T148">
        <f>PasteBBM!AF148</f>
        <v>3.289104478</v>
      </c>
    </row>
    <row r="149">
      <c r="A149" s="5">
        <v>148.0</v>
      </c>
      <c r="B149">
        <f t="array" ref="B149">INDEX(PasteHashtag!$B$2:$B1000,MATCH(C149,PasteHashtag!$C$2:$C1000,0))</f>
        <v>139.5</v>
      </c>
      <c r="C149" t="str">
        <f>PasteBBM!J149</f>
        <v>Luguentz Dort</v>
      </c>
      <c r="D149" t="str">
        <f>IFERROR(REPLACE(PasteBBM!L149, FIND("/",PasteBBM!L149),1,","),PasteBBM!L149)</f>
        <v>G,F</v>
      </c>
      <c r="E149" t="str">
        <f>PasteBBM!K149</f>
        <v>OKC</v>
      </c>
      <c r="F149">
        <f>PasteBBM!T149</f>
        <v>73</v>
      </c>
      <c r="G149">
        <f>PasteBBM!V149</f>
        <v>30</v>
      </c>
      <c r="H149">
        <f>PasteBBM!AC149*PasteBBM!AD149</f>
        <v>4.471232876</v>
      </c>
      <c r="I149">
        <f>PasteBBM!AC149</f>
        <v>0.4070840609</v>
      </c>
      <c r="J149">
        <f>PasteBBM!AE149*PasteBBM!AF149</f>
        <v>2.431780822</v>
      </c>
      <c r="K149">
        <f>PasteBBM!AE149</f>
        <v>0.8199916855</v>
      </c>
      <c r="L149">
        <f>PasteBBM!X149</f>
        <v>2.385205479</v>
      </c>
      <c r="M149">
        <f>PasteBBM!W149</f>
        <v>13.75945205</v>
      </c>
      <c r="N149">
        <f>PasteBBM!Y149</f>
        <v>3.724383562</v>
      </c>
      <c r="O149">
        <f>PasteBBM!Z149</f>
        <v>1.830684932</v>
      </c>
      <c r="P149">
        <f>PasteBBM!AA149</f>
        <v>1.013561644</v>
      </c>
      <c r="Q149">
        <f>PasteBBM!AB149</f>
        <v>0.5038356164</v>
      </c>
      <c r="R149">
        <f>PasteBBM!AG149</f>
        <v>1.262465753</v>
      </c>
      <c r="S149">
        <f>PasteBBM!AD149</f>
        <v>10.98356164</v>
      </c>
      <c r="T149">
        <f>PasteBBM!AF149</f>
        <v>2.965616438</v>
      </c>
    </row>
    <row r="150">
      <c r="A150" s="5">
        <v>149.0</v>
      </c>
      <c r="B150">
        <f t="array" ref="B150">INDEX(PasteHashtag!$B$2:$B1000,MATCH(C150,PasteHashtag!$C$2:$C1000,0))</f>
        <v>146.7</v>
      </c>
      <c r="C150" t="str">
        <f>PasteBBM!J150</f>
        <v>Vince Williams Jr.</v>
      </c>
      <c r="D150" t="str">
        <f>IFERROR(REPLACE(PasteBBM!L150, FIND("/",PasteBBM!L150),1,","),PasteBBM!L150)</f>
        <v>G,F</v>
      </c>
      <c r="E150" t="str">
        <f>PasteBBM!K150</f>
        <v>MEM</v>
      </c>
      <c r="F150">
        <f>PasteBBM!T150</f>
        <v>56</v>
      </c>
      <c r="G150">
        <f>PasteBBM!V150</f>
        <v>27</v>
      </c>
      <c r="H150">
        <f>PasteBBM!AC150*PasteBBM!AD150</f>
        <v>3.131071429</v>
      </c>
      <c r="I150">
        <f>PasteBBM!AC150</f>
        <v>0.4638133531</v>
      </c>
      <c r="J150">
        <f>PasteBBM!AE150*PasteBBM!AF150</f>
        <v>1.341607143</v>
      </c>
      <c r="K150">
        <f>PasteBBM!AE150</f>
        <v>0.795026455</v>
      </c>
      <c r="L150">
        <f>PasteBBM!X150</f>
        <v>1.300892857</v>
      </c>
      <c r="M150">
        <f>PasteBBM!W150</f>
        <v>8.904642857</v>
      </c>
      <c r="N150">
        <f>PasteBBM!Y150</f>
        <v>5.0625</v>
      </c>
      <c r="O150">
        <f>PasteBBM!Z150</f>
        <v>2.75625</v>
      </c>
      <c r="P150">
        <f>PasteBBM!AA150</f>
        <v>0.9403571429</v>
      </c>
      <c r="Q150">
        <f>PasteBBM!AB150</f>
        <v>0.6255357143</v>
      </c>
      <c r="R150">
        <f>PasteBBM!AG150</f>
        <v>1.40625</v>
      </c>
      <c r="S150">
        <f>PasteBBM!AD150</f>
        <v>6.750714286</v>
      </c>
      <c r="T150">
        <f>PasteBBM!AF150</f>
        <v>1.6875</v>
      </c>
    </row>
    <row r="151">
      <c r="A151" s="5">
        <v>150.0</v>
      </c>
      <c r="B151">
        <f t="array" ref="B151">INDEX(PasteHashtag!$B$2:$B1000,MATCH(C151,PasteHashtag!$C$2:$C1000,0))</f>
        <v>139.1</v>
      </c>
      <c r="C151" t="str">
        <f>PasteBBM!J151</f>
        <v>Russell Westbrook</v>
      </c>
      <c r="D151" t="str">
        <f>IFERROR(REPLACE(PasteBBM!L151, FIND("/",PasteBBM!L151),1,","),PasteBBM!L151)</f>
        <v>G</v>
      </c>
      <c r="E151" t="str">
        <f>PasteBBM!K151</f>
        <v>DEN</v>
      </c>
      <c r="F151">
        <f>PasteBBM!T151</f>
        <v>73</v>
      </c>
      <c r="G151">
        <f>PasteBBM!V151</f>
        <v>26</v>
      </c>
      <c r="H151">
        <f>PasteBBM!AC151*PasteBBM!AD151</f>
        <v>5.02369863</v>
      </c>
      <c r="I151">
        <f>PasteBBM!AC151</f>
        <v>0.4572066175</v>
      </c>
      <c r="J151">
        <f>PasteBBM!AE151*PasteBBM!AF151</f>
        <v>1.909315069</v>
      </c>
      <c r="K151">
        <f>PasteBBM!AE151</f>
        <v>0.6950234367</v>
      </c>
      <c r="L151">
        <f>PasteBBM!X151</f>
        <v>0.7453424658</v>
      </c>
      <c r="M151">
        <f>PasteBBM!W151</f>
        <v>12.70205479</v>
      </c>
      <c r="N151">
        <f>PasteBBM!Y151</f>
        <v>5.361369863</v>
      </c>
      <c r="O151">
        <f>PasteBBM!Z151</f>
        <v>5.042876712</v>
      </c>
      <c r="P151">
        <f>PasteBBM!AA151</f>
        <v>1.061643836</v>
      </c>
      <c r="Q151">
        <f>PasteBBM!AB151</f>
        <v>0.4180821918</v>
      </c>
      <c r="R151">
        <f>PasteBBM!AG151</f>
        <v>2.462054795</v>
      </c>
      <c r="S151">
        <f>PasteBBM!AD151</f>
        <v>10.98780822</v>
      </c>
      <c r="T151">
        <f>PasteBBM!AF151</f>
        <v>2.747123288</v>
      </c>
    </row>
    <row r="152">
      <c r="A152" s="5">
        <v>151.0</v>
      </c>
      <c r="B152" t="str">
        <f t="array" ref="B152">INDEX(PasteHashtag!$B$2:$B1000,MATCH(C152,PasteHashtag!$C$2:$C1000,0))</f>
        <v/>
      </c>
      <c r="C152" t="str">
        <f>PasteBBM!J152</f>
        <v>Caleb Martin</v>
      </c>
      <c r="D152" t="str">
        <f>IFERROR(REPLACE(PasteBBM!L152, FIND("/",PasteBBM!L152),1,","),PasteBBM!L152)</f>
        <v>F</v>
      </c>
      <c r="E152" t="str">
        <f>PasteBBM!K152</f>
        <v>PHI</v>
      </c>
      <c r="F152">
        <f>PasteBBM!T152</f>
        <v>68</v>
      </c>
      <c r="G152">
        <f>PasteBBM!V152</f>
        <v>32</v>
      </c>
      <c r="H152">
        <f>PasteBBM!AC152*PasteBBM!AD152</f>
        <v>3.710882353</v>
      </c>
      <c r="I152">
        <f>PasteBBM!AC152</f>
        <v>0.4403147848</v>
      </c>
      <c r="J152">
        <f>PasteBBM!AE152*PasteBBM!AF152</f>
        <v>0.9522058822</v>
      </c>
      <c r="K152">
        <f>PasteBBM!AE152</f>
        <v>0.8070547177</v>
      </c>
      <c r="L152">
        <f>PasteBBM!X152</f>
        <v>1.432058824</v>
      </c>
      <c r="M152">
        <f>PasteBBM!W152</f>
        <v>9.806029412</v>
      </c>
      <c r="N152">
        <f>PasteBBM!Y152</f>
        <v>4.965294118</v>
      </c>
      <c r="O152">
        <f>PasteBBM!Z152</f>
        <v>2.156029412</v>
      </c>
      <c r="P152">
        <f>PasteBBM!AA152</f>
        <v>1.045294118</v>
      </c>
      <c r="Q152">
        <f>PasteBBM!AB152</f>
        <v>0.5780882353</v>
      </c>
      <c r="R152">
        <f>PasteBBM!AG152</f>
        <v>1.176029412</v>
      </c>
      <c r="S152">
        <f>PasteBBM!AD152</f>
        <v>8.427794118</v>
      </c>
      <c r="T152">
        <f>PasteBBM!AF152</f>
        <v>1.179852941</v>
      </c>
    </row>
    <row r="153">
      <c r="A153" s="5">
        <v>152.0</v>
      </c>
      <c r="B153">
        <f t="array" ref="B153">INDEX(PasteHashtag!$B$2:$B1000,MATCH(C153,PasteHashtag!$C$2:$C1000,0))</f>
        <v>142.1</v>
      </c>
      <c r="C153" t="str">
        <f>PasteBBM!J153</f>
        <v>Wendell Carter Jr.</v>
      </c>
      <c r="D153" t="str">
        <f>IFERROR(REPLACE(PasteBBM!L153, FIND("/",PasteBBM!L153),1,","),PasteBBM!L153)</f>
        <v>C</v>
      </c>
      <c r="E153" t="str">
        <f>PasteBBM!K153</f>
        <v>ORL</v>
      </c>
      <c r="F153">
        <f>PasteBBM!T153</f>
        <v>68</v>
      </c>
      <c r="G153">
        <f>PasteBBM!V153</f>
        <v>26</v>
      </c>
      <c r="H153">
        <f>PasteBBM!AC153*PasteBBM!AD153</f>
        <v>4.268088235</v>
      </c>
      <c r="I153">
        <f>PasteBBM!AC153</f>
        <v>0.5240795247</v>
      </c>
      <c r="J153">
        <f>PasteBBM!AE153*PasteBBM!AF153</f>
        <v>1.818382353</v>
      </c>
      <c r="K153">
        <f>PasteBBM!AE153</f>
        <v>0.7099793294</v>
      </c>
      <c r="L153">
        <f>PasteBBM!X153</f>
        <v>1.245</v>
      </c>
      <c r="M153">
        <f>PasteBBM!W153</f>
        <v>11.59955882</v>
      </c>
      <c r="N153">
        <f>PasteBBM!Y153</f>
        <v>7.828676471</v>
      </c>
      <c r="O153">
        <f>PasteBBM!Z153</f>
        <v>2.101617647</v>
      </c>
      <c r="P153">
        <f>PasteBBM!AA153</f>
        <v>0.6360294118</v>
      </c>
      <c r="Q153">
        <f>PasteBBM!AB153</f>
        <v>0.4702941176</v>
      </c>
      <c r="R153">
        <f>PasteBBM!AG153</f>
        <v>1.255</v>
      </c>
      <c r="S153">
        <f>PasteBBM!AD153</f>
        <v>8.143970588</v>
      </c>
      <c r="T153">
        <f>PasteBBM!AF153</f>
        <v>2.561176471</v>
      </c>
    </row>
    <row r="154">
      <c r="A154" s="5">
        <v>153.0</v>
      </c>
      <c r="B154">
        <f t="array" ref="B154">INDEX(PasteHashtag!$B$2:$B1000,MATCH(C154,PasteHashtag!$C$2:$C1000,0))</f>
        <v>138.1</v>
      </c>
      <c r="C154" t="str">
        <f>PasteBBM!J154</f>
        <v>Ausar Thompson</v>
      </c>
      <c r="D154" t="str">
        <f>IFERROR(REPLACE(PasteBBM!L154, FIND("/",PasteBBM!L154),1,","),PasteBBM!L154)</f>
        <v>F</v>
      </c>
      <c r="E154" t="str">
        <f>PasteBBM!K154</f>
        <v>DET</v>
      </c>
      <c r="F154">
        <f>PasteBBM!T154</f>
        <v>58</v>
      </c>
      <c r="G154">
        <f>PasteBBM!V154</f>
        <v>27</v>
      </c>
      <c r="H154">
        <f>PasteBBM!AC154*PasteBBM!AD154</f>
        <v>3.888103448</v>
      </c>
      <c r="I154">
        <f>PasteBBM!AC154</f>
        <v>0.5096156019</v>
      </c>
      <c r="J154">
        <f>PasteBBM!AE154*PasteBBM!AF154</f>
        <v>1.077068965</v>
      </c>
      <c r="K154">
        <f>PasteBBM!AE154</f>
        <v>0.5679607237</v>
      </c>
      <c r="L154">
        <f>PasteBBM!X154</f>
        <v>0.5210344828</v>
      </c>
      <c r="M154">
        <f>PasteBBM!W154</f>
        <v>9.374310345</v>
      </c>
      <c r="N154">
        <f>PasteBBM!Y154</f>
        <v>5.568793103</v>
      </c>
      <c r="O154">
        <f>PasteBBM!Z154</f>
        <v>2.060517241</v>
      </c>
      <c r="P154">
        <f>PasteBBM!AA154</f>
        <v>1.336551724</v>
      </c>
      <c r="Q154">
        <f>PasteBBM!AB154</f>
        <v>0.8910344828</v>
      </c>
      <c r="R154">
        <f>PasteBBM!AG154</f>
        <v>1.283275862</v>
      </c>
      <c r="S154">
        <f>PasteBBM!AD154</f>
        <v>7.629482759</v>
      </c>
      <c r="T154">
        <f>PasteBBM!AF154</f>
        <v>1.89637931</v>
      </c>
    </row>
    <row r="155">
      <c r="A155" s="5">
        <v>154.0</v>
      </c>
      <c r="B155">
        <f t="array" ref="B155">INDEX(PasteHashtag!$B$2:$B1000,MATCH(C155,PasteHashtag!$C$2:$C1000,0))</f>
        <v>142.5</v>
      </c>
      <c r="C155" t="str">
        <f>PasteBBM!J155</f>
        <v>Kelly Oubre Jr.</v>
      </c>
      <c r="D155" t="str">
        <f>IFERROR(REPLACE(PasteBBM!L155, FIND("/",PasteBBM!L155),1,","),PasteBBM!L155)</f>
        <v>G,F</v>
      </c>
      <c r="E155" t="str">
        <f>PasteBBM!K155</f>
        <v>PHI</v>
      </c>
      <c r="F155">
        <f>PasteBBM!T155</f>
        <v>73</v>
      </c>
      <c r="G155">
        <f>PasteBBM!V155</f>
        <v>32</v>
      </c>
      <c r="H155">
        <f>PasteBBM!AC155*PasteBBM!AD155</f>
        <v>5.475616437</v>
      </c>
      <c r="I155">
        <f>PasteBBM!AC155</f>
        <v>0.4298018301</v>
      </c>
      <c r="J155">
        <f>PasteBBM!AE155*PasteBBM!AF155</f>
        <v>2.138493151</v>
      </c>
      <c r="K155">
        <f>PasteBBM!AE155</f>
        <v>0.7630009775</v>
      </c>
      <c r="L155">
        <f>PasteBBM!X155</f>
        <v>1.59</v>
      </c>
      <c r="M155">
        <f>PasteBBM!W155</f>
        <v>14.67972603</v>
      </c>
      <c r="N155">
        <f>PasteBBM!Y155</f>
        <v>5.226712329</v>
      </c>
      <c r="O155">
        <f>PasteBBM!Z155</f>
        <v>1.43739726</v>
      </c>
      <c r="P155">
        <f>PasteBBM!AA155</f>
        <v>1.102739726</v>
      </c>
      <c r="Q155">
        <f>PasteBBM!AB155</f>
        <v>0.5226027397</v>
      </c>
      <c r="R155">
        <f>PasteBBM!AG155</f>
        <v>1.306712329</v>
      </c>
      <c r="S155">
        <f>PasteBBM!AD155</f>
        <v>12.73986301</v>
      </c>
      <c r="T155">
        <f>PasteBBM!AF155</f>
        <v>2.802739726</v>
      </c>
    </row>
    <row r="156">
      <c r="A156" s="5">
        <v>155.0</v>
      </c>
      <c r="B156">
        <f t="array" ref="B156">INDEX(PasteHashtag!$B$2:$B1000,MATCH(C156,PasteHashtag!$C$2:$C1000,0))</f>
        <v>115.9</v>
      </c>
      <c r="C156" t="str">
        <f>PasteBBM!J156</f>
        <v>Bobby Portis</v>
      </c>
      <c r="D156" t="str">
        <f>IFERROR(REPLACE(PasteBBM!L156, FIND("/",PasteBBM!L156),1,","),PasteBBM!L156)</f>
        <v>F,C</v>
      </c>
      <c r="E156" t="str">
        <f>PasteBBM!K156</f>
        <v>MIL</v>
      </c>
      <c r="F156">
        <f>PasteBBM!T156</f>
        <v>77</v>
      </c>
      <c r="G156">
        <f>PasteBBM!V156</f>
        <v>23</v>
      </c>
      <c r="H156">
        <f>PasteBBM!AC156*PasteBBM!AD156</f>
        <v>5.482337661</v>
      </c>
      <c r="I156">
        <f>PasteBBM!AC156</f>
        <v>0.5113625351</v>
      </c>
      <c r="J156">
        <f>PasteBBM!AE156*PasteBBM!AF156</f>
        <v>0.8362337662</v>
      </c>
      <c r="K156">
        <f>PasteBBM!AE156</f>
        <v>0.7800121139</v>
      </c>
      <c r="L156">
        <f>PasteBBM!X156</f>
        <v>1.000909091</v>
      </c>
      <c r="M156">
        <f>PasteBBM!W156</f>
        <v>12.80181818</v>
      </c>
      <c r="N156">
        <f>PasteBBM!Y156</f>
        <v>7.352857143</v>
      </c>
      <c r="O156">
        <f>PasteBBM!Z156</f>
        <v>1.375714286</v>
      </c>
      <c r="P156">
        <f>PasteBBM!AA156</f>
        <v>0.6641558442</v>
      </c>
      <c r="Q156">
        <f>PasteBBM!AB156</f>
        <v>0.3337662338</v>
      </c>
      <c r="R156">
        <f>PasteBBM!AG156</f>
        <v>1.185974026</v>
      </c>
      <c r="S156">
        <f>PasteBBM!AD156</f>
        <v>10.72103896</v>
      </c>
      <c r="T156">
        <f>PasteBBM!AF156</f>
        <v>1.072077922</v>
      </c>
    </row>
    <row r="157">
      <c r="A157" s="5">
        <v>156.0</v>
      </c>
      <c r="B157">
        <f t="array" ref="B157">INDEX(PasteHashtag!$B$2:$B1000,MATCH(C157,PasteHashtag!$C$2:$C1000,0))</f>
        <v>140.4</v>
      </c>
      <c r="C157" t="str">
        <f>PasteBBM!J157</f>
        <v>Obi Toppin</v>
      </c>
      <c r="D157" t="str">
        <f>IFERROR(REPLACE(PasteBBM!L157, FIND("/",PasteBBM!L157),1,","),PasteBBM!L157)</f>
        <v>F</v>
      </c>
      <c r="E157" t="str">
        <f>PasteBBM!K157</f>
        <v>IND</v>
      </c>
      <c r="F157">
        <f>PasteBBM!T157</f>
        <v>77</v>
      </c>
      <c r="G157">
        <f>PasteBBM!V157</f>
        <v>21</v>
      </c>
      <c r="H157">
        <f>PasteBBM!AC157*PasteBBM!AD157</f>
        <v>4.185064935</v>
      </c>
      <c r="I157">
        <f>PasteBBM!AC157</f>
        <v>0.5431027218</v>
      </c>
      <c r="J157">
        <f>PasteBBM!AE157*PasteBBM!AF157</f>
        <v>1.013896104</v>
      </c>
      <c r="K157">
        <f>PasteBBM!AE157</f>
        <v>0.8129751119</v>
      </c>
      <c r="L157">
        <f>PasteBBM!X157</f>
        <v>1.365844156</v>
      </c>
      <c r="M157">
        <f>PasteBBM!W157</f>
        <v>10.74987013</v>
      </c>
      <c r="N157">
        <f>PasteBBM!Y157</f>
        <v>4.280909091</v>
      </c>
      <c r="O157">
        <f>PasteBBM!Z157</f>
        <v>1.697532468</v>
      </c>
      <c r="P157">
        <f>PasteBBM!AA157</f>
        <v>0.7661038961</v>
      </c>
      <c r="Q157">
        <f>PasteBBM!AB157</f>
        <v>0.4936363636</v>
      </c>
      <c r="R157">
        <f>PasteBBM!AG157</f>
        <v>0.8532467532</v>
      </c>
      <c r="S157">
        <f>PasteBBM!AD157</f>
        <v>7.705844156</v>
      </c>
      <c r="T157">
        <f>PasteBBM!AF157</f>
        <v>1.247142857</v>
      </c>
    </row>
    <row r="158">
      <c r="A158" s="5">
        <v>157.0</v>
      </c>
      <c r="B158">
        <f t="array" ref="B158">INDEX(PasteHashtag!$B$2:$B1000,MATCH(C158,PasteHashtag!$C$2:$C1000,0))</f>
        <v>116.7</v>
      </c>
      <c r="C158" t="str">
        <f>PasteBBM!J158</f>
        <v>Aaron Gordon</v>
      </c>
      <c r="D158" t="str">
        <f>IFERROR(REPLACE(PasteBBM!L158, FIND("/",PasteBBM!L158),1,","),PasteBBM!L158)</f>
        <v>F</v>
      </c>
      <c r="E158" t="str">
        <f>PasteBBM!K158</f>
        <v>DEN</v>
      </c>
      <c r="F158">
        <f>PasteBBM!T158</f>
        <v>73</v>
      </c>
      <c r="G158">
        <f>PasteBBM!V158</f>
        <v>31</v>
      </c>
      <c r="H158">
        <f>PasteBBM!AC158*PasteBBM!AD158</f>
        <v>5.143561644</v>
      </c>
      <c r="I158">
        <f>PasteBBM!AC158</f>
        <v>0.5683235454</v>
      </c>
      <c r="J158">
        <f>PasteBBM!AE158*PasteBBM!AF158</f>
        <v>2.295342466</v>
      </c>
      <c r="K158">
        <f>PasteBBM!AE158</f>
        <v>0.6699988004</v>
      </c>
      <c r="L158">
        <f>PasteBBM!X158</f>
        <v>0.5547945205</v>
      </c>
      <c r="M158">
        <f>PasteBBM!W158</f>
        <v>13.13726027</v>
      </c>
      <c r="N158">
        <f>PasteBBM!Y158</f>
        <v>5.822876712</v>
      </c>
      <c r="O158">
        <f>PasteBBM!Z158</f>
        <v>3.291232877</v>
      </c>
      <c r="P158">
        <f>PasteBBM!AA158</f>
        <v>0.7576712329</v>
      </c>
      <c r="Q158">
        <f>PasteBBM!AB158</f>
        <v>0.6339726027</v>
      </c>
      <c r="R158">
        <f>PasteBBM!AG158</f>
        <v>1.457671233</v>
      </c>
      <c r="S158">
        <f>PasteBBM!AD158</f>
        <v>9.050410959</v>
      </c>
      <c r="T158">
        <f>PasteBBM!AF158</f>
        <v>3.425890411</v>
      </c>
    </row>
    <row r="159">
      <c r="A159" s="5">
        <v>158.0</v>
      </c>
      <c r="B159">
        <f t="array" ref="B159">INDEX(PasteHashtag!$B$2:$B1000,MATCH(C159,PasteHashtag!$C$2:$C1000,0))</f>
        <v>144.2</v>
      </c>
      <c r="C159" t="str">
        <f>PasteBBM!J159</f>
        <v>Kevin Porter Jr.</v>
      </c>
      <c r="D159" t="str">
        <f>IFERROR(REPLACE(PasteBBM!L159, FIND("/",PasteBBM!L159),1,","),PasteBBM!L159)</f>
        <v>G</v>
      </c>
      <c r="E159" t="str">
        <f>PasteBBM!K159</f>
        <v>LAC</v>
      </c>
      <c r="F159">
        <f>PasteBBM!T159</f>
        <v>68</v>
      </c>
      <c r="G159">
        <f>PasteBBM!V159</f>
        <v>26</v>
      </c>
      <c r="H159">
        <f>PasteBBM!AC159*PasteBBM!AD159</f>
        <v>5.300441177</v>
      </c>
      <c r="I159">
        <f>PasteBBM!AC159</f>
        <v>0.4538563244</v>
      </c>
      <c r="J159">
        <f>PasteBBM!AE159*PasteBBM!AF159</f>
        <v>2.215147059</v>
      </c>
      <c r="K159">
        <f>PasteBBM!AE159</f>
        <v>0.75</v>
      </c>
      <c r="L159">
        <f>PasteBBM!X159</f>
        <v>1.981323529</v>
      </c>
      <c r="M159">
        <f>PasteBBM!W159</f>
        <v>14.79735294</v>
      </c>
      <c r="N159">
        <f>PasteBBM!Y159</f>
        <v>3.503529412</v>
      </c>
      <c r="O159">
        <f>PasteBBM!Z159</f>
        <v>3.397352941</v>
      </c>
      <c r="P159">
        <f>PasteBBM!AA159</f>
        <v>0.9176470588</v>
      </c>
      <c r="Q159">
        <f>PasteBBM!AB159</f>
        <v>0.2182352941</v>
      </c>
      <c r="R159">
        <f>PasteBBM!AG159</f>
        <v>2.176470588</v>
      </c>
      <c r="S159">
        <f>PasteBBM!AD159</f>
        <v>11.67867647</v>
      </c>
      <c r="T159">
        <f>PasteBBM!AF159</f>
        <v>2.953529412</v>
      </c>
    </row>
    <row r="160">
      <c r="A160" s="5">
        <v>159.0</v>
      </c>
      <c r="B160">
        <f t="array" ref="B160">INDEX(PasteHashtag!$B$2:$B1000,MATCH(C160,PasteHashtag!$C$2:$C1000,0))</f>
        <v>102.7</v>
      </c>
      <c r="C160" t="str">
        <f>PasteBBM!J160</f>
        <v>Clint Capela</v>
      </c>
      <c r="D160" t="str">
        <f>IFERROR(REPLACE(PasteBBM!L160, FIND("/",PasteBBM!L160),1,","),PasteBBM!L160)</f>
        <v>C</v>
      </c>
      <c r="E160" t="str">
        <f>PasteBBM!K160</f>
        <v>ATL</v>
      </c>
      <c r="F160">
        <f>PasteBBM!T160</f>
        <v>68</v>
      </c>
      <c r="G160">
        <f>PasteBBM!V160</f>
        <v>24</v>
      </c>
      <c r="H160">
        <f>PasteBBM!AC160*PasteBBM!AD160</f>
        <v>4.103970588</v>
      </c>
      <c r="I160">
        <f>PasteBBM!AC160</f>
        <v>0.569995915</v>
      </c>
      <c r="J160">
        <f>PasteBBM!AE160*PasteBBM!AF160</f>
        <v>1.211617647</v>
      </c>
      <c r="K160">
        <f>PasteBBM!AE160</f>
        <v>0.600992049</v>
      </c>
      <c r="L160">
        <f>PasteBBM!X160</f>
        <v>0</v>
      </c>
      <c r="M160">
        <f>PasteBBM!W160</f>
        <v>9.419558824</v>
      </c>
      <c r="N160">
        <f>PasteBBM!Y160</f>
        <v>9.8</v>
      </c>
      <c r="O160">
        <f>PasteBBM!Z160</f>
        <v>1.25</v>
      </c>
      <c r="P160">
        <f>PasteBBM!AA160</f>
        <v>0.6</v>
      </c>
      <c r="Q160">
        <f>PasteBBM!AB160</f>
        <v>1.15</v>
      </c>
      <c r="R160">
        <f>PasteBBM!AG160</f>
        <v>1.1</v>
      </c>
      <c r="S160">
        <f>PasteBBM!AD160</f>
        <v>7.2</v>
      </c>
      <c r="T160">
        <f>PasteBBM!AF160</f>
        <v>2.016029412</v>
      </c>
    </row>
    <row r="161">
      <c r="A161" s="5">
        <v>160.0</v>
      </c>
      <c r="B161">
        <f t="array" ref="B161">INDEX(PasteHashtag!$B$2:$B1000,MATCH(C161,PasteHashtag!$C$2:$C1000,0))</f>
        <v>144</v>
      </c>
      <c r="C161" t="str">
        <f>PasteBBM!J161</f>
        <v>Tari Eason</v>
      </c>
      <c r="D161" t="str">
        <f>IFERROR(REPLACE(PasteBBM!L161, FIND("/",PasteBBM!L161),1,","),PasteBBM!L161)</f>
        <v>F</v>
      </c>
      <c r="E161" t="str">
        <f>PasteBBM!K161</f>
        <v>HOU</v>
      </c>
      <c r="F161">
        <f>PasteBBM!T161</f>
        <v>68</v>
      </c>
      <c r="G161">
        <f>PasteBBM!V161</f>
        <v>21</v>
      </c>
      <c r="H161">
        <f>PasteBBM!AC161*PasteBBM!AD161</f>
        <v>3.649852941</v>
      </c>
      <c r="I161">
        <f>PasteBBM!AC161</f>
        <v>0.4693368128</v>
      </c>
      <c r="J161">
        <f>PasteBBM!AE161*PasteBBM!AF161</f>
        <v>0.883382353</v>
      </c>
      <c r="K161">
        <f>PasteBBM!AE161</f>
        <v>0.7099633613</v>
      </c>
      <c r="L161">
        <f>PasteBBM!X161</f>
        <v>0.7308823529</v>
      </c>
      <c r="M161">
        <f>PasteBBM!W161</f>
        <v>8.913970588</v>
      </c>
      <c r="N161">
        <f>PasteBBM!Y161</f>
        <v>5.921176471</v>
      </c>
      <c r="O161">
        <f>PasteBBM!Z161</f>
        <v>1.085294118</v>
      </c>
      <c r="P161">
        <f>PasteBBM!AA161</f>
        <v>1.237205882</v>
      </c>
      <c r="Q161">
        <f>PasteBBM!AB161</f>
        <v>0.6213235294</v>
      </c>
      <c r="R161">
        <f>PasteBBM!AG161</f>
        <v>0.9279411765</v>
      </c>
      <c r="S161">
        <f>PasteBBM!AD161</f>
        <v>7.776617647</v>
      </c>
      <c r="T161">
        <f>PasteBBM!AF161</f>
        <v>1.244264706</v>
      </c>
    </row>
    <row r="162">
      <c r="A162" s="5">
        <v>161.0</v>
      </c>
      <c r="B162">
        <f t="array" ref="B162">INDEX(PasteHashtag!$B$2:$B1000,MATCH(C162,PasteHashtag!$C$2:$C1000,0))</f>
        <v>137.4</v>
      </c>
      <c r="C162" t="str">
        <f>PasteBBM!J162</f>
        <v>Aaron Nesmith</v>
      </c>
      <c r="D162" t="str">
        <f>IFERROR(REPLACE(PasteBBM!L162, FIND("/",PasteBBM!L162),1,","),PasteBBM!L162)</f>
        <v>F</v>
      </c>
      <c r="E162" t="str">
        <f>PasteBBM!K162</f>
        <v>IND</v>
      </c>
      <c r="F162">
        <f>PasteBBM!T162</f>
        <v>73</v>
      </c>
      <c r="G162">
        <f>PasteBBM!V162</f>
        <v>28</v>
      </c>
      <c r="H162">
        <f>PasteBBM!AC162*PasteBBM!AD162</f>
        <v>4.289863013</v>
      </c>
      <c r="I162">
        <f>PasteBBM!AC162</f>
        <v>0.4760066272</v>
      </c>
      <c r="J162">
        <f>PasteBBM!AE162*PasteBBM!AF162</f>
        <v>1.422876712</v>
      </c>
      <c r="K162">
        <f>PasteBBM!AE162</f>
        <v>0.83096</v>
      </c>
      <c r="L162">
        <f>PasteBBM!X162</f>
        <v>1.862876712</v>
      </c>
      <c r="M162">
        <f>PasteBBM!W162</f>
        <v>11.86547945</v>
      </c>
      <c r="N162">
        <f>PasteBBM!Y162</f>
        <v>4.025616438</v>
      </c>
      <c r="O162">
        <f>PasteBBM!Z162</f>
        <v>1.634109589</v>
      </c>
      <c r="P162">
        <f>PasteBBM!AA162</f>
        <v>0.7209589041</v>
      </c>
      <c r="Q162">
        <f>PasteBBM!AB162</f>
        <v>0.5406849315</v>
      </c>
      <c r="R162">
        <f>PasteBBM!AG162</f>
        <v>0.9071232877</v>
      </c>
      <c r="S162">
        <f>PasteBBM!AD162</f>
        <v>9.012191781</v>
      </c>
      <c r="T162">
        <f>PasteBBM!AF162</f>
        <v>1.712328767</v>
      </c>
    </row>
    <row r="163">
      <c r="A163" s="5">
        <v>162.0</v>
      </c>
      <c r="B163">
        <f t="array" ref="B163">INDEX(PasteHashtag!$B$2:$B1000,MATCH(C163,PasteHashtag!$C$2:$C1000,0))</f>
        <v>138.6</v>
      </c>
      <c r="C163" t="str">
        <f>PasteBBM!J163</f>
        <v>Malcolm Brogdon</v>
      </c>
      <c r="D163" t="str">
        <f>IFERROR(REPLACE(PasteBBM!L163, FIND("/",PasteBBM!L163),1,","),PasteBBM!L163)</f>
        <v>G</v>
      </c>
      <c r="E163" t="str">
        <f>PasteBBM!K163</f>
        <v>WAS</v>
      </c>
      <c r="F163">
        <f>PasteBBM!T163</f>
        <v>41</v>
      </c>
      <c r="G163">
        <f>PasteBBM!V163</f>
        <v>26</v>
      </c>
      <c r="H163">
        <f>PasteBBM!AC163*PasteBBM!AD163</f>
        <v>4.609268292</v>
      </c>
      <c r="I163">
        <f>PasteBBM!AC163</f>
        <v>0.4446902134</v>
      </c>
      <c r="J163">
        <f>PasteBBM!AE163*PasteBBM!AF163</f>
        <v>1.80902439</v>
      </c>
      <c r="K163">
        <f>PasteBBM!AE163</f>
        <v>0.8310364146</v>
      </c>
      <c r="L163">
        <f>PasteBBM!X163</f>
        <v>1.608292683</v>
      </c>
      <c r="M163">
        <f>PasteBBM!W163</f>
        <v>12.63585366</v>
      </c>
      <c r="N163">
        <f>PasteBBM!Y163</f>
        <v>3.436341463</v>
      </c>
      <c r="O163">
        <f>PasteBBM!Z163</f>
        <v>5.013658537</v>
      </c>
      <c r="P163">
        <f>PasteBBM!AA163</f>
        <v>0.6668292683</v>
      </c>
      <c r="Q163">
        <f>PasteBBM!AB163</f>
        <v>0.2273170732</v>
      </c>
      <c r="R163">
        <f>PasteBBM!AG163</f>
        <v>1.633658537</v>
      </c>
      <c r="S163">
        <f>PasteBBM!AD163</f>
        <v>10.36512195</v>
      </c>
      <c r="T163">
        <f>PasteBBM!AF163</f>
        <v>2.176829268</v>
      </c>
    </row>
    <row r="164">
      <c r="A164" s="5">
        <v>163.0</v>
      </c>
      <c r="B164">
        <f t="array" ref="B164">INDEX(PasteHashtag!$B$2:$B1000,MATCH(C164,PasteHashtag!$C$2:$C1000,0))</f>
        <v>139</v>
      </c>
      <c r="C164" t="str">
        <f>PasteBBM!J164</f>
        <v>Dennis Schröder</v>
      </c>
      <c r="D164" t="str">
        <f>IFERROR(REPLACE(PasteBBM!L164, FIND("/",PasteBBM!L164),1,","),PasteBBM!L164)</f>
        <v>G</v>
      </c>
      <c r="E164" t="str">
        <f>PasteBBM!K164</f>
        <v>BKN</v>
      </c>
      <c r="F164">
        <f>PasteBBM!T164</f>
        <v>73</v>
      </c>
      <c r="G164">
        <f>PasteBBM!V164</f>
        <v>29</v>
      </c>
      <c r="H164">
        <f>PasteBBM!AC164*PasteBBM!AD164</f>
        <v>4.973287671</v>
      </c>
      <c r="I164">
        <f>PasteBBM!AC164</f>
        <v>0.4200946529</v>
      </c>
      <c r="J164">
        <f>PasteBBM!AE164*PasteBBM!AF164</f>
        <v>2.000684932</v>
      </c>
      <c r="K164">
        <f>PasteBBM!AE164</f>
        <v>0.8450011571</v>
      </c>
      <c r="L164">
        <f>PasteBBM!X164</f>
        <v>1.700410959</v>
      </c>
      <c r="M164">
        <f>PasteBBM!W164</f>
        <v>13.64767123</v>
      </c>
      <c r="N164">
        <f>PasteBBM!Y164</f>
        <v>3.112054795</v>
      </c>
      <c r="O164">
        <f>PasteBBM!Z164</f>
        <v>5.735890411</v>
      </c>
      <c r="P164">
        <f>PasteBBM!AA164</f>
        <v>0.6102739726</v>
      </c>
      <c r="Q164">
        <f>PasteBBM!AB164</f>
        <v>0.2468493151</v>
      </c>
      <c r="R164">
        <f>PasteBBM!AG164</f>
        <v>1.891643836</v>
      </c>
      <c r="S164">
        <f>PasteBBM!AD164</f>
        <v>11.83849315</v>
      </c>
      <c r="T164">
        <f>PasteBBM!AF164</f>
        <v>2.367671233</v>
      </c>
    </row>
    <row r="165">
      <c r="A165" s="5">
        <v>164.0</v>
      </c>
      <c r="B165">
        <f t="array" ref="B165">INDEX(PasteHashtag!$B$2:$B1000,MATCH(C165,PasteHashtag!$C$2:$C1000,0))</f>
        <v>143.5</v>
      </c>
      <c r="C165" t="str">
        <f>PasteBBM!J165</f>
        <v>Gradey Dick</v>
      </c>
      <c r="D165" t="str">
        <f>IFERROR(REPLACE(PasteBBM!L165, FIND("/",PasteBBM!L165),1,","),PasteBBM!L165)</f>
        <v>G,F</v>
      </c>
      <c r="E165" t="str">
        <f>PasteBBM!K165</f>
        <v>TOR</v>
      </c>
      <c r="F165">
        <f>PasteBBM!T165</f>
        <v>73</v>
      </c>
      <c r="G165">
        <f>PasteBBM!V165</f>
        <v>31</v>
      </c>
      <c r="H165">
        <f>PasteBBM!AC165*PasteBBM!AD165</f>
        <v>5.356575342</v>
      </c>
      <c r="I165">
        <f>PasteBBM!AC165</f>
        <v>0.4415175295</v>
      </c>
      <c r="J165">
        <f>PasteBBM!AE165*PasteBBM!AF165</f>
        <v>1.460821918</v>
      </c>
      <c r="K165">
        <f>PasteBBM!AE165</f>
        <v>0.86</v>
      </c>
      <c r="L165">
        <f>PasteBBM!X165</f>
        <v>2.41</v>
      </c>
      <c r="M165">
        <f>PasteBBM!W165</f>
        <v>14.5839726</v>
      </c>
      <c r="N165">
        <f>PasteBBM!Y165</f>
        <v>3.587671233</v>
      </c>
      <c r="O165">
        <f>PasteBBM!Z165</f>
        <v>1.435068493</v>
      </c>
      <c r="P165">
        <f>PasteBBM!AA165</f>
        <v>0.8878082192</v>
      </c>
      <c r="Q165">
        <f>PasteBBM!AB165</f>
        <v>0.06328767123</v>
      </c>
      <c r="R165">
        <f>PasteBBM!AG165</f>
        <v>0.9784931507</v>
      </c>
      <c r="S165">
        <f>PasteBBM!AD165</f>
        <v>12.13219178</v>
      </c>
      <c r="T165">
        <f>PasteBBM!AF165</f>
        <v>1.698630137</v>
      </c>
    </row>
    <row r="166">
      <c r="A166" s="5">
        <v>165.0</v>
      </c>
      <c r="B166">
        <f t="array" ref="B166">INDEX(PasteHashtag!$B$2:$B1000,MATCH(C166,PasteHashtag!$C$2:$C1000,0))</f>
        <v>138.2</v>
      </c>
      <c r="C166" t="str">
        <f>PasteBBM!J166</f>
        <v>Grayson Allen</v>
      </c>
      <c r="D166" t="str">
        <f>IFERROR(REPLACE(PasteBBM!L166, FIND("/",PasteBBM!L166),1,","),PasteBBM!L166)</f>
        <v>G,F</v>
      </c>
      <c r="E166" t="str">
        <f>PasteBBM!K166</f>
        <v>PHO</v>
      </c>
      <c r="F166">
        <f>PasteBBM!T166</f>
        <v>77</v>
      </c>
      <c r="G166">
        <f>PasteBBM!V166</f>
        <v>27</v>
      </c>
      <c r="H166">
        <f>PasteBBM!AC166*PasteBBM!AD166</f>
        <v>3.827142857</v>
      </c>
      <c r="I166">
        <f>PasteBBM!AC166</f>
        <v>0.4566430099</v>
      </c>
      <c r="J166">
        <f>PasteBBM!AE166*PasteBBM!AF166</f>
        <v>1.453246753</v>
      </c>
      <c r="K166">
        <f>PasteBBM!AE166</f>
        <v>0.8669714109</v>
      </c>
      <c r="L166">
        <f>PasteBBM!X166</f>
        <v>2.325324675</v>
      </c>
      <c r="M166">
        <f>PasteBBM!W166</f>
        <v>11.43285714</v>
      </c>
      <c r="N166">
        <f>PasteBBM!Y166</f>
        <v>3.037532468</v>
      </c>
      <c r="O166">
        <f>PasteBBM!Z166</f>
        <v>1.856233766</v>
      </c>
      <c r="P166">
        <f>PasteBBM!AA166</f>
        <v>0.7706493506</v>
      </c>
      <c r="Q166">
        <f>PasteBBM!AB166</f>
        <v>0.3375324675</v>
      </c>
      <c r="R166">
        <f>PasteBBM!AG166</f>
        <v>0.9112987013</v>
      </c>
      <c r="S166">
        <f>PasteBBM!AD166</f>
        <v>8.381038961</v>
      </c>
      <c r="T166">
        <f>PasteBBM!AF166</f>
        <v>1.676233766</v>
      </c>
    </row>
    <row r="167">
      <c r="A167" s="5">
        <v>166.0</v>
      </c>
      <c r="B167">
        <f t="array" ref="B167">INDEX(PasteHashtag!$B$2:$B1000,MATCH(C167,PasteHashtag!$C$2:$C1000,0))</f>
        <v>126.5</v>
      </c>
      <c r="C167" t="str">
        <f>PasteBBM!J167</f>
        <v>Buddy Hield</v>
      </c>
      <c r="D167" t="str">
        <f>IFERROR(REPLACE(PasteBBM!L167, FIND("/",PasteBBM!L167),1,","),PasteBBM!L167)</f>
        <v>G,F</v>
      </c>
      <c r="E167" t="str">
        <f>PasteBBM!K167</f>
        <v>GSW</v>
      </c>
      <c r="F167">
        <f>PasteBBM!T167</f>
        <v>77</v>
      </c>
      <c r="G167">
        <f>PasteBBM!V167</f>
        <v>23</v>
      </c>
      <c r="H167">
        <f>PasteBBM!AC167*PasteBBM!AD167</f>
        <v>4.31961039</v>
      </c>
      <c r="I167">
        <f>PasteBBM!AC167</f>
        <v>0.4418891989</v>
      </c>
      <c r="J167">
        <f>PasteBBM!AE167*PasteBBM!AF167</f>
        <v>0.8533766234</v>
      </c>
      <c r="K167">
        <f>PasteBBM!AE167</f>
        <v>0.8729905673</v>
      </c>
      <c r="L167">
        <f>PasteBBM!X167</f>
        <v>2.535454545</v>
      </c>
      <c r="M167">
        <f>PasteBBM!W167</f>
        <v>12.02805195</v>
      </c>
      <c r="N167">
        <f>PasteBBM!Y167</f>
        <v>3.018701299</v>
      </c>
      <c r="O167">
        <f>PasteBBM!Z167</f>
        <v>2.06038961</v>
      </c>
      <c r="P167">
        <f>PasteBBM!AA167</f>
        <v>0.8042857143</v>
      </c>
      <c r="Q167">
        <f>PasteBBM!AB167</f>
        <v>0.2875324675</v>
      </c>
      <c r="R167">
        <f>PasteBBM!AG167</f>
        <v>1.061298701</v>
      </c>
      <c r="S167">
        <f>PasteBBM!AD167</f>
        <v>9.775324675</v>
      </c>
      <c r="T167">
        <f>PasteBBM!AF167</f>
        <v>0.9775324675</v>
      </c>
    </row>
    <row r="168">
      <c r="A168" s="5">
        <v>167.0</v>
      </c>
      <c r="B168">
        <f t="array" ref="B168">INDEX(PasteHashtag!$B$2:$B1000,MATCH(C168,PasteHashtag!$C$2:$C1000,0))</f>
        <v>133.6</v>
      </c>
      <c r="C168" t="str">
        <f>PasteBBM!J168</f>
        <v>Jaime Jaquez Jr.</v>
      </c>
      <c r="D168" t="str">
        <f>IFERROR(REPLACE(PasteBBM!L168, FIND("/",PasteBBM!L168),1,","),PasteBBM!L168)</f>
        <v>G,F</v>
      </c>
      <c r="E168" t="str">
        <f>PasteBBM!K168</f>
        <v>MIA</v>
      </c>
      <c r="F168">
        <f>PasteBBM!T168</f>
        <v>73</v>
      </c>
      <c r="G168">
        <f>PasteBBM!V168</f>
        <v>28</v>
      </c>
      <c r="H168">
        <f>PasteBBM!AC168*PasteBBM!AD168</f>
        <v>4.115890411</v>
      </c>
      <c r="I168">
        <f>PasteBBM!AC168</f>
        <v>0.4849727217</v>
      </c>
      <c r="J168">
        <f>PasteBBM!AE168*PasteBBM!AF168</f>
        <v>1.826986301</v>
      </c>
      <c r="K168">
        <f>PasteBBM!AE168</f>
        <v>0.7990055116</v>
      </c>
      <c r="L168">
        <f>PasteBBM!X168</f>
        <v>0.8743835616</v>
      </c>
      <c r="M168">
        <f>PasteBBM!W168</f>
        <v>10.93315068</v>
      </c>
      <c r="N168">
        <f>PasteBBM!Y168</f>
        <v>3.904246575</v>
      </c>
      <c r="O168">
        <f>PasteBBM!Z168</f>
        <v>2.829178082</v>
      </c>
      <c r="P168">
        <f>PasteBBM!AA168</f>
        <v>1.017123288</v>
      </c>
      <c r="Q168">
        <f>PasteBBM!AB168</f>
        <v>0.2831506849</v>
      </c>
      <c r="R168">
        <f>PasteBBM!AG168</f>
        <v>1.415616438</v>
      </c>
      <c r="S168">
        <f>PasteBBM!AD168</f>
        <v>8.486849315</v>
      </c>
      <c r="T168">
        <f>PasteBBM!AF168</f>
        <v>2.286575342</v>
      </c>
    </row>
    <row r="169">
      <c r="A169" s="5">
        <v>168.0</v>
      </c>
      <c r="B169">
        <f t="array" ref="B169">INDEX(PasteHashtag!$B$2:$B1000,MATCH(C169,PasteHashtag!$C$2:$C1000,0))</f>
        <v>140.3</v>
      </c>
      <c r="C169" t="str">
        <f>PasteBBM!J169</f>
        <v>Kelly Olynyk</v>
      </c>
      <c r="D169" t="str">
        <f>IFERROR(REPLACE(PasteBBM!L169, FIND("/",PasteBBM!L169),1,","),PasteBBM!L169)</f>
        <v>F,C</v>
      </c>
      <c r="E169" t="str">
        <f>PasteBBM!K169</f>
        <v>TOR</v>
      </c>
      <c r="F169">
        <f>PasteBBM!T169</f>
        <v>68</v>
      </c>
      <c r="G169">
        <f>PasteBBM!V169</f>
        <v>21</v>
      </c>
      <c r="H169">
        <f>PasteBBM!AC169*PasteBBM!AD169</f>
        <v>3.158676471</v>
      </c>
      <c r="I169">
        <f>PasteBBM!AC169</f>
        <v>0.5456924367</v>
      </c>
      <c r="J169">
        <f>PasteBBM!AE169*PasteBBM!AF169</f>
        <v>1.844117647</v>
      </c>
      <c r="K169">
        <f>PasteBBM!AE169</f>
        <v>0.8299688927</v>
      </c>
      <c r="L169">
        <f>PasteBBM!X169</f>
        <v>0.5997058824</v>
      </c>
      <c r="M169">
        <f>PasteBBM!W169</f>
        <v>8.761176471</v>
      </c>
      <c r="N169">
        <f>PasteBBM!Y169</f>
        <v>4.639705882</v>
      </c>
      <c r="O169">
        <f>PasteBBM!Z169</f>
        <v>3.606764706</v>
      </c>
      <c r="P169">
        <f>PasteBBM!AA169</f>
        <v>0.7070588235</v>
      </c>
      <c r="Q169">
        <f>PasteBBM!AB169</f>
        <v>0.3589705882</v>
      </c>
      <c r="R169">
        <f>PasteBBM!AG169</f>
        <v>1.9</v>
      </c>
      <c r="S169">
        <f>PasteBBM!AD169</f>
        <v>5.788382353</v>
      </c>
      <c r="T169">
        <f>PasteBBM!AF169</f>
        <v>2.221911765</v>
      </c>
    </row>
    <row r="170">
      <c r="A170" s="5">
        <v>169.0</v>
      </c>
      <c r="B170" t="str">
        <f t="array" ref="B170">INDEX(PasteHashtag!$B$2:$B1000,MATCH(C170,PasteHashtag!$C$2:$C1000,0))</f>
        <v/>
      </c>
      <c r="C170" t="str">
        <f>PasteBBM!J170</f>
        <v>Delon Wright</v>
      </c>
      <c r="D170" t="str">
        <f>IFERROR(REPLACE(PasteBBM!L170, FIND("/",PasteBBM!L170),1,","),PasteBBM!L170)</f>
        <v>G</v>
      </c>
      <c r="E170" t="str">
        <f>PasteBBM!K170</f>
        <v>MIL</v>
      </c>
      <c r="F170">
        <f>PasteBBM!T170</f>
        <v>68</v>
      </c>
      <c r="G170">
        <f>PasteBBM!V170</f>
        <v>21</v>
      </c>
      <c r="H170">
        <f>PasteBBM!AC170*PasteBBM!AD170</f>
        <v>2.234411765</v>
      </c>
      <c r="I170">
        <f>PasteBBM!AC170</f>
        <v>0.4372374101</v>
      </c>
      <c r="J170">
        <f>PasteBBM!AE170*PasteBBM!AF170</f>
        <v>0.8524999997</v>
      </c>
      <c r="K170">
        <f>PasteBBM!AE170</f>
        <v>0.8339807222</v>
      </c>
      <c r="L170">
        <f>PasteBBM!X170</f>
        <v>0.7470588235</v>
      </c>
      <c r="M170">
        <f>PasteBBM!W170</f>
        <v>6.068382353</v>
      </c>
      <c r="N170">
        <f>PasteBBM!Y170</f>
        <v>3.031911765</v>
      </c>
      <c r="O170">
        <f>PasteBBM!Z170</f>
        <v>2.988529412</v>
      </c>
      <c r="P170">
        <f>PasteBBM!AA170</f>
        <v>1.455441176</v>
      </c>
      <c r="Q170">
        <f>PasteBBM!AB170</f>
        <v>0.2998529412</v>
      </c>
      <c r="R170">
        <f>PasteBBM!AG170</f>
        <v>0.6497058824</v>
      </c>
      <c r="S170">
        <f>PasteBBM!AD170</f>
        <v>5.110294118</v>
      </c>
      <c r="T170">
        <f>PasteBBM!AF170</f>
        <v>1.022205882</v>
      </c>
    </row>
    <row r="171">
      <c r="A171" s="5">
        <v>170.0</v>
      </c>
      <c r="B171">
        <f t="array" ref="B171">INDEX(PasteHashtag!$B$2:$B1000,MATCH(C171,PasteHashtag!$C$2:$C1000,0))</f>
        <v>144.2</v>
      </c>
      <c r="C171" t="str">
        <f>PasteBBM!J171</f>
        <v>Noah Clowney</v>
      </c>
      <c r="D171" t="str">
        <f>IFERROR(REPLACE(PasteBBM!L171, FIND("/",PasteBBM!L171),1,","),PasteBBM!L171)</f>
        <v>F,C</v>
      </c>
      <c r="E171" t="str">
        <f>PasteBBM!K171</f>
        <v>BKN</v>
      </c>
      <c r="F171">
        <f>PasteBBM!T171</f>
        <v>73</v>
      </c>
      <c r="G171">
        <f>PasteBBM!V171</f>
        <v>25</v>
      </c>
      <c r="H171">
        <f>PasteBBM!AC171*PasteBBM!AD171</f>
        <v>3.926164384</v>
      </c>
      <c r="I171">
        <f>PasteBBM!AC171</f>
        <v>0.5183383369</v>
      </c>
      <c r="J171">
        <f>PasteBBM!AE171*PasteBBM!AF171</f>
        <v>1.828630137</v>
      </c>
      <c r="K171">
        <f>PasteBBM!AE171</f>
        <v>0.7100154247</v>
      </c>
      <c r="L171">
        <f>PasteBBM!X171</f>
        <v>0.8934246575</v>
      </c>
      <c r="M171">
        <f>PasteBBM!W171</f>
        <v>10.57438356</v>
      </c>
      <c r="N171">
        <f>PasteBBM!Y171</f>
        <v>5.733835616</v>
      </c>
      <c r="O171">
        <f>PasteBBM!Z171</f>
        <v>1.367671233</v>
      </c>
      <c r="P171">
        <f>PasteBBM!AA171</f>
        <v>0.5936986301</v>
      </c>
      <c r="Q171">
        <f>PasteBBM!AB171</f>
        <v>1.104657534</v>
      </c>
      <c r="R171">
        <f>PasteBBM!AG171</f>
        <v>1.038630137</v>
      </c>
      <c r="S171">
        <f>PasteBBM!AD171</f>
        <v>7.574520548</v>
      </c>
      <c r="T171">
        <f>PasteBBM!AF171</f>
        <v>2.575479452</v>
      </c>
    </row>
    <row r="172">
      <c r="A172" s="5">
        <v>171.0</v>
      </c>
      <c r="B172">
        <f t="array" ref="B172">INDEX(PasteHashtag!$B$2:$B1000,MATCH(C172,PasteHashtag!$C$2:$C1000,0))</f>
        <v>138.9</v>
      </c>
      <c r="C172" t="str">
        <f>PasteBBM!J172</f>
        <v>Jordan Clarkson</v>
      </c>
      <c r="D172" t="str">
        <f>IFERROR(REPLACE(PasteBBM!L172, FIND("/",PasteBBM!L172),1,","),PasteBBM!L172)</f>
        <v>G,F</v>
      </c>
      <c r="E172" t="str">
        <f>PasteBBM!K172</f>
        <v>UTA</v>
      </c>
      <c r="F172">
        <f>PasteBBM!T172</f>
        <v>57</v>
      </c>
      <c r="G172">
        <f>PasteBBM!V172</f>
        <v>28</v>
      </c>
      <c r="H172">
        <f>PasteBBM!AC172*PasteBBM!AD172</f>
        <v>5.610526314</v>
      </c>
      <c r="I172">
        <f>PasteBBM!AC172</f>
        <v>0.4368494386</v>
      </c>
      <c r="J172">
        <f>PasteBBM!AE172*PasteBBM!AF172</f>
        <v>2.575964912</v>
      </c>
      <c r="K172">
        <f>PasteBBM!AE172</f>
        <v>0.8720156788</v>
      </c>
      <c r="L172">
        <f>PasteBBM!X172</f>
        <v>1.58245614</v>
      </c>
      <c r="M172">
        <f>PasteBBM!W172</f>
        <v>15.37947368</v>
      </c>
      <c r="N172">
        <f>PasteBBM!Y172</f>
        <v>3.181578947</v>
      </c>
      <c r="O172">
        <f>PasteBBM!Z172</f>
        <v>4.302982456</v>
      </c>
      <c r="P172">
        <f>PasteBBM!AA172</f>
        <v>0.5243859649</v>
      </c>
      <c r="Q172">
        <f>PasteBBM!AB172</f>
        <v>0.05929824561</v>
      </c>
      <c r="R172">
        <f>PasteBBM!AG172</f>
        <v>2.121052632</v>
      </c>
      <c r="S172">
        <f>PasteBBM!AD172</f>
        <v>12.84315789</v>
      </c>
      <c r="T172">
        <f>PasteBBM!AF172</f>
        <v>2.954035088</v>
      </c>
    </row>
    <row r="173">
      <c r="A173" s="5">
        <v>172.0</v>
      </c>
      <c r="B173">
        <f t="array" ref="B173">INDEX(PasteHashtag!$B$2:$B1000,MATCH(C173,PasteHashtag!$C$2:$C1000,0))</f>
        <v>136.5</v>
      </c>
      <c r="C173" t="str">
        <f>PasteBBM!J173</f>
        <v>Rui Hachimura</v>
      </c>
      <c r="D173" t="str">
        <f>IFERROR(REPLACE(PasteBBM!L173, FIND("/",PasteBBM!L173),1,","),PasteBBM!L173)</f>
        <v>F</v>
      </c>
      <c r="E173" t="str">
        <f>PasteBBM!K173</f>
        <v>LAL</v>
      </c>
      <c r="F173">
        <f>PasteBBM!T173</f>
        <v>73</v>
      </c>
      <c r="G173">
        <f>PasteBBM!V173</f>
        <v>30</v>
      </c>
      <c r="H173">
        <f>PasteBBM!AC173*PasteBBM!AD173</f>
        <v>5.669315067</v>
      </c>
      <c r="I173">
        <f>PasteBBM!AC173</f>
        <v>0.5170341683</v>
      </c>
      <c r="J173">
        <f>PasteBBM!AE173*PasteBBM!AF173</f>
        <v>1.386849315</v>
      </c>
      <c r="K173">
        <f>PasteBBM!AE173</f>
        <v>0.7439741329</v>
      </c>
      <c r="L173">
        <f>PasteBBM!X173</f>
        <v>1.405890411</v>
      </c>
      <c r="M173">
        <f>PasteBBM!W173</f>
        <v>14.13136986</v>
      </c>
      <c r="N173">
        <f>PasteBBM!Y173</f>
        <v>5.227534247</v>
      </c>
      <c r="O173">
        <f>PasteBBM!Z173</f>
        <v>1.255342466</v>
      </c>
      <c r="P173">
        <f>PasteBBM!AA173</f>
        <v>0.5068493151</v>
      </c>
      <c r="Q173">
        <f>PasteBBM!AB173</f>
        <v>0.4480821918</v>
      </c>
      <c r="R173">
        <f>PasteBBM!AG173</f>
        <v>0.7036986301</v>
      </c>
      <c r="S173">
        <f>PasteBBM!AD173</f>
        <v>10.96506849</v>
      </c>
      <c r="T173">
        <f>PasteBBM!AF173</f>
        <v>1.864109589</v>
      </c>
    </row>
    <row r="174">
      <c r="A174" s="5">
        <v>173.0</v>
      </c>
      <c r="B174">
        <f t="array" ref="B174">INDEX(PasteHashtag!$B$2:$B1000,MATCH(C174,PasteHashtag!$C$2:$C1000,0))</f>
        <v>143.3</v>
      </c>
      <c r="C174" t="str">
        <f>PasteBBM!J174</f>
        <v>Keldon Johnson</v>
      </c>
      <c r="D174" t="str">
        <f>IFERROR(REPLACE(PasteBBM!L174, FIND("/",PasteBBM!L174),1,","),PasteBBM!L174)</f>
        <v>F</v>
      </c>
      <c r="E174" t="str">
        <f>PasteBBM!K174</f>
        <v>SAS</v>
      </c>
      <c r="F174">
        <f>PasteBBM!T174</f>
        <v>73</v>
      </c>
      <c r="G174">
        <f>PasteBBM!V174</f>
        <v>27</v>
      </c>
      <c r="H174">
        <f>PasteBBM!AC174*PasteBBM!AD174</f>
        <v>4.665890411</v>
      </c>
      <c r="I174">
        <f>PasteBBM!AC174</f>
        <v>0.4582896047</v>
      </c>
      <c r="J174">
        <f>PasteBBM!AE174*PasteBBM!AF174</f>
        <v>2.061232877</v>
      </c>
      <c r="K174">
        <f>PasteBBM!AE174</f>
        <v>0.8119907183</v>
      </c>
      <c r="L174">
        <f>PasteBBM!X174</f>
        <v>1.703561644</v>
      </c>
      <c r="M174">
        <f>PasteBBM!W174</f>
        <v>13.09657534</v>
      </c>
      <c r="N174">
        <f>PasteBBM!Y174</f>
        <v>4.781232877</v>
      </c>
      <c r="O174">
        <f>PasteBBM!Z174</f>
        <v>2.240958904</v>
      </c>
      <c r="P174">
        <f>PasteBBM!AA174</f>
        <v>0.6178082192</v>
      </c>
      <c r="Q174">
        <f>PasteBBM!AB174</f>
        <v>0.2815068493</v>
      </c>
      <c r="R174">
        <f>PasteBBM!AG174</f>
        <v>1.294931507</v>
      </c>
      <c r="S174">
        <f>PasteBBM!AD174</f>
        <v>10.18109589</v>
      </c>
      <c r="T174">
        <f>PasteBBM!AF174</f>
        <v>2.538493151</v>
      </c>
    </row>
    <row r="175">
      <c r="A175" s="5">
        <v>174.0</v>
      </c>
      <c r="B175">
        <f t="array" ref="B175">INDEX(PasteHashtag!$B$2:$B1000,MATCH(C175,PasteHashtag!$C$2:$C1000,0))</f>
        <v>144.6</v>
      </c>
      <c r="C175" t="str">
        <f>PasteBBM!J175</f>
        <v>Bilal Coulibaly</v>
      </c>
      <c r="D175" t="str">
        <f>IFERROR(REPLACE(PasteBBM!L175, FIND("/",PasteBBM!L175),1,","),PasteBBM!L175)</f>
        <v>F</v>
      </c>
      <c r="E175" t="str">
        <f>PasteBBM!K175</f>
        <v>WAS</v>
      </c>
      <c r="F175">
        <f>PasteBBM!T175</f>
        <v>73</v>
      </c>
      <c r="G175">
        <f>PasteBBM!V175</f>
        <v>31</v>
      </c>
      <c r="H175">
        <f>PasteBBM!AC175*PasteBBM!AD175</f>
        <v>3.446849316</v>
      </c>
      <c r="I175">
        <f>PasteBBM!AC175</f>
        <v>0.4276560668</v>
      </c>
      <c r="J175">
        <f>PasteBBM!AE175*PasteBBM!AF175</f>
        <v>1.893561644</v>
      </c>
      <c r="K175">
        <f>PasteBBM!AE175</f>
        <v>0.7199854159</v>
      </c>
      <c r="L175">
        <f>PasteBBM!X175</f>
        <v>1.186027397</v>
      </c>
      <c r="M175">
        <f>PasteBBM!W175</f>
        <v>9.973287671</v>
      </c>
      <c r="N175">
        <f>PasteBBM!Y175</f>
        <v>4.097123288</v>
      </c>
      <c r="O175">
        <f>PasteBBM!Z175</f>
        <v>2.149315068</v>
      </c>
      <c r="P175">
        <f>PasteBBM!AA175</f>
        <v>1.141780822</v>
      </c>
      <c r="Q175">
        <f>PasteBBM!AB175</f>
        <v>0.7387671233</v>
      </c>
      <c r="R175">
        <f>PasteBBM!AG175</f>
        <v>1.343287671</v>
      </c>
      <c r="S175">
        <f>PasteBBM!AD175</f>
        <v>8.059863014</v>
      </c>
      <c r="T175">
        <f>PasteBBM!AF175</f>
        <v>2.63</v>
      </c>
    </row>
    <row r="176">
      <c r="A176" s="5">
        <v>175.0</v>
      </c>
      <c r="B176">
        <f t="array" ref="B176">INDEX(PasteHashtag!$B$2:$B1000,MATCH(C176,PasteHashtag!$C$2:$C1000,0))</f>
        <v>140.9</v>
      </c>
      <c r="C176" t="str">
        <f>PasteBBM!J176</f>
        <v>Reed Sheppard</v>
      </c>
      <c r="D176" t="str">
        <f>IFERROR(REPLACE(PasteBBM!L176, FIND("/",PasteBBM!L176),1,","),PasteBBM!L176)</f>
        <v>G</v>
      </c>
      <c r="E176" t="str">
        <f>PasteBBM!K176</f>
        <v>HOU</v>
      </c>
      <c r="F176">
        <f>PasteBBM!T176</f>
        <v>73</v>
      </c>
      <c r="G176">
        <f>PasteBBM!V176</f>
        <v>20</v>
      </c>
      <c r="H176">
        <f>PasteBBM!AC176*PasteBBM!AD176</f>
        <v>3.128219178</v>
      </c>
      <c r="I176">
        <f>PasteBBM!AC176</f>
        <v>0.4223179775</v>
      </c>
      <c r="J176">
        <f>PasteBBM!AE176*PasteBBM!AF176</f>
        <v>0.7915068493</v>
      </c>
      <c r="K176">
        <f>PasteBBM!AE176</f>
        <v>0.8220230474</v>
      </c>
      <c r="L176">
        <f>PasteBBM!X176</f>
        <v>1.620684932</v>
      </c>
      <c r="M176">
        <f>PasteBBM!W176</f>
        <v>8.668630137</v>
      </c>
      <c r="N176">
        <f>PasteBBM!Y176</f>
        <v>2.230410959</v>
      </c>
      <c r="O176">
        <f>PasteBBM!Z176</f>
        <v>2.819589041</v>
      </c>
      <c r="P176">
        <f>PasteBBM!AA176</f>
        <v>1.13630137</v>
      </c>
      <c r="Q176">
        <f>PasteBBM!AB176</f>
        <v>0.3787671233</v>
      </c>
      <c r="R176">
        <f>PasteBBM!AG176</f>
        <v>1.557123288</v>
      </c>
      <c r="S176">
        <f>PasteBBM!AD176</f>
        <v>7.407260274</v>
      </c>
      <c r="T176">
        <f>PasteBBM!AF176</f>
        <v>0.9628767123</v>
      </c>
    </row>
    <row r="177">
      <c r="A177" s="5">
        <v>176.0</v>
      </c>
      <c r="B177">
        <f t="array" ref="B177">INDEX(PasteHashtag!$B$2:$B1000,MATCH(C177,PasteHashtag!$C$2:$C1000,0))</f>
        <v>144</v>
      </c>
      <c r="C177" t="str">
        <f>PasteBBM!J177</f>
        <v>Tre Mann</v>
      </c>
      <c r="D177" t="str">
        <f>IFERROR(REPLACE(PasteBBM!L177, FIND("/",PasteBBM!L177),1,","),PasteBBM!L177)</f>
        <v>G</v>
      </c>
      <c r="E177" t="str">
        <f>PasteBBM!K177</f>
        <v>CHA</v>
      </c>
      <c r="F177">
        <f>PasteBBM!T177</f>
        <v>71</v>
      </c>
      <c r="G177">
        <f>PasteBBM!V177</f>
        <v>24</v>
      </c>
      <c r="H177">
        <f>PasteBBM!AC177*PasteBBM!AD177</f>
        <v>3.94</v>
      </c>
      <c r="I177">
        <f>PasteBBM!AC177</f>
        <v>0.4500104564</v>
      </c>
      <c r="J177">
        <f>PasteBBM!AE177*PasteBBM!AF177</f>
        <v>1.376338028</v>
      </c>
      <c r="K177">
        <f>PasteBBM!AE177</f>
        <v>0.786036036</v>
      </c>
      <c r="L177">
        <f>PasteBBM!X177</f>
        <v>1.353943662</v>
      </c>
      <c r="M177">
        <f>PasteBBM!W177</f>
        <v>10.61028169</v>
      </c>
      <c r="N177">
        <f>PasteBBM!Y177</f>
        <v>3.192957746</v>
      </c>
      <c r="O177">
        <f>PasteBBM!Z177</f>
        <v>3.45056338</v>
      </c>
      <c r="P177">
        <f>PasteBBM!AA177</f>
        <v>1.03</v>
      </c>
      <c r="Q177">
        <f>PasteBBM!AB177</f>
        <v>0.1043661972</v>
      </c>
      <c r="R177">
        <f>PasteBBM!AG177</f>
        <v>1.287464789</v>
      </c>
      <c r="S177">
        <f>PasteBBM!AD177</f>
        <v>8.755352113</v>
      </c>
      <c r="T177">
        <f>PasteBBM!AF177</f>
        <v>1.750985915</v>
      </c>
    </row>
    <row r="178">
      <c r="A178" s="5">
        <v>177.0</v>
      </c>
      <c r="B178">
        <f t="array" ref="B178">INDEX(PasteHashtag!$B$2:$B1000,MATCH(C178,PasteHashtag!$C$2:$C1000,0))</f>
        <v>103.5</v>
      </c>
      <c r="C178" t="str">
        <f>PasteBBM!J178</f>
        <v>Zach Edey</v>
      </c>
      <c r="D178" t="str">
        <f>IFERROR(REPLACE(PasteBBM!L178, FIND("/",PasteBBM!L178),1,","),PasteBBM!L178)</f>
        <v>C</v>
      </c>
      <c r="E178" t="str">
        <f>PasteBBM!K178</f>
        <v>MEM</v>
      </c>
      <c r="F178">
        <f>PasteBBM!T178</f>
        <v>68</v>
      </c>
      <c r="G178">
        <f>PasteBBM!V178</f>
        <v>23</v>
      </c>
      <c r="H178">
        <f>PasteBBM!AC178*PasteBBM!AD178</f>
        <v>4.686617647</v>
      </c>
      <c r="I178">
        <f>PasteBBM!AC178</f>
        <v>0.5588993529</v>
      </c>
      <c r="J178">
        <f>PasteBBM!AE178*PasteBBM!AF178</f>
        <v>2.398235294</v>
      </c>
      <c r="K178">
        <f>PasteBBM!AE178</f>
        <v>0.7150122764</v>
      </c>
      <c r="L178">
        <f>PasteBBM!X178</f>
        <v>0.05029411765</v>
      </c>
      <c r="M178">
        <f>PasteBBM!W178</f>
        <v>11.82176471</v>
      </c>
      <c r="N178">
        <f>PasteBBM!Y178</f>
        <v>8.145882353</v>
      </c>
      <c r="O178">
        <f>PasteBBM!Z178</f>
        <v>0.9583823529</v>
      </c>
      <c r="P178">
        <f>PasteBBM!AA178</f>
        <v>0.2875</v>
      </c>
      <c r="Q178">
        <f>PasteBBM!AB178</f>
        <v>1.245882353</v>
      </c>
      <c r="R178">
        <f>PasteBBM!AG178</f>
        <v>1.581176471</v>
      </c>
      <c r="S178">
        <f>PasteBBM!AD178</f>
        <v>8.385441176</v>
      </c>
      <c r="T178">
        <f>PasteBBM!AF178</f>
        <v>3.354117647</v>
      </c>
    </row>
    <row r="179">
      <c r="A179" s="5">
        <v>178.0</v>
      </c>
      <c r="B179">
        <f t="array" ref="B179">INDEX(PasteHashtag!$B$2:$B1000,MATCH(C179,PasteHashtag!$C$2:$C1000,0))</f>
        <v>139</v>
      </c>
      <c r="C179" t="str">
        <f>PasteBBM!J179</f>
        <v>Zaccharie Risacher</v>
      </c>
      <c r="D179" t="str">
        <f>IFERROR(REPLACE(PasteBBM!L179, FIND("/",PasteBBM!L179),1,","),PasteBBM!L179)</f>
        <v>F</v>
      </c>
      <c r="E179" t="str">
        <f>PasteBBM!K179</f>
        <v>ATL</v>
      </c>
      <c r="F179">
        <f>PasteBBM!T179</f>
        <v>73</v>
      </c>
      <c r="G179">
        <f>PasteBBM!V179</f>
        <v>30</v>
      </c>
      <c r="H179">
        <f>PasteBBM!AC179*PasteBBM!AD179</f>
        <v>4.558904111</v>
      </c>
      <c r="I179">
        <f>PasteBBM!AC179</f>
        <v>0.4216554538</v>
      </c>
      <c r="J179">
        <f>PasteBBM!AE179*PasteBBM!AF179</f>
        <v>1.159726027</v>
      </c>
      <c r="K179">
        <f>PasteBBM!AE179</f>
        <v>0.7150337838</v>
      </c>
      <c r="L179">
        <f>PasteBBM!X179</f>
        <v>1.839863014</v>
      </c>
      <c r="M179">
        <f>PasteBBM!W179</f>
        <v>12.11739726</v>
      </c>
      <c r="N179">
        <f>PasteBBM!Y179</f>
        <v>5.062465753</v>
      </c>
      <c r="O179">
        <f>PasteBBM!Z179</f>
        <v>1.624931507</v>
      </c>
      <c r="P179">
        <f>PasteBBM!AA179</f>
        <v>0.9375342466</v>
      </c>
      <c r="Q179">
        <f>PasteBBM!AB179</f>
        <v>0.4375342466</v>
      </c>
      <c r="R179">
        <f>PasteBBM!AG179</f>
        <v>2.125068493</v>
      </c>
      <c r="S179">
        <f>PasteBBM!AD179</f>
        <v>10.81191781</v>
      </c>
      <c r="T179">
        <f>PasteBBM!AF179</f>
        <v>1.621917808</v>
      </c>
    </row>
    <row r="180">
      <c r="A180" s="5">
        <v>179.0</v>
      </c>
      <c r="B180" t="str">
        <f t="array" ref="B180">INDEX(PasteHashtag!$B$2:$B1000,MATCH(C180,PasteHashtag!$C$2:$C1000,0))</f>
        <v/>
      </c>
      <c r="C180" t="str">
        <f>PasteBBM!J180</f>
        <v>Brandon Clarke</v>
      </c>
      <c r="D180" t="str">
        <f>IFERROR(REPLACE(PasteBBM!L180, FIND("/",PasteBBM!L180),1,","),PasteBBM!L180)</f>
        <v>F</v>
      </c>
      <c r="E180" t="str">
        <f>PasteBBM!K180</f>
        <v>MEM</v>
      </c>
      <c r="F180">
        <f>PasteBBM!T180</f>
        <v>68</v>
      </c>
      <c r="G180">
        <f>PasteBBM!V180</f>
        <v>21</v>
      </c>
      <c r="H180">
        <f>PasteBBM!AC180*PasteBBM!AD180</f>
        <v>3.940147059</v>
      </c>
      <c r="I180">
        <f>PasteBBM!AC180</f>
        <v>0.6084892805</v>
      </c>
      <c r="J180">
        <f>PasteBBM!AE180*PasteBBM!AF180</f>
        <v>1.033529412</v>
      </c>
      <c r="K180">
        <f>PasteBBM!AE180</f>
        <v>0.6939863731</v>
      </c>
      <c r="L180">
        <f>PasteBBM!X180</f>
        <v>0.06470588235</v>
      </c>
      <c r="M180">
        <f>PasteBBM!W180</f>
        <v>8.978529412</v>
      </c>
      <c r="N180">
        <f>PasteBBM!Y180</f>
        <v>5.3375</v>
      </c>
      <c r="O180">
        <f>PasteBBM!Z180</f>
        <v>1.428529412</v>
      </c>
      <c r="P180">
        <f>PasteBBM!AA180</f>
        <v>0.7139705882</v>
      </c>
      <c r="Q180">
        <f>PasteBBM!AB180</f>
        <v>0.8311764706</v>
      </c>
      <c r="R180">
        <f>PasteBBM!AG180</f>
        <v>0.8226470588</v>
      </c>
      <c r="S180">
        <f>PasteBBM!AD180</f>
        <v>6.475294118</v>
      </c>
      <c r="T180">
        <f>PasteBBM!AF180</f>
        <v>1.489264706</v>
      </c>
    </row>
    <row r="181">
      <c r="A181" s="5">
        <v>180.0</v>
      </c>
      <c r="B181" t="str">
        <f t="array" ref="B181">INDEX(PasteHashtag!$B$2:$B1000,MATCH(C181,PasteHashtag!$C$2:$C1000,0))</f>
        <v/>
      </c>
      <c r="C181" t="str">
        <f>PasteBBM!J181</f>
        <v>Isaiah Jackson</v>
      </c>
      <c r="D181" t="str">
        <f>IFERROR(REPLACE(PasteBBM!L181, FIND("/",PasteBBM!L181),1,","),PasteBBM!L181)</f>
        <v>F,C</v>
      </c>
      <c r="E181" t="str">
        <f>PasteBBM!K181</f>
        <v>IND</v>
      </c>
      <c r="F181">
        <f>PasteBBM!T181</f>
        <v>68</v>
      </c>
      <c r="G181">
        <f>PasteBBM!V181</f>
        <v>18</v>
      </c>
      <c r="H181">
        <f>PasteBBM!AC181*PasteBBM!AD181</f>
        <v>3.167941176</v>
      </c>
      <c r="I181">
        <f>PasteBBM!AC181</f>
        <v>0.630990041</v>
      </c>
      <c r="J181">
        <f>PasteBBM!AE181*PasteBBM!AF181</f>
        <v>1.359705883</v>
      </c>
      <c r="K181">
        <f>PasteBBM!AE181</f>
        <v>0.6769658808</v>
      </c>
      <c r="L181">
        <f>PasteBBM!X181</f>
        <v>0</v>
      </c>
      <c r="M181">
        <f>PasteBBM!W181</f>
        <v>7.695588235</v>
      </c>
      <c r="N181">
        <f>PasteBBM!Y181</f>
        <v>5.252941176</v>
      </c>
      <c r="O181">
        <f>PasteBBM!Z181</f>
        <v>0.9675</v>
      </c>
      <c r="P181">
        <f>PasteBBM!AA181</f>
        <v>0.6566176471</v>
      </c>
      <c r="Q181">
        <f>PasteBBM!AB181</f>
        <v>1.441617647</v>
      </c>
      <c r="R181">
        <f>PasteBBM!AG181</f>
        <v>0.8111764706</v>
      </c>
      <c r="S181">
        <f>PasteBBM!AD181</f>
        <v>5.020588235</v>
      </c>
      <c r="T181">
        <f>PasteBBM!AF181</f>
        <v>2.008529412</v>
      </c>
    </row>
    <row r="182">
      <c r="A182" s="5">
        <v>181.0</v>
      </c>
      <c r="B182" t="str">
        <f t="array" ref="B182">INDEX(PasteHashtag!$B$2:$B1000,MATCH(C182,PasteHashtag!$C$2:$C1000,0))</f>
        <v/>
      </c>
      <c r="C182" t="str">
        <f>PasteBBM!J182</f>
        <v>Toumani Camara</v>
      </c>
      <c r="D182" t="str">
        <f>IFERROR(REPLACE(PasteBBM!L182, FIND("/",PasteBBM!L182),1,","),PasteBBM!L182)</f>
        <v>F</v>
      </c>
      <c r="E182" t="str">
        <f>PasteBBM!K182</f>
        <v>POR</v>
      </c>
      <c r="F182">
        <f>PasteBBM!T182</f>
        <v>73</v>
      </c>
      <c r="G182">
        <f>PasteBBM!V182</f>
        <v>26</v>
      </c>
      <c r="H182">
        <f>PasteBBM!AC182*PasteBBM!AD182</f>
        <v>3.532465753</v>
      </c>
      <c r="I182">
        <f>PasteBBM!AC182</f>
        <v>0.4808047284</v>
      </c>
      <c r="J182">
        <f>PasteBBM!AE182*PasteBBM!AF182</f>
        <v>1.147534246</v>
      </c>
      <c r="K182">
        <f>PasteBBM!AE182</f>
        <v>0.7809994406</v>
      </c>
      <c r="L182">
        <f>PasteBBM!X182</f>
        <v>1.032876712</v>
      </c>
      <c r="M182">
        <f>PasteBBM!W182</f>
        <v>9.245342466</v>
      </c>
      <c r="N182">
        <f>PasteBBM!Y182</f>
        <v>4.29</v>
      </c>
      <c r="O182">
        <f>PasteBBM!Z182</f>
        <v>1.608767123</v>
      </c>
      <c r="P182">
        <f>PasteBBM!AA182</f>
        <v>0.9130136986</v>
      </c>
      <c r="Q182">
        <f>PasteBBM!AB182</f>
        <v>0.4993150685</v>
      </c>
      <c r="R182">
        <f>PasteBBM!AG182</f>
        <v>1.324794521</v>
      </c>
      <c r="S182">
        <f>PasteBBM!AD182</f>
        <v>7.346986301</v>
      </c>
      <c r="T182">
        <f>PasteBBM!AF182</f>
        <v>1.469315068</v>
      </c>
    </row>
    <row r="183">
      <c r="A183" s="5">
        <v>182.0</v>
      </c>
      <c r="B183" t="str">
        <f t="array" ref="B183">INDEX(PasteHashtag!$B$2:$B1000,MATCH(C183,PasteHashtag!$C$2:$C1000,0))</f>
        <v/>
      </c>
      <c r="C183" t="str">
        <f>PasteBBM!J183</f>
        <v>Scotty Pippen Jr.</v>
      </c>
      <c r="D183" t="str">
        <f>IFERROR(REPLACE(PasteBBM!L183, FIND("/",PasteBBM!L183),1,","),PasteBBM!L183)</f>
        <v>G</v>
      </c>
      <c r="E183" t="str">
        <f>PasteBBM!K183</f>
        <v>MEM</v>
      </c>
      <c r="F183">
        <f>PasteBBM!T183</f>
        <v>73</v>
      </c>
      <c r="G183">
        <f>PasteBBM!V183</f>
        <v>19</v>
      </c>
      <c r="H183">
        <f>PasteBBM!AC183*PasteBBM!AD183</f>
        <v>2.968767123</v>
      </c>
      <c r="I183">
        <f>PasteBBM!AC183</f>
        <v>0.4687966428</v>
      </c>
      <c r="J183">
        <f>PasteBBM!AE183*PasteBBM!AF183</f>
        <v>0.7701369861</v>
      </c>
      <c r="K183">
        <f>PasteBBM!AE183</f>
        <v>0.7600378532</v>
      </c>
      <c r="L183">
        <f>PasteBBM!X183</f>
        <v>0.7536986301</v>
      </c>
      <c r="M183">
        <f>PasteBBM!W183</f>
        <v>7.461369863</v>
      </c>
      <c r="N183">
        <f>PasteBBM!Y183</f>
        <v>2.273013699</v>
      </c>
      <c r="O183">
        <f>PasteBBM!Z183</f>
        <v>3.364520548</v>
      </c>
      <c r="P183">
        <f>PasteBBM!AA183</f>
        <v>1.227123288</v>
      </c>
      <c r="Q183">
        <f>PasteBBM!AB183</f>
        <v>0.3269863014</v>
      </c>
      <c r="R183">
        <f>PasteBBM!AG183</f>
        <v>1.835753425</v>
      </c>
      <c r="S183">
        <f>PasteBBM!AD183</f>
        <v>6.332739726</v>
      </c>
      <c r="T183">
        <f>PasteBBM!AF183</f>
        <v>1.013287671</v>
      </c>
    </row>
    <row r="184">
      <c r="A184" s="5">
        <v>183.0</v>
      </c>
      <c r="B184" t="str">
        <f t="array" ref="B184">INDEX(PasteHashtag!$B$2:$B1000,MATCH(C184,PasteHashtag!$C$2:$C1000,0))</f>
        <v/>
      </c>
      <c r="C184" t="str">
        <f>PasteBBM!J184</f>
        <v>Royce O'Neale</v>
      </c>
      <c r="D184" t="str">
        <f>IFERROR(REPLACE(PasteBBM!L184, FIND("/",PasteBBM!L184),1,","),PasteBBM!L184)</f>
        <v>G,F</v>
      </c>
      <c r="E184" t="str">
        <f>PasteBBM!K184</f>
        <v>PHO</v>
      </c>
      <c r="F184">
        <f>PasteBBM!T184</f>
        <v>73</v>
      </c>
      <c r="G184">
        <f>PasteBBM!V184</f>
        <v>24</v>
      </c>
      <c r="H184">
        <f>PasteBBM!AC184*PasteBBM!AD184</f>
        <v>2.897808219</v>
      </c>
      <c r="I184">
        <f>PasteBBM!AC184</f>
        <v>0.408165628</v>
      </c>
      <c r="J184">
        <f>PasteBBM!AE184*PasteBBM!AF184</f>
        <v>0.365890411</v>
      </c>
      <c r="K184">
        <f>PasteBBM!AE184</f>
        <v>0.7230644288</v>
      </c>
      <c r="L184">
        <f>PasteBBM!X184</f>
        <v>2.054520548</v>
      </c>
      <c r="M184">
        <f>PasteBBM!W184</f>
        <v>8.216027397</v>
      </c>
      <c r="N184">
        <f>PasteBBM!Y184</f>
        <v>4.8</v>
      </c>
      <c r="O184">
        <f>PasteBBM!Z184</f>
        <v>2.4</v>
      </c>
      <c r="P184">
        <f>PasteBBM!AA184</f>
        <v>0.7076712329</v>
      </c>
      <c r="Q184">
        <f>PasteBBM!AB184</f>
        <v>0.4965753425</v>
      </c>
      <c r="R184">
        <f>PasteBBM!AG184</f>
        <v>0.75</v>
      </c>
      <c r="S184">
        <f>PasteBBM!AD184</f>
        <v>7.099589041</v>
      </c>
      <c r="T184">
        <f>PasteBBM!AF184</f>
        <v>0.5060273973</v>
      </c>
    </row>
    <row r="185">
      <c r="A185" s="5">
        <v>184.0</v>
      </c>
      <c r="B185">
        <f t="array" ref="B185">INDEX(PasteHashtag!$B$2:$B1000,MATCH(C185,PasteHashtag!$C$2:$C1000,0))</f>
        <v>143</v>
      </c>
      <c r="C185" t="str">
        <f>PasteBBM!J185</f>
        <v>Payton Pritchard</v>
      </c>
      <c r="D185" t="str">
        <f>IFERROR(REPLACE(PasteBBM!L185, FIND("/",PasteBBM!L185),1,","),PasteBBM!L185)</f>
        <v>G</v>
      </c>
      <c r="E185" t="str">
        <f>PasteBBM!K185</f>
        <v>BOS</v>
      </c>
      <c r="F185">
        <f>PasteBBM!T185</f>
        <v>77</v>
      </c>
      <c r="G185">
        <f>PasteBBM!V185</f>
        <v>23</v>
      </c>
      <c r="H185">
        <f>PasteBBM!AC185*PasteBBM!AD185</f>
        <v>4.341428571</v>
      </c>
      <c r="I185">
        <f>PasteBBM!AC185</f>
        <v>0.4891643132</v>
      </c>
      <c r="J185">
        <f>PasteBBM!AE185*PasteBBM!AF185</f>
        <v>0.6003896104</v>
      </c>
      <c r="K185">
        <f>PasteBBM!AE185</f>
        <v>0.8570634038</v>
      </c>
      <c r="L185">
        <f>PasteBBM!X185</f>
        <v>1.834415584</v>
      </c>
      <c r="M185">
        <f>PasteBBM!W185</f>
        <v>11.11766234</v>
      </c>
      <c r="N185">
        <f>PasteBBM!Y185</f>
        <v>3.099220779</v>
      </c>
      <c r="O185">
        <f>PasteBBM!Z185</f>
        <v>3.662727273</v>
      </c>
      <c r="P185">
        <f>PasteBBM!AA185</f>
        <v>0.5123376623</v>
      </c>
      <c r="Q185">
        <f>PasteBBM!AB185</f>
        <v>0.04714285714</v>
      </c>
      <c r="R185">
        <f>PasteBBM!AG185</f>
        <v>0.8922077922</v>
      </c>
      <c r="S185">
        <f>PasteBBM!AD185</f>
        <v>8.875194805</v>
      </c>
      <c r="T185">
        <f>PasteBBM!AF185</f>
        <v>0.7005194805</v>
      </c>
    </row>
    <row r="186">
      <c r="A186" s="5">
        <v>185.0</v>
      </c>
      <c r="B186">
        <f t="array" ref="B186">INDEX(PasteHashtag!$B$2:$B1000,MATCH(C186,PasteHashtag!$C$2:$C1000,0))</f>
        <v>146</v>
      </c>
      <c r="C186" t="str">
        <f>PasteBBM!J186</f>
        <v>Sam Hauser</v>
      </c>
      <c r="D186" t="str">
        <f>IFERROR(REPLACE(PasteBBM!L186, FIND("/",PasteBBM!L186),1,","),PasteBBM!L186)</f>
        <v>F</v>
      </c>
      <c r="E186" t="str">
        <f>PasteBBM!K186</f>
        <v>BOS</v>
      </c>
      <c r="F186">
        <f>PasteBBM!T186</f>
        <v>77</v>
      </c>
      <c r="G186">
        <f>PasteBBM!V186</f>
        <v>24</v>
      </c>
      <c r="H186">
        <f>PasteBBM!AC186*PasteBBM!AD186</f>
        <v>3.699350649</v>
      </c>
      <c r="I186">
        <f>PasteBBM!AC186</f>
        <v>0.4414773256</v>
      </c>
      <c r="J186">
        <f>PasteBBM!AE186*PasteBBM!AF186</f>
        <v>0.2305194805</v>
      </c>
      <c r="K186">
        <f>PasteBBM!AE186</f>
        <v>0.9028484232</v>
      </c>
      <c r="L186">
        <f>PasteBBM!X186</f>
        <v>2.681428571</v>
      </c>
      <c r="M186">
        <f>PasteBBM!W186</f>
        <v>10.31064935</v>
      </c>
      <c r="N186">
        <f>PasteBBM!Y186</f>
        <v>3.871038961</v>
      </c>
      <c r="O186">
        <f>PasteBBM!Z186</f>
        <v>1.322987013</v>
      </c>
      <c r="P186">
        <f>PasteBBM!AA186</f>
        <v>0.544025974</v>
      </c>
      <c r="Q186">
        <f>PasteBBM!AB186</f>
        <v>0.3897402597</v>
      </c>
      <c r="R186">
        <f>PasteBBM!AG186</f>
        <v>0.4388311688</v>
      </c>
      <c r="S186">
        <f>PasteBBM!AD186</f>
        <v>8.379480519</v>
      </c>
      <c r="T186">
        <f>PasteBBM!AF186</f>
        <v>0.2553246753</v>
      </c>
    </row>
    <row r="187">
      <c r="A187" s="5">
        <v>186.0</v>
      </c>
      <c r="B187">
        <f t="array" ref="B187">INDEX(PasteHashtag!$B$2:$B1000,MATCH(C187,PasteHashtag!$C$2:$C1000,0))</f>
        <v>140.2</v>
      </c>
      <c r="C187" t="str">
        <f>PasteBBM!J187</f>
        <v>Kyle Lowry</v>
      </c>
      <c r="D187" t="str">
        <f>IFERROR(REPLACE(PasteBBM!L187, FIND("/",PasteBBM!L187),1,","),PasteBBM!L187)</f>
        <v>G</v>
      </c>
      <c r="E187" t="str">
        <f>PasteBBM!K187</f>
        <v>PHI</v>
      </c>
      <c r="F187">
        <f>PasteBBM!T187</f>
        <v>68</v>
      </c>
      <c r="G187">
        <f>PasteBBM!V187</f>
        <v>27</v>
      </c>
      <c r="H187">
        <f>PasteBBM!AC187*PasteBBM!AD187</f>
        <v>2.012647059</v>
      </c>
      <c r="I187">
        <f>PasteBBM!AC187</f>
        <v>0.4196100074</v>
      </c>
      <c r="J187">
        <f>PasteBBM!AE187*PasteBBM!AF187</f>
        <v>0.8008823529</v>
      </c>
      <c r="K187">
        <f>PasteBBM!AE187</f>
        <v>0.8439485511</v>
      </c>
      <c r="L187">
        <f>PasteBBM!X187</f>
        <v>1.206617647</v>
      </c>
      <c r="M187">
        <f>PasteBBM!W187</f>
        <v>6.032794118</v>
      </c>
      <c r="N187">
        <f>PasteBBM!Y187</f>
        <v>3.252352941</v>
      </c>
      <c r="O187">
        <f>PasteBBM!Z187</f>
        <v>4.1225</v>
      </c>
      <c r="P187">
        <f>PasteBBM!AA187</f>
        <v>0.8763235294</v>
      </c>
      <c r="Q187">
        <f>PasteBBM!AB187</f>
        <v>0.3322058824</v>
      </c>
      <c r="R187">
        <f>PasteBBM!AG187</f>
        <v>1.383088235</v>
      </c>
      <c r="S187">
        <f>PasteBBM!AD187</f>
        <v>4.796470588</v>
      </c>
      <c r="T187">
        <f>PasteBBM!AF187</f>
        <v>0.9489705882</v>
      </c>
    </row>
    <row r="188">
      <c r="A188" s="5">
        <v>187.0</v>
      </c>
      <c r="B188">
        <f t="array" ref="B188">INDEX(PasteHashtag!$B$2:$B1000,MATCH(C188,PasteHashtag!$C$2:$C1000,0))</f>
        <v>144.9</v>
      </c>
      <c r="C188" t="str">
        <f>PasteBBM!J188</f>
        <v>Terance Mann</v>
      </c>
      <c r="D188" t="str">
        <f>IFERROR(REPLACE(PasteBBM!L188, FIND("/",PasteBBM!L188),1,","),PasteBBM!L188)</f>
        <v>G,F</v>
      </c>
      <c r="E188" t="str">
        <f>PasteBBM!K188</f>
        <v>LAC</v>
      </c>
      <c r="F188">
        <f>PasteBBM!T188</f>
        <v>73</v>
      </c>
      <c r="G188">
        <f>PasteBBM!V188</f>
        <v>28</v>
      </c>
      <c r="H188">
        <f>PasteBBM!AC188*PasteBBM!AD188</f>
        <v>4.316986301</v>
      </c>
      <c r="I188">
        <f>PasteBBM!AC188</f>
        <v>0.5102572821</v>
      </c>
      <c r="J188">
        <f>PasteBBM!AE188*PasteBBM!AF188</f>
        <v>1.52630137</v>
      </c>
      <c r="K188">
        <f>PasteBBM!AE188</f>
        <v>0.8199882249</v>
      </c>
      <c r="L188">
        <f>PasteBBM!X188</f>
        <v>1.172191781</v>
      </c>
      <c r="M188">
        <f>PasteBBM!W188</f>
        <v>11.33246575</v>
      </c>
      <c r="N188">
        <f>PasteBBM!Y188</f>
        <v>4.230273973</v>
      </c>
      <c r="O188">
        <f>PasteBBM!Z188</f>
        <v>2.286712329</v>
      </c>
      <c r="P188">
        <f>PasteBBM!AA188</f>
        <v>0.5839726027</v>
      </c>
      <c r="Q188">
        <f>PasteBBM!AB188</f>
        <v>0.1691780822</v>
      </c>
      <c r="R188">
        <f>PasteBBM!AG188</f>
        <v>1.086164384</v>
      </c>
      <c r="S188">
        <f>PasteBBM!AD188</f>
        <v>8.460410959</v>
      </c>
      <c r="T188">
        <f>PasteBBM!AF188</f>
        <v>1.861369863</v>
      </c>
    </row>
    <row r="189">
      <c r="A189" s="5">
        <v>188.0</v>
      </c>
      <c r="B189" t="str">
        <f t="array" ref="B189">INDEX(PasteHashtag!$B$2:$B1000,MATCH(C189,PasteHashtag!$C$2:$C1000,0))</f>
        <v/>
      </c>
      <c r="C189" t="str">
        <f>PasteBBM!J189</f>
        <v>Miles McBride</v>
      </c>
      <c r="D189" t="str">
        <f>IFERROR(REPLACE(PasteBBM!L189, FIND("/",PasteBBM!L189),1,","),PasteBBM!L189)</f>
        <v>G</v>
      </c>
      <c r="E189" t="str">
        <f>PasteBBM!K189</f>
        <v>NYK</v>
      </c>
      <c r="F189">
        <f>PasteBBM!T189</f>
        <v>73</v>
      </c>
      <c r="G189">
        <f>PasteBBM!V189</f>
        <v>26</v>
      </c>
      <c r="H189">
        <f>PasteBBM!AC189*PasteBBM!AD189</f>
        <v>3.825342465</v>
      </c>
      <c r="I189">
        <f>PasteBBM!AC189</f>
        <v>0.4227665662</v>
      </c>
      <c r="J189">
        <f>PasteBBM!AE189*PasteBBM!AF189</f>
        <v>0.9043835618</v>
      </c>
      <c r="K189">
        <f>PasteBBM!AE189</f>
        <v>0.8399491094</v>
      </c>
      <c r="L189">
        <f>PasteBBM!X189</f>
        <v>2.144383562</v>
      </c>
      <c r="M189">
        <f>PasteBBM!W189</f>
        <v>10.69945205</v>
      </c>
      <c r="N189">
        <f>PasteBBM!Y189</f>
        <v>1.976027397</v>
      </c>
      <c r="O189">
        <f>PasteBBM!Z189</f>
        <v>2.258767123</v>
      </c>
      <c r="P189">
        <f>PasteBBM!AA189</f>
        <v>0.9830136986</v>
      </c>
      <c r="Q189">
        <f>PasteBBM!AB189</f>
        <v>0.1564383562</v>
      </c>
      <c r="R189">
        <f>PasteBBM!AG189</f>
        <v>0.5735616438</v>
      </c>
      <c r="S189">
        <f>PasteBBM!AD189</f>
        <v>9.048356164</v>
      </c>
      <c r="T189">
        <f>PasteBBM!AF189</f>
        <v>1.076712329</v>
      </c>
    </row>
    <row r="190">
      <c r="A190" s="5">
        <v>189.0</v>
      </c>
      <c r="B190" t="str">
        <f t="array" ref="B190">INDEX(PasteHashtag!$B$2:$B1000,MATCH(C190,PasteHashtag!$C$2:$C1000,0))</f>
        <v/>
      </c>
      <c r="C190" t="str">
        <f>PasteBBM!J190</f>
        <v>Luke Kornet</v>
      </c>
      <c r="D190" t="str">
        <f>IFERROR(REPLACE(PasteBBM!L190, FIND("/",PasteBBM!L190),1,","),PasteBBM!L190)</f>
        <v>C</v>
      </c>
      <c r="E190" t="str">
        <f>PasteBBM!K190</f>
        <v>BOS</v>
      </c>
      <c r="F190">
        <f>PasteBBM!T190</f>
        <v>68</v>
      </c>
      <c r="G190">
        <f>PasteBBM!V190</f>
        <v>19</v>
      </c>
      <c r="H190">
        <f>PasteBBM!AC190*PasteBBM!AD190</f>
        <v>2.927205883</v>
      </c>
      <c r="I190">
        <f>PasteBBM!AC190</f>
        <v>0.6737864735</v>
      </c>
      <c r="J190">
        <f>PasteBBM!AE190*PasteBBM!AF190</f>
        <v>0.8144117647</v>
      </c>
      <c r="K190">
        <f>PasteBBM!AE190</f>
        <v>0.852</v>
      </c>
      <c r="L190">
        <f>PasteBBM!X190</f>
        <v>0.02191176471</v>
      </c>
      <c r="M190">
        <f>PasteBBM!W190</f>
        <v>6.690735294</v>
      </c>
      <c r="N190">
        <f>PasteBBM!Y190</f>
        <v>4.732647059</v>
      </c>
      <c r="O190">
        <f>PasteBBM!Z190</f>
        <v>1.377647059</v>
      </c>
      <c r="P190">
        <f>PasteBBM!AA190</f>
        <v>0.4267647059</v>
      </c>
      <c r="Q190">
        <f>PasteBBM!AB190</f>
        <v>1.047352941</v>
      </c>
      <c r="R190">
        <f>PasteBBM!AG190</f>
        <v>0.4210294118</v>
      </c>
      <c r="S190">
        <f>PasteBBM!AD190</f>
        <v>4.344411765</v>
      </c>
      <c r="T190">
        <f>PasteBBM!AF190</f>
        <v>0.9558823529</v>
      </c>
    </row>
    <row r="191">
      <c r="A191" s="5">
        <v>190.0</v>
      </c>
      <c r="B191" t="str">
        <f t="array" ref="B191">INDEX(PasteHashtag!$B$2:$B1000,MATCH(C191,PasteHashtag!$C$2:$C1000,0))</f>
        <v/>
      </c>
      <c r="C191" t="str">
        <f>PasteBBM!J191</f>
        <v>Kris Dunn</v>
      </c>
      <c r="D191" t="str">
        <f>IFERROR(REPLACE(PasteBBM!L191, FIND("/",PasteBBM!L191),1,","),PasteBBM!L191)</f>
        <v>G</v>
      </c>
      <c r="E191" t="str">
        <f>PasteBBM!K191</f>
        <v>LAC</v>
      </c>
      <c r="F191">
        <f>PasteBBM!T191</f>
        <v>68</v>
      </c>
      <c r="G191">
        <f>PasteBBM!V191</f>
        <v>21</v>
      </c>
      <c r="H191">
        <f>PasteBBM!AC191*PasteBBM!AD191</f>
        <v>2.869705882</v>
      </c>
      <c r="I191">
        <f>PasteBBM!AC191</f>
        <v>0.4780382646</v>
      </c>
      <c r="J191">
        <f>PasteBBM!AE191*PasteBBM!AF191</f>
        <v>0.5597058824</v>
      </c>
      <c r="K191">
        <f>PasteBBM!AE191</f>
        <v>0.7420549815</v>
      </c>
      <c r="L191">
        <f>PasteBBM!X191</f>
        <v>0.5558823529</v>
      </c>
      <c r="M191">
        <f>PasteBBM!W191</f>
        <v>6.855</v>
      </c>
      <c r="N191">
        <f>PasteBBM!Y191</f>
        <v>3.087058824</v>
      </c>
      <c r="O191">
        <f>PasteBBM!Z191</f>
        <v>3.172794118</v>
      </c>
      <c r="P191">
        <f>PasteBBM!AA191</f>
        <v>1.134705882</v>
      </c>
      <c r="Q191">
        <f>PasteBBM!AB191</f>
        <v>0.3429411765</v>
      </c>
      <c r="R191">
        <f>PasteBBM!AG191</f>
        <v>0.9861764706</v>
      </c>
      <c r="S191">
        <f>PasteBBM!AD191</f>
        <v>6.003088235</v>
      </c>
      <c r="T191">
        <f>PasteBBM!AF191</f>
        <v>0.7542647059</v>
      </c>
    </row>
    <row r="192">
      <c r="A192" s="5">
        <v>191.0</v>
      </c>
      <c r="B192">
        <f t="array" ref="B192">INDEX(PasteHashtag!$B$2:$B1000,MATCH(C192,PasteHashtag!$C$2:$C1000,0))</f>
        <v>145.4</v>
      </c>
      <c r="C192" t="str">
        <f>PasteBBM!J192</f>
        <v>Corey Kispert</v>
      </c>
      <c r="D192" t="str">
        <f>IFERROR(REPLACE(PasteBBM!L192, FIND("/",PasteBBM!L192),1,","),PasteBBM!L192)</f>
        <v>G,F</v>
      </c>
      <c r="E192" t="str">
        <f>PasteBBM!K192</f>
        <v>WAS</v>
      </c>
      <c r="F192">
        <f>PasteBBM!T192</f>
        <v>77</v>
      </c>
      <c r="G192">
        <f>PasteBBM!V192</f>
        <v>27</v>
      </c>
      <c r="H192">
        <f>PasteBBM!AC192*PasteBBM!AD192</f>
        <v>4.575324675</v>
      </c>
      <c r="I192">
        <f>PasteBBM!AC192</f>
        <v>0.4888235212</v>
      </c>
      <c r="J192">
        <f>PasteBBM!AE192*PasteBBM!AF192</f>
        <v>1.241168831</v>
      </c>
      <c r="K192">
        <f>PasteBBM!AE192</f>
        <v>0.7800359125</v>
      </c>
      <c r="L192">
        <f>PasteBBM!X192</f>
        <v>2.248311688</v>
      </c>
      <c r="M192">
        <f>PasteBBM!W192</f>
        <v>12.64012987</v>
      </c>
      <c r="N192">
        <f>PasteBBM!Y192</f>
        <v>2.983506494</v>
      </c>
      <c r="O192">
        <f>PasteBBM!Z192</f>
        <v>1.942857143</v>
      </c>
      <c r="P192">
        <f>PasteBBM!AA192</f>
        <v>0.5153246753</v>
      </c>
      <c r="Q192">
        <f>PasteBBM!AB192</f>
        <v>0.1780519481</v>
      </c>
      <c r="R192">
        <f>PasteBBM!AG192</f>
        <v>1.243376623</v>
      </c>
      <c r="S192">
        <f>PasteBBM!AD192</f>
        <v>9.35987013</v>
      </c>
      <c r="T192">
        <f>PasteBBM!AF192</f>
        <v>1.591168831</v>
      </c>
    </row>
    <row r="193">
      <c r="A193" s="5">
        <v>192.0</v>
      </c>
      <c r="B193">
        <f t="array" ref="B193">INDEX(PasteHashtag!$B$2:$B1000,MATCH(C193,PasteHashtag!$C$2:$C1000,0))</f>
        <v>144.3</v>
      </c>
      <c r="C193" t="str">
        <f>PasteBBM!J193</f>
        <v>Jalen Smith</v>
      </c>
      <c r="D193" t="str">
        <f>IFERROR(REPLACE(PasteBBM!L193, FIND("/",PasteBBM!L193),1,","),PasteBBM!L193)</f>
        <v>F,C</v>
      </c>
      <c r="E193" t="str">
        <f>PasteBBM!K193</f>
        <v>CHI</v>
      </c>
      <c r="F193">
        <f>PasteBBM!T193</f>
        <v>68</v>
      </c>
      <c r="G193">
        <f>PasteBBM!V193</f>
        <v>21</v>
      </c>
      <c r="H193">
        <f>PasteBBM!AC193*PasteBBM!AD193</f>
        <v>4.136470588</v>
      </c>
      <c r="I193">
        <f>PasteBBM!AC193</f>
        <v>0.5243456864</v>
      </c>
      <c r="J193">
        <f>PasteBBM!AE193*PasteBBM!AF193</f>
        <v>1.578088235</v>
      </c>
      <c r="K193">
        <f>PasteBBM!AE193</f>
        <v>0.73</v>
      </c>
      <c r="L193">
        <f>PasteBBM!X193</f>
        <v>1.010588235</v>
      </c>
      <c r="M193">
        <f>PasteBBM!W193</f>
        <v>10.86161765</v>
      </c>
      <c r="N193">
        <f>PasteBBM!Y193</f>
        <v>6.302647059</v>
      </c>
      <c r="O193">
        <f>PasteBBM!Z193</f>
        <v>0.9432352941</v>
      </c>
      <c r="P193">
        <f>PasteBBM!AA193</f>
        <v>0.3538235294</v>
      </c>
      <c r="Q193">
        <f>PasteBBM!AB193</f>
        <v>0.8145588235</v>
      </c>
      <c r="R193">
        <f>PasteBBM!AG193</f>
        <v>0.8861764706</v>
      </c>
      <c r="S193">
        <f>PasteBBM!AD193</f>
        <v>7.888823529</v>
      </c>
      <c r="T193">
        <f>PasteBBM!AF193</f>
        <v>2.161764706</v>
      </c>
    </row>
    <row r="194">
      <c r="A194" s="5">
        <v>193.0</v>
      </c>
      <c r="B194">
        <f t="array" ref="B194">INDEX(PasteHashtag!$B$2:$B1000,MATCH(C194,PasteHashtag!$C$2:$C1000,0))</f>
        <v>141.5</v>
      </c>
      <c r="C194" t="str">
        <f>PasteBBM!J194</f>
        <v>Tre Jones</v>
      </c>
      <c r="D194" t="str">
        <f>IFERROR(REPLACE(PasteBBM!L194, FIND("/",PasteBBM!L194),1,","),PasteBBM!L194)</f>
        <v>G</v>
      </c>
      <c r="E194" t="str">
        <f>PasteBBM!K194</f>
        <v>SAS</v>
      </c>
      <c r="F194">
        <f>PasteBBM!T194</f>
        <v>77</v>
      </c>
      <c r="G194">
        <f>PasteBBM!V194</f>
        <v>22</v>
      </c>
      <c r="H194">
        <f>PasteBBM!AC194*PasteBBM!AD194</f>
        <v>3.131948052</v>
      </c>
      <c r="I194">
        <f>PasteBBM!AC194</f>
        <v>0.4952052404</v>
      </c>
      <c r="J194">
        <f>PasteBBM!AE194*PasteBBM!AF194</f>
        <v>0.848961039</v>
      </c>
      <c r="K194">
        <f>PasteBBM!AE194</f>
        <v>0.8389373717</v>
      </c>
      <c r="L194">
        <f>PasteBBM!X194</f>
        <v>0.7527272727</v>
      </c>
      <c r="M194">
        <f>PasteBBM!W194</f>
        <v>7.865584416</v>
      </c>
      <c r="N194">
        <f>PasteBBM!Y194</f>
        <v>3.162467532</v>
      </c>
      <c r="O194">
        <f>PasteBBM!Z194</f>
        <v>4.674935065</v>
      </c>
      <c r="P194">
        <f>PasteBBM!AA194</f>
        <v>0.7392207792</v>
      </c>
      <c r="Q194">
        <f>PasteBBM!AB194</f>
        <v>0.09480519481</v>
      </c>
      <c r="R194">
        <f>PasteBBM!AG194</f>
        <v>1.179220779</v>
      </c>
      <c r="S194">
        <f>PasteBBM!AD194</f>
        <v>6.324545455</v>
      </c>
      <c r="T194">
        <f>PasteBBM!AF194</f>
        <v>1.011948052</v>
      </c>
    </row>
    <row r="195">
      <c r="A195" s="5">
        <v>194.0</v>
      </c>
      <c r="B195">
        <f t="array" ref="B195">INDEX(PasteHashtag!$B$2:$B1000,MATCH(C195,PasteHashtag!$C$2:$C1000,0))</f>
        <v>142.6</v>
      </c>
      <c r="C195" t="str">
        <f>PasteBBM!J195</f>
        <v>Nikola Jovic</v>
      </c>
      <c r="D195" t="str">
        <f>IFERROR(REPLACE(PasteBBM!L195, FIND("/",PasteBBM!L195),1,","),PasteBBM!L195)</f>
        <v>F</v>
      </c>
      <c r="E195" t="str">
        <f>PasteBBM!K195</f>
        <v>MIA</v>
      </c>
      <c r="F195">
        <f>PasteBBM!T195</f>
        <v>73</v>
      </c>
      <c r="G195">
        <f>PasteBBM!V195</f>
        <v>23</v>
      </c>
      <c r="H195">
        <f>PasteBBM!AC195*PasteBBM!AD195</f>
        <v>3.33630137</v>
      </c>
      <c r="I195">
        <f>PasteBBM!AC195</f>
        <v>0.445809156</v>
      </c>
      <c r="J195">
        <f>PasteBBM!AE195*PasteBBM!AF195</f>
        <v>0.7520547945</v>
      </c>
      <c r="K195">
        <f>PasteBBM!AE195</f>
        <v>0.773021684</v>
      </c>
      <c r="L195">
        <f>PasteBBM!X195</f>
        <v>1.663972603</v>
      </c>
      <c r="M195">
        <f>PasteBBM!W195</f>
        <v>9.088630137</v>
      </c>
      <c r="N195">
        <f>PasteBBM!Y195</f>
        <v>4.694383562</v>
      </c>
      <c r="O195">
        <f>PasteBBM!Z195</f>
        <v>2.249589041</v>
      </c>
      <c r="P195">
        <f>PasteBBM!AA195</f>
        <v>0.6689041096</v>
      </c>
      <c r="Q195">
        <f>PasteBBM!AB195</f>
        <v>0.32</v>
      </c>
      <c r="R195">
        <f>PasteBBM!AG195</f>
        <v>0.9295890411</v>
      </c>
      <c r="S195">
        <f>PasteBBM!AD195</f>
        <v>7.48369863</v>
      </c>
      <c r="T195">
        <f>PasteBBM!AF195</f>
        <v>0.9728767123</v>
      </c>
    </row>
    <row r="196">
      <c r="A196" s="5">
        <v>195.0</v>
      </c>
      <c r="B196">
        <f t="array" ref="B196">INDEX(PasteHashtag!$B$2:$B1000,MATCH(C196,PasteHashtag!$C$2:$C1000,0))</f>
        <v>144.4</v>
      </c>
      <c r="C196" t="str">
        <f>PasteBBM!J196</f>
        <v>Bojan Bogdanovic</v>
      </c>
      <c r="D196" t="str">
        <f>IFERROR(REPLACE(PasteBBM!L196, FIND("/",PasteBBM!L196),1,","),PasteBBM!L196)</f>
        <v>F</v>
      </c>
      <c r="E196" t="str">
        <f>PasteBBM!K196</f>
        <v>BKN</v>
      </c>
      <c r="F196">
        <f>PasteBBM!T196</f>
        <v>53</v>
      </c>
      <c r="G196">
        <f>PasteBBM!V196</f>
        <v>26</v>
      </c>
      <c r="H196">
        <f>PasteBBM!AC196*PasteBBM!AD196</f>
        <v>5.663584906</v>
      </c>
      <c r="I196">
        <f>PasteBBM!AC196</f>
        <v>0.4501109645</v>
      </c>
      <c r="J196">
        <f>PasteBBM!AE196*PasteBBM!AF196</f>
        <v>2.066037736</v>
      </c>
      <c r="K196">
        <f>PasteBBM!AE196</f>
        <v>0.8209626631</v>
      </c>
      <c r="L196">
        <f>PasteBBM!X196</f>
        <v>2.423018868</v>
      </c>
      <c r="M196">
        <f>PasteBBM!W196</f>
        <v>15.81622642</v>
      </c>
      <c r="N196">
        <f>PasteBBM!Y196</f>
        <v>2.954339623</v>
      </c>
      <c r="O196">
        <f>PasteBBM!Z196</f>
        <v>1.477169811</v>
      </c>
      <c r="P196">
        <f>PasteBBM!AA196</f>
        <v>0.5077358491</v>
      </c>
      <c r="Q196">
        <f>PasteBBM!AB196</f>
        <v>0.1073584906</v>
      </c>
      <c r="R196">
        <f>PasteBBM!AG196</f>
        <v>1.531886792</v>
      </c>
      <c r="S196">
        <f>PasteBBM!AD196</f>
        <v>12.58264151</v>
      </c>
      <c r="T196">
        <f>PasteBBM!AF196</f>
        <v>2.516603774</v>
      </c>
    </row>
    <row r="197">
      <c r="A197" s="5">
        <v>196.0</v>
      </c>
      <c r="B197">
        <f t="array" ref="B197">INDEX(PasteHashtag!$B$2:$B1000,MATCH(C197,PasteHashtag!$C$2:$C1000,0))</f>
        <v>141.2</v>
      </c>
      <c r="C197" t="str">
        <f>PasteBBM!J197</f>
        <v>Jaden McDaniels</v>
      </c>
      <c r="D197" t="str">
        <f>IFERROR(REPLACE(PasteBBM!L197, FIND("/",PasteBBM!L197),1,","),PasteBBM!L197)</f>
        <v>F</v>
      </c>
      <c r="E197" t="str">
        <f>PasteBBM!K197</f>
        <v>MIN</v>
      </c>
      <c r="F197">
        <f>PasteBBM!T197</f>
        <v>73</v>
      </c>
      <c r="G197">
        <f>PasteBBM!V197</f>
        <v>29</v>
      </c>
      <c r="H197">
        <f>PasteBBM!AC197*PasteBBM!AD197</f>
        <v>3.632054795</v>
      </c>
      <c r="I197">
        <f>PasteBBM!AC197</f>
        <v>0.4829948083</v>
      </c>
      <c r="J197">
        <f>PasteBBM!AE197*PasteBBM!AF197</f>
        <v>0.7531506852</v>
      </c>
      <c r="K197">
        <f>PasteBBM!AE197</f>
        <v>0.7149544863</v>
      </c>
      <c r="L197">
        <f>PasteBBM!X197</f>
        <v>1.049863014</v>
      </c>
      <c r="M197">
        <f>PasteBBM!W197</f>
        <v>9.067123288</v>
      </c>
      <c r="N197">
        <f>PasteBBM!Y197</f>
        <v>3.315616438</v>
      </c>
      <c r="O197">
        <f>PasteBBM!Z197</f>
        <v>1.422328767</v>
      </c>
      <c r="P197">
        <f>PasteBBM!AA197</f>
        <v>0.8291780822</v>
      </c>
      <c r="Q197">
        <f>PasteBBM!AB197</f>
        <v>0.7697260274</v>
      </c>
      <c r="R197">
        <f>PasteBBM!AG197</f>
        <v>1.243150685</v>
      </c>
      <c r="S197">
        <f>PasteBBM!AD197</f>
        <v>7.519863014</v>
      </c>
      <c r="T197">
        <f>PasteBBM!AF197</f>
        <v>1.053424658</v>
      </c>
    </row>
    <row r="198">
      <c r="A198" s="5">
        <v>197.0</v>
      </c>
      <c r="B198">
        <f t="array" ref="B198">INDEX(PasteHashtag!$B$2:$B1000,MATCH(C198,PasteHashtag!$C$2:$C1000,0))</f>
        <v>143.9</v>
      </c>
      <c r="C198" t="str">
        <f>PasteBBM!J198</f>
        <v>Precious Achiuwa</v>
      </c>
      <c r="D198" t="str">
        <f>IFERROR(REPLACE(PasteBBM!L198, FIND("/",PasteBBM!L198),1,","),PasteBBM!L198)</f>
        <v>F,C</v>
      </c>
      <c r="E198" t="str">
        <f>PasteBBM!K198</f>
        <v>NYK</v>
      </c>
      <c r="F198">
        <f>PasteBBM!T198</f>
        <v>73</v>
      </c>
      <c r="G198">
        <f>PasteBBM!V198</f>
        <v>23</v>
      </c>
      <c r="H198">
        <f>PasteBBM!AC198*PasteBBM!AD198</f>
        <v>3.31369863</v>
      </c>
      <c r="I198">
        <f>PasteBBM!AC198</f>
        <v>0.518197982</v>
      </c>
      <c r="J198">
        <f>PasteBBM!AE198*PasteBBM!AF198</f>
        <v>0.9130136988</v>
      </c>
      <c r="K198">
        <f>PasteBBM!AE198</f>
        <v>0.6490408024</v>
      </c>
      <c r="L198">
        <f>PasteBBM!X198</f>
        <v>0.2912328767</v>
      </c>
      <c r="M198">
        <f>PasteBBM!W198</f>
        <v>7.831643836</v>
      </c>
      <c r="N198">
        <f>PasteBBM!Y198</f>
        <v>7.083972603</v>
      </c>
      <c r="O198">
        <f>PasteBBM!Z198</f>
        <v>1.012054795</v>
      </c>
      <c r="P198">
        <f>PasteBBM!AA198</f>
        <v>0.5997260274</v>
      </c>
      <c r="Q198">
        <f>PasteBBM!AB198</f>
        <v>1.012054795</v>
      </c>
      <c r="R198">
        <f>PasteBBM!AG198</f>
        <v>1.102328767</v>
      </c>
      <c r="S198">
        <f>PasteBBM!AD198</f>
        <v>6.394657534</v>
      </c>
      <c r="T198">
        <f>PasteBBM!AF198</f>
        <v>1.406712329</v>
      </c>
    </row>
    <row r="199">
      <c r="A199" s="5">
        <v>198.0</v>
      </c>
      <c r="B199">
        <f t="array" ref="B199">INDEX(PasteHashtag!$B$2:$B1000,MATCH(C199,PasteHashtag!$C$2:$C1000,0))</f>
        <v>146.5</v>
      </c>
      <c r="C199" t="str">
        <f>PasteBBM!J199</f>
        <v>De'Andre Hunter</v>
      </c>
      <c r="D199" t="str">
        <f>IFERROR(REPLACE(PasteBBM!L199, FIND("/",PasteBBM!L199),1,","),PasteBBM!L199)</f>
        <v>F</v>
      </c>
      <c r="E199" t="str">
        <f>PasteBBM!K199</f>
        <v>ATL</v>
      </c>
      <c r="F199">
        <f>PasteBBM!T199</f>
        <v>61</v>
      </c>
      <c r="G199">
        <f>PasteBBM!V199</f>
        <v>27</v>
      </c>
      <c r="H199">
        <f>PasteBBM!AC199*PasteBBM!AD199</f>
        <v>4.80065574</v>
      </c>
      <c r="I199">
        <f>PasteBBM!AC199</f>
        <v>0.4539943879</v>
      </c>
      <c r="J199">
        <f>PasteBBM!AE199*PasteBBM!AF199</f>
        <v>2.265573771</v>
      </c>
      <c r="K199">
        <f>PasteBBM!AE199</f>
        <v>0.8239923682</v>
      </c>
      <c r="L199">
        <f>PasteBBM!X199</f>
        <v>1.90852459</v>
      </c>
      <c r="M199">
        <f>PasteBBM!W199</f>
        <v>13.77540984</v>
      </c>
      <c r="N199">
        <f>PasteBBM!Y199</f>
        <v>3.487540984</v>
      </c>
      <c r="O199">
        <f>PasteBBM!Z199</f>
        <v>1.518688525</v>
      </c>
      <c r="P199">
        <f>PasteBBM!AA199</f>
        <v>0.551147541</v>
      </c>
      <c r="Q199">
        <f>PasteBBM!AB199</f>
        <v>0.2280327869</v>
      </c>
      <c r="R199">
        <f>PasteBBM!AG199</f>
        <v>1.308688525</v>
      </c>
      <c r="S199">
        <f>PasteBBM!AD199</f>
        <v>10.5742623</v>
      </c>
      <c r="T199">
        <f>PasteBBM!AF199</f>
        <v>2.749508197</v>
      </c>
    </row>
    <row r="200">
      <c r="A200" s="5">
        <v>199.0</v>
      </c>
      <c r="B200" t="str">
        <f t="array" ref="B200">INDEX(PasteHashtag!$B$2:$B1000,MATCH(C200,PasteHashtag!$C$2:$C1000,0))</f>
        <v/>
      </c>
      <c r="C200" t="str">
        <f>PasteBBM!J200</f>
        <v>Taurean Prince</v>
      </c>
      <c r="D200" t="str">
        <f>IFERROR(REPLACE(PasteBBM!L200, FIND("/",PasteBBM!L200),1,","),PasteBBM!L200)</f>
        <v>F</v>
      </c>
      <c r="E200" t="str">
        <f>PasteBBM!K200</f>
        <v>MIL</v>
      </c>
      <c r="F200">
        <f>PasteBBM!T200</f>
        <v>73</v>
      </c>
      <c r="G200">
        <f>PasteBBM!V200</f>
        <v>28</v>
      </c>
      <c r="H200">
        <f>PasteBBM!AC200*PasteBBM!AD200</f>
        <v>3.256986301</v>
      </c>
      <c r="I200">
        <f>PasteBBM!AC200</f>
        <v>0.4406308493</v>
      </c>
      <c r="J200">
        <f>PasteBBM!AE200*PasteBBM!AF200</f>
        <v>0.8279452056</v>
      </c>
      <c r="K200">
        <f>PasteBBM!AE200</f>
        <v>0.7699363057</v>
      </c>
      <c r="L200">
        <f>PasteBBM!X200</f>
        <v>1.741643836</v>
      </c>
      <c r="M200">
        <f>PasteBBM!W200</f>
        <v>9.083561644</v>
      </c>
      <c r="N200">
        <f>PasteBBM!Y200</f>
        <v>3.580547945</v>
      </c>
      <c r="O200">
        <f>PasteBBM!Z200</f>
        <v>1.591506849</v>
      </c>
      <c r="P200">
        <f>PasteBBM!AA200</f>
        <v>0.8084931507</v>
      </c>
      <c r="Q200">
        <f>PasteBBM!AB200</f>
        <v>0.4552054795</v>
      </c>
      <c r="R200">
        <f>PasteBBM!AG200</f>
        <v>1.097260274</v>
      </c>
      <c r="S200">
        <f>PasteBBM!AD200</f>
        <v>7.391643836</v>
      </c>
      <c r="T200">
        <f>PasteBBM!AF200</f>
        <v>1.075342466</v>
      </c>
    </row>
    <row r="201">
      <c r="A201" s="5">
        <v>200.0</v>
      </c>
      <c r="B201">
        <f t="array" ref="B201">INDEX(PasteHashtag!$B$2:$B1000,MATCH(C201,PasteHashtag!$C$2:$C1000,0))</f>
        <v>143.3</v>
      </c>
      <c r="C201" t="str">
        <f>PasteBBM!J201</f>
        <v>Donovan Clingan</v>
      </c>
      <c r="D201" t="str">
        <f>IFERROR(REPLACE(PasteBBM!L201, FIND("/",PasteBBM!L201),1,","),PasteBBM!L201)</f>
        <v>C</v>
      </c>
      <c r="E201" t="str">
        <f>PasteBBM!K201</f>
        <v>POR</v>
      </c>
      <c r="F201">
        <f>PasteBBM!T201</f>
        <v>68</v>
      </c>
      <c r="G201">
        <f>PasteBBM!V201</f>
        <v>20</v>
      </c>
      <c r="H201">
        <f>PasteBBM!AC201*PasteBBM!AD201</f>
        <v>3.297941176</v>
      </c>
      <c r="I201">
        <f>PasteBBM!AC201</f>
        <v>0.5475498694</v>
      </c>
      <c r="J201">
        <f>PasteBBM!AE201*PasteBBM!AF201</f>
        <v>0.926764706</v>
      </c>
      <c r="K201">
        <f>PasteBBM!AE201</f>
        <v>0.5699556842</v>
      </c>
      <c r="L201">
        <f>PasteBBM!X201</f>
        <v>0.09955882353</v>
      </c>
      <c r="M201">
        <f>PasteBBM!W201</f>
        <v>7.622205882</v>
      </c>
      <c r="N201">
        <f>PasteBBM!Y201</f>
        <v>7.0125</v>
      </c>
      <c r="O201">
        <f>PasteBBM!Z201</f>
        <v>0.9486764706</v>
      </c>
      <c r="P201">
        <f>PasteBBM!AA201</f>
        <v>0.4125</v>
      </c>
      <c r="Q201">
        <f>PasteBBM!AB201</f>
        <v>1.65</v>
      </c>
      <c r="R201">
        <f>PasteBBM!AG201</f>
        <v>1.113823529</v>
      </c>
      <c r="S201">
        <f>PasteBBM!AD201</f>
        <v>6.023088235</v>
      </c>
      <c r="T201">
        <f>PasteBBM!AF201</f>
        <v>1.626029412</v>
      </c>
    </row>
    <row r="202">
      <c r="A202" s="5">
        <v>201.0</v>
      </c>
      <c r="B202">
        <f t="array" ref="B202">INDEX(PasteHashtag!$B$2:$B1000,MATCH(C202,PasteHashtag!$C$2:$C1000,0))</f>
        <v>145.5</v>
      </c>
      <c r="C202" t="str">
        <f>PasteBBM!J202</f>
        <v>Nick Richards</v>
      </c>
      <c r="D202" t="str">
        <f>IFERROR(REPLACE(PasteBBM!L202, FIND("/",PasteBBM!L202),1,","),PasteBBM!L202)</f>
        <v>C</v>
      </c>
      <c r="E202" t="str">
        <f>PasteBBM!K202</f>
        <v>CHA</v>
      </c>
      <c r="F202">
        <f>PasteBBM!T202</f>
        <v>73</v>
      </c>
      <c r="G202">
        <f>PasteBBM!V202</f>
        <v>22</v>
      </c>
      <c r="H202">
        <f>PasteBBM!AC202*PasteBBM!AD202</f>
        <v>3.829178082</v>
      </c>
      <c r="I202">
        <f>PasteBBM!AC202</f>
        <v>0.6760096735</v>
      </c>
      <c r="J202">
        <f>PasteBBM!AE202*PasteBBM!AF202</f>
        <v>1.394383561</v>
      </c>
      <c r="K202">
        <f>PasteBBM!AE202</f>
        <v>0.7239687055</v>
      </c>
      <c r="L202">
        <f>PasteBBM!X202</f>
        <v>0</v>
      </c>
      <c r="M202">
        <f>PasteBBM!W202</f>
        <v>9.052739726</v>
      </c>
      <c r="N202">
        <f>PasteBBM!Y202</f>
        <v>7.175616438</v>
      </c>
      <c r="O202">
        <f>PasteBBM!Z202</f>
        <v>0.5990410959</v>
      </c>
      <c r="P202">
        <f>PasteBBM!AA202</f>
        <v>0.2726027397</v>
      </c>
      <c r="Q202">
        <f>PasteBBM!AB202</f>
        <v>0.8026027397</v>
      </c>
      <c r="R202">
        <f>PasteBBM!AG202</f>
        <v>1.011917808</v>
      </c>
      <c r="S202">
        <f>PasteBBM!AD202</f>
        <v>5.664383562</v>
      </c>
      <c r="T202">
        <f>PasteBBM!AF202</f>
        <v>1.926027397</v>
      </c>
    </row>
    <row r="203">
      <c r="A203" s="5">
        <v>202.0</v>
      </c>
      <c r="B203">
        <f t="array" ref="B203">INDEX(PasteHashtag!$B$2:$B1000,MATCH(C203,PasteHashtag!$C$2:$C1000,0))</f>
        <v>147</v>
      </c>
      <c r="C203" t="str">
        <f>PasteBBM!J203</f>
        <v>Patrick Williams</v>
      </c>
      <c r="D203" t="str">
        <f>IFERROR(REPLACE(PasteBBM!L203, FIND("/",PasteBBM!L203),1,","),PasteBBM!L203)</f>
        <v>F</v>
      </c>
      <c r="E203" t="str">
        <f>PasteBBM!K203</f>
        <v>CHI</v>
      </c>
      <c r="F203">
        <f>PasteBBM!T203</f>
        <v>62</v>
      </c>
      <c r="G203">
        <f>PasteBBM!V203</f>
        <v>24</v>
      </c>
      <c r="H203">
        <f>PasteBBM!AC203*PasteBBM!AD203</f>
        <v>3.303709677</v>
      </c>
      <c r="I203">
        <f>PasteBBM!AC203</f>
        <v>0.4618176899</v>
      </c>
      <c r="J203">
        <f>PasteBBM!AE203*PasteBBM!AF203</f>
        <v>1.266935484</v>
      </c>
      <c r="K203">
        <f>PasteBBM!AE203</f>
        <v>0.8049805288</v>
      </c>
      <c r="L203">
        <f>PasteBBM!X203</f>
        <v>1.133225806</v>
      </c>
      <c r="M203">
        <f>PasteBBM!W203</f>
        <v>9.007580645</v>
      </c>
      <c r="N203">
        <f>PasteBBM!Y203</f>
        <v>3.724032258</v>
      </c>
      <c r="O203">
        <f>PasteBBM!Z203</f>
        <v>1.078064516</v>
      </c>
      <c r="P203">
        <f>PasteBBM!AA203</f>
        <v>0.7738709677</v>
      </c>
      <c r="Q203">
        <f>PasteBBM!AB203</f>
        <v>0.6917741935</v>
      </c>
      <c r="R203">
        <f>PasteBBM!AG203</f>
        <v>0.98</v>
      </c>
      <c r="S203">
        <f>PasteBBM!AD203</f>
        <v>7.153709677</v>
      </c>
      <c r="T203">
        <f>PasteBBM!AF203</f>
        <v>1.573870968</v>
      </c>
    </row>
    <row r="204">
      <c r="A204" s="5">
        <v>203.0</v>
      </c>
      <c r="B204" t="str">
        <f t="array" ref="B204">INDEX(PasteHashtag!$B$2:$B1000,MATCH(C204,PasteHashtag!$C$2:$C1000,0))</f>
        <v/>
      </c>
      <c r="C204" t="str">
        <f>PasteBBM!J204</f>
        <v>Isaiah Joe</v>
      </c>
      <c r="D204" t="str">
        <f>IFERROR(REPLACE(PasteBBM!L204, FIND("/",PasteBBM!L204),1,","),PasteBBM!L204)</f>
        <v>G</v>
      </c>
      <c r="E204" t="str">
        <f>PasteBBM!K204</f>
        <v>OKC</v>
      </c>
      <c r="F204">
        <f>PasteBBM!T204</f>
        <v>73</v>
      </c>
      <c r="G204">
        <f>PasteBBM!V204</f>
        <v>23</v>
      </c>
      <c r="H204">
        <f>PasteBBM!AC204*PasteBBM!AD204</f>
        <v>3.339726028</v>
      </c>
      <c r="I204">
        <f>PasteBBM!AC204</f>
        <v>0.4481205772</v>
      </c>
      <c r="J204">
        <f>PasteBBM!AE204*PasteBBM!AF204</f>
        <v>0.7439726027</v>
      </c>
      <c r="K204">
        <f>PasteBBM!AE204</f>
        <v>0.8739942066</v>
      </c>
      <c r="L204">
        <f>PasteBBM!X204</f>
        <v>2.118493151</v>
      </c>
      <c r="M204">
        <f>PasteBBM!W204</f>
        <v>9.541917808</v>
      </c>
      <c r="N204">
        <f>PasteBBM!Y204</f>
        <v>2.855342466</v>
      </c>
      <c r="O204">
        <f>PasteBBM!Z204</f>
        <v>1.643150685</v>
      </c>
      <c r="P204">
        <f>PasteBBM!AA204</f>
        <v>0.6928767123</v>
      </c>
      <c r="Q204">
        <f>PasteBBM!AB204</f>
        <v>0.2864383562</v>
      </c>
      <c r="R204">
        <f>PasteBBM!AG204</f>
        <v>0.7176712329</v>
      </c>
      <c r="S204">
        <f>PasteBBM!AD204</f>
        <v>7.452739726</v>
      </c>
      <c r="T204">
        <f>PasteBBM!AF204</f>
        <v>0.8512328767</v>
      </c>
    </row>
    <row r="205">
      <c r="A205" s="5">
        <v>204.0</v>
      </c>
      <c r="B205" t="str">
        <f t="array" ref="B205">INDEX(PasteHashtag!$B$2:$B1000,MATCH(C205,PasteHashtag!$C$2:$C1000,0))</f>
        <v/>
      </c>
      <c r="C205" t="str">
        <f>PasteBBM!J205</f>
        <v>Kevin Huerter</v>
      </c>
      <c r="D205" t="str">
        <f>IFERROR(REPLACE(PasteBBM!L205, FIND("/",PasteBBM!L205),1,","),PasteBBM!L205)</f>
        <v>G</v>
      </c>
      <c r="E205" t="str">
        <f>PasteBBM!K205</f>
        <v>SAC</v>
      </c>
      <c r="F205">
        <f>PasteBBM!T205</f>
        <v>68</v>
      </c>
      <c r="G205">
        <f>PasteBBM!V205</f>
        <v>24</v>
      </c>
      <c r="H205">
        <f>PasteBBM!AC205*PasteBBM!AD205</f>
        <v>3.637941177</v>
      </c>
      <c r="I205">
        <f>PasteBBM!AC205</f>
        <v>0.4446801244</v>
      </c>
      <c r="J205">
        <f>PasteBBM!AE205*PasteBBM!AF205</f>
        <v>0.5422058823</v>
      </c>
      <c r="K205">
        <f>PasteBBM!AE205</f>
        <v>0.7409565916</v>
      </c>
      <c r="L205">
        <f>PasteBBM!X205</f>
        <v>1.897058824</v>
      </c>
      <c r="M205">
        <f>PasteBBM!W205</f>
        <v>9.715147059</v>
      </c>
      <c r="N205">
        <f>PasteBBM!Y205</f>
        <v>3.03</v>
      </c>
      <c r="O205">
        <f>PasteBBM!Z205</f>
        <v>2.171470588</v>
      </c>
      <c r="P205">
        <f>PasteBBM!AA205</f>
        <v>0.7547058824</v>
      </c>
      <c r="Q205">
        <f>PasteBBM!AB205</f>
        <v>0.3542647059</v>
      </c>
      <c r="R205">
        <f>PasteBBM!AG205</f>
        <v>0.8601470588</v>
      </c>
      <c r="S205">
        <f>PasteBBM!AD205</f>
        <v>8.181029412</v>
      </c>
      <c r="T205">
        <f>PasteBBM!AF205</f>
        <v>0.7317647059</v>
      </c>
    </row>
    <row r="206">
      <c r="A206" s="5">
        <v>205.0</v>
      </c>
      <c r="B206" t="str">
        <f t="array" ref="B206">INDEX(PasteHashtag!$B$2:$B1000,MATCH(C206,PasteHashtag!$C$2:$C1000,0))</f>
        <v/>
      </c>
      <c r="C206" t="str">
        <f>PasteBBM!J206</f>
        <v>Paul Reed</v>
      </c>
      <c r="D206" t="str">
        <f>IFERROR(REPLACE(PasteBBM!L206, FIND("/",PasteBBM!L206),1,","),PasteBBM!L206)</f>
        <v>F,C</v>
      </c>
      <c r="E206" t="str">
        <f>PasteBBM!K206</f>
        <v>DET</v>
      </c>
      <c r="F206">
        <f>PasteBBM!T206</f>
        <v>62</v>
      </c>
      <c r="G206">
        <f>PasteBBM!V206</f>
        <v>16</v>
      </c>
      <c r="H206">
        <f>PasteBBM!AC206*PasteBBM!AD206</f>
        <v>2.577741936</v>
      </c>
      <c r="I206">
        <f>PasteBBM!AC206</f>
        <v>0.5500412996</v>
      </c>
      <c r="J206">
        <f>PasteBBM!AE206*PasteBBM!AF206</f>
        <v>0.6769354839</v>
      </c>
      <c r="K206">
        <f>PasteBBM!AE206</f>
        <v>0.6879200131</v>
      </c>
      <c r="L206">
        <f>PasteBBM!X206</f>
        <v>0.1793548387</v>
      </c>
      <c r="M206">
        <f>PasteBBM!W206</f>
        <v>6.011774194</v>
      </c>
      <c r="N206">
        <f>PasteBBM!Y206</f>
        <v>5.148064516</v>
      </c>
      <c r="O206">
        <f>PasteBBM!Z206</f>
        <v>1.055967742</v>
      </c>
      <c r="P206">
        <f>PasteBBM!AA206</f>
        <v>0.7919354839</v>
      </c>
      <c r="Q206">
        <f>PasteBBM!AB206</f>
        <v>0.9569354839</v>
      </c>
      <c r="R206">
        <f>PasteBBM!AG206</f>
        <v>0.6930645161</v>
      </c>
      <c r="S206">
        <f>PasteBBM!AD206</f>
        <v>4.686451613</v>
      </c>
      <c r="T206">
        <f>PasteBBM!AF206</f>
        <v>0.9840322581</v>
      </c>
    </row>
    <row r="207">
      <c r="A207" s="5">
        <v>206.0</v>
      </c>
      <c r="B207" t="str">
        <f t="array" ref="B207">INDEX(PasteHashtag!$B$2:$B1000,MATCH(C207,PasteHashtag!$C$2:$C1000,0))</f>
        <v/>
      </c>
      <c r="C207" t="str">
        <f>PasteBBM!J207</f>
        <v>Day'Ron Sharpe</v>
      </c>
      <c r="D207" t="str">
        <f>IFERROR(REPLACE(PasteBBM!L207, FIND("/",PasteBBM!L207),1,","),PasteBBM!L207)</f>
        <v>C</v>
      </c>
      <c r="E207" t="str">
        <f>PasteBBM!K207</f>
        <v>BKN</v>
      </c>
      <c r="F207">
        <f>PasteBBM!T207</f>
        <v>61</v>
      </c>
      <c r="G207">
        <f>PasteBBM!V207</f>
        <v>18</v>
      </c>
      <c r="H207">
        <f>PasteBBM!AC207*PasteBBM!AD207</f>
        <v>3.328852459</v>
      </c>
      <c r="I207">
        <f>PasteBBM!AC207</f>
        <v>0.5707138842</v>
      </c>
      <c r="J207">
        <f>PasteBBM!AE207*PasteBBM!AF207</f>
        <v>1.157213115</v>
      </c>
      <c r="K207">
        <f>PasteBBM!AE207</f>
        <v>0.6199718953</v>
      </c>
      <c r="L207">
        <f>PasteBBM!X207</f>
        <v>0.09409836066</v>
      </c>
      <c r="M207">
        <f>PasteBBM!W207</f>
        <v>7.909016393</v>
      </c>
      <c r="N207">
        <f>PasteBBM!Y207</f>
        <v>7.53704918</v>
      </c>
      <c r="O207">
        <f>PasteBBM!Z207</f>
        <v>1.590819672</v>
      </c>
      <c r="P207">
        <f>PasteBBM!AA207</f>
        <v>0.5040983607</v>
      </c>
      <c r="Q207">
        <f>PasteBBM!AB207</f>
        <v>0.896557377</v>
      </c>
      <c r="R207">
        <f>PasteBBM!AG207</f>
        <v>1.347704918</v>
      </c>
      <c r="S207">
        <f>PasteBBM!AD207</f>
        <v>5.832786885</v>
      </c>
      <c r="T207">
        <f>PasteBBM!AF207</f>
        <v>1.866557377</v>
      </c>
    </row>
    <row r="208">
      <c r="A208" s="5">
        <v>207.0</v>
      </c>
      <c r="B208">
        <f t="array" ref="B208">INDEX(PasteHashtag!$B$2:$B1000,MATCH(C208,PasteHashtag!$C$2:$C1000,0))</f>
        <v>142.3</v>
      </c>
      <c r="C208" t="str">
        <f>PasteBBM!J208</f>
        <v>Simone Fontecchio</v>
      </c>
      <c r="D208" t="str">
        <f>IFERROR(REPLACE(PasteBBM!L208, FIND("/",PasteBBM!L208),1,","),PasteBBM!L208)</f>
        <v>F</v>
      </c>
      <c r="E208" t="str">
        <f>PasteBBM!K208</f>
        <v>DET</v>
      </c>
      <c r="F208">
        <f>PasteBBM!T208</f>
        <v>69</v>
      </c>
      <c r="G208">
        <f>PasteBBM!V208</f>
        <v>26</v>
      </c>
      <c r="H208">
        <f>PasteBBM!AC208*PasteBBM!AD208</f>
        <v>3.65884058</v>
      </c>
      <c r="I208">
        <f>PasteBBM!AC208</f>
        <v>0.4488975818</v>
      </c>
      <c r="J208">
        <f>PasteBBM!AE208*PasteBBM!AF208</f>
        <v>0.9585507244</v>
      </c>
      <c r="K208">
        <f>PasteBBM!AE208</f>
        <v>0.83997968</v>
      </c>
      <c r="L208">
        <f>PasteBBM!X208</f>
        <v>1.834347826</v>
      </c>
      <c r="M208">
        <f>PasteBBM!W208</f>
        <v>10.11057971</v>
      </c>
      <c r="N208">
        <f>PasteBBM!Y208</f>
        <v>3.700144928</v>
      </c>
      <c r="O208">
        <f>PasteBBM!Z208</f>
        <v>1.527826087</v>
      </c>
      <c r="P208">
        <f>PasteBBM!AA208</f>
        <v>0.6389855072</v>
      </c>
      <c r="Q208">
        <f>PasteBBM!AB208</f>
        <v>0.2694202899</v>
      </c>
      <c r="R208">
        <f>PasteBBM!AG208</f>
        <v>1.022898551</v>
      </c>
      <c r="S208">
        <f>PasteBBM!AD208</f>
        <v>8.150724638</v>
      </c>
      <c r="T208">
        <f>PasteBBM!AF208</f>
        <v>1.14115942</v>
      </c>
    </row>
    <row r="209">
      <c r="A209" s="5">
        <v>208.0</v>
      </c>
      <c r="B209" t="str">
        <f t="array" ref="B209">INDEX(PasteHashtag!$B$2:$B1000,MATCH(C209,PasteHashtag!$C$2:$C1000,0))</f>
        <v/>
      </c>
      <c r="C209" t="str">
        <f>PasteBBM!J209</f>
        <v>Cason Wallace</v>
      </c>
      <c r="D209" t="str">
        <f>IFERROR(REPLACE(PasteBBM!L209, FIND("/",PasteBBM!L209),1,","),PasteBBM!L209)</f>
        <v>G,F</v>
      </c>
      <c r="E209" t="str">
        <f>PasteBBM!K209</f>
        <v>OKC</v>
      </c>
      <c r="F209">
        <f>PasteBBM!T209</f>
        <v>73</v>
      </c>
      <c r="G209">
        <f>PasteBBM!V209</f>
        <v>21</v>
      </c>
      <c r="H209">
        <f>PasteBBM!AC209*PasteBBM!AD209</f>
        <v>2.593150685</v>
      </c>
      <c r="I209">
        <f>PasteBBM!AC209</f>
        <v>0.4621243561</v>
      </c>
      <c r="J209">
        <f>PasteBBM!AE209*PasteBBM!AF209</f>
        <v>0.4304109589</v>
      </c>
      <c r="K209">
        <f>PasteBBM!AE209</f>
        <v>0.7669026117</v>
      </c>
      <c r="L209">
        <f>PasteBBM!X209</f>
        <v>1.130547945</v>
      </c>
      <c r="M209">
        <f>PasteBBM!W209</f>
        <v>6.747260274</v>
      </c>
      <c r="N209">
        <f>PasteBBM!Y209</f>
        <v>2.386164384</v>
      </c>
      <c r="O209">
        <f>PasteBBM!Z209</f>
        <v>1.944246575</v>
      </c>
      <c r="P209">
        <f>PasteBBM!AA209</f>
        <v>1.060547945</v>
      </c>
      <c r="Q209">
        <f>PasteBBM!AB209</f>
        <v>0.3976712329</v>
      </c>
      <c r="R209">
        <f>PasteBBM!AG209</f>
        <v>0.7069863014</v>
      </c>
      <c r="S209">
        <f>PasteBBM!AD209</f>
        <v>5.611369863</v>
      </c>
      <c r="T209">
        <f>PasteBBM!AF209</f>
        <v>0.5612328767</v>
      </c>
    </row>
    <row r="210">
      <c r="A210" s="5">
        <v>209.0</v>
      </c>
      <c r="B210">
        <f t="array" ref="B210">INDEX(PasteHashtag!$B$2:$B1000,MATCH(C210,PasteHashtag!$C$2:$C1000,0))</f>
        <v>142.5</v>
      </c>
      <c r="C210" t="str">
        <f>PasteBBM!J210</f>
        <v>Christian Braun</v>
      </c>
      <c r="D210" t="str">
        <f>IFERROR(REPLACE(PasteBBM!L210, FIND("/",PasteBBM!L210),1,","),PasteBBM!L210)</f>
        <v>G,F</v>
      </c>
      <c r="E210" t="str">
        <f>PasteBBM!K210</f>
        <v>DEN</v>
      </c>
      <c r="F210">
        <f>PasteBBM!T210</f>
        <v>77</v>
      </c>
      <c r="G210">
        <f>PasteBBM!V210</f>
        <v>28</v>
      </c>
      <c r="H210">
        <f>PasteBBM!AC210*PasteBBM!AD210</f>
        <v>3.331818182</v>
      </c>
      <c r="I210">
        <f>PasteBBM!AC210</f>
        <v>0.4662510904</v>
      </c>
      <c r="J210">
        <f>PasteBBM!AE210*PasteBBM!AF210</f>
        <v>1.014415585</v>
      </c>
      <c r="K210">
        <f>PasteBBM!AE210</f>
        <v>0.6759844223</v>
      </c>
      <c r="L210">
        <f>PasteBBM!X210</f>
        <v>1.088831169</v>
      </c>
      <c r="M210">
        <f>PasteBBM!W210</f>
        <v>8.766883117</v>
      </c>
      <c r="N210">
        <f>PasteBBM!Y210</f>
        <v>4.23038961</v>
      </c>
      <c r="O210">
        <f>PasteBBM!Z210</f>
        <v>1.829350649</v>
      </c>
      <c r="P210">
        <f>PasteBBM!AA210</f>
        <v>0.8515584416</v>
      </c>
      <c r="Q210">
        <f>PasteBBM!AB210</f>
        <v>0.5493506494</v>
      </c>
      <c r="R210">
        <f>PasteBBM!AG210</f>
        <v>0.8842857143</v>
      </c>
      <c r="S210">
        <f>PasteBBM!AD210</f>
        <v>7.145974026</v>
      </c>
      <c r="T210">
        <f>PasteBBM!AF210</f>
        <v>1.500649351</v>
      </c>
    </row>
    <row r="211">
      <c r="A211" s="5">
        <v>210.0</v>
      </c>
      <c r="B211">
        <f t="array" ref="B211">INDEX(PasteHashtag!$B$2:$B1000,MATCH(C211,PasteHashtag!$C$2:$C1000,0))</f>
        <v>143.1</v>
      </c>
      <c r="C211" t="str">
        <f>PasteBBM!J211</f>
        <v>Grant Williams</v>
      </c>
      <c r="D211" t="str">
        <f>IFERROR(REPLACE(PasteBBM!L211, FIND("/",PasteBBM!L211),1,","),PasteBBM!L211)</f>
        <v>F</v>
      </c>
      <c r="E211" t="str">
        <f>PasteBBM!K211</f>
        <v>CHA</v>
      </c>
      <c r="F211">
        <f>PasteBBM!T211</f>
        <v>75</v>
      </c>
      <c r="G211">
        <f>PasteBBM!V211</f>
        <v>25</v>
      </c>
      <c r="H211">
        <f>PasteBBM!AC211*PasteBBM!AD211</f>
        <v>3.5436</v>
      </c>
      <c r="I211">
        <f>PasteBBM!AC211</f>
        <v>0.4856819137</v>
      </c>
      <c r="J211">
        <f>PasteBBM!AE211*PasteBBM!AF211</f>
        <v>1.240666667</v>
      </c>
      <c r="K211">
        <f>PasteBBM!AE211</f>
        <v>0.7729689317</v>
      </c>
      <c r="L211">
        <f>PasteBBM!X211</f>
        <v>1.282</v>
      </c>
      <c r="M211">
        <f>PasteBBM!W211</f>
        <v>9.609866667</v>
      </c>
      <c r="N211">
        <f>PasteBBM!Y211</f>
        <v>4.345333333</v>
      </c>
      <c r="O211">
        <f>PasteBBM!Z211</f>
        <v>2.038533333</v>
      </c>
      <c r="P211">
        <f>PasteBBM!AA211</f>
        <v>0.5184</v>
      </c>
      <c r="Q211">
        <f>PasteBBM!AB211</f>
        <v>0.4388</v>
      </c>
      <c r="R211">
        <f>PasteBBM!AG211</f>
        <v>1.180266667</v>
      </c>
      <c r="S211">
        <f>PasteBBM!AD211</f>
        <v>7.296133333</v>
      </c>
      <c r="T211">
        <f>PasteBBM!AF211</f>
        <v>1.605066667</v>
      </c>
    </row>
    <row r="212">
      <c r="A212" s="5">
        <v>211.0</v>
      </c>
      <c r="B212">
        <f t="array" ref="B212">INDEX(PasteHashtag!$B$2:$B1000,MATCH(C212,PasteHashtag!$C$2:$C1000,0))</f>
        <v>142.2</v>
      </c>
      <c r="C212" t="str">
        <f>PasteBBM!J212</f>
        <v>Kyle Anderson</v>
      </c>
      <c r="D212" t="str">
        <f>IFERROR(REPLACE(PasteBBM!L212, FIND("/",PasteBBM!L212),1,","),PasteBBM!L212)</f>
        <v>F</v>
      </c>
      <c r="E212" t="str">
        <f>PasteBBM!K212</f>
        <v>GSW</v>
      </c>
      <c r="F212">
        <f>PasteBBM!T212</f>
        <v>73</v>
      </c>
      <c r="G212">
        <f>PasteBBM!V212</f>
        <v>21</v>
      </c>
      <c r="H212">
        <f>PasteBBM!AC212*PasteBBM!AD212</f>
        <v>2.556438356</v>
      </c>
      <c r="I212">
        <f>PasteBBM!AC212</f>
        <v>0.4789795185</v>
      </c>
      <c r="J212">
        <f>PasteBBM!AE212*PasteBBM!AF212</f>
        <v>0.8431506847</v>
      </c>
      <c r="K212">
        <f>PasteBBM!AE212</f>
        <v>0.7180354643</v>
      </c>
      <c r="L212">
        <f>PasteBBM!X212</f>
        <v>0.2063013699</v>
      </c>
      <c r="M212">
        <f>PasteBBM!W212</f>
        <v>6.162328767</v>
      </c>
      <c r="N212">
        <f>PasteBBM!Y212</f>
        <v>3.718767123</v>
      </c>
      <c r="O212">
        <f>PasteBBM!Z212</f>
        <v>3.5</v>
      </c>
      <c r="P212">
        <f>PasteBBM!AA212</f>
        <v>0.9246575342</v>
      </c>
      <c r="Q212">
        <f>PasteBBM!AB212</f>
        <v>0.5228767123</v>
      </c>
      <c r="R212">
        <f>PasteBBM!AG212</f>
        <v>0.9591780822</v>
      </c>
      <c r="S212">
        <f>PasteBBM!AD212</f>
        <v>5.337260274</v>
      </c>
      <c r="T212">
        <f>PasteBBM!AF212</f>
        <v>1.174246575</v>
      </c>
    </row>
    <row r="213">
      <c r="A213" s="5">
        <v>212.0</v>
      </c>
      <c r="B213" t="str">
        <f t="array" ref="B213">INDEX(PasteHashtag!$B$2:$B1000,MATCH(C213,PasteHashtag!$C$2:$C1000,0))</f>
        <v/>
      </c>
      <c r="C213" t="str">
        <f>PasteBBM!J213</f>
        <v>Aaron Wiggins</v>
      </c>
      <c r="D213" t="str">
        <f>IFERROR(REPLACE(PasteBBM!L213, FIND("/",PasteBBM!L213),1,","),PasteBBM!L213)</f>
        <v>G,F</v>
      </c>
      <c r="E213" t="str">
        <f>PasteBBM!K213</f>
        <v>OKC</v>
      </c>
      <c r="F213">
        <f>PasteBBM!T213</f>
        <v>73</v>
      </c>
      <c r="G213">
        <f>PasteBBM!V213</f>
        <v>22</v>
      </c>
      <c r="H213">
        <f>PasteBBM!AC213*PasteBBM!AD213</f>
        <v>3.690547945</v>
      </c>
      <c r="I213">
        <f>PasteBBM!AC213</f>
        <v>0.5176979247</v>
      </c>
      <c r="J213">
        <f>PasteBBM!AE213*PasteBBM!AF213</f>
        <v>1.033150685</v>
      </c>
      <c r="K213">
        <f>PasteBBM!AE213</f>
        <v>0.7880054331</v>
      </c>
      <c r="L213">
        <f>PasteBBM!X213</f>
        <v>0.8015068493</v>
      </c>
      <c r="M213">
        <f>PasteBBM!W213</f>
        <v>9.215753425</v>
      </c>
      <c r="N213">
        <f>PasteBBM!Y213</f>
        <v>2.916438356</v>
      </c>
      <c r="O213">
        <f>PasteBBM!Z213</f>
        <v>1.58109589</v>
      </c>
      <c r="P213">
        <f>PasteBBM!AA213</f>
        <v>0.8332876712</v>
      </c>
      <c r="Q213">
        <f>PasteBBM!AB213</f>
        <v>0.3216438356</v>
      </c>
      <c r="R213">
        <f>PasteBBM!AG213</f>
        <v>0.965890411</v>
      </c>
      <c r="S213">
        <f>PasteBBM!AD213</f>
        <v>7.128767123</v>
      </c>
      <c r="T213">
        <f>PasteBBM!AF213</f>
        <v>1.31109589</v>
      </c>
    </row>
    <row r="214">
      <c r="A214" s="5">
        <v>213.0</v>
      </c>
      <c r="B214">
        <f t="array" ref="B214">INDEX(PasteHashtag!$B$2:$B1000,MATCH(C214,PasteHashtag!$C$2:$C1000,0))</f>
        <v>141.7</v>
      </c>
      <c r="C214" t="str">
        <f>PasteBBM!J214</f>
        <v>Cole Anthony</v>
      </c>
      <c r="D214" t="str">
        <f>IFERROR(REPLACE(PasteBBM!L214, FIND("/",PasteBBM!L214),1,","),PasteBBM!L214)</f>
        <v>G</v>
      </c>
      <c r="E214" t="str">
        <f>PasteBBM!K214</f>
        <v>ORL</v>
      </c>
      <c r="F214">
        <f>PasteBBM!T214</f>
        <v>77</v>
      </c>
      <c r="G214">
        <f>PasteBBM!V214</f>
        <v>20</v>
      </c>
      <c r="H214">
        <f>PasteBBM!AC214*PasteBBM!AD214</f>
        <v>3.845584416</v>
      </c>
      <c r="I214">
        <f>PasteBBM!AC214</f>
        <v>0.4364700333</v>
      </c>
      <c r="J214">
        <f>PasteBBM!AE214*PasteBBM!AF214</f>
        <v>1.100909091</v>
      </c>
      <c r="K214">
        <f>PasteBBM!AE214</f>
        <v>0.833038522</v>
      </c>
      <c r="L214">
        <f>PasteBBM!X214</f>
        <v>1.251948052</v>
      </c>
      <c r="M214">
        <f>PasteBBM!W214</f>
        <v>10.04402597</v>
      </c>
      <c r="N214">
        <f>PasteBBM!Y214</f>
        <v>3.394935065</v>
      </c>
      <c r="O214">
        <f>PasteBBM!Z214</f>
        <v>2.748311688</v>
      </c>
      <c r="P214">
        <f>PasteBBM!AA214</f>
        <v>0.6062337662</v>
      </c>
      <c r="Q214">
        <f>PasteBBM!AB214</f>
        <v>0.4068831169</v>
      </c>
      <c r="R214">
        <f>PasteBBM!AG214</f>
        <v>1.341428571</v>
      </c>
      <c r="S214">
        <f>PasteBBM!AD214</f>
        <v>8.810649351</v>
      </c>
      <c r="T214">
        <f>PasteBBM!AF214</f>
        <v>1.321558442</v>
      </c>
    </row>
    <row r="215">
      <c r="A215" s="5">
        <v>214.0</v>
      </c>
      <c r="B215" t="str">
        <f t="array" ref="B215">INDEX(PasteHashtag!$B$2:$B1000,MATCH(C215,PasteHashtag!$C$2:$C1000,0))</f>
        <v/>
      </c>
      <c r="C215" t="str">
        <f>PasteBBM!J215</f>
        <v>Lonzo Ball</v>
      </c>
      <c r="D215" t="str">
        <f>IFERROR(REPLACE(PasteBBM!L215, FIND("/",PasteBBM!L215),1,","),PasteBBM!L215)</f>
        <v>G</v>
      </c>
      <c r="E215" t="str">
        <f>PasteBBM!K215</f>
        <v>CHI</v>
      </c>
      <c r="F215">
        <f>PasteBBM!T215</f>
        <v>41</v>
      </c>
      <c r="G215">
        <f>PasteBBM!V215</f>
        <v>19</v>
      </c>
      <c r="H215">
        <f>PasteBBM!AC215*PasteBBM!AD215</f>
        <v>2.468780488</v>
      </c>
      <c r="I215">
        <f>PasteBBM!AC215</f>
        <v>0.4132103201</v>
      </c>
      <c r="J215">
        <f>PasteBBM!AE215*PasteBBM!AF215</f>
        <v>0.3031707317</v>
      </c>
      <c r="K215">
        <f>PasteBBM!AE215</f>
        <v>0.7407628129</v>
      </c>
      <c r="L215">
        <f>PasteBBM!X215</f>
        <v>1.583658537</v>
      </c>
      <c r="M215">
        <f>PasteBBM!W215</f>
        <v>6.824390244</v>
      </c>
      <c r="N215">
        <f>PasteBBM!Y215</f>
        <v>2.909268293</v>
      </c>
      <c r="O215">
        <f>PasteBBM!Z215</f>
        <v>2.715365854</v>
      </c>
      <c r="P215">
        <f>PasteBBM!AA215</f>
        <v>0.8475609756</v>
      </c>
      <c r="Q215">
        <f>PasteBBM!AB215</f>
        <v>0.3490243902</v>
      </c>
      <c r="R215">
        <f>PasteBBM!AG215</f>
        <v>1.306829268</v>
      </c>
      <c r="S215">
        <f>PasteBBM!AD215</f>
        <v>5.974634146</v>
      </c>
      <c r="T215">
        <f>PasteBBM!AF215</f>
        <v>0.4092682927</v>
      </c>
    </row>
    <row r="216">
      <c r="A216" s="5">
        <v>215.0</v>
      </c>
      <c r="B216" t="str">
        <f t="array" ref="B216">INDEX(PasteHashtag!$B$2:$B1000,MATCH(C216,PasteHashtag!$C$2:$C1000,0))</f>
        <v/>
      </c>
      <c r="C216" t="str">
        <f>PasteBBM!J216</f>
        <v>Gary Payton II</v>
      </c>
      <c r="D216" t="str">
        <f>IFERROR(REPLACE(PasteBBM!L216, FIND("/",PasteBBM!L216),1,","),PasteBBM!L216)</f>
        <v>G</v>
      </c>
      <c r="E216" t="str">
        <f>PasteBBM!K216</f>
        <v>GSW</v>
      </c>
      <c r="F216">
        <f>PasteBBM!T216</f>
        <v>68</v>
      </c>
      <c r="G216">
        <f>PasteBBM!V216</f>
        <v>18</v>
      </c>
      <c r="H216">
        <f>PasteBBM!AC216*PasteBBM!AD216</f>
        <v>2.495</v>
      </c>
      <c r="I216">
        <f>PasteBBM!AC216</f>
        <v>0.5452675558</v>
      </c>
      <c r="J216">
        <f>PasteBBM!AE216*PasteBBM!AF216</f>
        <v>0.3808823529</v>
      </c>
      <c r="K216">
        <f>PasteBBM!AE216</f>
        <v>0.6420426376</v>
      </c>
      <c r="L216">
        <f>PasteBBM!X216</f>
        <v>0.5298529412</v>
      </c>
      <c r="M216">
        <f>PasteBBM!W216</f>
        <v>5.900735294</v>
      </c>
      <c r="N216">
        <f>PasteBBM!Y216</f>
        <v>3.225</v>
      </c>
      <c r="O216">
        <f>PasteBBM!Z216</f>
        <v>1.195294118</v>
      </c>
      <c r="P216">
        <f>PasteBBM!AA216</f>
        <v>1.123382353</v>
      </c>
      <c r="Q216">
        <f>PasteBBM!AB216</f>
        <v>0.3752941176</v>
      </c>
      <c r="R216">
        <f>PasteBBM!AG216</f>
        <v>0.6754411765</v>
      </c>
      <c r="S216">
        <f>PasteBBM!AD216</f>
        <v>4.575735294</v>
      </c>
      <c r="T216">
        <f>PasteBBM!AF216</f>
        <v>0.5932352941</v>
      </c>
    </row>
    <row r="217">
      <c r="A217" s="5">
        <v>216.0</v>
      </c>
      <c r="B217">
        <f t="array" ref="B217">INDEX(PasteHashtag!$B$2:$B1000,MATCH(C217,PasteHashtag!$C$2:$C1000,0))</f>
        <v>143</v>
      </c>
      <c r="C217" t="str">
        <f>PasteBBM!J217</f>
        <v>Bennedict Mathurin</v>
      </c>
      <c r="D217" t="str">
        <f>IFERROR(REPLACE(PasteBBM!L217, FIND("/",PasteBBM!L217),1,","),PasteBBM!L217)</f>
        <v>G,F</v>
      </c>
      <c r="E217" t="str">
        <f>PasteBBM!K217</f>
        <v>IND</v>
      </c>
      <c r="F217">
        <f>PasteBBM!T217</f>
        <v>68</v>
      </c>
      <c r="G217">
        <f>PasteBBM!V217</f>
        <v>25</v>
      </c>
      <c r="H217">
        <f>PasteBBM!AC217*PasteBBM!AD217</f>
        <v>4.899705881</v>
      </c>
      <c r="I217">
        <f>PasteBBM!AC217</f>
        <v>0.4521189258</v>
      </c>
      <c r="J217">
        <f>PasteBBM!AE217*PasteBBM!AF217</f>
        <v>3.321911765</v>
      </c>
      <c r="K217">
        <f>PasteBBM!AE217</f>
        <v>0.814018018</v>
      </c>
      <c r="L217">
        <f>PasteBBM!X217</f>
        <v>1.233676471</v>
      </c>
      <c r="M217">
        <f>PasteBBM!W217</f>
        <v>14.355</v>
      </c>
      <c r="N217">
        <f>PasteBBM!Y217</f>
        <v>3.755147059</v>
      </c>
      <c r="O217">
        <f>PasteBBM!Z217</f>
        <v>1.663088235</v>
      </c>
      <c r="P217">
        <f>PasteBBM!AA217</f>
        <v>0.5335294118</v>
      </c>
      <c r="Q217">
        <f>PasteBBM!AB217</f>
        <v>0.2152941176</v>
      </c>
      <c r="R217">
        <f>PasteBBM!AG217</f>
        <v>1.394852941</v>
      </c>
      <c r="S217">
        <f>PasteBBM!AD217</f>
        <v>10.83720588</v>
      </c>
      <c r="T217">
        <f>PasteBBM!AF217</f>
        <v>4.080882353</v>
      </c>
    </row>
    <row r="218">
      <c r="A218" s="5">
        <v>217.0</v>
      </c>
      <c r="B218">
        <f t="array" ref="B218">INDEX(PasteHashtag!$B$2:$B1000,MATCH(C218,PasteHashtag!$C$2:$C1000,0))</f>
        <v>143.2</v>
      </c>
      <c r="C218" t="str">
        <f>PasteBBM!J218</f>
        <v>Zach Collins</v>
      </c>
      <c r="D218" t="str">
        <f>IFERROR(REPLACE(PasteBBM!L218, FIND("/",PasteBBM!L218),1,","),PasteBBM!L218)</f>
        <v>F,C</v>
      </c>
      <c r="E218" t="str">
        <f>PasteBBM!K218</f>
        <v>SAS</v>
      </c>
      <c r="F218">
        <f>PasteBBM!T218</f>
        <v>68</v>
      </c>
      <c r="G218">
        <f>PasteBBM!V218</f>
        <v>18</v>
      </c>
      <c r="H218">
        <f>PasteBBM!AC218*PasteBBM!AD218</f>
        <v>3.654411765</v>
      </c>
      <c r="I218">
        <f>PasteBBM!AC218</f>
        <v>0.4972486243</v>
      </c>
      <c r="J218">
        <f>PasteBBM!AE218*PasteBBM!AF218</f>
        <v>1.354264706</v>
      </c>
      <c r="K218">
        <f>PasteBBM!AE218</f>
        <v>0.7600066023</v>
      </c>
      <c r="L218">
        <f>PasteBBM!X218</f>
        <v>0.6720588235</v>
      </c>
      <c r="M218">
        <f>PasteBBM!W218</f>
        <v>9.335147059</v>
      </c>
      <c r="N218">
        <f>PasteBBM!Y218</f>
        <v>4.725</v>
      </c>
      <c r="O218">
        <f>PasteBBM!Z218</f>
        <v>2.0625</v>
      </c>
      <c r="P218">
        <f>PasteBBM!AA218</f>
        <v>0.4125</v>
      </c>
      <c r="Q218">
        <f>PasteBBM!AB218</f>
        <v>0.75</v>
      </c>
      <c r="R218">
        <f>PasteBBM!AG218</f>
        <v>1.35</v>
      </c>
      <c r="S218">
        <f>PasteBBM!AD218</f>
        <v>7.349264706</v>
      </c>
      <c r="T218">
        <f>PasteBBM!AF218</f>
        <v>1.781911765</v>
      </c>
    </row>
    <row r="219">
      <c r="A219" s="5">
        <v>218.0</v>
      </c>
      <c r="B219" t="str">
        <f t="array" ref="B219">INDEX(PasteHashtag!$B$2:$B1000,MATCH(C219,PasteHashtag!$C$2:$C1000,0))</f>
        <v/>
      </c>
      <c r="C219" t="str">
        <f>PasteBBM!J219</f>
        <v>Naji Marshall</v>
      </c>
      <c r="D219" t="str">
        <f>IFERROR(REPLACE(PasteBBM!L219, FIND("/",PasteBBM!L219),1,","),PasteBBM!L219)</f>
        <v>G,F</v>
      </c>
      <c r="E219" t="str">
        <f>PasteBBM!K219</f>
        <v>DAL</v>
      </c>
      <c r="F219">
        <f>PasteBBM!T219</f>
        <v>73</v>
      </c>
      <c r="G219">
        <f>PasteBBM!V219</f>
        <v>24</v>
      </c>
      <c r="H219">
        <f>PasteBBM!AC219*PasteBBM!AD219</f>
        <v>3.088630137</v>
      </c>
      <c r="I219">
        <f>PasteBBM!AC219</f>
        <v>0.4497436818</v>
      </c>
      <c r="J219">
        <f>PasteBBM!AE219*PasteBBM!AF219</f>
        <v>0.7461643835</v>
      </c>
      <c r="K219">
        <f>PasteBBM!AE219</f>
        <v>0.7760364724</v>
      </c>
      <c r="L219">
        <f>PasteBBM!X219</f>
        <v>0.9264383562</v>
      </c>
      <c r="M219">
        <f>PasteBBM!W219</f>
        <v>7.849863014</v>
      </c>
      <c r="N219">
        <f>PasteBBM!Y219</f>
        <v>4.242054795</v>
      </c>
      <c r="O219">
        <f>PasteBBM!Z219</f>
        <v>2.171506849</v>
      </c>
      <c r="P219">
        <f>PasteBBM!AA219</f>
        <v>0.8584931507</v>
      </c>
      <c r="Q219">
        <f>PasteBBM!AB219</f>
        <v>0.1960273973</v>
      </c>
      <c r="R219">
        <f>PasteBBM!AG219</f>
        <v>1.01</v>
      </c>
      <c r="S219">
        <f>PasteBBM!AD219</f>
        <v>6.867534247</v>
      </c>
      <c r="T219">
        <f>PasteBBM!AF219</f>
        <v>0.9615068493</v>
      </c>
    </row>
    <row r="220">
      <c r="A220" s="5">
        <v>219.0</v>
      </c>
      <c r="B220" t="str">
        <f t="array" ref="B220">INDEX(PasteHashtag!$B$2:$B1000,MATCH(C220,PasteHashtag!$C$2:$C1000,0))</f>
        <v/>
      </c>
      <c r="C220" t="str">
        <f>PasteBBM!J220</f>
        <v>Dean Wade</v>
      </c>
      <c r="D220" t="str">
        <f>IFERROR(REPLACE(PasteBBM!L220, FIND("/",PasteBBM!L220),1,","),PasteBBM!L220)</f>
        <v>F</v>
      </c>
      <c r="E220" t="str">
        <f>PasteBBM!K220</f>
        <v>CLE</v>
      </c>
      <c r="F220">
        <f>PasteBBM!T220</f>
        <v>68</v>
      </c>
      <c r="G220">
        <f>PasteBBM!V220</f>
        <v>23</v>
      </c>
      <c r="H220">
        <f>PasteBBM!AC220*PasteBBM!AD220</f>
        <v>1.997794117</v>
      </c>
      <c r="I220">
        <f>PasteBBM!AC220</f>
        <v>0.3968508997</v>
      </c>
      <c r="J220">
        <f>PasteBBM!AE220*PasteBBM!AF220</f>
        <v>0.4573529412</v>
      </c>
      <c r="K220">
        <f>PasteBBM!AE220</f>
        <v>0.741889313</v>
      </c>
      <c r="L220">
        <f>PasteBBM!X220</f>
        <v>1.624852941</v>
      </c>
      <c r="M220">
        <f>PasteBBM!W220</f>
        <v>6.077794118</v>
      </c>
      <c r="N220">
        <f>PasteBBM!Y220</f>
        <v>4.301029412</v>
      </c>
      <c r="O220">
        <f>PasteBBM!Z220</f>
        <v>1.008970588</v>
      </c>
      <c r="P220">
        <f>PasteBBM!AA220</f>
        <v>0.8408823529</v>
      </c>
      <c r="Q220">
        <f>PasteBBM!AB220</f>
        <v>0.4851470588</v>
      </c>
      <c r="R220">
        <f>PasteBBM!AG220</f>
        <v>0.4372058824</v>
      </c>
      <c r="S220">
        <f>PasteBBM!AD220</f>
        <v>5.034117647</v>
      </c>
      <c r="T220">
        <f>PasteBBM!AF220</f>
        <v>0.6164705882</v>
      </c>
    </row>
    <row r="221">
      <c r="A221" s="5">
        <v>220.0</v>
      </c>
      <c r="B221" t="str">
        <f t="array" ref="B221">INDEX(PasteHashtag!$B$2:$B1000,MATCH(C221,PasteHashtag!$C$2:$C1000,0))</f>
        <v>#N/A</v>
      </c>
      <c r="C221" t="str">
        <f>PasteBBM!J221</f>
        <v>Derrick Jones</v>
      </c>
      <c r="D221" t="str">
        <f>IFERROR(REPLACE(PasteBBM!L221, FIND("/",PasteBBM!L221),1,","),PasteBBM!L221)</f>
        <v>F</v>
      </c>
      <c r="E221" t="str">
        <f>PasteBBM!K221</f>
        <v>LAC</v>
      </c>
      <c r="F221">
        <f>PasteBBM!T221</f>
        <v>73</v>
      </c>
      <c r="G221">
        <f>PasteBBM!V221</f>
        <v>25</v>
      </c>
      <c r="H221">
        <f>PasteBBM!AC221*PasteBBM!AD221</f>
        <v>3.273835616</v>
      </c>
      <c r="I221">
        <f>PasteBBM!AC221</f>
        <v>0.4751481172</v>
      </c>
      <c r="J221">
        <f>PasteBBM!AE221*PasteBBM!AF221</f>
        <v>1.593424658</v>
      </c>
      <c r="K221">
        <f>PasteBBM!AE221</f>
        <v>0.7240134445</v>
      </c>
      <c r="L221">
        <f>PasteBBM!X221</f>
        <v>0.964109589</v>
      </c>
      <c r="M221">
        <f>PasteBBM!W221</f>
        <v>9.105205479</v>
      </c>
      <c r="N221">
        <f>PasteBBM!Y221</f>
        <v>3.828082192</v>
      </c>
      <c r="O221">
        <f>PasteBBM!Z221</f>
        <v>0.9187671233</v>
      </c>
      <c r="P221">
        <f>PasteBBM!AA221</f>
        <v>0.7275342466</v>
      </c>
      <c r="Q221">
        <f>PasteBBM!AB221</f>
        <v>0.8167123288</v>
      </c>
      <c r="R221">
        <f>PasteBBM!AG221</f>
        <v>0.8167123288</v>
      </c>
      <c r="S221">
        <f>PasteBBM!AD221</f>
        <v>6.890136986</v>
      </c>
      <c r="T221">
        <f>PasteBBM!AF221</f>
        <v>2.200821918</v>
      </c>
    </row>
    <row r="222">
      <c r="A222" s="5">
        <v>221.0</v>
      </c>
      <c r="B222" t="str">
        <f t="array" ref="B222">INDEX(PasteHashtag!$B$2:$B1000,MATCH(C222,PasteHashtag!$C$2:$C1000,0))</f>
        <v>#N/A</v>
      </c>
      <c r="C222" t="str">
        <f>PasteBBM!J222</f>
        <v>Bub Carrington</v>
      </c>
      <c r="D222" t="str">
        <f>IFERROR(REPLACE(PasteBBM!L222, FIND("/",PasteBBM!L222),1,","),PasteBBM!L222)</f>
        <v>G</v>
      </c>
      <c r="E222" t="str">
        <f>PasteBBM!K222</f>
        <v>WAS</v>
      </c>
      <c r="F222">
        <f>PasteBBM!T222</f>
        <v>73</v>
      </c>
      <c r="G222">
        <f>PasteBBM!V222</f>
        <v>25</v>
      </c>
      <c r="H222">
        <f>PasteBBM!AC222*PasteBBM!AD222</f>
        <v>3.47</v>
      </c>
      <c r="I222">
        <f>PasteBBM!AC222</f>
        <v>0.3813473843</v>
      </c>
      <c r="J222">
        <f>PasteBBM!AE222*PasteBBM!AF222</f>
        <v>1.044246575</v>
      </c>
      <c r="K222">
        <f>PasteBBM!AE222</f>
        <v>0.764977421</v>
      </c>
      <c r="L222">
        <f>PasteBBM!X222</f>
        <v>1.670273973</v>
      </c>
      <c r="M222">
        <f>PasteBBM!W222</f>
        <v>9.654520548</v>
      </c>
      <c r="N222">
        <f>PasteBBM!Y222</f>
        <v>3.737534247</v>
      </c>
      <c r="O222">
        <f>PasteBBM!Z222</f>
        <v>4.170821918</v>
      </c>
      <c r="P222">
        <f>PasteBBM!AA222</f>
        <v>0.65</v>
      </c>
      <c r="Q222">
        <f>PasteBBM!AB222</f>
        <v>0.2167123288</v>
      </c>
      <c r="R222">
        <f>PasteBBM!AG222</f>
        <v>2.166712329</v>
      </c>
      <c r="S222">
        <f>PasteBBM!AD222</f>
        <v>9.099315068</v>
      </c>
      <c r="T222">
        <f>PasteBBM!AF222</f>
        <v>1.365068493</v>
      </c>
    </row>
    <row r="223">
      <c r="A223" s="5">
        <v>222.0</v>
      </c>
      <c r="B223" t="str">
        <f t="array" ref="B223">INDEX(PasteHashtag!$B$2:$B1000,MATCH(C223,PasteHashtag!$C$2:$C1000,0))</f>
        <v/>
      </c>
      <c r="C223" t="str">
        <f>PasteBBM!J223</f>
        <v>Ryan Dunn</v>
      </c>
      <c r="D223" t="str">
        <f>IFERROR(REPLACE(PasteBBM!L223, FIND("/",PasteBBM!L223),1,","),PasteBBM!L223)</f>
        <v>G,F</v>
      </c>
      <c r="E223" t="str">
        <f>PasteBBM!K223</f>
        <v>PHO</v>
      </c>
      <c r="F223">
        <f>PasteBBM!T223</f>
        <v>73</v>
      </c>
      <c r="G223">
        <f>PasteBBM!V223</f>
        <v>21</v>
      </c>
      <c r="H223">
        <f>PasteBBM!AC223*PasteBBM!AD223</f>
        <v>2.563150685</v>
      </c>
      <c r="I223">
        <f>PasteBBM!AC223</f>
        <v>0.4184782609</v>
      </c>
      <c r="J223">
        <f>PasteBBM!AE223*PasteBBM!AF223</f>
        <v>0.6247945205</v>
      </c>
      <c r="K223">
        <f>PasteBBM!AE223</f>
        <v>0.5100078274</v>
      </c>
      <c r="L223">
        <f>PasteBBM!X223</f>
        <v>1.06109589</v>
      </c>
      <c r="M223">
        <f>PasteBBM!W223</f>
        <v>6.812191781</v>
      </c>
      <c r="N223">
        <f>PasteBBM!Y223</f>
        <v>4.418767123</v>
      </c>
      <c r="O223">
        <f>PasteBBM!Z223</f>
        <v>0.6563013699</v>
      </c>
      <c r="P223">
        <f>PasteBBM!AA223</f>
        <v>0.8750684932</v>
      </c>
      <c r="Q223">
        <f>PasteBBM!AB223</f>
        <v>1.312465753</v>
      </c>
      <c r="R223">
        <f>PasteBBM!AG223</f>
        <v>0.6563013699</v>
      </c>
      <c r="S223">
        <f>PasteBBM!AD223</f>
        <v>6.124931507</v>
      </c>
      <c r="T223">
        <f>PasteBBM!AF223</f>
        <v>1.225068493</v>
      </c>
    </row>
    <row r="224">
      <c r="A224" s="5">
        <v>223.0</v>
      </c>
      <c r="B224" t="str">
        <f t="array" ref="B224">INDEX(PasteHashtag!$B$2:$B1000,MATCH(C224,PasteHashtag!$C$2:$C1000,0))</f>
        <v/>
      </c>
      <c r="C224" t="str">
        <f>PasteBBM!J224</f>
        <v>Peyton Watson</v>
      </c>
      <c r="D224" t="str">
        <f>IFERROR(REPLACE(PasteBBM!L224, FIND("/",PasteBBM!L224),1,","),PasteBBM!L224)</f>
        <v>G</v>
      </c>
      <c r="E224" t="str">
        <f>PasteBBM!K224</f>
        <v>DEN</v>
      </c>
      <c r="F224">
        <f>PasteBBM!T224</f>
        <v>73</v>
      </c>
      <c r="G224">
        <f>PasteBBM!V224</f>
        <v>22</v>
      </c>
      <c r="H224">
        <f>PasteBBM!AC224*PasteBBM!AD224</f>
        <v>3.172465754</v>
      </c>
      <c r="I224">
        <f>PasteBBM!AC224</f>
        <v>0.4973371129</v>
      </c>
      <c r="J224">
        <f>PasteBBM!AE224*PasteBBM!AF224</f>
        <v>1.040547945</v>
      </c>
      <c r="K224">
        <f>PasteBBM!AE224</f>
        <v>0.6750199947</v>
      </c>
      <c r="L224">
        <f>PasteBBM!X224</f>
        <v>0.495890411</v>
      </c>
      <c r="M224">
        <f>PasteBBM!W224</f>
        <v>7.881369863</v>
      </c>
      <c r="N224">
        <f>PasteBBM!Y224</f>
        <v>3.95260274</v>
      </c>
      <c r="O224">
        <f>PasteBBM!Z224</f>
        <v>1.359315068</v>
      </c>
      <c r="P224">
        <f>PasteBBM!AA224</f>
        <v>0.5390410959</v>
      </c>
      <c r="Q224">
        <f>PasteBBM!AB224</f>
        <v>1.279589041</v>
      </c>
      <c r="R224">
        <f>PasteBBM!AG224</f>
        <v>0.7635616438</v>
      </c>
      <c r="S224">
        <f>PasteBBM!AD224</f>
        <v>6.37890411</v>
      </c>
      <c r="T224">
        <f>PasteBBM!AF224</f>
        <v>1.541506849</v>
      </c>
    </row>
    <row r="225">
      <c r="A225" s="5">
        <v>224.0</v>
      </c>
      <c r="B225" t="str">
        <f t="array" ref="B225">INDEX(PasteHashtag!$B$2:$B1000,MATCH(C225,PasteHashtag!$C$2:$C1000,0))</f>
        <v/>
      </c>
      <c r="C225" t="str">
        <f>PasteBBM!J225</f>
        <v>Kobe Bufkin</v>
      </c>
      <c r="D225" t="str">
        <f>IFERROR(REPLACE(PasteBBM!L225, FIND("/",PasteBBM!L225),1,","),PasteBBM!L225)</f>
        <v>G</v>
      </c>
      <c r="E225" t="str">
        <f>PasteBBM!K225</f>
        <v>ATL</v>
      </c>
      <c r="F225">
        <f>PasteBBM!T225</f>
        <v>68</v>
      </c>
      <c r="G225">
        <f>PasteBBM!V225</f>
        <v>20</v>
      </c>
      <c r="H225">
        <f>PasteBBM!AC225*PasteBBM!AD225</f>
        <v>3.791764706</v>
      </c>
      <c r="I225">
        <f>PasteBBM!AC225</f>
        <v>0.4354228587</v>
      </c>
      <c r="J225">
        <f>PasteBBM!AE225*PasteBBM!AF225</f>
        <v>0.9624999998</v>
      </c>
      <c r="K225">
        <f>PasteBBM!AE225</f>
        <v>0.7800023835</v>
      </c>
      <c r="L225">
        <f>PasteBBM!X225</f>
        <v>1.357941176</v>
      </c>
      <c r="M225">
        <f>PasteBBM!W225</f>
        <v>9.903970588</v>
      </c>
      <c r="N225">
        <f>PasteBBM!Y225</f>
        <v>2.656176471</v>
      </c>
      <c r="O225">
        <f>PasteBBM!Z225</f>
        <v>3.166617647</v>
      </c>
      <c r="P225">
        <f>PasteBBM!AA225</f>
        <v>0.6467647059</v>
      </c>
      <c r="Q225">
        <f>PasteBBM!AB225</f>
        <v>0.3461764706</v>
      </c>
      <c r="R225">
        <f>PasteBBM!AG225</f>
        <v>1.125</v>
      </c>
      <c r="S225">
        <f>PasteBBM!AD225</f>
        <v>8.708235294</v>
      </c>
      <c r="T225">
        <f>PasteBBM!AF225</f>
        <v>1.233970588</v>
      </c>
    </row>
    <row r="226">
      <c r="A226" s="5">
        <v>225.0</v>
      </c>
      <c r="B226" t="str">
        <f t="array" ref="B226">INDEX(PasteHashtag!$B$2:$B1000,MATCH(C226,PasteHashtag!$C$2:$C1000,0))</f>
        <v/>
      </c>
      <c r="C226" t="str">
        <f>PasteBBM!J226</f>
        <v>Daniel Theis</v>
      </c>
      <c r="D226" t="str">
        <f>IFERROR(REPLACE(PasteBBM!L226, FIND("/",PasteBBM!L226),1,","),PasteBBM!L226)</f>
        <v>C</v>
      </c>
      <c r="E226" t="str">
        <f>PasteBBM!K226</f>
        <v>NOR</v>
      </c>
      <c r="F226">
        <f>PasteBBM!T226</f>
        <v>68</v>
      </c>
      <c r="G226">
        <f>PasteBBM!V226</f>
        <v>19</v>
      </c>
      <c r="H226">
        <f>PasteBBM!AC226*PasteBBM!AD226</f>
        <v>2.657205882</v>
      </c>
      <c r="I226">
        <f>PasteBBM!AC226</f>
        <v>0.5256895147</v>
      </c>
      <c r="J226">
        <f>PasteBBM!AE226*PasteBBM!AF226</f>
        <v>0.4895588236</v>
      </c>
      <c r="K226">
        <f>PasteBBM!AE226</f>
        <v>0.7449093757</v>
      </c>
      <c r="L226">
        <f>PasteBBM!X226</f>
        <v>0.5413235294</v>
      </c>
      <c r="M226">
        <f>PasteBBM!W226</f>
        <v>6.345294118</v>
      </c>
      <c r="N226">
        <f>PasteBBM!Y226</f>
        <v>5.094411765</v>
      </c>
      <c r="O226">
        <f>PasteBBM!Z226</f>
        <v>1.127352941</v>
      </c>
      <c r="P226">
        <f>PasteBBM!AA226</f>
        <v>0.4354411765</v>
      </c>
      <c r="Q226">
        <f>PasteBBM!AB226</f>
        <v>0.9404411765</v>
      </c>
      <c r="R226">
        <f>PasteBBM!AG226</f>
        <v>0.7798529412</v>
      </c>
      <c r="S226">
        <f>PasteBBM!AD226</f>
        <v>5.054705882</v>
      </c>
      <c r="T226">
        <f>PasteBBM!AF226</f>
        <v>0.6572058824</v>
      </c>
    </row>
    <row r="227">
      <c r="A227" s="5">
        <v>226.0</v>
      </c>
      <c r="B227" t="str">
        <f t="array" ref="B227">INDEX(PasteHashtag!$B$2:$B1000,MATCH(C227,PasteHashtag!$C$2:$C1000,0))</f>
        <v>#N/A</v>
      </c>
      <c r="C227" t="str">
        <f>PasteBBM!J227</f>
        <v>Ron Holland</v>
      </c>
      <c r="D227" t="str">
        <f>IFERROR(REPLACE(PasteBBM!L227, FIND("/",PasteBBM!L227),1,","),PasteBBM!L227)</f>
        <v>F</v>
      </c>
      <c r="E227" t="str">
        <f>PasteBBM!K227</f>
        <v>DET</v>
      </c>
      <c r="F227">
        <f>PasteBBM!T227</f>
        <v>68</v>
      </c>
      <c r="G227">
        <f>PasteBBM!V227</f>
        <v>23</v>
      </c>
      <c r="H227">
        <f>PasteBBM!AC227*PasteBBM!AD227</f>
        <v>3.552205882</v>
      </c>
      <c r="I227">
        <f>PasteBBM!AC227</f>
        <v>0.4254963096</v>
      </c>
      <c r="J227">
        <f>PasteBBM!AE227*PasteBBM!AF227</f>
        <v>0.9738235295</v>
      </c>
      <c r="K227">
        <f>PasteBBM!AE227</f>
        <v>0.7289740203</v>
      </c>
      <c r="L227">
        <f>PasteBBM!X227</f>
        <v>0.5645588235</v>
      </c>
      <c r="M227">
        <f>PasteBBM!W227</f>
        <v>8.642794118</v>
      </c>
      <c r="N227">
        <f>PasteBBM!Y227</f>
        <v>3.984705882</v>
      </c>
      <c r="O227">
        <f>PasteBBM!Z227</f>
        <v>1.755147059</v>
      </c>
      <c r="P227">
        <f>PasteBBM!AA227</f>
        <v>1.138529412</v>
      </c>
      <c r="Q227">
        <f>PasteBBM!AB227</f>
        <v>0.2845588235</v>
      </c>
      <c r="R227">
        <f>PasteBBM!AG227</f>
        <v>1.8975</v>
      </c>
      <c r="S227">
        <f>PasteBBM!AD227</f>
        <v>8.348382353</v>
      </c>
      <c r="T227">
        <f>PasteBBM!AF227</f>
        <v>1.335882353</v>
      </c>
    </row>
    <row r="228">
      <c r="A228" s="5">
        <v>227.0</v>
      </c>
      <c r="B228" t="str">
        <f t="array" ref="B228">INDEX(PasteHashtag!$B$2:$B1000,MATCH(C228,PasteHashtag!$C$2:$C1000,0))</f>
        <v/>
      </c>
      <c r="C228" t="str">
        <f>PasteBBM!J228</f>
        <v>Julian Strawther</v>
      </c>
      <c r="D228" t="str">
        <f>IFERROR(REPLACE(PasteBBM!L228, FIND("/",PasteBBM!L228),1,","),PasteBBM!L228)</f>
        <v>G,F</v>
      </c>
      <c r="E228" t="str">
        <f>PasteBBM!K228</f>
        <v>DEN</v>
      </c>
      <c r="F228">
        <f>PasteBBM!T228</f>
        <v>68</v>
      </c>
      <c r="G228">
        <f>PasteBBM!V228</f>
        <v>25</v>
      </c>
      <c r="H228">
        <f>PasteBBM!AC228*PasteBBM!AD228</f>
        <v>3.801176471</v>
      </c>
      <c r="I228">
        <f>PasteBBM!AC228</f>
        <v>0.4183946001</v>
      </c>
      <c r="J228">
        <f>PasteBBM!AE228*PasteBBM!AF228</f>
        <v>1.117941176</v>
      </c>
      <c r="K228">
        <f>PasteBBM!AE228</f>
        <v>0.7181861124</v>
      </c>
      <c r="L228">
        <f>PasteBBM!X228</f>
        <v>1.9625</v>
      </c>
      <c r="M228">
        <f>PasteBBM!W228</f>
        <v>10.68279412</v>
      </c>
      <c r="N228">
        <f>PasteBBM!Y228</f>
        <v>2.858382353</v>
      </c>
      <c r="O228">
        <f>PasteBBM!Z228</f>
        <v>2.222794118</v>
      </c>
      <c r="P228">
        <f>PasteBBM!AA228</f>
        <v>0.7561764706</v>
      </c>
      <c r="Q228">
        <f>PasteBBM!AB228</f>
        <v>0.2822058824</v>
      </c>
      <c r="R228">
        <f>PasteBBM!AG228</f>
        <v>0.9639705882</v>
      </c>
      <c r="S228">
        <f>PasteBBM!AD228</f>
        <v>9.085147059</v>
      </c>
      <c r="T228">
        <f>PasteBBM!AF228</f>
        <v>1.556617647</v>
      </c>
    </row>
    <row r="229">
      <c r="A229" s="5">
        <v>228.0</v>
      </c>
      <c r="B229">
        <f t="array" ref="B229">INDEX(PasteHashtag!$B$2:$B1000,MATCH(C229,PasteHashtag!$C$2:$C1000,0))</f>
        <v>145.3</v>
      </c>
      <c r="C229" t="str">
        <f>PasteBBM!J229</f>
        <v>Matas Buzelis</v>
      </c>
      <c r="D229" t="str">
        <f>IFERROR(REPLACE(PasteBBM!L229, FIND("/",PasteBBM!L229),1,","),PasteBBM!L229)</f>
        <v>F</v>
      </c>
      <c r="E229" t="str">
        <f>PasteBBM!K229</f>
        <v>CHI</v>
      </c>
      <c r="F229">
        <f>PasteBBM!T229</f>
        <v>73</v>
      </c>
      <c r="G229">
        <f>PasteBBM!V229</f>
        <v>24</v>
      </c>
      <c r="H229">
        <f>PasteBBM!AC229*PasteBBM!AD229</f>
        <v>3.330136986</v>
      </c>
      <c r="I229">
        <f>PasteBBM!AC229</f>
        <v>0.4412859191</v>
      </c>
      <c r="J229">
        <f>PasteBBM!AE229*PasteBBM!AF229</f>
        <v>1.068493151</v>
      </c>
      <c r="K229">
        <f>PasteBBM!AE229</f>
        <v>0.7079967323</v>
      </c>
      <c r="L229">
        <f>PasteBBM!X229</f>
        <v>0.78</v>
      </c>
      <c r="M229">
        <f>PasteBBM!W229</f>
        <v>8.508767123</v>
      </c>
      <c r="N229">
        <f>PasteBBM!Y229</f>
        <v>4.41</v>
      </c>
      <c r="O229">
        <f>PasteBBM!Z229</f>
        <v>1.126986301</v>
      </c>
      <c r="P229">
        <f>PasteBBM!AA229</f>
        <v>0.6369863014</v>
      </c>
      <c r="Q229">
        <f>PasteBBM!AB229</f>
        <v>1.029041096</v>
      </c>
      <c r="R229">
        <f>PasteBBM!AG229</f>
        <v>1.273972603</v>
      </c>
      <c r="S229">
        <f>PasteBBM!AD229</f>
        <v>7.546438356</v>
      </c>
      <c r="T229">
        <f>PasteBBM!AF229</f>
        <v>1.509178082</v>
      </c>
    </row>
    <row r="230">
      <c r="A230" s="5">
        <v>229.0</v>
      </c>
      <c r="B230" t="str">
        <f t="array" ref="B230">INDEX(PasteHashtag!$B$2:$B1000,MATCH(C230,PasteHashtag!$C$2:$C1000,0))</f>
        <v/>
      </c>
      <c r="C230" t="str">
        <f>PasteBBM!J230</f>
        <v>Josh Green</v>
      </c>
      <c r="D230" t="str">
        <f>IFERROR(REPLACE(PasteBBM!L230, FIND("/",PasteBBM!L230),1,","),PasteBBM!L230)</f>
        <v>G,F</v>
      </c>
      <c r="E230" t="str">
        <f>PasteBBM!K230</f>
        <v>CHA</v>
      </c>
      <c r="F230">
        <f>PasteBBM!T230</f>
        <v>68</v>
      </c>
      <c r="G230">
        <f>PasteBBM!V230</f>
        <v>24</v>
      </c>
      <c r="H230">
        <f>PasteBBM!AC230*PasteBBM!AD230</f>
        <v>3.4775</v>
      </c>
      <c r="I230">
        <f>PasteBBM!AC230</f>
        <v>0.5038781163</v>
      </c>
      <c r="J230">
        <f>PasteBBM!AE230*PasteBBM!AF230</f>
        <v>0.7610294121</v>
      </c>
      <c r="K230">
        <f>PasteBBM!AE230</f>
        <v>0.7239787353</v>
      </c>
      <c r="L230">
        <f>PasteBBM!X230</f>
        <v>1.280147059</v>
      </c>
      <c r="M230">
        <f>PasteBBM!W230</f>
        <v>8.996176471</v>
      </c>
      <c r="N230">
        <f>PasteBBM!Y230</f>
        <v>3.038529412</v>
      </c>
      <c r="O230">
        <f>PasteBBM!Z230</f>
        <v>2.055588235</v>
      </c>
      <c r="P230">
        <f>PasteBBM!AA230</f>
        <v>0.7277941176</v>
      </c>
      <c r="Q230">
        <f>PasteBBM!AB230</f>
        <v>0.1023529412</v>
      </c>
      <c r="R230">
        <f>PasteBBM!AG230</f>
        <v>1.024705882</v>
      </c>
      <c r="S230">
        <f>PasteBBM!AD230</f>
        <v>6.901470588</v>
      </c>
      <c r="T230">
        <f>PasteBBM!AF230</f>
        <v>1.051176471</v>
      </c>
    </row>
    <row r="231">
      <c r="A231" s="5">
        <v>230.0</v>
      </c>
      <c r="B231" t="str">
        <f t="array" ref="B231">INDEX(PasteHashtag!$B$2:$B1000,MATCH(C231,PasteHashtag!$C$2:$C1000,0))</f>
        <v>#N/A</v>
      </c>
      <c r="C231" t="str">
        <f>PasteBBM!J231</f>
        <v>Robert Williams</v>
      </c>
      <c r="D231" t="str">
        <f>IFERROR(REPLACE(PasteBBM!L231, FIND("/",PasteBBM!L231),1,","),PasteBBM!L231)</f>
        <v>C</v>
      </c>
      <c r="E231" t="str">
        <f>PasteBBM!K231</f>
        <v>POR</v>
      </c>
      <c r="F231">
        <f>PasteBBM!T231</f>
        <v>36</v>
      </c>
      <c r="G231">
        <f>PasteBBM!V231</f>
        <v>16</v>
      </c>
      <c r="H231">
        <f>PasteBBM!AC231*PasteBBM!AD231</f>
        <v>2.24</v>
      </c>
      <c r="I231">
        <f>PasteBBM!AC231</f>
        <v>0.7</v>
      </c>
      <c r="J231">
        <f>PasteBBM!AE231*PasteBBM!AF231</f>
        <v>0.4516666666</v>
      </c>
      <c r="K231">
        <f>PasteBBM!AE231</f>
        <v>0.6580331849</v>
      </c>
      <c r="L231">
        <f>PasteBBM!X231</f>
        <v>0</v>
      </c>
      <c r="M231">
        <f>PasteBBM!W231</f>
        <v>4.931666667</v>
      </c>
      <c r="N231">
        <f>PasteBBM!Y231</f>
        <v>5.28</v>
      </c>
      <c r="O231">
        <f>PasteBBM!Z231</f>
        <v>0.8911111111</v>
      </c>
      <c r="P231">
        <f>PasteBBM!AA231</f>
        <v>0.4747222222</v>
      </c>
      <c r="Q231">
        <f>PasteBBM!AB231</f>
        <v>0.9238888889</v>
      </c>
      <c r="R231">
        <f>PasteBBM!AG231</f>
        <v>0.7261111111</v>
      </c>
      <c r="S231">
        <f>PasteBBM!AD231</f>
        <v>3.2</v>
      </c>
      <c r="T231">
        <f>PasteBBM!AF231</f>
        <v>0.6863888889</v>
      </c>
    </row>
    <row r="232">
      <c r="A232" s="5">
        <v>231.0</v>
      </c>
      <c r="B232">
        <f t="array" ref="B232">INDEX(PasteHashtag!$B$2:$B1000,MATCH(C232,PasteHashtag!$C$2:$C1000,0))</f>
        <v>142.2</v>
      </c>
      <c r="C232" t="str">
        <f>PasteBBM!J232</f>
        <v>Harrison Barnes</v>
      </c>
      <c r="D232" t="str">
        <f>IFERROR(REPLACE(PasteBBM!L232, FIND("/",PasteBBM!L232),1,","),PasteBBM!L232)</f>
        <v>F</v>
      </c>
      <c r="E232" t="str">
        <f>PasteBBM!K232</f>
        <v>SAS</v>
      </c>
      <c r="F232">
        <f>PasteBBM!T232</f>
        <v>77</v>
      </c>
      <c r="G232">
        <f>PasteBBM!V232</f>
        <v>28</v>
      </c>
      <c r="H232">
        <f>PasteBBM!AC232*PasteBBM!AD232</f>
        <v>4.015584416</v>
      </c>
      <c r="I232">
        <f>PasteBBM!AC232</f>
        <v>0.4588898783</v>
      </c>
      <c r="J232">
        <f>PasteBBM!AE232*PasteBBM!AF232</f>
        <v>1.852597403</v>
      </c>
      <c r="K232">
        <f>PasteBBM!AE232</f>
        <v>0.8170103093</v>
      </c>
      <c r="L232">
        <f>PasteBBM!X232</f>
        <v>1.558181818</v>
      </c>
      <c r="M232">
        <f>PasteBBM!W232</f>
        <v>11.44194805</v>
      </c>
      <c r="N232">
        <f>PasteBBM!Y232</f>
        <v>3.441688312</v>
      </c>
      <c r="O232">
        <f>PasteBBM!Z232</f>
        <v>1.160909091</v>
      </c>
      <c r="P232">
        <f>PasteBBM!AA232</f>
        <v>0.5822077922</v>
      </c>
      <c r="Q232">
        <f>PasteBBM!AB232</f>
        <v>0.1168831169</v>
      </c>
      <c r="R232">
        <f>PasteBBM!AG232</f>
        <v>0.7007792208</v>
      </c>
      <c r="S232">
        <f>PasteBBM!AD232</f>
        <v>8.750649351</v>
      </c>
      <c r="T232">
        <f>PasteBBM!AF232</f>
        <v>2.267532468</v>
      </c>
    </row>
    <row r="233">
      <c r="A233" s="5">
        <v>232.0</v>
      </c>
      <c r="B233" t="str">
        <f t="array" ref="B233">INDEX(PasteHashtag!$B$2:$B1000,MATCH(C233,PasteHashtag!$C$2:$C1000,0))</f>
        <v/>
      </c>
      <c r="C233" t="str">
        <f>PasteBBM!J233</f>
        <v>Brice Sensabaugh</v>
      </c>
      <c r="D233" t="str">
        <f>IFERROR(REPLACE(PasteBBM!L233, FIND("/",PasteBBM!L233),1,","),PasteBBM!L233)</f>
        <v>F</v>
      </c>
      <c r="E233" t="str">
        <f>PasteBBM!K233</f>
        <v>UTA</v>
      </c>
      <c r="F233">
        <f>PasteBBM!T233</f>
        <v>68</v>
      </c>
      <c r="G233">
        <f>PasteBBM!V233</f>
        <v>21</v>
      </c>
      <c r="H233">
        <f>PasteBBM!AC233*PasteBBM!AD233</f>
        <v>3.572941177</v>
      </c>
      <c r="I233">
        <f>PasteBBM!AC233</f>
        <v>0.4211694143</v>
      </c>
      <c r="J233">
        <f>PasteBBM!AE233*PasteBBM!AF233</f>
        <v>1.638970588</v>
      </c>
      <c r="K233">
        <f>PasteBBM!AE233</f>
        <v>0.8781121967</v>
      </c>
      <c r="L233">
        <f>PasteBBM!X233</f>
        <v>1.525</v>
      </c>
      <c r="M233">
        <f>PasteBBM!W233</f>
        <v>10.30985294</v>
      </c>
      <c r="N233">
        <f>PasteBBM!Y233</f>
        <v>3.535</v>
      </c>
      <c r="O233">
        <f>PasteBBM!Z233</f>
        <v>1.858970588</v>
      </c>
      <c r="P233">
        <f>PasteBBM!AA233</f>
        <v>0.4927941176</v>
      </c>
      <c r="Q233">
        <f>PasteBBM!AB233</f>
        <v>0.2288235294</v>
      </c>
      <c r="R233">
        <f>PasteBBM!AG233</f>
        <v>1.413970588</v>
      </c>
      <c r="S233">
        <f>PasteBBM!AD233</f>
        <v>8.483382353</v>
      </c>
      <c r="T233">
        <f>PasteBBM!AF233</f>
        <v>1.866470588</v>
      </c>
    </row>
    <row r="234">
      <c r="A234" s="5">
        <v>233.0</v>
      </c>
      <c r="B234">
        <f t="array" ref="B234">INDEX(PasteHashtag!$B$2:$B1000,MATCH(C234,PasteHashtag!$C$2:$C1000,0))</f>
        <v>149.5</v>
      </c>
      <c r="C234" t="str">
        <f>PasteBBM!J234</f>
        <v>Bruce Brown</v>
      </c>
      <c r="D234" t="str">
        <f>IFERROR(REPLACE(PasteBBM!L234, FIND("/",PasteBBM!L234),1,","),PasteBBM!L234)</f>
        <v>G</v>
      </c>
      <c r="E234" t="str">
        <f>PasteBBM!K234</f>
        <v>TOR</v>
      </c>
      <c r="F234">
        <f>PasteBBM!T234</f>
        <v>69</v>
      </c>
      <c r="G234">
        <f>PasteBBM!V234</f>
        <v>23</v>
      </c>
      <c r="H234">
        <f>PasteBBM!AC234*PasteBBM!AD234</f>
        <v>3.331739131</v>
      </c>
      <c r="I234">
        <f>PasteBBM!AC234</f>
        <v>0.4988607513</v>
      </c>
      <c r="J234">
        <f>PasteBBM!AE234*PasteBBM!AF234</f>
        <v>1.314202898</v>
      </c>
      <c r="K234">
        <f>PasteBBM!AE234</f>
        <v>0.8</v>
      </c>
      <c r="L234">
        <f>PasteBBM!X234</f>
        <v>0.5657971014</v>
      </c>
      <c r="M234">
        <f>PasteBBM!W234</f>
        <v>8.543478261</v>
      </c>
      <c r="N234">
        <f>PasteBBM!Y234</f>
        <v>2.903768116</v>
      </c>
      <c r="O234">
        <f>PasteBBM!Z234</f>
        <v>2.177826087</v>
      </c>
      <c r="P234">
        <f>PasteBBM!AA234</f>
        <v>0.7188405797</v>
      </c>
      <c r="Q234">
        <f>PasteBBM!AB234</f>
        <v>0.292173913</v>
      </c>
      <c r="R234">
        <f>PasteBBM!AG234</f>
        <v>1.119130435</v>
      </c>
      <c r="S234">
        <f>PasteBBM!AD234</f>
        <v>6.678695652</v>
      </c>
      <c r="T234">
        <f>PasteBBM!AF234</f>
        <v>1.642753623</v>
      </c>
    </row>
    <row r="235">
      <c r="A235" s="5">
        <v>234.0</v>
      </c>
      <c r="B235" t="str">
        <f t="array" ref="B235">INDEX(PasteHashtag!$B$2:$B1000,MATCH(C235,PasteHashtag!$C$2:$C1000,0))</f>
        <v/>
      </c>
      <c r="C235" t="str">
        <f>PasteBBM!J235</f>
        <v>Jarace Walker</v>
      </c>
      <c r="D235" t="str">
        <f>IFERROR(REPLACE(PasteBBM!L235, FIND("/",PasteBBM!L235),1,","),PasteBBM!L235)</f>
        <v>F</v>
      </c>
      <c r="E235" t="str">
        <f>PasteBBM!K235</f>
        <v>IND</v>
      </c>
      <c r="F235">
        <f>PasteBBM!T235</f>
        <v>68</v>
      </c>
      <c r="G235">
        <f>PasteBBM!V235</f>
        <v>18</v>
      </c>
      <c r="H235">
        <f>PasteBBM!AC235*PasteBBM!AD235</f>
        <v>2.606911765</v>
      </c>
      <c r="I235">
        <f>PasteBBM!AC235</f>
        <v>0.416664708</v>
      </c>
      <c r="J235">
        <f>PasteBBM!AE235*PasteBBM!AF235</f>
        <v>0.6141176471</v>
      </c>
      <c r="K235">
        <f>PasteBBM!AE235</f>
        <v>0.8009205984</v>
      </c>
      <c r="L235">
        <f>PasteBBM!X235</f>
        <v>1.174558824</v>
      </c>
      <c r="M235">
        <f>PasteBBM!W235</f>
        <v>7.0025</v>
      </c>
      <c r="N235">
        <f>PasteBBM!Y235</f>
        <v>3.514852941</v>
      </c>
      <c r="O235">
        <f>PasteBBM!Z235</f>
        <v>1.832352941</v>
      </c>
      <c r="P235">
        <f>PasteBBM!AA235</f>
        <v>0.6880882353</v>
      </c>
      <c r="Q235">
        <f>PasteBBM!AB235</f>
        <v>0.5486764706</v>
      </c>
      <c r="R235">
        <f>PasteBBM!AG235</f>
        <v>0.8335294118</v>
      </c>
      <c r="S235">
        <f>PasteBBM!AD235</f>
        <v>6.256617647</v>
      </c>
      <c r="T235">
        <f>PasteBBM!AF235</f>
        <v>0.7667647059</v>
      </c>
    </row>
    <row r="236">
      <c r="A236" s="5">
        <v>235.0</v>
      </c>
      <c r="B236" t="str">
        <f t="array" ref="B236">INDEX(PasteHashtag!$B$2:$B1000,MATCH(C236,PasteHashtag!$C$2:$C1000,0))</f>
        <v/>
      </c>
      <c r="C236" t="str">
        <f>PasteBBM!J236</f>
        <v>Neemias Queta</v>
      </c>
      <c r="D236" t="str">
        <f>IFERROR(REPLACE(PasteBBM!L236, FIND("/",PasteBBM!L236),1,","),PasteBBM!L236)</f>
        <v>C</v>
      </c>
      <c r="E236" t="str">
        <f>PasteBBM!K236</f>
        <v>BOS</v>
      </c>
      <c r="F236">
        <f>PasteBBM!T236</f>
        <v>44</v>
      </c>
      <c r="G236">
        <f>PasteBBM!V236</f>
        <v>14</v>
      </c>
      <c r="H236">
        <f>PasteBBM!AC236*PasteBBM!AD236</f>
        <v>2.835</v>
      </c>
      <c r="I236">
        <f>PasteBBM!AC236</f>
        <v>0.6439855447</v>
      </c>
      <c r="J236">
        <f>PasteBBM!AE236*PasteBBM!AF236</f>
        <v>0.7031818179</v>
      </c>
      <c r="K236">
        <f>PasteBBM!AE236</f>
        <v>0.6656626506</v>
      </c>
      <c r="L236">
        <f>PasteBBM!X236</f>
        <v>0</v>
      </c>
      <c r="M236">
        <f>PasteBBM!W236</f>
        <v>6.373181818</v>
      </c>
      <c r="N236">
        <f>PasteBBM!Y236</f>
        <v>4.859090909</v>
      </c>
      <c r="O236">
        <f>PasteBBM!Z236</f>
        <v>0.8922727273</v>
      </c>
      <c r="P236">
        <f>PasteBBM!AA236</f>
        <v>0.4572727273</v>
      </c>
      <c r="Q236">
        <f>PasteBBM!AB236</f>
        <v>0.9147727273</v>
      </c>
      <c r="R236">
        <f>PasteBBM!AG236</f>
        <v>0.5145454545</v>
      </c>
      <c r="S236">
        <f>PasteBBM!AD236</f>
        <v>4.402272727</v>
      </c>
      <c r="T236">
        <f>PasteBBM!AF236</f>
        <v>1.056363636</v>
      </c>
    </row>
    <row r="237">
      <c r="A237" s="5">
        <v>236.0</v>
      </c>
      <c r="B237" t="str">
        <f t="array" ref="B237">INDEX(PasteHashtag!$B$2:$B1000,MATCH(C237,PasteHashtag!$C$2:$C1000,0))</f>
        <v/>
      </c>
      <c r="C237" t="str">
        <f>PasteBBM!J237</f>
        <v>Jarred Vanderbilt</v>
      </c>
      <c r="D237" t="str">
        <f>IFERROR(REPLACE(PasteBBM!L237, FIND("/",PasteBBM!L237),1,","),PasteBBM!L237)</f>
        <v>F</v>
      </c>
      <c r="E237" t="str">
        <f>PasteBBM!K237</f>
        <v>LAL</v>
      </c>
      <c r="F237">
        <f>PasteBBM!T237</f>
        <v>46</v>
      </c>
      <c r="G237">
        <f>PasteBBM!V237</f>
        <v>18</v>
      </c>
      <c r="H237">
        <f>PasteBBM!AC237*PasteBBM!AD237</f>
        <v>2.020652174</v>
      </c>
      <c r="I237">
        <f>PasteBBM!AC237</f>
        <v>0.5336433574</v>
      </c>
      <c r="J237">
        <f>PasteBBM!AE237*PasteBBM!AF237</f>
        <v>0.7906521742</v>
      </c>
      <c r="K237">
        <f>PasteBBM!AE237</f>
        <v>0.6959433601</v>
      </c>
      <c r="L237">
        <f>PasteBBM!X237</f>
        <v>0.2439130435</v>
      </c>
      <c r="M237">
        <f>PasteBBM!W237</f>
        <v>5.075869565</v>
      </c>
      <c r="N237">
        <f>PasteBBM!Y237</f>
        <v>4.743043478</v>
      </c>
      <c r="O237">
        <f>PasteBBM!Z237</f>
        <v>1.373695652</v>
      </c>
      <c r="P237">
        <f>PasteBBM!AA237</f>
        <v>1.032826087</v>
      </c>
      <c r="Q237">
        <f>PasteBBM!AB237</f>
        <v>0.19</v>
      </c>
      <c r="R237">
        <f>PasteBBM!AG237</f>
        <v>0.837173913</v>
      </c>
      <c r="S237">
        <f>PasteBBM!AD237</f>
        <v>3.786521739</v>
      </c>
      <c r="T237">
        <f>PasteBBM!AF237</f>
        <v>1.136086957</v>
      </c>
    </row>
    <row r="238">
      <c r="A238" s="5">
        <v>237.0</v>
      </c>
      <c r="B238" t="str">
        <f t="array" ref="B238">INDEX(PasteHashtag!$B$2:$B1000,MATCH(C238,PasteHashtag!$C$2:$C1000,0))</f>
        <v/>
      </c>
      <c r="C238" t="str">
        <f>PasteBBM!J238</f>
        <v>Isaac Okoro</v>
      </c>
      <c r="D238" t="str">
        <f>IFERROR(REPLACE(PasteBBM!L238, FIND("/",PasteBBM!L238),1,","),PasteBBM!L238)</f>
        <v>G</v>
      </c>
      <c r="E238" t="str">
        <f>PasteBBM!K238</f>
        <v>CLE</v>
      </c>
      <c r="F238">
        <f>PasteBBM!T238</f>
        <v>73</v>
      </c>
      <c r="G238">
        <f>PasteBBM!V238</f>
        <v>27</v>
      </c>
      <c r="H238">
        <f>PasteBBM!AC238*PasteBBM!AD238</f>
        <v>3.404520548</v>
      </c>
      <c r="I238">
        <f>PasteBBM!AC238</f>
        <v>0.4824420072</v>
      </c>
      <c r="J238">
        <f>PasteBBM!AE238*PasteBBM!AF238</f>
        <v>1.221917808</v>
      </c>
      <c r="K238">
        <f>PasteBBM!AE238</f>
        <v>0.683996626</v>
      </c>
      <c r="L238">
        <f>PasteBBM!X238</f>
        <v>1.243150685</v>
      </c>
      <c r="M238">
        <f>PasteBBM!W238</f>
        <v>9.274109589</v>
      </c>
      <c r="N238">
        <f>PasteBBM!Y238</f>
        <v>2.753972603</v>
      </c>
      <c r="O238">
        <f>PasteBBM!Z238</f>
        <v>1.763287671</v>
      </c>
      <c r="P238">
        <f>PasteBBM!AA238</f>
        <v>0.8032876712</v>
      </c>
      <c r="Q238">
        <f>PasteBBM!AB238</f>
        <v>0.3442465753</v>
      </c>
      <c r="R238">
        <f>PasteBBM!AG238</f>
        <v>0.6946575342</v>
      </c>
      <c r="S238">
        <f>PasteBBM!AD238</f>
        <v>7.056849315</v>
      </c>
      <c r="T238">
        <f>PasteBBM!AF238</f>
        <v>1.786438356</v>
      </c>
    </row>
    <row r="239">
      <c r="A239" s="5">
        <v>238.0</v>
      </c>
      <c r="B239" t="str">
        <f t="array" ref="B239">INDEX(PasteHashtag!$B$2:$B1000,MATCH(C239,PasteHashtag!$C$2:$C1000,0))</f>
        <v/>
      </c>
      <c r="C239" t="str">
        <f>PasteBBM!J239</f>
        <v>Quentin Grimes</v>
      </c>
      <c r="D239" t="str">
        <f>IFERROR(REPLACE(PasteBBM!L239, FIND("/",PasteBBM!L239),1,","),PasteBBM!L239)</f>
        <v>G</v>
      </c>
      <c r="E239" t="str">
        <f>PasteBBM!K239</f>
        <v>DAL</v>
      </c>
      <c r="F239">
        <f>PasteBBM!T239</f>
        <v>62</v>
      </c>
      <c r="G239">
        <f>PasteBBM!V239</f>
        <v>23</v>
      </c>
      <c r="H239">
        <f>PasteBBM!AC239*PasteBBM!AD239</f>
        <v>2.959516129</v>
      </c>
      <c r="I239">
        <f>PasteBBM!AC239</f>
        <v>0.4076559063</v>
      </c>
      <c r="J239">
        <f>PasteBBM!AE239*PasteBBM!AF239</f>
        <v>0.7962903224</v>
      </c>
      <c r="K239">
        <f>PasteBBM!AE239</f>
        <v>0.7760138321</v>
      </c>
      <c r="L239">
        <f>PasteBBM!X239</f>
        <v>1.889516129</v>
      </c>
      <c r="M239">
        <f>PasteBBM!W239</f>
        <v>8.60483871</v>
      </c>
      <c r="N239">
        <f>PasteBBM!Y239</f>
        <v>2.758548387</v>
      </c>
      <c r="O239">
        <f>PasteBBM!Z239</f>
        <v>1.451935484</v>
      </c>
      <c r="P239">
        <f>PasteBBM!AA239</f>
        <v>0.8227419355</v>
      </c>
      <c r="Q239">
        <f>PasteBBM!AB239</f>
        <v>0.1929032258</v>
      </c>
      <c r="R239">
        <f>PasteBBM!AG239</f>
        <v>0.6272580645</v>
      </c>
      <c r="S239">
        <f>PasteBBM!AD239</f>
        <v>7.25983871</v>
      </c>
      <c r="T239">
        <f>PasteBBM!AF239</f>
        <v>1.026129032</v>
      </c>
    </row>
    <row r="240">
      <c r="A240" s="5">
        <v>239.0</v>
      </c>
      <c r="B240" t="str">
        <f t="array" ref="B240">INDEX(PasteHashtag!$B$2:$B1000,MATCH(C240,PasteHashtag!$C$2:$C1000,0))</f>
        <v/>
      </c>
      <c r="C240" t="str">
        <f>PasteBBM!J240</f>
        <v>Josh Minott</v>
      </c>
      <c r="D240" t="str">
        <f>IFERROR(REPLACE(PasteBBM!L240, FIND("/",PasteBBM!L240),1,","),PasteBBM!L240)</f>
        <v>F</v>
      </c>
      <c r="E240" t="str">
        <f>PasteBBM!K240</f>
        <v>MIN</v>
      </c>
      <c r="F240">
        <f>PasteBBM!T240</f>
        <v>73</v>
      </c>
      <c r="G240">
        <f>PasteBBM!V240</f>
        <v>16</v>
      </c>
      <c r="H240">
        <f>PasteBBM!AC240*PasteBBM!AD240</f>
        <v>2.563424658</v>
      </c>
      <c r="I240">
        <f>PasteBBM!AC240</f>
        <v>0.4726937456</v>
      </c>
      <c r="J240">
        <f>PasteBBM!AE240*PasteBBM!AF240</f>
        <v>0.9376712332</v>
      </c>
      <c r="K240">
        <f>PasteBBM!AE240</f>
        <v>0.7859685383</v>
      </c>
      <c r="L240">
        <f>PasteBBM!X240</f>
        <v>0.4575342466</v>
      </c>
      <c r="M240">
        <f>PasteBBM!W240</f>
        <v>6.522054795</v>
      </c>
      <c r="N240">
        <f>PasteBBM!Y240</f>
        <v>2.743972603</v>
      </c>
      <c r="O240">
        <f>PasteBBM!Z240</f>
        <v>1.47</v>
      </c>
      <c r="P240">
        <f>PasteBBM!AA240</f>
        <v>0.8167123288</v>
      </c>
      <c r="Q240">
        <f>PasteBBM!AB240</f>
        <v>0.718630137</v>
      </c>
      <c r="R240">
        <f>PasteBBM!AG240</f>
        <v>0.5879452055</v>
      </c>
      <c r="S240">
        <f>PasteBBM!AD240</f>
        <v>5.423013699</v>
      </c>
      <c r="T240">
        <f>PasteBBM!AF240</f>
        <v>1.193013699</v>
      </c>
    </row>
    <row r="241">
      <c r="A241" s="5">
        <v>240.0</v>
      </c>
      <c r="B241">
        <f t="array" ref="B241">INDEX(PasteHashtag!$B$2:$B1000,MATCH(C241,PasteHashtag!$C$2:$C1000,0))</f>
        <v>140</v>
      </c>
      <c r="C241" t="str">
        <f>PasteBBM!J241</f>
        <v>Moritz Wagner</v>
      </c>
      <c r="D241" t="str">
        <f>IFERROR(REPLACE(PasteBBM!L241, FIND("/",PasteBBM!L241),1,","),PasteBBM!L241)</f>
        <v>C</v>
      </c>
      <c r="E241" t="str">
        <f>PasteBBM!K241</f>
        <v>ORL</v>
      </c>
      <c r="F241">
        <f>PasteBBM!T241</f>
        <v>73</v>
      </c>
      <c r="G241">
        <f>PasteBBM!V241</f>
        <v>16</v>
      </c>
      <c r="H241">
        <f>PasteBBM!AC241*PasteBBM!AD241</f>
        <v>3.664109589</v>
      </c>
      <c r="I241">
        <f>PasteBBM!AC241</f>
        <v>0.5902420725</v>
      </c>
      <c r="J241">
        <f>PasteBBM!AE241*PasteBBM!AF241</f>
        <v>1.523424657</v>
      </c>
      <c r="K241">
        <f>PasteBBM!AE241</f>
        <v>0.8180213314</v>
      </c>
      <c r="L241">
        <f>PasteBBM!X241</f>
        <v>0.4224657534</v>
      </c>
      <c r="M241">
        <f>PasteBBM!W241</f>
        <v>9.274109589</v>
      </c>
      <c r="N241">
        <f>PasteBBM!Y241</f>
        <v>3.976986301</v>
      </c>
      <c r="O241">
        <f>PasteBBM!Z241</f>
        <v>1.084794521</v>
      </c>
      <c r="P241">
        <f>PasteBBM!AA241</f>
        <v>0.4553424658</v>
      </c>
      <c r="Q241">
        <f>PasteBBM!AB241</f>
        <v>0.1932876712</v>
      </c>
      <c r="R241">
        <f>PasteBBM!AG241</f>
        <v>1.031506849</v>
      </c>
      <c r="S241">
        <f>PasteBBM!AD241</f>
        <v>6.207808219</v>
      </c>
      <c r="T241">
        <f>PasteBBM!AF241</f>
        <v>1.862328767</v>
      </c>
    </row>
    <row r="242">
      <c r="A242" s="5">
        <v>241.0</v>
      </c>
      <c r="B242">
        <f t="array" ref="B242">INDEX(PasteHashtag!$B$2:$B1000,MATCH(C242,PasteHashtag!$C$2:$C1000,0))</f>
        <v>144.6</v>
      </c>
      <c r="C242" t="str">
        <f>PasteBBM!J242</f>
        <v>Duncan Robinson</v>
      </c>
      <c r="D242" t="str">
        <f>IFERROR(REPLACE(PasteBBM!L242, FIND("/",PasteBBM!L242),1,","),PasteBBM!L242)</f>
        <v>G,F</v>
      </c>
      <c r="E242" t="str">
        <f>PasteBBM!K242</f>
        <v>MIA</v>
      </c>
      <c r="F242">
        <f>PasteBBM!T242</f>
        <v>73</v>
      </c>
      <c r="G242">
        <f>PasteBBM!V242</f>
        <v>23</v>
      </c>
      <c r="H242">
        <f>PasteBBM!AC242*PasteBBM!AD242</f>
        <v>2.960547945</v>
      </c>
      <c r="I242">
        <f>PasteBBM!AC242</f>
        <v>0.4190727347</v>
      </c>
      <c r="J242">
        <f>PasteBBM!AE242*PasteBBM!AF242</f>
        <v>0.7891780822</v>
      </c>
      <c r="K242">
        <f>PasteBBM!AE242</f>
        <v>0.9179413639</v>
      </c>
      <c r="L242">
        <f>PasteBBM!X242</f>
        <v>2.018219178</v>
      </c>
      <c r="M242">
        <f>PasteBBM!W242</f>
        <v>8.728493151</v>
      </c>
      <c r="N242">
        <f>PasteBBM!Y242</f>
        <v>1.998630137</v>
      </c>
      <c r="O242">
        <f>PasteBBM!Z242</f>
        <v>1.905616438</v>
      </c>
      <c r="P242">
        <f>PasteBBM!AA242</f>
        <v>0.5805479452</v>
      </c>
      <c r="Q242">
        <f>PasteBBM!AB242</f>
        <v>0.1906849315</v>
      </c>
      <c r="R242">
        <f>PasteBBM!AG242</f>
        <v>1.02260274</v>
      </c>
      <c r="S242">
        <f>PasteBBM!AD242</f>
        <v>7.064520548</v>
      </c>
      <c r="T242">
        <f>PasteBBM!AF242</f>
        <v>0.8597260274</v>
      </c>
    </row>
    <row r="243">
      <c r="A243" s="5">
        <v>242.0</v>
      </c>
      <c r="B243">
        <f t="array" ref="B243">INDEX(PasteHashtag!$B$2:$B1000,MATCH(C243,PasteHashtag!$C$2:$C1000,0))</f>
        <v>138.6</v>
      </c>
      <c r="C243" t="str">
        <f>PasteBBM!J243</f>
        <v>Dillon Brooks</v>
      </c>
      <c r="D243" t="str">
        <f>IFERROR(REPLACE(PasteBBM!L243, FIND("/",PasteBBM!L243),1,","),PasteBBM!L243)</f>
        <v>G</v>
      </c>
      <c r="E243" t="str">
        <f>PasteBBM!K243</f>
        <v>HOU</v>
      </c>
      <c r="F243">
        <f>PasteBBM!T243</f>
        <v>73</v>
      </c>
      <c r="G243">
        <f>PasteBBM!V243</f>
        <v>28</v>
      </c>
      <c r="H243">
        <f>PasteBBM!AC243*PasteBBM!AD243</f>
        <v>3.896438356</v>
      </c>
      <c r="I243">
        <f>PasteBBM!AC243</f>
        <v>0.4008342493</v>
      </c>
      <c r="J243">
        <f>PasteBBM!AE243*PasteBBM!AF243</f>
        <v>1.220547945</v>
      </c>
      <c r="K243">
        <f>PasteBBM!AE243</f>
        <v>0.837012682</v>
      </c>
      <c r="L243">
        <f>PasteBBM!X243</f>
        <v>1.703561644</v>
      </c>
      <c r="M243">
        <f>PasteBBM!W243</f>
        <v>10.7169863</v>
      </c>
      <c r="N243">
        <f>PasteBBM!Y243</f>
        <v>2.945890411</v>
      </c>
      <c r="O243">
        <f>PasteBBM!Z243</f>
        <v>1.413972603</v>
      </c>
      <c r="P243">
        <f>PasteBBM!AA243</f>
        <v>0.754109589</v>
      </c>
      <c r="Q243">
        <f>PasteBBM!AB243</f>
        <v>0.178630137</v>
      </c>
      <c r="R243">
        <f>PasteBBM!AG243</f>
        <v>0.8836986301</v>
      </c>
      <c r="S243">
        <f>PasteBBM!AD243</f>
        <v>9.720821918</v>
      </c>
      <c r="T243">
        <f>PasteBBM!AF243</f>
        <v>1.458219178</v>
      </c>
    </row>
    <row r="244">
      <c r="A244" s="5">
        <v>243.0</v>
      </c>
      <c r="B244" t="str">
        <f t="array" ref="B244">INDEX(PasteHashtag!$B$2:$B1000,MATCH(C244,PasteHashtag!$C$2:$C1000,0))</f>
        <v/>
      </c>
      <c r="C244" t="str">
        <f>PasteBBM!J244</f>
        <v>Dario Saric</v>
      </c>
      <c r="D244" t="str">
        <f>IFERROR(REPLACE(PasteBBM!L244, FIND("/",PasteBBM!L244),1,","),PasteBBM!L244)</f>
        <v>F,C</v>
      </c>
      <c r="E244" t="str">
        <f>PasteBBM!K244</f>
        <v>DEN</v>
      </c>
      <c r="F244">
        <f>PasteBBM!T244</f>
        <v>59</v>
      </c>
      <c r="G244">
        <f>PasteBBM!V244</f>
        <v>20</v>
      </c>
      <c r="H244">
        <f>PasteBBM!AC244*PasteBBM!AD244</f>
        <v>2.800677966</v>
      </c>
      <c r="I244">
        <f>PasteBBM!AC244</f>
        <v>0.4542930195</v>
      </c>
      <c r="J244">
        <f>PasteBBM!AE244*PasteBBM!AF244</f>
        <v>0.8793220337</v>
      </c>
      <c r="K244">
        <f>PasteBBM!AE244</f>
        <v>0.8389391979</v>
      </c>
      <c r="L244">
        <f>PasteBBM!X244</f>
        <v>1.094237288</v>
      </c>
      <c r="M244">
        <f>PasteBBM!W244</f>
        <v>7.574915254</v>
      </c>
      <c r="N244">
        <f>PasteBBM!Y244</f>
        <v>4.042542373</v>
      </c>
      <c r="O244">
        <f>PasteBBM!Z244</f>
        <v>2.368305085</v>
      </c>
      <c r="P244">
        <f>PasteBBM!AA244</f>
        <v>0.5455932203</v>
      </c>
      <c r="Q244">
        <f>PasteBBM!AB244</f>
        <v>0.1606779661</v>
      </c>
      <c r="R244">
        <f>PasteBBM!AG244</f>
        <v>1.265762712</v>
      </c>
      <c r="S244">
        <f>PasteBBM!AD244</f>
        <v>6.164915254</v>
      </c>
      <c r="T244">
        <f>PasteBBM!AF244</f>
        <v>1.048135593</v>
      </c>
    </row>
    <row r="245">
      <c r="A245" s="5">
        <v>244.0</v>
      </c>
      <c r="B245">
        <f t="array" ref="B245">INDEX(PasteHashtag!$B$2:$B1000,MATCH(C245,PasteHashtag!$C$2:$C1000,0))</f>
        <v>142.6</v>
      </c>
      <c r="C245" t="str">
        <f>PasteBBM!J245</f>
        <v>Cam Whitmore</v>
      </c>
      <c r="D245" t="str">
        <f>IFERROR(REPLACE(PasteBBM!L245, FIND("/",PasteBBM!L245),1,","),PasteBBM!L245)</f>
        <v>F</v>
      </c>
      <c r="E245" t="str">
        <f>PasteBBM!K245</f>
        <v>HOU</v>
      </c>
      <c r="F245">
        <f>PasteBBM!T245</f>
        <v>68</v>
      </c>
      <c r="G245">
        <f>PasteBBM!V245</f>
        <v>20</v>
      </c>
      <c r="H245">
        <f>PasteBBM!AC245*PasteBBM!AD245</f>
        <v>4.555441176</v>
      </c>
      <c r="I245">
        <f>PasteBBM!AC245</f>
        <v>0.4587010602</v>
      </c>
      <c r="J245">
        <f>PasteBBM!AE245*PasteBBM!AF245</f>
        <v>1.789411764</v>
      </c>
      <c r="K245">
        <f>PasteBBM!AE245</f>
        <v>0.69297796</v>
      </c>
      <c r="L245">
        <f>PasteBBM!X245</f>
        <v>1.704264706</v>
      </c>
      <c r="M245">
        <f>PasteBBM!W245</f>
        <v>12.60455882</v>
      </c>
      <c r="N245">
        <f>PasteBBM!Y245</f>
        <v>3.198382353</v>
      </c>
      <c r="O245">
        <f>PasteBBM!Z245</f>
        <v>0.8416176471</v>
      </c>
      <c r="P245">
        <f>PasteBBM!AA245</f>
        <v>0.6798529412</v>
      </c>
      <c r="Q245">
        <f>PasteBBM!AB245</f>
        <v>0.3766176471</v>
      </c>
      <c r="R245">
        <f>PasteBBM!AG245</f>
        <v>1.046911765</v>
      </c>
      <c r="S245">
        <f>PasteBBM!AD245</f>
        <v>9.931176471</v>
      </c>
      <c r="T245">
        <f>PasteBBM!AF245</f>
        <v>2.582205882</v>
      </c>
    </row>
    <row r="246">
      <c r="A246" s="5">
        <v>245.0</v>
      </c>
      <c r="B246" t="str">
        <f t="array" ref="B246">INDEX(PasteHashtag!$B$2:$B1000,MATCH(C246,PasteHashtag!$C$2:$C1000,0))</f>
        <v>#N/A</v>
      </c>
      <c r="C246" t="str">
        <f>PasteBBM!J246</f>
        <v>Xavier Tillman</v>
      </c>
      <c r="D246" t="str">
        <f>IFERROR(REPLACE(PasteBBM!L246, FIND("/",PasteBBM!L246),1,","),PasteBBM!L246)</f>
        <v>F,C</v>
      </c>
      <c r="E246" t="str">
        <f>PasteBBM!K246</f>
        <v>BOS</v>
      </c>
      <c r="F246">
        <f>PasteBBM!T246</f>
        <v>68</v>
      </c>
      <c r="G246">
        <f>PasteBBM!V246</f>
        <v>19</v>
      </c>
      <c r="H246">
        <f>PasteBBM!AC246*PasteBBM!AD246</f>
        <v>2.553970588</v>
      </c>
      <c r="I246">
        <f>PasteBBM!AC246</f>
        <v>0.4988223805</v>
      </c>
      <c r="J246">
        <f>PasteBBM!AE246*PasteBBM!AF246</f>
        <v>0.4036764706</v>
      </c>
      <c r="K246">
        <f>PasteBBM!AE246</f>
        <v>0.5630769231</v>
      </c>
      <c r="L246">
        <f>PasteBBM!X246</f>
        <v>0.4273529412</v>
      </c>
      <c r="M246">
        <f>PasteBBM!W246</f>
        <v>5.938970588</v>
      </c>
      <c r="N246">
        <f>PasteBBM!Y246</f>
        <v>3.879117647</v>
      </c>
      <c r="O246">
        <f>PasteBBM!Z246</f>
        <v>1.512941176</v>
      </c>
      <c r="P246">
        <f>PasteBBM!AA246</f>
        <v>0.7758823529</v>
      </c>
      <c r="Q246">
        <f>PasteBBM!AB246</f>
        <v>0.6927941176</v>
      </c>
      <c r="R246">
        <f>PasteBBM!AG246</f>
        <v>0.5819117647</v>
      </c>
      <c r="S246">
        <f>PasteBBM!AD246</f>
        <v>5.12</v>
      </c>
      <c r="T246">
        <f>PasteBBM!AF246</f>
        <v>0.7169117647</v>
      </c>
    </row>
    <row r="247">
      <c r="A247" s="5">
        <v>246.0</v>
      </c>
      <c r="B247" t="str">
        <f t="array" ref="B247">INDEX(PasteHashtag!$B$2:$B1000,MATCH(C247,PasteHashtag!$C$2:$C1000,0))</f>
        <v/>
      </c>
      <c r="C247" t="str">
        <f>PasteBBM!J247</f>
        <v>Eric Gordon</v>
      </c>
      <c r="D247" t="str">
        <f>IFERROR(REPLACE(PasteBBM!L247, FIND("/",PasteBBM!L247),1,","),PasteBBM!L247)</f>
        <v>G</v>
      </c>
      <c r="E247" t="str">
        <f>PasteBBM!K247</f>
        <v>PHI</v>
      </c>
      <c r="F247">
        <f>PasteBBM!T247</f>
        <v>68</v>
      </c>
      <c r="G247">
        <f>PasteBBM!V247</f>
        <v>26</v>
      </c>
      <c r="H247">
        <f>PasteBBM!AC247*PasteBBM!AD247</f>
        <v>2.952647059</v>
      </c>
      <c r="I247">
        <f>PasteBBM!AC247</f>
        <v>0.4312099996</v>
      </c>
      <c r="J247">
        <f>PasteBBM!AE247*PasteBBM!AF247</f>
        <v>0.5492647059</v>
      </c>
      <c r="K247">
        <f>PasteBBM!AE247</f>
        <v>0.8020184668</v>
      </c>
      <c r="L247">
        <f>PasteBBM!X247</f>
        <v>1.685882353</v>
      </c>
      <c r="M247">
        <f>PasteBBM!W247</f>
        <v>8.140441176</v>
      </c>
      <c r="N247">
        <f>PasteBBM!Y247</f>
        <v>1.645588235</v>
      </c>
      <c r="O247">
        <f>PasteBBM!Z247</f>
        <v>2.123382353</v>
      </c>
      <c r="P247">
        <f>PasteBBM!AA247</f>
        <v>0.6370588235</v>
      </c>
      <c r="Q247">
        <f>PasteBBM!AB247</f>
        <v>0.3701470588</v>
      </c>
      <c r="R247">
        <f>PasteBBM!AG247</f>
        <v>1.114705882</v>
      </c>
      <c r="S247">
        <f>PasteBBM!AD247</f>
        <v>6.847352941</v>
      </c>
      <c r="T247">
        <f>PasteBBM!AF247</f>
        <v>0.6848529412</v>
      </c>
    </row>
    <row r="248">
      <c r="A248" s="5">
        <v>247.0</v>
      </c>
      <c r="B248" t="str">
        <f t="array" ref="B248">INDEX(PasteHashtag!$B$2:$B1000,MATCH(C248,PasteHashtag!$C$2:$C1000,0))</f>
        <v/>
      </c>
      <c r="C248" t="str">
        <f>PasteBBM!J248</f>
        <v>Santi Aldama</v>
      </c>
      <c r="D248" t="str">
        <f>IFERROR(REPLACE(PasteBBM!L248, FIND("/",PasteBBM!L248),1,","),PasteBBM!L248)</f>
        <v>F,C</v>
      </c>
      <c r="E248" t="str">
        <f>PasteBBM!K248</f>
        <v>MEM</v>
      </c>
      <c r="F248">
        <f>PasteBBM!T248</f>
        <v>77</v>
      </c>
      <c r="G248">
        <f>PasteBBM!V248</f>
        <v>21</v>
      </c>
      <c r="H248">
        <f>PasteBBM!AC248*PasteBBM!AD248</f>
        <v>2.66948052</v>
      </c>
      <c r="I248">
        <f>PasteBBM!AC248</f>
        <v>0.4389374106</v>
      </c>
      <c r="J248">
        <f>PasteBBM!AE248*PasteBBM!AF248</f>
        <v>0.5993506493</v>
      </c>
      <c r="K248">
        <f>PasteBBM!AE248</f>
        <v>0.6570330296</v>
      </c>
      <c r="L248">
        <f>PasteBBM!X248</f>
        <v>1.213376623</v>
      </c>
      <c r="M248">
        <f>PasteBBM!W248</f>
        <v>7.151688312</v>
      </c>
      <c r="N248">
        <f>PasteBBM!Y248</f>
        <v>4.55</v>
      </c>
      <c r="O248">
        <f>PasteBBM!Z248</f>
        <v>1.312467532</v>
      </c>
      <c r="P248">
        <f>PasteBBM!AA248</f>
        <v>0.5457142857</v>
      </c>
      <c r="Q248">
        <f>PasteBBM!AB248</f>
        <v>0.6124675325</v>
      </c>
      <c r="R248">
        <f>PasteBBM!AG248</f>
        <v>0.8750649351</v>
      </c>
      <c r="S248">
        <f>PasteBBM!AD248</f>
        <v>6.081688312</v>
      </c>
      <c r="T248">
        <f>PasteBBM!AF248</f>
        <v>0.9122077922</v>
      </c>
    </row>
    <row r="249">
      <c r="A249" s="5">
        <v>248.0</v>
      </c>
      <c r="B249" t="str">
        <f t="array" ref="B249">INDEX(PasteHashtag!$B$2:$B1000,MATCH(C249,PasteHashtag!$C$2:$C1000,0))</f>
        <v/>
      </c>
      <c r="C249" t="str">
        <f>PasteBBM!J249</f>
        <v>Larry Nance Jr.</v>
      </c>
      <c r="D249" t="str">
        <f>IFERROR(REPLACE(PasteBBM!L249, FIND("/",PasteBBM!L249),1,","),PasteBBM!L249)</f>
        <v>F,C</v>
      </c>
      <c r="E249" t="str">
        <f>PasteBBM!K249</f>
        <v>ATL</v>
      </c>
      <c r="F249">
        <f>PasteBBM!T249</f>
        <v>57</v>
      </c>
      <c r="G249">
        <f>PasteBBM!V249</f>
        <v>17</v>
      </c>
      <c r="H249">
        <f>PasteBBM!AC249*PasteBBM!AD249</f>
        <v>1.995614035</v>
      </c>
      <c r="I249">
        <f>PasteBBM!AC249</f>
        <v>0.569119928</v>
      </c>
      <c r="J249">
        <f>PasteBBM!AE249*PasteBBM!AF249</f>
        <v>0.4707017544</v>
      </c>
      <c r="K249">
        <f>PasteBBM!AE249</f>
        <v>0.7458993606</v>
      </c>
      <c r="L249">
        <f>PasteBBM!X249</f>
        <v>0.2954385965</v>
      </c>
      <c r="M249">
        <f>PasteBBM!W249</f>
        <v>4.757368421</v>
      </c>
      <c r="N249">
        <f>PasteBBM!Y249</f>
        <v>3.895789474</v>
      </c>
      <c r="O249">
        <f>PasteBBM!Z249</f>
        <v>1.558421053</v>
      </c>
      <c r="P249">
        <f>PasteBBM!AA249</f>
        <v>0.779122807</v>
      </c>
      <c r="Q249">
        <f>PasteBBM!AB249</f>
        <v>0.3233333333</v>
      </c>
      <c r="R249">
        <f>PasteBBM!AG249</f>
        <v>0.5666666667</v>
      </c>
      <c r="S249">
        <f>PasteBBM!AD249</f>
        <v>3.506491228</v>
      </c>
      <c r="T249">
        <f>PasteBBM!AF249</f>
        <v>0.6310526316</v>
      </c>
    </row>
    <row r="250">
      <c r="A250" s="5">
        <v>249.0</v>
      </c>
      <c r="B250">
        <f t="array" ref="B250">INDEX(PasteHashtag!$B$2:$B1000,MATCH(C250,PasteHashtag!$C$2:$C1000,0))</f>
        <v>140.3</v>
      </c>
      <c r="C250" t="str">
        <f>PasteBBM!J250</f>
        <v>Dorian Finney-Smith</v>
      </c>
      <c r="D250" t="str">
        <f>IFERROR(REPLACE(PasteBBM!L250, FIND("/",PasteBBM!L250),1,","),PasteBBM!L250)</f>
        <v>F</v>
      </c>
      <c r="E250" t="str">
        <f>PasteBBM!K250</f>
        <v>BKN</v>
      </c>
      <c r="F250">
        <f>PasteBBM!T250</f>
        <v>57</v>
      </c>
      <c r="G250">
        <f>PasteBBM!V250</f>
        <v>23</v>
      </c>
      <c r="H250">
        <f>PasteBBM!AC250*PasteBBM!AD250</f>
        <v>2.367192983</v>
      </c>
      <c r="I250">
        <f>PasteBBM!AC250</f>
        <v>0.4216694272</v>
      </c>
      <c r="J250">
        <f>PasteBBM!AE250*PasteBBM!AF250</f>
        <v>0.5312280702</v>
      </c>
      <c r="K250">
        <f>PasteBBM!AE250</f>
        <v>0.7278846154</v>
      </c>
      <c r="L250">
        <f>PasteBBM!X250</f>
        <v>1.106140351</v>
      </c>
      <c r="M250">
        <f>PasteBBM!W250</f>
        <v>6.371754386</v>
      </c>
      <c r="N250">
        <f>PasteBBM!Y250</f>
        <v>3.823333333</v>
      </c>
      <c r="O250">
        <f>PasteBBM!Z250</f>
        <v>1.393684211</v>
      </c>
      <c r="P250">
        <f>PasteBBM!AA250</f>
        <v>0.7140350877</v>
      </c>
      <c r="Q250">
        <f>PasteBBM!AB250</f>
        <v>0.489122807</v>
      </c>
      <c r="R250">
        <f>PasteBBM!AG250</f>
        <v>0.7814035088</v>
      </c>
      <c r="S250">
        <f>PasteBBM!AD250</f>
        <v>5.613859649</v>
      </c>
      <c r="T250">
        <f>PasteBBM!AF250</f>
        <v>0.7298245614</v>
      </c>
    </row>
    <row r="251">
      <c r="A251" s="5">
        <v>250.0</v>
      </c>
      <c r="B251" t="str">
        <f t="array" ref="B251">INDEX(PasteHashtag!$B$2:$B1000,MATCH(C251,PasteHashtag!$C$2:$C1000,0))</f>
        <v/>
      </c>
      <c r="C251" t="str">
        <f>PasteBBM!J251</f>
        <v>Nickeil Alexander-Walker</v>
      </c>
      <c r="D251" t="str">
        <f>IFERROR(REPLACE(PasteBBM!L251, FIND("/",PasteBBM!L251),1,","),PasteBBM!L251)</f>
        <v>G,F</v>
      </c>
      <c r="E251" t="str">
        <f>PasteBBM!K251</f>
        <v>MIN</v>
      </c>
      <c r="F251">
        <f>PasteBBM!T251</f>
        <v>77</v>
      </c>
      <c r="G251">
        <f>PasteBBM!V251</f>
        <v>20</v>
      </c>
      <c r="H251">
        <f>PasteBBM!AC251*PasteBBM!AD251</f>
        <v>2.454545454</v>
      </c>
      <c r="I251">
        <f>PasteBBM!AC251</f>
        <v>0.4420018709</v>
      </c>
      <c r="J251">
        <f>PasteBBM!AE251*PasteBBM!AF251</f>
        <v>0.6525974026</v>
      </c>
      <c r="K251">
        <f>PasteBBM!AE251</f>
        <v>0.8400200602</v>
      </c>
      <c r="L251">
        <f>PasteBBM!X251</f>
        <v>1.327142857</v>
      </c>
      <c r="M251">
        <f>PasteBBM!W251</f>
        <v>6.888831169</v>
      </c>
      <c r="N251">
        <f>PasteBBM!Y251</f>
        <v>1.796623377</v>
      </c>
      <c r="O251">
        <f>PasteBBM!Z251</f>
        <v>2.45</v>
      </c>
      <c r="P251">
        <f>PasteBBM!AA251</f>
        <v>0.6122077922</v>
      </c>
      <c r="Q251">
        <f>PasteBBM!AB251</f>
        <v>0.4084415584</v>
      </c>
      <c r="R251">
        <f>PasteBBM!AG251</f>
        <v>1.020779221</v>
      </c>
      <c r="S251">
        <f>PasteBBM!AD251</f>
        <v>5.553246753</v>
      </c>
      <c r="T251">
        <f>PasteBBM!AF251</f>
        <v>0.7768831169</v>
      </c>
    </row>
    <row r="252">
      <c r="A252" s="5">
        <v>251.0</v>
      </c>
      <c r="B252" t="str">
        <f t="array" ref="B252">INDEX(PasteHashtag!$B$2:$B1000,MATCH(C252,PasteHashtag!$C$2:$C1000,0))</f>
        <v/>
      </c>
      <c r="C252" t="str">
        <f>PasteBBM!J252</f>
        <v>Ziaire Williams</v>
      </c>
      <c r="D252" t="str">
        <f>IFERROR(REPLACE(PasteBBM!L252, FIND("/",PasteBBM!L252),1,","),PasteBBM!L252)</f>
        <v>F</v>
      </c>
      <c r="E252" t="str">
        <f>PasteBBM!K252</f>
        <v>BKN</v>
      </c>
      <c r="F252">
        <f>PasteBBM!T252</f>
        <v>68</v>
      </c>
      <c r="G252">
        <f>PasteBBM!V252</f>
        <v>22</v>
      </c>
      <c r="H252">
        <f>PasteBBM!AC252*PasteBBM!AD252</f>
        <v>3.429264706</v>
      </c>
      <c r="I252">
        <f>PasteBBM!AC252</f>
        <v>0.4161729012</v>
      </c>
      <c r="J252">
        <f>PasteBBM!AE252*PasteBBM!AF252</f>
        <v>1.245882353</v>
      </c>
      <c r="K252">
        <f>PasteBBM!AE252</f>
        <v>0.813989239</v>
      </c>
      <c r="L252">
        <f>PasteBBM!X252</f>
        <v>1.28</v>
      </c>
      <c r="M252">
        <f>PasteBBM!W252</f>
        <v>9.384411765</v>
      </c>
      <c r="N252">
        <f>PasteBBM!Y252</f>
        <v>3.240441176</v>
      </c>
      <c r="O252">
        <f>PasteBBM!Z252</f>
        <v>1.851617647</v>
      </c>
      <c r="P252">
        <f>PasteBBM!AA252</f>
        <v>0.6944117647</v>
      </c>
      <c r="Q252">
        <f>PasteBBM!AB252</f>
        <v>0.1830882353</v>
      </c>
      <c r="R252">
        <f>PasteBBM!AG252</f>
        <v>1.237941176</v>
      </c>
      <c r="S252">
        <f>PasteBBM!AD252</f>
        <v>8.24</v>
      </c>
      <c r="T252">
        <f>PasteBBM!AF252</f>
        <v>1.530588235</v>
      </c>
    </row>
    <row r="253">
      <c r="A253" s="5">
        <v>252.0</v>
      </c>
      <c r="B253" t="str">
        <f t="array" ref="B253">INDEX(PasteHashtag!$B$2:$B1000,MATCH(C253,PasteHashtag!$C$2:$C1000,0))</f>
        <v/>
      </c>
      <c r="C253" t="str">
        <f>PasteBBM!J253</f>
        <v>Josh Richardson</v>
      </c>
      <c r="D253" t="str">
        <f>IFERROR(REPLACE(PasteBBM!L253, FIND("/",PasteBBM!L253),1,","),PasteBBM!L253)</f>
        <v>G</v>
      </c>
      <c r="E253" t="str">
        <f>PasteBBM!K253</f>
        <v>MIA</v>
      </c>
      <c r="F253">
        <f>PasteBBM!T253</f>
        <v>68</v>
      </c>
      <c r="G253">
        <f>PasteBBM!V253</f>
        <v>22</v>
      </c>
      <c r="H253">
        <f>PasteBBM!AC253*PasteBBM!AD253</f>
        <v>2.941617647</v>
      </c>
      <c r="I253">
        <f>PasteBBM!AC253</f>
        <v>0.4353020543</v>
      </c>
      <c r="J253">
        <f>PasteBBM!AE253*PasteBBM!AF253</f>
        <v>0.6533823529</v>
      </c>
      <c r="K253">
        <f>PasteBBM!AE253</f>
        <v>0.8789317507</v>
      </c>
      <c r="L253">
        <f>PasteBBM!X253</f>
        <v>1.335735294</v>
      </c>
      <c r="M253">
        <f>PasteBBM!W253</f>
        <v>7.872352941</v>
      </c>
      <c r="N253">
        <f>PasteBBM!Y253</f>
        <v>2.400735294</v>
      </c>
      <c r="O253">
        <f>PasteBBM!Z253</f>
        <v>2.0425</v>
      </c>
      <c r="P253">
        <f>PasteBBM!AA253</f>
        <v>0.6119117647</v>
      </c>
      <c r="Q253">
        <f>PasteBBM!AB253</f>
        <v>0.2695588235</v>
      </c>
      <c r="R253">
        <f>PasteBBM!AG253</f>
        <v>0.8523529412</v>
      </c>
      <c r="S253">
        <f>PasteBBM!AD253</f>
        <v>6.757647059</v>
      </c>
      <c r="T253">
        <f>PasteBBM!AF253</f>
        <v>0.7433823529</v>
      </c>
    </row>
    <row r="254">
      <c r="A254" s="5">
        <v>253.0</v>
      </c>
      <c r="B254" t="str">
        <f t="array" ref="B254">INDEX(PasteHashtag!$B$2:$B1000,MATCH(C254,PasteHashtag!$C$2:$C1000,0))</f>
        <v>#N/A</v>
      </c>
      <c r="C254" t="str">
        <f>PasteBBM!J254</f>
        <v>Javonte Green</v>
      </c>
      <c r="D254" t="str">
        <f>IFERROR(REPLACE(PasteBBM!L254, FIND("/",PasteBBM!L254),1,","),PasteBBM!L254)</f>
        <v>G</v>
      </c>
      <c r="E254" t="str">
        <f>PasteBBM!K254</f>
        <v>NOR</v>
      </c>
      <c r="F254">
        <f>PasteBBM!T254</f>
        <v>50</v>
      </c>
      <c r="G254">
        <f>PasteBBM!V254</f>
        <v>18</v>
      </c>
      <c r="H254">
        <f>PasteBBM!AC254*PasteBBM!AD254</f>
        <v>2.2068</v>
      </c>
      <c r="I254">
        <f>PasteBBM!AC254</f>
        <v>0.5261300782</v>
      </c>
      <c r="J254">
        <f>PasteBBM!AE254*PasteBBM!AF254</f>
        <v>0.4694</v>
      </c>
      <c r="K254">
        <f>PasteBBM!AE254</f>
        <v>0.7460267006</v>
      </c>
      <c r="L254">
        <f>PasteBBM!X254</f>
        <v>0.4928</v>
      </c>
      <c r="M254">
        <f>PasteBBM!W254</f>
        <v>5.3758</v>
      </c>
      <c r="N254">
        <f>PasteBBM!Y254</f>
        <v>3.1556</v>
      </c>
      <c r="O254">
        <f>PasteBBM!Z254</f>
        <v>0.6682</v>
      </c>
      <c r="P254">
        <f>PasteBBM!AA254</f>
        <v>0.891</v>
      </c>
      <c r="Q254">
        <f>PasteBBM!AB254</f>
        <v>0.4084</v>
      </c>
      <c r="R254">
        <f>PasteBBM!AG254</f>
        <v>0.5198</v>
      </c>
      <c r="S254">
        <f>PasteBBM!AD254</f>
        <v>4.1944</v>
      </c>
      <c r="T254">
        <f>PasteBBM!AF254</f>
        <v>0.6292</v>
      </c>
    </row>
    <row r="255">
      <c r="A255" s="5">
        <v>254.0</v>
      </c>
      <c r="B255" t="str">
        <f t="array" ref="B255">INDEX(PasteHashtag!$B$2:$B1000,MATCH(C255,PasteHashtag!$C$2:$C1000,0))</f>
        <v/>
      </c>
      <c r="C255" t="str">
        <f>PasteBBM!J255</f>
        <v>Julian Champagnie</v>
      </c>
      <c r="D255" t="str">
        <f>IFERROR(REPLACE(PasteBBM!L255, FIND("/",PasteBBM!L255),1,","),PasteBBM!L255)</f>
        <v>F</v>
      </c>
      <c r="E255" t="str">
        <f>PasteBBM!K255</f>
        <v>SAS</v>
      </c>
      <c r="F255">
        <f>PasteBBM!T255</f>
        <v>73</v>
      </c>
      <c r="G255">
        <f>PasteBBM!V255</f>
        <v>20</v>
      </c>
      <c r="H255">
        <f>PasteBBM!AC255*PasteBBM!AD255</f>
        <v>2.53630137</v>
      </c>
      <c r="I255">
        <f>PasteBBM!AC255</f>
        <v>0.4226782942</v>
      </c>
      <c r="J255">
        <f>PasteBBM!AE255*PasteBBM!AF255</f>
        <v>1.331643836</v>
      </c>
      <c r="K255">
        <f>PasteBBM!AE255</f>
        <v>0.8220023677</v>
      </c>
      <c r="L255">
        <f>PasteBBM!X255</f>
        <v>1.368356164</v>
      </c>
      <c r="M255">
        <f>PasteBBM!W255</f>
        <v>7.77260274</v>
      </c>
      <c r="N255">
        <f>PasteBBM!Y255</f>
        <v>2.666712329</v>
      </c>
      <c r="O255">
        <f>PasteBBM!Z255</f>
        <v>1.416712329</v>
      </c>
      <c r="P255">
        <f>PasteBBM!AA255</f>
        <v>0.561369863</v>
      </c>
      <c r="Q255">
        <f>PasteBBM!AB255</f>
        <v>0.5116438356</v>
      </c>
      <c r="R255">
        <f>PasteBBM!AG255</f>
        <v>0.8332876712</v>
      </c>
      <c r="S255">
        <f>PasteBBM!AD255</f>
        <v>6.000547945</v>
      </c>
      <c r="T255">
        <f>PasteBBM!AF255</f>
        <v>1.62</v>
      </c>
    </row>
    <row r="256">
      <c r="A256" s="5">
        <v>255.0</v>
      </c>
      <c r="B256">
        <f t="array" ref="B256">INDEX(PasteHashtag!$B$2:$B1000,MATCH(C256,PasteHashtag!$C$2:$C1000,0))</f>
        <v>143.1</v>
      </c>
      <c r="C256" t="str">
        <f>PasteBBM!J256</f>
        <v>Marvin Bagley III</v>
      </c>
      <c r="D256" t="str">
        <f>IFERROR(REPLACE(PasteBBM!L256, FIND("/",PasteBBM!L256),1,","),PasteBBM!L256)</f>
        <v>F</v>
      </c>
      <c r="E256" t="str">
        <f>PasteBBM!K256</f>
        <v>WAS</v>
      </c>
      <c r="F256">
        <f>PasteBBM!T256</f>
        <v>68</v>
      </c>
      <c r="G256">
        <f>PasteBBM!V256</f>
        <v>17</v>
      </c>
      <c r="H256">
        <f>PasteBBM!AC256*PasteBBM!AD256</f>
        <v>3.352941177</v>
      </c>
      <c r="I256">
        <f>PasteBBM!AC256</f>
        <v>0.5689190538</v>
      </c>
      <c r="J256">
        <f>PasteBBM!AE256*PasteBBM!AF256</f>
        <v>1.209264706</v>
      </c>
      <c r="K256">
        <f>PasteBBM!AE256</f>
        <v>0.7599815157</v>
      </c>
      <c r="L256">
        <f>PasteBBM!X256</f>
        <v>0.1485294118</v>
      </c>
      <c r="M256">
        <f>PasteBBM!W256</f>
        <v>8.063676471</v>
      </c>
      <c r="N256">
        <f>PasteBBM!Y256</f>
        <v>5.414558824</v>
      </c>
      <c r="O256">
        <f>PasteBBM!Z256</f>
        <v>0.7366176471</v>
      </c>
      <c r="P256">
        <f>PasteBBM!AA256</f>
        <v>0.325</v>
      </c>
      <c r="Q256">
        <f>PasteBBM!AB256</f>
        <v>0.5892647059</v>
      </c>
      <c r="R256">
        <f>PasteBBM!AG256</f>
        <v>0.7735294118</v>
      </c>
      <c r="S256">
        <f>PasteBBM!AD256</f>
        <v>5.893529412</v>
      </c>
      <c r="T256">
        <f>PasteBBM!AF256</f>
        <v>1.591176471</v>
      </c>
    </row>
    <row r="257">
      <c r="A257" s="5">
        <v>256.0</v>
      </c>
      <c r="B257" t="str">
        <f t="array" ref="B257">INDEX(PasteHashtag!$B$2:$B1000,MATCH(C257,PasteHashtag!$C$2:$C1000,0))</f>
        <v/>
      </c>
      <c r="C257" t="str">
        <f>PasteBBM!J257</f>
        <v>Drew Eubanks</v>
      </c>
      <c r="D257" t="str">
        <f>IFERROR(REPLACE(PasteBBM!L257, FIND("/",PasteBBM!L257),1,","),PasteBBM!L257)</f>
        <v>C</v>
      </c>
      <c r="E257" t="str">
        <f>PasteBBM!K257</f>
        <v>UTA</v>
      </c>
      <c r="F257">
        <f>PasteBBM!T257</f>
        <v>73</v>
      </c>
      <c r="G257">
        <f>PasteBBM!V257</f>
        <v>17</v>
      </c>
      <c r="H257">
        <f>PasteBBM!AC257*PasteBBM!AD257</f>
        <v>1.986438356</v>
      </c>
      <c r="I257">
        <f>PasteBBM!AC257</f>
        <v>0.5785358069</v>
      </c>
      <c r="J257">
        <f>PasteBBM!AE257*PasteBBM!AF257</f>
        <v>0.7930136987</v>
      </c>
      <c r="K257">
        <f>PasteBBM!AE257</f>
        <v>0.74494917</v>
      </c>
      <c r="L257">
        <f>PasteBBM!X257</f>
        <v>0.004931506849</v>
      </c>
      <c r="M257">
        <f>PasteBBM!W257</f>
        <v>4.770821918</v>
      </c>
      <c r="N257">
        <f>PasteBBM!Y257</f>
        <v>5.22260274</v>
      </c>
      <c r="O257">
        <f>PasteBBM!Z257</f>
        <v>0.977260274</v>
      </c>
      <c r="P257">
        <f>PasteBBM!AA257</f>
        <v>0.4310958904</v>
      </c>
      <c r="Q257">
        <f>PasteBBM!AB257</f>
        <v>0.8920547945</v>
      </c>
      <c r="R257">
        <f>PasteBBM!AG257</f>
        <v>0.7154794521</v>
      </c>
      <c r="S257">
        <f>PasteBBM!AD257</f>
        <v>3.433561644</v>
      </c>
      <c r="T257">
        <f>PasteBBM!AF257</f>
        <v>1.064520548</v>
      </c>
    </row>
    <row r="258">
      <c r="A258" s="5">
        <v>257.0</v>
      </c>
      <c r="B258" t="str">
        <f t="array" ref="B258">INDEX(PasteHashtag!$B$2:$B1000,MATCH(C258,PasteHashtag!$C$2:$C1000,0))</f>
        <v/>
      </c>
      <c r="C258" t="str">
        <f>PasteBBM!J258</f>
        <v>Ben Sheppard</v>
      </c>
      <c r="D258" t="str">
        <f>IFERROR(REPLACE(PasteBBM!L258, FIND("/",PasteBBM!L258),1,","),PasteBBM!L258)</f>
        <v>G</v>
      </c>
      <c r="E258" t="str">
        <f>PasteBBM!K258</f>
        <v>IND</v>
      </c>
      <c r="F258">
        <f>PasteBBM!T258</f>
        <v>73</v>
      </c>
      <c r="G258">
        <f>PasteBBM!V258</f>
        <v>21</v>
      </c>
      <c r="H258">
        <f>PasteBBM!AC258*PasteBBM!AD258</f>
        <v>2.617945206</v>
      </c>
      <c r="I258">
        <f>PasteBBM!AC258</f>
        <v>0.4119904284</v>
      </c>
      <c r="J258">
        <f>PasteBBM!AE258*PasteBBM!AF258</f>
        <v>0.6187671233</v>
      </c>
      <c r="K258">
        <f>PasteBBM!AE258</f>
        <v>0.8400595127</v>
      </c>
      <c r="L258">
        <f>PasteBBM!X258</f>
        <v>1.523150685</v>
      </c>
      <c r="M258">
        <f>PasteBBM!W258</f>
        <v>7.377808219</v>
      </c>
      <c r="N258">
        <f>PasteBBM!Y258</f>
        <v>2.298219178</v>
      </c>
      <c r="O258">
        <f>PasteBBM!Z258</f>
        <v>1.470273973</v>
      </c>
      <c r="P258">
        <f>PasteBBM!AA258</f>
        <v>0.8828767123</v>
      </c>
      <c r="Q258">
        <f>PasteBBM!AB258</f>
        <v>0.04424657534</v>
      </c>
      <c r="R258">
        <f>PasteBBM!AG258</f>
        <v>0.5857534247</v>
      </c>
      <c r="S258">
        <f>PasteBBM!AD258</f>
        <v>6.354383562</v>
      </c>
      <c r="T258">
        <f>PasteBBM!AF258</f>
        <v>0.7365753425</v>
      </c>
    </row>
    <row r="259">
      <c r="A259" s="5">
        <v>258.0</v>
      </c>
      <c r="B259" t="str">
        <f t="array" ref="B259">INDEX(PasteHashtag!$B$2:$B1000,MATCH(C259,PasteHashtag!$C$2:$C1000,0))</f>
        <v/>
      </c>
      <c r="C259" t="str">
        <f>PasteBBM!J259</f>
        <v>Mo Bamba</v>
      </c>
      <c r="D259" t="str">
        <f>IFERROR(REPLACE(PasteBBM!L259, FIND("/",PasteBBM!L259),1,","),PasteBBM!L259)</f>
        <v>C</v>
      </c>
      <c r="E259" t="str">
        <f>PasteBBM!K259</f>
        <v>LAC</v>
      </c>
      <c r="F259">
        <f>PasteBBM!T259</f>
        <v>68</v>
      </c>
      <c r="G259">
        <f>PasteBBM!V259</f>
        <v>15</v>
      </c>
      <c r="H259">
        <f>PasteBBM!AC259*PasteBBM!AD259</f>
        <v>2.331029412</v>
      </c>
      <c r="I259">
        <f>PasteBBM!AC259</f>
        <v>0.4910166656</v>
      </c>
      <c r="J259">
        <f>PasteBBM!AE259*PasteBBM!AF259</f>
        <v>0.7720588236</v>
      </c>
      <c r="K259">
        <f>PasteBBM!AE259</f>
        <v>0.6970260223</v>
      </c>
      <c r="L259">
        <f>PasteBBM!X259</f>
        <v>0.7216176471</v>
      </c>
      <c r="M259">
        <f>PasteBBM!W259</f>
        <v>6.155735294</v>
      </c>
      <c r="N259">
        <f>PasteBBM!Y259</f>
        <v>4.624411765</v>
      </c>
      <c r="O259">
        <f>PasteBBM!Z259</f>
        <v>0.875</v>
      </c>
      <c r="P259">
        <f>PasteBBM!AA259</f>
        <v>0.3369117647</v>
      </c>
      <c r="Q259">
        <f>PasteBBM!AB259</f>
        <v>1.041323529</v>
      </c>
      <c r="R259">
        <f>PasteBBM!AG259</f>
        <v>0.6430882353</v>
      </c>
      <c r="S259">
        <f>PasteBBM!AD259</f>
        <v>4.747352941</v>
      </c>
      <c r="T259">
        <f>PasteBBM!AF259</f>
        <v>1.107647059</v>
      </c>
    </row>
    <row r="260">
      <c r="A260" s="5">
        <v>259.0</v>
      </c>
      <c r="B260" t="str">
        <f t="array" ref="B260">INDEX(PasteHashtag!$B$2:$B1000,MATCH(C260,PasteHashtag!$C$2:$C1000,0))</f>
        <v/>
      </c>
      <c r="C260" t="str">
        <f>PasteBBM!J260</f>
        <v>Matisse Thybulle</v>
      </c>
      <c r="D260" t="str">
        <f>IFERROR(REPLACE(PasteBBM!L260, FIND("/",PasteBBM!L260),1,","),PasteBBM!L260)</f>
        <v>G,F</v>
      </c>
      <c r="E260" t="str">
        <f>PasteBBM!K260</f>
        <v>POR</v>
      </c>
      <c r="F260">
        <f>PasteBBM!T260</f>
        <v>60</v>
      </c>
      <c r="G260">
        <f>PasteBBM!V260</f>
        <v>16</v>
      </c>
      <c r="H260">
        <f>PasteBBM!AC260*PasteBBM!AD260</f>
        <v>1.238666667</v>
      </c>
      <c r="I260">
        <f>PasteBBM!AC260</f>
        <v>0.387022861</v>
      </c>
      <c r="J260">
        <f>PasteBBM!AE260*PasteBBM!AF260</f>
        <v>0.2296666667</v>
      </c>
      <c r="K260">
        <f>PasteBBM!AE260</f>
        <v>0.7432578209</v>
      </c>
      <c r="L260">
        <f>PasteBBM!X260</f>
        <v>0.7516666667</v>
      </c>
      <c r="M260">
        <f>PasteBBM!W260</f>
        <v>3.458666667</v>
      </c>
      <c r="N260">
        <f>PasteBBM!Y260</f>
        <v>1.617</v>
      </c>
      <c r="O260">
        <f>PasteBBM!Z260</f>
        <v>0.9056666667</v>
      </c>
      <c r="P260">
        <f>PasteBBM!AA260</f>
        <v>1.1955</v>
      </c>
      <c r="Q260">
        <f>PasteBBM!AB260</f>
        <v>0.5015</v>
      </c>
      <c r="R260">
        <f>PasteBBM!AG260</f>
        <v>0.4003333333</v>
      </c>
      <c r="S260">
        <f>PasteBBM!AD260</f>
        <v>3.2005</v>
      </c>
      <c r="T260">
        <f>PasteBBM!AF260</f>
        <v>0.309</v>
      </c>
    </row>
    <row r="261">
      <c r="A261" s="5">
        <v>260.0</v>
      </c>
      <c r="B261" t="str">
        <f t="array" ref="B261">INDEX(PasteHashtag!$B$2:$B1000,MATCH(C261,PasteHashtag!$C$2:$C1000,0))</f>
        <v/>
      </c>
      <c r="C261" t="str">
        <f>PasteBBM!J261</f>
        <v>Georges Niang</v>
      </c>
      <c r="D261" t="str">
        <f>IFERROR(REPLACE(PasteBBM!L261, FIND("/",PasteBBM!L261),1,","),PasteBBM!L261)</f>
        <v>F</v>
      </c>
      <c r="E261" t="str">
        <f>PasteBBM!K261</f>
        <v>CLE</v>
      </c>
      <c r="F261">
        <f>PasteBBM!T261</f>
        <v>77</v>
      </c>
      <c r="G261">
        <f>PasteBBM!V261</f>
        <v>20</v>
      </c>
      <c r="H261">
        <f>PasteBBM!AC261*PasteBBM!AD261</f>
        <v>3.441038961</v>
      </c>
      <c r="I261">
        <f>PasteBBM!AC261</f>
        <v>0.460039934</v>
      </c>
      <c r="J261">
        <f>PasteBBM!AE261*PasteBBM!AF261</f>
        <v>0.671038961</v>
      </c>
      <c r="K261">
        <f>PasteBBM!AE261</f>
        <v>0.8419423171</v>
      </c>
      <c r="L261">
        <f>PasteBBM!X261</f>
        <v>2.019350649</v>
      </c>
      <c r="M261">
        <f>PasteBBM!W261</f>
        <v>9.572467532</v>
      </c>
      <c r="N261">
        <f>PasteBBM!Y261</f>
        <v>2.55</v>
      </c>
      <c r="O261">
        <f>PasteBBM!Z261</f>
        <v>1.051428571</v>
      </c>
      <c r="P261">
        <f>PasteBBM!AA261</f>
        <v>0.3753246753</v>
      </c>
      <c r="Q261">
        <f>PasteBBM!AB261</f>
        <v>0.2149350649</v>
      </c>
      <c r="R261">
        <f>PasteBBM!AG261</f>
        <v>0.85</v>
      </c>
      <c r="S261">
        <f>PasteBBM!AD261</f>
        <v>7.47987013</v>
      </c>
      <c r="T261">
        <f>PasteBBM!AF261</f>
        <v>0.797012987</v>
      </c>
    </row>
    <row r="262">
      <c r="A262" s="5">
        <v>261.0</v>
      </c>
      <c r="B262" t="str">
        <f t="array" ref="B262">INDEX(PasteHashtag!$B$2:$B1000,MATCH(C262,PasteHashtag!$C$2:$C1000,0))</f>
        <v/>
      </c>
      <c r="C262" t="str">
        <f>PasteBBM!J262</f>
        <v>Jose Alvarado</v>
      </c>
      <c r="D262" t="str">
        <f>IFERROR(REPLACE(PasteBBM!L262, FIND("/",PasteBBM!L262),1,","),PasteBBM!L262)</f>
        <v>G</v>
      </c>
      <c r="E262" t="str">
        <f>PasteBBM!K262</f>
        <v>NOR</v>
      </c>
      <c r="F262">
        <f>PasteBBM!T262</f>
        <v>68</v>
      </c>
      <c r="G262">
        <f>PasteBBM!V262</f>
        <v>17</v>
      </c>
      <c r="H262">
        <f>PasteBBM!AC262*PasteBBM!AD262</f>
        <v>2.017794117</v>
      </c>
      <c r="I262">
        <f>PasteBBM!AC262</f>
        <v>0.4024933998</v>
      </c>
      <c r="J262">
        <f>PasteBBM!AE262*PasteBBM!AF262</f>
        <v>0.4757352942</v>
      </c>
      <c r="K262">
        <f>PasteBBM!AE262</f>
        <v>0.7299187726</v>
      </c>
      <c r="L262">
        <f>PasteBBM!X262</f>
        <v>1.127647059</v>
      </c>
      <c r="M262">
        <f>PasteBBM!W262</f>
        <v>5.638970588</v>
      </c>
      <c r="N262">
        <f>PasteBBM!Y262</f>
        <v>2.208970588</v>
      </c>
      <c r="O262">
        <f>PasteBBM!Z262</f>
        <v>1.858382353</v>
      </c>
      <c r="P262">
        <f>PasteBBM!AA262</f>
        <v>0.9666176471</v>
      </c>
      <c r="Q262">
        <f>PasteBBM!AB262</f>
        <v>0.2123529412</v>
      </c>
      <c r="R262">
        <f>PasteBBM!AG262</f>
        <v>0.5960294118</v>
      </c>
      <c r="S262">
        <f>PasteBBM!AD262</f>
        <v>5.013235294</v>
      </c>
      <c r="T262">
        <f>PasteBBM!AF262</f>
        <v>0.6517647059</v>
      </c>
    </row>
    <row r="263">
      <c r="A263" s="5">
        <v>262.0</v>
      </c>
      <c r="B263" t="str">
        <f t="array" ref="B263">INDEX(PasteHashtag!$B$2:$B1000,MATCH(C263,PasteHashtag!$C$2:$C1000,0))</f>
        <v/>
      </c>
      <c r="C263" t="str">
        <f>PasteBBM!J263</f>
        <v>Mason Plumlee</v>
      </c>
      <c r="D263" t="str">
        <f>IFERROR(REPLACE(PasteBBM!L263, FIND("/",PasteBBM!L263),1,","),PasteBBM!L263)</f>
        <v>C</v>
      </c>
      <c r="E263" t="str">
        <f>PasteBBM!K263</f>
        <v>PHO</v>
      </c>
      <c r="F263">
        <f>PasteBBM!T263</f>
        <v>73</v>
      </c>
      <c r="G263">
        <f>PasteBBM!V263</f>
        <v>18</v>
      </c>
      <c r="H263">
        <f>PasteBBM!AC263*PasteBBM!AD263</f>
        <v>2.541917808</v>
      </c>
      <c r="I263">
        <f>PasteBBM!AC263</f>
        <v>0.5695693545</v>
      </c>
      <c r="J263">
        <f>PasteBBM!AE263*PasteBBM!AF263</f>
        <v>1.693972603</v>
      </c>
      <c r="K263">
        <f>PasteBBM!AE263</f>
        <v>0.7299881936</v>
      </c>
      <c r="L263">
        <f>PasteBBM!X263</f>
        <v>0.04465753425</v>
      </c>
      <c r="M263">
        <f>PasteBBM!W263</f>
        <v>6.822465753</v>
      </c>
      <c r="N263">
        <f>PasteBBM!Y263</f>
        <v>6.15</v>
      </c>
      <c r="O263">
        <f>PasteBBM!Z263</f>
        <v>1.640821918</v>
      </c>
      <c r="P263">
        <f>PasteBBM!AA263</f>
        <v>0.3773972603</v>
      </c>
      <c r="Q263">
        <f>PasteBBM!AB263</f>
        <v>0.4483561644</v>
      </c>
      <c r="R263">
        <f>PasteBBM!AG263</f>
        <v>1.009315068</v>
      </c>
      <c r="S263">
        <f>PasteBBM!AD263</f>
        <v>4.462876712</v>
      </c>
      <c r="T263">
        <f>PasteBBM!AF263</f>
        <v>2.320547945</v>
      </c>
    </row>
    <row r="264">
      <c r="A264" s="5">
        <v>263.0</v>
      </c>
      <c r="B264" t="str">
        <f t="array" ref="B264">INDEX(PasteHashtag!$B$2:$B1000,MATCH(C264,PasteHashtag!$C$2:$C1000,0))</f>
        <v/>
      </c>
      <c r="C264" t="str">
        <f>PasteBBM!J264</f>
        <v>Goga Bitadze</v>
      </c>
      <c r="D264" t="str">
        <f>IFERROR(REPLACE(PasteBBM!L264, FIND("/",PasteBBM!L264),1,","),PasteBBM!L264)</f>
        <v>C</v>
      </c>
      <c r="E264" t="str">
        <f>PasteBBM!K264</f>
        <v>ORL</v>
      </c>
      <c r="F264">
        <f>PasteBBM!T264</f>
        <v>57</v>
      </c>
      <c r="G264">
        <f>PasteBBM!V264</f>
        <v>15</v>
      </c>
      <c r="H264">
        <f>PasteBBM!AC264*PasteBBM!AD264</f>
        <v>1.97</v>
      </c>
      <c r="I264">
        <f>PasteBBM!AC264</f>
        <v>0.5854230749</v>
      </c>
      <c r="J264">
        <f>PasteBBM!AE264*PasteBBM!AF264</f>
        <v>0.9145614033</v>
      </c>
      <c r="K264">
        <f>PasteBBM!AE264</f>
        <v>0.6629785069</v>
      </c>
      <c r="L264">
        <f>PasteBBM!X264</f>
        <v>0.08070175439</v>
      </c>
      <c r="M264">
        <f>PasteBBM!W264</f>
        <v>4.935263158</v>
      </c>
      <c r="N264">
        <f>PasteBBM!Y264</f>
        <v>4.243684211</v>
      </c>
      <c r="O264">
        <f>PasteBBM!Z264</f>
        <v>1.18754386</v>
      </c>
      <c r="P264">
        <f>PasteBBM!AA264</f>
        <v>0.4554385965</v>
      </c>
      <c r="Q264">
        <f>PasteBBM!AB264</f>
        <v>1.06</v>
      </c>
      <c r="R264">
        <f>PasteBBM!AG264</f>
        <v>0.6966666667</v>
      </c>
      <c r="S264">
        <f>PasteBBM!AD264</f>
        <v>3.365087719</v>
      </c>
      <c r="T264">
        <f>PasteBBM!AF264</f>
        <v>1.379473684</v>
      </c>
    </row>
    <row r="265">
      <c r="A265" s="5">
        <v>264.0</v>
      </c>
      <c r="B265">
        <f t="array" ref="B265">INDEX(PasteHashtag!$B$2:$B1000,MATCH(C265,PasteHashtag!$C$2:$C1000,0))</f>
        <v>145.1</v>
      </c>
      <c r="C265" t="str">
        <f>PasteBBM!J265</f>
        <v>Isaiah Stewart</v>
      </c>
      <c r="D265" t="str">
        <f>IFERROR(REPLACE(PasteBBM!L265, FIND("/",PasteBBM!L265),1,","),PasteBBM!L265)</f>
        <v>C</v>
      </c>
      <c r="E265" t="str">
        <f>PasteBBM!K265</f>
        <v>DET</v>
      </c>
      <c r="F265">
        <f>PasteBBM!T265</f>
        <v>68</v>
      </c>
      <c r="G265">
        <f>PasteBBM!V265</f>
        <v>22</v>
      </c>
      <c r="H265">
        <f>PasteBBM!AC265*PasteBBM!AD265</f>
        <v>2.322058823</v>
      </c>
      <c r="I265">
        <f>PasteBBM!AC265</f>
        <v>0.4967752084</v>
      </c>
      <c r="J265">
        <f>PasteBBM!AE265*PasteBBM!AF265</f>
        <v>0.7085294118</v>
      </c>
      <c r="K265">
        <f>PasteBBM!AE265</f>
        <v>0.7580239144</v>
      </c>
      <c r="L265">
        <f>PasteBBM!X265</f>
        <v>0.8367647059</v>
      </c>
      <c r="M265">
        <f>PasteBBM!W265</f>
        <v>6.189411765</v>
      </c>
      <c r="N265">
        <f>PasteBBM!Y265</f>
        <v>5.445</v>
      </c>
      <c r="O265">
        <f>PasteBBM!Z265</f>
        <v>0.9529411765</v>
      </c>
      <c r="P265">
        <f>PasteBBM!AA265</f>
        <v>0.2594117647</v>
      </c>
      <c r="Q265">
        <f>PasteBBM!AB265</f>
        <v>0.6085294118</v>
      </c>
      <c r="R265">
        <f>PasteBBM!AG265</f>
        <v>0.8167647059</v>
      </c>
      <c r="S265">
        <f>PasteBBM!AD265</f>
        <v>4.674264706</v>
      </c>
      <c r="T265">
        <f>PasteBBM!AF265</f>
        <v>0.9347058824</v>
      </c>
    </row>
    <row r="266">
      <c r="A266" s="5">
        <v>265.0</v>
      </c>
      <c r="B266" t="str">
        <f t="array" ref="B266">INDEX(PasteHashtag!$B$2:$B1000,MATCH(C266,PasteHashtag!$C$2:$C1000,0))</f>
        <v/>
      </c>
      <c r="C266" t="str">
        <f>PasteBBM!J266</f>
        <v>Tidjane Salaun</v>
      </c>
      <c r="D266" t="str">
        <f>IFERROR(REPLACE(PasteBBM!L266, FIND("/",PasteBBM!L266),1,","),PasteBBM!L266)</f>
        <v>F</v>
      </c>
      <c r="E266" t="str">
        <f>PasteBBM!K266</f>
        <v>CHA</v>
      </c>
      <c r="F266">
        <f>PasteBBM!T266</f>
        <v>73</v>
      </c>
      <c r="G266">
        <f>PasteBBM!V266</f>
        <v>21</v>
      </c>
      <c r="H266">
        <f>PasteBBM!AC266*PasteBBM!AD266</f>
        <v>2.991643836</v>
      </c>
      <c r="I266">
        <f>PasteBBM!AC266</f>
        <v>0.4255870603</v>
      </c>
      <c r="J266">
        <f>PasteBBM!AE266*PasteBBM!AF266</f>
        <v>0.8867123286</v>
      </c>
      <c r="K266">
        <f>PasteBBM!AE266</f>
        <v>0.7419761577</v>
      </c>
      <c r="L266">
        <f>PasteBBM!X266</f>
        <v>1.169726027</v>
      </c>
      <c r="M266">
        <f>PasteBBM!W266</f>
        <v>8.039726027</v>
      </c>
      <c r="N266">
        <f>PasteBBM!Y266</f>
        <v>3.965479452</v>
      </c>
      <c r="O266">
        <f>PasteBBM!Z266</f>
        <v>0.9012328767</v>
      </c>
      <c r="P266">
        <f>PasteBBM!AA266</f>
        <v>0.7660273973</v>
      </c>
      <c r="Q266">
        <f>PasteBBM!AB266</f>
        <v>0.1802739726</v>
      </c>
      <c r="R266">
        <f>PasteBBM!AG266</f>
        <v>1.306849315</v>
      </c>
      <c r="S266">
        <f>PasteBBM!AD266</f>
        <v>7.029452055</v>
      </c>
      <c r="T266">
        <f>PasteBBM!AF266</f>
        <v>1.195068493</v>
      </c>
    </row>
    <row r="267">
      <c r="A267" s="5">
        <v>266.0</v>
      </c>
      <c r="B267" t="str">
        <f t="array" ref="B267">INDEX(PasteHashtag!$B$2:$B1000,MATCH(C267,PasteHashtag!$C$2:$C1000,0))</f>
        <v/>
      </c>
      <c r="C267" t="str">
        <f>PasteBBM!J267</f>
        <v>Cody Martin</v>
      </c>
      <c r="D267" t="str">
        <f>IFERROR(REPLACE(PasteBBM!L267, FIND("/",PasteBBM!L267),1,","),PasteBBM!L267)</f>
        <v>F</v>
      </c>
      <c r="E267" t="str">
        <f>PasteBBM!K267</f>
        <v>CHA</v>
      </c>
      <c r="F267">
        <f>PasteBBM!T267</f>
        <v>53</v>
      </c>
      <c r="G267">
        <f>PasteBBM!V267</f>
        <v>19</v>
      </c>
      <c r="H267">
        <f>PasteBBM!AC267*PasteBBM!AD267</f>
        <v>2.610754717</v>
      </c>
      <c r="I267">
        <f>PasteBBM!AC267</f>
        <v>0.4355778009</v>
      </c>
      <c r="J267">
        <f>PasteBBM!AE267*PasteBBM!AF267</f>
        <v>0.4552830188</v>
      </c>
      <c r="K267">
        <f>PasteBBM!AE267</f>
        <v>0.6330010493</v>
      </c>
      <c r="L267">
        <f>PasteBBM!X267</f>
        <v>0.7503773585</v>
      </c>
      <c r="M267">
        <f>PasteBBM!W267</f>
        <v>6.427169811</v>
      </c>
      <c r="N267">
        <f>PasteBBM!Y267</f>
        <v>2.77245283</v>
      </c>
      <c r="O267">
        <f>PasteBBM!Z267</f>
        <v>1.916226415</v>
      </c>
      <c r="P267">
        <f>PasteBBM!AA267</f>
        <v>0.8741509434</v>
      </c>
      <c r="Q267">
        <f>PasteBBM!AB267</f>
        <v>0.3730188679</v>
      </c>
      <c r="R267">
        <f>PasteBBM!AG267</f>
        <v>0.7747169811</v>
      </c>
      <c r="S267">
        <f>PasteBBM!AD267</f>
        <v>5.993773585</v>
      </c>
      <c r="T267">
        <f>PasteBBM!AF267</f>
        <v>0.719245283</v>
      </c>
    </row>
    <row r="268">
      <c r="A268" s="5">
        <v>267.0</v>
      </c>
      <c r="B268">
        <f t="array" ref="B268">INDEX(PasteHashtag!$B$2:$B1000,MATCH(C268,PasteHashtag!$C$2:$C1000,0))</f>
        <v>143.8</v>
      </c>
      <c r="C268" t="str">
        <f>PasteBBM!J268</f>
        <v>Malik Beasley</v>
      </c>
      <c r="D268" t="str">
        <f>IFERROR(REPLACE(PasteBBM!L268, FIND("/",PasteBBM!L268),1,","),PasteBBM!L268)</f>
        <v>G,F</v>
      </c>
      <c r="E268" t="str">
        <f>PasteBBM!K268</f>
        <v>DET</v>
      </c>
      <c r="F268">
        <f>PasteBBM!T268</f>
        <v>77</v>
      </c>
      <c r="G268">
        <f>PasteBBM!V268</f>
        <v>23</v>
      </c>
      <c r="H268">
        <f>PasteBBM!AC268*PasteBBM!AD268</f>
        <v>3.161818182</v>
      </c>
      <c r="I268">
        <f>PasteBBM!AC268</f>
        <v>0.4064440735</v>
      </c>
      <c r="J268">
        <f>PasteBBM!AE268*PasteBBM!AF268</f>
        <v>0.2997402598</v>
      </c>
      <c r="K268">
        <f>PasteBBM!AE268</f>
        <v>0.8011107254</v>
      </c>
      <c r="L268">
        <f>PasteBBM!X268</f>
        <v>2.101298701</v>
      </c>
      <c r="M268">
        <f>PasteBBM!W268</f>
        <v>8.724675325</v>
      </c>
      <c r="N268">
        <f>PasteBBM!Y268</f>
        <v>2.656493506</v>
      </c>
      <c r="O268">
        <f>PasteBBM!Z268</f>
        <v>1.185974026</v>
      </c>
      <c r="P268">
        <f>PasteBBM!AA268</f>
        <v>0.6022077922</v>
      </c>
      <c r="Q268">
        <f>PasteBBM!AB268</f>
        <v>0.09636363636</v>
      </c>
      <c r="R268">
        <f>PasteBBM!AG268</f>
        <v>0.5692207792</v>
      </c>
      <c r="S268">
        <f>PasteBBM!AD268</f>
        <v>7.779220779</v>
      </c>
      <c r="T268">
        <f>PasteBBM!AF268</f>
        <v>0.3741558442</v>
      </c>
    </row>
    <row r="269">
      <c r="A269" s="5">
        <v>268.0</v>
      </c>
      <c r="B269" t="str">
        <f t="array" ref="B269">INDEX(PasteHashtag!$B$2:$B1000,MATCH(C269,PasteHashtag!$C$2:$C1000,0))</f>
        <v>#N/A</v>
      </c>
      <c r="C269" t="str">
        <f>PasteBBM!J269</f>
        <v>Cam Payne</v>
      </c>
      <c r="D269" t="str">
        <f>IFERROR(REPLACE(PasteBBM!L269, FIND("/",PasteBBM!L269),1,","),PasteBBM!L269)</f>
        <v>G</v>
      </c>
      <c r="E269" t="str">
        <f>PasteBBM!K269</f>
        <v>NYK</v>
      </c>
      <c r="F269">
        <f>PasteBBM!T269</f>
        <v>73</v>
      </c>
      <c r="G269">
        <f>PasteBBM!V269</f>
        <v>18</v>
      </c>
      <c r="H269">
        <f>PasteBBM!AC269*PasteBBM!AD269</f>
        <v>2.651095891</v>
      </c>
      <c r="I269">
        <f>PasteBBM!AC269</f>
        <v>0.4184613389</v>
      </c>
      <c r="J269">
        <f>PasteBBM!AE269*PasteBBM!AF269</f>
        <v>0.5372602739</v>
      </c>
      <c r="K269">
        <f>PasteBBM!AE269</f>
        <v>0.848</v>
      </c>
      <c r="L269">
        <f>PasteBBM!X269</f>
        <v>1.418493151</v>
      </c>
      <c r="M269">
        <f>PasteBBM!W269</f>
        <v>7.257945205</v>
      </c>
      <c r="N269">
        <f>PasteBBM!Y269</f>
        <v>1.8</v>
      </c>
      <c r="O269">
        <f>PasteBBM!Z269</f>
        <v>2.929452055</v>
      </c>
      <c r="P269">
        <f>PasteBBM!AA269</f>
        <v>0.5694520548</v>
      </c>
      <c r="Q269">
        <f>PasteBBM!AB269</f>
        <v>0.1449315068</v>
      </c>
      <c r="R269">
        <f>PasteBBM!AG269</f>
        <v>1.013835616</v>
      </c>
      <c r="S269">
        <f>PasteBBM!AD269</f>
        <v>6.335342466</v>
      </c>
      <c r="T269">
        <f>PasteBBM!AF269</f>
        <v>0.6335616438</v>
      </c>
    </row>
    <row r="270">
      <c r="A270" s="5">
        <v>269.0</v>
      </c>
      <c r="B270" t="str">
        <f t="array" ref="B270">INDEX(PasteHashtag!$B$2:$B1000,MATCH(C270,PasteHashtag!$C$2:$C1000,0))</f>
        <v/>
      </c>
      <c r="C270" t="str">
        <f>PasteBBM!J270</f>
        <v>Kevin Love</v>
      </c>
      <c r="D270" t="str">
        <f>IFERROR(REPLACE(PasteBBM!L270, FIND("/",PasteBBM!L270),1,","),PasteBBM!L270)</f>
        <v>F</v>
      </c>
      <c r="E270" t="str">
        <f>PasteBBM!K270</f>
        <v>MIA</v>
      </c>
      <c r="F270">
        <f>PasteBBM!T270</f>
        <v>45</v>
      </c>
      <c r="G270">
        <f>PasteBBM!V270</f>
        <v>15</v>
      </c>
      <c r="H270">
        <f>PasteBBM!AC270*PasteBBM!AD270</f>
        <v>2.342666667</v>
      </c>
      <c r="I270">
        <f>PasteBBM!AC270</f>
        <v>0.424567056</v>
      </c>
      <c r="J270">
        <f>PasteBBM!AE270*PasteBBM!AF270</f>
        <v>1.029111111</v>
      </c>
      <c r="K270">
        <f>PasteBBM!AE270</f>
        <v>0.811033275</v>
      </c>
      <c r="L270">
        <f>PasteBBM!X270</f>
        <v>1.347333333</v>
      </c>
      <c r="M270">
        <f>PasteBBM!W270</f>
        <v>7.061777778</v>
      </c>
      <c r="N270">
        <f>PasteBBM!Y270</f>
        <v>5.456222222</v>
      </c>
      <c r="O270">
        <f>PasteBBM!Z270</f>
        <v>1.636888889</v>
      </c>
      <c r="P270">
        <f>PasteBBM!AA270</f>
        <v>0.2688888889</v>
      </c>
      <c r="Q270">
        <f>PasteBBM!AB270</f>
        <v>0.1528888889</v>
      </c>
      <c r="R270">
        <f>PasteBBM!AG270</f>
        <v>0.9093333333</v>
      </c>
      <c r="S270">
        <f>PasteBBM!AD270</f>
        <v>5.517777778</v>
      </c>
      <c r="T270">
        <f>PasteBBM!AF270</f>
        <v>1.268888889</v>
      </c>
    </row>
    <row r="271">
      <c r="A271" s="5">
        <v>270.0</v>
      </c>
      <c r="B271" t="str">
        <f t="array" ref="B271">INDEX(PasteHashtag!$B$2:$B1000,MATCH(C271,PasteHashtag!$C$2:$C1000,0))</f>
        <v/>
      </c>
      <c r="C271" t="str">
        <f>PasteBBM!J271</f>
        <v>Max Christie</v>
      </c>
      <c r="D271" t="str">
        <f>IFERROR(REPLACE(PasteBBM!L271, FIND("/",PasteBBM!L271),1,","),PasteBBM!L271)</f>
        <v>G</v>
      </c>
      <c r="E271" t="str">
        <f>PasteBBM!K271</f>
        <v>LAL</v>
      </c>
      <c r="F271">
        <f>PasteBBM!T271</f>
        <v>73</v>
      </c>
      <c r="G271">
        <f>PasteBBM!V271</f>
        <v>21</v>
      </c>
      <c r="H271">
        <f>PasteBBM!AC271*PasteBBM!AD271</f>
        <v>2.750273972</v>
      </c>
      <c r="I271">
        <f>PasteBBM!AC271</f>
        <v>0.443426022</v>
      </c>
      <c r="J271">
        <f>PasteBBM!AE271*PasteBBM!AF271</f>
        <v>0.8138356164</v>
      </c>
      <c r="K271">
        <f>PasteBBM!AE271</f>
        <v>0.8200138026</v>
      </c>
      <c r="L271">
        <f>PasteBBM!X271</f>
        <v>1.160410959</v>
      </c>
      <c r="M271">
        <f>PasteBBM!W271</f>
        <v>7.474794521</v>
      </c>
      <c r="N271">
        <f>PasteBBM!Y271</f>
        <v>3.079178082</v>
      </c>
      <c r="O271">
        <f>PasteBBM!Z271</f>
        <v>1.313013699</v>
      </c>
      <c r="P271">
        <f>PasteBBM!AA271</f>
        <v>0.4908219178</v>
      </c>
      <c r="Q271">
        <f>PasteBBM!AB271</f>
        <v>0.3569863014</v>
      </c>
      <c r="R271">
        <f>PasteBBM!AG271</f>
        <v>0.8032876712</v>
      </c>
      <c r="S271">
        <f>PasteBBM!AD271</f>
        <v>6.202328767</v>
      </c>
      <c r="T271">
        <f>PasteBBM!AF271</f>
        <v>0.9924657534</v>
      </c>
    </row>
    <row r="272">
      <c r="A272" s="5">
        <v>271.0</v>
      </c>
      <c r="B272">
        <f t="array" ref="B272">INDEX(PasteHashtag!$B$2:$B1000,MATCH(C272,PasteHashtag!$C$2:$C1000,0))</f>
        <v>139.8</v>
      </c>
      <c r="C272" t="str">
        <f>PasteBBM!J272</f>
        <v>Steven Adams</v>
      </c>
      <c r="D272" t="str">
        <f>IFERROR(REPLACE(PasteBBM!L272, FIND("/",PasteBBM!L272),1,","),PasteBBM!L272)</f>
        <v>C</v>
      </c>
      <c r="E272" t="str">
        <f>PasteBBM!K272</f>
        <v>HOU</v>
      </c>
      <c r="F272">
        <f>PasteBBM!T272</f>
        <v>60</v>
      </c>
      <c r="G272">
        <f>PasteBBM!V272</f>
        <v>20</v>
      </c>
      <c r="H272">
        <f>PasteBBM!AC272*PasteBBM!AD272</f>
        <v>2.261</v>
      </c>
      <c r="I272">
        <f>PasteBBM!AC272</f>
        <v>0.5839862247</v>
      </c>
      <c r="J272">
        <f>PasteBBM!AE272*PasteBBM!AF272</f>
        <v>0.8733333333</v>
      </c>
      <c r="K272">
        <f>PasteBBM!AE272</f>
        <v>0.469955157</v>
      </c>
      <c r="L272">
        <f>PasteBBM!X272</f>
        <v>0</v>
      </c>
      <c r="M272">
        <f>PasteBBM!W272</f>
        <v>5.395333333</v>
      </c>
      <c r="N272">
        <f>PasteBBM!Y272</f>
        <v>7.3645</v>
      </c>
      <c r="O272">
        <f>PasteBBM!Z272</f>
        <v>1.599166667</v>
      </c>
      <c r="P272">
        <f>PasteBBM!AA272</f>
        <v>0.6118333333</v>
      </c>
      <c r="Q272">
        <f>PasteBBM!AB272</f>
        <v>0.6733333333</v>
      </c>
      <c r="R272">
        <f>PasteBBM!AG272</f>
        <v>1.094166667</v>
      </c>
      <c r="S272">
        <f>PasteBBM!AD272</f>
        <v>3.871666667</v>
      </c>
      <c r="T272">
        <f>PasteBBM!AF272</f>
        <v>1.858333333</v>
      </c>
    </row>
    <row r="273">
      <c r="A273" s="5">
        <v>272.0</v>
      </c>
      <c r="B273" t="str">
        <f t="array" ref="B273">INDEX(PasteHashtag!$B$2:$B1000,MATCH(C273,PasteHashtag!$C$2:$C1000,0))</f>
        <v/>
      </c>
      <c r="C273" t="str">
        <f>PasteBBM!J273</f>
        <v>Vasilije Micic</v>
      </c>
      <c r="D273" t="str">
        <f>IFERROR(REPLACE(PasteBBM!L273, FIND("/",PasteBBM!L273),1,","),PasteBBM!L273)</f>
        <v>G</v>
      </c>
      <c r="E273" t="str">
        <f>PasteBBM!K273</f>
        <v>CHA</v>
      </c>
      <c r="F273">
        <f>PasteBBM!T273</f>
        <v>68</v>
      </c>
      <c r="G273">
        <f>PasteBBM!V273</f>
        <v>17</v>
      </c>
      <c r="H273">
        <f>PasteBBM!AC273*PasteBBM!AD273</f>
        <v>2.858676471</v>
      </c>
      <c r="I273">
        <f>PasteBBM!AC273</f>
        <v>0.4610221748</v>
      </c>
      <c r="J273">
        <f>PasteBBM!AE273*PasteBBM!AF273</f>
        <v>0.969705882</v>
      </c>
      <c r="K273">
        <f>PasteBBM!AE273</f>
        <v>0.8249718504</v>
      </c>
      <c r="L273">
        <f>PasteBBM!X273</f>
        <v>0.8729411765</v>
      </c>
      <c r="M273">
        <f>PasteBBM!W273</f>
        <v>7.56</v>
      </c>
      <c r="N273">
        <f>PasteBBM!Y273</f>
        <v>1.386176471</v>
      </c>
      <c r="O273">
        <f>PasteBBM!Z273</f>
        <v>4.012647059</v>
      </c>
      <c r="P273">
        <f>PasteBBM!AA273</f>
        <v>0.4594117647</v>
      </c>
      <c r="Q273">
        <f>PasteBBM!AB273</f>
        <v>0.1116176471</v>
      </c>
      <c r="R273">
        <f>PasteBBM!AG273</f>
        <v>1.520441176</v>
      </c>
      <c r="S273">
        <f>PasteBBM!AD273</f>
        <v>6.200735294</v>
      </c>
      <c r="T273">
        <f>PasteBBM!AF273</f>
        <v>1.175441176</v>
      </c>
    </row>
    <row r="274">
      <c r="A274" s="5">
        <v>273.0</v>
      </c>
      <c r="B274">
        <f t="array" ref="B274">INDEX(PasteHashtag!$B$2:$B1000,MATCH(C274,PasteHashtag!$C$2:$C1000,0))</f>
        <v>146.9</v>
      </c>
      <c r="C274" t="str">
        <f>PasteBBM!J274</f>
        <v>Karlo Matkovic</v>
      </c>
      <c r="D274" t="str">
        <f>IFERROR(REPLACE(PasteBBM!L274, FIND("/",PasteBBM!L274),1,","),PasteBBM!L274)</f>
        <v>F,C</v>
      </c>
      <c r="E274" t="str">
        <f>PasteBBM!K274</f>
        <v>NOR</v>
      </c>
      <c r="F274">
        <f>PasteBBM!T274</f>
        <v>47</v>
      </c>
      <c r="G274">
        <f>PasteBBM!V274</f>
        <v>14</v>
      </c>
      <c r="H274">
        <f>PasteBBM!AC274*PasteBBM!AD274</f>
        <v>2.545319149</v>
      </c>
      <c r="I274">
        <f>PasteBBM!AC274</f>
        <v>0.5579757463</v>
      </c>
      <c r="J274">
        <f>PasteBBM!AE274*PasteBBM!AF274</f>
        <v>0.5397872341</v>
      </c>
      <c r="K274">
        <f>PasteBBM!AE274</f>
        <v>0.6960219479</v>
      </c>
      <c r="L274">
        <f>PasteBBM!X274</f>
        <v>0.2636170213</v>
      </c>
      <c r="M274">
        <f>PasteBBM!W274</f>
        <v>5.894042553</v>
      </c>
      <c r="N274">
        <f>PasteBBM!Y274</f>
        <v>3.724893617</v>
      </c>
      <c r="O274">
        <f>PasteBBM!Z274</f>
        <v>0.4908510638</v>
      </c>
      <c r="P274">
        <f>PasteBBM!AA274</f>
        <v>0.4331914894</v>
      </c>
      <c r="Q274">
        <f>PasteBBM!AB274</f>
        <v>0.8085106383</v>
      </c>
      <c r="R274">
        <f>PasteBBM!AG274</f>
        <v>0.6929787234</v>
      </c>
      <c r="S274">
        <f>PasteBBM!AD274</f>
        <v>4.561702128</v>
      </c>
      <c r="T274">
        <f>PasteBBM!AF274</f>
        <v>0.7755319149</v>
      </c>
    </row>
    <row r="275">
      <c r="A275" s="5">
        <v>274.0</v>
      </c>
      <c r="B275" t="str">
        <f t="array" ref="B275">INDEX(PasteHashtag!$B$2:$B1000,MATCH(C275,PasteHashtag!$C$2:$C1000,0))</f>
        <v/>
      </c>
      <c r="C275" t="str">
        <f>PasteBBM!J275</f>
        <v>Kyshawn George</v>
      </c>
      <c r="D275" t="str">
        <f>IFERROR(REPLACE(PasteBBM!L275, FIND("/",PasteBBM!L275),1,","),PasteBBM!L275)</f>
        <v>G</v>
      </c>
      <c r="E275" t="str">
        <f>PasteBBM!K275</f>
        <v>WAS</v>
      </c>
      <c r="F275">
        <f>PasteBBM!T275</f>
        <v>73</v>
      </c>
      <c r="G275">
        <f>PasteBBM!V275</f>
        <v>20</v>
      </c>
      <c r="H275">
        <f>PasteBBM!AC275*PasteBBM!AD275</f>
        <v>2.42520548</v>
      </c>
      <c r="I275">
        <f>PasteBBM!AC275</f>
        <v>0.3781613124</v>
      </c>
      <c r="J275">
        <f>PasteBBM!AE275*PasteBBM!AF275</f>
        <v>0.244109589</v>
      </c>
      <c r="K275">
        <f>PasteBBM!AE275</f>
        <v>0.7612131568</v>
      </c>
      <c r="L275">
        <f>PasteBBM!X275</f>
        <v>1.680684932</v>
      </c>
      <c r="M275">
        <f>PasteBBM!W275</f>
        <v>6.775205479</v>
      </c>
      <c r="N275">
        <f>PasteBBM!Y275</f>
        <v>2.6</v>
      </c>
      <c r="O275">
        <f>PasteBBM!Z275</f>
        <v>1.603287671</v>
      </c>
      <c r="P275">
        <f>PasteBBM!AA275</f>
        <v>0.65</v>
      </c>
      <c r="Q275">
        <f>PasteBBM!AB275</f>
        <v>0.26</v>
      </c>
      <c r="R275">
        <f>PasteBBM!AG275</f>
        <v>0.9532876712</v>
      </c>
      <c r="S275">
        <f>PasteBBM!AD275</f>
        <v>6.413150685</v>
      </c>
      <c r="T275">
        <f>PasteBBM!AF275</f>
        <v>0.3206849315</v>
      </c>
    </row>
    <row r="276">
      <c r="A276" s="5">
        <v>275.0</v>
      </c>
      <c r="B276" t="str">
        <f t="array" ref="B276">INDEX(PasteHashtag!$B$2:$B1000,MATCH(C276,PasteHashtag!$C$2:$C1000,0))</f>
        <v/>
      </c>
      <c r="C276" t="str">
        <f>PasteBBM!J276</f>
        <v>Trendon Watford</v>
      </c>
      <c r="D276" t="str">
        <f>IFERROR(REPLACE(PasteBBM!L276, FIND("/",PasteBBM!L276),1,","),PasteBBM!L276)</f>
        <v>F</v>
      </c>
      <c r="E276" t="str">
        <f>PasteBBM!K276</f>
        <v>BKN</v>
      </c>
      <c r="F276">
        <f>PasteBBM!T276</f>
        <v>73</v>
      </c>
      <c r="G276">
        <f>PasteBBM!V276</f>
        <v>16</v>
      </c>
      <c r="H276">
        <f>PasteBBM!AC276*PasteBBM!AD276</f>
        <v>2.726986302</v>
      </c>
      <c r="I276">
        <f>PasteBBM!AC276</f>
        <v>0.5259584137</v>
      </c>
      <c r="J276">
        <f>PasteBBM!AE276*PasteBBM!AF276</f>
        <v>1.248356164</v>
      </c>
      <c r="K276">
        <f>PasteBBM!AE276</f>
        <v>0.7679925839</v>
      </c>
      <c r="L276">
        <f>PasteBBM!X276</f>
        <v>0.4187671233</v>
      </c>
      <c r="M276">
        <f>PasteBBM!W276</f>
        <v>7.12109589</v>
      </c>
      <c r="N276">
        <f>PasteBBM!Y276</f>
        <v>3.501369863</v>
      </c>
      <c r="O276">
        <f>PasteBBM!Z276</f>
        <v>1.645753425</v>
      </c>
      <c r="P276">
        <f>PasteBBM!AA276</f>
        <v>0.4405479452</v>
      </c>
      <c r="Q276">
        <f>PasteBBM!AB276</f>
        <v>0.3689041096</v>
      </c>
      <c r="R276">
        <f>PasteBBM!AG276</f>
        <v>1.245616438</v>
      </c>
      <c r="S276">
        <f>PasteBBM!AD276</f>
        <v>5.184794521</v>
      </c>
      <c r="T276">
        <f>PasteBBM!AF276</f>
        <v>1.625479452</v>
      </c>
    </row>
    <row r="277">
      <c r="A277" s="5">
        <v>276.0</v>
      </c>
      <c r="B277" t="str">
        <f t="array" ref="B277">INDEX(PasteHashtag!$B$2:$B1000,MATCH(C277,PasteHashtag!$C$2:$C1000,0))</f>
        <v/>
      </c>
      <c r="C277" t="str">
        <f>PasteBBM!J277</f>
        <v>Davion Mitchell</v>
      </c>
      <c r="D277" t="str">
        <f>IFERROR(REPLACE(PasteBBM!L277, FIND("/",PasteBBM!L277),1,","),PasteBBM!L277)</f>
        <v>G</v>
      </c>
      <c r="E277" t="str">
        <f>PasteBBM!K277</f>
        <v>TOR</v>
      </c>
      <c r="F277">
        <f>PasteBBM!T277</f>
        <v>73</v>
      </c>
      <c r="G277">
        <f>PasteBBM!V277</f>
        <v>21</v>
      </c>
      <c r="H277">
        <f>PasteBBM!AC277*PasteBBM!AD277</f>
        <v>3.02739726</v>
      </c>
      <c r="I277">
        <f>PasteBBM!AC277</f>
        <v>0.4507076722</v>
      </c>
      <c r="J277">
        <f>PasteBBM!AE277*PasteBBM!AF277</f>
        <v>0.5841095891</v>
      </c>
      <c r="K277">
        <f>PasteBBM!AE277</f>
        <v>0.6979865772</v>
      </c>
      <c r="L277">
        <f>PasteBBM!X277</f>
        <v>1.104794521</v>
      </c>
      <c r="M277">
        <f>PasteBBM!W277</f>
        <v>7.74369863</v>
      </c>
      <c r="N277">
        <f>PasteBBM!Y277</f>
        <v>1.9</v>
      </c>
      <c r="O277">
        <f>PasteBBM!Z277</f>
        <v>2.767671233</v>
      </c>
      <c r="P277">
        <f>PasteBBM!AA277</f>
        <v>0.618630137</v>
      </c>
      <c r="Q277">
        <f>PasteBBM!AB277</f>
        <v>0.1308219178</v>
      </c>
      <c r="R277">
        <f>PasteBBM!AG277</f>
        <v>1.01630137</v>
      </c>
      <c r="S277">
        <f>PasteBBM!AD277</f>
        <v>6.716986301</v>
      </c>
      <c r="T277">
        <f>PasteBBM!AF277</f>
        <v>0.8368493151</v>
      </c>
    </row>
    <row r="278">
      <c r="A278" s="5">
        <v>277.0</v>
      </c>
      <c r="B278" t="str">
        <f t="array" ref="B278">INDEX(PasteHashtag!$B$2:$B1000,MATCH(C278,PasteHashtag!$C$2:$C1000,0))</f>
        <v/>
      </c>
      <c r="C278" t="str">
        <f>PasteBBM!J278</f>
        <v>Luke Kennard</v>
      </c>
      <c r="D278" t="str">
        <f>IFERROR(REPLACE(PasteBBM!L278, FIND("/",PasteBBM!L278),1,","),PasteBBM!L278)</f>
        <v>G</v>
      </c>
      <c r="E278" t="str">
        <f>PasteBBM!K278</f>
        <v>MEM</v>
      </c>
      <c r="F278">
        <f>PasteBBM!T278</f>
        <v>59</v>
      </c>
      <c r="G278">
        <f>PasteBBM!V278</f>
        <v>20</v>
      </c>
      <c r="H278">
        <f>PasteBBM!AC278*PasteBBM!AD278</f>
        <v>2.453559322</v>
      </c>
      <c r="I278">
        <f>PasteBBM!AC278</f>
        <v>0.4426911315</v>
      </c>
      <c r="J278">
        <f>PasteBBM!AE278*PasteBBM!AF278</f>
        <v>0.5993220339</v>
      </c>
      <c r="K278">
        <f>PasteBBM!AE278</f>
        <v>0.9011213048</v>
      </c>
      <c r="L278">
        <f>PasteBBM!X278</f>
        <v>1.823559322</v>
      </c>
      <c r="M278">
        <f>PasteBBM!W278</f>
        <v>7.33</v>
      </c>
      <c r="N278">
        <f>PasteBBM!Y278</f>
        <v>2.291694915</v>
      </c>
      <c r="O278">
        <f>PasteBBM!Z278</f>
        <v>1.666610169</v>
      </c>
      <c r="P278">
        <f>PasteBBM!AA278</f>
        <v>0.4011864407</v>
      </c>
      <c r="Q278">
        <f>PasteBBM!AB278</f>
        <v>0.04271186441</v>
      </c>
      <c r="R278">
        <f>PasteBBM!AG278</f>
        <v>0.8333898305</v>
      </c>
      <c r="S278">
        <f>PasteBBM!AD278</f>
        <v>5.542372881</v>
      </c>
      <c r="T278">
        <f>PasteBBM!AF278</f>
        <v>0.6650847458</v>
      </c>
    </row>
    <row r="279">
      <c r="A279" s="5">
        <v>278.0</v>
      </c>
      <c r="B279" t="str">
        <f t="array" ref="B279">INDEX(PasteHashtag!$B$2:$B1000,MATCH(C279,PasteHashtag!$C$2:$C1000,0))</f>
        <v/>
      </c>
      <c r="C279" t="str">
        <f>PasteBBM!J279</f>
        <v>Dalton Knecht</v>
      </c>
      <c r="D279" t="str">
        <f>IFERROR(REPLACE(PasteBBM!L279, FIND("/",PasteBBM!L279),1,","),PasteBBM!L279)</f>
        <v>F</v>
      </c>
      <c r="E279" t="str">
        <f>PasteBBM!K279</f>
        <v>LAL</v>
      </c>
      <c r="F279">
        <f>PasteBBM!T279</f>
        <v>73</v>
      </c>
      <c r="G279">
        <f>PasteBBM!V279</f>
        <v>20</v>
      </c>
      <c r="H279">
        <f>PasteBBM!AC279*PasteBBM!AD279</f>
        <v>3.169178082</v>
      </c>
      <c r="I279">
        <f>PasteBBM!AC279</f>
        <v>0.3987349408</v>
      </c>
      <c r="J279">
        <f>PasteBBM!AE279*PasteBBM!AF279</f>
        <v>0.9601369866</v>
      </c>
      <c r="K279">
        <f>PasteBBM!AE279</f>
        <v>0.7550360875</v>
      </c>
      <c r="L279">
        <f>PasteBBM!X279</f>
        <v>1.75739726</v>
      </c>
      <c r="M279">
        <f>PasteBBM!W279</f>
        <v>9.055890411</v>
      </c>
      <c r="N279">
        <f>PasteBBM!Y279</f>
        <v>3.357534247</v>
      </c>
      <c r="O279">
        <f>PasteBBM!Z279</f>
        <v>0.9350684932</v>
      </c>
      <c r="P279">
        <f>PasteBBM!AA279</f>
        <v>0.5524657534</v>
      </c>
      <c r="Q279">
        <f>PasteBBM!AB279</f>
        <v>0.2124657534</v>
      </c>
      <c r="R279">
        <f>PasteBBM!AG279</f>
        <v>1.19</v>
      </c>
      <c r="S279">
        <f>PasteBBM!AD279</f>
        <v>7.948082192</v>
      </c>
      <c r="T279">
        <f>PasteBBM!AF279</f>
        <v>1.271643836</v>
      </c>
    </row>
    <row r="280">
      <c r="A280" s="5">
        <v>279.0</v>
      </c>
      <c r="B280" t="str">
        <f t="array" ref="B280">INDEX(PasteHashtag!$B$2:$B1000,MATCH(C280,PasteHashtag!$C$2:$C1000,0))</f>
        <v/>
      </c>
      <c r="C280" t="str">
        <f>PasteBBM!J280</f>
        <v>Jaylin Williams</v>
      </c>
      <c r="D280" t="str">
        <f>IFERROR(REPLACE(PasteBBM!L280, FIND("/",PasteBBM!L280),1,","),PasteBBM!L280)</f>
        <v>F,C</v>
      </c>
      <c r="E280" t="str">
        <f>PasteBBM!K280</f>
        <v>OKC</v>
      </c>
      <c r="F280">
        <f>PasteBBM!T280</f>
        <v>73</v>
      </c>
      <c r="G280">
        <f>PasteBBM!V280</f>
        <v>15</v>
      </c>
      <c r="H280">
        <f>PasteBBM!AC280*PasteBBM!AD280</f>
        <v>1.685342466</v>
      </c>
      <c r="I280">
        <f>PasteBBM!AC280</f>
        <v>0.4563596573</v>
      </c>
      <c r="J280">
        <f>PasteBBM!AE280*PasteBBM!AF280</f>
        <v>0.5617808219</v>
      </c>
      <c r="K280">
        <f>PasteBBM!AE280</f>
        <v>0.7560840708</v>
      </c>
      <c r="L280">
        <f>PasteBBM!X280</f>
        <v>0.8264383562</v>
      </c>
      <c r="M280">
        <f>PasteBBM!W280</f>
        <v>4.75890411</v>
      </c>
      <c r="N280">
        <f>PasteBBM!Y280</f>
        <v>3.661232877</v>
      </c>
      <c r="O280">
        <f>PasteBBM!Z280</f>
        <v>1.799041096</v>
      </c>
      <c r="P280">
        <f>PasteBBM!AA280</f>
        <v>0.4750684932</v>
      </c>
      <c r="Q280">
        <f>PasteBBM!AB280</f>
        <v>0.4102739726</v>
      </c>
      <c r="R280">
        <f>PasteBBM!AG280</f>
        <v>0.6312328767</v>
      </c>
      <c r="S280">
        <f>PasteBBM!AD280</f>
        <v>3.693013699</v>
      </c>
      <c r="T280">
        <f>PasteBBM!AF280</f>
        <v>0.7430136986</v>
      </c>
    </row>
    <row r="281">
      <c r="A281" s="5">
        <v>280.0</v>
      </c>
      <c r="B281" t="str">
        <f t="array" ref="B281">INDEX(PasteHashtag!$B$2:$B1000,MATCH(C281,PasteHashtag!$C$2:$C1000,0))</f>
        <v/>
      </c>
      <c r="C281" t="str">
        <f>PasteBBM!J281</f>
        <v>Nicolas Batum</v>
      </c>
      <c r="D281" t="str">
        <f>IFERROR(REPLACE(PasteBBM!L281, FIND("/",PasteBBM!L281),1,","),PasteBBM!L281)</f>
        <v>F</v>
      </c>
      <c r="E281" t="str">
        <f>PasteBBM!K281</f>
        <v>LAC</v>
      </c>
      <c r="F281">
        <f>PasteBBM!T281</f>
        <v>52</v>
      </c>
      <c r="G281">
        <f>PasteBBM!V281</f>
        <v>18</v>
      </c>
      <c r="H281">
        <f>PasteBBM!AC281*PasteBBM!AD281</f>
        <v>1.728653846</v>
      </c>
      <c r="I281">
        <f>PasteBBM!AC281</f>
        <v>0.4277013846</v>
      </c>
      <c r="J281">
        <f>PasteBBM!AE281*PasteBBM!AF281</f>
        <v>0.2557692307</v>
      </c>
      <c r="K281">
        <f>PasteBBM!AE281</f>
        <v>0.7029598309</v>
      </c>
      <c r="L281">
        <f>PasteBBM!X281</f>
        <v>1.132307692</v>
      </c>
      <c r="M281">
        <f>PasteBBM!W281</f>
        <v>4.845384615</v>
      </c>
      <c r="N281">
        <f>PasteBBM!Y281</f>
        <v>3.013461538</v>
      </c>
      <c r="O281">
        <f>PasteBBM!Z281</f>
        <v>1.4</v>
      </c>
      <c r="P281">
        <f>PasteBBM!AA281</f>
        <v>0.5825</v>
      </c>
      <c r="Q281">
        <f>PasteBBM!AB281</f>
        <v>0.4067307692</v>
      </c>
      <c r="R281">
        <f>PasteBBM!AG281</f>
        <v>0.4801923077</v>
      </c>
      <c r="S281">
        <f>PasteBBM!AD281</f>
        <v>4.041730769</v>
      </c>
      <c r="T281">
        <f>PasteBBM!AF281</f>
        <v>0.3638461538</v>
      </c>
    </row>
    <row r="282">
      <c r="A282" s="5">
        <v>281.0</v>
      </c>
      <c r="B282" t="str">
        <f t="array" ref="B282">INDEX(PasteHashtag!$B$2:$B1000,MATCH(C282,PasteHashtag!$C$2:$C1000,0))</f>
        <v/>
      </c>
      <c r="C282" t="str">
        <f>PasteBBM!J282</f>
        <v>Jaden Hardy</v>
      </c>
      <c r="D282" t="str">
        <f>IFERROR(REPLACE(PasteBBM!L282, FIND("/",PasteBBM!L282),1,","),PasteBBM!L282)</f>
        <v>G</v>
      </c>
      <c r="E282" t="str">
        <f>PasteBBM!K282</f>
        <v>DAL</v>
      </c>
      <c r="F282">
        <f>PasteBBM!T282</f>
        <v>73</v>
      </c>
      <c r="G282">
        <f>PasteBBM!V282</f>
        <v>18</v>
      </c>
      <c r="H282">
        <f>PasteBBM!AC282*PasteBBM!AD282</f>
        <v>3.840684931</v>
      </c>
      <c r="I282">
        <f>PasteBBM!AC282</f>
        <v>0.4333652776</v>
      </c>
      <c r="J282">
        <f>PasteBBM!AE282*PasteBBM!AF282</f>
        <v>1.282054795</v>
      </c>
      <c r="K282">
        <f>PasteBBM!AE282</f>
        <v>0.8399748699</v>
      </c>
      <c r="L282">
        <f>PasteBBM!X282</f>
        <v>1.351780822</v>
      </c>
      <c r="M282">
        <f>PasteBBM!W282</f>
        <v>10.31520548</v>
      </c>
      <c r="N282">
        <f>PasteBBM!Y282</f>
        <v>2.386164384</v>
      </c>
      <c r="O282">
        <f>PasteBBM!Z282</f>
        <v>1.89369863</v>
      </c>
      <c r="P282">
        <f>PasteBBM!AA282</f>
        <v>0.3816438356</v>
      </c>
      <c r="Q282">
        <f>PasteBBM!AB282</f>
        <v>0.1131506849</v>
      </c>
      <c r="R282">
        <f>PasteBBM!AG282</f>
        <v>1.325616438</v>
      </c>
      <c r="S282">
        <f>PasteBBM!AD282</f>
        <v>8.862465753</v>
      </c>
      <c r="T282">
        <f>PasteBBM!AF282</f>
        <v>1.52630137</v>
      </c>
    </row>
    <row r="283">
      <c r="A283" s="5">
        <v>282.0</v>
      </c>
      <c r="B283" t="str">
        <f t="array" ref="B283">INDEX(PasteHashtag!$B$2:$B1000,MATCH(C283,PasteHashtag!$C$2:$C1000,0))</f>
        <v/>
      </c>
      <c r="C283" t="str">
        <f>PasteBBM!J283</f>
        <v>Jaden Springer</v>
      </c>
      <c r="D283" t="str">
        <f>IFERROR(REPLACE(PasteBBM!L283, FIND("/",PasteBBM!L283),1,","),PasteBBM!L283)</f>
        <v>G</v>
      </c>
      <c r="E283" t="str">
        <f>PasteBBM!K283</f>
        <v>BOS</v>
      </c>
      <c r="F283">
        <f>PasteBBM!T283</f>
        <v>44</v>
      </c>
      <c r="G283">
        <f>PasteBBM!V283</f>
        <v>14</v>
      </c>
      <c r="H283">
        <f>PasteBBM!AC283*PasteBBM!AD283</f>
        <v>1.628181818</v>
      </c>
      <c r="I283">
        <f>PasteBBM!AC283</f>
        <v>0.4449136753</v>
      </c>
      <c r="J283">
        <f>PasteBBM!AE283*PasteBBM!AF283</f>
        <v>0.8297727273</v>
      </c>
      <c r="K283">
        <f>PasteBBM!AE283</f>
        <v>0.8339424395</v>
      </c>
      <c r="L283">
        <f>PasteBBM!X283</f>
        <v>0.3211363636</v>
      </c>
      <c r="M283">
        <f>PasteBBM!W283</f>
        <v>4.407272727</v>
      </c>
      <c r="N283">
        <f>PasteBBM!Y283</f>
        <v>2.041818182</v>
      </c>
      <c r="O283">
        <f>PasteBBM!Z283</f>
        <v>1.143409091</v>
      </c>
      <c r="P283">
        <f>PasteBBM!AA283</f>
        <v>0.8759090909</v>
      </c>
      <c r="Q283">
        <f>PasteBBM!AB283</f>
        <v>0.4009090909</v>
      </c>
      <c r="R283">
        <f>PasteBBM!AG283</f>
        <v>0.8688636364</v>
      </c>
      <c r="S283">
        <f>PasteBBM!AD283</f>
        <v>3.659545455</v>
      </c>
      <c r="T283">
        <f>PasteBBM!AF283</f>
        <v>0.995</v>
      </c>
    </row>
    <row r="284">
      <c r="A284" s="5">
        <v>283.0</v>
      </c>
      <c r="B284" t="str">
        <f t="array" ref="B284">INDEX(PasteHashtag!$B$2:$B1000,MATCH(C284,PasteHashtag!$C$2:$C1000,0))</f>
        <v/>
      </c>
      <c r="C284" t="str">
        <f>PasteBBM!J284</f>
        <v>Sam Merrill</v>
      </c>
      <c r="D284" t="str">
        <f>IFERROR(REPLACE(PasteBBM!L284, FIND("/",PasteBBM!L284),1,","),PasteBBM!L284)</f>
        <v>G</v>
      </c>
      <c r="E284" t="str">
        <f>PasteBBM!K284</f>
        <v>CLE</v>
      </c>
      <c r="F284">
        <f>PasteBBM!T284</f>
        <v>66</v>
      </c>
      <c r="G284">
        <f>PasteBBM!V284</f>
        <v>17</v>
      </c>
      <c r="H284">
        <f>PasteBBM!AC284*PasteBBM!AD284</f>
        <v>2.723484849</v>
      </c>
      <c r="I284">
        <f>PasteBBM!AC284</f>
        <v>0.4053627405</v>
      </c>
      <c r="J284">
        <f>PasteBBM!AE284*PasteBBM!AF284</f>
        <v>0.4360606061</v>
      </c>
      <c r="K284">
        <f>PasteBBM!AE284</f>
        <v>0.8890948409</v>
      </c>
      <c r="L284">
        <f>PasteBBM!X284</f>
        <v>2.512121212</v>
      </c>
      <c r="M284">
        <f>PasteBBM!W284</f>
        <v>8.395151515</v>
      </c>
      <c r="N284">
        <f>PasteBBM!Y284</f>
        <v>2.023030303</v>
      </c>
      <c r="O284">
        <f>PasteBBM!Z284</f>
        <v>1.853333333</v>
      </c>
      <c r="P284">
        <f>PasteBBM!AA284</f>
        <v>0.2528787879</v>
      </c>
      <c r="Q284">
        <f>PasteBBM!AB284</f>
        <v>0.07121212121</v>
      </c>
      <c r="R284">
        <f>PasteBBM!AG284</f>
        <v>0.3568181818</v>
      </c>
      <c r="S284">
        <f>PasteBBM!AD284</f>
        <v>6.718636364</v>
      </c>
      <c r="T284">
        <f>PasteBBM!AF284</f>
        <v>0.4904545455</v>
      </c>
    </row>
    <row r="285">
      <c r="A285" s="5">
        <v>284.0</v>
      </c>
      <c r="B285">
        <f t="array" ref="B285">INDEX(PasteHashtag!$B$2:$B1000,MATCH(C285,PasteHashtag!$C$2:$C1000,0))</f>
        <v>140.1</v>
      </c>
      <c r="C285" t="str">
        <f>PasteBBM!J285</f>
        <v>Mitchell Robinson</v>
      </c>
      <c r="D285" t="str">
        <f>IFERROR(REPLACE(PasteBBM!L285, FIND("/",PasteBBM!L285),1,","),PasteBBM!L285)</f>
        <v>C</v>
      </c>
      <c r="E285" t="str">
        <f>PasteBBM!K285</f>
        <v>NYK</v>
      </c>
      <c r="F285">
        <f>PasteBBM!T285</f>
        <v>34</v>
      </c>
      <c r="G285">
        <f>PasteBBM!V285</f>
        <v>18</v>
      </c>
      <c r="H285">
        <f>PasteBBM!AC285*PasteBBM!AD285</f>
        <v>2.002941177</v>
      </c>
      <c r="I285">
        <f>PasteBBM!AC285</f>
        <v>0.6179673321</v>
      </c>
      <c r="J285">
        <f>PasteBBM!AE285*PasteBBM!AF285</f>
        <v>0.6494117649</v>
      </c>
      <c r="K285">
        <f>PasteBBM!AE285</f>
        <v>0.4429287864</v>
      </c>
      <c r="L285">
        <f>PasteBBM!X285</f>
        <v>0</v>
      </c>
      <c r="M285">
        <f>PasteBBM!W285</f>
        <v>4.655294118</v>
      </c>
      <c r="N285">
        <f>PasteBBM!Y285</f>
        <v>5.94</v>
      </c>
      <c r="O285">
        <f>PasteBBM!Z285</f>
        <v>0.4320588235</v>
      </c>
      <c r="P285">
        <f>PasteBBM!AA285</f>
        <v>0.6479411765</v>
      </c>
      <c r="Q285">
        <f>PasteBBM!AB285</f>
        <v>0.9</v>
      </c>
      <c r="R285">
        <f>PasteBBM!AG285</f>
        <v>0.5905882353</v>
      </c>
      <c r="S285">
        <f>PasteBBM!AD285</f>
        <v>3.241176471</v>
      </c>
      <c r="T285">
        <f>PasteBBM!AF285</f>
        <v>1.466176471</v>
      </c>
    </row>
    <row r="286">
      <c r="A286" s="5">
        <v>285.0</v>
      </c>
      <c r="B286" t="str">
        <f t="array" ref="B286">INDEX(PasteHashtag!$B$2:$B1000,MATCH(C286,PasteHashtag!$C$2:$C1000,0))</f>
        <v/>
      </c>
      <c r="C286" t="str">
        <f>PasteBBM!J286</f>
        <v>Dalano Banton</v>
      </c>
      <c r="D286" t="str">
        <f>IFERROR(REPLACE(PasteBBM!L286, FIND("/",PasteBBM!L286),1,","),PasteBBM!L286)</f>
        <v>G,F</v>
      </c>
      <c r="E286" t="str">
        <f>PasteBBM!K286</f>
        <v>POR</v>
      </c>
      <c r="F286">
        <f>PasteBBM!T286</f>
        <v>68</v>
      </c>
      <c r="G286">
        <f>PasteBBM!V286</f>
        <v>17</v>
      </c>
      <c r="H286">
        <f>PasteBBM!AC286*PasteBBM!AD286</f>
        <v>2.651470588</v>
      </c>
      <c r="I286">
        <f>PasteBBM!AC286</f>
        <v>0.4110338539</v>
      </c>
      <c r="J286">
        <f>PasteBBM!AE286*PasteBBM!AF286</f>
        <v>0.9707352941</v>
      </c>
      <c r="K286">
        <f>PasteBBM!AE286</f>
        <v>0.7919616077</v>
      </c>
      <c r="L286">
        <f>PasteBBM!X286</f>
        <v>0.8182352941</v>
      </c>
      <c r="M286">
        <f>PasteBBM!W286</f>
        <v>7.091911765</v>
      </c>
      <c r="N286">
        <f>PasteBBM!Y286</f>
        <v>2.910147059</v>
      </c>
      <c r="O286">
        <f>PasteBBM!Z286</f>
        <v>2.173823529</v>
      </c>
      <c r="P286">
        <f>PasteBBM!AA286</f>
        <v>0.5452941176</v>
      </c>
      <c r="Q286">
        <f>PasteBBM!AB286</f>
        <v>0.3566176471</v>
      </c>
      <c r="R286">
        <f>PasteBBM!AG286</f>
        <v>1.280588235</v>
      </c>
      <c r="S286">
        <f>PasteBBM!AD286</f>
        <v>6.450735294</v>
      </c>
      <c r="T286">
        <f>PasteBBM!AF286</f>
        <v>1.225735294</v>
      </c>
    </row>
    <row r="287">
      <c r="A287" s="5">
        <v>286.0</v>
      </c>
      <c r="B287" t="str">
        <f t="array" ref="B287">INDEX(PasteHashtag!$B$2:$B1000,MATCH(C287,PasteHashtag!$C$2:$C1000,0))</f>
        <v/>
      </c>
      <c r="C287" t="str">
        <f>PasteBBM!J287</f>
        <v>Spencer Dinwiddie</v>
      </c>
      <c r="D287" t="str">
        <f>IFERROR(REPLACE(PasteBBM!L287, FIND("/",PasteBBM!L287),1,","),PasteBBM!L287)</f>
        <v>G</v>
      </c>
      <c r="E287" t="str">
        <f>PasteBBM!K287</f>
        <v>DAL</v>
      </c>
      <c r="F287">
        <f>PasteBBM!T287</f>
        <v>73</v>
      </c>
      <c r="G287">
        <f>PasteBBM!V287</f>
        <v>20</v>
      </c>
      <c r="H287">
        <f>PasteBBM!AC287*PasteBBM!AD287</f>
        <v>2.349315068</v>
      </c>
      <c r="I287">
        <f>PasteBBM!AC287</f>
        <v>0.3931502453</v>
      </c>
      <c r="J287">
        <f>PasteBBM!AE287*PasteBBM!AF287</f>
        <v>1.474246575</v>
      </c>
      <c r="K287">
        <f>PasteBBM!AE287</f>
        <v>0.8320061848</v>
      </c>
      <c r="L287">
        <f>PasteBBM!X287</f>
        <v>1.502328767</v>
      </c>
      <c r="M287">
        <f>PasteBBM!W287</f>
        <v>7.675205479</v>
      </c>
      <c r="N287">
        <f>PasteBBM!Y287</f>
        <v>1.683287671</v>
      </c>
      <c r="O287">
        <f>PasteBBM!Z287</f>
        <v>2.314520548</v>
      </c>
      <c r="P287">
        <f>PasteBBM!AA287</f>
        <v>0.4423287671</v>
      </c>
      <c r="Q287">
        <f>PasteBBM!AB287</f>
        <v>0.2597260274</v>
      </c>
      <c r="R287">
        <f>PasteBBM!AG287</f>
        <v>0.775890411</v>
      </c>
      <c r="S287">
        <f>PasteBBM!AD287</f>
        <v>5.975616438</v>
      </c>
      <c r="T287">
        <f>PasteBBM!AF287</f>
        <v>1.771917808</v>
      </c>
    </row>
    <row r="288">
      <c r="A288" s="5">
        <v>287.0</v>
      </c>
      <c r="B288">
        <f t="array" ref="B288">INDEX(PasteHashtag!$B$2:$B1000,MATCH(C288,PasteHashtag!$C$2:$C1000,0))</f>
        <v>135.6</v>
      </c>
      <c r="C288" t="str">
        <f>PasteBBM!J288</f>
        <v>Kevon Looney</v>
      </c>
      <c r="D288" t="str">
        <f>IFERROR(REPLACE(PasteBBM!L288, FIND("/",PasteBBM!L288),1,","),PasteBBM!L288)</f>
        <v>F,C</v>
      </c>
      <c r="E288" t="str">
        <f>PasteBBM!K288</f>
        <v>GSW</v>
      </c>
      <c r="F288">
        <f>PasteBBM!T288</f>
        <v>73</v>
      </c>
      <c r="G288">
        <f>PasteBBM!V288</f>
        <v>16</v>
      </c>
      <c r="H288">
        <f>PasteBBM!AC288*PasteBBM!AD288</f>
        <v>2.067260274</v>
      </c>
      <c r="I288">
        <f>PasteBBM!AC288</f>
        <v>0.6080177276</v>
      </c>
      <c r="J288">
        <f>PasteBBM!AE288*PasteBBM!AF288</f>
        <v>0.8347945203</v>
      </c>
      <c r="K288">
        <f>PasteBBM!AE288</f>
        <v>0.6450042337</v>
      </c>
      <c r="L288">
        <f>PasteBBM!X288</f>
        <v>0</v>
      </c>
      <c r="M288">
        <f>PasteBBM!W288</f>
        <v>4.969315068</v>
      </c>
      <c r="N288">
        <f>PasteBBM!Y288</f>
        <v>5.8</v>
      </c>
      <c r="O288">
        <f>PasteBBM!Z288</f>
        <v>1.4</v>
      </c>
      <c r="P288">
        <f>PasteBBM!AA288</f>
        <v>0.3669863014</v>
      </c>
      <c r="Q288">
        <f>PasteBBM!AB288</f>
        <v>0.4667123288</v>
      </c>
      <c r="R288">
        <f>PasteBBM!AG288</f>
        <v>0.6667123288</v>
      </c>
      <c r="S288">
        <f>PasteBBM!AD288</f>
        <v>3.4</v>
      </c>
      <c r="T288">
        <f>PasteBBM!AF288</f>
        <v>1.294246575</v>
      </c>
    </row>
    <row r="289">
      <c r="A289" s="5">
        <v>288.0</v>
      </c>
      <c r="B289" t="str">
        <f t="array" ref="B289">INDEX(PasteHashtag!$B$2:$B1000,MATCH(C289,PasteHashtag!$C$2:$C1000,0))</f>
        <v/>
      </c>
      <c r="C289" t="str">
        <f>PasteBBM!J289</f>
        <v>Guerschon Yabusele</v>
      </c>
      <c r="D289" t="str">
        <f>IFERROR(REPLACE(PasteBBM!L289, FIND("/",PasteBBM!L289),1,","),PasteBBM!L289)</f>
        <v>F</v>
      </c>
      <c r="E289" t="str">
        <f>PasteBBM!K289</f>
        <v>PHI</v>
      </c>
      <c r="F289">
        <f>PasteBBM!T289</f>
        <v>67</v>
      </c>
      <c r="G289">
        <f>PasteBBM!V289</f>
        <v>19</v>
      </c>
      <c r="H289">
        <f>PasteBBM!AC289*PasteBBM!AD289</f>
        <v>2.537761194</v>
      </c>
      <c r="I289">
        <f>PasteBBM!AC289</f>
        <v>0.4640430119</v>
      </c>
      <c r="J289">
        <f>PasteBBM!AE289*PasteBBM!AF289</f>
        <v>0.992537313</v>
      </c>
      <c r="K289">
        <f>PasteBBM!AE289</f>
        <v>0.7889429351</v>
      </c>
      <c r="L289">
        <f>PasteBBM!X289</f>
        <v>0.8210447761</v>
      </c>
      <c r="M289">
        <f>PasteBBM!W289</f>
        <v>6.889104478</v>
      </c>
      <c r="N289">
        <f>PasteBBM!Y289</f>
        <v>3.103283582</v>
      </c>
      <c r="O289">
        <f>PasteBBM!Z289</f>
        <v>1.052238806</v>
      </c>
      <c r="P289">
        <f>PasteBBM!AA289</f>
        <v>0.5064179104</v>
      </c>
      <c r="Q289">
        <f>PasteBBM!AB289</f>
        <v>0.3491044776</v>
      </c>
      <c r="R289">
        <f>PasteBBM!AG289</f>
        <v>0.9791044776</v>
      </c>
      <c r="S289">
        <f>PasteBBM!AD289</f>
        <v>5.46880597</v>
      </c>
      <c r="T289">
        <f>PasteBBM!AF289</f>
        <v>1.258059701</v>
      </c>
    </row>
    <row r="290">
      <c r="A290" s="5">
        <v>289.0</v>
      </c>
      <c r="B290" t="str">
        <f t="array" ref="B290">INDEX(PasteHashtag!$B$2:$B1000,MATCH(C290,PasteHashtag!$C$2:$C1000,0))</f>
        <v/>
      </c>
      <c r="C290" t="str">
        <f>PasteBBM!J290</f>
        <v>Trey Lyles</v>
      </c>
      <c r="D290" t="str">
        <f>IFERROR(REPLACE(PasteBBM!L290, FIND("/",PasteBBM!L290),1,","),PasteBBM!L290)</f>
        <v>F</v>
      </c>
      <c r="E290" t="str">
        <f>PasteBBM!K290</f>
        <v>SAC</v>
      </c>
      <c r="F290">
        <f>PasteBBM!T290</f>
        <v>73</v>
      </c>
      <c r="G290">
        <f>PasteBBM!V290</f>
        <v>19</v>
      </c>
      <c r="H290">
        <f>PasteBBM!AC290*PasteBBM!AD290</f>
        <v>2.451369863</v>
      </c>
      <c r="I290">
        <f>PasteBBM!AC290</f>
        <v>0.434851283</v>
      </c>
      <c r="J290">
        <f>PasteBBM!AE290*PasteBBM!AF290</f>
        <v>0.8410958902</v>
      </c>
      <c r="K290">
        <f>PasteBBM!AE290</f>
        <v>0.7460510328</v>
      </c>
      <c r="L290">
        <f>PasteBBM!X290</f>
        <v>1.33630137</v>
      </c>
      <c r="M290">
        <f>PasteBBM!W290</f>
        <v>7.080136986</v>
      </c>
      <c r="N290">
        <f>PasteBBM!Y290</f>
        <v>4.237808219</v>
      </c>
      <c r="O290">
        <f>PasteBBM!Z290</f>
        <v>1.039452055</v>
      </c>
      <c r="P290">
        <f>PasteBBM!AA290</f>
        <v>0.3226027397</v>
      </c>
      <c r="Q290">
        <f>PasteBBM!AB290</f>
        <v>0.3579452055</v>
      </c>
      <c r="R290">
        <f>PasteBBM!AG290</f>
        <v>0.6765753425</v>
      </c>
      <c r="S290">
        <f>PasteBBM!AD290</f>
        <v>5.637260274</v>
      </c>
      <c r="T290">
        <f>PasteBBM!AF290</f>
        <v>1.12739726</v>
      </c>
    </row>
    <row r="291">
      <c r="A291" s="5">
        <v>290.0</v>
      </c>
      <c r="B291">
        <f t="array" ref="B291">INDEX(PasteHashtag!$B$2:$B1000,MATCH(C291,PasteHashtag!$C$2:$C1000,0))</f>
        <v>142.7</v>
      </c>
      <c r="C291" t="str">
        <f>PasteBBM!J291</f>
        <v>Kel'El Ware</v>
      </c>
      <c r="D291" t="str">
        <f>IFERROR(REPLACE(PasteBBM!L291, FIND("/",PasteBBM!L291),1,","),PasteBBM!L291)</f>
        <v>C</v>
      </c>
      <c r="E291" t="str">
        <f>PasteBBM!K291</f>
        <v>MIA</v>
      </c>
      <c r="F291">
        <f>PasteBBM!T291</f>
        <v>73</v>
      </c>
      <c r="G291">
        <f>PasteBBM!V291</f>
        <v>17</v>
      </c>
      <c r="H291">
        <f>PasteBBM!AC291*PasteBBM!AD291</f>
        <v>2.512465753</v>
      </c>
      <c r="I291">
        <f>PasteBBM!AC291</f>
        <v>0.4975584613</v>
      </c>
      <c r="J291">
        <f>PasteBBM!AE291*PasteBBM!AF291</f>
        <v>0.760958904</v>
      </c>
      <c r="K291">
        <f>PasteBBM!AE291</f>
        <v>0.6849568434</v>
      </c>
      <c r="L291">
        <f>PasteBBM!X291</f>
        <v>0.3224657534</v>
      </c>
      <c r="M291">
        <f>PasteBBM!W291</f>
        <v>6.108356164</v>
      </c>
      <c r="N291">
        <f>PasteBBM!Y291</f>
        <v>4.466027397</v>
      </c>
      <c r="O291">
        <f>PasteBBM!Z291</f>
        <v>0.721369863</v>
      </c>
      <c r="P291">
        <f>PasteBBM!AA291</f>
        <v>0.3435616438</v>
      </c>
      <c r="Q291">
        <f>PasteBBM!AB291</f>
        <v>0.8245205479</v>
      </c>
      <c r="R291">
        <f>PasteBBM!AG291</f>
        <v>0.8589041096</v>
      </c>
      <c r="S291">
        <f>PasteBBM!AD291</f>
        <v>5.049589041</v>
      </c>
      <c r="T291">
        <f>PasteBBM!AF291</f>
        <v>1.110958904</v>
      </c>
    </row>
    <row r="292">
      <c r="A292" s="5">
        <v>291.0</v>
      </c>
      <c r="B292" t="str">
        <f t="array" ref="B292">INDEX(PasteHashtag!$B$2:$B1000,MATCH(C292,PasteHashtag!$C$2:$C1000,0))</f>
        <v/>
      </c>
      <c r="C292" t="str">
        <f>PasteBBM!J292</f>
        <v>Pat Connaughton</v>
      </c>
      <c r="D292" t="str">
        <f>IFERROR(REPLACE(PasteBBM!L292, FIND("/",PasteBBM!L292),1,","),PasteBBM!L292)</f>
        <v>G</v>
      </c>
      <c r="E292" t="str">
        <f>PasteBBM!K292</f>
        <v>MIL</v>
      </c>
      <c r="F292">
        <f>PasteBBM!T292</f>
        <v>73</v>
      </c>
      <c r="G292">
        <f>PasteBBM!V292</f>
        <v>21</v>
      </c>
      <c r="H292">
        <f>PasteBBM!AC292*PasteBBM!AD292</f>
        <v>2.039863014</v>
      </c>
      <c r="I292">
        <f>PasteBBM!AC292</f>
        <v>0.4360979324</v>
      </c>
      <c r="J292">
        <f>PasteBBM!AE292*PasteBBM!AF292</f>
        <v>0.4682191781</v>
      </c>
      <c r="K292">
        <f>PasteBBM!AE292</f>
        <v>0.7699932417</v>
      </c>
      <c r="L292">
        <f>PasteBBM!X292</f>
        <v>1.109863014</v>
      </c>
      <c r="M292">
        <f>PasteBBM!W292</f>
        <v>5.657808219</v>
      </c>
      <c r="N292">
        <f>PasteBBM!Y292</f>
        <v>2.728630137</v>
      </c>
      <c r="O292">
        <f>PasteBBM!Z292</f>
        <v>1.861780822</v>
      </c>
      <c r="P292">
        <f>PasteBBM!AA292</f>
        <v>0.5152054795</v>
      </c>
      <c r="Q292">
        <f>PasteBBM!AB292</f>
        <v>0.2612328767</v>
      </c>
      <c r="R292">
        <f>PasteBBM!AG292</f>
        <v>0.6091780822</v>
      </c>
      <c r="S292">
        <f>PasteBBM!AD292</f>
        <v>4.677534247</v>
      </c>
      <c r="T292">
        <f>PasteBBM!AF292</f>
        <v>0.6080821918</v>
      </c>
    </row>
    <row r="293">
      <c r="A293" s="5">
        <v>292.0</v>
      </c>
      <c r="B293" t="str">
        <f t="array" ref="B293">INDEX(PasteHashtag!$B$2:$B1000,MATCH(C293,PasteHashtag!$C$2:$C1000,0))</f>
        <v/>
      </c>
      <c r="C293" t="str">
        <f>PasteBBM!J293</f>
        <v>Christian Wood</v>
      </c>
      <c r="D293" t="str">
        <f>IFERROR(REPLACE(PasteBBM!L293, FIND("/",PasteBBM!L293),1,","),PasteBBM!L293)</f>
        <v>F</v>
      </c>
      <c r="E293" t="str">
        <f>PasteBBM!K293</f>
        <v>LAL</v>
      </c>
      <c r="F293">
        <f>PasteBBM!T293</f>
        <v>35</v>
      </c>
      <c r="G293">
        <f>PasteBBM!V293</f>
        <v>15</v>
      </c>
      <c r="H293">
        <f>PasteBBM!AC293*PasteBBM!AD293</f>
        <v>2.442285714</v>
      </c>
      <c r="I293">
        <f>PasteBBM!AC293</f>
        <v>0.4850204267</v>
      </c>
      <c r="J293">
        <f>PasteBBM!AE293*PasteBBM!AF293</f>
        <v>1.186571428</v>
      </c>
      <c r="K293">
        <f>PasteBBM!AE293</f>
        <v>0.7600658858</v>
      </c>
      <c r="L293">
        <f>PasteBBM!X293</f>
        <v>0.6865714286</v>
      </c>
      <c r="M293">
        <f>PasteBBM!W293</f>
        <v>6.757714286</v>
      </c>
      <c r="N293">
        <f>PasteBBM!Y293</f>
        <v>4.271142857</v>
      </c>
      <c r="O293">
        <f>PasteBBM!Z293</f>
        <v>0.7968571429</v>
      </c>
      <c r="P293">
        <f>PasteBBM!AA293</f>
        <v>0.2802857143</v>
      </c>
      <c r="Q293">
        <f>PasteBBM!AB293</f>
        <v>0.6137142857</v>
      </c>
      <c r="R293">
        <f>PasteBBM!AG293</f>
        <v>0.7011428571</v>
      </c>
      <c r="S293">
        <f>PasteBBM!AD293</f>
        <v>5.035428571</v>
      </c>
      <c r="T293">
        <f>PasteBBM!AF293</f>
        <v>1.561142857</v>
      </c>
    </row>
    <row r="294">
      <c r="A294" s="5">
        <v>293.0</v>
      </c>
      <c r="B294">
        <f t="array" ref="B294">INDEX(PasteHashtag!$B$2:$B1000,MATCH(C294,PasteHashtag!$C$2:$C1000,0))</f>
        <v>140.6</v>
      </c>
      <c r="C294" t="str">
        <f>PasteBBM!J294</f>
        <v>Tim Hardaway Jr.</v>
      </c>
      <c r="D294" t="str">
        <f>IFERROR(REPLACE(PasteBBM!L294, FIND("/",PasteBBM!L294),1,","),PasteBBM!L294)</f>
        <v>G,F</v>
      </c>
      <c r="E294" t="str">
        <f>PasteBBM!K294</f>
        <v>DET</v>
      </c>
      <c r="F294">
        <f>PasteBBM!T294</f>
        <v>73</v>
      </c>
      <c r="G294">
        <f>PasteBBM!V294</f>
        <v>21</v>
      </c>
      <c r="H294">
        <f>PasteBBM!AC294*PasteBBM!AD294</f>
        <v>3.234383561</v>
      </c>
      <c r="I294">
        <f>PasteBBM!AC294</f>
        <v>0.3951102781</v>
      </c>
      <c r="J294">
        <f>PasteBBM!AE294*PasteBBM!AF294</f>
        <v>1.275342466</v>
      </c>
      <c r="K294">
        <f>PasteBBM!AE294</f>
        <v>0.8199753391</v>
      </c>
      <c r="L294">
        <f>PasteBBM!X294</f>
        <v>1.84109589</v>
      </c>
      <c r="M294">
        <f>PasteBBM!W294</f>
        <v>9.585205479</v>
      </c>
      <c r="N294">
        <f>PasteBBM!Y294</f>
        <v>2.382191781</v>
      </c>
      <c r="O294">
        <f>PasteBBM!Z294</f>
        <v>1.352191781</v>
      </c>
      <c r="P294">
        <f>PasteBBM!AA294</f>
        <v>0.4719178082</v>
      </c>
      <c r="Q294">
        <f>PasteBBM!AB294</f>
        <v>0.08712328767</v>
      </c>
      <c r="R294">
        <f>PasteBBM!AG294</f>
        <v>0.6965753425</v>
      </c>
      <c r="S294">
        <f>PasteBBM!AD294</f>
        <v>8.186027397</v>
      </c>
      <c r="T294">
        <f>PasteBBM!AF294</f>
        <v>1.555342466</v>
      </c>
    </row>
    <row r="295">
      <c r="A295" s="5">
        <v>294.0</v>
      </c>
      <c r="B295" t="str">
        <f t="array" ref="B295">INDEX(PasteHashtag!$B$2:$B1000,MATCH(C295,PasteHashtag!$C$2:$C1000,0))</f>
        <v>#N/A</v>
      </c>
      <c r="C295" t="str">
        <f>PasteBBM!J295</f>
        <v>Bruno Fernando</v>
      </c>
      <c r="D295" t="str">
        <f>IFERROR(REPLACE(PasteBBM!L295, FIND("/",PasteBBM!L295),1,","),PasteBBM!L295)</f>
        <v>C</v>
      </c>
      <c r="E295" t="str">
        <f>PasteBBM!K295</f>
        <v>TOR</v>
      </c>
      <c r="F295">
        <f>PasteBBM!T295</f>
        <v>33</v>
      </c>
      <c r="G295">
        <f>PasteBBM!V295</f>
        <v>15</v>
      </c>
      <c r="H295">
        <f>PasteBBM!AC295*PasteBBM!AD295</f>
        <v>2.375151515</v>
      </c>
      <c r="I295">
        <f>PasteBBM!AC295</f>
        <v>0.5879969992</v>
      </c>
      <c r="J295">
        <f>PasteBBM!AE295*PasteBBM!AF295</f>
        <v>1.256666667</v>
      </c>
      <c r="K295">
        <f>PasteBBM!AE295</f>
        <v>0.6799475324</v>
      </c>
      <c r="L295">
        <f>PasteBBM!X295</f>
        <v>0.02424242424</v>
      </c>
      <c r="M295">
        <f>PasteBBM!W295</f>
        <v>6.031212121</v>
      </c>
      <c r="N295">
        <f>PasteBBM!Y295</f>
        <v>4.166363636</v>
      </c>
      <c r="O295">
        <f>PasteBBM!Z295</f>
        <v>1.005151515</v>
      </c>
      <c r="P295">
        <f>PasteBBM!AA295</f>
        <v>0.3157575758</v>
      </c>
      <c r="Q295">
        <f>PasteBBM!AB295</f>
        <v>0.8836363636</v>
      </c>
      <c r="R295">
        <f>PasteBBM!AG295</f>
        <v>0.9784848485</v>
      </c>
      <c r="S295">
        <f>PasteBBM!AD295</f>
        <v>4.039393939</v>
      </c>
      <c r="T295">
        <f>PasteBBM!AF295</f>
        <v>1.848181818</v>
      </c>
    </row>
    <row r="296">
      <c r="A296" s="5">
        <v>295.0</v>
      </c>
      <c r="B296" t="str">
        <f t="array" ref="B296">INDEX(PasteHashtag!$B$2:$B1000,MATCH(C296,PasteHashtag!$C$2:$C1000,0))</f>
        <v/>
      </c>
      <c r="C296" t="str">
        <f>PasteBBM!J296</f>
        <v>John Konchar</v>
      </c>
      <c r="D296" t="str">
        <f>IFERROR(REPLACE(PasteBBM!L296, FIND("/",PasteBBM!L296),1,","),PasteBBM!L296)</f>
        <v>G</v>
      </c>
      <c r="E296" t="str">
        <f>PasteBBM!K296</f>
        <v>MEM</v>
      </c>
      <c r="F296">
        <f>PasteBBM!T296</f>
        <v>49</v>
      </c>
      <c r="G296">
        <f>PasteBBM!V296</f>
        <v>16</v>
      </c>
      <c r="H296">
        <f>PasteBBM!AC296*PasteBBM!AD296</f>
        <v>1.025714286</v>
      </c>
      <c r="I296">
        <f>PasteBBM!AC296</f>
        <v>0.4396431071</v>
      </c>
      <c r="J296">
        <f>PasteBBM!AE296*PasteBBM!AF296</f>
        <v>0.3457142857</v>
      </c>
      <c r="K296">
        <f>PasteBBM!AE296</f>
        <v>0.7799263352</v>
      </c>
      <c r="L296">
        <f>PasteBBM!X296</f>
        <v>0.4508163265</v>
      </c>
      <c r="M296">
        <f>PasteBBM!W296</f>
        <v>2.847959184</v>
      </c>
      <c r="N296">
        <f>PasteBBM!Y296</f>
        <v>3.433265306</v>
      </c>
      <c r="O296">
        <f>PasteBBM!Z296</f>
        <v>1.133265306</v>
      </c>
      <c r="P296">
        <f>PasteBBM!AA296</f>
        <v>0.6687755102</v>
      </c>
      <c r="Q296">
        <f>PasteBBM!AB296</f>
        <v>0.4667346939</v>
      </c>
      <c r="R296">
        <f>PasteBBM!AG296</f>
        <v>0.4667346939</v>
      </c>
      <c r="S296">
        <f>PasteBBM!AD296</f>
        <v>2.333061224</v>
      </c>
      <c r="T296">
        <f>PasteBBM!AF296</f>
        <v>0.4432653061</v>
      </c>
    </row>
    <row r="297">
      <c r="A297" s="5">
        <v>296.0</v>
      </c>
      <c r="B297">
        <f t="array" ref="B297">INDEX(PasteHashtag!$B$2:$B1000,MATCH(C297,PasteHashtag!$C$2:$C1000,0))</f>
        <v>141.7</v>
      </c>
      <c r="C297" t="str">
        <f>PasteBBM!J297</f>
        <v>Stephon Castle</v>
      </c>
      <c r="D297" t="str">
        <f>IFERROR(REPLACE(PasteBBM!L297, FIND("/",PasteBBM!L297),1,","),PasteBBM!L297)</f>
        <v>G</v>
      </c>
      <c r="E297" t="str">
        <f>PasteBBM!K297</f>
        <v>SAS</v>
      </c>
      <c r="F297">
        <f>PasteBBM!T297</f>
        <v>73</v>
      </c>
      <c r="G297">
        <f>PasteBBM!V297</f>
        <v>22</v>
      </c>
      <c r="H297">
        <f>PasteBBM!AC297*PasteBBM!AD297</f>
        <v>2.709863014</v>
      </c>
      <c r="I297">
        <f>PasteBBM!AC297</f>
        <v>0.4022121465</v>
      </c>
      <c r="J297">
        <f>PasteBBM!AE297*PasteBBM!AF297</f>
        <v>1.105753425</v>
      </c>
      <c r="K297">
        <f>PasteBBM!AE297</f>
        <v>0.746025878</v>
      </c>
      <c r="L297">
        <f>PasteBBM!X297</f>
        <v>0.6167123288</v>
      </c>
      <c r="M297">
        <f>PasteBBM!W297</f>
        <v>7.142191781</v>
      </c>
      <c r="N297">
        <f>PasteBBM!Y297</f>
        <v>3.208356164</v>
      </c>
      <c r="O297">
        <f>PasteBBM!Z297</f>
        <v>2.108356164</v>
      </c>
      <c r="P297">
        <f>PasteBBM!AA297</f>
        <v>0.6416438356</v>
      </c>
      <c r="Q297">
        <f>PasteBBM!AB297</f>
        <v>0.3208219178</v>
      </c>
      <c r="R297">
        <f>PasteBBM!AG297</f>
        <v>1.375068493</v>
      </c>
      <c r="S297">
        <f>PasteBBM!AD297</f>
        <v>6.73739726</v>
      </c>
      <c r="T297">
        <f>PasteBBM!AF297</f>
        <v>1.482191781</v>
      </c>
    </row>
    <row r="298">
      <c r="A298" s="5">
        <v>297.0</v>
      </c>
      <c r="B298" t="str">
        <f t="array" ref="B298">INDEX(PasteHashtag!$B$2:$B1000,MATCH(C298,PasteHashtag!$C$2:$C1000,0))</f>
        <v/>
      </c>
      <c r="C298" t="str">
        <f>PasteBBM!J298</f>
        <v>Alec Burks</v>
      </c>
      <c r="D298" t="str">
        <f>IFERROR(REPLACE(PasteBBM!L298, FIND("/",PasteBBM!L298),1,","),PasteBBM!L298)</f>
        <v>G</v>
      </c>
      <c r="E298" t="str">
        <f>PasteBBM!K298</f>
        <v>MIA</v>
      </c>
      <c r="F298">
        <f>PasteBBM!T298</f>
        <v>68</v>
      </c>
      <c r="G298">
        <f>PasteBBM!V298</f>
        <v>17</v>
      </c>
      <c r="H298">
        <f>PasteBBM!AC298*PasteBBM!AD298</f>
        <v>2.390588235</v>
      </c>
      <c r="I298">
        <f>PasteBBM!AC298</f>
        <v>0.4045592554</v>
      </c>
      <c r="J298">
        <f>PasteBBM!AE298*PasteBBM!AF298</f>
        <v>1.53632353</v>
      </c>
      <c r="K298">
        <f>PasteBBM!AE298</f>
        <v>0.8530252307</v>
      </c>
      <c r="L298">
        <f>PasteBBM!X298</f>
        <v>1.285294118</v>
      </c>
      <c r="M298">
        <f>PasteBBM!W298</f>
        <v>7.602794118</v>
      </c>
      <c r="N298">
        <f>PasteBBM!Y298</f>
        <v>2.13</v>
      </c>
      <c r="O298">
        <f>PasteBBM!Z298</f>
        <v>1.786470588</v>
      </c>
      <c r="P298">
        <f>PasteBBM!AA298</f>
        <v>0.4422058824</v>
      </c>
      <c r="Q298">
        <f>PasteBBM!AB298</f>
        <v>0.1382352941</v>
      </c>
      <c r="R298">
        <f>PasteBBM!AG298</f>
        <v>0.8245588235</v>
      </c>
      <c r="S298">
        <f>PasteBBM!AD298</f>
        <v>5.909117647</v>
      </c>
      <c r="T298">
        <f>PasteBBM!AF298</f>
        <v>1.801029412</v>
      </c>
    </row>
    <row r="299">
      <c r="A299" s="5">
        <v>298.0</v>
      </c>
      <c r="B299" t="str">
        <f t="array" ref="B299">INDEX(PasteHashtag!$B$2:$B1000,MATCH(C299,PasteHashtag!$C$2:$C1000,0))</f>
        <v/>
      </c>
      <c r="C299" t="str">
        <f>PasteBBM!J299</f>
        <v>Charles Bassey</v>
      </c>
      <c r="D299" t="str">
        <f>IFERROR(REPLACE(PasteBBM!L299, FIND("/",PasteBBM!L299),1,","),PasteBBM!L299)</f>
        <v>C</v>
      </c>
      <c r="E299" t="str">
        <f>PasteBBM!K299</f>
        <v>SAS</v>
      </c>
      <c r="F299">
        <f>PasteBBM!T299</f>
        <v>39</v>
      </c>
      <c r="G299">
        <f>PasteBBM!V299</f>
        <v>10</v>
      </c>
      <c r="H299">
        <f>PasteBBM!AC299*PasteBBM!AD299</f>
        <v>1.438974359</v>
      </c>
      <c r="I299">
        <f>PasteBBM!AC299</f>
        <v>0.6704097479</v>
      </c>
      <c r="J299">
        <f>PasteBBM!AE299*PasteBBM!AF299</f>
        <v>0.398974359</v>
      </c>
      <c r="K299">
        <f>PasteBBM!AE299</f>
        <v>0.7608801956</v>
      </c>
      <c r="L299">
        <f>PasteBBM!X299</f>
        <v>0.01487179487</v>
      </c>
      <c r="M299">
        <f>PasteBBM!W299</f>
        <v>3.291794872</v>
      </c>
      <c r="N299">
        <f>PasteBBM!Y299</f>
        <v>3.687435897</v>
      </c>
      <c r="O299">
        <f>PasteBBM!Z299</f>
        <v>0.8220512821</v>
      </c>
      <c r="P299">
        <f>PasteBBM!AA299</f>
        <v>0.3084615385</v>
      </c>
      <c r="Q299">
        <f>PasteBBM!AB299</f>
        <v>0.8541025641</v>
      </c>
      <c r="R299">
        <f>PasteBBM!AG299</f>
        <v>0.7125641026</v>
      </c>
      <c r="S299">
        <f>PasteBBM!AD299</f>
        <v>2.146410256</v>
      </c>
      <c r="T299">
        <f>PasteBBM!AF299</f>
        <v>0.5243589744</v>
      </c>
    </row>
    <row r="300">
      <c r="A300" s="5">
        <v>299.0</v>
      </c>
      <c r="B300" t="str">
        <f t="array" ref="B300">INDEX(PasteHashtag!$B$2:$B1000,MATCH(C300,PasteHashtag!$C$2:$C1000,0))</f>
        <v/>
      </c>
      <c r="C300" t="str">
        <f>PasteBBM!J300</f>
        <v>Tristan Vukcevic</v>
      </c>
      <c r="D300" t="str">
        <f>IFERROR(REPLACE(PasteBBM!L300, FIND("/",PasteBBM!L300),1,","),PasteBBM!L300)</f>
        <v>C</v>
      </c>
      <c r="E300" t="str">
        <f>PasteBBM!K300</f>
        <v>WAS</v>
      </c>
      <c r="F300">
        <f>PasteBBM!T300</f>
        <v>34</v>
      </c>
      <c r="G300">
        <f>PasteBBM!V300</f>
        <v>14</v>
      </c>
      <c r="H300">
        <f>PasteBBM!AC300*PasteBBM!AD300</f>
        <v>1.961470589</v>
      </c>
      <c r="I300">
        <f>PasteBBM!AC300</f>
        <v>0.4491514009</v>
      </c>
      <c r="J300">
        <f>PasteBBM!AE300*PasteBBM!AF300</f>
        <v>0.913529412</v>
      </c>
      <c r="K300">
        <f>PasteBBM!AE300</f>
        <v>0.774563591</v>
      </c>
      <c r="L300">
        <f>PasteBBM!X300</f>
        <v>0.7805882353</v>
      </c>
      <c r="M300">
        <f>PasteBBM!W300</f>
        <v>5.617058824</v>
      </c>
      <c r="N300">
        <f>PasteBBM!Y300</f>
        <v>2.972647059</v>
      </c>
      <c r="O300">
        <f>PasteBBM!Z300</f>
        <v>1.031470588</v>
      </c>
      <c r="P300">
        <f>PasteBBM!AA300</f>
        <v>0.455</v>
      </c>
      <c r="Q300">
        <f>PasteBBM!AB300</f>
        <v>0.5458823529</v>
      </c>
      <c r="R300">
        <f>PasteBBM!AG300</f>
        <v>0.7894117647</v>
      </c>
      <c r="S300">
        <f>PasteBBM!AD300</f>
        <v>4.367058824</v>
      </c>
      <c r="T300">
        <f>PasteBBM!AF300</f>
        <v>1.179411765</v>
      </c>
    </row>
    <row r="301">
      <c r="A301" s="5">
        <v>300.0</v>
      </c>
      <c r="B301" t="str">
        <f t="array" ref="B301">INDEX(PasteHashtag!$B$2:$B1000,MATCH(C301,PasteHashtag!$C$2:$C1000,0))</f>
        <v/>
      </c>
      <c r="C301" t="str">
        <f>PasteBBM!J301</f>
        <v>Jaxson Hayes</v>
      </c>
      <c r="D301" t="str">
        <f>IFERROR(REPLACE(PasteBBM!L301, FIND("/",PasteBBM!L301),1,","),PasteBBM!L301)</f>
        <v>C</v>
      </c>
      <c r="E301" t="str">
        <f>PasteBBM!K301</f>
        <v>LAL</v>
      </c>
      <c r="F301">
        <f>PasteBBM!T301</f>
        <v>73</v>
      </c>
      <c r="G301">
        <f>PasteBBM!V301</f>
        <v>15</v>
      </c>
      <c r="H301">
        <f>PasteBBM!AC301*PasteBBM!AD301</f>
        <v>1.897808219</v>
      </c>
      <c r="I301">
        <f>PasteBBM!AC301</f>
        <v>0.6401737443</v>
      </c>
      <c r="J301">
        <f>PasteBBM!AE301*PasteBBM!AF301</f>
        <v>0.9469863017</v>
      </c>
      <c r="K301">
        <f>PasteBBM!AE301</f>
        <v>0.6989888777</v>
      </c>
      <c r="L301">
        <f>PasteBBM!X301</f>
        <v>0.05808219178</v>
      </c>
      <c r="M301">
        <f>PasteBBM!W301</f>
        <v>4.800684932</v>
      </c>
      <c r="N301">
        <f>PasteBBM!Y301</f>
        <v>3.50630137</v>
      </c>
      <c r="O301">
        <f>PasteBBM!Z301</f>
        <v>0.5780821918</v>
      </c>
      <c r="P301">
        <f>PasteBBM!AA301</f>
        <v>0.5419178082</v>
      </c>
      <c r="Q301">
        <f>PasteBBM!AB301</f>
        <v>0.5467123288</v>
      </c>
      <c r="R301">
        <f>PasteBBM!AG301</f>
        <v>0.7065753425</v>
      </c>
      <c r="S301">
        <f>PasteBBM!AD301</f>
        <v>2.964520548</v>
      </c>
      <c r="T301">
        <f>PasteBBM!AF301</f>
        <v>1.354794521</v>
      </c>
    </row>
    <row r="302">
      <c r="A302" s="5">
        <v>301.0</v>
      </c>
      <c r="B302" t="str">
        <f t="array" ref="B302">INDEX(PasteHashtag!$B$2:$B1000,MATCH(C302,PasteHashtag!$C$2:$C1000,0))</f>
        <v/>
      </c>
      <c r="C302" t="str">
        <f>PasteBBM!J302</f>
        <v>Haywood Highsmith</v>
      </c>
      <c r="D302" t="str">
        <f>IFERROR(REPLACE(PasteBBM!L302, FIND("/",PasteBBM!L302),1,","),PasteBBM!L302)</f>
        <v>F</v>
      </c>
      <c r="E302" t="str">
        <f>PasteBBM!K302</f>
        <v>MIA</v>
      </c>
      <c r="F302">
        <f>PasteBBM!T302</f>
        <v>73</v>
      </c>
      <c r="G302">
        <f>PasteBBM!V302</f>
        <v>18</v>
      </c>
      <c r="H302">
        <f>PasteBBM!AC302*PasteBBM!AD302</f>
        <v>1.913561644</v>
      </c>
      <c r="I302">
        <f>PasteBBM!AC302</f>
        <v>0.4534653465</v>
      </c>
      <c r="J302">
        <f>PasteBBM!AE302*PasteBBM!AF302</f>
        <v>0.1904109589</v>
      </c>
      <c r="K302">
        <f>PasteBBM!AE302</f>
        <v>0.5641233766</v>
      </c>
      <c r="L302">
        <f>PasteBBM!X302</f>
        <v>0.8756164384</v>
      </c>
      <c r="M302">
        <f>PasteBBM!W302</f>
        <v>4.893150685</v>
      </c>
      <c r="N302">
        <f>PasteBBM!Y302</f>
        <v>3.27369863</v>
      </c>
      <c r="O302">
        <f>PasteBBM!Z302</f>
        <v>0.8061643836</v>
      </c>
      <c r="P302">
        <f>PasteBBM!AA302</f>
        <v>0.6098630137</v>
      </c>
      <c r="Q302">
        <f>PasteBBM!AB302</f>
        <v>0.3301369863</v>
      </c>
      <c r="R302">
        <f>PasteBBM!AG302</f>
        <v>0.4761643836</v>
      </c>
      <c r="S302">
        <f>PasteBBM!AD302</f>
        <v>4.219863014</v>
      </c>
      <c r="T302">
        <f>PasteBBM!AF302</f>
        <v>0.3375342466</v>
      </c>
    </row>
    <row r="303">
      <c r="A303" s="5">
        <v>302.0</v>
      </c>
      <c r="B303" t="str">
        <f t="array" ref="B303">INDEX(PasteHashtag!$B$2:$B1000,MATCH(C303,PasteHashtag!$C$2:$C1000,0))</f>
        <v/>
      </c>
      <c r="C303" t="str">
        <f>PasteBBM!J303</f>
        <v>Jalen Wilson</v>
      </c>
      <c r="D303" t="str">
        <f>IFERROR(REPLACE(PasteBBM!L303, FIND("/",PasteBBM!L303),1,","),PasteBBM!L303)</f>
        <v>F</v>
      </c>
      <c r="E303" t="str">
        <f>PasteBBM!K303</f>
        <v>BKN</v>
      </c>
      <c r="F303">
        <f>PasteBBM!T303</f>
        <v>73</v>
      </c>
      <c r="G303">
        <f>PasteBBM!V303</f>
        <v>20</v>
      </c>
      <c r="H303">
        <f>PasteBBM!AC303*PasteBBM!AD303</f>
        <v>2.672054794</v>
      </c>
      <c r="I303">
        <f>PasteBBM!AC303</f>
        <v>0.4379434216</v>
      </c>
      <c r="J303">
        <f>PasteBBM!AE303*PasteBBM!AF303</f>
        <v>1.254383562</v>
      </c>
      <c r="K303">
        <f>PasteBBM!AE303</f>
        <v>0.7669821593</v>
      </c>
      <c r="L303">
        <f>PasteBBM!X303</f>
        <v>0.9263013699</v>
      </c>
      <c r="M303">
        <f>PasteBBM!W303</f>
        <v>7.524794521</v>
      </c>
      <c r="N303">
        <f>PasteBBM!Y303</f>
        <v>4.208356164</v>
      </c>
      <c r="O303">
        <f>PasteBBM!Z303</f>
        <v>1.683287671</v>
      </c>
      <c r="P303">
        <f>PasteBBM!AA303</f>
        <v>0.3367123288</v>
      </c>
      <c r="Q303">
        <f>PasteBBM!AB303</f>
        <v>0.1683561644</v>
      </c>
      <c r="R303">
        <f>PasteBBM!AG303</f>
        <v>0.7154794521</v>
      </c>
      <c r="S303">
        <f>PasteBBM!AD303</f>
        <v>6.101369863</v>
      </c>
      <c r="T303">
        <f>PasteBBM!AF303</f>
        <v>1.635479452</v>
      </c>
    </row>
    <row r="304">
      <c r="A304" s="5">
        <v>303.0</v>
      </c>
      <c r="B304" t="str">
        <f t="array" ref="B304">INDEX(PasteHashtag!$B$2:$B1000,MATCH(C304,PasteHashtag!$C$2:$C1000,0))</f>
        <v/>
      </c>
      <c r="C304" t="str">
        <f>PasteBBM!J304</f>
        <v>Jabari Walker</v>
      </c>
      <c r="D304" t="str">
        <f>IFERROR(REPLACE(PasteBBM!L304, FIND("/",PasteBBM!L304),1,","),PasteBBM!L304)</f>
        <v>F</v>
      </c>
      <c r="E304" t="str">
        <f>PasteBBM!K304</f>
        <v>POR</v>
      </c>
      <c r="F304">
        <f>PasteBBM!T304</f>
        <v>73</v>
      </c>
      <c r="G304">
        <f>PasteBBM!V304</f>
        <v>19</v>
      </c>
      <c r="H304">
        <f>PasteBBM!AC304*PasteBBM!AD304</f>
        <v>2.620684931</v>
      </c>
      <c r="I304">
        <f>PasteBBM!AC304</f>
        <v>0.454904292</v>
      </c>
      <c r="J304">
        <f>PasteBBM!AE304*PasteBBM!AF304</f>
        <v>1.184109589</v>
      </c>
      <c r="K304">
        <f>PasteBBM!AE304</f>
        <v>0.7540125611</v>
      </c>
      <c r="L304">
        <f>PasteBBM!X304</f>
        <v>0.5345205479</v>
      </c>
      <c r="M304">
        <f>PasteBBM!W304</f>
        <v>6.96</v>
      </c>
      <c r="N304">
        <f>PasteBBM!Y304</f>
        <v>5.83890411</v>
      </c>
      <c r="O304">
        <f>PasteBBM!Z304</f>
        <v>0.7084931507</v>
      </c>
      <c r="P304">
        <f>PasteBBM!AA304</f>
        <v>0.3701369863</v>
      </c>
      <c r="Q304">
        <f>PasteBBM!AB304</f>
        <v>0.2028767123</v>
      </c>
      <c r="R304">
        <f>PasteBBM!AG304</f>
        <v>0.6269863014</v>
      </c>
      <c r="S304">
        <f>PasteBBM!AD304</f>
        <v>5.760958904</v>
      </c>
      <c r="T304">
        <f>PasteBBM!AF304</f>
        <v>1.570410959</v>
      </c>
    </row>
    <row r="305">
      <c r="A305" s="5">
        <v>304.0</v>
      </c>
      <c r="B305" t="str">
        <f t="array" ref="B305">INDEX(PasteHashtag!$B$2:$B1000,MATCH(C305,PasteHashtag!$C$2:$C1000,0))</f>
        <v/>
      </c>
      <c r="C305" t="str">
        <f>PasteBBM!J305</f>
        <v>Chris Boucher</v>
      </c>
      <c r="D305" t="str">
        <f>IFERROR(REPLACE(PasteBBM!L305, FIND("/",PasteBBM!L305),1,","),PasteBBM!L305)</f>
        <v>F</v>
      </c>
      <c r="E305" t="str">
        <f>PasteBBM!K305</f>
        <v>TOR</v>
      </c>
      <c r="F305">
        <f>PasteBBM!T305</f>
        <v>44</v>
      </c>
      <c r="G305">
        <f>PasteBBM!V305</f>
        <v>14</v>
      </c>
      <c r="H305">
        <f>PasteBBM!AC305*PasteBBM!AD305</f>
        <v>1.892727272</v>
      </c>
      <c r="I305">
        <f>PasteBBM!AC305</f>
        <v>0.5018681451</v>
      </c>
      <c r="J305">
        <f>PasteBBM!AE305*PasteBBM!AF305</f>
        <v>1.187045454</v>
      </c>
      <c r="K305">
        <f>PasteBBM!AE305</f>
        <v>0.7870705244</v>
      </c>
      <c r="L305">
        <f>PasteBBM!X305</f>
        <v>0.5381818182</v>
      </c>
      <c r="M305">
        <f>PasteBBM!W305</f>
        <v>5.510681818</v>
      </c>
      <c r="N305">
        <f>PasteBBM!Y305</f>
        <v>4.418636364</v>
      </c>
      <c r="O305">
        <f>PasteBBM!Z305</f>
        <v>0.5302272727</v>
      </c>
      <c r="P305">
        <f>PasteBBM!AA305</f>
        <v>0.2945454545</v>
      </c>
      <c r="Q305">
        <f>PasteBBM!AB305</f>
        <v>0.4713636364</v>
      </c>
      <c r="R305">
        <f>PasteBBM!AG305</f>
        <v>0.6775</v>
      </c>
      <c r="S305">
        <f>PasteBBM!AD305</f>
        <v>3.771363636</v>
      </c>
      <c r="T305">
        <f>PasteBBM!AF305</f>
        <v>1.508181818</v>
      </c>
    </row>
    <row r="306">
      <c r="A306" s="5">
        <v>305.0</v>
      </c>
      <c r="B306" t="str">
        <f t="array" ref="B306">INDEX(PasteHashtag!$B$2:$B1000,MATCH(C306,PasteHashtag!$C$2:$C1000,0))</f>
        <v>#N/A</v>
      </c>
      <c r="C306" t="str">
        <f>PasteBBM!J306</f>
        <v>G.G. Jackson</v>
      </c>
      <c r="D306" t="str">
        <f>IFERROR(REPLACE(PasteBBM!L306, FIND("/",PasteBBM!L306),1,","),PasteBBM!L306)</f>
        <v>F</v>
      </c>
      <c r="E306" t="str">
        <f>PasteBBM!K306</f>
        <v>MEM</v>
      </c>
      <c r="F306">
        <f>PasteBBM!T306</f>
        <v>47</v>
      </c>
      <c r="G306">
        <f>PasteBBM!V306</f>
        <v>18</v>
      </c>
      <c r="H306">
        <f>PasteBBM!AC306*PasteBBM!AD306</f>
        <v>3.048510638</v>
      </c>
      <c r="I306">
        <f>PasteBBM!AC306</f>
        <v>0.4278547539</v>
      </c>
      <c r="J306">
        <f>PasteBBM!AE306*PasteBBM!AF306</f>
        <v>1.264468085</v>
      </c>
      <c r="K306">
        <f>PasteBBM!AE306</f>
        <v>0.7700181394</v>
      </c>
      <c r="L306">
        <f>PasteBBM!X306</f>
        <v>1.257021277</v>
      </c>
      <c r="M306">
        <f>PasteBBM!W306</f>
        <v>8.618510638</v>
      </c>
      <c r="N306">
        <f>PasteBBM!Y306</f>
        <v>2.85</v>
      </c>
      <c r="O306">
        <f>PasteBBM!Z306</f>
        <v>0.8625531915</v>
      </c>
      <c r="P306">
        <f>PasteBBM!AA306</f>
        <v>0.3836170213</v>
      </c>
      <c r="Q306">
        <f>PasteBBM!AB306</f>
        <v>0.3531914894</v>
      </c>
      <c r="R306">
        <f>PasteBBM!AG306</f>
        <v>1.013404255</v>
      </c>
      <c r="S306">
        <f>PasteBBM!AD306</f>
        <v>7.125106383</v>
      </c>
      <c r="T306">
        <f>PasteBBM!AF306</f>
        <v>1.64212766</v>
      </c>
    </row>
    <row r="307">
      <c r="A307" s="5">
        <v>306.0</v>
      </c>
      <c r="B307" t="str">
        <f t="array" ref="B307">INDEX(PasteHashtag!$B$2:$B1000,MATCH(C307,PasteHashtag!$C$2:$C1000,0))</f>
        <v/>
      </c>
      <c r="C307" t="str">
        <f>PasteBBM!J307</f>
        <v>Rob Dillingham</v>
      </c>
      <c r="D307" t="str">
        <f>IFERROR(REPLACE(PasteBBM!L307, FIND("/",PasteBBM!L307),1,","),PasteBBM!L307)</f>
        <v>G</v>
      </c>
      <c r="E307" t="str">
        <f>PasteBBM!K307</f>
        <v>MIN</v>
      </c>
      <c r="F307">
        <f>PasteBBM!T307</f>
        <v>73</v>
      </c>
      <c r="G307">
        <f>PasteBBM!V307</f>
        <v>16</v>
      </c>
      <c r="H307">
        <f>PasteBBM!AC307*PasteBBM!AD307</f>
        <v>2.482876712</v>
      </c>
      <c r="I307">
        <f>PasteBBM!AC307</f>
        <v>0.4086440907</v>
      </c>
      <c r="J307">
        <f>PasteBBM!AE307*PasteBBM!AF307</f>
        <v>0.8087671231</v>
      </c>
      <c r="K307">
        <f>PasteBBM!AE307</f>
        <v>0.7830238727</v>
      </c>
      <c r="L307">
        <f>PasteBBM!X307</f>
        <v>1.042054795</v>
      </c>
      <c r="M307">
        <f>PasteBBM!W307</f>
        <v>6.816575342</v>
      </c>
      <c r="N307">
        <f>PasteBBM!Y307</f>
        <v>1.47</v>
      </c>
      <c r="O307">
        <f>PasteBBM!Z307</f>
        <v>2.94</v>
      </c>
      <c r="P307">
        <f>PasteBBM!AA307</f>
        <v>0.5553424658</v>
      </c>
      <c r="Q307">
        <f>PasteBBM!AB307</f>
        <v>0.09794520548</v>
      </c>
      <c r="R307">
        <f>PasteBBM!AG307</f>
        <v>1.633287671</v>
      </c>
      <c r="S307">
        <f>PasteBBM!AD307</f>
        <v>6.075890411</v>
      </c>
      <c r="T307">
        <f>PasteBBM!AF307</f>
        <v>1.032876712</v>
      </c>
    </row>
    <row r="308">
      <c r="A308" s="5">
        <v>307.0</v>
      </c>
      <c r="B308" t="str">
        <f t="array" ref="B308">INDEX(PasteHashtag!$B$2:$B1000,MATCH(C308,PasteHashtag!$C$2:$C1000,0))</f>
        <v/>
      </c>
      <c r="C308" t="str">
        <f>PasteBBM!J308</f>
        <v>Kenrich Williams</v>
      </c>
      <c r="D308" t="str">
        <f>IFERROR(REPLACE(PasteBBM!L308, FIND("/",PasteBBM!L308),1,","),PasteBBM!L308)</f>
        <v>F</v>
      </c>
      <c r="E308" t="str">
        <f>PasteBBM!K308</f>
        <v>OKC</v>
      </c>
      <c r="F308">
        <f>PasteBBM!T308</f>
        <v>67</v>
      </c>
      <c r="G308">
        <f>PasteBBM!V308</f>
        <v>15</v>
      </c>
      <c r="H308">
        <f>PasteBBM!AC308*PasteBBM!AD308</f>
        <v>1.91477612</v>
      </c>
      <c r="I308">
        <f>PasteBBM!AC308</f>
        <v>0.4777492273</v>
      </c>
      <c r="J308">
        <f>PasteBBM!AE308*PasteBBM!AF308</f>
        <v>0.07925373136</v>
      </c>
      <c r="K308">
        <f>PasteBBM!AE308</f>
        <v>0.4944134078</v>
      </c>
      <c r="L308">
        <f>PasteBBM!X308</f>
        <v>0.7253731343</v>
      </c>
      <c r="M308">
        <f>PasteBBM!W308</f>
        <v>4.634179104</v>
      </c>
      <c r="N308">
        <f>PasteBBM!Y308</f>
        <v>3.156268657</v>
      </c>
      <c r="O308">
        <f>PasteBBM!Z308</f>
        <v>1.328656716</v>
      </c>
      <c r="P308">
        <f>PasteBBM!AA308</f>
        <v>0.5952238806</v>
      </c>
      <c r="Q308">
        <f>PasteBBM!AB308</f>
        <v>0.1268656716</v>
      </c>
      <c r="R308">
        <f>PasteBBM!AG308</f>
        <v>0.5680597015</v>
      </c>
      <c r="S308">
        <f>PasteBBM!AD308</f>
        <v>4.007910448</v>
      </c>
      <c r="T308">
        <f>PasteBBM!AF308</f>
        <v>0.1602985075</v>
      </c>
    </row>
    <row r="309">
      <c r="A309" s="5">
        <v>308.0</v>
      </c>
      <c r="B309" t="str">
        <f t="array" ref="B309">INDEX(PasteHashtag!$B$2:$B1000,MATCH(C309,PasteHashtag!$C$2:$C1000,0))</f>
        <v/>
      </c>
      <c r="C309" t="str">
        <f>PasteBBM!J309</f>
        <v>Monte Morris</v>
      </c>
      <c r="D309" t="str">
        <f>IFERROR(REPLACE(PasteBBM!L309, FIND("/",PasteBBM!L309),1,","),PasteBBM!L309)</f>
        <v>G</v>
      </c>
      <c r="E309" t="str">
        <f>PasteBBM!K309</f>
        <v>PHO</v>
      </c>
      <c r="F309">
        <f>PasteBBM!T309</f>
        <v>68</v>
      </c>
      <c r="G309">
        <f>PasteBBM!V309</f>
        <v>15</v>
      </c>
      <c r="H309">
        <f>PasteBBM!AC309*PasteBBM!AD309</f>
        <v>2.127941177</v>
      </c>
      <c r="I309">
        <f>PasteBBM!AC309</f>
        <v>0.4422101339</v>
      </c>
      <c r="J309">
        <f>PasteBBM!AE309*PasteBBM!AF309</f>
        <v>0.5364705882</v>
      </c>
      <c r="K309">
        <f>PasteBBM!AE309</f>
        <v>0.8349736782</v>
      </c>
      <c r="L309">
        <f>PasteBBM!X309</f>
        <v>0.9442647059</v>
      </c>
      <c r="M309">
        <f>PasteBBM!W309</f>
        <v>5.736617647</v>
      </c>
      <c r="N309">
        <f>PasteBBM!Y309</f>
        <v>1.718823529</v>
      </c>
      <c r="O309">
        <f>PasteBBM!Z309</f>
        <v>2.281323529</v>
      </c>
      <c r="P309">
        <f>PasteBBM!AA309</f>
        <v>0.4255882353</v>
      </c>
      <c r="Q309">
        <f>PasteBBM!AB309</f>
        <v>0.1905882353</v>
      </c>
      <c r="R309">
        <f>PasteBBM!AG309</f>
        <v>0.4061764706</v>
      </c>
      <c r="S309">
        <f>PasteBBM!AD309</f>
        <v>4.812058824</v>
      </c>
      <c r="T309">
        <f>PasteBBM!AF309</f>
        <v>0.6425</v>
      </c>
    </row>
    <row r="310">
      <c r="A310" s="5">
        <v>309.0</v>
      </c>
      <c r="B310" t="str">
        <f t="array" ref="B310">INDEX(PasteHashtag!$B$2:$B1000,MATCH(C310,PasteHashtag!$C$2:$C1000,0))</f>
        <v/>
      </c>
      <c r="C310" t="str">
        <f>PasteBBM!J310</f>
        <v>Isaiah Collier</v>
      </c>
      <c r="D310" t="str">
        <f>IFERROR(REPLACE(PasteBBM!L310, FIND("/",PasteBBM!L310),1,","),PasteBBM!L310)</f>
        <v>G</v>
      </c>
      <c r="E310" t="str">
        <f>PasteBBM!K310</f>
        <v>UTA</v>
      </c>
      <c r="F310">
        <f>PasteBBM!T310</f>
        <v>69</v>
      </c>
      <c r="G310">
        <f>PasteBBM!V310</f>
        <v>20</v>
      </c>
      <c r="H310">
        <f>PasteBBM!AC310*PasteBBM!AD310</f>
        <v>2.695507247</v>
      </c>
      <c r="I310">
        <f>PasteBBM!AC310</f>
        <v>0.4213924825</v>
      </c>
      <c r="J310">
        <f>PasteBBM!AE310*PasteBBM!AF310</f>
        <v>1.42057971</v>
      </c>
      <c r="K310">
        <f>PasteBBM!AE310</f>
        <v>0.6939960351</v>
      </c>
      <c r="L310">
        <f>PasteBBM!X310</f>
        <v>0.5008695652</v>
      </c>
      <c r="M310">
        <f>PasteBBM!W310</f>
        <v>7.312463768</v>
      </c>
      <c r="N310">
        <f>PasteBBM!Y310</f>
        <v>1.935797101</v>
      </c>
      <c r="O310">
        <f>PasteBBM!Z310</f>
        <v>2.777536232</v>
      </c>
      <c r="P310">
        <f>PasteBBM!AA310</f>
        <v>0.7575362319</v>
      </c>
      <c r="Q310">
        <f>PasteBBM!AB310</f>
        <v>0.1684057971</v>
      </c>
      <c r="R310">
        <f>PasteBBM!AG310</f>
        <v>1.935797101</v>
      </c>
      <c r="S310">
        <f>PasteBBM!AD310</f>
        <v>6.396666667</v>
      </c>
      <c r="T310">
        <f>PasteBBM!AF310</f>
        <v>2.046956522</v>
      </c>
    </row>
    <row r="311">
      <c r="A311" s="5">
        <v>310.0</v>
      </c>
      <c r="B311" t="str">
        <f t="array" ref="B311">INDEX(PasteHashtag!$B$2:$B1000,MATCH(C311,PasteHashtag!$C$2:$C1000,0))</f>
        <v>#N/A</v>
      </c>
      <c r="C311" t="str">
        <f>PasteBBM!J311</f>
        <v>Talen Horton-Tucker</v>
      </c>
      <c r="D311" t="str">
        <f>IFERROR(REPLACE(PasteBBM!L311, FIND("/",PasteBBM!L311),1,","),PasteBBM!L311)</f>
        <v>G</v>
      </c>
      <c r="E311" t="str">
        <f>PasteBBM!K311</f>
        <v>CHI</v>
      </c>
      <c r="F311">
        <f>PasteBBM!T311</f>
        <v>50</v>
      </c>
      <c r="G311">
        <f>PasteBBM!V311</f>
        <v>14</v>
      </c>
      <c r="H311">
        <f>PasteBBM!AC311*PasteBBM!AD311</f>
        <v>2.4676</v>
      </c>
      <c r="I311">
        <f>PasteBBM!AC311</f>
        <v>0.4015622457</v>
      </c>
      <c r="J311">
        <f>PasteBBM!AE311*PasteBBM!AF311</f>
        <v>1.203</v>
      </c>
      <c r="K311">
        <f>PasteBBM!AE311</f>
        <v>0.782999219</v>
      </c>
      <c r="L311">
        <f>PasteBBM!X311</f>
        <v>0.6934</v>
      </c>
      <c r="M311">
        <f>PasteBBM!W311</f>
        <v>6.8316</v>
      </c>
      <c r="N311">
        <f>PasteBBM!Y311</f>
        <v>1.7722</v>
      </c>
      <c r="O311">
        <f>PasteBBM!Z311</f>
        <v>2.4296</v>
      </c>
      <c r="P311">
        <f>PasteBBM!AA311</f>
        <v>0.5716</v>
      </c>
      <c r="Q311">
        <f>PasteBBM!AB311</f>
        <v>0.2572</v>
      </c>
      <c r="R311">
        <f>PasteBBM!AG311</f>
        <v>0.9718</v>
      </c>
      <c r="S311">
        <f>PasteBBM!AD311</f>
        <v>6.145</v>
      </c>
      <c r="T311">
        <f>PasteBBM!AF311</f>
        <v>1.5364</v>
      </c>
    </row>
    <row r="312">
      <c r="A312" s="5">
        <v>311.0</v>
      </c>
      <c r="B312" t="str">
        <f t="array" ref="B312">INDEX(PasteHashtag!$B$2:$B1000,MATCH(C312,PasteHashtag!$C$2:$C1000,0))</f>
        <v/>
      </c>
      <c r="C312" t="str">
        <f>PasteBBM!J312</f>
        <v>Bol Bol</v>
      </c>
      <c r="D312" t="str">
        <f>IFERROR(REPLACE(PasteBBM!L312, FIND("/",PasteBBM!L312),1,","),PasteBBM!L312)</f>
        <v>F</v>
      </c>
      <c r="E312" t="str">
        <f>PasteBBM!K312</f>
        <v>PHO</v>
      </c>
      <c r="F312">
        <f>PasteBBM!T312</f>
        <v>68</v>
      </c>
      <c r="G312">
        <f>PasteBBM!V312</f>
        <v>12</v>
      </c>
      <c r="H312">
        <f>PasteBBM!AC312*PasteBBM!AD312</f>
        <v>2.255882353</v>
      </c>
      <c r="I312">
        <f>PasteBBM!AC312</f>
        <v>0.5370584322</v>
      </c>
      <c r="J312">
        <f>PasteBBM!AE312*PasteBBM!AF312</f>
        <v>0.3233823529</v>
      </c>
      <c r="K312">
        <f>PasteBBM!AE312</f>
        <v>0.7699579832</v>
      </c>
      <c r="L312">
        <f>PasteBBM!X312</f>
        <v>0.5380882353</v>
      </c>
      <c r="M312">
        <f>PasteBBM!W312</f>
        <v>5.373235294</v>
      </c>
      <c r="N312">
        <f>PasteBBM!Y312</f>
        <v>3.375</v>
      </c>
      <c r="O312">
        <f>PasteBBM!Z312</f>
        <v>0.45</v>
      </c>
      <c r="P312">
        <f>PasteBBM!AA312</f>
        <v>0.2455882353</v>
      </c>
      <c r="Q312">
        <f>PasteBBM!AB312</f>
        <v>0.55</v>
      </c>
      <c r="R312">
        <f>PasteBBM!AG312</f>
        <v>0.5</v>
      </c>
      <c r="S312">
        <f>PasteBBM!AD312</f>
        <v>4.200441176</v>
      </c>
      <c r="T312">
        <f>PasteBBM!AF312</f>
        <v>0.42</v>
      </c>
    </row>
    <row r="313">
      <c r="A313" s="5">
        <v>312.0</v>
      </c>
      <c r="B313" t="str">
        <f t="array" ref="B313">INDEX(PasteHashtag!$B$2:$B1000,MATCH(C313,PasteHashtag!$C$2:$C1000,0))</f>
        <v/>
      </c>
      <c r="C313" t="str">
        <f>PasteBBM!J313</f>
        <v>Moses Moody</v>
      </c>
      <c r="D313" t="str">
        <f>IFERROR(REPLACE(PasteBBM!L313, FIND("/",PasteBBM!L313),1,","),PasteBBM!L313)</f>
        <v>G</v>
      </c>
      <c r="E313" t="str">
        <f>PasteBBM!K313</f>
        <v>GSW</v>
      </c>
      <c r="F313">
        <f>PasteBBM!T313</f>
        <v>68</v>
      </c>
      <c r="G313">
        <f>PasteBBM!V313</f>
        <v>15</v>
      </c>
      <c r="H313">
        <f>PasteBBM!AC313*PasteBBM!AD313</f>
        <v>2.685588236</v>
      </c>
      <c r="I313">
        <f>PasteBBM!AC313</f>
        <v>0.4620133074</v>
      </c>
      <c r="J313">
        <f>PasteBBM!AE313*PasteBBM!AF313</f>
        <v>0.981470588</v>
      </c>
      <c r="K313">
        <f>PasteBBM!AE313</f>
        <v>0.7729905027</v>
      </c>
      <c r="L313">
        <f>PasteBBM!X313</f>
        <v>1.025294118</v>
      </c>
      <c r="M313">
        <f>PasteBBM!W313</f>
        <v>7.377941176</v>
      </c>
      <c r="N313">
        <f>PasteBBM!Y313</f>
        <v>2.343823529</v>
      </c>
      <c r="O313">
        <f>PasteBBM!Z313</f>
        <v>0.7105882353</v>
      </c>
      <c r="P313">
        <f>PasteBBM!AA313</f>
        <v>0.4375</v>
      </c>
      <c r="Q313">
        <f>PasteBBM!AB313</f>
        <v>0.2186764706</v>
      </c>
      <c r="R313">
        <f>PasteBBM!AG313</f>
        <v>0.5636764706</v>
      </c>
      <c r="S313">
        <f>PasteBBM!AD313</f>
        <v>5.812794118</v>
      </c>
      <c r="T313">
        <f>PasteBBM!AF313</f>
        <v>1.269705882</v>
      </c>
    </row>
    <row r="314">
      <c r="A314" s="5">
        <v>313.0</v>
      </c>
      <c r="B314" t="str">
        <f t="array" ref="B314">INDEX(PasteHashtag!$B$2:$B1000,MATCH(C314,PasteHashtag!$C$2:$C1000,0))</f>
        <v/>
      </c>
      <c r="C314" t="str">
        <f>PasteBBM!J314</f>
        <v>Dalen Terry</v>
      </c>
      <c r="D314" t="str">
        <f>IFERROR(REPLACE(PasteBBM!L314, FIND("/",PasteBBM!L314),1,","),PasteBBM!L314)</f>
        <v>G</v>
      </c>
      <c r="E314" t="str">
        <f>PasteBBM!K314</f>
        <v>CHI</v>
      </c>
      <c r="F314">
        <f>PasteBBM!T314</f>
        <v>68</v>
      </c>
      <c r="G314">
        <f>PasteBBM!V314</f>
        <v>15</v>
      </c>
      <c r="H314">
        <f>PasteBBM!AC314*PasteBBM!AD314</f>
        <v>1.635147059</v>
      </c>
      <c r="I314">
        <f>PasteBBM!AC314</f>
        <v>0.4562764168</v>
      </c>
      <c r="J314">
        <f>PasteBBM!AE314*PasteBBM!AF314</f>
        <v>0.4769117647</v>
      </c>
      <c r="K314">
        <f>PasteBBM!AE314</f>
        <v>0.6050373134</v>
      </c>
      <c r="L314">
        <f>PasteBBM!X314</f>
        <v>0.3241176471</v>
      </c>
      <c r="M314">
        <f>PasteBBM!W314</f>
        <v>4.071323529</v>
      </c>
      <c r="N314">
        <f>PasteBBM!Y314</f>
        <v>2.388823529</v>
      </c>
      <c r="O314">
        <f>PasteBBM!Z314</f>
        <v>1.912647059</v>
      </c>
      <c r="P314">
        <f>PasteBBM!AA314</f>
        <v>0.6679411765</v>
      </c>
      <c r="Q314">
        <f>PasteBBM!AB314</f>
        <v>0.3897058824</v>
      </c>
      <c r="R314">
        <f>PasteBBM!AG314</f>
        <v>0.6616176471</v>
      </c>
      <c r="S314">
        <f>PasteBBM!AD314</f>
        <v>3.583676471</v>
      </c>
      <c r="T314">
        <f>PasteBBM!AF314</f>
        <v>0.7882352941</v>
      </c>
    </row>
    <row r="315">
      <c r="A315" s="5">
        <v>314.0</v>
      </c>
      <c r="B315" t="str">
        <f t="array" ref="B315">INDEX(PasteHashtag!$B$2:$B1000,MATCH(C315,PasteHashtag!$C$2:$C1000,0))</f>
        <v/>
      </c>
      <c r="C315" t="str">
        <f>PasteBBM!J315</f>
        <v>Bones Hyland</v>
      </c>
      <c r="D315" t="str">
        <f>IFERROR(REPLACE(PasteBBM!L315, FIND("/",PasteBBM!L315),1,","),PasteBBM!L315)</f>
        <v>G</v>
      </c>
      <c r="E315" t="str">
        <f>PasteBBM!K315</f>
        <v>LAC</v>
      </c>
      <c r="F315">
        <f>PasteBBM!T315</f>
        <v>44</v>
      </c>
      <c r="G315">
        <f>PasteBBM!V315</f>
        <v>13</v>
      </c>
      <c r="H315">
        <f>PasteBBM!AC315*PasteBBM!AD315</f>
        <v>2.499090909</v>
      </c>
      <c r="I315">
        <f>PasteBBM!AC315</f>
        <v>0.3939241957</v>
      </c>
      <c r="J315">
        <f>PasteBBM!AE315*PasteBBM!AF315</f>
        <v>0.7479545455</v>
      </c>
      <c r="K315">
        <f>PasteBBM!AE315</f>
        <v>0.8421187308</v>
      </c>
      <c r="L315">
        <f>PasteBBM!X315</f>
        <v>1.203409091</v>
      </c>
      <c r="M315">
        <f>PasteBBM!W315</f>
        <v>6.949545455</v>
      </c>
      <c r="N315">
        <f>PasteBBM!Y315</f>
        <v>1.619090909</v>
      </c>
      <c r="O315">
        <f>PasteBBM!Z315</f>
        <v>1.964318182</v>
      </c>
      <c r="P315">
        <f>PasteBBM!AA315</f>
        <v>0.4777272727</v>
      </c>
      <c r="Q315">
        <f>PasteBBM!AB315</f>
        <v>0.1345454545</v>
      </c>
      <c r="R315">
        <f>PasteBBM!AG315</f>
        <v>0.9663636364</v>
      </c>
      <c r="S315">
        <f>PasteBBM!AD315</f>
        <v>6.344090909</v>
      </c>
      <c r="T315">
        <f>PasteBBM!AF315</f>
        <v>0.8881818182</v>
      </c>
    </row>
    <row r="316">
      <c r="A316" s="5">
        <v>315.0</v>
      </c>
      <c r="B316" t="str">
        <f t="array" ref="B316">INDEX(PasteHashtag!$B$2:$B1000,MATCH(C316,PasteHashtag!$C$2:$C1000,0))</f>
        <v/>
      </c>
      <c r="C316" t="str">
        <f>PasteBBM!J316</f>
        <v>Alex Len</v>
      </c>
      <c r="D316" t="str">
        <f>IFERROR(REPLACE(PasteBBM!L316, FIND("/",PasteBBM!L316),1,","),PasteBBM!L316)</f>
        <v>C</v>
      </c>
      <c r="E316" t="str">
        <f>PasteBBM!K316</f>
        <v>SAC</v>
      </c>
      <c r="F316">
        <f>PasteBBM!T316</f>
        <v>73</v>
      </c>
      <c r="G316">
        <f>PasteBBM!V316</f>
        <v>13</v>
      </c>
      <c r="H316">
        <f>PasteBBM!AC316*PasteBBM!AD316</f>
        <v>1.433561644</v>
      </c>
      <c r="I316">
        <f>PasteBBM!AC316</f>
        <v>0.6025102194</v>
      </c>
      <c r="J316">
        <f>PasteBBM!AE316*PasteBBM!AF316</f>
        <v>0.5809589041</v>
      </c>
      <c r="K316">
        <f>PasteBBM!AE316</f>
        <v>0.6290418274</v>
      </c>
      <c r="L316">
        <f>PasteBBM!X316</f>
        <v>0.03219178082</v>
      </c>
      <c r="M316">
        <f>PasteBBM!W316</f>
        <v>3.480273973</v>
      </c>
      <c r="N316">
        <f>PasteBBM!Y316</f>
        <v>3.556027397</v>
      </c>
      <c r="O316">
        <f>PasteBBM!Z316</f>
        <v>1.003561644</v>
      </c>
      <c r="P316">
        <f>PasteBBM!AA316</f>
        <v>0.3</v>
      </c>
      <c r="Q316">
        <f>PasteBBM!AB316</f>
        <v>0.8753424658</v>
      </c>
      <c r="R316">
        <f>PasteBBM!AG316</f>
        <v>0.7112328767</v>
      </c>
      <c r="S316">
        <f>PasteBBM!AD316</f>
        <v>2.379315068</v>
      </c>
      <c r="T316">
        <f>PasteBBM!AF316</f>
        <v>0.9235616438</v>
      </c>
    </row>
    <row r="317">
      <c r="A317" s="5">
        <v>316.0</v>
      </c>
      <c r="B317" t="str">
        <f t="array" ref="B317">INDEX(PasteHashtag!$B$2:$B1000,MATCH(C317,PasteHashtag!$C$2:$C1000,0))</f>
        <v/>
      </c>
      <c r="C317" t="str">
        <f>PasteBBM!J317</f>
        <v>Amir Coffey</v>
      </c>
      <c r="D317" t="str">
        <f>IFERROR(REPLACE(PasteBBM!L317, FIND("/",PasteBBM!L317),1,","),PasteBBM!L317)</f>
        <v>G</v>
      </c>
      <c r="E317" t="str">
        <f>PasteBBM!K317</f>
        <v>LAC</v>
      </c>
      <c r="F317">
        <f>PasteBBM!T317</f>
        <v>73</v>
      </c>
      <c r="G317">
        <f>PasteBBM!V317</f>
        <v>18</v>
      </c>
      <c r="H317">
        <f>PasteBBM!AC317*PasteBBM!AD317</f>
        <v>2.151780822</v>
      </c>
      <c r="I317">
        <f>PasteBBM!AC317</f>
        <v>0.4538966105</v>
      </c>
      <c r="J317">
        <f>PasteBBM!AE317*PasteBBM!AF317</f>
        <v>0.6769863014</v>
      </c>
      <c r="K317">
        <f>PasteBBM!AE317</f>
        <v>0.8400475948</v>
      </c>
      <c r="L317">
        <f>PasteBBM!X317</f>
        <v>0.8897260274</v>
      </c>
      <c r="M317">
        <f>PasteBBM!W317</f>
        <v>5.870273973</v>
      </c>
      <c r="N317">
        <f>PasteBBM!Y317</f>
        <v>1.800684932</v>
      </c>
      <c r="O317">
        <f>PasteBBM!Z317</f>
        <v>1.102465753</v>
      </c>
      <c r="P317">
        <f>PasteBBM!AA317</f>
        <v>0.5006849315</v>
      </c>
      <c r="Q317">
        <f>PasteBBM!AB317</f>
        <v>0.1868493151</v>
      </c>
      <c r="R317">
        <f>PasteBBM!AG317</f>
        <v>0.5145205479</v>
      </c>
      <c r="S317">
        <f>PasteBBM!AD317</f>
        <v>4.740684932</v>
      </c>
      <c r="T317">
        <f>PasteBBM!AF317</f>
        <v>0.805890411</v>
      </c>
    </row>
    <row r="318">
      <c r="A318" s="5">
        <v>317.0</v>
      </c>
      <c r="B318" t="str">
        <f t="array" ref="B318">INDEX(PasteHashtag!$B$2:$B1000,MATCH(C318,PasteHashtag!$C$2:$C1000,0))</f>
        <v/>
      </c>
      <c r="C318" t="str">
        <f>PasteBBM!J318</f>
        <v>Richaun Holmes</v>
      </c>
      <c r="D318" t="str">
        <f>IFERROR(REPLACE(PasteBBM!L318, FIND("/",PasteBBM!L318),1,","),PasteBBM!L318)</f>
        <v>F,C</v>
      </c>
      <c r="E318" t="str">
        <f>PasteBBM!K318</f>
        <v>WAS</v>
      </c>
      <c r="F318">
        <f>PasteBBM!T318</f>
        <v>44</v>
      </c>
      <c r="G318">
        <f>PasteBBM!V318</f>
        <v>13</v>
      </c>
      <c r="H318">
        <f>PasteBBM!AC318*PasteBBM!AD318</f>
        <v>1.828863636</v>
      </c>
      <c r="I318">
        <f>PasteBBM!AC318</f>
        <v>0.5745394831</v>
      </c>
      <c r="J318">
        <f>PasteBBM!AE318*PasteBBM!AF318</f>
        <v>0.6979545455</v>
      </c>
      <c r="K318">
        <f>PasteBBM!AE318</f>
        <v>0.7580844236</v>
      </c>
      <c r="L318">
        <f>PasteBBM!X318</f>
        <v>0.03295454545</v>
      </c>
      <c r="M318">
        <f>PasteBBM!W318</f>
        <v>4.388636364</v>
      </c>
      <c r="N318">
        <f>PasteBBM!Y318</f>
        <v>3.943409091</v>
      </c>
      <c r="O318">
        <f>PasteBBM!Z318</f>
        <v>0.5611363636</v>
      </c>
      <c r="P318">
        <f>PasteBBM!AA318</f>
        <v>0.3379545455</v>
      </c>
      <c r="Q318">
        <f>PasteBBM!AB318</f>
        <v>0.5075</v>
      </c>
      <c r="R318">
        <f>PasteBBM!AG318</f>
        <v>0.5634090909</v>
      </c>
      <c r="S318">
        <f>PasteBBM!AD318</f>
        <v>3.183181818</v>
      </c>
      <c r="T318">
        <f>PasteBBM!AF318</f>
        <v>0.9206818182</v>
      </c>
    </row>
    <row r="319">
      <c r="A319" s="5">
        <v>318.0</v>
      </c>
      <c r="B319" t="str">
        <f t="array" ref="B319">INDEX(PasteHashtag!$B$2:$B1000,MATCH(C319,PasteHashtag!$C$2:$C1000,0))</f>
        <v/>
      </c>
      <c r="C319" t="str">
        <f>PasteBBM!J319</f>
        <v>Reggie Jackson</v>
      </c>
      <c r="D319" t="str">
        <f>IFERROR(REPLACE(PasteBBM!L319, FIND("/",PasteBBM!L319),1,","),PasteBBM!L319)</f>
        <v>G</v>
      </c>
      <c r="E319" t="str">
        <f>PasteBBM!K319</f>
        <v>PHI</v>
      </c>
      <c r="F319">
        <f>PasteBBM!T319</f>
        <v>73</v>
      </c>
      <c r="G319">
        <f>PasteBBM!V319</f>
        <v>18</v>
      </c>
      <c r="H319">
        <f>PasteBBM!AC319*PasteBBM!AD319</f>
        <v>2.484931507</v>
      </c>
      <c r="I319">
        <f>PasteBBM!AC319</f>
        <v>0.4001323481</v>
      </c>
      <c r="J319">
        <f>PasteBBM!AE319*PasteBBM!AF319</f>
        <v>0.6320547945</v>
      </c>
      <c r="K319">
        <f>PasteBBM!AE319</f>
        <v>0.8669673055</v>
      </c>
      <c r="L319">
        <f>PasteBBM!X319</f>
        <v>0.9132876712</v>
      </c>
      <c r="M319">
        <f>PasteBBM!W319</f>
        <v>6.515205479</v>
      </c>
      <c r="N319">
        <f>PasteBBM!Y319</f>
        <v>1.837534247</v>
      </c>
      <c r="O319">
        <f>PasteBBM!Z319</f>
        <v>2.646027397</v>
      </c>
      <c r="P319">
        <f>PasteBBM!AA319</f>
        <v>0.4353424658</v>
      </c>
      <c r="Q319">
        <f>PasteBBM!AB319</f>
        <v>0.1110958904</v>
      </c>
      <c r="R319">
        <f>PasteBBM!AG319</f>
        <v>0.9921917808</v>
      </c>
      <c r="S319">
        <f>PasteBBM!AD319</f>
        <v>6.210273973</v>
      </c>
      <c r="T319">
        <f>PasteBBM!AF319</f>
        <v>0.7290410959</v>
      </c>
    </row>
    <row r="320">
      <c r="A320" s="5">
        <v>319.0</v>
      </c>
      <c r="B320" t="str">
        <f t="array" ref="B320">INDEX(PasteHashtag!$B$2:$B1000,MATCH(C320,PasteHashtag!$C$2:$C1000,0))</f>
        <v/>
      </c>
      <c r="C320" t="str">
        <f>PasteBBM!J320</f>
        <v>Vlatko Cancar</v>
      </c>
      <c r="D320" t="str">
        <f>IFERROR(REPLACE(PasteBBM!L320, FIND("/",PasteBBM!L320),1,","),PasteBBM!L320)</f>
        <v>F</v>
      </c>
      <c r="E320" t="str">
        <f>PasteBBM!K320</f>
        <v>DEN</v>
      </c>
      <c r="F320">
        <f>PasteBBM!T320</f>
        <v>61</v>
      </c>
      <c r="G320">
        <f>PasteBBM!V320</f>
        <v>17</v>
      </c>
      <c r="H320">
        <f>PasteBBM!AC320*PasteBBM!AD320</f>
        <v>1.931803279</v>
      </c>
      <c r="I320">
        <f>PasteBBM!AC320</f>
        <v>0.4716996237</v>
      </c>
      <c r="J320">
        <f>PasteBBM!AE320*PasteBBM!AF320</f>
        <v>0.5639344262</v>
      </c>
      <c r="K320">
        <f>PasteBBM!AE320</f>
        <v>0.8099835178</v>
      </c>
      <c r="L320">
        <f>PasteBBM!X320</f>
        <v>0.6795081967</v>
      </c>
      <c r="M320">
        <f>PasteBBM!W320</f>
        <v>5.10704918</v>
      </c>
      <c r="N320">
        <f>PasteBBM!Y320</f>
        <v>2.568360656</v>
      </c>
      <c r="O320">
        <f>PasteBBM!Z320</f>
        <v>1.180163934</v>
      </c>
      <c r="P320">
        <f>PasteBBM!AA320</f>
        <v>0.4321311475</v>
      </c>
      <c r="Q320">
        <f>PasteBBM!AB320</f>
        <v>0.2378688525</v>
      </c>
      <c r="R320">
        <f>PasteBBM!AG320</f>
        <v>0.6940983607</v>
      </c>
      <c r="S320">
        <f>PasteBBM!AD320</f>
        <v>4.095409836</v>
      </c>
      <c r="T320">
        <f>PasteBBM!AF320</f>
        <v>0.6962295082</v>
      </c>
    </row>
    <row r="321">
      <c r="A321" s="5">
        <v>320.0</v>
      </c>
      <c r="B321" t="str">
        <f t="array" ref="B321">INDEX(PasteHashtag!$B$2:$B1000,MATCH(C321,PasteHashtag!$C$2:$C1000,0))</f>
        <v/>
      </c>
      <c r="C321" t="str">
        <f>PasteBBM!J321</f>
        <v>Gabe Vincent</v>
      </c>
      <c r="D321" t="str">
        <f>IFERROR(REPLACE(PasteBBM!L321, FIND("/",PasteBBM!L321),1,","),PasteBBM!L321)</f>
        <v>G</v>
      </c>
      <c r="E321" t="str">
        <f>PasteBBM!K321</f>
        <v>LAL</v>
      </c>
      <c r="F321">
        <f>PasteBBM!T321</f>
        <v>68</v>
      </c>
      <c r="G321">
        <f>PasteBBM!V321</f>
        <v>16</v>
      </c>
      <c r="H321">
        <f>PasteBBM!AC321*PasteBBM!AD321</f>
        <v>2.068529412</v>
      </c>
      <c r="I321">
        <f>PasteBBM!AC321</f>
        <v>0.4110942249</v>
      </c>
      <c r="J321">
        <f>PasteBBM!AE321*PasteBBM!AF321</f>
        <v>0.3872058824</v>
      </c>
      <c r="K321">
        <f>PasteBBM!AE321</f>
        <v>0.8548701299</v>
      </c>
      <c r="L321">
        <f>PasteBBM!X321</f>
        <v>1.019117647</v>
      </c>
      <c r="M321">
        <f>PasteBBM!W321</f>
        <v>5.543382353</v>
      </c>
      <c r="N321">
        <f>PasteBBM!Y321</f>
        <v>1.156029412</v>
      </c>
      <c r="O321">
        <f>PasteBBM!Z321</f>
        <v>2.04</v>
      </c>
      <c r="P321">
        <f>PasteBBM!AA321</f>
        <v>0.6075</v>
      </c>
      <c r="Q321">
        <f>PasteBBM!AB321</f>
        <v>0.03411764706</v>
      </c>
      <c r="R321">
        <f>PasteBBM!AG321</f>
        <v>0.8839705882</v>
      </c>
      <c r="S321">
        <f>PasteBBM!AD321</f>
        <v>5.031764706</v>
      </c>
      <c r="T321">
        <f>PasteBBM!AF321</f>
        <v>0.4529411765</v>
      </c>
    </row>
    <row r="322">
      <c r="A322" s="5">
        <v>321.0</v>
      </c>
      <c r="B322" t="str">
        <f t="array" ref="B322">INDEX(PasteHashtag!$B$2:$B1000,MATCH(C322,PasteHashtag!$C$2:$C1000,0))</f>
        <v>#N/A</v>
      </c>
      <c r="C322" t="str">
        <f>PasteBBM!J322</f>
        <v>Jett Howard</v>
      </c>
      <c r="D322" t="str">
        <f>IFERROR(REPLACE(PasteBBM!L322, FIND("/",PasteBBM!L322),1,","),PasteBBM!L322)</f>
        <v>F</v>
      </c>
      <c r="E322" t="str">
        <f>PasteBBM!K322</f>
        <v>ORL</v>
      </c>
      <c r="F322">
        <f>PasteBBM!T322</f>
        <v>73</v>
      </c>
      <c r="G322">
        <f>PasteBBM!V322</f>
        <v>16</v>
      </c>
      <c r="H322">
        <f>PasteBBM!AC322*PasteBBM!AD322</f>
        <v>2.423150685</v>
      </c>
      <c r="I322">
        <f>PasteBBM!AC322</f>
        <v>0.3986073867</v>
      </c>
      <c r="J322">
        <f>PasteBBM!AE322*PasteBBM!AF322</f>
        <v>0.6579452055</v>
      </c>
      <c r="K322">
        <f>PasteBBM!AE322</f>
        <v>0.7780657703</v>
      </c>
      <c r="L322">
        <f>PasteBBM!X322</f>
        <v>1.664383562</v>
      </c>
      <c r="M322">
        <f>PasteBBM!W322</f>
        <v>7.168630137</v>
      </c>
      <c r="N322">
        <f>PasteBBM!Y322</f>
        <v>1.71369863</v>
      </c>
      <c r="O322">
        <f>PasteBBM!Z322</f>
        <v>1.325616438</v>
      </c>
      <c r="P322">
        <f>PasteBBM!AA322</f>
        <v>0.3082191781</v>
      </c>
      <c r="Q322">
        <f>PasteBBM!AB322</f>
        <v>0.3232876712</v>
      </c>
      <c r="R322">
        <f>PasteBBM!AG322</f>
        <v>0.6467123288</v>
      </c>
      <c r="S322">
        <f>PasteBBM!AD322</f>
        <v>6.079041096</v>
      </c>
      <c r="T322">
        <f>PasteBBM!AF322</f>
        <v>0.8456164384</v>
      </c>
    </row>
    <row r="323">
      <c r="A323" s="5">
        <v>322.0</v>
      </c>
      <c r="B323" t="str">
        <f t="array" ref="B323">INDEX(PasteHashtag!$B$2:$B1000,MATCH(C323,PasteHashtag!$C$2:$C1000,0))</f>
        <v>#N/A</v>
      </c>
      <c r="C323" t="str">
        <f>PasteBBM!J323</f>
        <v>Tyler Kolek</v>
      </c>
      <c r="D323" t="str">
        <f>IFERROR(REPLACE(PasteBBM!L323, FIND("/",PasteBBM!L323),1,","),PasteBBM!L323)</f>
        <v>G</v>
      </c>
      <c r="E323" t="str">
        <f>PasteBBM!K323</f>
        <v>NYK</v>
      </c>
      <c r="F323">
        <f>PasteBBM!T323</f>
        <v>73</v>
      </c>
      <c r="G323">
        <f>PasteBBM!V323</f>
        <v>15</v>
      </c>
      <c r="H323">
        <f>PasteBBM!AC323*PasteBBM!AD323</f>
        <v>1.861917808</v>
      </c>
      <c r="I323">
        <f>PasteBBM!AC323</f>
        <v>0.3879327568</v>
      </c>
      <c r="J323">
        <f>PasteBBM!AE323*PasteBBM!AF323</f>
        <v>0.6173972603</v>
      </c>
      <c r="K323">
        <f>PasteBBM!AE323</f>
        <v>0.8039600428</v>
      </c>
      <c r="L323">
        <f>PasteBBM!X323</f>
        <v>0.8401369863</v>
      </c>
      <c r="M323">
        <f>PasteBBM!W323</f>
        <v>5.181369863</v>
      </c>
      <c r="N323">
        <f>PasteBBM!Y323</f>
        <v>1.77</v>
      </c>
      <c r="O323">
        <f>PasteBBM!Z323</f>
        <v>2.7</v>
      </c>
      <c r="P323">
        <f>PasteBBM!AA323</f>
        <v>0.54</v>
      </c>
      <c r="Q323">
        <f>PasteBBM!AB323</f>
        <v>0.09</v>
      </c>
      <c r="R323">
        <f>PasteBBM!AG323</f>
        <v>1.08</v>
      </c>
      <c r="S323">
        <f>PasteBBM!AD323</f>
        <v>4.799589041</v>
      </c>
      <c r="T323">
        <f>PasteBBM!AF323</f>
        <v>0.7679452055</v>
      </c>
    </row>
    <row r="324">
      <c r="A324" s="5">
        <v>323.0</v>
      </c>
      <c r="B324" t="str">
        <f t="array" ref="B324">INDEX(PasteHashtag!$B$2:$B1000,MATCH(C324,PasteHashtag!$C$2:$C1000,0))</f>
        <v/>
      </c>
      <c r="C324" t="str">
        <f>PasteBBM!J324</f>
        <v>Devin Carter</v>
      </c>
      <c r="D324" t="str">
        <f>IFERROR(REPLACE(PasteBBM!L324, FIND("/",PasteBBM!L324),1,","),PasteBBM!L324)</f>
        <v>G</v>
      </c>
      <c r="E324" t="str">
        <f>PasteBBM!K324</f>
        <v>SAC</v>
      </c>
      <c r="F324">
        <f>PasteBBM!T324</f>
        <v>37</v>
      </c>
      <c r="G324">
        <f>PasteBBM!V324</f>
        <v>15</v>
      </c>
      <c r="H324">
        <f>PasteBBM!AC324*PasteBBM!AD324</f>
        <v>2.101891892</v>
      </c>
      <c r="I324">
        <f>PasteBBM!AC324</f>
        <v>0.411176906</v>
      </c>
      <c r="J324">
        <f>PasteBBM!AE324*PasteBBM!AF324</f>
        <v>0.8897297295</v>
      </c>
      <c r="K324">
        <f>PasteBBM!AE324</f>
        <v>0.7249504514</v>
      </c>
      <c r="L324">
        <f>PasteBBM!X324</f>
        <v>0.7205405405</v>
      </c>
      <c r="M324">
        <f>PasteBBM!W324</f>
        <v>5.814054054</v>
      </c>
      <c r="N324">
        <f>PasteBBM!Y324</f>
        <v>2.714324324</v>
      </c>
      <c r="O324">
        <f>PasteBBM!Z324</f>
        <v>1.388648649</v>
      </c>
      <c r="P324">
        <f>PasteBBM!AA324</f>
        <v>0.5681081081</v>
      </c>
      <c r="Q324">
        <f>PasteBBM!AB324</f>
        <v>0.2840540541</v>
      </c>
      <c r="R324">
        <f>PasteBBM!AG324</f>
        <v>1.073243243</v>
      </c>
      <c r="S324">
        <f>PasteBBM!AD324</f>
        <v>5.111891892</v>
      </c>
      <c r="T324">
        <f>PasteBBM!AF324</f>
        <v>1.227297297</v>
      </c>
    </row>
    <row r="325">
      <c r="A325" s="5">
        <v>324.0</v>
      </c>
      <c r="B325" t="str">
        <f t="array" ref="B325">INDEX(PasteHashtag!$B$2:$B1000,MATCH(C325,PasteHashtag!$C$2:$C1000,0))</f>
        <v/>
      </c>
      <c r="C325" t="str">
        <f>PasteBBM!J325</f>
        <v>Johnny Furphy</v>
      </c>
      <c r="D325" t="str">
        <f>IFERROR(REPLACE(PasteBBM!L325, FIND("/",PasteBBM!L325),1,","),PasteBBM!L325)</f>
        <v>G</v>
      </c>
      <c r="E325" t="str">
        <f>PasteBBM!K325</f>
        <v>IND</v>
      </c>
      <c r="F325">
        <f>PasteBBM!T325</f>
        <v>47</v>
      </c>
      <c r="G325">
        <f>PasteBBM!V325</f>
        <v>16</v>
      </c>
      <c r="H325">
        <f>PasteBBM!AC325*PasteBBM!AD325</f>
        <v>1.985106383</v>
      </c>
      <c r="I325">
        <f>PasteBBM!AC325</f>
        <v>0.4100738397</v>
      </c>
      <c r="J325">
        <f>PasteBBM!AE325*PasteBBM!AF325</f>
        <v>0.5831914893</v>
      </c>
      <c r="K325">
        <f>PasteBBM!AE325</f>
        <v>0.753021978</v>
      </c>
      <c r="L325">
        <f>PasteBBM!X325</f>
        <v>1.071914894</v>
      </c>
      <c r="M325">
        <f>PasteBBM!W325</f>
        <v>5.625319149</v>
      </c>
      <c r="N325">
        <f>PasteBBM!Y325</f>
        <v>2.746595745</v>
      </c>
      <c r="O325">
        <f>PasteBBM!Z325</f>
        <v>0.7210638298</v>
      </c>
      <c r="P325">
        <f>PasteBBM!AA325</f>
        <v>0.514893617</v>
      </c>
      <c r="Q325">
        <f>PasteBBM!AB325</f>
        <v>0.2059574468</v>
      </c>
      <c r="R325">
        <f>PasteBBM!AG325</f>
        <v>0.6865957447</v>
      </c>
      <c r="S325">
        <f>PasteBBM!AD325</f>
        <v>4.840851064</v>
      </c>
      <c r="T325">
        <f>PasteBBM!AF325</f>
        <v>0.7744680851</v>
      </c>
    </row>
    <row r="326">
      <c r="A326" s="5">
        <v>325.0</v>
      </c>
      <c r="B326" t="str">
        <f t="array" ref="B326">INDEX(PasteHashtag!$B$2:$B1000,MATCH(C326,PasteHashtag!$C$2:$C1000,0))</f>
        <v>#N/A</v>
      </c>
      <c r="C326" t="str">
        <f>PasteBBM!J326</f>
        <v>Christian Koloko</v>
      </c>
      <c r="D326" t="str">
        <f>IFERROR(REPLACE(PasteBBM!L326, FIND("/",PasteBBM!L326),1,","),PasteBBM!L326)</f>
        <v>C</v>
      </c>
      <c r="E326" t="str">
        <f>PasteBBM!K326</f>
        <v>LAL</v>
      </c>
      <c r="F326">
        <f>PasteBBM!T326</f>
        <v>50</v>
      </c>
      <c r="G326">
        <f>PasteBBM!V326</f>
        <v>13</v>
      </c>
      <c r="H326">
        <f>PasteBBM!AC326*PasteBBM!AD326</f>
        <v>1.396</v>
      </c>
      <c r="I326">
        <f>PasteBBM!AC326</f>
        <v>0.5613640019</v>
      </c>
      <c r="J326">
        <f>PasteBBM!AE326*PasteBBM!AF326</f>
        <v>0.6254</v>
      </c>
      <c r="K326">
        <f>PasteBBM!AE326</f>
        <v>0.6450082508</v>
      </c>
      <c r="L326">
        <f>PasteBBM!X326</f>
        <v>0.005</v>
      </c>
      <c r="M326">
        <f>PasteBBM!W326</f>
        <v>3.4224</v>
      </c>
      <c r="N326">
        <f>PasteBBM!Y326</f>
        <v>3.0388</v>
      </c>
      <c r="O326">
        <f>PasteBBM!Z326</f>
        <v>0.5248</v>
      </c>
      <c r="P326">
        <f>PasteBBM!AA326</f>
        <v>0.3592</v>
      </c>
      <c r="Q326">
        <f>PasteBBM!AB326</f>
        <v>0.9944</v>
      </c>
      <c r="R326">
        <f>PasteBBM!AG326</f>
        <v>0.5524</v>
      </c>
      <c r="S326">
        <f>PasteBBM!AD326</f>
        <v>2.4868</v>
      </c>
      <c r="T326">
        <f>PasteBBM!AF326</f>
        <v>0.9696</v>
      </c>
    </row>
    <row r="327">
      <c r="A327" s="5">
        <v>326.0</v>
      </c>
      <c r="B327" t="str">
        <f t="array" ref="B327">INDEX(PasteHashtag!$B$2:$B1000,MATCH(C327,PasteHashtag!$C$2:$C1000,0))</f>
        <v/>
      </c>
      <c r="C327" t="str">
        <f>PasteBBM!J327</f>
        <v>Cody Williams</v>
      </c>
      <c r="D327" t="str">
        <f>IFERROR(REPLACE(PasteBBM!L327, FIND("/",PasteBBM!L327),1,","),PasteBBM!L327)</f>
        <v>G,F</v>
      </c>
      <c r="E327" t="str">
        <f>PasteBBM!K327</f>
        <v>UTA</v>
      </c>
      <c r="F327">
        <f>PasteBBM!T327</f>
        <v>73</v>
      </c>
      <c r="G327">
        <f>PasteBBM!V327</f>
        <v>23</v>
      </c>
      <c r="H327">
        <f>PasteBBM!AC327*PasteBBM!AD327</f>
        <v>2.933287671</v>
      </c>
      <c r="I327">
        <f>PasteBBM!AC327</f>
        <v>0.4662703597</v>
      </c>
      <c r="J327">
        <f>PasteBBM!AE327*PasteBBM!AF327</f>
        <v>0.906027397</v>
      </c>
      <c r="K327">
        <f>PasteBBM!AE327</f>
        <v>0.7200087089</v>
      </c>
      <c r="L327">
        <f>PasteBBM!X327</f>
        <v>0.5221917808</v>
      </c>
      <c r="M327">
        <f>PasteBBM!W327</f>
        <v>7.294794521</v>
      </c>
      <c r="N327">
        <f>PasteBBM!Y327</f>
        <v>2.419726027</v>
      </c>
      <c r="O327">
        <f>PasteBBM!Z327</f>
        <v>1.113150685</v>
      </c>
      <c r="P327">
        <f>PasteBBM!AA327</f>
        <v>0.4839726027</v>
      </c>
      <c r="Q327">
        <f>PasteBBM!AB327</f>
        <v>0.2904109589</v>
      </c>
      <c r="R327">
        <f>PasteBBM!AG327</f>
        <v>1.258356164</v>
      </c>
      <c r="S327">
        <f>PasteBBM!AD327</f>
        <v>6.290958904</v>
      </c>
      <c r="T327">
        <f>PasteBBM!AF327</f>
        <v>1.258356164</v>
      </c>
    </row>
    <row r="328">
      <c r="A328" s="5">
        <v>327.0</v>
      </c>
      <c r="B328" t="str">
        <f t="array" ref="B328">INDEX(PasteHashtag!$B$2:$B1000,MATCH(C328,PasteHashtag!$C$2:$C1000,0))</f>
        <v/>
      </c>
      <c r="C328" t="str">
        <f>PasteBBM!J328</f>
        <v>Joe Ingles</v>
      </c>
      <c r="D328" t="str">
        <f>IFERROR(REPLACE(PasteBBM!L328, FIND("/",PasteBBM!L328),1,","),PasteBBM!L328)</f>
        <v>F</v>
      </c>
      <c r="E328" t="str">
        <f>PasteBBM!K328</f>
        <v>MIN</v>
      </c>
      <c r="F328">
        <f>PasteBBM!T328</f>
        <v>61</v>
      </c>
      <c r="G328">
        <f>PasteBBM!V328</f>
        <v>16</v>
      </c>
      <c r="H328">
        <f>PasteBBM!AC328*PasteBBM!AD328</f>
        <v>0.8960655737</v>
      </c>
      <c r="I328">
        <f>PasteBBM!AC328</f>
        <v>0.4219871844</v>
      </c>
      <c r="J328">
        <f>PasteBBM!AE328*PasteBBM!AF328</f>
        <v>0.2232786885</v>
      </c>
      <c r="K328">
        <f>PasteBBM!AE328</f>
        <v>0.8040141677</v>
      </c>
      <c r="L328">
        <f>PasteBBM!X328</f>
        <v>0.6572131148</v>
      </c>
      <c r="M328">
        <f>PasteBBM!W328</f>
        <v>2.672622951</v>
      </c>
      <c r="N328">
        <f>PasteBBM!Y328</f>
        <v>1.666065574</v>
      </c>
      <c r="O328">
        <f>PasteBBM!Z328</f>
        <v>3.005409836</v>
      </c>
      <c r="P328">
        <f>PasteBBM!AA328</f>
        <v>0.5244262295</v>
      </c>
      <c r="Q328">
        <f>PasteBBM!AB328</f>
        <v>0.06524590164</v>
      </c>
      <c r="R328">
        <f>PasteBBM!AG328</f>
        <v>1.078032787</v>
      </c>
      <c r="S328">
        <f>PasteBBM!AD328</f>
        <v>2.123442623</v>
      </c>
      <c r="T328">
        <f>PasteBBM!AF328</f>
        <v>0.277704918</v>
      </c>
    </row>
    <row r="329">
      <c r="A329" s="5">
        <v>328.0</v>
      </c>
      <c r="B329" t="str">
        <f t="array" ref="B329">INDEX(PasteHashtag!$B$2:$B1000,MATCH(C329,PasteHashtag!$C$2:$C1000,0))</f>
        <v/>
      </c>
      <c r="C329" t="str">
        <f>PasteBBM!J329</f>
        <v>Baylor Scheierman</v>
      </c>
      <c r="D329" t="str">
        <f>IFERROR(REPLACE(PasteBBM!L329, FIND("/",PasteBBM!L329),1,","),PasteBBM!L329)</f>
        <v>G</v>
      </c>
      <c r="E329" t="str">
        <f>PasteBBM!K329</f>
        <v>BOS</v>
      </c>
      <c r="F329">
        <f>PasteBBM!T329</f>
        <v>53</v>
      </c>
      <c r="G329">
        <f>PasteBBM!V329</f>
        <v>15</v>
      </c>
      <c r="H329">
        <f>PasteBBM!AC329*PasteBBM!AD329</f>
        <v>2.013962264</v>
      </c>
      <c r="I329">
        <f>PasteBBM!AC329</f>
        <v>0.4009616468</v>
      </c>
      <c r="J329">
        <f>PasteBBM!AE329*PasteBBM!AF329</f>
        <v>0.5688679245</v>
      </c>
      <c r="K329">
        <f>PasteBBM!AE329</f>
        <v>0.8089616313</v>
      </c>
      <c r="L329">
        <f>PasteBBM!X329</f>
        <v>1.038679245</v>
      </c>
      <c r="M329">
        <f>PasteBBM!W329</f>
        <v>5.635471698</v>
      </c>
      <c r="N329">
        <f>PasteBBM!Y329</f>
        <v>3.276792453</v>
      </c>
      <c r="O329">
        <f>PasteBBM!Z329</f>
        <v>1.378113208</v>
      </c>
      <c r="P329">
        <f>PasteBBM!AA329</f>
        <v>0.3981132075</v>
      </c>
      <c r="Q329">
        <f>PasteBBM!AB329</f>
        <v>0.09188679245</v>
      </c>
      <c r="R329">
        <f>PasteBBM!AG329</f>
        <v>0.8881132075</v>
      </c>
      <c r="S329">
        <f>PasteBBM!AD329</f>
        <v>5.022830189</v>
      </c>
      <c r="T329">
        <f>PasteBBM!AF329</f>
        <v>0.7032075472</v>
      </c>
    </row>
    <row r="330">
      <c r="A330" s="5">
        <v>329.0</v>
      </c>
      <c r="B330" t="str">
        <f t="array" ref="B330">INDEX(PasteHashtag!$B$2:$B1000,MATCH(C330,PasteHashtag!$C$2:$C1000,0))</f>
        <v/>
      </c>
      <c r="C330" t="str">
        <f>PasteBBM!J330</f>
        <v>Jake LaRavia</v>
      </c>
      <c r="D330" t="str">
        <f>IFERROR(REPLACE(PasteBBM!L330, FIND("/",PasteBBM!L330),1,","),PasteBBM!L330)</f>
        <v>F</v>
      </c>
      <c r="E330" t="str">
        <f>PasteBBM!K330</f>
        <v>MEM</v>
      </c>
      <c r="F330">
        <f>PasteBBM!T330</f>
        <v>44</v>
      </c>
      <c r="G330">
        <f>PasteBBM!V330</f>
        <v>15</v>
      </c>
      <c r="H330">
        <f>PasteBBM!AC330*PasteBBM!AD330</f>
        <v>1.923636363</v>
      </c>
      <c r="I330">
        <f>PasteBBM!AC330</f>
        <v>0.4103956555</v>
      </c>
      <c r="J330">
        <f>PasteBBM!AE330*PasteBBM!AF330</f>
        <v>0.8949999998</v>
      </c>
      <c r="K330">
        <f>PasteBBM!AE330</f>
        <v>0.8301011804</v>
      </c>
      <c r="L330">
        <f>PasteBBM!X330</f>
        <v>0.9472727273</v>
      </c>
      <c r="M330">
        <f>PasteBBM!W330</f>
        <v>5.689545455</v>
      </c>
      <c r="N330">
        <f>PasteBBM!Y330</f>
        <v>2.281363636</v>
      </c>
      <c r="O330">
        <f>PasteBBM!Z330</f>
        <v>0.9413636364</v>
      </c>
      <c r="P330">
        <f>PasteBBM!AA330</f>
        <v>0.4888636364</v>
      </c>
      <c r="Q330">
        <f>PasteBBM!AB330</f>
        <v>0.19</v>
      </c>
      <c r="R330">
        <f>PasteBBM!AG330</f>
        <v>0.7904545455</v>
      </c>
      <c r="S330">
        <f>PasteBBM!AD330</f>
        <v>4.687272727</v>
      </c>
      <c r="T330">
        <f>PasteBBM!AF330</f>
        <v>1.078181818</v>
      </c>
    </row>
    <row r="331">
      <c r="A331" s="5">
        <v>330.0</v>
      </c>
      <c r="B331" t="str">
        <f t="array" ref="B331">INDEX(PasteHashtag!$B$2:$B1000,MATCH(C331,PasteHashtag!$C$2:$C1000,0))</f>
        <v/>
      </c>
      <c r="C331" t="str">
        <f>PasteBBM!J331</f>
        <v>Craig Porter Jr.</v>
      </c>
      <c r="D331" t="str">
        <f>IFERROR(REPLACE(PasteBBM!L331, FIND("/",PasteBBM!L331),1,","),PasteBBM!L331)</f>
        <v>G</v>
      </c>
      <c r="E331" t="str">
        <f>PasteBBM!K331</f>
        <v>CLE</v>
      </c>
      <c r="F331">
        <f>PasteBBM!T331</f>
        <v>47</v>
      </c>
      <c r="G331">
        <f>PasteBBM!V331</f>
        <v>12</v>
      </c>
      <c r="H331">
        <f>PasteBBM!AC331*PasteBBM!AD331</f>
        <v>2.112765958</v>
      </c>
      <c r="I331">
        <f>PasteBBM!AC331</f>
        <v>0.5146144279</v>
      </c>
      <c r="J331">
        <f>PasteBBM!AE331*PasteBBM!AF331</f>
        <v>0.7163829787</v>
      </c>
      <c r="K331">
        <f>PasteBBM!AE331</f>
        <v>0.7281574394</v>
      </c>
      <c r="L331">
        <f>PasteBBM!X331</f>
        <v>0.2544680851</v>
      </c>
      <c r="M331">
        <f>PasteBBM!W331</f>
        <v>5.196382979</v>
      </c>
      <c r="N331">
        <f>PasteBBM!Y331</f>
        <v>2.04</v>
      </c>
      <c r="O331">
        <f>PasteBBM!Z331</f>
        <v>2.149574468</v>
      </c>
      <c r="P331">
        <f>PasteBBM!AA331</f>
        <v>0.4127659574</v>
      </c>
      <c r="Q331">
        <f>PasteBBM!AB331</f>
        <v>0.2880851064</v>
      </c>
      <c r="R331">
        <f>PasteBBM!AG331</f>
        <v>0.8417021277</v>
      </c>
      <c r="S331">
        <f>PasteBBM!AD331</f>
        <v>4.105531915</v>
      </c>
      <c r="T331">
        <f>PasteBBM!AF331</f>
        <v>0.9838297872</v>
      </c>
    </row>
    <row r="332">
      <c r="A332" s="5">
        <v>331.0</v>
      </c>
      <c r="B332" t="str">
        <f t="array" ref="B332">INDEX(PasteHashtag!$B$2:$B1000,MATCH(C332,PasteHashtag!$C$2:$C1000,0))</f>
        <v/>
      </c>
      <c r="C332" t="str">
        <f>PasteBBM!J332</f>
        <v>Ochai Agbaji</v>
      </c>
      <c r="D332" t="str">
        <f>IFERROR(REPLACE(PasteBBM!L332, FIND("/",PasteBBM!L332),1,","),PasteBBM!L332)</f>
        <v>G</v>
      </c>
      <c r="E332" t="str">
        <f>PasteBBM!K332</f>
        <v>TOR</v>
      </c>
      <c r="F332">
        <f>PasteBBM!T332</f>
        <v>77</v>
      </c>
      <c r="G332">
        <f>PasteBBM!V332</f>
        <v>19</v>
      </c>
      <c r="H332">
        <f>PasteBBM!AC332*PasteBBM!AD332</f>
        <v>2.019220779</v>
      </c>
      <c r="I332">
        <f>PasteBBM!AC332</f>
        <v>0.4280129934</v>
      </c>
      <c r="J332">
        <f>PasteBBM!AE332*PasteBBM!AF332</f>
        <v>0.4881818182</v>
      </c>
      <c r="K332">
        <f>PasteBBM!AE332</f>
        <v>0.678030303</v>
      </c>
      <c r="L332">
        <f>PasteBBM!X332</f>
        <v>0.5963636364</v>
      </c>
      <c r="M332">
        <f>PasteBBM!W332</f>
        <v>5.122987013</v>
      </c>
      <c r="N332">
        <f>PasteBBM!Y332</f>
        <v>2.398701299</v>
      </c>
      <c r="O332">
        <f>PasteBBM!Z332</f>
        <v>0.9277922078</v>
      </c>
      <c r="P332">
        <f>PasteBBM!AA332</f>
        <v>0.5997402597</v>
      </c>
      <c r="Q332">
        <f>PasteBBM!AB332</f>
        <v>0.3598701299</v>
      </c>
      <c r="R332">
        <f>PasteBBM!AG332</f>
        <v>0.7706493506</v>
      </c>
      <c r="S332">
        <f>PasteBBM!AD332</f>
        <v>4.717662338</v>
      </c>
      <c r="T332">
        <f>PasteBBM!AF332</f>
        <v>0.72</v>
      </c>
    </row>
    <row r="333">
      <c r="A333" s="5">
        <v>332.0</v>
      </c>
      <c r="B333" t="str">
        <f t="array" ref="B333">INDEX(PasteHashtag!$B$2:$B1000,MATCH(C333,PasteHashtag!$C$2:$C1000,0))</f>
        <v/>
      </c>
      <c r="C333" t="str">
        <f>PasteBBM!J333</f>
        <v>Jonathan Mogbo</v>
      </c>
      <c r="D333" t="str">
        <f>IFERROR(REPLACE(PasteBBM!L333, FIND("/",PasteBBM!L333),1,","),PasteBBM!L333)</f>
        <v>F</v>
      </c>
      <c r="E333" t="str">
        <f>PasteBBM!K333</f>
        <v>TOR</v>
      </c>
      <c r="F333">
        <f>PasteBBM!T333</f>
        <v>47</v>
      </c>
      <c r="G333">
        <f>PasteBBM!V333</f>
        <v>14</v>
      </c>
      <c r="H333">
        <f>PasteBBM!AC333*PasteBBM!AD333</f>
        <v>2.254255319</v>
      </c>
      <c r="I333">
        <f>PasteBBM!AC333</f>
        <v>0.5543927581</v>
      </c>
      <c r="J333">
        <f>PasteBBM!AE333*PasteBBM!AF333</f>
        <v>0.5172340426</v>
      </c>
      <c r="K333">
        <f>PasteBBM!AE333</f>
        <v>0.5300915831</v>
      </c>
      <c r="L333">
        <f>PasteBBM!X333</f>
        <v>0</v>
      </c>
      <c r="M333">
        <f>PasteBBM!W333</f>
        <v>5.025744681</v>
      </c>
      <c r="N333">
        <f>PasteBBM!Y333</f>
        <v>3.85893617</v>
      </c>
      <c r="O333">
        <f>PasteBBM!Z333</f>
        <v>1.03106383</v>
      </c>
      <c r="P333">
        <f>PasteBBM!AA333</f>
        <v>0.4712765957</v>
      </c>
      <c r="Q333">
        <f>PasteBBM!AB333</f>
        <v>0.4419148936</v>
      </c>
      <c r="R333">
        <f>PasteBBM!AG333</f>
        <v>1.178297872</v>
      </c>
      <c r="S333">
        <f>PasteBBM!AD333</f>
        <v>4.066170213</v>
      </c>
      <c r="T333">
        <f>PasteBBM!AF333</f>
        <v>0.9757446809</v>
      </c>
    </row>
    <row r="334">
      <c r="A334" s="5">
        <v>333.0</v>
      </c>
      <c r="B334" t="str">
        <f t="array" ref="B334">INDEX(PasteHashtag!$B$2:$B1000,MATCH(C334,PasteHashtag!$C$2:$C1000,0))</f>
        <v/>
      </c>
      <c r="C334" t="str">
        <f>PasteBBM!J334</f>
        <v>Kyle Filipowski</v>
      </c>
      <c r="D334" t="str">
        <f>IFERROR(REPLACE(PasteBBM!L334, FIND("/",PasteBBM!L334),1,","),PasteBBM!L334)</f>
        <v>C</v>
      </c>
      <c r="E334" t="str">
        <f>PasteBBM!K334</f>
        <v>UTA</v>
      </c>
      <c r="F334">
        <f>PasteBBM!T334</f>
        <v>47</v>
      </c>
      <c r="G334">
        <f>PasteBBM!V334</f>
        <v>13</v>
      </c>
      <c r="H334">
        <f>PasteBBM!AC334*PasteBBM!AD334</f>
        <v>2.062765958</v>
      </c>
      <c r="I334">
        <f>PasteBBM!AC334</f>
        <v>0.4654791627</v>
      </c>
      <c r="J334">
        <f>PasteBBM!AE334*PasteBBM!AF334</f>
        <v>0.7357446808</v>
      </c>
      <c r="K334">
        <f>PasteBBM!AE334</f>
        <v>0.7219206681</v>
      </c>
      <c r="L334">
        <f>PasteBBM!X334</f>
        <v>0.2887234043</v>
      </c>
      <c r="M334">
        <f>PasteBBM!W334</f>
        <v>5.15</v>
      </c>
      <c r="N334">
        <f>PasteBBM!Y334</f>
        <v>3.555957447</v>
      </c>
      <c r="O334">
        <f>PasteBBM!Z334</f>
        <v>0.8753191489</v>
      </c>
      <c r="P334">
        <f>PasteBBM!AA334</f>
        <v>0.3829787234</v>
      </c>
      <c r="Q334">
        <f>PasteBBM!AB334</f>
        <v>0.465106383</v>
      </c>
      <c r="R334">
        <f>PasteBBM!AG334</f>
        <v>0.7659574468</v>
      </c>
      <c r="S334">
        <f>PasteBBM!AD334</f>
        <v>4.431489362</v>
      </c>
      <c r="T334">
        <f>PasteBBM!AF334</f>
        <v>1.019148936</v>
      </c>
    </row>
    <row r="335">
      <c r="A335" s="5">
        <v>334.0</v>
      </c>
      <c r="B335" t="str">
        <f t="array" ref="B335">INDEX(PasteHashtag!$B$2:$B1000,MATCH(C335,PasteHashtag!$C$2:$C1000,0))</f>
        <v>#N/A</v>
      </c>
      <c r="C335" t="str">
        <f>PasteBBM!J335</f>
        <v>Ty Jerome</v>
      </c>
      <c r="D335" t="str">
        <f>IFERROR(REPLACE(PasteBBM!L335, FIND("/",PasteBBM!L335),1,","),PasteBBM!L335)</f>
        <v>G</v>
      </c>
      <c r="E335" t="str">
        <f>PasteBBM!K335</f>
        <v>CLE</v>
      </c>
      <c r="F335">
        <f>PasteBBM!T335</f>
        <v>68</v>
      </c>
      <c r="G335">
        <f>PasteBBM!V335</f>
        <v>15</v>
      </c>
      <c r="H335">
        <f>PasteBBM!AC335*PasteBBM!AD335</f>
        <v>1.934117647</v>
      </c>
      <c r="I335">
        <f>PasteBBM!AC335</f>
        <v>0.4365084633</v>
      </c>
      <c r="J335">
        <f>PasteBBM!AE335*PasteBBM!AF335</f>
        <v>0.3995588235</v>
      </c>
      <c r="K335">
        <f>PasteBBM!AE335</f>
        <v>0.8198551599</v>
      </c>
      <c r="L335">
        <f>PasteBBM!X335</f>
        <v>0.7319117647</v>
      </c>
      <c r="M335">
        <f>PasteBBM!W335</f>
        <v>4.999705882</v>
      </c>
      <c r="N335">
        <f>PasteBBM!Y335</f>
        <v>1.498088235</v>
      </c>
      <c r="O335">
        <f>PasteBBM!Z335</f>
        <v>2.55</v>
      </c>
      <c r="P335">
        <f>PasteBBM!AA335</f>
        <v>0.4223529412</v>
      </c>
      <c r="Q335">
        <f>PasteBBM!AB335</f>
        <v>0.09867647059</v>
      </c>
      <c r="R335">
        <f>PasteBBM!AG335</f>
        <v>0.765</v>
      </c>
      <c r="S335">
        <f>PasteBBM!AD335</f>
        <v>4.430882353</v>
      </c>
      <c r="T335">
        <f>PasteBBM!AF335</f>
        <v>0.4873529412</v>
      </c>
    </row>
    <row r="336">
      <c r="A336" s="5">
        <v>335.0</v>
      </c>
      <c r="B336" t="str">
        <f t="array" ref="B336">INDEX(PasteHashtag!$B$2:$B1000,MATCH(C336,PasteHashtag!$C$2:$C1000,0))</f>
        <v/>
      </c>
      <c r="C336" t="str">
        <f>PasteBBM!J336</f>
        <v>Gary Harris</v>
      </c>
      <c r="D336" t="str">
        <f>IFERROR(REPLACE(PasteBBM!L336, FIND("/",PasteBBM!L336),1,","),PasteBBM!L336)</f>
        <v>G</v>
      </c>
      <c r="E336" t="str">
        <f>PasteBBM!K336</f>
        <v>ORL</v>
      </c>
      <c r="F336">
        <f>PasteBBM!T336</f>
        <v>57</v>
      </c>
      <c r="G336">
        <f>PasteBBM!V336</f>
        <v>17</v>
      </c>
      <c r="H336">
        <f>PasteBBM!AC336*PasteBBM!AD336</f>
        <v>1.605614035</v>
      </c>
      <c r="I336">
        <f>PasteBBM!AC336</f>
        <v>0.4210526316</v>
      </c>
      <c r="J336">
        <f>PasteBBM!AE336*PasteBBM!AF336</f>
        <v>0.3857894737</v>
      </c>
      <c r="K336">
        <f>PasteBBM!AE336</f>
        <v>0.8211351755</v>
      </c>
      <c r="L336">
        <f>PasteBBM!X336</f>
        <v>1.023508772</v>
      </c>
      <c r="M336">
        <f>PasteBBM!W336</f>
        <v>4.620526316</v>
      </c>
      <c r="N336">
        <f>PasteBBM!Y336</f>
        <v>1.271052632</v>
      </c>
      <c r="O336">
        <f>PasteBBM!Z336</f>
        <v>0.9796491228</v>
      </c>
      <c r="P336">
        <f>PasteBBM!AA336</f>
        <v>0.5987719298</v>
      </c>
      <c r="Q336">
        <f>PasteBBM!AB336</f>
        <v>0.1401754386</v>
      </c>
      <c r="R336">
        <f>PasteBBM!AG336</f>
        <v>0.4466666667</v>
      </c>
      <c r="S336">
        <f>PasteBBM!AD336</f>
        <v>3.813333333</v>
      </c>
      <c r="T336">
        <f>PasteBBM!AF336</f>
        <v>0.4698245614</v>
      </c>
    </row>
    <row r="337">
      <c r="A337" s="5">
        <v>336.0</v>
      </c>
      <c r="B337" t="str">
        <f t="array" ref="B337">INDEX(PasteHashtag!$B$2:$B1000,MATCH(C337,PasteHashtag!$C$2:$C1000,0))</f>
        <v/>
      </c>
      <c r="C337" t="str">
        <f>PasteBBM!J337</f>
        <v>AJ Green</v>
      </c>
      <c r="D337" t="str">
        <f>IFERROR(REPLACE(PasteBBM!L337, FIND("/",PasteBBM!L337),1,","),PasteBBM!L337)</f>
        <v>G</v>
      </c>
      <c r="E337" t="str">
        <f>PasteBBM!K337</f>
        <v>MIL</v>
      </c>
      <c r="F337">
        <f>PasteBBM!T337</f>
        <v>73</v>
      </c>
      <c r="G337">
        <f>PasteBBM!V337</f>
        <v>17</v>
      </c>
      <c r="H337">
        <f>PasteBBM!AC337*PasteBBM!AD337</f>
        <v>2.026712329</v>
      </c>
      <c r="I337">
        <f>PasteBBM!AC337</f>
        <v>0.4188251946</v>
      </c>
      <c r="J337">
        <f>PasteBBM!AE337*PasteBBM!AF337</f>
        <v>0.3832876713</v>
      </c>
      <c r="K337">
        <f>PasteBBM!AE337</f>
        <v>0.8801509909</v>
      </c>
      <c r="L337">
        <f>PasteBBM!X337</f>
        <v>1.656986301</v>
      </c>
      <c r="M337">
        <f>PasteBBM!W337</f>
        <v>6.09369863</v>
      </c>
      <c r="N337">
        <f>PasteBBM!Y337</f>
        <v>1.647945205</v>
      </c>
      <c r="O337">
        <f>PasteBBM!Z337</f>
        <v>0.7363013699</v>
      </c>
      <c r="P337">
        <f>PasteBBM!AA337</f>
        <v>0.3156164384</v>
      </c>
      <c r="Q337">
        <f>PasteBBM!AB337</f>
        <v>0.1402739726</v>
      </c>
      <c r="R337">
        <f>PasteBBM!AG337</f>
        <v>0.4557534247</v>
      </c>
      <c r="S337">
        <f>PasteBBM!AD337</f>
        <v>4.839041096</v>
      </c>
      <c r="T337">
        <f>PasteBBM!AF337</f>
        <v>0.4354794521</v>
      </c>
    </row>
    <row r="338">
      <c r="A338" s="5">
        <v>337.0</v>
      </c>
      <c r="B338" t="str">
        <f t="array" ref="B338">INDEX(PasteHashtag!$B$2:$B1000,MATCH(C338,PasteHashtag!$C$2:$C1000,0))</f>
        <v/>
      </c>
      <c r="C338" t="str">
        <f>PasteBBM!J338</f>
        <v>DeAndre Jordan</v>
      </c>
      <c r="D338" t="str">
        <f>IFERROR(REPLACE(PasteBBM!L338, FIND("/",PasteBBM!L338),1,","),PasteBBM!L338)</f>
        <v>C</v>
      </c>
      <c r="E338" t="str">
        <f>PasteBBM!K338</f>
        <v>DEN</v>
      </c>
      <c r="F338">
        <f>PasteBBM!T338</f>
        <v>29</v>
      </c>
      <c r="G338">
        <f>PasteBBM!V338</f>
        <v>14</v>
      </c>
      <c r="H338">
        <f>PasteBBM!AC338*PasteBBM!AD338</f>
        <v>1.902068966</v>
      </c>
      <c r="I338">
        <f>PasteBBM!AC338</f>
        <v>0.6340229885</v>
      </c>
      <c r="J338">
        <f>PasteBBM!AE338*PasteBBM!AF338</f>
        <v>0.5772413795</v>
      </c>
      <c r="K338">
        <f>PasteBBM!AE338</f>
        <v>0.5198757764</v>
      </c>
      <c r="L338">
        <f>PasteBBM!X338</f>
        <v>0</v>
      </c>
      <c r="M338">
        <f>PasteBBM!W338</f>
        <v>4.38137931</v>
      </c>
      <c r="N338">
        <f>PasteBBM!Y338</f>
        <v>5.116551724</v>
      </c>
      <c r="O338">
        <f>PasteBBM!Z338</f>
        <v>0.7844827586</v>
      </c>
      <c r="P338">
        <f>PasteBBM!AA338</f>
        <v>0.2272413793</v>
      </c>
      <c r="Q338">
        <f>PasteBBM!AB338</f>
        <v>0.6024137931</v>
      </c>
      <c r="R338">
        <f>PasteBBM!AG338</f>
        <v>0.9465517241</v>
      </c>
      <c r="S338">
        <f>PasteBBM!AD338</f>
        <v>3</v>
      </c>
      <c r="T338">
        <f>PasteBBM!AF338</f>
        <v>1.110344828</v>
      </c>
    </row>
    <row r="339">
      <c r="A339" s="5">
        <v>338.0</v>
      </c>
      <c r="B339" t="str">
        <f t="array" ref="B339">INDEX(PasteHashtag!$B$2:$B1000,MATCH(C339,PasteHashtag!$C$2:$C1000,0))</f>
        <v/>
      </c>
      <c r="C339" t="str">
        <f>PasteBBM!J339</f>
        <v>Keon Johnson</v>
      </c>
      <c r="D339" t="str">
        <f>IFERROR(REPLACE(PasteBBM!L339, FIND("/",PasteBBM!L339),1,","),PasteBBM!L339)</f>
        <v>G</v>
      </c>
      <c r="E339" t="str">
        <f>PasteBBM!K339</f>
        <v>BKN</v>
      </c>
      <c r="F339">
        <f>PasteBBM!T339</f>
        <v>47</v>
      </c>
      <c r="G339">
        <f>PasteBBM!V339</f>
        <v>14</v>
      </c>
      <c r="H339">
        <f>PasteBBM!AC339*PasteBBM!AD339</f>
        <v>2.08787234</v>
      </c>
      <c r="I339">
        <f>PasteBBM!AC339</f>
        <v>0.3810429853</v>
      </c>
      <c r="J339">
        <f>PasteBBM!AE339*PasteBBM!AF339</f>
        <v>0.8744680852</v>
      </c>
      <c r="K339">
        <f>PasteBBM!AE339</f>
        <v>0.7599852071</v>
      </c>
      <c r="L339">
        <f>PasteBBM!X339</f>
        <v>0.8885106383</v>
      </c>
      <c r="M339">
        <f>PasteBBM!W339</f>
        <v>5.938723404</v>
      </c>
      <c r="N339">
        <f>PasteBBM!Y339</f>
        <v>1.531914894</v>
      </c>
      <c r="O339">
        <f>PasteBBM!Z339</f>
        <v>1.659574468</v>
      </c>
      <c r="P339">
        <f>PasteBBM!AA339</f>
        <v>0.5904255319</v>
      </c>
      <c r="Q339">
        <f>PasteBBM!AB339</f>
        <v>0.2353191489</v>
      </c>
      <c r="R339">
        <f>PasteBBM!AG339</f>
        <v>1.147659574</v>
      </c>
      <c r="S339">
        <f>PasteBBM!AD339</f>
        <v>5.479361702</v>
      </c>
      <c r="T339">
        <f>PasteBBM!AF339</f>
        <v>1.150638298</v>
      </c>
    </row>
    <row r="340">
      <c r="A340" s="5">
        <v>339.0</v>
      </c>
      <c r="B340" t="str">
        <f t="array" ref="B340">INDEX(PasteHashtag!$B$2:$B1000,MATCH(C340,PasteHashtag!$C$2:$C1000,0))</f>
        <v>#N/A</v>
      </c>
      <c r="C340" t="str">
        <f>PasteBBM!J340</f>
        <v>Dillon Jones</v>
      </c>
      <c r="D340" t="str">
        <f>IFERROR(REPLACE(PasteBBM!L340, FIND("/",PasteBBM!L340),1,","),PasteBBM!L340)</f>
        <v>F</v>
      </c>
      <c r="E340" t="str">
        <f>PasteBBM!K340</f>
        <v>OKC</v>
      </c>
      <c r="F340">
        <f>PasteBBM!T340</f>
        <v>47</v>
      </c>
      <c r="G340">
        <f>PasteBBM!V340</f>
        <v>15</v>
      </c>
      <c r="H340">
        <f>PasteBBM!AC340*PasteBBM!AD340</f>
        <v>1.90319149</v>
      </c>
      <c r="I340">
        <f>PasteBBM!AC340</f>
        <v>0.4276834808</v>
      </c>
      <c r="J340">
        <f>PasteBBM!AE340*PasteBBM!AF340</f>
        <v>0.8438297869</v>
      </c>
      <c r="K340">
        <f>PasteBBM!AE340</f>
        <v>0.7900398406</v>
      </c>
      <c r="L340">
        <f>PasteBBM!X340</f>
        <v>0.3831914894</v>
      </c>
      <c r="M340">
        <f>PasteBBM!W340</f>
        <v>5.033404255</v>
      </c>
      <c r="N340">
        <f>PasteBBM!Y340</f>
        <v>3.755957447</v>
      </c>
      <c r="O340">
        <f>PasteBBM!Z340</f>
        <v>1.041489362</v>
      </c>
      <c r="P340">
        <f>PasteBBM!AA340</f>
        <v>0.505106383</v>
      </c>
      <c r="Q340">
        <f>PasteBBM!AB340</f>
        <v>0.06319148936</v>
      </c>
      <c r="R340">
        <f>PasteBBM!AG340</f>
        <v>1.136170213</v>
      </c>
      <c r="S340">
        <f>PasteBBM!AD340</f>
        <v>4.45</v>
      </c>
      <c r="T340">
        <f>PasteBBM!AF340</f>
        <v>1.068085106</v>
      </c>
    </row>
    <row r="341">
      <c r="A341" s="5">
        <v>340.0</v>
      </c>
      <c r="B341" t="str">
        <f t="array" ref="B341">INDEX(PasteHashtag!$B$2:$B1000,MATCH(C341,PasteHashtag!$C$2:$C1000,0))</f>
        <v/>
      </c>
      <c r="C341" t="str">
        <f>PasteBBM!J341</f>
        <v>Dante Exum</v>
      </c>
      <c r="D341" t="str">
        <f>IFERROR(REPLACE(PasteBBM!L341, FIND("/",PasteBBM!L341),1,","),PasteBBM!L341)</f>
        <v>G</v>
      </c>
      <c r="E341" t="str">
        <f>PasteBBM!K341</f>
        <v>DAL</v>
      </c>
      <c r="F341">
        <f>PasteBBM!T341</f>
        <v>24</v>
      </c>
      <c r="G341">
        <f>PasteBBM!V341</f>
        <v>16</v>
      </c>
      <c r="H341">
        <f>PasteBBM!AC341*PasteBBM!AD341</f>
        <v>1.590416666</v>
      </c>
      <c r="I341">
        <f>PasteBBM!AC341</f>
        <v>0.4628910987</v>
      </c>
      <c r="J341">
        <f>PasteBBM!AE341*PasteBBM!AF341</f>
        <v>0.5004166667</v>
      </c>
      <c r="K341">
        <f>PasteBBM!AE341</f>
        <v>0.8092991914</v>
      </c>
      <c r="L341">
        <f>PasteBBM!X341</f>
        <v>0.5545833333</v>
      </c>
      <c r="M341">
        <f>PasteBBM!W341</f>
        <v>4.235833333</v>
      </c>
      <c r="N341">
        <f>PasteBBM!Y341</f>
        <v>2.05375</v>
      </c>
      <c r="O341">
        <f>PasteBBM!Z341</f>
        <v>2.120833333</v>
      </c>
      <c r="P341">
        <f>PasteBBM!AA341</f>
        <v>0.4041666667</v>
      </c>
      <c r="Q341">
        <f>PasteBBM!AB341</f>
        <v>0.1345833333</v>
      </c>
      <c r="R341">
        <f>PasteBBM!AG341</f>
        <v>0.8483333333</v>
      </c>
      <c r="S341">
        <f>PasteBBM!AD341</f>
        <v>3.435833333</v>
      </c>
      <c r="T341">
        <f>PasteBBM!AF341</f>
        <v>0.6183333333</v>
      </c>
    </row>
    <row r="342">
      <c r="A342" s="5">
        <v>341.0</v>
      </c>
      <c r="B342" t="str">
        <f t="array" ref="B342">INDEX(PasteHashtag!$B$2:$B1000,MATCH(C342,PasteHashtag!$C$2:$C1000,0))</f>
        <v/>
      </c>
      <c r="C342" t="str">
        <f>PasteBBM!J342</f>
        <v>Marcus Sasser</v>
      </c>
      <c r="D342" t="str">
        <f>IFERROR(REPLACE(PasteBBM!L342, FIND("/",PasteBBM!L342),1,","),PasteBBM!L342)</f>
        <v>G</v>
      </c>
      <c r="E342" t="str">
        <f>PasteBBM!K342</f>
        <v>DET</v>
      </c>
      <c r="F342">
        <f>PasteBBM!T342</f>
        <v>57</v>
      </c>
      <c r="G342">
        <f>PasteBBM!V342</f>
        <v>13</v>
      </c>
      <c r="H342">
        <f>PasteBBM!AC342*PasteBBM!AD342</f>
        <v>2.008947368</v>
      </c>
      <c r="I342">
        <f>PasteBBM!AC342</f>
        <v>0.430618231</v>
      </c>
      <c r="J342">
        <f>PasteBBM!AE342*PasteBBM!AF342</f>
        <v>0.6136842105</v>
      </c>
      <c r="K342">
        <f>PasteBBM!AE342</f>
        <v>0.8769115066</v>
      </c>
      <c r="L342">
        <f>PasteBBM!X342</f>
        <v>0.8131578947</v>
      </c>
      <c r="M342">
        <f>PasteBBM!W342</f>
        <v>5.444736842</v>
      </c>
      <c r="N342">
        <f>PasteBBM!Y342</f>
        <v>1.126140351</v>
      </c>
      <c r="O342">
        <f>PasteBBM!Z342</f>
        <v>2.144912281</v>
      </c>
      <c r="P342">
        <f>PasteBBM!AA342</f>
        <v>0.3821052632</v>
      </c>
      <c r="Q342">
        <f>PasteBBM!AB342</f>
        <v>0.1380701754</v>
      </c>
      <c r="R342">
        <f>PasteBBM!AG342</f>
        <v>0.9077192982</v>
      </c>
      <c r="S342">
        <f>PasteBBM!AD342</f>
        <v>4.665263158</v>
      </c>
      <c r="T342">
        <f>PasteBBM!AF342</f>
        <v>0.6998245614</v>
      </c>
    </row>
    <row r="343">
      <c r="A343" s="5">
        <v>342.0</v>
      </c>
      <c r="B343" t="str">
        <f t="array" ref="B343">INDEX(PasteHashtag!$B$2:$B1000,MATCH(C343,PasteHashtag!$C$2:$C1000,0))</f>
        <v>#N/A</v>
      </c>
      <c r="C343" t="str">
        <f>PasteBBM!J343</f>
        <v>Julian Phillips</v>
      </c>
      <c r="D343" t="str">
        <f>IFERROR(REPLACE(PasteBBM!L343, FIND("/",PasteBBM!L343),1,","),PasteBBM!L343)</f>
        <v>F</v>
      </c>
      <c r="E343" t="str">
        <f>PasteBBM!K343</f>
        <v>CHI</v>
      </c>
      <c r="F343">
        <f>PasteBBM!T343</f>
        <v>73</v>
      </c>
      <c r="G343">
        <f>PasteBBM!V343</f>
        <v>16</v>
      </c>
      <c r="H343">
        <f>PasteBBM!AC343*PasteBBM!AD343</f>
        <v>2.111232877</v>
      </c>
      <c r="I343">
        <f>PasteBBM!AC343</f>
        <v>0.4456653751</v>
      </c>
      <c r="J343">
        <f>PasteBBM!AE343*PasteBBM!AF343</f>
        <v>1.078356164</v>
      </c>
      <c r="K343">
        <f>PasteBBM!AE343</f>
        <v>0.7850019944</v>
      </c>
      <c r="L343">
        <f>PasteBBM!X343</f>
        <v>0.5824657534</v>
      </c>
      <c r="M343">
        <f>PasteBBM!W343</f>
        <v>5.883287671</v>
      </c>
      <c r="N343">
        <f>PasteBBM!Y343</f>
        <v>2.613287671</v>
      </c>
      <c r="O343">
        <f>PasteBBM!Z343</f>
        <v>0.5553424658</v>
      </c>
      <c r="P343">
        <f>PasteBBM!AA343</f>
        <v>0.3779452055</v>
      </c>
      <c r="Q343">
        <f>PasteBBM!AB343</f>
        <v>0.3920547945</v>
      </c>
      <c r="R343">
        <f>PasteBBM!AG343</f>
        <v>0.4573972603</v>
      </c>
      <c r="S343">
        <f>PasteBBM!AD343</f>
        <v>4.737260274</v>
      </c>
      <c r="T343">
        <f>PasteBBM!AF343</f>
        <v>1.37369863</v>
      </c>
    </row>
    <row r="344">
      <c r="A344" s="5">
        <v>343.0</v>
      </c>
      <c r="B344" t="str">
        <f t="array" ref="B344">INDEX(PasteHashtag!$B$2:$B1000,MATCH(C344,PasteHashtag!$C$2:$C1000,0))</f>
        <v/>
      </c>
      <c r="C344" t="str">
        <f>PasteBBM!J344</f>
        <v>Yves Missi</v>
      </c>
      <c r="D344" t="str">
        <f>IFERROR(REPLACE(PasteBBM!L344, FIND("/",PasteBBM!L344),1,","),PasteBBM!L344)</f>
        <v>C</v>
      </c>
      <c r="E344" t="str">
        <f>PasteBBM!K344</f>
        <v>NOR</v>
      </c>
      <c r="F344">
        <f>PasteBBM!T344</f>
        <v>68</v>
      </c>
      <c r="G344">
        <f>PasteBBM!V344</f>
        <v>14</v>
      </c>
      <c r="H344">
        <f>PasteBBM!AC344*PasteBBM!AD344</f>
        <v>2.057058823</v>
      </c>
      <c r="I344">
        <f>PasteBBM!AC344</f>
        <v>0.57000815</v>
      </c>
      <c r="J344">
        <f>PasteBBM!AE344*PasteBBM!AF344</f>
        <v>0.6364705884</v>
      </c>
      <c r="K344">
        <f>PasteBBM!AE344</f>
        <v>0.6080359652</v>
      </c>
      <c r="L344">
        <f>PasteBBM!X344</f>
        <v>0</v>
      </c>
      <c r="M344">
        <f>PasteBBM!W344</f>
        <v>4.750588235</v>
      </c>
      <c r="N344">
        <f>PasteBBM!Y344</f>
        <v>3.465</v>
      </c>
      <c r="O344">
        <f>PasteBBM!Z344</f>
        <v>0.2888235294</v>
      </c>
      <c r="P344">
        <f>PasteBBM!AA344</f>
        <v>0.3464705882</v>
      </c>
      <c r="Q344">
        <f>PasteBBM!AB344</f>
        <v>0.6929411765</v>
      </c>
      <c r="R344">
        <f>PasteBBM!AG344</f>
        <v>0.5775</v>
      </c>
      <c r="S344">
        <f>PasteBBM!AD344</f>
        <v>3.608823529</v>
      </c>
      <c r="T344">
        <f>PasteBBM!AF344</f>
        <v>1.046764706</v>
      </c>
    </row>
    <row r="345">
      <c r="A345" s="5">
        <v>344.0</v>
      </c>
      <c r="B345" t="str">
        <f t="array" ref="B345">INDEX(PasteHashtag!$B$2:$B1000,MATCH(C345,PasteHashtag!$C$2:$C1000,0))</f>
        <v/>
      </c>
      <c r="C345" t="str">
        <f>PasteBBM!J345</f>
        <v>Kris Murray</v>
      </c>
      <c r="D345" t="str">
        <f>IFERROR(REPLACE(PasteBBM!L345, FIND("/",PasteBBM!L345),1,","),PasteBBM!L345)</f>
        <v>F</v>
      </c>
      <c r="E345" t="str">
        <f>PasteBBM!K345</f>
        <v>POR</v>
      </c>
      <c r="F345">
        <f>PasteBBM!T345</f>
        <v>73</v>
      </c>
      <c r="G345">
        <f>PasteBBM!V345</f>
        <v>17</v>
      </c>
      <c r="H345">
        <f>PasteBBM!AC345*PasteBBM!AD345</f>
        <v>1.948630137</v>
      </c>
      <c r="I345">
        <f>PasteBBM!AC345</f>
        <v>0.4056751747</v>
      </c>
      <c r="J345">
        <f>PasteBBM!AE345*PasteBBM!AF345</f>
        <v>0.5879452055</v>
      </c>
      <c r="K345">
        <f>PasteBBM!AE345</f>
        <v>0.6799746515</v>
      </c>
      <c r="L345">
        <f>PasteBBM!X345</f>
        <v>0.7408219178</v>
      </c>
      <c r="M345">
        <f>PasteBBM!W345</f>
        <v>5.226027397</v>
      </c>
      <c r="N345">
        <f>PasteBBM!Y345</f>
        <v>2.910136986</v>
      </c>
      <c r="O345">
        <f>PasteBBM!Z345</f>
        <v>1.122054795</v>
      </c>
      <c r="P345">
        <f>PasteBBM!AA345</f>
        <v>0.4908219178</v>
      </c>
      <c r="Q345">
        <f>PasteBBM!AB345</f>
        <v>0.2946575342</v>
      </c>
      <c r="R345">
        <f>PasteBBM!AG345</f>
        <v>0.7680821918</v>
      </c>
      <c r="S345">
        <f>PasteBBM!AD345</f>
        <v>4.803424658</v>
      </c>
      <c r="T345">
        <f>PasteBBM!AF345</f>
        <v>0.8646575342</v>
      </c>
    </row>
    <row r="346">
      <c r="A346" s="5">
        <v>345.0</v>
      </c>
      <c r="B346" t="str">
        <f t="array" ref="B346">INDEX(PasteHashtag!$B$2:$B1000,MATCH(C346,PasteHashtag!$C$2:$C1000,0))</f>
        <v/>
      </c>
      <c r="C346" t="str">
        <f>PasteBBM!J346</f>
        <v>Jordan McLaughlin</v>
      </c>
      <c r="D346" t="str">
        <f>IFERROR(REPLACE(PasteBBM!L346, FIND("/",PasteBBM!L346),1,","),PasteBBM!L346)</f>
        <v>G</v>
      </c>
      <c r="E346" t="str">
        <f>PasteBBM!K346</f>
        <v>SAC</v>
      </c>
      <c r="F346">
        <f>PasteBBM!T346</f>
        <v>68</v>
      </c>
      <c r="G346">
        <f>PasteBBM!V346</f>
        <v>13</v>
      </c>
      <c r="H346">
        <f>PasteBBM!AC346*PasteBBM!AD346</f>
        <v>1.189852941</v>
      </c>
      <c r="I346">
        <f>PasteBBM!AC346</f>
        <v>0.4142220857</v>
      </c>
      <c r="J346">
        <f>PasteBBM!AE346*PasteBBM!AF346</f>
        <v>0.3005882353</v>
      </c>
      <c r="K346">
        <f>PasteBBM!AE346</f>
        <v>0.7478960849</v>
      </c>
      <c r="L346">
        <f>PasteBBM!X346</f>
        <v>0.6032352941</v>
      </c>
      <c r="M346">
        <f>PasteBBM!W346</f>
        <v>3.283529412</v>
      </c>
      <c r="N346">
        <f>PasteBBM!Y346</f>
        <v>1.367647059</v>
      </c>
      <c r="O346">
        <f>PasteBBM!Z346</f>
        <v>2.514852941</v>
      </c>
      <c r="P346">
        <f>PasteBBM!AA346</f>
        <v>0.5470588235</v>
      </c>
      <c r="Q346">
        <f>PasteBBM!AB346</f>
        <v>0.1094117647</v>
      </c>
      <c r="R346">
        <f>PasteBBM!AG346</f>
        <v>0.4102941176</v>
      </c>
      <c r="S346">
        <f>PasteBBM!AD346</f>
        <v>2.8725</v>
      </c>
      <c r="T346">
        <f>PasteBBM!AF346</f>
        <v>0.4019117647</v>
      </c>
    </row>
    <row r="347">
      <c r="A347" s="5">
        <v>346.0</v>
      </c>
      <c r="B347" t="str">
        <f t="array" ref="B347">INDEX(PasteHashtag!$B$2:$B1000,MATCH(C347,PasteHashtag!$C$2:$C1000,0))</f>
        <v/>
      </c>
      <c r="C347" t="str">
        <f>PasteBBM!J347</f>
        <v>Damion Lee</v>
      </c>
      <c r="D347" t="str">
        <f>IFERROR(REPLACE(PasteBBM!L347, FIND("/",PasteBBM!L347),1,","),PasteBBM!L347)</f>
        <v>G</v>
      </c>
      <c r="E347" t="str">
        <f>PasteBBM!K347</f>
        <v>PHO</v>
      </c>
      <c r="F347">
        <f>PasteBBM!T347</f>
        <v>39</v>
      </c>
      <c r="G347">
        <f>PasteBBM!V347</f>
        <v>14</v>
      </c>
      <c r="H347">
        <f>PasteBBM!AC347*PasteBBM!AD347</f>
        <v>1.779230769</v>
      </c>
      <c r="I347">
        <f>PasteBBM!AC347</f>
        <v>0.4388161639</v>
      </c>
      <c r="J347">
        <f>PasteBBM!AE347*PasteBBM!AF347</f>
        <v>0.661025641</v>
      </c>
      <c r="K347">
        <f>PasteBBM!AE347</f>
        <v>0.9058327477</v>
      </c>
      <c r="L347">
        <f>PasteBBM!X347</f>
        <v>0.8351282051</v>
      </c>
      <c r="M347">
        <f>PasteBBM!W347</f>
        <v>5.054615385</v>
      </c>
      <c r="N347">
        <f>PasteBBM!Y347</f>
        <v>2.1</v>
      </c>
      <c r="O347">
        <f>PasteBBM!Z347</f>
        <v>0.7887179487</v>
      </c>
      <c r="P347">
        <f>PasteBBM!AA347</f>
        <v>0.4082051282</v>
      </c>
      <c r="Q347">
        <f>PasteBBM!AB347</f>
        <v>0.1166666667</v>
      </c>
      <c r="R347">
        <f>PasteBBM!AG347</f>
        <v>0.5833333333</v>
      </c>
      <c r="S347">
        <f>PasteBBM!AD347</f>
        <v>4.054615385</v>
      </c>
      <c r="T347">
        <f>PasteBBM!AF347</f>
        <v>0.7297435897</v>
      </c>
    </row>
    <row r="348">
      <c r="A348" s="5">
        <v>347.0</v>
      </c>
      <c r="B348" t="str">
        <f t="array" ref="B348">INDEX(PasteHashtag!$B$2:$B1000,MATCH(C348,PasteHashtag!$C$2:$C1000,0))</f>
        <v/>
      </c>
      <c r="C348" t="str">
        <f>PasteBBM!J348</f>
        <v>Duop Reath</v>
      </c>
      <c r="D348" t="str">
        <f>IFERROR(REPLACE(PasteBBM!L348, FIND("/",PasteBBM!L348),1,","),PasteBBM!L348)</f>
        <v>C</v>
      </c>
      <c r="E348" t="str">
        <f>PasteBBM!K348</f>
        <v>POR</v>
      </c>
      <c r="F348">
        <f>PasteBBM!T348</f>
        <v>25</v>
      </c>
      <c r="G348">
        <f>PasteBBM!V348</f>
        <v>12</v>
      </c>
      <c r="H348">
        <f>PasteBBM!AC348*PasteBBM!AD348</f>
        <v>2.0992</v>
      </c>
      <c r="I348">
        <f>PasteBBM!AC348</f>
        <v>0.4609978918</v>
      </c>
      <c r="J348">
        <f>PasteBBM!AE348*PasteBBM!AF348</f>
        <v>0.5568</v>
      </c>
      <c r="K348">
        <f>PasteBBM!AE348</f>
        <v>0.7639956092</v>
      </c>
      <c r="L348">
        <f>PasteBBM!X348</f>
        <v>0.7328</v>
      </c>
      <c r="M348">
        <f>PasteBBM!W348</f>
        <v>5.488</v>
      </c>
      <c r="N348">
        <f>PasteBBM!Y348</f>
        <v>2.5244</v>
      </c>
      <c r="O348">
        <f>PasteBBM!Z348</f>
        <v>0.576</v>
      </c>
      <c r="P348">
        <f>PasteBBM!AA348</f>
        <v>0.3092</v>
      </c>
      <c r="Q348">
        <f>PasteBBM!AB348</f>
        <v>0.4048</v>
      </c>
      <c r="R348">
        <f>PasteBBM!AG348</f>
        <v>0.5044</v>
      </c>
      <c r="S348">
        <f>PasteBBM!AD348</f>
        <v>4.5536</v>
      </c>
      <c r="T348">
        <f>PasteBBM!AF348</f>
        <v>0.7288</v>
      </c>
    </row>
    <row r="349">
      <c r="A349" s="5">
        <v>348.0</v>
      </c>
      <c r="B349" t="str">
        <f t="array" ref="B349">INDEX(PasteHashtag!$B$2:$B1000,MATCH(C349,PasteHashtag!$C$2:$C1000,0))</f>
        <v/>
      </c>
      <c r="C349" t="str">
        <f>PasteBBM!J349</f>
        <v>Malaki Branham</v>
      </c>
      <c r="D349" t="str">
        <f>IFERROR(REPLACE(PasteBBM!L349, FIND("/",PasteBBM!L349),1,","),PasteBBM!L349)</f>
        <v>G</v>
      </c>
      <c r="E349" t="str">
        <f>PasteBBM!K349</f>
        <v>SAS</v>
      </c>
      <c r="F349">
        <f>PasteBBM!T349</f>
        <v>73</v>
      </c>
      <c r="G349">
        <f>PasteBBM!V349</f>
        <v>18</v>
      </c>
      <c r="H349">
        <f>PasteBBM!AC349*PasteBBM!AD349</f>
        <v>3.17520548</v>
      </c>
      <c r="I349">
        <f>PasteBBM!AC349</f>
        <v>0.4364338166</v>
      </c>
      <c r="J349">
        <f>PasteBBM!AE349*PasteBBM!AF349</f>
        <v>0.6063013698</v>
      </c>
      <c r="K349">
        <f>PasteBBM!AE349</f>
        <v>0.8300825206</v>
      </c>
      <c r="L349">
        <f>PasteBBM!X349</f>
        <v>1.254794521</v>
      </c>
      <c r="M349">
        <f>PasteBBM!W349</f>
        <v>8.211506849</v>
      </c>
      <c r="N349">
        <f>PasteBBM!Y349</f>
        <v>1.424931507</v>
      </c>
      <c r="O349">
        <f>PasteBBM!Z349</f>
        <v>1.312465753</v>
      </c>
      <c r="P349">
        <f>PasteBBM!AA349</f>
        <v>0.2843835616</v>
      </c>
      <c r="Q349">
        <f>PasteBBM!AB349</f>
        <v>0.07739726027</v>
      </c>
      <c r="R349">
        <f>PasteBBM!AG349</f>
        <v>1.001643836</v>
      </c>
      <c r="S349">
        <f>PasteBBM!AD349</f>
        <v>7.275342466</v>
      </c>
      <c r="T349">
        <f>PasteBBM!AF349</f>
        <v>0.7304109589</v>
      </c>
    </row>
    <row r="350">
      <c r="A350" s="5">
        <v>349.0</v>
      </c>
      <c r="B350" t="str">
        <f t="array" ref="B350">INDEX(PasteHashtag!$B$2:$B1000,MATCH(C350,PasteHashtag!$C$2:$C1000,0))</f>
        <v/>
      </c>
      <c r="C350" t="str">
        <f>PasteBBM!J350</f>
        <v>Jamal Shead</v>
      </c>
      <c r="D350" t="str">
        <f>IFERROR(REPLACE(PasteBBM!L350, FIND("/",PasteBBM!L350),1,","),PasteBBM!L350)</f>
        <v>G</v>
      </c>
      <c r="E350" t="str">
        <f>PasteBBM!K350</f>
        <v>TOR</v>
      </c>
      <c r="F350">
        <f>PasteBBM!T350</f>
        <v>52</v>
      </c>
      <c r="G350">
        <f>PasteBBM!V350</f>
        <v>14</v>
      </c>
      <c r="H350">
        <f>PasteBBM!AC350*PasteBBM!AD350</f>
        <v>1.549615385</v>
      </c>
      <c r="I350">
        <f>PasteBBM!AC350</f>
        <v>0.365359329</v>
      </c>
      <c r="J350">
        <f>PasteBBM!AE350*PasteBBM!AF350</f>
        <v>0.4496153846</v>
      </c>
      <c r="K350">
        <f>PasteBBM!AE350</f>
        <v>0.7571243523</v>
      </c>
      <c r="L350">
        <f>PasteBBM!X350</f>
        <v>0.5915384615</v>
      </c>
      <c r="M350">
        <f>PasteBBM!W350</f>
        <v>4.140384615</v>
      </c>
      <c r="N350">
        <f>PasteBBM!Y350</f>
        <v>1.296153846</v>
      </c>
      <c r="O350">
        <f>PasteBBM!Z350</f>
        <v>1.973653846</v>
      </c>
      <c r="P350">
        <f>PasteBBM!AA350</f>
        <v>0.7069230769</v>
      </c>
      <c r="Q350">
        <f>PasteBBM!AB350</f>
        <v>0.1473076923</v>
      </c>
      <c r="R350">
        <f>PasteBBM!AG350</f>
        <v>1.178269231</v>
      </c>
      <c r="S350">
        <f>PasteBBM!AD350</f>
        <v>4.241346154</v>
      </c>
      <c r="T350">
        <f>PasteBBM!AF350</f>
        <v>0.5938461538</v>
      </c>
    </row>
    <row r="351">
      <c r="A351" s="5">
        <v>350.0</v>
      </c>
      <c r="B351" t="str">
        <f t="array" ref="B351">INDEX(PasteHashtag!$B$2:$B1000,MATCH(C351,PasteHashtag!$C$2:$C1000,0))</f>
        <v>#N/A</v>
      </c>
      <c r="C351" t="str">
        <f>PasteBBM!J351</f>
        <v>Kobe Brown</v>
      </c>
      <c r="D351" t="str">
        <f>IFERROR(REPLACE(PasteBBM!L351, FIND("/",PasteBBM!L351),1,","),PasteBBM!L351)</f>
        <v>F</v>
      </c>
      <c r="E351" t="str">
        <f>PasteBBM!K351</f>
        <v>LAC</v>
      </c>
      <c r="F351">
        <f>PasteBBM!T351</f>
        <v>73</v>
      </c>
      <c r="G351">
        <f>PasteBBM!V351</f>
        <v>16</v>
      </c>
      <c r="H351">
        <f>PasteBBM!AC351*PasteBBM!AD351</f>
        <v>2.095205479</v>
      </c>
      <c r="I351">
        <f>PasteBBM!AC351</f>
        <v>0.4423716558</v>
      </c>
      <c r="J351">
        <f>PasteBBM!AE351*PasteBBM!AF351</f>
        <v>0.3345205479</v>
      </c>
      <c r="K351">
        <f>PasteBBM!AE351</f>
        <v>0.6143396226</v>
      </c>
      <c r="L351">
        <f>PasteBBM!X351</f>
        <v>0.6653424658</v>
      </c>
      <c r="M351">
        <f>PasteBBM!W351</f>
        <v>5.190273973</v>
      </c>
      <c r="N351">
        <f>PasteBBM!Y351</f>
        <v>2.613287671</v>
      </c>
      <c r="O351">
        <f>PasteBBM!Z351</f>
        <v>1.010958904</v>
      </c>
      <c r="P351">
        <f>PasteBBM!AA351</f>
        <v>0.4883561644</v>
      </c>
      <c r="Q351">
        <f>PasteBBM!AB351</f>
        <v>0.228630137</v>
      </c>
      <c r="R351">
        <f>PasteBBM!AG351</f>
        <v>0.49</v>
      </c>
      <c r="S351">
        <f>PasteBBM!AD351</f>
        <v>4.73630137</v>
      </c>
      <c r="T351">
        <f>PasteBBM!AF351</f>
        <v>0.5445205479</v>
      </c>
    </row>
    <row r="352">
      <c r="A352" s="5">
        <v>351.0</v>
      </c>
      <c r="B352" t="str">
        <f t="array" ref="B352">INDEX(PasteHashtag!$B$2:$B1000,MATCH(C352,PasteHashtag!$C$2:$C1000,0))</f>
        <v>#N/A</v>
      </c>
      <c r="C352" t="str">
        <f>PasteBBM!J352</f>
        <v>Lindy Waters III</v>
      </c>
      <c r="D352" t="str">
        <f>IFERROR(REPLACE(PasteBBM!L352, FIND("/",PasteBBM!L352),1,","),PasteBBM!L352)</f>
        <v>G</v>
      </c>
      <c r="E352" t="str">
        <f>PasteBBM!K352</f>
        <v>GSW</v>
      </c>
      <c r="F352">
        <f>PasteBBM!T352</f>
        <v>47</v>
      </c>
      <c r="G352">
        <f>PasteBBM!V352</f>
        <v>11</v>
      </c>
      <c r="H352">
        <f>PasteBBM!AC352*PasteBBM!AD352</f>
        <v>1.89</v>
      </c>
      <c r="I352">
        <f>PasteBBM!AC352</f>
        <v>0.4582409079</v>
      </c>
      <c r="J352">
        <f>PasteBBM!AE352*PasteBBM!AF352</f>
        <v>0.2004255319</v>
      </c>
      <c r="K352">
        <f>PasteBBM!AE352</f>
        <v>0.8148788927</v>
      </c>
      <c r="L352">
        <f>PasteBBM!X352</f>
        <v>1.266595745</v>
      </c>
      <c r="M352">
        <f>PasteBBM!W352</f>
        <v>5.247021277</v>
      </c>
      <c r="N352">
        <f>PasteBBM!Y352</f>
        <v>1.604255319</v>
      </c>
      <c r="O352">
        <f>PasteBBM!Z352</f>
        <v>0.6576595745</v>
      </c>
      <c r="P352">
        <f>PasteBBM!AA352</f>
        <v>0.319787234</v>
      </c>
      <c r="Q352">
        <f>PasteBBM!AB352</f>
        <v>0.2065957447</v>
      </c>
      <c r="R352">
        <f>PasteBBM!AG352</f>
        <v>0.3208510638</v>
      </c>
      <c r="S352">
        <f>PasteBBM!AD352</f>
        <v>4.124468085</v>
      </c>
      <c r="T352">
        <f>PasteBBM!AF352</f>
        <v>0.2459574468</v>
      </c>
    </row>
    <row r="353">
      <c r="A353" s="5">
        <v>352.0</v>
      </c>
      <c r="B353" t="str">
        <f t="array" ref="B353">INDEX(PasteHashtag!$B$2:$B1000,MATCH(C353,PasteHashtag!$C$2:$C1000,0))</f>
        <v/>
      </c>
      <c r="C353" t="str">
        <f>PasteBBM!J353</f>
        <v>Thomas Bryant</v>
      </c>
      <c r="D353" t="str">
        <f>IFERROR(REPLACE(PasteBBM!L353, FIND("/",PasteBBM!L353),1,","),PasteBBM!L353)</f>
        <v>C</v>
      </c>
      <c r="E353" t="str">
        <f>PasteBBM!K353</f>
        <v>MIA</v>
      </c>
      <c r="F353">
        <f>PasteBBM!T353</f>
        <v>25</v>
      </c>
      <c r="G353">
        <f>PasteBBM!V353</f>
        <v>10</v>
      </c>
      <c r="H353">
        <f>PasteBBM!AC353*PasteBBM!AD353</f>
        <v>1.7872</v>
      </c>
      <c r="I353">
        <f>PasteBBM!AC353</f>
        <v>0.58161937</v>
      </c>
      <c r="J353">
        <f>PasteBBM!AE353*PasteBBM!AF353</f>
        <v>0.7536</v>
      </c>
      <c r="K353">
        <f>PasteBBM!AE353</f>
        <v>0.8399465002</v>
      </c>
      <c r="L353">
        <f>PasteBBM!X353</f>
        <v>0.1768</v>
      </c>
      <c r="M353">
        <f>PasteBBM!W353</f>
        <v>4.5048</v>
      </c>
      <c r="N353">
        <f>PasteBBM!Y353</f>
        <v>3.3544</v>
      </c>
      <c r="O353">
        <f>PasteBBM!Z353</f>
        <v>0.4852</v>
      </c>
      <c r="P353">
        <f>PasteBBM!AA353</f>
        <v>0.1592</v>
      </c>
      <c r="Q353">
        <f>PasteBBM!AB353</f>
        <v>0.384</v>
      </c>
      <c r="R353">
        <f>PasteBBM!AG353</f>
        <v>0.3664</v>
      </c>
      <c r="S353">
        <f>PasteBBM!AD353</f>
        <v>3.0728</v>
      </c>
      <c r="T353">
        <f>PasteBBM!AF353</f>
        <v>0.8972</v>
      </c>
    </row>
    <row r="354">
      <c r="A354" s="5">
        <v>353.0</v>
      </c>
      <c r="B354" t="str">
        <f t="array" ref="B354">INDEX(PasteHashtag!$B$2:$B1000,MATCH(C354,PasteHashtag!$C$2:$C1000,0))</f>
        <v/>
      </c>
      <c r="C354" t="str">
        <f>PasteBBM!J354</f>
        <v>Shake Milton</v>
      </c>
      <c r="D354" t="str">
        <f>IFERROR(REPLACE(PasteBBM!L354, FIND("/",PasteBBM!L354),1,","),PasteBBM!L354)</f>
        <v>G</v>
      </c>
      <c r="E354" t="str">
        <f>PasteBBM!K354</f>
        <v>BKN</v>
      </c>
      <c r="F354">
        <f>PasteBBM!T354</f>
        <v>73</v>
      </c>
      <c r="G354">
        <f>PasteBBM!V354</f>
        <v>14</v>
      </c>
      <c r="H354">
        <f>PasteBBM!AC354*PasteBBM!AD354</f>
        <v>2.055753425</v>
      </c>
      <c r="I354">
        <f>PasteBBM!AC354</f>
        <v>0.4334151625</v>
      </c>
      <c r="J354">
        <f>PasteBBM!AE354*PasteBBM!AF354</f>
        <v>0.7487671232</v>
      </c>
      <c r="K354">
        <f>PasteBBM!AE354</f>
        <v>0.830951657</v>
      </c>
      <c r="L354">
        <f>PasteBBM!X354</f>
        <v>0.5201369863</v>
      </c>
      <c r="M354">
        <f>PasteBBM!W354</f>
        <v>5.380410959</v>
      </c>
      <c r="N354">
        <f>PasteBBM!Y354</f>
        <v>1.708630137</v>
      </c>
      <c r="O354">
        <f>PasteBBM!Z354</f>
        <v>2.027534247</v>
      </c>
      <c r="P354">
        <f>PasteBBM!AA354</f>
        <v>0.3830136986</v>
      </c>
      <c r="Q354">
        <f>PasteBBM!AB354</f>
        <v>0.1464383562</v>
      </c>
      <c r="R354">
        <f>PasteBBM!AG354</f>
        <v>0.7623287671</v>
      </c>
      <c r="S354">
        <f>PasteBBM!AD354</f>
        <v>4.743150685</v>
      </c>
      <c r="T354">
        <f>PasteBBM!AF354</f>
        <v>0.9010958904</v>
      </c>
    </row>
    <row r="355">
      <c r="A355" s="5">
        <v>354.0</v>
      </c>
      <c r="B355" t="str">
        <f t="array" ref="B355">INDEX(PasteHashtag!$B$2:$B1000,MATCH(C355,PasteHashtag!$C$2:$C1000,0))</f>
        <v/>
      </c>
      <c r="C355" t="str">
        <f>PasteBBM!J355</f>
        <v>Aaron Holiday</v>
      </c>
      <c r="D355" t="str">
        <f>IFERROR(REPLACE(PasteBBM!L355, FIND("/",PasteBBM!L355),1,","),PasteBBM!L355)</f>
        <v>G</v>
      </c>
      <c r="E355" t="str">
        <f>PasteBBM!K355</f>
        <v>HOU</v>
      </c>
      <c r="F355">
        <f>PasteBBM!T355</f>
        <v>47</v>
      </c>
      <c r="G355">
        <f>PasteBBM!V355</f>
        <v>13</v>
      </c>
      <c r="H355">
        <f>PasteBBM!AC355*PasteBBM!AD355</f>
        <v>1.925106383</v>
      </c>
      <c r="I355">
        <f>PasteBBM!AC355</f>
        <v>0.4399708242</v>
      </c>
      <c r="J355">
        <f>PasteBBM!AE355*PasteBBM!AF355</f>
        <v>0.494893617</v>
      </c>
      <c r="K355">
        <f>PasteBBM!AE355</f>
        <v>0.8698578908</v>
      </c>
      <c r="L355">
        <f>PasteBBM!X355</f>
        <v>0.8512765957</v>
      </c>
      <c r="M355">
        <f>PasteBBM!W355</f>
        <v>5.196382979</v>
      </c>
      <c r="N355">
        <f>PasteBBM!Y355</f>
        <v>1.094255319</v>
      </c>
      <c r="O355">
        <f>PasteBBM!Z355</f>
        <v>1.395106383</v>
      </c>
      <c r="P355">
        <f>PasteBBM!AA355</f>
        <v>0.4568085106</v>
      </c>
      <c r="Q355">
        <f>PasteBBM!AB355</f>
        <v>0.0829787234</v>
      </c>
      <c r="R355">
        <f>PasteBBM!AG355</f>
        <v>0.6070212766</v>
      </c>
      <c r="S355">
        <f>PasteBBM!AD355</f>
        <v>4.375531915</v>
      </c>
      <c r="T355">
        <f>PasteBBM!AF355</f>
        <v>0.5689361702</v>
      </c>
    </row>
    <row r="356">
      <c r="A356" s="5">
        <v>355.0</v>
      </c>
      <c r="B356" t="str">
        <f t="array" ref="B356">INDEX(PasteHashtag!$B$2:$B1000,MATCH(C356,PasteHashtag!$C$2:$C1000,0))</f>
        <v>#N/A</v>
      </c>
      <c r="C356" t="str">
        <f>PasteBBM!J356</f>
        <v>Trey Alexander</v>
      </c>
      <c r="D356" t="str">
        <f>IFERROR(REPLACE(PasteBBM!L356, FIND("/",PasteBBM!L356),1,","),PasteBBM!L356)</f>
        <v>G</v>
      </c>
      <c r="E356" t="str">
        <f>PasteBBM!K356</f>
        <v>DEN</v>
      </c>
      <c r="F356">
        <f>PasteBBM!T356</f>
        <v>47</v>
      </c>
      <c r="G356">
        <f>PasteBBM!V356</f>
        <v>15</v>
      </c>
      <c r="H356">
        <f>PasteBBM!AC356*PasteBBM!AD356</f>
        <v>1.969574468</v>
      </c>
      <c r="I356">
        <f>PasteBBM!AC356</f>
        <v>0.4070621345</v>
      </c>
      <c r="J356">
        <f>PasteBBM!AE356*PasteBBM!AF356</f>
        <v>0.6646808511</v>
      </c>
      <c r="K356">
        <f>PasteBBM!AE356</f>
        <v>0.808070357</v>
      </c>
      <c r="L356">
        <f>PasteBBM!X356</f>
        <v>0.7878723404</v>
      </c>
      <c r="M356">
        <f>PasteBBM!W356</f>
        <v>5.391702128</v>
      </c>
      <c r="N356">
        <f>PasteBBM!Y356</f>
        <v>1.96</v>
      </c>
      <c r="O356">
        <f>PasteBBM!Z356</f>
        <v>1.623191489</v>
      </c>
      <c r="P356">
        <f>PasteBBM!AA356</f>
        <v>0.3980851064</v>
      </c>
      <c r="Q356">
        <f>PasteBBM!AB356</f>
        <v>0.1531914894</v>
      </c>
      <c r="R356">
        <f>PasteBBM!AG356</f>
        <v>1.041276596</v>
      </c>
      <c r="S356">
        <f>PasteBBM!AD356</f>
        <v>4.838510638</v>
      </c>
      <c r="T356">
        <f>PasteBBM!AF356</f>
        <v>0.8225531915</v>
      </c>
    </row>
    <row r="357">
      <c r="A357" s="5">
        <v>356.0</v>
      </c>
      <c r="B357" t="str">
        <f t="array" ref="B357">INDEX(PasteHashtag!$B$2:$B1000,MATCH(C357,PasteHashtag!$C$2:$C1000,0))</f>
        <v/>
      </c>
      <c r="C357" t="str">
        <f>PasteBBM!J357</f>
        <v>James Wiseman</v>
      </c>
      <c r="D357" t="str">
        <f>IFERROR(REPLACE(PasteBBM!L357, FIND("/",PasteBBM!L357),1,","),PasteBBM!L357)</f>
        <v>C</v>
      </c>
      <c r="E357" t="str">
        <f>PasteBBM!K357</f>
        <v>IND</v>
      </c>
      <c r="F357">
        <f>PasteBBM!T357</f>
        <v>44</v>
      </c>
      <c r="G357">
        <f>PasteBBM!V357</f>
        <v>13</v>
      </c>
      <c r="H357">
        <f>PasteBBM!AC357*PasteBBM!AD357</f>
        <v>2.2425</v>
      </c>
      <c r="I357">
        <f>PasteBBM!AC357</f>
        <v>0.570017331</v>
      </c>
      <c r="J357">
        <f>PasteBBM!AE357*PasteBBM!AF357</f>
        <v>0.7929545457</v>
      </c>
      <c r="K357">
        <f>PasteBBM!AE357</f>
        <v>0.6979395879</v>
      </c>
      <c r="L357">
        <f>PasteBBM!X357</f>
        <v>0</v>
      </c>
      <c r="M357">
        <f>PasteBBM!W357</f>
        <v>5.277954545</v>
      </c>
      <c r="N357">
        <f>PasteBBM!Y357</f>
        <v>4.017045455</v>
      </c>
      <c r="O357">
        <f>PasteBBM!Z357</f>
        <v>0.6415909091</v>
      </c>
      <c r="P357">
        <f>PasteBBM!AA357</f>
        <v>0.1338636364</v>
      </c>
      <c r="Q357">
        <f>PasteBBM!AB357</f>
        <v>0.4856818182</v>
      </c>
      <c r="R357">
        <f>PasteBBM!AG357</f>
        <v>0.7970454545</v>
      </c>
      <c r="S357">
        <f>PasteBBM!AD357</f>
        <v>3.934090909</v>
      </c>
      <c r="T357">
        <f>PasteBBM!AF357</f>
        <v>1.136136364</v>
      </c>
    </row>
    <row r="358">
      <c r="A358" s="5">
        <v>357.0</v>
      </c>
      <c r="B358" t="str">
        <f t="array" ref="B358">INDEX(PasteHashtag!$B$2:$B1000,MATCH(C358,PasteHashtag!$C$2:$C1000,0))</f>
        <v/>
      </c>
      <c r="C358" t="str">
        <f>PasteBBM!J358</f>
        <v>Adem Bona</v>
      </c>
      <c r="D358" t="str">
        <f>IFERROR(REPLACE(PasteBBM!L358, FIND("/",PasteBBM!L358),1,","),PasteBBM!L358)</f>
        <v>F,C</v>
      </c>
      <c r="E358" t="str">
        <f>PasteBBM!K358</f>
        <v>PHI</v>
      </c>
      <c r="F358">
        <f>PasteBBM!T358</f>
        <v>16</v>
      </c>
      <c r="G358">
        <f>PasteBBM!V358</f>
        <v>12</v>
      </c>
      <c r="H358">
        <f>PasteBBM!AC358*PasteBBM!AD358</f>
        <v>1.33875</v>
      </c>
      <c r="I358">
        <f>PasteBBM!AC358</f>
        <v>0.5820652174</v>
      </c>
      <c r="J358">
        <f>PasteBBM!AE358*PasteBBM!AF358</f>
        <v>0.56375</v>
      </c>
      <c r="K358">
        <f>PasteBBM!AE358</f>
        <v>0.6797287114</v>
      </c>
      <c r="L358">
        <f>PasteBBM!X358</f>
        <v>0</v>
      </c>
      <c r="M358">
        <f>PasteBBM!W358</f>
        <v>3.24125</v>
      </c>
      <c r="N358">
        <f>PasteBBM!Y358</f>
        <v>2.695</v>
      </c>
      <c r="O358">
        <f>PasteBBM!Z358</f>
        <v>0.514375</v>
      </c>
      <c r="P358">
        <f>PasteBBM!AA358</f>
        <v>0.343125</v>
      </c>
      <c r="Q358">
        <f>PasteBBM!AB358</f>
        <v>0.68625</v>
      </c>
      <c r="R358">
        <f>PasteBBM!AG358</f>
        <v>0.80875</v>
      </c>
      <c r="S358">
        <f>PasteBBM!AD358</f>
        <v>2.3</v>
      </c>
      <c r="T358">
        <f>PasteBBM!AF358</f>
        <v>0.829375</v>
      </c>
    </row>
    <row r="359">
      <c r="A359" s="5">
        <v>358.0</v>
      </c>
      <c r="B359" t="str">
        <f t="array" ref="B359">INDEX(PasteHashtag!$B$2:$B1000,MATCH(C359,PasteHashtag!$C$2:$C1000,0))</f>
        <v>#N/A</v>
      </c>
      <c r="C359" t="str">
        <f>PasteBBM!J359</f>
        <v>Vit Krejci</v>
      </c>
      <c r="D359" t="str">
        <f>IFERROR(REPLACE(PasteBBM!L359, FIND("/",PasteBBM!L359),1,","),PasteBBM!L359)</f>
        <v>G</v>
      </c>
      <c r="E359" t="str">
        <f>PasteBBM!K359</f>
        <v>ATL</v>
      </c>
      <c r="F359">
        <f>PasteBBM!T359</f>
        <v>73</v>
      </c>
      <c r="G359">
        <f>PasteBBM!V359</f>
        <v>15</v>
      </c>
      <c r="H359">
        <f>PasteBBM!AC359*PasteBBM!AD359</f>
        <v>1.422328767</v>
      </c>
      <c r="I359">
        <f>PasteBBM!AC359</f>
        <v>0.4507097278</v>
      </c>
      <c r="J359">
        <f>PasteBBM!AE359*PasteBBM!AF359</f>
        <v>0.1289041096</v>
      </c>
      <c r="K359">
        <f>PasteBBM!AE359</f>
        <v>0.8168402778</v>
      </c>
      <c r="L359">
        <f>PasteBBM!X359</f>
        <v>0.7873972603</v>
      </c>
      <c r="M359">
        <f>PasteBBM!W359</f>
        <v>3.760958904</v>
      </c>
      <c r="N359">
        <f>PasteBBM!Y359</f>
        <v>1.624931507</v>
      </c>
      <c r="O359">
        <f>PasteBBM!Z359</f>
        <v>1.345205479</v>
      </c>
      <c r="P359">
        <f>PasteBBM!AA359</f>
        <v>0.3998630137</v>
      </c>
      <c r="Q359">
        <f>PasteBBM!AB359</f>
        <v>0.1891780822</v>
      </c>
      <c r="R359">
        <f>PasteBBM!AG359</f>
        <v>0.5984931507</v>
      </c>
      <c r="S359">
        <f>PasteBBM!AD359</f>
        <v>3.155753425</v>
      </c>
      <c r="T359">
        <f>PasteBBM!AF359</f>
        <v>0.1578082192</v>
      </c>
    </row>
    <row r="360">
      <c r="A360" s="5">
        <v>359.0</v>
      </c>
      <c r="B360" t="str">
        <f t="array" ref="B360">INDEX(PasteHashtag!$B$2:$B1000,MATCH(C360,PasteHashtag!$C$2:$C1000,0))</f>
        <v/>
      </c>
      <c r="C360" t="str">
        <f>PasteBBM!J360</f>
        <v>Seth Curry</v>
      </c>
      <c r="D360" t="str">
        <f>IFERROR(REPLACE(PasteBBM!L360, FIND("/",PasteBBM!L360),1,","),PasteBBM!L360)</f>
        <v>G</v>
      </c>
      <c r="E360" t="str">
        <f>PasteBBM!K360</f>
        <v>CHA</v>
      </c>
      <c r="F360">
        <f>PasteBBM!T360</f>
        <v>44</v>
      </c>
      <c r="G360">
        <f>PasteBBM!V360</f>
        <v>13</v>
      </c>
      <c r="H360">
        <f>PasteBBM!AC360*PasteBBM!AD360</f>
        <v>2.167272727</v>
      </c>
      <c r="I360">
        <f>PasteBBM!AC360</f>
        <v>0.4316690055</v>
      </c>
      <c r="J360">
        <f>PasteBBM!AE360*PasteBBM!AF360</f>
        <v>0.5004545455</v>
      </c>
      <c r="K360">
        <f>PasteBBM!AE360</f>
        <v>0.9061728395</v>
      </c>
      <c r="L360">
        <f>PasteBBM!X360</f>
        <v>1.003636364</v>
      </c>
      <c r="M360">
        <f>PasteBBM!W360</f>
        <v>5.838636364</v>
      </c>
      <c r="N360">
        <f>PasteBBM!Y360</f>
        <v>1.199545455</v>
      </c>
      <c r="O360">
        <f>PasteBBM!Z360</f>
        <v>0.9159090909</v>
      </c>
      <c r="P360">
        <f>PasteBBM!AA360</f>
        <v>0.4090909091</v>
      </c>
      <c r="Q360">
        <f>PasteBBM!AB360</f>
        <v>0.08477272727</v>
      </c>
      <c r="R360">
        <f>PasteBBM!AG360</f>
        <v>0.4795454545</v>
      </c>
      <c r="S360">
        <f>PasteBBM!AD360</f>
        <v>5.020681818</v>
      </c>
      <c r="T360">
        <f>PasteBBM!AF360</f>
        <v>0.5522727273</v>
      </c>
    </row>
    <row r="361">
      <c r="A361" s="5">
        <v>360.0</v>
      </c>
      <c r="B361" t="str">
        <f t="array" ref="B361">INDEX(PasteHashtag!$B$2:$B1000,MATCH(C361,PasteHashtag!$C$2:$C1000,0))</f>
        <v/>
      </c>
      <c r="C361" t="str">
        <f>PasteBBM!J361</f>
        <v>Anthony Black</v>
      </c>
      <c r="D361" t="str">
        <f>IFERROR(REPLACE(PasteBBM!L361, FIND("/",PasteBBM!L361),1,","),PasteBBM!L361)</f>
        <v>G</v>
      </c>
      <c r="E361" t="str">
        <f>PasteBBM!K361</f>
        <v>ORL</v>
      </c>
      <c r="F361">
        <f>PasteBBM!T361</f>
        <v>73</v>
      </c>
      <c r="G361">
        <f>PasteBBM!V361</f>
        <v>17</v>
      </c>
      <c r="H361">
        <f>PasteBBM!AC361*PasteBBM!AD361</f>
        <v>1.869041096</v>
      </c>
      <c r="I361">
        <f>PasteBBM!AC361</f>
        <v>0.4495848161</v>
      </c>
      <c r="J361">
        <f>PasteBBM!AE361*PasteBBM!AF361</f>
        <v>0.7645205482</v>
      </c>
      <c r="K361">
        <f>PasteBBM!AE361</f>
        <v>0.6130272408</v>
      </c>
      <c r="L361">
        <f>PasteBBM!X361</f>
        <v>0.6317808219</v>
      </c>
      <c r="M361">
        <f>PasteBBM!W361</f>
        <v>5.134383562</v>
      </c>
      <c r="N361">
        <f>PasteBBM!Y361</f>
        <v>2.061232877</v>
      </c>
      <c r="O361">
        <f>PasteBBM!Z361</f>
        <v>1.717671233</v>
      </c>
      <c r="P361">
        <f>PasteBBM!AA361</f>
        <v>0.4901369863</v>
      </c>
      <c r="Q361">
        <f>PasteBBM!AB361</f>
        <v>0.2717808219</v>
      </c>
      <c r="R361">
        <f>PasteBBM!AG361</f>
        <v>1.030684932</v>
      </c>
      <c r="S361">
        <f>PasteBBM!AD361</f>
        <v>4.157260274</v>
      </c>
      <c r="T361">
        <f>PasteBBM!AF361</f>
        <v>1.247123288</v>
      </c>
    </row>
    <row r="362">
      <c r="A362" s="5">
        <v>361.0</v>
      </c>
      <c r="B362" t="str">
        <f t="array" ref="B362">INDEX(PasteHashtag!$B$2:$B1000,MATCH(C362,PasteHashtag!$C$2:$C1000,0))</f>
        <v/>
      </c>
      <c r="C362" t="str">
        <f>PasteBBM!J362</f>
        <v>Jeremiah Robinson-Earl</v>
      </c>
      <c r="D362" t="str">
        <f>IFERROR(REPLACE(PasteBBM!L362, FIND("/",PasteBBM!L362),1,","),PasteBBM!L362)</f>
        <v>F</v>
      </c>
      <c r="E362" t="str">
        <f>PasteBBM!K362</f>
        <v>NOR</v>
      </c>
      <c r="F362">
        <f>PasteBBM!T362</f>
        <v>47</v>
      </c>
      <c r="G362">
        <f>PasteBBM!V362</f>
        <v>14</v>
      </c>
      <c r="H362">
        <f>PasteBBM!AC362*PasteBBM!AD362</f>
        <v>1.825957447</v>
      </c>
      <c r="I362">
        <f>PasteBBM!AC362</f>
        <v>0.4549647458</v>
      </c>
      <c r="J362">
        <f>PasteBBM!AE362*PasteBBM!AF362</f>
        <v>0.3944680851</v>
      </c>
      <c r="K362">
        <f>PasteBBM!AE362</f>
        <v>0.7561174551</v>
      </c>
      <c r="L362">
        <f>PasteBBM!X362</f>
        <v>0.5225531915</v>
      </c>
      <c r="M362">
        <f>PasteBBM!W362</f>
        <v>4.56893617</v>
      </c>
      <c r="N362">
        <f>PasteBBM!Y362</f>
        <v>3.118510638</v>
      </c>
      <c r="O362">
        <f>PasteBBM!Z362</f>
        <v>0.6842553191</v>
      </c>
      <c r="P362">
        <f>PasteBBM!AA362</f>
        <v>0.3685106383</v>
      </c>
      <c r="Q362">
        <f>PasteBBM!AB362</f>
        <v>0.175106383</v>
      </c>
      <c r="R362">
        <f>PasteBBM!AG362</f>
        <v>0.4370212766</v>
      </c>
      <c r="S362">
        <f>PasteBBM!AD362</f>
        <v>4.013404255</v>
      </c>
      <c r="T362">
        <f>PasteBBM!AF362</f>
        <v>0.5217021277</v>
      </c>
    </row>
    <row r="363">
      <c r="A363" s="5">
        <v>362.0</v>
      </c>
      <c r="B363" t="str">
        <f t="array" ref="B363">INDEX(PasteHashtag!$B$2:$B1000,MATCH(C363,PasteHashtag!$C$2:$C1000,0))</f>
        <v/>
      </c>
      <c r="C363" t="str">
        <f>PasteBBM!J363</f>
        <v>Jordan Hawkins</v>
      </c>
      <c r="D363" t="str">
        <f>IFERROR(REPLACE(PasteBBM!L363, FIND("/",PasteBBM!L363),1,","),PasteBBM!L363)</f>
        <v>G</v>
      </c>
      <c r="E363" t="str">
        <f>PasteBBM!K363</f>
        <v>NOR</v>
      </c>
      <c r="F363">
        <f>PasteBBM!T363</f>
        <v>73</v>
      </c>
      <c r="G363">
        <f>PasteBBM!V363</f>
        <v>17</v>
      </c>
      <c r="H363">
        <f>PasteBBM!AC363*PasteBBM!AD363</f>
        <v>2.322739726</v>
      </c>
      <c r="I363">
        <f>PasteBBM!AC363</f>
        <v>0.3943530944</v>
      </c>
      <c r="J363">
        <f>PasteBBM!AE363*PasteBBM!AF363</f>
        <v>0.7897260274</v>
      </c>
      <c r="K363">
        <f>PasteBBM!AE363</f>
        <v>0.8379360465</v>
      </c>
      <c r="L363">
        <f>PasteBBM!X363</f>
        <v>1.42109589</v>
      </c>
      <c r="M363">
        <f>PasteBBM!W363</f>
        <v>6.85630137</v>
      </c>
      <c r="N363">
        <f>PasteBBM!Y363</f>
        <v>2.138767123</v>
      </c>
      <c r="O363">
        <f>PasteBBM!Z363</f>
        <v>0.8064383562</v>
      </c>
      <c r="P363">
        <f>PasteBBM!AA363</f>
        <v>0.2457534247</v>
      </c>
      <c r="Q363">
        <f>PasteBBM!AB363</f>
        <v>0.1050684932</v>
      </c>
      <c r="R363">
        <f>PasteBBM!AG363</f>
        <v>0.5957534247</v>
      </c>
      <c r="S363">
        <f>PasteBBM!AD363</f>
        <v>5.89</v>
      </c>
      <c r="T363">
        <f>PasteBBM!AF363</f>
        <v>0.9424657534</v>
      </c>
    </row>
    <row r="364">
      <c r="A364" s="5">
        <v>363.0</v>
      </c>
      <c r="B364" t="str">
        <f t="array" ref="B364">INDEX(PasteHashtag!$B$2:$B1000,MATCH(C364,PasteHashtag!$C$2:$C1000,0))</f>
        <v/>
      </c>
      <c r="C364" t="str">
        <f>PasteBBM!J364</f>
        <v>Jock Landale</v>
      </c>
      <c r="D364" t="str">
        <f>IFERROR(REPLACE(PasteBBM!L364, FIND("/",PasteBBM!L364),1,","),PasteBBM!L364)</f>
        <v>C</v>
      </c>
      <c r="E364" t="str">
        <f>PasteBBM!K364</f>
        <v>HOU</v>
      </c>
      <c r="F364">
        <f>PasteBBM!T364</f>
        <v>16</v>
      </c>
      <c r="G364">
        <f>PasteBBM!V364</f>
        <v>12</v>
      </c>
      <c r="H364">
        <f>PasteBBM!AC364*PasteBBM!AD364</f>
        <v>1.66875</v>
      </c>
      <c r="I364">
        <f>PasteBBM!AC364</f>
        <v>0.5327214685</v>
      </c>
      <c r="J364">
        <f>PasteBBM!AE364*PasteBBM!AF364</f>
        <v>0.671875</v>
      </c>
      <c r="K364">
        <f>PasteBBM!AE364</f>
        <v>0.7613314448</v>
      </c>
      <c r="L364">
        <f>PasteBBM!X364</f>
        <v>0.188125</v>
      </c>
      <c r="M364">
        <f>PasteBBM!W364</f>
        <v>4.1975</v>
      </c>
      <c r="N364">
        <f>PasteBBM!Y364</f>
        <v>2.600625</v>
      </c>
      <c r="O364">
        <f>PasteBBM!Z364</f>
        <v>0.915</v>
      </c>
      <c r="P364">
        <f>PasteBBM!AA364</f>
        <v>0.248125</v>
      </c>
      <c r="Q364">
        <f>PasteBBM!AB364</f>
        <v>0.433125</v>
      </c>
      <c r="R364">
        <f>PasteBBM!AG364</f>
        <v>0.56</v>
      </c>
      <c r="S364">
        <f>PasteBBM!AD364</f>
        <v>3.1325</v>
      </c>
      <c r="T364">
        <f>PasteBBM!AF364</f>
        <v>0.8825</v>
      </c>
    </row>
    <row r="365">
      <c r="A365" s="5">
        <v>364.0</v>
      </c>
      <c r="B365" t="str">
        <f t="array" ref="B365">INDEX(PasteHashtag!$B$2:$B1000,MATCH(C365,PasteHashtag!$C$2:$C1000,0))</f>
        <v/>
      </c>
      <c r="C365" t="str">
        <f>PasteBBM!J365</f>
        <v>Nick Smith Jr.</v>
      </c>
      <c r="D365" t="str">
        <f>IFERROR(REPLACE(PasteBBM!L365, FIND("/",PasteBBM!L365),1,","),PasteBBM!L365)</f>
        <v>G</v>
      </c>
      <c r="E365" t="str">
        <f>PasteBBM!K365</f>
        <v>CHA</v>
      </c>
      <c r="F365">
        <f>PasteBBM!T365</f>
        <v>57</v>
      </c>
      <c r="G365">
        <f>PasteBBM!V365</f>
        <v>16</v>
      </c>
      <c r="H365">
        <f>PasteBBM!AC365*PasteBBM!AD365</f>
        <v>2.88754386</v>
      </c>
      <c r="I365">
        <f>PasteBBM!AC365</f>
        <v>0.3893685979</v>
      </c>
      <c r="J365">
        <f>PasteBBM!AE365*PasteBBM!AF365</f>
        <v>0.3449122807</v>
      </c>
      <c r="K365">
        <f>PasteBBM!AE365</f>
        <v>0.8634167765</v>
      </c>
      <c r="L365">
        <f>PasteBBM!X365</f>
        <v>1.336491228</v>
      </c>
      <c r="M365">
        <f>PasteBBM!W365</f>
        <v>7.456491228</v>
      </c>
      <c r="N365">
        <f>PasteBBM!Y365</f>
        <v>1.634385965</v>
      </c>
      <c r="O365">
        <f>PasteBBM!Z365</f>
        <v>1.579298246</v>
      </c>
      <c r="P365">
        <f>PasteBBM!AA365</f>
        <v>0.248245614</v>
      </c>
      <c r="Q365">
        <f>PasteBBM!AB365</f>
        <v>0.1689473684</v>
      </c>
      <c r="R365">
        <f>PasteBBM!AG365</f>
        <v>0.8240350877</v>
      </c>
      <c r="S365">
        <f>PasteBBM!AD365</f>
        <v>7.415964912</v>
      </c>
      <c r="T365">
        <f>PasteBBM!AF365</f>
        <v>0.3994736842</v>
      </c>
    </row>
    <row r="366">
      <c r="A366" s="5">
        <v>365.0</v>
      </c>
      <c r="B366" t="str">
        <f t="array" ref="B366">INDEX(PasteHashtag!$B$2:$B1000,MATCH(C366,PasteHashtag!$C$2:$C1000,0))</f>
        <v>#N/A</v>
      </c>
      <c r="C366" t="str">
        <f>PasteBBM!J366</f>
        <v>Jeff Dowtin Jr</v>
      </c>
      <c r="D366" t="str">
        <f>IFERROR(REPLACE(PasteBBM!L366, FIND("/",PasteBBM!L366),1,","),PasteBBM!L366)</f>
        <v>G</v>
      </c>
      <c r="E366" t="str">
        <f>PasteBBM!K366</f>
        <v>PHI</v>
      </c>
      <c r="F366">
        <f>PasteBBM!T366</f>
        <v>16</v>
      </c>
      <c r="G366">
        <f>PasteBBM!V366</f>
        <v>12</v>
      </c>
      <c r="H366">
        <f>PasteBBM!AC366*PasteBBM!AD366</f>
        <v>1.289375</v>
      </c>
      <c r="I366">
        <f>PasteBBM!AC366</f>
        <v>0.4316802678</v>
      </c>
      <c r="J366">
        <f>PasteBBM!AE366*PasteBBM!AF366</f>
        <v>0.261875</v>
      </c>
      <c r="K366">
        <f>PasteBBM!AE366</f>
        <v>0.7299651568</v>
      </c>
      <c r="L366">
        <f>PasteBBM!X366</f>
        <v>0.6075</v>
      </c>
      <c r="M366">
        <f>PasteBBM!W366</f>
        <v>3.448125</v>
      </c>
      <c r="N366">
        <f>PasteBBM!Y366</f>
        <v>1.64125</v>
      </c>
      <c r="O366">
        <f>PasteBBM!Z366</f>
        <v>1.96</v>
      </c>
      <c r="P366">
        <f>PasteBBM!AA366</f>
        <v>0.445</v>
      </c>
      <c r="Q366">
        <f>PasteBBM!AB366</f>
        <v>0.1225</v>
      </c>
      <c r="R366">
        <f>PasteBBM!AG366</f>
        <v>0.49</v>
      </c>
      <c r="S366">
        <f>PasteBBM!AD366</f>
        <v>2.986875</v>
      </c>
      <c r="T366">
        <f>PasteBBM!AF366</f>
        <v>0.35875</v>
      </c>
    </row>
    <row r="367">
      <c r="A367" s="5">
        <v>366.0</v>
      </c>
      <c r="B367" t="str">
        <f t="array" ref="B367">INDEX(PasteHashtag!$B$2:$B1000,MATCH(C367,PasteHashtag!$C$2:$C1000,0))</f>
        <v>#N/A</v>
      </c>
      <c r="C367" t="str">
        <f>PasteBBM!J367</f>
        <v>Mouhamed Gueye</v>
      </c>
      <c r="D367" t="str">
        <f>IFERROR(REPLACE(PasteBBM!L367, FIND("/",PasteBBM!L367),1,","),PasteBBM!L367)</f>
        <v>F</v>
      </c>
      <c r="E367" t="str">
        <f>PasteBBM!K367</f>
        <v>ATL</v>
      </c>
      <c r="F367">
        <f>PasteBBM!T367</f>
        <v>25</v>
      </c>
      <c r="G367">
        <f>PasteBBM!V367</f>
        <v>11</v>
      </c>
      <c r="H367">
        <f>PasteBBM!AC367*PasteBBM!AD367</f>
        <v>1.564</v>
      </c>
      <c r="I367">
        <f>PasteBBM!AC367</f>
        <v>0.4551804424</v>
      </c>
      <c r="J367">
        <f>PasteBBM!AE367*PasteBBM!AF367</f>
        <v>0.7096</v>
      </c>
      <c r="K367">
        <f>PasteBBM!AE367</f>
        <v>0.7118780096</v>
      </c>
      <c r="L367">
        <f>PasteBBM!X367</f>
        <v>0.4388</v>
      </c>
      <c r="M367">
        <f>PasteBBM!W367</f>
        <v>4.2764</v>
      </c>
      <c r="N367">
        <f>PasteBBM!Y367</f>
        <v>2.9792</v>
      </c>
      <c r="O367">
        <f>PasteBBM!Z367</f>
        <v>0.5132</v>
      </c>
      <c r="P367">
        <f>PasteBBM!AA367</f>
        <v>0.34</v>
      </c>
      <c r="Q367">
        <f>PasteBBM!AB367</f>
        <v>0.4584</v>
      </c>
      <c r="R367">
        <f>PasteBBM!AG367</f>
        <v>0.4124</v>
      </c>
      <c r="S367">
        <f>PasteBBM!AD367</f>
        <v>3.436</v>
      </c>
      <c r="T367">
        <f>PasteBBM!AF367</f>
        <v>0.9968</v>
      </c>
    </row>
    <row r="368">
      <c r="A368" s="5">
        <v>367.0</v>
      </c>
      <c r="B368" t="str">
        <f t="array" ref="B368">INDEX(PasteHashtag!$B$2:$B1000,MATCH(C368,PasteHashtag!$C$2:$C1000,0))</f>
        <v>#N/A</v>
      </c>
      <c r="C368" t="str">
        <f>PasteBBM!J368</f>
        <v>Sandro Mamukelashvili</v>
      </c>
      <c r="D368" t="str">
        <f>IFERROR(REPLACE(PasteBBM!L368, FIND("/",PasteBBM!L368),1,","),PasteBBM!L368)</f>
        <v>F</v>
      </c>
      <c r="E368" t="str">
        <f>PasteBBM!K368</f>
        <v>SAS</v>
      </c>
      <c r="F368">
        <f>PasteBBM!T368</f>
        <v>47</v>
      </c>
      <c r="G368">
        <f>PasteBBM!V368</f>
        <v>11</v>
      </c>
      <c r="H368">
        <f>PasteBBM!AC368*PasteBBM!AD368</f>
        <v>1.890638298</v>
      </c>
      <c r="I368">
        <f>PasteBBM!AC368</f>
        <v>0.4969798658</v>
      </c>
      <c r="J368">
        <f>PasteBBM!AE368*PasteBBM!AF368</f>
        <v>0.5508510638</v>
      </c>
      <c r="K368">
        <f>PasteBBM!AE368</f>
        <v>0.7239932886</v>
      </c>
      <c r="L368">
        <f>PasteBBM!X368</f>
        <v>0.4480851064</v>
      </c>
      <c r="M368">
        <f>PasteBBM!W368</f>
        <v>4.780212766</v>
      </c>
      <c r="N368">
        <f>PasteBBM!Y368</f>
        <v>3.414680851</v>
      </c>
      <c r="O368">
        <f>PasteBBM!Z368</f>
        <v>1.011914894</v>
      </c>
      <c r="P368">
        <f>PasteBBM!AA368</f>
        <v>0.204893617</v>
      </c>
      <c r="Q368">
        <f>PasteBBM!AB368</f>
        <v>0.23</v>
      </c>
      <c r="R368">
        <f>PasteBBM!AG368</f>
        <v>0.5057446809</v>
      </c>
      <c r="S368">
        <f>PasteBBM!AD368</f>
        <v>3.804255319</v>
      </c>
      <c r="T368">
        <f>PasteBBM!AF368</f>
        <v>0.7608510638</v>
      </c>
    </row>
    <row r="369">
      <c r="A369" s="5">
        <v>368.0</v>
      </c>
      <c r="B369" t="str">
        <f t="array" ref="B369">INDEX(PasteHashtag!$B$2:$B1000,MATCH(C369,PasteHashtag!$C$2:$C1000,0))</f>
        <v>#N/A</v>
      </c>
      <c r="C369" t="str">
        <f>PasteBBM!J369</f>
        <v>Patrick Baldwin</v>
      </c>
      <c r="D369" t="str">
        <f>IFERROR(REPLACE(PasteBBM!L369, FIND("/",PasteBBM!L369),1,","),PasteBBM!L369)</f>
        <v>F</v>
      </c>
      <c r="E369" t="str">
        <f>PasteBBM!K369</f>
        <v>WAS</v>
      </c>
      <c r="F369">
        <f>PasteBBM!T369</f>
        <v>44</v>
      </c>
      <c r="G369">
        <f>PasteBBM!V369</f>
        <v>12</v>
      </c>
      <c r="H369">
        <f>PasteBBM!AC369*PasteBBM!AD369</f>
        <v>1.337727273</v>
      </c>
      <c r="I369">
        <f>PasteBBM!AC369</f>
        <v>0.3988885877</v>
      </c>
      <c r="J369">
        <f>PasteBBM!AE369*PasteBBM!AF369</f>
        <v>0.2940909091</v>
      </c>
      <c r="K369">
        <f>PasteBBM!AE369</f>
        <v>0.6785527006</v>
      </c>
      <c r="L369">
        <f>PasteBBM!X369</f>
        <v>0.7872727273</v>
      </c>
      <c r="M369">
        <f>PasteBBM!W369</f>
        <v>3.756818182</v>
      </c>
      <c r="N369">
        <f>PasteBBM!Y369</f>
        <v>2.86</v>
      </c>
      <c r="O369">
        <f>PasteBBM!Z369</f>
        <v>0.6556818182</v>
      </c>
      <c r="P369">
        <f>PasteBBM!AA369</f>
        <v>0.3838636364</v>
      </c>
      <c r="Q369">
        <f>PasteBBM!AB369</f>
        <v>0.3115909091</v>
      </c>
      <c r="R369">
        <f>PasteBBM!AG369</f>
        <v>0.505</v>
      </c>
      <c r="S369">
        <f>PasteBBM!AD369</f>
        <v>3.353636364</v>
      </c>
      <c r="T369">
        <f>PasteBBM!AF369</f>
        <v>0.4334090909</v>
      </c>
    </row>
    <row r="370">
      <c r="A370" s="5">
        <v>369.0</v>
      </c>
      <c r="B370" t="str">
        <f t="array" ref="B370">INDEX(PasteHashtag!$B$2:$B1000,MATCH(C370,PasteHashtag!$C$2:$C1000,0))</f>
        <v>#N/A</v>
      </c>
      <c r="C370" t="str">
        <f>PasteBBM!J370</f>
        <v>Svi Mykhailiuk</v>
      </c>
      <c r="D370" t="str">
        <f>IFERROR(REPLACE(PasteBBM!L370, FIND("/",PasteBBM!L370),1,","),PasteBBM!L370)</f>
        <v>F</v>
      </c>
      <c r="E370" t="str">
        <f>PasteBBM!K370</f>
        <v>UTA</v>
      </c>
      <c r="F370">
        <f>PasteBBM!T370</f>
        <v>50</v>
      </c>
      <c r="G370">
        <f>PasteBBM!V370</f>
        <v>12</v>
      </c>
      <c r="H370">
        <f>PasteBBM!AC370*PasteBBM!AD370</f>
        <v>1.7308</v>
      </c>
      <c r="I370">
        <f>PasteBBM!AC370</f>
        <v>0.4079189253</v>
      </c>
      <c r="J370">
        <f>PasteBBM!AE370*PasteBBM!AF370</f>
        <v>0.4438</v>
      </c>
      <c r="K370">
        <f>PasteBBM!AE370</f>
        <v>0.7421404682</v>
      </c>
      <c r="L370">
        <f>PasteBBM!X370</f>
        <v>1.1678</v>
      </c>
      <c r="M370">
        <f>PasteBBM!W370</f>
        <v>5.0732</v>
      </c>
      <c r="N370">
        <f>PasteBBM!Y370</f>
        <v>1.414</v>
      </c>
      <c r="O370">
        <f>PasteBBM!Z370</f>
        <v>1.3888</v>
      </c>
      <c r="P370">
        <f>PasteBBM!AA370</f>
        <v>0.4056</v>
      </c>
      <c r="Q370">
        <f>PasteBBM!AB370</f>
        <v>0.0756</v>
      </c>
      <c r="R370">
        <f>PasteBBM!AG370</f>
        <v>0.5796</v>
      </c>
      <c r="S370">
        <f>PasteBBM!AD370</f>
        <v>4.243</v>
      </c>
      <c r="T370">
        <f>PasteBBM!AF370</f>
        <v>0.598</v>
      </c>
    </row>
    <row r="371">
      <c r="A371" s="5">
        <v>370.0</v>
      </c>
      <c r="B371" t="str">
        <f t="array" ref="B371">INDEX(PasteHashtag!$B$2:$B1000,MATCH(C371,PasteHashtag!$C$2:$C1000,0))</f>
        <v/>
      </c>
      <c r="C371" t="str">
        <f>PasteBBM!J371</f>
        <v>Chris Duarte</v>
      </c>
      <c r="D371" t="str">
        <f>IFERROR(REPLACE(PasteBBM!L371, FIND("/",PasteBBM!L371),1,","),PasteBBM!L371)</f>
        <v>G</v>
      </c>
      <c r="E371" t="str">
        <f>PasteBBM!K371</f>
        <v>CHI</v>
      </c>
      <c r="F371">
        <f>PasteBBM!T371</f>
        <v>16</v>
      </c>
      <c r="G371">
        <f>PasteBBM!V371</f>
        <v>14</v>
      </c>
      <c r="H371">
        <f>PasteBBM!AC371*PasteBBM!AD371</f>
        <v>1.694375</v>
      </c>
      <c r="I371">
        <f>PasteBBM!AC371</f>
        <v>0.3846481271</v>
      </c>
      <c r="J371">
        <f>PasteBBM!AE371*PasteBBM!AF371</f>
        <v>0.395</v>
      </c>
      <c r="K371">
        <f>PasteBBM!AE371</f>
        <v>0.815483871</v>
      </c>
      <c r="L371">
        <f>PasteBBM!X371</f>
        <v>1.01875</v>
      </c>
      <c r="M371">
        <f>PasteBBM!W371</f>
        <v>4.8025</v>
      </c>
      <c r="N371">
        <f>PasteBBM!Y371</f>
        <v>1.94375</v>
      </c>
      <c r="O371">
        <f>PasteBBM!Z371</f>
        <v>0.68625</v>
      </c>
      <c r="P371">
        <f>PasteBBM!AA371</f>
        <v>0.4575</v>
      </c>
      <c r="Q371">
        <f>PasteBBM!AB371</f>
        <v>0.143125</v>
      </c>
      <c r="R371">
        <f>PasteBBM!AG371</f>
        <v>0.571875</v>
      </c>
      <c r="S371">
        <f>PasteBBM!AD371</f>
        <v>4.405</v>
      </c>
      <c r="T371">
        <f>PasteBBM!AF371</f>
        <v>0.484375</v>
      </c>
    </row>
    <row r="372">
      <c r="A372" s="5">
        <v>371.0</v>
      </c>
      <c r="B372" t="str">
        <f t="array" ref="B372">INDEX(PasteHashtag!$B$2:$B1000,MATCH(C372,PasteHashtag!$C$2:$C1000,0))</f>
        <v/>
      </c>
      <c r="C372" t="str">
        <f>PasteBBM!J372</f>
        <v>Dru Smith</v>
      </c>
      <c r="D372" t="str">
        <f>IFERROR(REPLACE(PasteBBM!L372, FIND("/",PasteBBM!L372),1,","),PasteBBM!L372)</f>
        <v>G</v>
      </c>
      <c r="E372" t="str">
        <f>PasteBBM!K372</f>
        <v>MIA</v>
      </c>
      <c r="F372">
        <f>PasteBBM!T372</f>
        <v>16</v>
      </c>
      <c r="G372">
        <f>PasteBBM!V372</f>
        <v>11</v>
      </c>
      <c r="H372">
        <f>PasteBBM!AC372*PasteBBM!AD372</f>
        <v>1.225625</v>
      </c>
      <c r="I372">
        <f>PasteBBM!AC372</f>
        <v>0.4243670201</v>
      </c>
      <c r="J372">
        <f>PasteBBM!AE372*PasteBBM!AF372</f>
        <v>0.205</v>
      </c>
      <c r="K372">
        <f>PasteBBM!AE372</f>
        <v>0.8864864865</v>
      </c>
      <c r="L372">
        <f>PasteBBM!X372</f>
        <v>0.559375</v>
      </c>
      <c r="M372">
        <f>PasteBBM!W372</f>
        <v>3.215625</v>
      </c>
      <c r="N372">
        <f>PasteBBM!Y372</f>
        <v>1.11125</v>
      </c>
      <c r="O372">
        <f>PasteBBM!Z372</f>
        <v>1.300625</v>
      </c>
      <c r="P372">
        <f>PasteBBM!AA372</f>
        <v>0.536875</v>
      </c>
      <c r="Q372">
        <f>PasteBBM!AB372</f>
        <v>0.171875</v>
      </c>
      <c r="R372">
        <f>PasteBBM!AG372</f>
        <v>0.494375</v>
      </c>
      <c r="S372">
        <f>PasteBBM!AD372</f>
        <v>2.888125</v>
      </c>
      <c r="T372">
        <f>PasteBBM!AF372</f>
        <v>0.23125</v>
      </c>
    </row>
    <row r="373">
      <c r="A373" s="5">
        <v>372.0</v>
      </c>
      <c r="B373" t="str">
        <f t="array" ref="B373">INDEX(PasteHashtag!$B$2:$B1000,MATCH(C373,PasteHashtag!$C$2:$C1000,0))</f>
        <v>#N/A</v>
      </c>
      <c r="C373" t="str">
        <f>PasteBBM!J373</f>
        <v>Jae'Sean Tate</v>
      </c>
      <c r="D373" t="str">
        <f>IFERROR(REPLACE(PasteBBM!L373, FIND("/",PasteBBM!L373),1,","),PasteBBM!L373)</f>
        <v>F</v>
      </c>
      <c r="E373" t="str">
        <f>PasteBBM!K373</f>
        <v>HOU</v>
      </c>
      <c r="F373">
        <f>PasteBBM!T373</f>
        <v>68</v>
      </c>
      <c r="G373">
        <f>PasteBBM!V373</f>
        <v>13</v>
      </c>
      <c r="H373">
        <f>PasteBBM!AC373*PasteBBM!AD373</f>
        <v>1.419411765</v>
      </c>
      <c r="I373">
        <f>PasteBBM!AC373</f>
        <v>0.4805815575</v>
      </c>
      <c r="J373">
        <f>PasteBBM!AE373*PasteBBM!AF373</f>
        <v>0.3370588235</v>
      </c>
      <c r="K373">
        <f>PasteBBM!AE373</f>
        <v>0.713130056</v>
      </c>
      <c r="L373">
        <f>PasteBBM!X373</f>
        <v>0.2217647059</v>
      </c>
      <c r="M373">
        <f>PasteBBM!W373</f>
        <v>3.397647059</v>
      </c>
      <c r="N373">
        <f>PasteBBM!Y373</f>
        <v>2.270441176</v>
      </c>
      <c r="O373">
        <f>PasteBBM!Z373</f>
        <v>0.9652941176</v>
      </c>
      <c r="P373">
        <f>PasteBBM!AA373</f>
        <v>0.5110294118</v>
      </c>
      <c r="Q373">
        <f>PasteBBM!AB373</f>
        <v>0.1933823529</v>
      </c>
      <c r="R373">
        <f>PasteBBM!AG373</f>
        <v>0.6067647059</v>
      </c>
      <c r="S373">
        <f>PasteBBM!AD373</f>
        <v>2.953529412</v>
      </c>
      <c r="T373">
        <f>PasteBBM!AF373</f>
        <v>0.4726470588</v>
      </c>
    </row>
    <row r="374">
      <c r="A374" s="5">
        <v>373.0</v>
      </c>
      <c r="B374" t="str">
        <f t="array" ref="B374">INDEX(PasteHashtag!$B$2:$B1000,MATCH(C374,PasteHashtag!$C$2:$C1000,0))</f>
        <v>#N/A</v>
      </c>
      <c r="C374" t="str">
        <f>PasteBBM!J374</f>
        <v>KJ Martin</v>
      </c>
      <c r="D374" t="str">
        <f>IFERROR(REPLACE(PasteBBM!L374, FIND("/",PasteBBM!L374),1,","),PasteBBM!L374)</f>
        <v>F</v>
      </c>
      <c r="E374" t="str">
        <f>PasteBBM!K374</f>
        <v>PHI</v>
      </c>
      <c r="F374">
        <f>PasteBBM!T374</f>
        <v>47</v>
      </c>
      <c r="G374">
        <f>PasteBBM!V374</f>
        <v>14</v>
      </c>
      <c r="H374">
        <f>PasteBBM!AC374*PasteBBM!AD374</f>
        <v>1.646595745</v>
      </c>
      <c r="I374">
        <f>PasteBBM!AC374</f>
        <v>0.5701760849</v>
      </c>
      <c r="J374">
        <f>PasteBBM!AE374*PasteBBM!AF374</f>
        <v>0.2431914893</v>
      </c>
      <c r="K374">
        <f>PasteBBM!AE374</f>
        <v>0.6479591837</v>
      </c>
      <c r="L374">
        <f>PasteBBM!X374</f>
        <v>0.1044680851</v>
      </c>
      <c r="M374">
        <f>PasteBBM!W374</f>
        <v>3.640851064</v>
      </c>
      <c r="N374">
        <f>PasteBBM!Y374</f>
        <v>2.80106383</v>
      </c>
      <c r="O374">
        <f>PasteBBM!Z374</f>
        <v>0.7395744681</v>
      </c>
      <c r="P374">
        <f>PasteBBM!AA374</f>
        <v>0.3057446809</v>
      </c>
      <c r="Q374">
        <f>PasteBBM!AB374</f>
        <v>0.3429787234</v>
      </c>
      <c r="R374">
        <f>PasteBBM!AG374</f>
        <v>0.5217021277</v>
      </c>
      <c r="S374">
        <f>PasteBBM!AD374</f>
        <v>2.88787234</v>
      </c>
      <c r="T374">
        <f>PasteBBM!AF374</f>
        <v>0.3753191489</v>
      </c>
    </row>
    <row r="375">
      <c r="A375" s="5">
        <v>374.0</v>
      </c>
      <c r="B375" t="str">
        <f t="array" ref="B375">INDEX(PasteHashtag!$B$2:$B1000,MATCH(C375,PasteHashtag!$C$2:$C1000,0))</f>
        <v/>
      </c>
      <c r="C375" t="str">
        <f>PasteBBM!J375</f>
        <v>Ousmane Dieng</v>
      </c>
      <c r="D375" t="str">
        <f>IFERROR(REPLACE(PasteBBM!L375, FIND("/",PasteBBM!L375),1,","),PasteBBM!L375)</f>
        <v>F</v>
      </c>
      <c r="E375" t="str">
        <f>PasteBBM!K375</f>
        <v>OKC</v>
      </c>
      <c r="F375">
        <f>PasteBBM!T375</f>
        <v>73</v>
      </c>
      <c r="G375">
        <f>PasteBBM!V375</f>
        <v>14</v>
      </c>
      <c r="H375">
        <f>PasteBBM!AC375*PasteBBM!AD375</f>
        <v>1.880547945</v>
      </c>
      <c r="I375">
        <f>PasteBBM!AC375</f>
        <v>0.4228032893</v>
      </c>
      <c r="J375">
        <f>PasteBBM!AE375*PasteBBM!AF375</f>
        <v>0.5019178082</v>
      </c>
      <c r="K375">
        <f>PasteBBM!AE375</f>
        <v>0.805983282</v>
      </c>
      <c r="L375">
        <f>PasteBBM!X375</f>
        <v>0.7804109589</v>
      </c>
      <c r="M375">
        <f>PasteBBM!W375</f>
        <v>5.043424658</v>
      </c>
      <c r="N375">
        <f>PasteBBM!Y375</f>
        <v>1.826438356</v>
      </c>
      <c r="O375">
        <f>PasteBBM!Z375</f>
        <v>1.312191781</v>
      </c>
      <c r="P375">
        <f>PasteBBM!AA375</f>
        <v>0.3336986301</v>
      </c>
      <c r="Q375">
        <f>PasteBBM!AB375</f>
        <v>0.1738356164</v>
      </c>
      <c r="R375">
        <f>PasteBBM!AG375</f>
        <v>0.7364383562</v>
      </c>
      <c r="S375">
        <f>PasteBBM!AD375</f>
        <v>4.447808219</v>
      </c>
      <c r="T375">
        <f>PasteBBM!AF375</f>
        <v>0.622739726</v>
      </c>
    </row>
    <row r="376">
      <c r="A376" s="5">
        <v>375.0</v>
      </c>
      <c r="B376" t="str">
        <f t="array" ref="B376">INDEX(PasteHashtag!$B$2:$B1000,MATCH(C376,PasteHashtag!$C$2:$C1000,0))</f>
        <v>#N/A</v>
      </c>
      <c r="C376" t="str">
        <f>PasteBBM!J376</f>
        <v>Jordan Miller</v>
      </c>
      <c r="D376" t="str">
        <f>IFERROR(REPLACE(PasteBBM!L376, FIND("/",PasteBBM!L376),1,","),PasteBBM!L376)</f>
        <v>F</v>
      </c>
      <c r="E376" t="str">
        <f>PasteBBM!K376</f>
        <v>LAC</v>
      </c>
      <c r="F376">
        <f>PasteBBM!T376</f>
        <v>57</v>
      </c>
      <c r="G376">
        <f>PasteBBM!V376</f>
        <v>14</v>
      </c>
      <c r="H376">
        <f>PasteBBM!AC376*PasteBBM!AD376</f>
        <v>2.245087719</v>
      </c>
      <c r="I376">
        <f>PasteBBM!AC376</f>
        <v>0.4731918355</v>
      </c>
      <c r="J376">
        <f>PasteBBM!AE376*PasteBBM!AF376</f>
        <v>0.7042105262</v>
      </c>
      <c r="K376">
        <f>PasteBBM!AE376</f>
        <v>0.7392265193</v>
      </c>
      <c r="L376">
        <f>PasteBBM!X376</f>
        <v>0.4564912281</v>
      </c>
      <c r="M376">
        <f>PasteBBM!W376</f>
        <v>5.650877193</v>
      </c>
      <c r="N376">
        <f>PasteBBM!Y376</f>
        <v>2.265614035</v>
      </c>
      <c r="O376">
        <f>PasteBBM!Z376</f>
        <v>0.7152631579</v>
      </c>
      <c r="P376">
        <f>PasteBBM!AA376</f>
        <v>0.4126315789</v>
      </c>
      <c r="Q376">
        <f>PasteBBM!AB376</f>
        <v>0.1375438596</v>
      </c>
      <c r="R376">
        <f>PasteBBM!AG376</f>
        <v>0.5135087719</v>
      </c>
      <c r="S376">
        <f>PasteBBM!AD376</f>
        <v>4.744561404</v>
      </c>
      <c r="T376">
        <f>PasteBBM!AF376</f>
        <v>0.9526315789</v>
      </c>
    </row>
    <row r="377">
      <c r="A377" s="5">
        <v>376.0</v>
      </c>
      <c r="B377" t="str">
        <f t="array" ref="B377">INDEX(PasteHashtag!$B$2:$B1000,MATCH(C377,PasteHashtag!$C$2:$C1000,0))</f>
        <v/>
      </c>
      <c r="C377" t="str">
        <f>PasteBBM!J377</f>
        <v>Jay Huff</v>
      </c>
      <c r="D377" t="str">
        <f>IFERROR(REPLACE(PasteBBM!L377, FIND("/",PasteBBM!L377),1,","),PasteBBM!L377)</f>
        <v>C</v>
      </c>
      <c r="E377" t="str">
        <f>PasteBBM!K377</f>
        <v>MEM</v>
      </c>
      <c r="F377">
        <f>PasteBBM!T377</f>
        <v>16</v>
      </c>
      <c r="G377">
        <f>PasteBBM!V377</f>
        <v>10</v>
      </c>
      <c r="H377">
        <f>PasteBBM!AC377*PasteBBM!AD377</f>
        <v>1.18125</v>
      </c>
      <c r="I377">
        <f>PasteBBM!AC377</f>
        <v>0.5147058824</v>
      </c>
      <c r="J377">
        <f>PasteBBM!AE377*PasteBBM!AF377</f>
        <v>0.386875</v>
      </c>
      <c r="K377">
        <f>PasteBBM!AE377</f>
        <v>0.7512135922</v>
      </c>
      <c r="L377">
        <f>PasteBBM!X377</f>
        <v>0.330625</v>
      </c>
      <c r="M377">
        <f>PasteBBM!W377</f>
        <v>3.08</v>
      </c>
      <c r="N377">
        <f>PasteBBM!Y377</f>
        <v>2.136875</v>
      </c>
      <c r="O377">
        <f>PasteBBM!Z377</f>
        <v>0.44125</v>
      </c>
      <c r="P377">
        <f>PasteBBM!AA377</f>
        <v>0.3125</v>
      </c>
      <c r="Q377">
        <f>PasteBBM!AB377</f>
        <v>0.523125</v>
      </c>
      <c r="R377">
        <f>PasteBBM!AG377</f>
        <v>0.400625</v>
      </c>
      <c r="S377">
        <f>PasteBBM!AD377</f>
        <v>2.295</v>
      </c>
      <c r="T377">
        <f>PasteBBM!AF377</f>
        <v>0.515</v>
      </c>
    </row>
    <row r="378">
      <c r="A378" s="5">
        <v>377.0</v>
      </c>
      <c r="B378" t="str">
        <f t="array" ref="B378">INDEX(PasteHashtag!$B$2:$B1000,MATCH(C378,PasteHashtag!$C$2:$C1000,0))</f>
        <v/>
      </c>
      <c r="C378" t="str">
        <f>PasteBBM!J378</f>
        <v>Andre Jackson Jr.</v>
      </c>
      <c r="D378" t="str">
        <f>IFERROR(REPLACE(PasteBBM!L378, FIND("/",PasteBBM!L378),1,","),PasteBBM!L378)</f>
        <v>G</v>
      </c>
      <c r="E378" t="str">
        <f>PasteBBM!K378</f>
        <v>MIL</v>
      </c>
      <c r="F378">
        <f>PasteBBM!T378</f>
        <v>73</v>
      </c>
      <c r="G378">
        <f>PasteBBM!V378</f>
        <v>13</v>
      </c>
      <c r="H378">
        <f>PasteBBM!AC378*PasteBBM!AD378</f>
        <v>1.076575343</v>
      </c>
      <c r="I378">
        <f>PasteBBM!AC378</f>
        <v>0.4561759926</v>
      </c>
      <c r="J378">
        <f>PasteBBM!AE378*PasteBBM!AF378</f>
        <v>0.1706849315</v>
      </c>
      <c r="K378">
        <f>PasteBBM!AE378</f>
        <v>0.7235772358</v>
      </c>
      <c r="L378">
        <f>PasteBBM!X378</f>
        <v>0.3405479452</v>
      </c>
      <c r="M378">
        <f>PasteBBM!W378</f>
        <v>2.664383562</v>
      </c>
      <c r="N378">
        <f>PasteBBM!Y378</f>
        <v>2.842191781</v>
      </c>
      <c r="O378">
        <f>PasteBBM!Z378</f>
        <v>1.072465753</v>
      </c>
      <c r="P378">
        <f>PasteBBM!AA378</f>
        <v>0.3667123288</v>
      </c>
      <c r="Q378">
        <f>PasteBBM!AB378</f>
        <v>0.2145205479</v>
      </c>
      <c r="R378">
        <f>PasteBBM!AG378</f>
        <v>0.6312328767</v>
      </c>
      <c r="S378">
        <f>PasteBBM!AD378</f>
        <v>2.36</v>
      </c>
      <c r="T378">
        <f>PasteBBM!AF378</f>
        <v>0.235890411</v>
      </c>
    </row>
    <row r="379">
      <c r="A379" s="5">
        <v>378.0</v>
      </c>
      <c r="B379" t="str">
        <f t="array" ref="B379">INDEX(PasteHashtag!$B$2:$B1000,MATCH(C379,PasteHashtag!$C$2:$C1000,0))</f>
        <v>#N/A</v>
      </c>
      <c r="C379" t="str">
        <f>PasteBBM!J379</f>
        <v>Dominick Barlow</v>
      </c>
      <c r="D379" t="str">
        <f>IFERROR(REPLACE(PasteBBM!L379, FIND("/",PasteBBM!L379),1,","),PasteBBM!L379)</f>
        <v>F</v>
      </c>
      <c r="E379" t="str">
        <f>PasteBBM!K379</f>
        <v>ATL</v>
      </c>
      <c r="F379">
        <f>PasteBBM!T379</f>
        <v>16</v>
      </c>
      <c r="G379">
        <f>PasteBBM!V379</f>
        <v>11</v>
      </c>
      <c r="H379">
        <f>PasteBBM!AC379*PasteBBM!AD379</f>
        <v>1.55875</v>
      </c>
      <c r="I379">
        <f>PasteBBM!AC379</f>
        <v>0.522851153</v>
      </c>
      <c r="J379">
        <f>PasteBBM!AE379*PasteBBM!AF379</f>
        <v>0.689375</v>
      </c>
      <c r="K379">
        <f>PasteBBM!AE379</f>
        <v>0.701207883</v>
      </c>
      <c r="L379">
        <f>PasteBBM!X379</f>
        <v>0.045</v>
      </c>
      <c r="M379">
        <f>PasteBBM!W379</f>
        <v>3.851875</v>
      </c>
      <c r="N379">
        <f>PasteBBM!Y379</f>
        <v>2.773125</v>
      </c>
      <c r="O379">
        <f>PasteBBM!Z379</f>
        <v>0.916875</v>
      </c>
      <c r="P379">
        <f>PasteBBM!AA379</f>
        <v>0.27</v>
      </c>
      <c r="Q379">
        <f>PasteBBM!AB379</f>
        <v>0.44</v>
      </c>
      <c r="R379">
        <f>PasteBBM!AG379</f>
        <v>0.366875</v>
      </c>
      <c r="S379">
        <f>PasteBBM!AD379</f>
        <v>2.98125</v>
      </c>
      <c r="T379">
        <f>PasteBBM!AF379</f>
        <v>0.983125</v>
      </c>
    </row>
    <row r="380">
      <c r="A380" s="5">
        <v>379.0</v>
      </c>
      <c r="B380" t="str">
        <f t="array" ref="B380">INDEX(PasteHashtag!$B$2:$B1000,MATCH(C380,PasteHashtag!$C$2:$C1000,0))</f>
        <v/>
      </c>
      <c r="C380" t="str">
        <f>PasteBBM!J380</f>
        <v>MarJon Beauchamp</v>
      </c>
      <c r="D380" t="str">
        <f>IFERROR(REPLACE(PasteBBM!L380, FIND("/",PasteBBM!L380),1,","),PasteBBM!L380)</f>
        <v>F</v>
      </c>
      <c r="E380" t="str">
        <f>PasteBBM!K380</f>
        <v>MIL</v>
      </c>
      <c r="F380">
        <f>PasteBBM!T380</f>
        <v>47</v>
      </c>
      <c r="G380">
        <f>PasteBBM!V380</f>
        <v>13</v>
      </c>
      <c r="H380">
        <f>PasteBBM!AC380*PasteBBM!AD380</f>
        <v>1.904042553</v>
      </c>
      <c r="I380">
        <f>PasteBBM!AC380</f>
        <v>0.4551881994</v>
      </c>
      <c r="J380">
        <f>PasteBBM!AE380*PasteBBM!AF380</f>
        <v>0.4953191489</v>
      </c>
      <c r="K380">
        <f>PasteBBM!AE380</f>
        <v>0.7399872854</v>
      </c>
      <c r="L380">
        <f>PasteBBM!X380</f>
        <v>0.6625531915</v>
      </c>
      <c r="M380">
        <f>PasteBBM!W380</f>
        <v>4.965957447</v>
      </c>
      <c r="N380">
        <f>PasteBBM!Y380</f>
        <v>2.413191489</v>
      </c>
      <c r="O380">
        <f>PasteBBM!Z380</f>
        <v>0.6706382979</v>
      </c>
      <c r="P380">
        <f>PasteBBM!AA380</f>
        <v>0.3217021277</v>
      </c>
      <c r="Q380">
        <f>PasteBBM!AB380</f>
        <v>0.1340425532</v>
      </c>
      <c r="R380">
        <f>PasteBBM!AG380</f>
        <v>0.6434042553</v>
      </c>
      <c r="S380">
        <f>PasteBBM!AD380</f>
        <v>4.182978723</v>
      </c>
      <c r="T380">
        <f>PasteBBM!AF380</f>
        <v>0.6693617021</v>
      </c>
    </row>
    <row r="381">
      <c r="A381" s="5">
        <v>380.0</v>
      </c>
      <c r="B381" t="str">
        <f t="array" ref="B381">INDEX(PasteHashtag!$B$2:$B1000,MATCH(C381,PasteHashtag!$C$2:$C1000,0))</f>
        <v>#N/A</v>
      </c>
      <c r="C381" t="str">
        <f>PasteBBM!J381</f>
        <v>Gui Santos</v>
      </c>
      <c r="D381" t="str">
        <f>IFERROR(REPLACE(PasteBBM!L381, FIND("/",PasteBBM!L381),1,","),PasteBBM!L381)</f>
        <v>F</v>
      </c>
      <c r="E381" t="str">
        <f>PasteBBM!K381</f>
        <v>GSW</v>
      </c>
      <c r="F381">
        <f>PasteBBM!T381</f>
        <v>16</v>
      </c>
      <c r="G381">
        <f>PasteBBM!V381</f>
        <v>11</v>
      </c>
      <c r="H381">
        <f>PasteBBM!AC381*PasteBBM!AD381</f>
        <v>1.59875</v>
      </c>
      <c r="I381">
        <f>PasteBBM!AC381</f>
        <v>0.4527433628</v>
      </c>
      <c r="J381">
        <f>PasteBBM!AE381*PasteBBM!AF381</f>
        <v>0.611875</v>
      </c>
      <c r="K381">
        <f>PasteBBM!AE381</f>
        <v>0.753656659</v>
      </c>
      <c r="L381">
        <f>PasteBBM!X381</f>
        <v>0.64625</v>
      </c>
      <c r="M381">
        <f>PasteBBM!W381</f>
        <v>4.455625</v>
      </c>
      <c r="N381">
        <f>PasteBBM!Y381</f>
        <v>2.295625</v>
      </c>
      <c r="O381">
        <f>PasteBBM!Z381</f>
        <v>0.8475</v>
      </c>
      <c r="P381">
        <f>PasteBBM!AA381</f>
        <v>0.28</v>
      </c>
      <c r="Q381">
        <f>PasteBBM!AB381</f>
        <v>0.216875</v>
      </c>
      <c r="R381">
        <f>PasteBBM!AG381</f>
        <v>0.576875</v>
      </c>
      <c r="S381">
        <f>PasteBBM!AD381</f>
        <v>3.53125</v>
      </c>
      <c r="T381">
        <f>PasteBBM!AF381</f>
        <v>0.811875</v>
      </c>
    </row>
    <row r="382">
      <c r="A382" s="5">
        <v>381.0</v>
      </c>
      <c r="B382" t="str">
        <f t="array" ref="B382">INDEX(PasteHashtag!$B$2:$B1000,MATCH(C382,PasteHashtag!$C$2:$C1000,0))</f>
        <v/>
      </c>
      <c r="C382" t="str">
        <f>PasteBBM!J382</f>
        <v>KJ Simpson</v>
      </c>
      <c r="D382" t="str">
        <f>IFERROR(REPLACE(PasteBBM!L382, FIND("/",PasteBBM!L382),1,","),PasteBBM!L382)</f>
        <v>G</v>
      </c>
      <c r="E382" t="str">
        <f>PasteBBM!K382</f>
        <v>CHA</v>
      </c>
      <c r="F382">
        <f>PasteBBM!T382</f>
        <v>33</v>
      </c>
      <c r="G382">
        <f>PasteBBM!V382</f>
        <v>12</v>
      </c>
      <c r="H382">
        <f>PasteBBM!AC382*PasteBBM!AD382</f>
        <v>1.49060606</v>
      </c>
      <c r="I382">
        <f>PasteBBM!AC382</f>
        <v>0.3806980884</v>
      </c>
      <c r="J382">
        <f>PasteBBM!AE382*PasteBBM!AF382</f>
        <v>0.5390909091</v>
      </c>
      <c r="K382">
        <f>PasteBBM!AE382</f>
        <v>0.8101092896</v>
      </c>
      <c r="L382">
        <f>PasteBBM!X382</f>
        <v>0.56</v>
      </c>
      <c r="M382">
        <f>PasteBBM!W382</f>
        <v>4.08030303</v>
      </c>
      <c r="N382">
        <f>PasteBBM!Y382</f>
        <v>1.647878788</v>
      </c>
      <c r="O382">
        <f>PasteBBM!Z382</f>
        <v>1.802424242</v>
      </c>
      <c r="P382">
        <f>PasteBBM!AA382</f>
        <v>0.4378787879</v>
      </c>
      <c r="Q382">
        <f>PasteBBM!AB382</f>
        <v>0.07727272727</v>
      </c>
      <c r="R382">
        <f>PasteBBM!AG382</f>
        <v>0.9012121212</v>
      </c>
      <c r="S382">
        <f>PasteBBM!AD382</f>
        <v>3.915454545</v>
      </c>
      <c r="T382">
        <f>PasteBBM!AF382</f>
        <v>0.6654545455</v>
      </c>
    </row>
    <row r="383">
      <c r="A383" s="5">
        <v>382.0</v>
      </c>
      <c r="B383" t="str">
        <f t="array" ref="B383">INDEX(PasteHashtag!$B$2:$B1000,MATCH(C383,PasteHashtag!$C$2:$C1000,0))</f>
        <v>#N/A</v>
      </c>
      <c r="C383" t="str">
        <f>PasteBBM!J383</f>
        <v>Olivier-Maxence Prosper</v>
      </c>
      <c r="D383" t="str">
        <f>IFERROR(REPLACE(PasteBBM!L383, FIND("/",PasteBBM!L383),1,","),PasteBBM!L383)</f>
        <v>F</v>
      </c>
      <c r="E383" t="str">
        <f>PasteBBM!K383</f>
        <v>DAL</v>
      </c>
      <c r="F383">
        <f>PasteBBM!T383</f>
        <v>47</v>
      </c>
      <c r="G383">
        <f>PasteBBM!V383</f>
        <v>13</v>
      </c>
      <c r="H383">
        <f>PasteBBM!AC383*PasteBBM!AD383</f>
        <v>1.71893617</v>
      </c>
      <c r="I383">
        <f>PasteBBM!AC383</f>
        <v>0.4424424973</v>
      </c>
      <c r="J383">
        <f>PasteBBM!AE383*PasteBBM!AF383</f>
        <v>0.7604255317</v>
      </c>
      <c r="K383">
        <f>PasteBBM!AE383</f>
        <v>0.7250963684</v>
      </c>
      <c r="L383">
        <f>PasteBBM!X383</f>
        <v>0.5029787234</v>
      </c>
      <c r="M383">
        <f>PasteBBM!W383</f>
        <v>4.701276596</v>
      </c>
      <c r="N383">
        <f>PasteBBM!Y383</f>
        <v>2.735319149</v>
      </c>
      <c r="O383">
        <f>PasteBBM!Z383</f>
        <v>0.6244680851</v>
      </c>
      <c r="P383">
        <f>PasteBBM!AA383</f>
        <v>0.3829787234</v>
      </c>
      <c r="Q383">
        <f>PasteBBM!AB383</f>
        <v>0.1640425532</v>
      </c>
      <c r="R383">
        <f>PasteBBM!AG383</f>
        <v>0.4217021277</v>
      </c>
      <c r="S383">
        <f>PasteBBM!AD383</f>
        <v>3.885106383</v>
      </c>
      <c r="T383">
        <f>PasteBBM!AF383</f>
        <v>1.048723404</v>
      </c>
    </row>
    <row r="384">
      <c r="A384" s="5">
        <v>383.0</v>
      </c>
      <c r="B384" t="str">
        <f t="array" ref="B384">INDEX(PasteHashtag!$B$2:$B1000,MATCH(C384,PasteHashtag!$C$2:$C1000,0))</f>
        <v/>
      </c>
      <c r="C384" t="str">
        <f>PasteBBM!J384</f>
        <v>Ariel Hukporti</v>
      </c>
      <c r="D384" t="str">
        <f>IFERROR(REPLACE(PasteBBM!L384, FIND("/",PasteBBM!L384),1,","),PasteBBM!L384)</f>
        <v>C</v>
      </c>
      <c r="E384" t="str">
        <f>PasteBBM!K384</f>
        <v>NYK</v>
      </c>
      <c r="F384">
        <f>PasteBBM!T384</f>
        <v>25</v>
      </c>
      <c r="G384">
        <f>PasteBBM!V384</f>
        <v>10</v>
      </c>
      <c r="H384">
        <f>PasteBBM!AC384*PasteBBM!AD384</f>
        <v>1.0564</v>
      </c>
      <c r="I384">
        <f>PasteBBM!AC384</f>
        <v>0.556</v>
      </c>
      <c r="J384">
        <f>PasteBBM!AE384*PasteBBM!AF384</f>
        <v>0.3496</v>
      </c>
      <c r="K384">
        <f>PasteBBM!AE384</f>
        <v>0.6571428571</v>
      </c>
      <c r="L384">
        <f>PasteBBM!X384</f>
        <v>0</v>
      </c>
      <c r="M384">
        <f>PasteBBM!W384</f>
        <v>2.4624</v>
      </c>
      <c r="N384">
        <f>PasteBBM!Y384</f>
        <v>3.18</v>
      </c>
      <c r="O384">
        <f>PasteBBM!Z384</f>
        <v>0.44</v>
      </c>
      <c r="P384">
        <f>PasteBBM!AA384</f>
        <v>0.26</v>
      </c>
      <c r="Q384">
        <f>PasteBBM!AB384</f>
        <v>0.54</v>
      </c>
      <c r="R384">
        <f>PasteBBM!AG384</f>
        <v>0.86</v>
      </c>
      <c r="S384">
        <f>PasteBBM!AD384</f>
        <v>1.9</v>
      </c>
      <c r="T384">
        <f>PasteBBM!AF384</f>
        <v>0.532</v>
      </c>
    </row>
    <row r="385">
      <c r="A385" s="5">
        <v>384.0</v>
      </c>
      <c r="B385" t="str">
        <f t="array" ref="B385">INDEX(PasteHashtag!$B$2:$B1000,MATCH(C385,PasteHashtag!$C$2:$C1000,0))</f>
        <v>#N/A</v>
      </c>
      <c r="C385" t="str">
        <f>PasteBBM!J385</f>
        <v>Jaylen Wells</v>
      </c>
      <c r="D385" t="str">
        <f>IFERROR(REPLACE(PasteBBM!L385, FIND("/",PasteBBM!L385),1,","),PasteBBM!L385)</f>
        <v>F</v>
      </c>
      <c r="E385" t="str">
        <f>PasteBBM!K385</f>
        <v>MEM</v>
      </c>
      <c r="F385">
        <f>PasteBBM!T385</f>
        <v>73</v>
      </c>
      <c r="G385">
        <f>PasteBBM!V385</f>
        <v>15</v>
      </c>
      <c r="H385">
        <f>PasteBBM!AC385*PasteBBM!AD385</f>
        <v>1.555890411</v>
      </c>
      <c r="I385">
        <f>PasteBBM!AC385</f>
        <v>0.3830045524</v>
      </c>
      <c r="J385">
        <f>PasteBBM!AE385*PasteBBM!AF385</f>
        <v>0.3919178082</v>
      </c>
      <c r="K385">
        <f>PasteBBM!AE385</f>
        <v>0.8038774937</v>
      </c>
      <c r="L385">
        <f>PasteBBM!X385</f>
        <v>1.126164384</v>
      </c>
      <c r="M385">
        <f>PasteBBM!W385</f>
        <v>4.629863014</v>
      </c>
      <c r="N385">
        <f>PasteBBM!Y385</f>
        <v>2.15630137</v>
      </c>
      <c r="O385">
        <f>PasteBBM!Z385</f>
        <v>0.6875342466</v>
      </c>
      <c r="P385">
        <f>PasteBBM!AA385</f>
        <v>0.3124657534</v>
      </c>
      <c r="Q385">
        <f>PasteBBM!AB385</f>
        <v>0.09369863014</v>
      </c>
      <c r="R385">
        <f>PasteBBM!AG385</f>
        <v>0.5624657534</v>
      </c>
      <c r="S385">
        <f>PasteBBM!AD385</f>
        <v>4.062328767</v>
      </c>
      <c r="T385">
        <f>PasteBBM!AF385</f>
        <v>0.4875342466</v>
      </c>
    </row>
    <row r="386">
      <c r="A386" s="5">
        <v>385.0</v>
      </c>
      <c r="B386" t="str">
        <f t="array" ref="B386">INDEX(PasteHashtag!$B$2:$B1000,MATCH(C386,PasteHashtag!$C$2:$C1000,0))</f>
        <v/>
      </c>
      <c r="C386" t="str">
        <f>PasteBBM!J386</f>
        <v>Jaylon Tyson</v>
      </c>
      <c r="D386" t="str">
        <f>IFERROR(REPLACE(PasteBBM!L386, FIND("/",PasteBBM!L386),1,","),PasteBBM!L386)</f>
        <v>G</v>
      </c>
      <c r="E386" t="str">
        <f>PasteBBM!K386</f>
        <v>CLE</v>
      </c>
      <c r="F386">
        <f>PasteBBM!T386</f>
        <v>47</v>
      </c>
      <c r="G386">
        <f>PasteBBM!V386</f>
        <v>12</v>
      </c>
      <c r="H386">
        <f>PasteBBM!AC386*PasteBBM!AD386</f>
        <v>1.647021277</v>
      </c>
      <c r="I386">
        <f>PasteBBM!AC386</f>
        <v>0.4141122345</v>
      </c>
      <c r="J386">
        <f>PasteBBM!AE386*PasteBBM!AF386</f>
        <v>0.4838297873</v>
      </c>
      <c r="K386">
        <f>PasteBBM!AE386</f>
        <v>0.760026738</v>
      </c>
      <c r="L386">
        <f>PasteBBM!X386</f>
        <v>0.5629787234</v>
      </c>
      <c r="M386">
        <f>PasteBBM!W386</f>
        <v>4.340851064</v>
      </c>
      <c r="N386">
        <f>PasteBBM!Y386</f>
        <v>2.192978723</v>
      </c>
      <c r="O386">
        <f>PasteBBM!Z386</f>
        <v>0.8414893617</v>
      </c>
      <c r="P386">
        <f>PasteBBM!AA386</f>
        <v>0.4080851064</v>
      </c>
      <c r="Q386">
        <f>PasteBBM!AB386</f>
        <v>0.1529787234</v>
      </c>
      <c r="R386">
        <f>PasteBBM!AG386</f>
        <v>0.9180851064</v>
      </c>
      <c r="S386">
        <f>PasteBBM!AD386</f>
        <v>3.977234043</v>
      </c>
      <c r="T386">
        <f>PasteBBM!AF386</f>
        <v>0.6365957447</v>
      </c>
    </row>
    <row r="387">
      <c r="A387" s="5">
        <v>386.0</v>
      </c>
      <c r="B387" t="str">
        <f t="array" ref="B387">INDEX(PasteHashtag!$B$2:$B1000,MATCH(C387,PasteHashtag!$C$2:$C1000,0))</f>
        <v/>
      </c>
      <c r="C387" t="str">
        <f>PasteBBM!J387</f>
        <v>Jericho Sims</v>
      </c>
      <c r="D387" t="str">
        <f>IFERROR(REPLACE(PasteBBM!L387, FIND("/",PasteBBM!L387),1,","),PasteBBM!L387)</f>
        <v>C</v>
      </c>
      <c r="E387" t="str">
        <f>PasteBBM!K387</f>
        <v>NYK</v>
      </c>
      <c r="F387">
        <f>PasteBBM!T387</f>
        <v>47</v>
      </c>
      <c r="G387">
        <f>PasteBBM!V387</f>
        <v>13</v>
      </c>
      <c r="H387">
        <f>PasteBBM!AC387*PasteBBM!AD387</f>
        <v>0.7661702129</v>
      </c>
      <c r="I387">
        <f>PasteBBM!AC387</f>
        <v>0.7019493177</v>
      </c>
      <c r="J387">
        <f>PasteBBM!AE387*PasteBBM!AF387</f>
        <v>0.2895744681</v>
      </c>
      <c r="K387">
        <f>PasteBBM!AE387</f>
        <v>0.6979487179</v>
      </c>
      <c r="L387">
        <f>PasteBBM!X387</f>
        <v>0</v>
      </c>
      <c r="M387">
        <f>PasteBBM!W387</f>
        <v>1.821914894</v>
      </c>
      <c r="N387">
        <f>PasteBBM!Y387</f>
        <v>3.535957447</v>
      </c>
      <c r="O387">
        <f>PasteBBM!Z387</f>
        <v>0.4908510638</v>
      </c>
      <c r="P387">
        <f>PasteBBM!AA387</f>
        <v>0.2074468085</v>
      </c>
      <c r="Q387">
        <f>PasteBBM!AB387</f>
        <v>0.4165957447</v>
      </c>
      <c r="R387">
        <f>PasteBBM!AG387</f>
        <v>0.4163829787</v>
      </c>
      <c r="S387">
        <f>PasteBBM!AD387</f>
        <v>1.091489362</v>
      </c>
      <c r="T387">
        <f>PasteBBM!AF387</f>
        <v>0.414893617</v>
      </c>
    </row>
    <row r="388">
      <c r="A388" s="5">
        <v>387.0</v>
      </c>
      <c r="B388" t="str">
        <f t="array" ref="B388">INDEX(PasteHashtag!$B$2:$B1000,MATCH(C388,PasteHashtag!$C$2:$C1000,0))</f>
        <v/>
      </c>
      <c r="C388" t="str">
        <f>PasteBBM!J388</f>
        <v>Tristan Da Silva</v>
      </c>
      <c r="D388" t="str">
        <f>IFERROR(REPLACE(PasteBBM!L388, FIND("/",PasteBBM!L388),1,","),PasteBBM!L388)</f>
        <v>F</v>
      </c>
      <c r="E388" t="str">
        <f>PasteBBM!K388</f>
        <v>ORL</v>
      </c>
      <c r="F388">
        <f>PasteBBM!T388</f>
        <v>77</v>
      </c>
      <c r="G388">
        <f>PasteBBM!V388</f>
        <v>14</v>
      </c>
      <c r="H388">
        <f>PasteBBM!AC388*PasteBBM!AD388</f>
        <v>1.876753247</v>
      </c>
      <c r="I388">
        <f>PasteBBM!AC388</f>
        <v>0.4198187206</v>
      </c>
      <c r="J388">
        <f>PasteBBM!AE388*PasteBBM!AF388</f>
        <v>0.518961039</v>
      </c>
      <c r="K388">
        <f>PasteBBM!AE388</f>
        <v>0.7739686229</v>
      </c>
      <c r="L388">
        <f>PasteBBM!X388</f>
        <v>0.7179220779</v>
      </c>
      <c r="M388">
        <f>PasteBBM!W388</f>
        <v>4.99038961</v>
      </c>
      <c r="N388">
        <f>PasteBBM!Y388</f>
        <v>1.98038961</v>
      </c>
      <c r="O388">
        <f>PasteBBM!Z388</f>
        <v>0.7072727273</v>
      </c>
      <c r="P388">
        <f>PasteBBM!AA388</f>
        <v>0.3394805195</v>
      </c>
      <c r="Q388">
        <f>PasteBBM!AB388</f>
        <v>0.1697402597</v>
      </c>
      <c r="R388">
        <f>PasteBBM!AG388</f>
        <v>0.7922077922</v>
      </c>
      <c r="S388">
        <f>PasteBBM!AD388</f>
        <v>4.47038961</v>
      </c>
      <c r="T388">
        <f>PasteBBM!AF388</f>
        <v>0.6705194805</v>
      </c>
    </row>
    <row r="389">
      <c r="A389" s="5">
        <v>388.0</v>
      </c>
      <c r="B389" t="str">
        <f t="array" ref="B389">INDEX(PasteHashtag!$B$2:$B1000,MATCH(C389,PasteHashtag!$C$2:$C1000,0))</f>
        <v/>
      </c>
      <c r="C389" t="str">
        <f>PasteBBM!J389</f>
        <v>Cam Reddish</v>
      </c>
      <c r="D389" t="str">
        <f>IFERROR(REPLACE(PasteBBM!L389, FIND("/",PasteBBM!L389),1,","),PasteBBM!L389)</f>
        <v>G,F</v>
      </c>
      <c r="E389" t="str">
        <f>PasteBBM!K389</f>
        <v>LAL</v>
      </c>
      <c r="F389">
        <f>PasteBBM!T389</f>
        <v>68</v>
      </c>
      <c r="G389">
        <f>PasteBBM!V389</f>
        <v>14</v>
      </c>
      <c r="H389">
        <f>PasteBBM!AC389*PasteBBM!AD389</f>
        <v>1.223676471</v>
      </c>
      <c r="I389">
        <f>PasteBBM!AC389</f>
        <v>0.3955223881</v>
      </c>
      <c r="J389">
        <f>PasteBBM!AE389*PasteBBM!AF389</f>
        <v>0.5011764706</v>
      </c>
      <c r="K389">
        <f>PasteBBM!AE389</f>
        <v>0.7299207539</v>
      </c>
      <c r="L389">
        <f>PasteBBM!X389</f>
        <v>0.4569117647</v>
      </c>
      <c r="M389">
        <f>PasteBBM!W389</f>
        <v>3.405441176</v>
      </c>
      <c r="N389">
        <f>PasteBBM!Y389</f>
        <v>1.368529412</v>
      </c>
      <c r="O389">
        <f>PasteBBM!Z389</f>
        <v>0.6297058824</v>
      </c>
      <c r="P389">
        <f>PasteBBM!AA389</f>
        <v>0.5967647059</v>
      </c>
      <c r="Q389">
        <f>PasteBBM!AB389</f>
        <v>0.1833823529</v>
      </c>
      <c r="R389">
        <f>PasteBBM!AG389</f>
        <v>0.595</v>
      </c>
      <c r="S389">
        <f>PasteBBM!AD389</f>
        <v>3.093823529</v>
      </c>
      <c r="T389">
        <f>PasteBBM!AF389</f>
        <v>0.6866176471</v>
      </c>
    </row>
    <row r="390">
      <c r="A390" s="5">
        <v>389.0</v>
      </c>
      <c r="B390" t="str">
        <f t="array" ref="B390">INDEX(PasteHashtag!$B$2:$B1000,MATCH(C390,PasteHashtag!$C$2:$C1000,0))</f>
        <v/>
      </c>
      <c r="C390" t="str">
        <f>PasteBBM!J390</f>
        <v>Dwight Powell</v>
      </c>
      <c r="D390" t="str">
        <f>IFERROR(REPLACE(PasteBBM!L390, FIND("/",PasteBBM!L390),1,","),PasteBBM!L390)</f>
        <v>C</v>
      </c>
      <c r="E390" t="str">
        <f>PasteBBM!K390</f>
        <v>DAL</v>
      </c>
      <c r="F390">
        <f>PasteBBM!T390</f>
        <v>30</v>
      </c>
      <c r="G390">
        <f>PasteBBM!V390</f>
        <v>12</v>
      </c>
      <c r="H390">
        <f>PasteBBM!AC390*PasteBBM!AD390</f>
        <v>0.8213333331</v>
      </c>
      <c r="I390">
        <f>PasteBBM!AC390</f>
        <v>0.6501319261</v>
      </c>
      <c r="J390">
        <f>PasteBBM!AE390*PasteBBM!AF390</f>
        <v>0.4376666667</v>
      </c>
      <c r="K390">
        <f>PasteBBM!AE390</f>
        <v>0.6081519222</v>
      </c>
      <c r="L390">
        <f>PasteBBM!X390</f>
        <v>0</v>
      </c>
      <c r="M390">
        <f>PasteBBM!W390</f>
        <v>2.080333333</v>
      </c>
      <c r="N390">
        <f>PasteBBM!Y390</f>
        <v>3.282666667</v>
      </c>
      <c r="O390">
        <f>PasteBBM!Z390</f>
        <v>1.085666667</v>
      </c>
      <c r="P390">
        <f>PasteBBM!AA390</f>
        <v>0.323</v>
      </c>
      <c r="Q390">
        <f>PasteBBM!AB390</f>
        <v>0.255</v>
      </c>
      <c r="R390">
        <f>PasteBBM!AG390</f>
        <v>0.4836666667</v>
      </c>
      <c r="S390">
        <f>PasteBBM!AD390</f>
        <v>1.263333333</v>
      </c>
      <c r="T390">
        <f>PasteBBM!AF390</f>
        <v>0.7196666667</v>
      </c>
    </row>
    <row r="391">
      <c r="A391" s="5">
        <v>390.0</v>
      </c>
      <c r="B391" t="str">
        <f t="array" ref="B391">INDEX(PasteHashtag!$B$2:$B1000,MATCH(C391,PasteHashtag!$C$2:$C1000,0))</f>
        <v>#N/A</v>
      </c>
      <c r="C391" t="str">
        <f>PasteBBM!J391</f>
        <v>Justin Champagnie</v>
      </c>
      <c r="D391" t="str">
        <f>IFERROR(REPLACE(PasteBBM!L391, FIND("/",PasteBBM!L391),1,","),PasteBBM!L391)</f>
        <v>F</v>
      </c>
      <c r="E391" t="str">
        <f>PasteBBM!K391</f>
        <v>WAS</v>
      </c>
      <c r="F391">
        <f>PasteBBM!T391</f>
        <v>16</v>
      </c>
      <c r="G391">
        <f>PasteBBM!V391</f>
        <v>10</v>
      </c>
      <c r="H391">
        <f>PasteBBM!AC391*PasteBBM!AD391</f>
        <v>1.239375</v>
      </c>
      <c r="I391">
        <f>PasteBBM!AC391</f>
        <v>0.4117524917</v>
      </c>
      <c r="J391">
        <f>PasteBBM!AE391*PasteBBM!AF391</f>
        <v>0.4125</v>
      </c>
      <c r="K391">
        <f>PasteBBM!AE391</f>
        <v>0.8386277001</v>
      </c>
      <c r="L391">
        <f>PasteBBM!X391</f>
        <v>0.579375</v>
      </c>
      <c r="M391">
        <f>PasteBBM!W391</f>
        <v>3.470625</v>
      </c>
      <c r="N391">
        <f>PasteBBM!Y391</f>
        <v>1.95</v>
      </c>
      <c r="O391">
        <f>PasteBBM!Z391</f>
        <v>0.65</v>
      </c>
      <c r="P391">
        <f>PasteBBM!AA391</f>
        <v>0.335</v>
      </c>
      <c r="Q391">
        <f>PasteBBM!AB391</f>
        <v>0.2325</v>
      </c>
      <c r="R391">
        <f>PasteBBM!AG391</f>
        <v>0.346875</v>
      </c>
      <c r="S391">
        <f>PasteBBM!AD391</f>
        <v>3.01</v>
      </c>
      <c r="T391">
        <f>PasteBBM!AF391</f>
        <v>0.491875</v>
      </c>
    </row>
    <row r="392">
      <c r="A392" s="5">
        <v>391.0</v>
      </c>
      <c r="B392" t="str">
        <f t="array" ref="B392">INDEX(PasteHashtag!$B$2:$B1000,MATCH(C392,PasteHashtag!$C$2:$C1000,0))</f>
        <v>#N/A</v>
      </c>
      <c r="C392" t="str">
        <f>PasteBBM!J392</f>
        <v>Kessler Edwards</v>
      </c>
      <c r="D392" t="str">
        <f>IFERROR(REPLACE(PasteBBM!L392, FIND("/",PasteBBM!L392),1,","),PasteBBM!L392)</f>
        <v>F</v>
      </c>
      <c r="E392" t="str">
        <f>PasteBBM!K392</f>
        <v>DAL</v>
      </c>
      <c r="F392">
        <f>PasteBBM!T392</f>
        <v>16</v>
      </c>
      <c r="G392">
        <f>PasteBBM!V392</f>
        <v>10</v>
      </c>
      <c r="H392">
        <f>PasteBBM!AC392*PasteBBM!AD392</f>
        <v>1.29375</v>
      </c>
      <c r="I392">
        <f>PasteBBM!AC392</f>
        <v>0.4236594351</v>
      </c>
      <c r="J392">
        <f>PasteBBM!AE392*PasteBBM!AF392</f>
        <v>0.285625</v>
      </c>
      <c r="K392">
        <f>PasteBBM!AE392</f>
        <v>0.7196850394</v>
      </c>
      <c r="L392">
        <f>PasteBBM!X392</f>
        <v>0.741875</v>
      </c>
      <c r="M392">
        <f>PasteBBM!W392</f>
        <v>3.615</v>
      </c>
      <c r="N392">
        <f>PasteBBM!Y392</f>
        <v>1.6625</v>
      </c>
      <c r="O392">
        <f>PasteBBM!Z392</f>
        <v>0.589375</v>
      </c>
      <c r="P392">
        <f>PasteBBM!AA392</f>
        <v>0.420625</v>
      </c>
      <c r="Q392">
        <f>PasteBBM!AB392</f>
        <v>0.12625</v>
      </c>
      <c r="R392">
        <f>PasteBBM!AG392</f>
        <v>0.294375</v>
      </c>
      <c r="S392">
        <f>PasteBBM!AD392</f>
        <v>3.05375</v>
      </c>
      <c r="T392">
        <f>PasteBBM!AF392</f>
        <v>0.396875</v>
      </c>
    </row>
    <row r="393">
      <c r="A393" s="5">
        <v>392.0</v>
      </c>
      <c r="B393" t="str">
        <f t="array" ref="B393">INDEX(PasteHashtag!$B$2:$B1000,MATCH(C393,PasteHashtag!$C$2:$C1000,0))</f>
        <v>#N/A</v>
      </c>
      <c r="C393" t="str">
        <f>PasteBBM!J393</f>
        <v>Collin Gillespie</v>
      </c>
      <c r="D393" t="str">
        <f>IFERROR(REPLACE(PasteBBM!L393, FIND("/",PasteBBM!L393),1,","),PasteBBM!L393)</f>
        <v>G</v>
      </c>
      <c r="E393" t="str">
        <f>PasteBBM!K393</f>
        <v>PHO</v>
      </c>
      <c r="F393">
        <f>PasteBBM!T393</f>
        <v>16</v>
      </c>
      <c r="G393">
        <f>PasteBBM!V393</f>
        <v>10</v>
      </c>
      <c r="H393">
        <f>PasteBBM!AC393*PasteBBM!AD393</f>
        <v>1.56375</v>
      </c>
      <c r="I393">
        <f>PasteBBM!AC393</f>
        <v>0.4469453376</v>
      </c>
      <c r="J393">
        <f>PasteBBM!AE393*PasteBBM!AF393</f>
        <v>0.491875</v>
      </c>
      <c r="K393">
        <f>PasteBBM!AE393</f>
        <v>0.7640776699</v>
      </c>
      <c r="L393">
        <f>PasteBBM!X393</f>
        <v>0.7675</v>
      </c>
      <c r="M393">
        <f>PasteBBM!W393</f>
        <v>4.386875</v>
      </c>
      <c r="N393">
        <f>PasteBBM!Y393</f>
        <v>0.966875</v>
      </c>
      <c r="O393">
        <f>PasteBBM!Z393</f>
        <v>1.25</v>
      </c>
      <c r="P393">
        <f>PasteBBM!AA393</f>
        <v>0.379375</v>
      </c>
      <c r="Q393">
        <f>PasteBBM!AB393</f>
        <v>0.029375</v>
      </c>
      <c r="R393">
        <f>PasteBBM!AG393</f>
        <v>0.583125</v>
      </c>
      <c r="S393">
        <f>PasteBBM!AD393</f>
        <v>3.49875</v>
      </c>
      <c r="T393">
        <f>PasteBBM!AF393</f>
        <v>0.64375</v>
      </c>
    </row>
    <row r="394">
      <c r="A394" s="5">
        <v>393.0</v>
      </c>
      <c r="B394" t="str">
        <f t="array" ref="B394">INDEX(PasteHashtag!$B$2:$B1000,MATCH(C394,PasteHashtag!$C$2:$C1000,0))</f>
        <v>#N/A</v>
      </c>
      <c r="C394" t="str">
        <f>PasteBBM!J394</f>
        <v>Kai Jones</v>
      </c>
      <c r="D394" t="str">
        <f>IFERROR(REPLACE(PasteBBM!L394, FIND("/",PasteBBM!L394),1,","),PasteBBM!L394)</f>
        <v>C</v>
      </c>
      <c r="E394" t="str">
        <f>PasteBBM!K394</f>
        <v>LAC</v>
      </c>
      <c r="F394">
        <f>PasteBBM!T394</f>
        <v>44</v>
      </c>
      <c r="G394">
        <f>PasteBBM!V394</f>
        <v>11</v>
      </c>
      <c r="H394">
        <f>PasteBBM!AC394*PasteBBM!AD394</f>
        <v>1.428636364</v>
      </c>
      <c r="I394">
        <f>PasteBBM!AC394</f>
        <v>0.5783420738</v>
      </c>
      <c r="J394">
        <f>PasteBBM!AE394*PasteBBM!AF394</f>
        <v>0.414090909</v>
      </c>
      <c r="K394">
        <f>PasteBBM!AE394</f>
        <v>0.656103709</v>
      </c>
      <c r="L394">
        <f>PasteBBM!X394</f>
        <v>0.1006818182</v>
      </c>
      <c r="M394">
        <f>PasteBBM!W394</f>
        <v>3.372045455</v>
      </c>
      <c r="N394">
        <f>PasteBBM!Y394</f>
        <v>2.261363636</v>
      </c>
      <c r="O394">
        <f>PasteBBM!Z394</f>
        <v>0.3327272727</v>
      </c>
      <c r="P394">
        <f>PasteBBM!AA394</f>
        <v>0.2245454545</v>
      </c>
      <c r="Q394">
        <f>PasteBBM!AB394</f>
        <v>0.5243181818</v>
      </c>
      <c r="R394">
        <f>PasteBBM!AG394</f>
        <v>0.6040909091</v>
      </c>
      <c r="S394">
        <f>PasteBBM!AD394</f>
        <v>2.470227273</v>
      </c>
      <c r="T394">
        <f>PasteBBM!AF394</f>
        <v>0.6311363636</v>
      </c>
    </row>
    <row r="395">
      <c r="A395" s="5">
        <v>394.0</v>
      </c>
      <c r="B395" t="str">
        <f t="array" ref="B395">INDEX(PasteHashtag!$B$2:$B1000,MATCH(C395,PasteHashtag!$C$2:$C1000,0))</f>
        <v/>
      </c>
      <c r="C395" t="str">
        <f>PasteBBM!J395</f>
        <v>Garrison Mathews</v>
      </c>
      <c r="D395" t="str">
        <f>IFERROR(REPLACE(PasteBBM!L395, FIND("/",PasteBBM!L395),1,","),PasteBBM!L395)</f>
        <v>G</v>
      </c>
      <c r="E395" t="str">
        <f>PasteBBM!K395</f>
        <v>ATL</v>
      </c>
      <c r="F395">
        <f>PasteBBM!T395</f>
        <v>41</v>
      </c>
      <c r="G395">
        <f>PasteBBM!V395</f>
        <v>13</v>
      </c>
      <c r="H395">
        <f>PasteBBM!AC395*PasteBBM!AD395</f>
        <v>1.309756097</v>
      </c>
      <c r="I395">
        <f>PasteBBM!AC395</f>
        <v>0.4243046776</v>
      </c>
      <c r="J395">
        <f>PasteBBM!AE395*PasteBBM!AF395</f>
        <v>0.3282926829</v>
      </c>
      <c r="K395">
        <f>PasteBBM!AE395</f>
        <v>0.8177399757</v>
      </c>
      <c r="L395">
        <f>PasteBBM!X395</f>
        <v>1.041463415</v>
      </c>
      <c r="M395">
        <f>PasteBBM!W395</f>
        <v>3.989268293</v>
      </c>
      <c r="N395">
        <f>PasteBBM!Y395</f>
        <v>1.218780488</v>
      </c>
      <c r="O395">
        <f>PasteBBM!Z395</f>
        <v>0.4665853659</v>
      </c>
      <c r="P395">
        <f>PasteBBM!AA395</f>
        <v>0.3251219512</v>
      </c>
      <c r="Q395">
        <f>PasteBBM!AB395</f>
        <v>0.1092682927</v>
      </c>
      <c r="R395">
        <f>PasteBBM!AG395</f>
        <v>0.2707317073</v>
      </c>
      <c r="S395">
        <f>PasteBBM!AD395</f>
        <v>3.086829268</v>
      </c>
      <c r="T395">
        <f>PasteBBM!AF395</f>
        <v>0.4014634146</v>
      </c>
    </row>
    <row r="396">
      <c r="A396" s="5">
        <v>395.0</v>
      </c>
      <c r="B396" t="str">
        <f t="array" ref="B396">INDEX(PasteHashtag!$B$2:$B1000,MATCH(C396,PasteHashtag!$C$2:$C1000,0))</f>
        <v/>
      </c>
      <c r="C396" t="str">
        <f>PasteBBM!J396</f>
        <v>Torrey Craig</v>
      </c>
      <c r="D396" t="str">
        <f>IFERROR(REPLACE(PasteBBM!L396, FIND("/",PasteBBM!L396),1,","),PasteBBM!L396)</f>
        <v>F</v>
      </c>
      <c r="E396" t="str">
        <f>PasteBBM!K396</f>
        <v>CHI</v>
      </c>
      <c r="F396">
        <f>PasteBBM!T396</f>
        <v>47</v>
      </c>
      <c r="G396">
        <f>PasteBBM!V396</f>
        <v>11</v>
      </c>
      <c r="H396">
        <f>PasteBBM!AC396*PasteBBM!AD396</f>
        <v>1.073617021</v>
      </c>
      <c r="I396">
        <f>PasteBBM!AC396</f>
        <v>0.4344756329</v>
      </c>
      <c r="J396">
        <f>PasteBBM!AE396*PasteBBM!AF396</f>
        <v>0.1780851064</v>
      </c>
      <c r="K396">
        <f>PasteBBM!AE396</f>
        <v>0.7209302326</v>
      </c>
      <c r="L396">
        <f>PasteBBM!X396</f>
        <v>0.5544680851</v>
      </c>
      <c r="M396">
        <f>PasteBBM!W396</f>
        <v>2.879787234</v>
      </c>
      <c r="N396">
        <f>PasteBBM!Y396</f>
        <v>2.313191489</v>
      </c>
      <c r="O396">
        <f>PasteBBM!Z396</f>
        <v>0.5761702128</v>
      </c>
      <c r="P396">
        <f>PasteBBM!AA396</f>
        <v>0.2827659574</v>
      </c>
      <c r="Q396">
        <f>PasteBBM!AB396</f>
        <v>0.2746808511</v>
      </c>
      <c r="R396">
        <f>PasteBBM!AG396</f>
        <v>0.365106383</v>
      </c>
      <c r="S396">
        <f>PasteBBM!AD396</f>
        <v>2.47106383</v>
      </c>
      <c r="T396">
        <f>PasteBBM!AF396</f>
        <v>0.2470212766</v>
      </c>
    </row>
    <row r="397">
      <c r="A397" s="5">
        <v>396.0</v>
      </c>
      <c r="B397" t="str">
        <f t="array" ref="B397">INDEX(PasteHashtag!$B$2:$B1000,MATCH(C397,PasteHashtag!$C$2:$C1000,0))</f>
        <v>#N/A</v>
      </c>
      <c r="C397" t="str">
        <f>PasteBBM!J397</f>
        <v>Josh Christopher</v>
      </c>
      <c r="D397" t="str">
        <f>IFERROR(REPLACE(PasteBBM!L397, FIND("/",PasteBBM!L397),1,","),PasteBBM!L397)</f>
        <v>G</v>
      </c>
      <c r="E397" t="str">
        <f>PasteBBM!K397</f>
        <v>MIA</v>
      </c>
      <c r="F397">
        <f>PasteBBM!T397</f>
        <v>16</v>
      </c>
      <c r="G397">
        <f>PasteBBM!V397</f>
        <v>10</v>
      </c>
      <c r="H397">
        <f>PasteBBM!AC397*PasteBBM!AD397</f>
        <v>1.76</v>
      </c>
      <c r="I397">
        <f>PasteBBM!AC397</f>
        <v>0.4737550471</v>
      </c>
      <c r="J397">
        <f>PasteBBM!AE397*PasteBBM!AF397</f>
        <v>0.579375</v>
      </c>
      <c r="K397">
        <f>PasteBBM!AE397</f>
        <v>0.7270588235</v>
      </c>
      <c r="L397">
        <f>PasteBBM!X397</f>
        <v>0.37125</v>
      </c>
      <c r="M397">
        <f>PasteBBM!W397</f>
        <v>4.470625</v>
      </c>
      <c r="N397">
        <f>PasteBBM!Y397</f>
        <v>1.07125</v>
      </c>
      <c r="O397">
        <f>PasteBBM!Z397</f>
        <v>0.948125</v>
      </c>
      <c r="P397">
        <f>PasteBBM!AA397</f>
        <v>0.438125</v>
      </c>
      <c r="Q397">
        <f>PasteBBM!AB397</f>
        <v>0.1425</v>
      </c>
      <c r="R397">
        <f>PasteBBM!AG397</f>
        <v>0.62625</v>
      </c>
      <c r="S397">
        <f>PasteBBM!AD397</f>
        <v>3.715</v>
      </c>
      <c r="T397">
        <f>PasteBBM!AF397</f>
        <v>0.796875</v>
      </c>
    </row>
    <row r="398">
      <c r="A398" s="5">
        <v>397.0</v>
      </c>
      <c r="B398" t="str">
        <f t="array" ref="B398">INDEX(PasteHashtag!$B$2:$B1000,MATCH(C398,PasteHashtag!$C$2:$C1000,0))</f>
        <v/>
      </c>
      <c r="C398" t="str">
        <f>PasteBBM!J398</f>
        <v>Maxi Kleber</v>
      </c>
      <c r="D398" t="str">
        <f>IFERROR(REPLACE(PasteBBM!L398, FIND("/",PasteBBM!L398),1,","),PasteBBM!L398)</f>
        <v>F</v>
      </c>
      <c r="E398" t="str">
        <f>PasteBBM!K398</f>
        <v>DAL</v>
      </c>
      <c r="F398">
        <f>PasteBBM!T398</f>
        <v>51</v>
      </c>
      <c r="G398">
        <f>PasteBBM!V398</f>
        <v>13</v>
      </c>
      <c r="H398">
        <f>PasteBBM!AC398*PasteBBM!AD398</f>
        <v>0.8729411764</v>
      </c>
      <c r="I398">
        <f>PasteBBM!AC398</f>
        <v>0.4253367727</v>
      </c>
      <c r="J398">
        <f>PasteBBM!AE398*PasteBBM!AF398</f>
        <v>0.398627451</v>
      </c>
      <c r="K398">
        <f>PasteBBM!AE398</f>
        <v>0.7299820467</v>
      </c>
      <c r="L398">
        <f>PasteBBM!X398</f>
        <v>0.4464705882</v>
      </c>
      <c r="M398">
        <f>PasteBBM!W398</f>
        <v>2.590980392</v>
      </c>
      <c r="N398">
        <f>PasteBBM!Y398</f>
        <v>2.133529412</v>
      </c>
      <c r="O398">
        <f>PasteBBM!Z398</f>
        <v>0.7933333333</v>
      </c>
      <c r="P398">
        <f>PasteBBM!AA398</f>
        <v>0.2390196078</v>
      </c>
      <c r="Q398">
        <f>PasteBBM!AB398</f>
        <v>0.4454901961</v>
      </c>
      <c r="R398">
        <f>PasteBBM!AG398</f>
        <v>0.4443137255</v>
      </c>
      <c r="S398">
        <f>PasteBBM!AD398</f>
        <v>2.052352941</v>
      </c>
      <c r="T398">
        <f>PasteBBM!AF398</f>
        <v>0.5460784314</v>
      </c>
    </row>
    <row r="399">
      <c r="A399" s="5">
        <v>398.0</v>
      </c>
      <c r="B399" t="str">
        <f t="array" ref="B399">INDEX(PasteHashtag!$B$2:$B1000,MATCH(C399,PasteHashtag!$C$2:$C1000,0))</f>
        <v>#N/A</v>
      </c>
      <c r="C399" t="str">
        <f>PasteBBM!J399</f>
        <v>Jalen Pickett</v>
      </c>
      <c r="D399" t="str">
        <f>IFERROR(REPLACE(PasteBBM!L399, FIND("/",PasteBBM!L399),1,","),PasteBBM!L399)</f>
        <v>G</v>
      </c>
      <c r="E399" t="str">
        <f>PasteBBM!K399</f>
        <v>DEN</v>
      </c>
      <c r="F399">
        <f>PasteBBM!T399</f>
        <v>29</v>
      </c>
      <c r="G399">
        <f>PasteBBM!V399</f>
        <v>10</v>
      </c>
      <c r="H399">
        <f>PasteBBM!AC399*PasteBBM!AD399</f>
        <v>1.267241379</v>
      </c>
      <c r="I399">
        <f>PasteBBM!AC399</f>
        <v>0.4083333333</v>
      </c>
      <c r="J399">
        <f>PasteBBM!AE399*PasteBBM!AF399</f>
        <v>0.2910344828</v>
      </c>
      <c r="K399">
        <f>PasteBBM!AE399</f>
        <v>0.7397020158</v>
      </c>
      <c r="L399">
        <f>PasteBBM!X399</f>
        <v>0.684137931</v>
      </c>
      <c r="M399">
        <f>PasteBBM!W399</f>
        <v>3.509655172</v>
      </c>
      <c r="N399">
        <f>PasteBBM!Y399</f>
        <v>1.224827586</v>
      </c>
      <c r="O399">
        <f>PasteBBM!Z399</f>
        <v>1.633448276</v>
      </c>
      <c r="P399">
        <f>PasteBBM!AA399</f>
        <v>0.3265517241</v>
      </c>
      <c r="Q399">
        <f>PasteBBM!AB399</f>
        <v>0.1368965517</v>
      </c>
      <c r="R399">
        <f>PasteBBM!AG399</f>
        <v>0.6534482759</v>
      </c>
      <c r="S399">
        <f>PasteBBM!AD399</f>
        <v>3.103448276</v>
      </c>
      <c r="T399">
        <f>PasteBBM!AF399</f>
        <v>0.3934482759</v>
      </c>
    </row>
    <row r="400">
      <c r="A400" s="5">
        <v>399.0</v>
      </c>
      <c r="B400" t="str">
        <f t="array" ref="B400">INDEX(PasteHashtag!$B$2:$B1000,MATCH(C400,PasteHashtag!$C$2:$C1000,0))</f>
        <v>#N/A</v>
      </c>
      <c r="C400" t="str">
        <f>PasteBBM!J400</f>
        <v>Ja'Kobe Walter</v>
      </c>
      <c r="D400" t="str">
        <f>IFERROR(REPLACE(PasteBBM!L400, FIND("/",PasteBBM!L400),1,","),PasteBBM!L400)</f>
        <v>G</v>
      </c>
      <c r="E400" t="str">
        <f>PasteBBM!K400</f>
        <v>TOR</v>
      </c>
      <c r="F400">
        <f>PasteBBM!T400</f>
        <v>65</v>
      </c>
      <c r="G400">
        <f>PasteBBM!V400</f>
        <v>16</v>
      </c>
      <c r="H400">
        <f>PasteBBM!AC400*PasteBBM!AD400</f>
        <v>1.874153846</v>
      </c>
      <c r="I400">
        <f>PasteBBM!AC400</f>
        <v>0.3353243965</v>
      </c>
      <c r="J400">
        <f>PasteBBM!AE400*PasteBBM!AF400</f>
        <v>1.075846154</v>
      </c>
      <c r="K400">
        <f>PasteBBM!AE400</f>
        <v>0.7699845849</v>
      </c>
      <c r="L400">
        <f>PasteBBM!X400</f>
        <v>1.026153846</v>
      </c>
      <c r="M400">
        <f>PasteBBM!W400</f>
        <v>5.850307692</v>
      </c>
      <c r="N400">
        <f>PasteBBM!Y400</f>
        <v>1.851692308</v>
      </c>
      <c r="O400">
        <f>PasteBBM!Z400</f>
        <v>0.6396923077</v>
      </c>
      <c r="P400">
        <f>PasteBBM!AA400</f>
        <v>0.4713846154</v>
      </c>
      <c r="Q400">
        <f>PasteBBM!AB400</f>
        <v>0.1346153846</v>
      </c>
      <c r="R400">
        <f>PasteBBM!AG400</f>
        <v>0.9426153846</v>
      </c>
      <c r="S400">
        <f>PasteBBM!AD400</f>
        <v>5.589076923</v>
      </c>
      <c r="T400">
        <f>PasteBBM!AF400</f>
        <v>1.397230769</v>
      </c>
    </row>
    <row r="401">
      <c r="A401" s="5">
        <v>400.0</v>
      </c>
      <c r="B401" t="str">
        <f t="array" ref="B401">INDEX(PasteHashtag!$B$2:$B1000,MATCH(C401,PasteHashtag!$C$2:$C1000,0))</f>
        <v>#N/A</v>
      </c>
      <c r="C401" t="str">
        <f>PasteBBM!J401</f>
        <v>Taj Gibson</v>
      </c>
      <c r="D401" t="str">
        <f>IFERROR(REPLACE(PasteBBM!L401, FIND("/",PasteBBM!L401),1,","),PasteBBM!L401)</f>
        <v>F</v>
      </c>
      <c r="E401" t="str">
        <f>PasteBBM!K401</f>
        <v>CHA</v>
      </c>
      <c r="F401">
        <f>PasteBBM!T401</f>
        <v>20</v>
      </c>
      <c r="G401">
        <f>PasteBBM!V401</f>
        <v>10</v>
      </c>
      <c r="H401">
        <f>PasteBBM!AC401*PasteBBM!AD401</f>
        <v>1.094</v>
      </c>
      <c r="I401">
        <f>PasteBBM!AC401</f>
        <v>0.5305528613</v>
      </c>
      <c r="J401">
        <f>PasteBBM!AE401*PasteBBM!AF401</f>
        <v>0.1575</v>
      </c>
      <c r="K401">
        <f>PasteBBM!AE401</f>
        <v>0.7645631068</v>
      </c>
      <c r="L401">
        <f>PasteBBM!X401</f>
        <v>0.132</v>
      </c>
      <c r="M401">
        <f>PasteBBM!W401</f>
        <v>2.4775</v>
      </c>
      <c r="N401">
        <f>PasteBBM!Y401</f>
        <v>2.3175</v>
      </c>
      <c r="O401">
        <f>PasteBBM!Z401</f>
        <v>0.49</v>
      </c>
      <c r="P401">
        <f>PasteBBM!AA401</f>
        <v>0.253</v>
      </c>
      <c r="Q401">
        <f>PasteBBM!AB401</f>
        <v>0.39</v>
      </c>
      <c r="R401">
        <f>PasteBBM!AG401</f>
        <v>0.346</v>
      </c>
      <c r="S401">
        <f>PasteBBM!AD401</f>
        <v>2.062</v>
      </c>
      <c r="T401">
        <f>PasteBBM!AF401</f>
        <v>0.206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s>
  <sheetData>
    <row r="1">
      <c r="A1" s="341" t="s">
        <v>454</v>
      </c>
      <c r="B1" s="341" t="s">
        <v>1330</v>
      </c>
      <c r="C1" s="341" t="s">
        <v>1331</v>
      </c>
      <c r="D1" s="341" t="s">
        <v>327</v>
      </c>
      <c r="E1" s="341" t="s">
        <v>1332</v>
      </c>
      <c r="F1" s="341" t="s">
        <v>457</v>
      </c>
      <c r="G1" s="341" t="s">
        <v>344</v>
      </c>
      <c r="H1" s="341" t="s">
        <v>1333</v>
      </c>
      <c r="I1" s="341" t="s">
        <v>1334</v>
      </c>
      <c r="J1" s="341" t="s">
        <v>1335</v>
      </c>
      <c r="K1" s="341" t="s">
        <v>50</v>
      </c>
      <c r="L1" s="341" t="s">
        <v>456</v>
      </c>
      <c r="M1" s="341" t="s">
        <v>1336</v>
      </c>
      <c r="N1" s="341" t="s">
        <v>1337</v>
      </c>
      <c r="O1" s="341" t="s">
        <v>1338</v>
      </c>
      <c r="P1" s="341" t="s">
        <v>1339</v>
      </c>
      <c r="Q1" s="341" t="s">
        <v>1340</v>
      </c>
      <c r="R1" s="341" t="s">
        <v>1341</v>
      </c>
      <c r="S1" s="341" t="s">
        <v>1342</v>
      </c>
      <c r="T1" s="341" t="s">
        <v>1343</v>
      </c>
      <c r="U1" s="341" t="s">
        <v>1344</v>
      </c>
      <c r="V1" s="341" t="s">
        <v>1345</v>
      </c>
      <c r="W1" s="341" t="s">
        <v>1346</v>
      </c>
      <c r="X1" s="5" t="s">
        <v>1347</v>
      </c>
      <c r="Y1" s="5" t="s">
        <v>1348</v>
      </c>
      <c r="Z1" s="5" t="s">
        <v>1349</v>
      </c>
      <c r="AA1" s="5" t="s">
        <v>1350</v>
      </c>
      <c r="AB1" s="5" t="s">
        <v>1351</v>
      </c>
      <c r="AC1" s="5" t="s">
        <v>1352</v>
      </c>
      <c r="AD1" s="5" t="s">
        <v>85</v>
      </c>
      <c r="AE1" s="5" t="s">
        <v>1353</v>
      </c>
      <c r="AF1" s="5" t="s">
        <v>87</v>
      </c>
      <c r="AG1" s="5" t="s">
        <v>1354</v>
      </c>
      <c r="AH1" s="5" t="s">
        <v>1355</v>
      </c>
      <c r="AI1" s="5" t="s">
        <v>1356</v>
      </c>
      <c r="AJ1" s="5" t="s">
        <v>1357</v>
      </c>
      <c r="AK1" s="5" t="s">
        <v>1358</v>
      </c>
      <c r="AL1" s="5" t="s">
        <v>1359</v>
      </c>
      <c r="AM1" s="5" t="s">
        <v>1360</v>
      </c>
      <c r="AN1" s="5" t="s">
        <v>1361</v>
      </c>
      <c r="AO1" s="5" t="s">
        <v>1362</v>
      </c>
      <c r="AP1" s="5" t="s">
        <v>1363</v>
      </c>
      <c r="AQ1" s="5" t="s">
        <v>1364</v>
      </c>
    </row>
    <row r="2">
      <c r="A2" s="342">
        <v>1.0</v>
      </c>
      <c r="B2" s="341">
        <v>100.0</v>
      </c>
      <c r="C2" s="341">
        <v>0.0</v>
      </c>
      <c r="D2" s="341">
        <v>1.54861687</v>
      </c>
      <c r="E2" s="342">
        <v>0.004473097501</v>
      </c>
      <c r="F2" s="342">
        <v>1.106265975</v>
      </c>
      <c r="G2" s="342">
        <v>0.4423508944</v>
      </c>
      <c r="H2" s="342">
        <v>0.5126936937</v>
      </c>
      <c r="I2" s="343"/>
      <c r="J2" s="342" t="s">
        <v>39</v>
      </c>
      <c r="K2" s="342" t="s">
        <v>1365</v>
      </c>
      <c r="L2" s="342" t="s">
        <v>1366</v>
      </c>
      <c r="M2" s="342" t="s">
        <v>1367</v>
      </c>
      <c r="N2" s="343"/>
      <c r="O2" s="342" t="s">
        <v>1368</v>
      </c>
      <c r="P2" s="343"/>
      <c r="Q2" s="342">
        <v>3.0</v>
      </c>
      <c r="R2" s="342" t="s">
        <v>1369</v>
      </c>
      <c r="S2" s="342" t="s">
        <v>1370</v>
      </c>
      <c r="T2" s="342">
        <v>73.0</v>
      </c>
      <c r="U2" s="342">
        <v>15.0</v>
      </c>
      <c r="V2" s="342">
        <v>34.0</v>
      </c>
      <c r="W2" s="341">
        <v>25.20041096</v>
      </c>
      <c r="X2" s="5">
        <v>2.309589041</v>
      </c>
      <c r="Y2" s="5">
        <v>12.32493151</v>
      </c>
      <c r="Z2" s="5">
        <v>5.170821918</v>
      </c>
      <c r="AA2" s="5">
        <v>1.274931507</v>
      </c>
      <c r="AB2" s="5">
        <v>4.125479452</v>
      </c>
      <c r="AC2" s="5">
        <v>0.4727531115</v>
      </c>
      <c r="AD2" s="5">
        <v>18.70013699</v>
      </c>
      <c r="AE2" s="5">
        <v>0.7959939721</v>
      </c>
      <c r="AF2" s="5">
        <v>6.544931507</v>
      </c>
      <c r="AG2" s="5">
        <v>3.683287671</v>
      </c>
      <c r="AH2" s="5">
        <v>32.23671331</v>
      </c>
      <c r="AI2" s="5">
        <v>1.561017416</v>
      </c>
      <c r="AJ2" s="5">
        <v>0.6558398229</v>
      </c>
      <c r="AK2" s="5">
        <v>2.616262947</v>
      </c>
      <c r="AL2" s="5">
        <v>0.6719688324</v>
      </c>
      <c r="AM2" s="5">
        <v>1.054687812</v>
      </c>
      <c r="AN2" s="5">
        <v>6.278104155</v>
      </c>
      <c r="AO2" s="5">
        <v>-0.4313107789</v>
      </c>
      <c r="AP2" s="5">
        <v>-0.01763525032</v>
      </c>
      <c r="AQ2" s="5">
        <v>-2.43254118</v>
      </c>
    </row>
    <row r="3">
      <c r="A3" s="342">
        <v>2.0</v>
      </c>
      <c r="B3" s="341">
        <v>100.0</v>
      </c>
      <c r="C3" s="341">
        <v>0.0</v>
      </c>
      <c r="D3" s="341">
        <v>1.342213043</v>
      </c>
      <c r="E3" s="342">
        <v>0.01892530713</v>
      </c>
      <c r="F3" s="342">
        <v>0.9381442631</v>
      </c>
      <c r="G3" s="342">
        <v>0.4040687797</v>
      </c>
      <c r="H3" s="342">
        <v>-1.065568658</v>
      </c>
      <c r="I3" s="343"/>
      <c r="J3" s="342" t="s">
        <v>1371</v>
      </c>
      <c r="K3" s="342" t="s">
        <v>67</v>
      </c>
      <c r="L3" s="342" t="s">
        <v>34</v>
      </c>
      <c r="M3" s="342" t="s">
        <v>1372</v>
      </c>
      <c r="N3" s="342" t="s">
        <v>1373</v>
      </c>
      <c r="O3" s="342" t="s">
        <v>1374</v>
      </c>
      <c r="P3" s="343"/>
      <c r="Q3" s="342">
        <v>1.0</v>
      </c>
      <c r="R3" s="342" t="s">
        <v>1375</v>
      </c>
      <c r="S3" s="342" t="s">
        <v>1370</v>
      </c>
      <c r="T3" s="342">
        <v>57.0</v>
      </c>
      <c r="U3" s="342">
        <v>15.0</v>
      </c>
      <c r="V3" s="342">
        <v>33.0</v>
      </c>
      <c r="W3" s="341">
        <v>30.23877193</v>
      </c>
      <c r="X3" s="5">
        <v>1.142982456</v>
      </c>
      <c r="Y3" s="5">
        <v>10.51052632</v>
      </c>
      <c r="Z3" s="5">
        <v>5.037368421</v>
      </c>
      <c r="AA3" s="5">
        <v>1.143859649</v>
      </c>
      <c r="AB3" s="5">
        <v>1.551052632</v>
      </c>
      <c r="AC3" s="5">
        <v>0.5367911594</v>
      </c>
      <c r="AD3" s="5">
        <v>19.06684211</v>
      </c>
      <c r="AE3" s="5">
        <v>0.8699991153</v>
      </c>
      <c r="AF3" s="5">
        <v>9.914912281</v>
      </c>
      <c r="AG3" s="5">
        <v>3.573684211</v>
      </c>
      <c r="AH3" s="5">
        <v>35.97774449</v>
      </c>
      <c r="AI3" s="5">
        <v>2.406896612</v>
      </c>
      <c r="AJ3" s="5">
        <v>-0.4895107099</v>
      </c>
      <c r="AK3" s="5">
        <v>1.890238736</v>
      </c>
      <c r="AL3" s="5">
        <v>0.6103326759</v>
      </c>
      <c r="AM3" s="5">
        <v>0.640921331</v>
      </c>
      <c r="AN3" s="5">
        <v>1.571161104</v>
      </c>
      <c r="AO3" s="5">
        <v>1.427673928</v>
      </c>
      <c r="AP3" s="5">
        <v>2.679990665</v>
      </c>
      <c r="AQ3" s="5">
        <v>-2.294405975</v>
      </c>
    </row>
    <row r="4">
      <c r="A4" s="342">
        <v>3.0</v>
      </c>
      <c r="B4" s="341">
        <v>100.0</v>
      </c>
      <c r="C4" s="341">
        <v>0.0</v>
      </c>
      <c r="D4" s="341">
        <v>1.301737394</v>
      </c>
      <c r="E4" s="342">
        <v>0.004823559378</v>
      </c>
      <c r="F4" s="342">
        <v>0.9523125298</v>
      </c>
      <c r="G4" s="342">
        <v>0.3494248645</v>
      </c>
      <c r="H4" s="342">
        <v>0.335541797</v>
      </c>
      <c r="I4" s="343"/>
      <c r="J4" s="342" t="s">
        <v>1376</v>
      </c>
      <c r="K4" s="342" t="s">
        <v>40</v>
      </c>
      <c r="L4" s="342" t="s">
        <v>34</v>
      </c>
      <c r="M4" s="342" t="s">
        <v>1377</v>
      </c>
      <c r="N4" s="343"/>
      <c r="O4" s="342" t="s">
        <v>1378</v>
      </c>
      <c r="P4" s="343"/>
      <c r="Q4" s="342">
        <v>5.0</v>
      </c>
      <c r="R4" s="342" t="s">
        <v>1369</v>
      </c>
      <c r="S4" s="342" t="s">
        <v>1370</v>
      </c>
      <c r="T4" s="342">
        <v>77.0</v>
      </c>
      <c r="U4" s="342">
        <v>16.0</v>
      </c>
      <c r="V4" s="342">
        <v>35.0</v>
      </c>
      <c r="W4" s="341">
        <v>25.55948052</v>
      </c>
      <c r="X4" s="5">
        <v>0.9916883117</v>
      </c>
      <c r="Y4" s="5">
        <v>11.79064935</v>
      </c>
      <c r="Z4" s="5">
        <v>8.360649351</v>
      </c>
      <c r="AA4" s="5">
        <v>1.492597403</v>
      </c>
      <c r="AB4" s="5">
        <v>0.788961039</v>
      </c>
      <c r="AC4" s="5">
        <v>0.5897010341</v>
      </c>
      <c r="AD4" s="5">
        <v>17.29337662</v>
      </c>
      <c r="AE4" s="5">
        <v>0.8110073214</v>
      </c>
      <c r="AF4" s="5">
        <v>5.144155844</v>
      </c>
      <c r="AG4" s="5">
        <v>3.215584416</v>
      </c>
      <c r="AH4" s="5">
        <v>28.60508383</v>
      </c>
      <c r="AI4" s="5">
        <v>1.621300805</v>
      </c>
      <c r="AJ4" s="5">
        <v>-0.6380482128</v>
      </c>
      <c r="AK4" s="5">
        <v>2.402472895</v>
      </c>
      <c r="AL4" s="5">
        <v>2.145206384</v>
      </c>
      <c r="AM4" s="5">
        <v>1.741813587</v>
      </c>
      <c r="AN4" s="5">
        <v>0.1777939673</v>
      </c>
      <c r="AO4" s="5">
        <v>2.693309553</v>
      </c>
      <c r="AP4" s="5">
        <v>0.2700501763</v>
      </c>
      <c r="AQ4" s="5">
        <v>-1.843086386</v>
      </c>
    </row>
    <row r="5">
      <c r="A5" s="342">
        <v>4.0</v>
      </c>
      <c r="B5" s="341">
        <v>100.0</v>
      </c>
      <c r="C5" s="341">
        <v>0.0</v>
      </c>
      <c r="D5" s="341">
        <v>1.194864953</v>
      </c>
      <c r="E5" s="342">
        <v>0.007173930332</v>
      </c>
      <c r="F5" s="342">
        <v>0.7609576101</v>
      </c>
      <c r="G5" s="342">
        <v>0.4339073429</v>
      </c>
      <c r="H5" s="342">
        <v>-0.6951601472</v>
      </c>
      <c r="I5" s="343"/>
      <c r="J5" s="342" t="s">
        <v>1379</v>
      </c>
      <c r="K5" s="342" t="s">
        <v>57</v>
      </c>
      <c r="L5" s="342" t="s">
        <v>1380</v>
      </c>
      <c r="M5" s="342" t="s">
        <v>1381</v>
      </c>
      <c r="N5" s="342" t="s">
        <v>1382</v>
      </c>
      <c r="O5" s="342" t="s">
        <v>1374</v>
      </c>
      <c r="P5" s="343"/>
      <c r="Q5" s="342">
        <v>4.0</v>
      </c>
      <c r="R5" s="342" t="s">
        <v>1383</v>
      </c>
      <c r="S5" s="342" t="s">
        <v>1370</v>
      </c>
      <c r="T5" s="342">
        <v>68.0</v>
      </c>
      <c r="U5" s="342">
        <v>13.0</v>
      </c>
      <c r="V5" s="342">
        <v>37.0</v>
      </c>
      <c r="W5" s="341">
        <v>31.87132353</v>
      </c>
      <c r="X5" s="5">
        <v>3.974117647</v>
      </c>
      <c r="Y5" s="5">
        <v>9.108970588</v>
      </c>
      <c r="Z5" s="5">
        <v>9.498235294</v>
      </c>
      <c r="AA5" s="5">
        <v>1.394852941</v>
      </c>
      <c r="AB5" s="5">
        <v>0.5467647059</v>
      </c>
      <c r="AC5" s="5">
        <v>0.4797165326</v>
      </c>
      <c r="AD5" s="5">
        <v>22.88882353</v>
      </c>
      <c r="AE5" s="5">
        <v>0.7859938088</v>
      </c>
      <c r="AF5" s="5">
        <v>7.553382353</v>
      </c>
      <c r="AG5" s="5">
        <v>3.903676471</v>
      </c>
      <c r="AH5" s="5">
        <v>34.92659477</v>
      </c>
      <c r="AI5" s="5">
        <v>2.680982062</v>
      </c>
      <c r="AJ5" s="5">
        <v>2.290040033</v>
      </c>
      <c r="AK5" s="5">
        <v>1.329413957</v>
      </c>
      <c r="AL5" s="5">
        <v>2.67060607</v>
      </c>
      <c r="AM5" s="5">
        <v>1.433254736</v>
      </c>
      <c r="AN5" s="5">
        <v>-0.2650247363</v>
      </c>
      <c r="AO5" s="5">
        <v>-0.2821211845</v>
      </c>
      <c r="AP5" s="5">
        <v>-0.2982313125</v>
      </c>
      <c r="AQ5" s="5">
        <v>-2.710301133</v>
      </c>
    </row>
    <row r="6">
      <c r="A6" s="342">
        <v>5.0</v>
      </c>
      <c r="B6" s="341">
        <v>100.0</v>
      </c>
      <c r="C6" s="341">
        <v>0.0</v>
      </c>
      <c r="D6" s="341">
        <v>1.13634214</v>
      </c>
      <c r="E6" s="342">
        <v>-0.003663720045</v>
      </c>
      <c r="F6" s="342">
        <v>0.9234940389</v>
      </c>
      <c r="G6" s="342">
        <v>0.2128481009</v>
      </c>
      <c r="H6" s="342">
        <v>-0.6307412757</v>
      </c>
      <c r="I6" s="343"/>
      <c r="J6" s="342" t="s">
        <v>1384</v>
      </c>
      <c r="K6" s="342" t="s">
        <v>63</v>
      </c>
      <c r="L6" s="342" t="s">
        <v>1366</v>
      </c>
      <c r="M6" s="342" t="s">
        <v>1385</v>
      </c>
      <c r="N6" s="343"/>
      <c r="O6" s="342" t="s">
        <v>1374</v>
      </c>
      <c r="P6" s="343"/>
      <c r="Q6" s="342">
        <v>4.0</v>
      </c>
      <c r="R6" s="342" t="s">
        <v>1386</v>
      </c>
      <c r="S6" s="342" t="s">
        <v>1370</v>
      </c>
      <c r="T6" s="342">
        <v>66.0</v>
      </c>
      <c r="U6" s="342">
        <v>13.0</v>
      </c>
      <c r="V6" s="342">
        <v>36.0</v>
      </c>
      <c r="W6" s="341">
        <v>25.12242424</v>
      </c>
      <c r="X6" s="5">
        <v>0.5036363636</v>
      </c>
      <c r="Y6" s="5">
        <v>13.46393939</v>
      </c>
      <c r="Z6" s="5">
        <v>3.366060606</v>
      </c>
      <c r="AA6" s="5">
        <v>1.307878788</v>
      </c>
      <c r="AB6" s="5">
        <v>2.065454545</v>
      </c>
      <c r="AC6" s="5">
        <v>0.556141401</v>
      </c>
      <c r="AD6" s="5">
        <v>17.2130303</v>
      </c>
      <c r="AE6" s="5">
        <v>0.8080080528</v>
      </c>
      <c r="AF6" s="5">
        <v>6.773484848</v>
      </c>
      <c r="AG6" s="5">
        <v>2.371515152</v>
      </c>
      <c r="AH6" s="5">
        <v>26.98179616</v>
      </c>
      <c r="AI6" s="5">
        <v>1.5479244</v>
      </c>
      <c r="AJ6" s="5">
        <v>-1.117207654</v>
      </c>
      <c r="AK6" s="5">
        <v>3.072030659</v>
      </c>
      <c r="AL6" s="5">
        <v>-0.1615690918</v>
      </c>
      <c r="AM6" s="5">
        <v>1.158695498</v>
      </c>
      <c r="AN6" s="5">
        <v>2.5116658</v>
      </c>
      <c r="AO6" s="5">
        <v>1.797342008</v>
      </c>
      <c r="AP6" s="5">
        <v>0.2818554991</v>
      </c>
      <c r="AQ6" s="5">
        <v>-0.7792907681</v>
      </c>
    </row>
    <row r="7">
      <c r="A7" s="342">
        <v>6.0</v>
      </c>
      <c r="B7" s="341">
        <v>100.0</v>
      </c>
      <c r="C7" s="341">
        <v>0.0</v>
      </c>
      <c r="D7" s="341">
        <v>0.9993942128</v>
      </c>
      <c r="E7" s="342">
        <v>-0.004887679557</v>
      </c>
      <c r="F7" s="342">
        <v>0.7631868565</v>
      </c>
      <c r="G7" s="342">
        <v>0.2362073564</v>
      </c>
      <c r="H7" s="342">
        <v>0.4321701043</v>
      </c>
      <c r="I7" s="343"/>
      <c r="J7" s="342" t="s">
        <v>1387</v>
      </c>
      <c r="K7" s="342" t="s">
        <v>45</v>
      </c>
      <c r="L7" s="342" t="s">
        <v>1380</v>
      </c>
      <c r="M7" s="342" t="s">
        <v>1388</v>
      </c>
      <c r="N7" s="343"/>
      <c r="O7" s="342" t="s">
        <v>1368</v>
      </c>
      <c r="P7" s="343"/>
      <c r="Q7" s="342">
        <v>3.0</v>
      </c>
      <c r="R7" s="342" t="s">
        <v>1383</v>
      </c>
      <c r="S7" s="342" t="s">
        <v>1370</v>
      </c>
      <c r="T7" s="342">
        <v>73.0</v>
      </c>
      <c r="U7" s="342">
        <v>16.0</v>
      </c>
      <c r="V7" s="342">
        <v>34.0</v>
      </c>
      <c r="W7" s="341">
        <v>29.18123288</v>
      </c>
      <c r="X7" s="5">
        <v>1.557945205</v>
      </c>
      <c r="Y7" s="5">
        <v>5.437123288</v>
      </c>
      <c r="Z7" s="5">
        <v>6.939589041</v>
      </c>
      <c r="AA7" s="5">
        <v>1.502328767</v>
      </c>
      <c r="AB7" s="5">
        <v>0.7869863014</v>
      </c>
      <c r="AC7" s="5">
        <v>0.5123976584</v>
      </c>
      <c r="AD7" s="5">
        <v>19.96068493</v>
      </c>
      <c r="AE7" s="5">
        <v>0.8549952613</v>
      </c>
      <c r="AF7" s="5">
        <v>8.383287671</v>
      </c>
      <c r="AG7" s="5">
        <v>2.646986301</v>
      </c>
      <c r="AH7" s="5">
        <v>33.70942173</v>
      </c>
      <c r="AI7" s="5">
        <v>2.229348737</v>
      </c>
      <c r="AJ7" s="5">
        <v>-0.08210875269</v>
      </c>
      <c r="AK7" s="5">
        <v>-0.13985545</v>
      </c>
      <c r="AL7" s="5">
        <v>1.488882663</v>
      </c>
      <c r="AM7" s="5">
        <v>1.772533472</v>
      </c>
      <c r="AN7" s="5">
        <v>0.1741834636</v>
      </c>
      <c r="AO7" s="5">
        <v>0.750406776</v>
      </c>
      <c r="AP7" s="5">
        <v>1.801762793</v>
      </c>
      <c r="AQ7" s="5">
        <v>-1.126471994</v>
      </c>
    </row>
    <row r="8">
      <c r="A8" s="342">
        <v>7.0</v>
      </c>
      <c r="B8" s="341">
        <v>100.0</v>
      </c>
      <c r="C8" s="341">
        <v>0.0</v>
      </c>
      <c r="D8" s="341">
        <v>0.8765047091</v>
      </c>
      <c r="E8" s="342">
        <v>-0.01188517067</v>
      </c>
      <c r="F8" s="342">
        <v>0.5444376828</v>
      </c>
      <c r="G8" s="342">
        <v>0.3320670262</v>
      </c>
      <c r="H8" s="342">
        <v>-1.017254505</v>
      </c>
      <c r="I8" s="343"/>
      <c r="J8" s="342" t="s">
        <v>1389</v>
      </c>
      <c r="K8" s="342" t="s">
        <v>136</v>
      </c>
      <c r="L8" s="342" t="s">
        <v>1380</v>
      </c>
      <c r="M8" s="342" t="s">
        <v>1390</v>
      </c>
      <c r="N8" s="343"/>
      <c r="O8" s="342" t="s">
        <v>1374</v>
      </c>
      <c r="P8" s="343"/>
      <c r="Q8" s="342">
        <v>1.0</v>
      </c>
      <c r="R8" s="342" t="s">
        <v>1391</v>
      </c>
      <c r="S8" s="342" t="s">
        <v>1370</v>
      </c>
      <c r="T8" s="342">
        <v>62.0</v>
      </c>
      <c r="U8" s="342">
        <v>15.0</v>
      </c>
      <c r="V8" s="342">
        <v>34.0</v>
      </c>
      <c r="W8" s="341">
        <v>26.09983871</v>
      </c>
      <c r="X8" s="5">
        <v>3.96</v>
      </c>
      <c r="Y8" s="5">
        <v>5.909677419</v>
      </c>
      <c r="Z8" s="5">
        <v>8.492419355</v>
      </c>
      <c r="AA8" s="5">
        <v>1.680483871</v>
      </c>
      <c r="AB8" s="5">
        <v>0.2917741935</v>
      </c>
      <c r="AC8" s="5">
        <v>0.4356151932</v>
      </c>
      <c r="AD8" s="5">
        <v>20.93887097</v>
      </c>
      <c r="AE8" s="5">
        <v>0.846013795</v>
      </c>
      <c r="AF8" s="5">
        <v>4.606612903</v>
      </c>
      <c r="AG8" s="5">
        <v>3.429032258</v>
      </c>
      <c r="AH8" s="5">
        <v>32.72897779</v>
      </c>
      <c r="AI8" s="5">
        <v>1.712020337</v>
      </c>
      <c r="AJ8" s="5">
        <v>2.276179615</v>
      </c>
      <c r="AK8" s="5">
        <v>0.04923447446</v>
      </c>
      <c r="AL8" s="5">
        <v>2.206065012</v>
      </c>
      <c r="AM8" s="5">
        <v>2.334931929</v>
      </c>
      <c r="AN8" s="5">
        <v>-0.7312356267</v>
      </c>
      <c r="AO8" s="5">
        <v>-1.671059896</v>
      </c>
      <c r="AP8" s="5">
        <v>0.8359018294</v>
      </c>
      <c r="AQ8" s="5">
        <v>-2.112098527</v>
      </c>
    </row>
    <row r="9">
      <c r="A9" s="342">
        <v>8.0</v>
      </c>
      <c r="B9" s="341">
        <v>100.0</v>
      </c>
      <c r="C9" s="341">
        <v>0.0</v>
      </c>
      <c r="D9" s="341">
        <v>0.7795512673</v>
      </c>
      <c r="E9" s="342">
        <v>0.005090885466</v>
      </c>
      <c r="F9" s="342">
        <v>0.6135811311</v>
      </c>
      <c r="G9" s="342">
        <v>0.1659701362</v>
      </c>
      <c r="H9" s="342">
        <v>-0.1314950215</v>
      </c>
      <c r="I9" s="343"/>
      <c r="J9" s="342" t="s">
        <v>1392</v>
      </c>
      <c r="K9" s="342" t="s">
        <v>89</v>
      </c>
      <c r="L9" s="342" t="s">
        <v>1380</v>
      </c>
      <c r="M9" s="342" t="s">
        <v>1393</v>
      </c>
      <c r="N9" s="343"/>
      <c r="O9" s="342" t="s">
        <v>1374</v>
      </c>
      <c r="P9" s="343"/>
      <c r="Q9" s="342">
        <v>3.0</v>
      </c>
      <c r="R9" s="342" t="s">
        <v>1394</v>
      </c>
      <c r="S9" s="342" t="s">
        <v>1370</v>
      </c>
      <c r="T9" s="342">
        <v>68.0</v>
      </c>
      <c r="U9" s="342">
        <v>14.0</v>
      </c>
      <c r="V9" s="342">
        <v>33.0</v>
      </c>
      <c r="W9" s="341">
        <v>19.71779412</v>
      </c>
      <c r="X9" s="5">
        <v>2.888382353</v>
      </c>
      <c r="Y9" s="5">
        <v>3.965441176</v>
      </c>
      <c r="Z9" s="5">
        <v>10.62191176</v>
      </c>
      <c r="AA9" s="5">
        <v>1.416176471</v>
      </c>
      <c r="AB9" s="5">
        <v>0.6373529412</v>
      </c>
      <c r="AC9" s="5">
        <v>0.4795063553</v>
      </c>
      <c r="AD9" s="5">
        <v>14.72838235</v>
      </c>
      <c r="AE9" s="5">
        <v>0.8569964121</v>
      </c>
      <c r="AF9" s="5">
        <v>3.156029412</v>
      </c>
      <c r="AG9" s="5">
        <v>2.319852941</v>
      </c>
      <c r="AH9" s="5">
        <v>23.65575678</v>
      </c>
      <c r="AI9" s="5">
        <v>0.6405530921</v>
      </c>
      <c r="AJ9" s="5">
        <v>1.224087282</v>
      </c>
      <c r="AK9" s="5">
        <v>-0.7287409143</v>
      </c>
      <c r="AL9" s="5">
        <v>3.189581597</v>
      </c>
      <c r="AM9" s="5">
        <v>1.500568665</v>
      </c>
      <c r="AN9" s="5">
        <v>-0.09939809613</v>
      </c>
      <c r="AO9" s="5">
        <v>-0.1895435467</v>
      </c>
      <c r="AP9" s="5">
        <v>0.6993020593</v>
      </c>
      <c r="AQ9" s="5">
        <v>-0.7141799587</v>
      </c>
    </row>
    <row r="10">
      <c r="A10" s="342">
        <v>9.0</v>
      </c>
      <c r="B10" s="341">
        <v>100.0</v>
      </c>
      <c r="C10" s="341">
        <v>0.0</v>
      </c>
      <c r="D10" s="341">
        <v>0.7351719188</v>
      </c>
      <c r="E10" s="342">
        <v>0.01903089959</v>
      </c>
      <c r="F10" s="342">
        <v>0.4753873242</v>
      </c>
      <c r="G10" s="342">
        <v>0.2597845946</v>
      </c>
      <c r="H10" s="342">
        <v>0.1261804646</v>
      </c>
      <c r="I10" s="343"/>
      <c r="J10" s="342" t="s">
        <v>1395</v>
      </c>
      <c r="K10" s="342" t="s">
        <v>1396</v>
      </c>
      <c r="L10" s="342" t="s">
        <v>1380</v>
      </c>
      <c r="M10" s="342" t="s">
        <v>1397</v>
      </c>
      <c r="N10" s="342" t="s">
        <v>1398</v>
      </c>
      <c r="O10" s="342" t="s">
        <v>1374</v>
      </c>
      <c r="P10" s="342" t="s">
        <v>1399</v>
      </c>
      <c r="Q10" s="342">
        <v>3.0</v>
      </c>
      <c r="R10" s="342" t="s">
        <v>1394</v>
      </c>
      <c r="S10" s="342" t="s">
        <v>1370</v>
      </c>
      <c r="T10" s="342">
        <v>68.0</v>
      </c>
      <c r="U10" s="342">
        <v>14.0</v>
      </c>
      <c r="V10" s="342">
        <v>33.0</v>
      </c>
      <c r="W10" s="341">
        <v>27.32397059</v>
      </c>
      <c r="X10" s="5">
        <v>5.063235294</v>
      </c>
      <c r="Y10" s="5">
        <v>4.8125</v>
      </c>
      <c r="Z10" s="5">
        <v>6.1875</v>
      </c>
      <c r="AA10" s="5">
        <v>0.825</v>
      </c>
      <c r="AB10" s="5">
        <v>0.3408823529</v>
      </c>
      <c r="AC10" s="5">
        <v>0.4492422534</v>
      </c>
      <c r="AD10" s="5">
        <v>20.21279412</v>
      </c>
      <c r="AE10" s="5">
        <v>0.9219855811</v>
      </c>
      <c r="AF10" s="5">
        <v>4.446764706</v>
      </c>
      <c r="AG10" s="5">
        <v>3.025</v>
      </c>
      <c r="AH10" s="5">
        <v>32.72782327</v>
      </c>
      <c r="AI10" s="5">
        <v>1.91753711</v>
      </c>
      <c r="AJ10" s="5">
        <v>3.359313508</v>
      </c>
      <c r="AK10" s="5">
        <v>-0.3897950069</v>
      </c>
      <c r="AL10" s="5">
        <v>1.141526625</v>
      </c>
      <c r="AM10" s="5">
        <v>-0.3656519895</v>
      </c>
      <c r="AN10" s="5">
        <v>-0.6414489186</v>
      </c>
      <c r="AO10" s="5">
        <v>-1.192204528</v>
      </c>
      <c r="AP10" s="5">
        <v>2.05209855</v>
      </c>
      <c r="AQ10" s="5">
        <v>-1.602889432</v>
      </c>
    </row>
    <row r="11">
      <c r="A11" s="342">
        <v>10.0</v>
      </c>
      <c r="B11" s="341">
        <v>100.0</v>
      </c>
      <c r="C11" s="341">
        <v>0.0</v>
      </c>
      <c r="D11" s="341">
        <v>0.7008169994</v>
      </c>
      <c r="E11" s="342">
        <v>0.016333116</v>
      </c>
      <c r="F11" s="342">
        <v>0.4115706352</v>
      </c>
      <c r="G11" s="342">
        <v>0.2892463643</v>
      </c>
      <c r="H11" s="342">
        <v>-0.06707614997</v>
      </c>
      <c r="I11" s="343"/>
      <c r="J11" s="342" t="s">
        <v>1400</v>
      </c>
      <c r="K11" s="342" t="s">
        <v>102</v>
      </c>
      <c r="L11" s="342" t="s">
        <v>1380</v>
      </c>
      <c r="M11" s="342" t="s">
        <v>1401</v>
      </c>
      <c r="N11" s="343"/>
      <c r="O11" s="342" t="s">
        <v>1374</v>
      </c>
      <c r="P11" s="342" t="s">
        <v>1402</v>
      </c>
      <c r="Q11" s="342">
        <v>4.0</v>
      </c>
      <c r="R11" s="342" t="s">
        <v>1394</v>
      </c>
      <c r="S11" s="342" t="s">
        <v>1370</v>
      </c>
      <c r="T11" s="342">
        <v>68.0</v>
      </c>
      <c r="U11" s="342">
        <v>16.0</v>
      </c>
      <c r="V11" s="342">
        <v>34.0</v>
      </c>
      <c r="W11" s="341">
        <v>22.65044118</v>
      </c>
      <c r="X11" s="5">
        <v>2.797941176</v>
      </c>
      <c r="Y11" s="5">
        <v>5.900441176</v>
      </c>
      <c r="Z11" s="5">
        <v>9.440735294</v>
      </c>
      <c r="AA11" s="5">
        <v>0.9710294118</v>
      </c>
      <c r="AB11" s="5">
        <v>0.5552941176</v>
      </c>
      <c r="AC11" s="5">
        <v>0.4337920333</v>
      </c>
      <c r="AD11" s="5">
        <v>15.82691176</v>
      </c>
      <c r="AE11" s="5">
        <v>0.8789990497</v>
      </c>
      <c r="AF11" s="5">
        <v>6.963970588</v>
      </c>
      <c r="AG11" s="5">
        <v>3.262647059</v>
      </c>
      <c r="AH11" s="5">
        <v>28.98339692</v>
      </c>
      <c r="AI11" s="5">
        <v>1.132908672</v>
      </c>
      <c r="AJ11" s="5">
        <v>1.135293981</v>
      </c>
      <c r="AK11" s="5">
        <v>0.0455386429</v>
      </c>
      <c r="AL11" s="5">
        <v>2.644049411</v>
      </c>
      <c r="AM11" s="5">
        <v>0.09533236615</v>
      </c>
      <c r="AN11" s="5">
        <v>-0.2494300202</v>
      </c>
      <c r="AO11" s="5">
        <v>-1.309459702</v>
      </c>
      <c r="AP11" s="5">
        <v>2.112302645</v>
      </c>
      <c r="AQ11" s="5">
        <v>-1.902400279</v>
      </c>
    </row>
    <row r="12">
      <c r="A12" s="342">
        <v>11.0</v>
      </c>
      <c r="B12" s="341">
        <v>100.0</v>
      </c>
      <c r="C12" s="341">
        <v>0.0</v>
      </c>
      <c r="D12" s="341">
        <v>0.6947055615</v>
      </c>
      <c r="E12" s="342">
        <v>-0.002886284228</v>
      </c>
      <c r="F12" s="342">
        <v>0.3526801977</v>
      </c>
      <c r="G12" s="342">
        <v>0.3420253638</v>
      </c>
      <c r="H12" s="342">
        <v>-1.307139427</v>
      </c>
      <c r="I12" s="343"/>
      <c r="J12" s="342" t="s">
        <v>1403</v>
      </c>
      <c r="K12" s="342" t="s">
        <v>63</v>
      </c>
      <c r="L12" s="342" t="s">
        <v>1404</v>
      </c>
      <c r="M12" s="342" t="s">
        <v>1405</v>
      </c>
      <c r="N12" s="343"/>
      <c r="O12" s="342" t="s">
        <v>1374</v>
      </c>
      <c r="P12" s="342" t="s">
        <v>1406</v>
      </c>
      <c r="Q12" s="342">
        <v>3.0</v>
      </c>
      <c r="R12" s="342" t="s">
        <v>1407</v>
      </c>
      <c r="S12" s="342" t="s">
        <v>1370</v>
      </c>
      <c r="T12" s="342">
        <v>66.0</v>
      </c>
      <c r="U12" s="342">
        <v>13.0</v>
      </c>
      <c r="V12" s="342">
        <v>35.0</v>
      </c>
      <c r="W12" s="341">
        <v>24.64166667</v>
      </c>
      <c r="X12" s="5">
        <v>1.924848485</v>
      </c>
      <c r="Y12" s="5">
        <v>7.14</v>
      </c>
      <c r="Z12" s="5">
        <v>8.776212121</v>
      </c>
      <c r="AA12" s="5">
        <v>1.109242424</v>
      </c>
      <c r="AB12" s="5">
        <v>0.5227272727</v>
      </c>
      <c r="AC12" s="5">
        <v>0.5371077316</v>
      </c>
      <c r="AD12" s="5">
        <v>17.10621212</v>
      </c>
      <c r="AE12" s="5">
        <v>0.7690098505</v>
      </c>
      <c r="AF12" s="5">
        <v>5.645</v>
      </c>
      <c r="AG12" s="5">
        <v>3.644393939</v>
      </c>
      <c r="AH12" s="5">
        <v>28.57616097</v>
      </c>
      <c r="AI12" s="5">
        <v>1.467211082</v>
      </c>
      <c r="AJ12" s="5">
        <v>0.2781093979</v>
      </c>
      <c r="AK12" s="5">
        <v>0.5415412564</v>
      </c>
      <c r="AL12" s="5">
        <v>2.337136102</v>
      </c>
      <c r="AM12" s="5">
        <v>0.5316419816</v>
      </c>
      <c r="AN12" s="5">
        <v>-0.3089734818</v>
      </c>
      <c r="AO12" s="5">
        <v>1.288205225</v>
      </c>
      <c r="AP12" s="5">
        <v>-0.5772270711</v>
      </c>
      <c r="AQ12" s="5">
        <v>-2.383522713</v>
      </c>
    </row>
    <row r="13">
      <c r="A13" s="342">
        <v>12.0</v>
      </c>
      <c r="B13" s="341">
        <v>100.0</v>
      </c>
      <c r="C13" s="341">
        <v>0.0</v>
      </c>
      <c r="D13" s="341">
        <v>0.6871060974</v>
      </c>
      <c r="E13" s="342">
        <v>0.005673296038</v>
      </c>
      <c r="F13" s="342">
        <v>0.5698555806</v>
      </c>
      <c r="G13" s="342">
        <v>0.1172505168</v>
      </c>
      <c r="H13" s="342">
        <v>-2.273422499</v>
      </c>
      <c r="I13" s="343"/>
      <c r="J13" s="342" t="s">
        <v>1408</v>
      </c>
      <c r="K13" s="342" t="s">
        <v>57</v>
      </c>
      <c r="L13" s="342" t="s">
        <v>1380</v>
      </c>
      <c r="M13" s="342" t="s">
        <v>1409</v>
      </c>
      <c r="N13" s="343"/>
      <c r="O13" s="342" t="s">
        <v>1374</v>
      </c>
      <c r="P13" s="342" t="s">
        <v>1410</v>
      </c>
      <c r="Q13" s="342">
        <v>5.0</v>
      </c>
      <c r="R13" s="342" t="s">
        <v>1411</v>
      </c>
      <c r="S13" s="342" t="s">
        <v>1370</v>
      </c>
      <c r="T13" s="342">
        <v>68.0</v>
      </c>
      <c r="U13" s="342">
        <v>13.0</v>
      </c>
      <c r="V13" s="342">
        <v>36.0</v>
      </c>
      <c r="W13" s="341">
        <v>24.8325</v>
      </c>
      <c r="X13" s="5">
        <v>2.898382353</v>
      </c>
      <c r="Y13" s="5">
        <v>4.999558824</v>
      </c>
      <c r="Z13" s="5">
        <v>4.999558824</v>
      </c>
      <c r="AA13" s="5">
        <v>1.212205882</v>
      </c>
      <c r="AB13" s="5">
        <v>0.5301470588</v>
      </c>
      <c r="AC13" s="5">
        <v>0.5067040208</v>
      </c>
      <c r="AD13" s="5">
        <v>18.63455882</v>
      </c>
      <c r="AE13" s="5">
        <v>0.9090032436</v>
      </c>
      <c r="AF13" s="5">
        <v>3.355</v>
      </c>
      <c r="AG13" s="5">
        <v>2.045294118</v>
      </c>
      <c r="AH13" s="5">
        <v>26.40892627</v>
      </c>
      <c r="AI13" s="5">
        <v>1.499249665</v>
      </c>
      <c r="AJ13" s="5">
        <v>1.233905078</v>
      </c>
      <c r="AK13" s="5">
        <v>-0.3149444524</v>
      </c>
      <c r="AL13" s="5">
        <v>0.5928701265</v>
      </c>
      <c r="AM13" s="5">
        <v>0.8566761156</v>
      </c>
      <c r="AN13" s="5">
        <v>-0.2954075453</v>
      </c>
      <c r="AO13" s="5">
        <v>0.5376876395</v>
      </c>
      <c r="AP13" s="5">
        <v>1.386812152</v>
      </c>
      <c r="AQ13" s="5">
        <v>-0.3681485536</v>
      </c>
    </row>
    <row r="14">
      <c r="A14" s="342">
        <v>13.0</v>
      </c>
      <c r="B14" s="341">
        <v>100.0</v>
      </c>
      <c r="C14" s="341">
        <v>0.0</v>
      </c>
      <c r="D14" s="341">
        <v>0.6741437045</v>
      </c>
      <c r="E14" s="342">
        <v>0.00534913781</v>
      </c>
      <c r="F14" s="342">
        <v>0.4644832141</v>
      </c>
      <c r="G14" s="342">
        <v>0.2096604904</v>
      </c>
      <c r="H14" s="342">
        <v>-0.3569610718</v>
      </c>
      <c r="I14" s="343"/>
      <c r="J14" s="342" t="s">
        <v>1412</v>
      </c>
      <c r="K14" s="342" t="s">
        <v>67</v>
      </c>
      <c r="L14" s="342" t="s">
        <v>1413</v>
      </c>
      <c r="M14" s="342" t="s">
        <v>1414</v>
      </c>
      <c r="N14" s="342" t="s">
        <v>1415</v>
      </c>
      <c r="O14" s="342" t="s">
        <v>1374</v>
      </c>
      <c r="P14" s="342" t="s">
        <v>1416</v>
      </c>
      <c r="Q14" s="342">
        <v>4.0</v>
      </c>
      <c r="R14" s="342" t="s">
        <v>1417</v>
      </c>
      <c r="S14" s="342" t="s">
        <v>1370</v>
      </c>
      <c r="T14" s="342">
        <v>62.0</v>
      </c>
      <c r="U14" s="342">
        <v>15.0</v>
      </c>
      <c r="V14" s="342">
        <v>35.0</v>
      </c>
      <c r="W14" s="341">
        <v>20.82370968</v>
      </c>
      <c r="X14" s="5">
        <v>2.860322581</v>
      </c>
      <c r="Y14" s="5">
        <v>6.431290323</v>
      </c>
      <c r="Z14" s="5">
        <v>4.787741935</v>
      </c>
      <c r="AA14" s="5">
        <v>1.589032258</v>
      </c>
      <c r="AB14" s="5">
        <v>0.5001612903</v>
      </c>
      <c r="AC14" s="5">
        <v>0.4722811616</v>
      </c>
      <c r="AD14" s="5">
        <v>15.50709677</v>
      </c>
      <c r="AE14" s="5">
        <v>0.8910028604</v>
      </c>
      <c r="AF14" s="5">
        <v>3.721612903</v>
      </c>
      <c r="AG14" s="5">
        <v>2.715483871</v>
      </c>
      <c r="AH14" s="5">
        <v>24.94868277</v>
      </c>
      <c r="AI14" s="5">
        <v>0.826222791</v>
      </c>
      <c r="AJ14" s="5">
        <v>1.196538771</v>
      </c>
      <c r="AK14" s="5">
        <v>0.2579549953</v>
      </c>
      <c r="AL14" s="5">
        <v>0.4950414508</v>
      </c>
      <c r="AM14" s="5">
        <v>2.046238286</v>
      </c>
      <c r="AN14" s="5">
        <v>-0.3502319061</v>
      </c>
      <c r="AO14" s="5">
        <v>-0.3704237183</v>
      </c>
      <c r="AP14" s="5">
        <v>1.291808967</v>
      </c>
      <c r="AQ14" s="5">
        <v>-1.212800709</v>
      </c>
    </row>
    <row r="15">
      <c r="A15" s="342">
        <v>14.0</v>
      </c>
      <c r="B15" s="341">
        <v>100.0</v>
      </c>
      <c r="C15" s="341">
        <v>0.0</v>
      </c>
      <c r="D15" s="341">
        <v>0.6603341571</v>
      </c>
      <c r="E15" s="342">
        <v>0.006649197761</v>
      </c>
      <c r="F15" s="342">
        <v>0.4467567806</v>
      </c>
      <c r="G15" s="342">
        <v>0.2135773764</v>
      </c>
      <c r="H15" s="342">
        <v>-1.870804552</v>
      </c>
      <c r="I15" s="343"/>
      <c r="J15" s="342" t="s">
        <v>1418</v>
      </c>
      <c r="K15" s="342" t="s">
        <v>110</v>
      </c>
      <c r="L15" s="342" t="s">
        <v>1380</v>
      </c>
      <c r="M15" s="342" t="s">
        <v>1419</v>
      </c>
      <c r="N15" s="343"/>
      <c r="O15" s="342" t="s">
        <v>1374</v>
      </c>
      <c r="P15" s="342" t="s">
        <v>1399</v>
      </c>
      <c r="Q15" s="342">
        <v>3.0</v>
      </c>
      <c r="R15" s="342" t="s">
        <v>1411</v>
      </c>
      <c r="S15" s="342" t="s">
        <v>1370</v>
      </c>
      <c r="T15" s="342">
        <v>68.0</v>
      </c>
      <c r="U15" s="342">
        <v>16.0</v>
      </c>
      <c r="V15" s="342">
        <v>33.0</v>
      </c>
      <c r="W15" s="341">
        <v>25.3975</v>
      </c>
      <c r="X15" s="5">
        <v>3.406617647</v>
      </c>
      <c r="Y15" s="5">
        <v>4.2075</v>
      </c>
      <c r="Z15" s="5">
        <v>5.469705882</v>
      </c>
      <c r="AA15" s="5">
        <v>1.472647059</v>
      </c>
      <c r="AB15" s="5">
        <v>0.4908823529</v>
      </c>
      <c r="AC15" s="5">
        <v>0.4648033924</v>
      </c>
      <c r="AD15" s="5">
        <v>19.07352941</v>
      </c>
      <c r="AE15" s="5">
        <v>0.8589983098</v>
      </c>
      <c r="AF15" s="5">
        <v>4.959264706</v>
      </c>
      <c r="AG15" s="5">
        <v>2.754411765</v>
      </c>
      <c r="AH15" s="5">
        <v>31.43578723</v>
      </c>
      <c r="AI15" s="5">
        <v>1.594106256</v>
      </c>
      <c r="AJ15" s="5">
        <v>1.732880116</v>
      </c>
      <c r="AK15" s="5">
        <v>-0.6318824137</v>
      </c>
      <c r="AL15" s="5">
        <v>0.8100098674</v>
      </c>
      <c r="AM15" s="5">
        <v>1.678834518</v>
      </c>
      <c r="AN15" s="5">
        <v>-0.3671970144</v>
      </c>
      <c r="AO15" s="5">
        <v>-0.6716240166</v>
      </c>
      <c r="AP15" s="5">
        <v>1.137545944</v>
      </c>
      <c r="AQ15" s="5">
        <v>-1.261862231</v>
      </c>
    </row>
    <row r="16">
      <c r="A16" s="342">
        <v>15.0</v>
      </c>
      <c r="B16" s="341">
        <v>100.0</v>
      </c>
      <c r="C16" s="341">
        <v>0.0</v>
      </c>
      <c r="D16" s="341">
        <v>0.6304388576</v>
      </c>
      <c r="E16" s="342">
        <v>0.02369527175</v>
      </c>
      <c r="F16" s="342">
        <v>0.3883251449</v>
      </c>
      <c r="G16" s="342">
        <v>0.2421137128</v>
      </c>
      <c r="H16" s="342">
        <v>0.3838559506</v>
      </c>
      <c r="I16" s="343"/>
      <c r="J16" s="342" t="s">
        <v>1420</v>
      </c>
      <c r="K16" s="342" t="s">
        <v>1421</v>
      </c>
      <c r="L16" s="342" t="s">
        <v>1366</v>
      </c>
      <c r="M16" s="342" t="s">
        <v>1422</v>
      </c>
      <c r="N16" s="343"/>
      <c r="O16" s="342" t="s">
        <v>1374</v>
      </c>
      <c r="P16" s="342" t="s">
        <v>1423</v>
      </c>
      <c r="Q16" s="342">
        <v>3.0</v>
      </c>
      <c r="R16" s="342" t="s">
        <v>1424</v>
      </c>
      <c r="S16" s="342" t="s">
        <v>1370</v>
      </c>
      <c r="T16" s="342">
        <v>68.0</v>
      </c>
      <c r="U16" s="342">
        <v>15.0</v>
      </c>
      <c r="V16" s="342">
        <v>35.0</v>
      </c>
      <c r="W16" s="341">
        <v>22.99985294</v>
      </c>
      <c r="X16" s="5">
        <v>2.154264706</v>
      </c>
      <c r="Y16" s="5">
        <v>10.5</v>
      </c>
      <c r="Z16" s="5">
        <v>3.488235294</v>
      </c>
      <c r="AA16" s="5">
        <v>0.6401470588</v>
      </c>
      <c r="AB16" s="5">
        <v>1.05</v>
      </c>
      <c r="AC16" s="5">
        <v>0.5164562794</v>
      </c>
      <c r="AD16" s="5">
        <v>15.96029412</v>
      </c>
      <c r="AE16" s="5">
        <v>0.8590137336</v>
      </c>
      <c r="AF16" s="5">
        <v>5.075588235</v>
      </c>
      <c r="AG16" s="5">
        <v>2.981911765</v>
      </c>
      <c r="AH16" s="5">
        <v>27.00109862</v>
      </c>
      <c r="AI16" s="5">
        <v>1.191570634</v>
      </c>
      <c r="AJ16" s="5">
        <v>0.503345561</v>
      </c>
      <c r="AK16" s="5">
        <v>1.886026689</v>
      </c>
      <c r="AL16" s="5">
        <v>-0.1051421088</v>
      </c>
      <c r="AM16" s="5">
        <v>-0.9491941194</v>
      </c>
      <c r="AN16" s="5">
        <v>0.6550635149</v>
      </c>
      <c r="AO16" s="5">
        <v>0.6972382275</v>
      </c>
      <c r="AP16" s="5">
        <v>1.164602462</v>
      </c>
      <c r="AQ16" s="5">
        <v>-1.548584557</v>
      </c>
    </row>
    <row r="17">
      <c r="A17" s="342">
        <v>16.0</v>
      </c>
      <c r="B17" s="341">
        <v>100.0</v>
      </c>
      <c r="C17" s="341">
        <v>0.0</v>
      </c>
      <c r="D17" s="341">
        <v>0.5964108572</v>
      </c>
      <c r="E17" s="342">
        <v>0.006083227519</v>
      </c>
      <c r="F17" s="342">
        <v>0.3951368468</v>
      </c>
      <c r="G17" s="342">
        <v>0.2012740104</v>
      </c>
      <c r="H17" s="342">
        <v>0.6576361546</v>
      </c>
      <c r="I17" s="343"/>
      <c r="J17" s="342" t="s">
        <v>1425</v>
      </c>
      <c r="K17" s="342" t="s">
        <v>159</v>
      </c>
      <c r="L17" s="342" t="s">
        <v>1413</v>
      </c>
      <c r="M17" s="342" t="s">
        <v>1426</v>
      </c>
      <c r="N17" s="343"/>
      <c r="O17" s="342" t="s">
        <v>1378</v>
      </c>
      <c r="P17" s="343"/>
      <c r="Q17" s="342">
        <v>4.0</v>
      </c>
      <c r="R17" s="342" t="s">
        <v>1411</v>
      </c>
      <c r="S17" s="342" t="s">
        <v>1370</v>
      </c>
      <c r="T17" s="342">
        <v>77.0</v>
      </c>
      <c r="U17" s="342">
        <v>14.0</v>
      </c>
      <c r="V17" s="342">
        <v>35.0</v>
      </c>
      <c r="W17" s="341">
        <v>26.24675325</v>
      </c>
      <c r="X17" s="5">
        <v>2.313246753</v>
      </c>
      <c r="Y17" s="5">
        <v>5.359350649</v>
      </c>
      <c r="Z17" s="5">
        <v>5.359350649</v>
      </c>
      <c r="AA17" s="5">
        <v>1.356103896</v>
      </c>
      <c r="AB17" s="5">
        <v>0.5720779221</v>
      </c>
      <c r="AC17" s="5">
        <v>0.4670996365</v>
      </c>
      <c r="AD17" s="5">
        <v>19.43688312</v>
      </c>
      <c r="AE17" s="5">
        <v>0.8489939292</v>
      </c>
      <c r="AF17" s="5">
        <v>6.802857143</v>
      </c>
      <c r="AG17" s="5">
        <v>2.717272727</v>
      </c>
      <c r="AH17" s="5">
        <v>31.91120555</v>
      </c>
      <c r="AI17" s="5">
        <v>1.736685491</v>
      </c>
      <c r="AJ17" s="5">
        <v>0.65943089</v>
      </c>
      <c r="AK17" s="5">
        <v>-0.1709757415</v>
      </c>
      <c r="AL17" s="5">
        <v>0.759041758</v>
      </c>
      <c r="AM17" s="5">
        <v>1.310932093</v>
      </c>
      <c r="AN17" s="5">
        <v>-0.218743418</v>
      </c>
      <c r="AO17" s="5">
        <v>-0.6159889406</v>
      </c>
      <c r="AP17" s="5">
        <v>1.310904725</v>
      </c>
      <c r="AQ17" s="5">
        <v>-1.215055236</v>
      </c>
    </row>
    <row r="18">
      <c r="A18" s="342">
        <v>17.0</v>
      </c>
      <c r="B18" s="341">
        <v>100.0</v>
      </c>
      <c r="C18" s="341">
        <v>0.0</v>
      </c>
      <c r="D18" s="341">
        <v>0.591421153</v>
      </c>
      <c r="E18" s="342">
        <v>0.004707547006</v>
      </c>
      <c r="F18" s="342">
        <v>0.420989348</v>
      </c>
      <c r="G18" s="342">
        <v>0.170431805</v>
      </c>
      <c r="H18" s="342">
        <v>-0.05097143209</v>
      </c>
      <c r="I18" s="343"/>
      <c r="J18" s="342" t="s">
        <v>1427</v>
      </c>
      <c r="K18" s="342" t="s">
        <v>98</v>
      </c>
      <c r="L18" s="342" t="s">
        <v>1404</v>
      </c>
      <c r="M18" s="342" t="s">
        <v>1428</v>
      </c>
      <c r="N18" s="343"/>
      <c r="O18" s="342" t="s">
        <v>1368</v>
      </c>
      <c r="P18" s="342" t="s">
        <v>1399</v>
      </c>
      <c r="Q18" s="342">
        <v>5.0</v>
      </c>
      <c r="R18" s="342" t="s">
        <v>1429</v>
      </c>
      <c r="S18" s="342" t="s">
        <v>1370</v>
      </c>
      <c r="T18" s="342">
        <v>71.0</v>
      </c>
      <c r="U18" s="342">
        <v>13.0</v>
      </c>
      <c r="V18" s="342">
        <v>35.0</v>
      </c>
      <c r="W18" s="341">
        <v>25.77873239</v>
      </c>
      <c r="X18" s="5">
        <v>2.897605634</v>
      </c>
      <c r="Y18" s="5">
        <v>7.717464789</v>
      </c>
      <c r="Z18" s="5">
        <v>5.245211268</v>
      </c>
      <c r="AA18" s="5">
        <v>0.9969014085</v>
      </c>
      <c r="AB18" s="5">
        <v>0.5730985915</v>
      </c>
      <c r="AC18" s="5">
        <v>0.4581999526</v>
      </c>
      <c r="AD18" s="5">
        <v>19.00732394</v>
      </c>
      <c r="AE18" s="5">
        <v>0.8500109577</v>
      </c>
      <c r="AF18" s="5">
        <v>6.426760563</v>
      </c>
      <c r="AG18" s="5">
        <v>2.500985915</v>
      </c>
      <c r="AH18" s="5">
        <v>30.78684546</v>
      </c>
      <c r="AI18" s="5">
        <v>1.658110513</v>
      </c>
      <c r="AJ18" s="5">
        <v>1.233142511</v>
      </c>
      <c r="AK18" s="5">
        <v>0.7726106005</v>
      </c>
      <c r="AL18" s="5">
        <v>0.7063259209</v>
      </c>
      <c r="AM18" s="5">
        <v>0.1770048565</v>
      </c>
      <c r="AN18" s="5">
        <v>-0.2168772811</v>
      </c>
      <c r="AO18" s="5">
        <v>-0.8612709248</v>
      </c>
      <c r="AP18" s="5">
        <v>1.262323028</v>
      </c>
      <c r="AQ18" s="5">
        <v>-0.9424650919</v>
      </c>
    </row>
    <row r="19">
      <c r="A19" s="342">
        <v>18.0</v>
      </c>
      <c r="B19" s="341">
        <v>99.0</v>
      </c>
      <c r="C19" s="341">
        <v>-1.2</v>
      </c>
      <c r="D19" s="341">
        <v>0.5895433232</v>
      </c>
      <c r="E19" s="342">
        <v>-0.1340570664</v>
      </c>
      <c r="F19" s="342">
        <v>0.5213766211</v>
      </c>
      <c r="G19" s="342">
        <v>0.0681667021</v>
      </c>
      <c r="H19" s="342">
        <v>-0.4535893791</v>
      </c>
      <c r="I19" s="343"/>
      <c r="J19" s="342" t="s">
        <v>1430</v>
      </c>
      <c r="K19" s="342" t="s">
        <v>102</v>
      </c>
      <c r="L19" s="342" t="s">
        <v>1413</v>
      </c>
      <c r="M19" s="342" t="s">
        <v>1431</v>
      </c>
      <c r="N19" s="342" t="s">
        <v>1432</v>
      </c>
      <c r="O19" s="342" t="s">
        <v>1374</v>
      </c>
      <c r="P19" s="343"/>
      <c r="Q19" s="342">
        <v>1.0</v>
      </c>
      <c r="R19" s="342" t="s">
        <v>1433</v>
      </c>
      <c r="S19" s="342" t="s">
        <v>1434</v>
      </c>
      <c r="T19" s="342">
        <v>41.0</v>
      </c>
      <c r="U19" s="342">
        <v>16.0</v>
      </c>
      <c r="V19" s="342">
        <v>31.0</v>
      </c>
      <c r="W19" s="341">
        <v>22.2904878</v>
      </c>
      <c r="X19" s="5">
        <v>1.713414634</v>
      </c>
      <c r="Y19" s="5">
        <v>6.265853659</v>
      </c>
      <c r="Z19" s="5">
        <v>3.797560976</v>
      </c>
      <c r="AA19" s="5">
        <v>1.390243902</v>
      </c>
      <c r="AB19" s="5">
        <v>0.6329268293</v>
      </c>
      <c r="AC19" s="5">
        <v>0.5124108633</v>
      </c>
      <c r="AD19" s="5">
        <v>16.07560976</v>
      </c>
      <c r="AE19" s="5">
        <v>0.8799832583</v>
      </c>
      <c r="AF19" s="5">
        <v>4.66195122</v>
      </c>
      <c r="AG19" s="5">
        <v>1.772195122</v>
      </c>
      <c r="AH19" s="5">
        <v>28.55306658</v>
      </c>
      <c r="AI19" s="5">
        <v>1.072476902</v>
      </c>
      <c r="AJ19" s="5">
        <v>0.070527959</v>
      </c>
      <c r="AK19" s="5">
        <v>0.1917564283</v>
      </c>
      <c r="AL19" s="5">
        <v>0.03772148471</v>
      </c>
      <c r="AM19" s="5">
        <v>1.418704963</v>
      </c>
      <c r="AN19" s="5">
        <v>-0.1074905603</v>
      </c>
      <c r="AO19" s="5">
        <v>0.602888883</v>
      </c>
      <c r="AP19" s="5">
        <v>1.429760526</v>
      </c>
      <c r="AQ19" s="5">
        <v>-0.02395699568</v>
      </c>
    </row>
    <row r="20">
      <c r="A20" s="342">
        <v>19.0</v>
      </c>
      <c r="B20" s="341">
        <v>100.0</v>
      </c>
      <c r="C20" s="341">
        <v>0.0</v>
      </c>
      <c r="D20" s="341">
        <v>0.5802621195</v>
      </c>
      <c r="E20" s="342">
        <v>0.005948180712</v>
      </c>
      <c r="F20" s="342">
        <v>0.1941535174</v>
      </c>
      <c r="G20" s="342">
        <v>0.3861086021</v>
      </c>
      <c r="H20" s="342">
        <v>-0.2120186109</v>
      </c>
      <c r="I20" s="343"/>
      <c r="J20" s="342" t="s">
        <v>1435</v>
      </c>
      <c r="K20" s="342" t="s">
        <v>93</v>
      </c>
      <c r="L20" s="342" t="s">
        <v>1380</v>
      </c>
      <c r="M20" s="342" t="s">
        <v>1436</v>
      </c>
      <c r="N20" s="343"/>
      <c r="O20" s="342" t="s">
        <v>1378</v>
      </c>
      <c r="P20" s="342" t="s">
        <v>1437</v>
      </c>
      <c r="Q20" s="342">
        <v>4.0</v>
      </c>
      <c r="R20" s="342" t="s">
        <v>1394</v>
      </c>
      <c r="S20" s="342" t="s">
        <v>1370</v>
      </c>
      <c r="T20" s="342">
        <v>75.0</v>
      </c>
      <c r="U20" s="342">
        <v>16.0</v>
      </c>
      <c r="V20" s="342">
        <v>36.0</v>
      </c>
      <c r="W20" s="341">
        <v>26.75866667</v>
      </c>
      <c r="X20" s="5">
        <v>2.7916</v>
      </c>
      <c r="Y20" s="5">
        <v>3.374933333</v>
      </c>
      <c r="Z20" s="5">
        <v>10.05</v>
      </c>
      <c r="AA20" s="5">
        <v>1.05</v>
      </c>
      <c r="AB20" s="5">
        <v>0.2248</v>
      </c>
      <c r="AC20" s="5">
        <v>0.4390615812</v>
      </c>
      <c r="AD20" s="5">
        <v>19.49946667</v>
      </c>
      <c r="AE20" s="5">
        <v>0.8540079193</v>
      </c>
      <c r="AF20" s="5">
        <v>8.014133333</v>
      </c>
      <c r="AG20" s="5">
        <v>4.05</v>
      </c>
      <c r="AH20" s="5">
        <v>32.06116814</v>
      </c>
      <c r="AI20" s="5">
        <v>1.822629495</v>
      </c>
      <c r="AJ20" s="5">
        <v>1.129068344</v>
      </c>
      <c r="AK20" s="5">
        <v>-0.9650293646</v>
      </c>
      <c r="AL20" s="5">
        <v>2.925441324</v>
      </c>
      <c r="AM20" s="5">
        <v>0.3446260207</v>
      </c>
      <c r="AN20" s="5">
        <v>-0.8536876275</v>
      </c>
      <c r="AO20" s="5">
        <v>-1.454044615</v>
      </c>
      <c r="AP20" s="5">
        <v>1.69309338</v>
      </c>
      <c r="AQ20" s="5">
        <v>-2.894715299</v>
      </c>
    </row>
    <row r="21">
      <c r="A21" s="342">
        <v>20.0</v>
      </c>
      <c r="B21" s="341">
        <v>100.0</v>
      </c>
      <c r="C21" s="341">
        <v>0.0</v>
      </c>
      <c r="D21" s="341">
        <v>0.5693263294</v>
      </c>
      <c r="E21" s="342">
        <v>-0.004782134841</v>
      </c>
      <c r="F21" s="342">
        <v>0.3891913154</v>
      </c>
      <c r="G21" s="342">
        <v>0.180135014</v>
      </c>
      <c r="H21" s="342">
        <v>0.01344743943</v>
      </c>
      <c r="I21" s="343"/>
      <c r="J21" s="342" t="s">
        <v>1438</v>
      </c>
      <c r="K21" s="342" t="s">
        <v>1421</v>
      </c>
      <c r="L21" s="342" t="s">
        <v>1380</v>
      </c>
      <c r="M21" s="342" t="s">
        <v>1439</v>
      </c>
      <c r="N21" s="343"/>
      <c r="O21" s="342" t="s">
        <v>1368</v>
      </c>
      <c r="P21" s="342" t="s">
        <v>1399</v>
      </c>
      <c r="Q21" s="342">
        <v>2.0</v>
      </c>
      <c r="R21" s="342" t="s">
        <v>1391</v>
      </c>
      <c r="S21" s="342" t="s">
        <v>1370</v>
      </c>
      <c r="T21" s="342">
        <v>73.0</v>
      </c>
      <c r="U21" s="342">
        <v>15.0</v>
      </c>
      <c r="V21" s="342">
        <v>36.0</v>
      </c>
      <c r="W21" s="341">
        <v>29.39794521</v>
      </c>
      <c r="X21" s="5">
        <v>2.575890411</v>
      </c>
      <c r="Y21" s="5">
        <v>3.527945205</v>
      </c>
      <c r="Z21" s="5">
        <v>7.703972603</v>
      </c>
      <c r="AA21" s="5">
        <v>0.9384931507</v>
      </c>
      <c r="AB21" s="5">
        <v>0.1436986301</v>
      </c>
      <c r="AC21" s="5">
        <v>0.4834350148</v>
      </c>
      <c r="AD21" s="5">
        <v>21.60027397</v>
      </c>
      <c r="AE21" s="5">
        <v>0.8589916366</v>
      </c>
      <c r="AF21" s="5">
        <v>6.912054795</v>
      </c>
      <c r="AG21" s="5">
        <v>2.587808219</v>
      </c>
      <c r="AH21" s="5">
        <v>33.75607024</v>
      </c>
      <c r="AI21" s="5">
        <v>2.265732087</v>
      </c>
      <c r="AJ21" s="5">
        <v>0.9172890722</v>
      </c>
      <c r="AK21" s="5">
        <v>-0.9038025095</v>
      </c>
      <c r="AL21" s="5">
        <v>1.841916986</v>
      </c>
      <c r="AM21" s="5">
        <v>-0.007377815087</v>
      </c>
      <c r="AN21" s="5">
        <v>-1.001968995</v>
      </c>
      <c r="AO21" s="5">
        <v>-0.1439229204</v>
      </c>
      <c r="AP21" s="5">
        <v>1.58674473</v>
      </c>
      <c r="AQ21" s="5">
        <v>-1.051888797</v>
      </c>
    </row>
    <row r="22">
      <c r="A22" s="342">
        <v>21.0</v>
      </c>
      <c r="B22" s="341">
        <v>100.0</v>
      </c>
      <c r="C22" s="341">
        <v>0.0</v>
      </c>
      <c r="D22" s="341">
        <v>0.5474614885</v>
      </c>
      <c r="E22" s="342">
        <v>0.005465210789</v>
      </c>
      <c r="F22" s="342">
        <v>0.3835676044</v>
      </c>
      <c r="G22" s="342">
        <v>0.1638938841</v>
      </c>
      <c r="H22" s="342">
        <v>-1.001149787</v>
      </c>
      <c r="I22" s="343"/>
      <c r="J22" s="342" t="s">
        <v>1440</v>
      </c>
      <c r="K22" s="342" t="s">
        <v>118</v>
      </c>
      <c r="L22" s="342" t="s">
        <v>1413</v>
      </c>
      <c r="M22" s="342" t="s">
        <v>1441</v>
      </c>
      <c r="N22" s="343"/>
      <c r="O22" s="342" t="s">
        <v>1368</v>
      </c>
      <c r="P22" s="343"/>
      <c r="Q22" s="342">
        <v>4.0</v>
      </c>
      <c r="R22" s="342" t="s">
        <v>1411</v>
      </c>
      <c r="S22" s="342" t="s">
        <v>1370</v>
      </c>
      <c r="T22" s="342">
        <v>73.0</v>
      </c>
      <c r="U22" s="342">
        <v>16.0</v>
      </c>
      <c r="V22" s="342">
        <v>35.0</v>
      </c>
      <c r="W22" s="341">
        <v>26.43630137</v>
      </c>
      <c r="X22" s="5">
        <v>2.919589041</v>
      </c>
      <c r="Y22" s="5">
        <v>4.15630137</v>
      </c>
      <c r="Z22" s="5">
        <v>5.90630137</v>
      </c>
      <c r="AA22" s="5">
        <v>0.9415068493</v>
      </c>
      <c r="AB22" s="5">
        <v>0.3663013699</v>
      </c>
      <c r="AC22" s="5">
        <v>0.4664797607</v>
      </c>
      <c r="AD22" s="5">
        <v>18.95808219</v>
      </c>
      <c r="AE22" s="5">
        <v>0.8880078459</v>
      </c>
      <c r="AF22" s="5">
        <v>6.564794521</v>
      </c>
      <c r="AG22" s="5">
        <v>2.489178082</v>
      </c>
      <c r="AH22" s="5">
        <v>30.36133454</v>
      </c>
      <c r="AI22" s="5">
        <v>1.768508303</v>
      </c>
      <c r="AJ22" s="5">
        <v>1.254725372</v>
      </c>
      <c r="AK22" s="5">
        <v>-0.6523692626</v>
      </c>
      <c r="AL22" s="5">
        <v>1.011653649</v>
      </c>
      <c r="AM22" s="5">
        <v>0.002135802096</v>
      </c>
      <c r="AN22" s="5">
        <v>-0.5949741599</v>
      </c>
      <c r="AO22" s="5">
        <v>-0.619012587</v>
      </c>
      <c r="AP22" s="5">
        <v>2.209024791</v>
      </c>
      <c r="AQ22" s="5">
        <v>-0.927583468</v>
      </c>
    </row>
    <row r="23">
      <c r="A23" s="342">
        <v>22.0</v>
      </c>
      <c r="B23" s="341">
        <v>100.0</v>
      </c>
      <c r="C23" s="341">
        <v>0.0</v>
      </c>
      <c r="D23" s="341">
        <v>0.5370819856</v>
      </c>
      <c r="E23" s="342">
        <v>0.006247026421</v>
      </c>
      <c r="F23" s="342">
        <v>0.3304334171</v>
      </c>
      <c r="G23" s="342">
        <v>0.2066485685</v>
      </c>
      <c r="H23" s="342">
        <v>1.30182487</v>
      </c>
      <c r="I23" s="343"/>
      <c r="J23" s="342" t="s">
        <v>1442</v>
      </c>
      <c r="K23" s="342" t="s">
        <v>144</v>
      </c>
      <c r="L23" s="342" t="s">
        <v>1366</v>
      </c>
      <c r="M23" s="342" t="s">
        <v>1443</v>
      </c>
      <c r="N23" s="343"/>
      <c r="O23" s="342" t="s">
        <v>1378</v>
      </c>
      <c r="P23" s="343"/>
      <c r="Q23" s="342">
        <v>3.0</v>
      </c>
      <c r="R23" s="342" t="s">
        <v>1424</v>
      </c>
      <c r="S23" s="342" t="s">
        <v>1370</v>
      </c>
      <c r="T23" s="342">
        <v>77.0</v>
      </c>
      <c r="U23" s="342">
        <v>16.0</v>
      </c>
      <c r="V23" s="342">
        <v>36.0</v>
      </c>
      <c r="W23" s="341">
        <v>18.4612987</v>
      </c>
      <c r="X23" s="5">
        <v>0.3036363636</v>
      </c>
      <c r="Y23" s="5">
        <v>14.01376623</v>
      </c>
      <c r="Z23" s="5">
        <v>6.968961039</v>
      </c>
      <c r="AA23" s="5">
        <v>0.9853246753</v>
      </c>
      <c r="AB23" s="5">
        <v>0.6814285714</v>
      </c>
      <c r="AC23" s="5">
        <v>0.5834030467</v>
      </c>
      <c r="AD23" s="5">
        <v>12.57467532</v>
      </c>
      <c r="AE23" s="5">
        <v>0.71</v>
      </c>
      <c r="AF23" s="5">
        <v>4.909090909</v>
      </c>
      <c r="AG23" s="5">
        <v>2.802727273</v>
      </c>
      <c r="AH23" s="5">
        <v>21.03766671</v>
      </c>
      <c r="AI23" s="5">
        <v>0.4296028766</v>
      </c>
      <c r="AJ23" s="5">
        <v>-1.313563571</v>
      </c>
      <c r="AK23" s="5">
        <v>3.292040831</v>
      </c>
      <c r="AL23" s="5">
        <v>1.502448265</v>
      </c>
      <c r="AM23" s="5">
        <v>0.1404595277</v>
      </c>
      <c r="AN23" s="5">
        <v>-0.01881259263</v>
      </c>
      <c r="AO23" s="5">
        <v>1.834792455</v>
      </c>
      <c r="AP23" s="5">
        <v>-1.570311906</v>
      </c>
      <c r="AQ23" s="5">
        <v>-1.322755131</v>
      </c>
    </row>
    <row r="24">
      <c r="A24" s="342">
        <v>23.0</v>
      </c>
      <c r="B24" s="341">
        <v>100.0</v>
      </c>
      <c r="C24" s="341">
        <v>0.0</v>
      </c>
      <c r="D24" s="341">
        <v>0.5360638017</v>
      </c>
      <c r="E24" s="342">
        <v>0.003492055555</v>
      </c>
      <c r="F24" s="342">
        <v>0.2682329563</v>
      </c>
      <c r="G24" s="342">
        <v>0.2678308455</v>
      </c>
      <c r="H24" s="342">
        <v>0.6415314367</v>
      </c>
      <c r="I24" s="343"/>
      <c r="J24" s="342" t="s">
        <v>1444</v>
      </c>
      <c r="K24" s="342" t="s">
        <v>126</v>
      </c>
      <c r="L24" s="342" t="s">
        <v>1413</v>
      </c>
      <c r="M24" s="342" t="s">
        <v>1445</v>
      </c>
      <c r="N24" s="343"/>
      <c r="O24" s="342" t="s">
        <v>1374</v>
      </c>
      <c r="P24" s="342" t="s">
        <v>1399</v>
      </c>
      <c r="Q24" s="342">
        <v>4.0</v>
      </c>
      <c r="R24" s="342" t="s">
        <v>1407</v>
      </c>
      <c r="S24" s="342" t="s">
        <v>1370</v>
      </c>
      <c r="T24" s="342">
        <v>68.0</v>
      </c>
      <c r="U24" s="342">
        <v>15.0</v>
      </c>
      <c r="V24" s="342">
        <v>35.0</v>
      </c>
      <c r="W24" s="341">
        <v>20.39897059</v>
      </c>
      <c r="X24" s="5">
        <v>1.265735294</v>
      </c>
      <c r="Y24" s="5">
        <v>7.585588235</v>
      </c>
      <c r="Z24" s="5">
        <v>6.554411765</v>
      </c>
      <c r="AA24" s="5">
        <v>1.180441176</v>
      </c>
      <c r="AB24" s="5">
        <v>1.325588235</v>
      </c>
      <c r="AC24" s="5">
        <v>0.4873241251</v>
      </c>
      <c r="AD24" s="5">
        <v>15.98102941</v>
      </c>
      <c r="AE24" s="5">
        <v>0.7949914552</v>
      </c>
      <c r="AF24" s="5">
        <v>4.474705882</v>
      </c>
      <c r="AG24" s="5">
        <v>3.240441176</v>
      </c>
      <c r="AH24" s="5">
        <v>26.06650221</v>
      </c>
      <c r="AI24" s="5">
        <v>0.7549142918</v>
      </c>
      <c r="AJ24" s="5">
        <v>-0.3689944792</v>
      </c>
      <c r="AK24" s="5">
        <v>0.7198409264</v>
      </c>
      <c r="AL24" s="5">
        <v>1.310986636</v>
      </c>
      <c r="AM24" s="5">
        <v>0.756401573</v>
      </c>
      <c r="AN24" s="5">
        <v>1.15893417</v>
      </c>
      <c r="AO24" s="5">
        <v>-0.01382092115</v>
      </c>
      <c r="AP24" s="5">
        <v>-0.02975178277</v>
      </c>
      <c r="AQ24" s="5">
        <v>-1.874413808</v>
      </c>
    </row>
    <row r="25">
      <c r="A25" s="342">
        <v>24.0</v>
      </c>
      <c r="B25" s="341">
        <v>100.0</v>
      </c>
      <c r="C25" s="341">
        <v>0.0</v>
      </c>
      <c r="D25" s="341">
        <v>0.521211805</v>
      </c>
      <c r="E25" s="342">
        <v>0.005478510468</v>
      </c>
      <c r="F25" s="342">
        <v>0.4860553322</v>
      </c>
      <c r="G25" s="342">
        <v>0.0351564728</v>
      </c>
      <c r="H25" s="342">
        <v>0.5449031294</v>
      </c>
      <c r="I25" s="343"/>
      <c r="J25" s="342" t="s">
        <v>1446</v>
      </c>
      <c r="K25" s="342" t="s">
        <v>180</v>
      </c>
      <c r="L25" s="342" t="s">
        <v>1380</v>
      </c>
      <c r="M25" s="342" t="s">
        <v>1447</v>
      </c>
      <c r="N25" s="343"/>
      <c r="O25" s="342" t="s">
        <v>1368</v>
      </c>
      <c r="P25" s="343"/>
      <c r="Q25" s="342">
        <v>5.0</v>
      </c>
      <c r="R25" s="342" t="s">
        <v>1448</v>
      </c>
      <c r="S25" s="342" t="s">
        <v>1370</v>
      </c>
      <c r="T25" s="342">
        <v>73.0</v>
      </c>
      <c r="U25" s="342">
        <v>16.0</v>
      </c>
      <c r="V25" s="342">
        <v>36.0</v>
      </c>
      <c r="W25" s="341">
        <v>17.75273973</v>
      </c>
      <c r="X25" s="5">
        <v>3.176027397</v>
      </c>
      <c r="Y25" s="5">
        <v>3.711780822</v>
      </c>
      <c r="Z25" s="5">
        <v>7.347808219</v>
      </c>
      <c r="AA25" s="5">
        <v>1.742191781</v>
      </c>
      <c r="AB25" s="5">
        <v>0.5302739726</v>
      </c>
      <c r="AC25" s="5">
        <v>0.4186914797</v>
      </c>
      <c r="AD25" s="5">
        <v>14.08890411</v>
      </c>
      <c r="AE25" s="5">
        <v>0.8609991087</v>
      </c>
      <c r="AF25" s="5">
        <v>3.227534247</v>
      </c>
      <c r="AG25" s="5">
        <v>1.590684932</v>
      </c>
      <c r="AH25" s="5">
        <v>19.89374772</v>
      </c>
      <c r="AI25" s="5">
        <v>0.3106444892</v>
      </c>
      <c r="AJ25" s="5">
        <v>1.506491316</v>
      </c>
      <c r="AK25" s="5">
        <v>-0.8302417035</v>
      </c>
      <c r="AL25" s="5">
        <v>1.677420706</v>
      </c>
      <c r="AM25" s="5">
        <v>2.529730913</v>
      </c>
      <c r="AN25" s="5">
        <v>-0.295175503</v>
      </c>
      <c r="AO25" s="5">
        <v>-1.49202699</v>
      </c>
      <c r="AP25" s="5">
        <v>0.7628512123</v>
      </c>
      <c r="AQ25" s="5">
        <v>0.2048035498</v>
      </c>
    </row>
    <row r="26">
      <c r="A26" s="342">
        <v>25.0</v>
      </c>
      <c r="B26" s="341">
        <v>100.0</v>
      </c>
      <c r="C26" s="341">
        <v>0.0</v>
      </c>
      <c r="D26" s="341">
        <v>0.5119654426</v>
      </c>
      <c r="E26" s="342">
        <v>0.004027917567</v>
      </c>
      <c r="F26" s="342">
        <v>0.2793909989</v>
      </c>
      <c r="G26" s="342">
        <v>0.2325744437</v>
      </c>
      <c r="H26" s="342">
        <v>-0.03486671421</v>
      </c>
      <c r="I26" s="343"/>
      <c r="J26" s="342" t="s">
        <v>1449</v>
      </c>
      <c r="K26" s="342" t="s">
        <v>118</v>
      </c>
      <c r="L26" s="342" t="s">
        <v>1404</v>
      </c>
      <c r="M26" s="342" t="s">
        <v>1450</v>
      </c>
      <c r="N26" s="343"/>
      <c r="O26" s="342" t="s">
        <v>1374</v>
      </c>
      <c r="P26" s="343"/>
      <c r="Q26" s="342">
        <v>3.0</v>
      </c>
      <c r="R26" s="342" t="s">
        <v>1407</v>
      </c>
      <c r="S26" s="342" t="s">
        <v>1370</v>
      </c>
      <c r="T26" s="342">
        <v>68.0</v>
      </c>
      <c r="U26" s="342">
        <v>16.0</v>
      </c>
      <c r="V26" s="342">
        <v>34.0</v>
      </c>
      <c r="W26" s="341">
        <v>24.575</v>
      </c>
      <c r="X26" s="5">
        <v>2.611323529</v>
      </c>
      <c r="Y26" s="5">
        <v>6.020882353</v>
      </c>
      <c r="Z26" s="5">
        <v>3.754117647</v>
      </c>
      <c r="AA26" s="5">
        <v>0.765</v>
      </c>
      <c r="AB26" s="5">
        <v>1.076323529</v>
      </c>
      <c r="AC26" s="5">
        <v>0.5002442519</v>
      </c>
      <c r="AD26" s="5">
        <v>18.06235294</v>
      </c>
      <c r="AE26" s="5">
        <v>0.8620139386</v>
      </c>
      <c r="AF26" s="5">
        <v>4.515588235</v>
      </c>
      <c r="AG26" s="5">
        <v>3.007794118</v>
      </c>
      <c r="AH26" s="5">
        <v>29.61200439</v>
      </c>
      <c r="AI26" s="5">
        <v>1.456018564</v>
      </c>
      <c r="AJ26" s="5">
        <v>0.9520765846</v>
      </c>
      <c r="AK26" s="5">
        <v>0.09373251412</v>
      </c>
      <c r="AL26" s="5">
        <v>0.01765696889</v>
      </c>
      <c r="AM26" s="5">
        <v>-0.5550594588</v>
      </c>
      <c r="AN26" s="5">
        <v>0.7031920353</v>
      </c>
      <c r="AO26" s="5">
        <v>0.3424603201</v>
      </c>
      <c r="AP26" s="5">
        <v>1.085646013</v>
      </c>
      <c r="AQ26" s="5">
        <v>-1.581204551</v>
      </c>
    </row>
    <row r="27">
      <c r="A27" s="342">
        <v>26.0</v>
      </c>
      <c r="B27" s="341">
        <v>100.0</v>
      </c>
      <c r="C27" s="341">
        <v>0.0</v>
      </c>
      <c r="D27" s="341">
        <v>0.5007035059</v>
      </c>
      <c r="E27" s="342">
        <v>0.01945145413</v>
      </c>
      <c r="F27" s="342">
        <v>0.4737148898</v>
      </c>
      <c r="G27" s="342">
        <v>0.02698861611</v>
      </c>
      <c r="H27" s="342">
        <v>1.30182487</v>
      </c>
      <c r="I27" s="343"/>
      <c r="J27" s="342" t="s">
        <v>1451</v>
      </c>
      <c r="K27" s="342" t="s">
        <v>45</v>
      </c>
      <c r="L27" s="342" t="s">
        <v>1366</v>
      </c>
      <c r="M27" s="342" t="s">
        <v>1452</v>
      </c>
      <c r="N27" s="343"/>
      <c r="O27" s="342" t="s">
        <v>1368</v>
      </c>
      <c r="P27" s="343"/>
      <c r="Q27" s="342">
        <v>4.0</v>
      </c>
      <c r="R27" s="342" t="s">
        <v>1453</v>
      </c>
      <c r="S27" s="342" t="s">
        <v>1370</v>
      </c>
      <c r="T27" s="342">
        <v>73.0</v>
      </c>
      <c r="U27" s="342">
        <v>16.0</v>
      </c>
      <c r="V27" s="342">
        <v>32.0</v>
      </c>
      <c r="W27" s="341">
        <v>19.0290411</v>
      </c>
      <c r="X27" s="5">
        <v>1.748630137</v>
      </c>
      <c r="Y27" s="5">
        <v>9.09</v>
      </c>
      <c r="Z27" s="5">
        <v>2.356712329</v>
      </c>
      <c r="AA27" s="5">
        <v>0.7565753425</v>
      </c>
      <c r="AB27" s="5">
        <v>2.222054795</v>
      </c>
      <c r="AC27" s="5">
        <v>0.5130794838</v>
      </c>
      <c r="AD27" s="5">
        <v>13.33260274</v>
      </c>
      <c r="AE27" s="5">
        <v>0.7939860985</v>
      </c>
      <c r="AF27" s="5">
        <v>4.532876712</v>
      </c>
      <c r="AG27" s="5">
        <v>1.548630137</v>
      </c>
      <c r="AH27" s="5">
        <v>22.98513519</v>
      </c>
      <c r="AI27" s="5">
        <v>0.5249198821</v>
      </c>
      <c r="AJ27" s="5">
        <v>0.1051018209</v>
      </c>
      <c r="AK27" s="5">
        <v>1.321822981</v>
      </c>
      <c r="AL27" s="5">
        <v>-0.6277415781</v>
      </c>
      <c r="AM27" s="5">
        <v>-0.5816543432</v>
      </c>
      <c r="AN27" s="5">
        <v>2.797985243</v>
      </c>
      <c r="AO27" s="5">
        <v>0.5120839319</v>
      </c>
      <c r="AP27" s="5">
        <v>-0.04688989021</v>
      </c>
      <c r="AQ27" s="5">
        <v>0.2578059609</v>
      </c>
    </row>
    <row r="28">
      <c r="A28" s="342">
        <v>27.0</v>
      </c>
      <c r="B28" s="341">
        <v>100.0</v>
      </c>
      <c r="C28" s="341">
        <v>0.0</v>
      </c>
      <c r="D28" s="341">
        <v>0.4874506818</v>
      </c>
      <c r="E28" s="342">
        <v>0.002928125027</v>
      </c>
      <c r="F28" s="342">
        <v>0.2036865006</v>
      </c>
      <c r="G28" s="342">
        <v>0.2837641812</v>
      </c>
      <c r="H28" s="342">
        <v>-0.3730657897</v>
      </c>
      <c r="I28" s="343"/>
      <c r="J28" s="342" t="s">
        <v>1454</v>
      </c>
      <c r="K28" s="342" t="s">
        <v>74</v>
      </c>
      <c r="L28" s="342" t="s">
        <v>1366</v>
      </c>
      <c r="M28" s="342" t="s">
        <v>1455</v>
      </c>
      <c r="N28" s="343"/>
      <c r="O28" s="342" t="s">
        <v>1374</v>
      </c>
      <c r="P28" s="343"/>
      <c r="Q28" s="342">
        <v>4.0</v>
      </c>
      <c r="R28" s="342" t="s">
        <v>1429</v>
      </c>
      <c r="S28" s="342" t="s">
        <v>1370</v>
      </c>
      <c r="T28" s="342">
        <v>68.0</v>
      </c>
      <c r="U28" s="342">
        <v>16.0</v>
      </c>
      <c r="V28" s="342">
        <v>35.0</v>
      </c>
      <c r="W28" s="341">
        <v>27.78514706</v>
      </c>
      <c r="X28" s="5">
        <v>0.4780882353</v>
      </c>
      <c r="Y28" s="5">
        <v>11.83867647</v>
      </c>
      <c r="Z28" s="5">
        <v>6.785588235</v>
      </c>
      <c r="AA28" s="5">
        <v>1.080588235</v>
      </c>
      <c r="AB28" s="5">
        <v>1.082794118</v>
      </c>
      <c r="AC28" s="5">
        <v>0.6018925424</v>
      </c>
      <c r="AD28" s="5">
        <v>17.90308824</v>
      </c>
      <c r="AE28" s="5">
        <v>0.6429979628</v>
      </c>
      <c r="AF28" s="5">
        <v>8.951176471</v>
      </c>
      <c r="AG28" s="5">
        <v>3.392794118</v>
      </c>
      <c r="AH28" s="5">
        <v>32.11394018</v>
      </c>
      <c r="AI28" s="5">
        <v>1.994963</v>
      </c>
      <c r="AJ28" s="5">
        <v>-1.142290284</v>
      </c>
      <c r="AK28" s="5">
        <v>2.421690681</v>
      </c>
      <c r="AL28" s="5">
        <v>1.41775663</v>
      </c>
      <c r="AM28" s="5">
        <v>0.4411866913</v>
      </c>
      <c r="AN28" s="5">
        <v>0.7150225096</v>
      </c>
      <c r="AO28" s="5">
        <v>3.122381432</v>
      </c>
      <c r="AP28" s="5">
        <v>-5.071105206</v>
      </c>
      <c r="AQ28" s="5">
        <v>-2.066426949</v>
      </c>
    </row>
    <row r="29">
      <c r="A29" s="342">
        <v>28.0</v>
      </c>
      <c r="B29" s="341">
        <v>100.0</v>
      </c>
      <c r="C29" s="341">
        <v>0.0</v>
      </c>
      <c r="D29" s="341">
        <v>0.484723808</v>
      </c>
      <c r="E29" s="342">
        <v>0.004644335432</v>
      </c>
      <c r="F29" s="342">
        <v>0.2910271175</v>
      </c>
      <c r="G29" s="342">
        <v>0.1936966905</v>
      </c>
      <c r="H29" s="342">
        <v>-0.5019035327</v>
      </c>
      <c r="I29" s="343"/>
      <c r="J29" s="342" t="s">
        <v>1456</v>
      </c>
      <c r="K29" s="342" t="s">
        <v>74</v>
      </c>
      <c r="L29" s="342" t="s">
        <v>1380</v>
      </c>
      <c r="M29" s="342" t="s">
        <v>1457</v>
      </c>
      <c r="N29" s="343"/>
      <c r="O29" s="342" t="s">
        <v>1368</v>
      </c>
      <c r="P29" s="343"/>
      <c r="Q29" s="342">
        <v>3.0</v>
      </c>
      <c r="R29" s="342" t="s">
        <v>1448</v>
      </c>
      <c r="S29" s="342" t="s">
        <v>1370</v>
      </c>
      <c r="T29" s="342">
        <v>73.0</v>
      </c>
      <c r="U29" s="342">
        <v>16.0</v>
      </c>
      <c r="V29" s="342">
        <v>35.0</v>
      </c>
      <c r="W29" s="341">
        <v>23.52205479</v>
      </c>
      <c r="X29" s="5">
        <v>3.035342466</v>
      </c>
      <c r="Y29" s="5">
        <v>4.331232877</v>
      </c>
      <c r="Z29" s="5">
        <v>6.916575342</v>
      </c>
      <c r="AA29" s="5">
        <v>0.8616438356</v>
      </c>
      <c r="AB29" s="5">
        <v>0.2898630137</v>
      </c>
      <c r="AC29" s="5">
        <v>0.433900243</v>
      </c>
      <c r="AD29" s="5">
        <v>17.25287671</v>
      </c>
      <c r="AE29" s="5">
        <v>0.921002059</v>
      </c>
      <c r="AF29" s="5">
        <v>5.987671233</v>
      </c>
      <c r="AG29" s="5">
        <v>2.751780822</v>
      </c>
      <c r="AH29" s="5">
        <v>28.8112644</v>
      </c>
      <c r="AI29" s="5">
        <v>1.27924194</v>
      </c>
      <c r="AJ29" s="5">
        <v>1.368369721</v>
      </c>
      <c r="AK29" s="5">
        <v>-0.5823713868</v>
      </c>
      <c r="AL29" s="5">
        <v>1.478253673</v>
      </c>
      <c r="AM29" s="5">
        <v>-0.2499750533</v>
      </c>
      <c r="AN29" s="5">
        <v>-0.7347299248</v>
      </c>
      <c r="AO29" s="5">
        <v>-1.423756885</v>
      </c>
      <c r="AP29" s="5">
        <v>2.74275838</v>
      </c>
      <c r="AQ29" s="5">
        <v>-1.258546406</v>
      </c>
    </row>
    <row r="30">
      <c r="A30" s="342">
        <v>29.0</v>
      </c>
      <c r="B30" s="341">
        <v>100.0</v>
      </c>
      <c r="C30" s="341">
        <v>0.0</v>
      </c>
      <c r="D30" s="341">
        <v>0.4503527806</v>
      </c>
      <c r="E30" s="342">
        <v>-0.001983230774</v>
      </c>
      <c r="F30" s="342">
        <v>0.3638326723</v>
      </c>
      <c r="G30" s="342">
        <v>0.08652010835</v>
      </c>
      <c r="H30" s="342">
        <v>0.2228087719</v>
      </c>
      <c r="I30" s="343"/>
      <c r="J30" s="342" t="s">
        <v>1458</v>
      </c>
      <c r="K30" s="342" t="s">
        <v>45</v>
      </c>
      <c r="L30" s="342" t="s">
        <v>1413</v>
      </c>
      <c r="M30" s="342" t="s">
        <v>1459</v>
      </c>
      <c r="N30" s="342" t="s">
        <v>1460</v>
      </c>
      <c r="O30" s="342" t="s">
        <v>1368</v>
      </c>
      <c r="P30" s="342" t="s">
        <v>1437</v>
      </c>
      <c r="Q30" s="342">
        <v>3.0</v>
      </c>
      <c r="R30" s="342" t="s">
        <v>1461</v>
      </c>
      <c r="S30" s="342" t="s">
        <v>1370</v>
      </c>
      <c r="T30" s="342">
        <v>73.0</v>
      </c>
      <c r="U30" s="342">
        <v>16.0</v>
      </c>
      <c r="V30" s="342">
        <v>33.0</v>
      </c>
      <c r="W30" s="341">
        <v>21.86369863</v>
      </c>
      <c r="X30" s="5">
        <v>1.781232877</v>
      </c>
      <c r="Y30" s="5">
        <v>4.305068493</v>
      </c>
      <c r="Z30" s="5">
        <v>5.555068493</v>
      </c>
      <c r="AA30" s="5">
        <v>1.319315068</v>
      </c>
      <c r="AB30" s="5">
        <v>0.6876712329</v>
      </c>
      <c r="AC30" s="5">
        <v>0.5155965468</v>
      </c>
      <c r="AD30" s="5">
        <v>16.24876712</v>
      </c>
      <c r="AE30" s="5">
        <v>0.8190065086</v>
      </c>
      <c r="AF30" s="5">
        <v>4.062054795</v>
      </c>
      <c r="AG30" s="5">
        <v>2.01369863</v>
      </c>
      <c r="AH30" s="5">
        <v>26.48077748</v>
      </c>
      <c r="AI30" s="5">
        <v>1.000824219</v>
      </c>
      <c r="AJ30" s="5">
        <v>0.1371105253</v>
      </c>
      <c r="AK30" s="5">
        <v>-0.5928409203</v>
      </c>
      <c r="AL30" s="5">
        <v>0.8494350107</v>
      </c>
      <c r="AM30" s="5">
        <v>1.194797447</v>
      </c>
      <c r="AN30" s="5">
        <v>-0.007398847364</v>
      </c>
      <c r="AO30" s="5">
        <v>0.688642765</v>
      </c>
      <c r="AP30" s="5">
        <v>0.332252046</v>
      </c>
      <c r="AQ30" s="5">
        <v>-0.3283281945</v>
      </c>
    </row>
    <row r="31">
      <c r="A31" s="342">
        <v>30.0</v>
      </c>
      <c r="B31" s="341">
        <v>100.0</v>
      </c>
      <c r="C31" s="341">
        <v>0.0</v>
      </c>
      <c r="D31" s="341">
        <v>0.44231635</v>
      </c>
      <c r="E31" s="342">
        <v>0.01465323829</v>
      </c>
      <c r="F31" s="342">
        <v>0.2992363295</v>
      </c>
      <c r="G31" s="342">
        <v>0.1430800204</v>
      </c>
      <c r="H31" s="342">
        <v>-0.3569610718</v>
      </c>
      <c r="I31" s="343"/>
      <c r="J31" s="342" t="s">
        <v>1462</v>
      </c>
      <c r="K31" s="342" t="s">
        <v>144</v>
      </c>
      <c r="L31" s="342" t="s">
        <v>1380</v>
      </c>
      <c r="M31" s="342" t="s">
        <v>1463</v>
      </c>
      <c r="N31" s="343"/>
      <c r="O31" s="342" t="s">
        <v>1368</v>
      </c>
      <c r="P31" s="343"/>
      <c r="Q31" s="342">
        <v>3.0</v>
      </c>
      <c r="R31" s="342" t="s">
        <v>1448</v>
      </c>
      <c r="S31" s="342" t="s">
        <v>1370</v>
      </c>
      <c r="T31" s="342">
        <v>73.0</v>
      </c>
      <c r="U31" s="342">
        <v>16.0</v>
      </c>
      <c r="V31" s="342">
        <v>36.0</v>
      </c>
      <c r="W31" s="341">
        <v>25.08767123</v>
      </c>
      <c r="X31" s="5">
        <v>2.718219178</v>
      </c>
      <c r="Y31" s="5">
        <v>4.696438356</v>
      </c>
      <c r="Z31" s="5">
        <v>5.075205479</v>
      </c>
      <c r="AA31" s="5">
        <v>1.666438356</v>
      </c>
      <c r="AB31" s="5">
        <v>0.4553424658</v>
      </c>
      <c r="AC31" s="5">
        <v>0.4634715994</v>
      </c>
      <c r="AD31" s="5">
        <v>20.52821918</v>
      </c>
      <c r="AE31" s="5">
        <v>0.7749920559</v>
      </c>
      <c r="AF31" s="5">
        <v>4.310958904</v>
      </c>
      <c r="AG31" s="5">
        <v>2.423972603</v>
      </c>
      <c r="AH31" s="5">
        <v>29.8085914</v>
      </c>
      <c r="AI31" s="5">
        <v>1.542089795</v>
      </c>
      <c r="AJ31" s="5">
        <v>1.057024551</v>
      </c>
      <c r="AK31" s="5">
        <v>-0.4362364324</v>
      </c>
      <c r="AL31" s="5">
        <v>0.6278079081</v>
      </c>
      <c r="AM31" s="5">
        <v>2.290593172</v>
      </c>
      <c r="AN31" s="5">
        <v>-0.4321762259</v>
      </c>
      <c r="AO31" s="5">
        <v>-0.763956866</v>
      </c>
      <c r="AP31" s="5">
        <v>-0.3466151012</v>
      </c>
      <c r="AQ31" s="5">
        <v>-0.8454038339</v>
      </c>
    </row>
    <row r="32">
      <c r="A32" s="342">
        <v>31.0</v>
      </c>
      <c r="B32" s="341">
        <v>100.0</v>
      </c>
      <c r="C32" s="341">
        <v>0.0</v>
      </c>
      <c r="D32" s="341">
        <v>0.4276568183</v>
      </c>
      <c r="E32" s="342">
        <v>-0.005389209579</v>
      </c>
      <c r="F32" s="342">
        <v>0.4113933781</v>
      </c>
      <c r="G32" s="342">
        <v>0.01626344021</v>
      </c>
      <c r="H32" s="342">
        <v>-1.419872452</v>
      </c>
      <c r="I32" s="343"/>
      <c r="J32" s="342" t="s">
        <v>1464</v>
      </c>
      <c r="K32" s="342" t="s">
        <v>148</v>
      </c>
      <c r="L32" s="342" t="s">
        <v>1404</v>
      </c>
      <c r="M32" s="342" t="s">
        <v>1465</v>
      </c>
      <c r="N32" s="343"/>
      <c r="O32" s="342" t="s">
        <v>1374</v>
      </c>
      <c r="P32" s="342" t="s">
        <v>1399</v>
      </c>
      <c r="Q32" s="342">
        <v>3.0</v>
      </c>
      <c r="R32" s="342" t="s">
        <v>1453</v>
      </c>
      <c r="S32" s="342" t="s">
        <v>1370</v>
      </c>
      <c r="T32" s="342">
        <v>62.0</v>
      </c>
      <c r="U32" s="342">
        <v>15.0</v>
      </c>
      <c r="V32" s="342">
        <v>33.0</v>
      </c>
      <c r="W32" s="341">
        <v>22.97387097</v>
      </c>
      <c r="X32" s="5">
        <v>3.162741935</v>
      </c>
      <c r="Y32" s="5">
        <v>7.290967742</v>
      </c>
      <c r="Z32" s="5">
        <v>2.139354839</v>
      </c>
      <c r="AA32" s="5">
        <v>0.9027419355</v>
      </c>
      <c r="AB32" s="5">
        <v>0.4174193548</v>
      </c>
      <c r="AC32" s="5">
        <v>0.4787610083</v>
      </c>
      <c r="AD32" s="5">
        <v>15.97032258</v>
      </c>
      <c r="AE32" s="5">
        <v>0.8879979717</v>
      </c>
      <c r="AF32" s="5">
        <v>5.089193548</v>
      </c>
      <c r="AG32" s="5">
        <v>1.53</v>
      </c>
      <c r="AH32" s="5">
        <v>25.51455229</v>
      </c>
      <c r="AI32" s="5">
        <v>1.187208579</v>
      </c>
      <c r="AJ32" s="5">
        <v>1.49344792</v>
      </c>
      <c r="AK32" s="5">
        <v>0.6019501641</v>
      </c>
      <c r="AL32" s="5">
        <v>-0.7281292083</v>
      </c>
      <c r="AM32" s="5">
        <v>-0.1202369351</v>
      </c>
      <c r="AN32" s="5">
        <v>-0.5015127951</v>
      </c>
      <c r="AO32" s="5">
        <v>-0.222956369</v>
      </c>
      <c r="AP32" s="5">
        <v>1.711483191</v>
      </c>
      <c r="AQ32" s="5">
        <v>0.2812858564</v>
      </c>
    </row>
    <row r="33">
      <c r="A33" s="342">
        <v>32.0</v>
      </c>
      <c r="B33" s="341">
        <v>100.0</v>
      </c>
      <c r="C33" s="341">
        <v>0.0</v>
      </c>
      <c r="D33" s="341">
        <v>0.4256991167</v>
      </c>
      <c r="E33" s="342">
        <v>0.001593125877</v>
      </c>
      <c r="F33" s="342">
        <v>0.3776560864</v>
      </c>
      <c r="G33" s="342">
        <v>0.04804303027</v>
      </c>
      <c r="H33" s="342">
        <v>0.335541797</v>
      </c>
      <c r="I33" s="343"/>
      <c r="J33" s="342" t="s">
        <v>1466</v>
      </c>
      <c r="K33" s="342" t="s">
        <v>110</v>
      </c>
      <c r="L33" s="342" t="s">
        <v>1366</v>
      </c>
      <c r="M33" s="342" t="s">
        <v>1467</v>
      </c>
      <c r="N33" s="343"/>
      <c r="O33" s="342" t="s">
        <v>1368</v>
      </c>
      <c r="P33" s="342" t="s">
        <v>1468</v>
      </c>
      <c r="Q33" s="342">
        <v>4.0</v>
      </c>
      <c r="R33" s="342" t="s">
        <v>1469</v>
      </c>
      <c r="S33" s="342" t="s">
        <v>1370</v>
      </c>
      <c r="T33" s="342">
        <v>73.0</v>
      </c>
      <c r="U33" s="342">
        <v>16.0</v>
      </c>
      <c r="V33" s="342">
        <v>32.0</v>
      </c>
      <c r="W33" s="341">
        <v>18.58328767</v>
      </c>
      <c r="X33" s="5">
        <v>0.73</v>
      </c>
      <c r="Y33" s="5">
        <v>9.52</v>
      </c>
      <c r="Z33" s="5">
        <v>3.943972603</v>
      </c>
      <c r="AA33" s="5">
        <v>0.9609589041</v>
      </c>
      <c r="AB33" s="5">
        <v>1.554109589</v>
      </c>
      <c r="AC33" s="5">
        <v>0.5641756499</v>
      </c>
      <c r="AD33" s="5">
        <v>12.78383562</v>
      </c>
      <c r="AE33" s="5">
        <v>0.7449994047</v>
      </c>
      <c r="AF33" s="5">
        <v>4.602191781</v>
      </c>
      <c r="AG33" s="5">
        <v>1.758493151</v>
      </c>
      <c r="AH33" s="5">
        <v>22.36904174</v>
      </c>
      <c r="AI33" s="5">
        <v>0.4500833329</v>
      </c>
      <c r="AJ33" s="5">
        <v>-0.8949684558</v>
      </c>
      <c r="AK33" s="5">
        <v>1.493885105</v>
      </c>
      <c r="AL33" s="5">
        <v>0.1053424177</v>
      </c>
      <c r="AM33" s="5">
        <v>0.06354187664</v>
      </c>
      <c r="AN33" s="5">
        <v>1.57675028</v>
      </c>
      <c r="AO33" s="5">
        <v>1.489565847</v>
      </c>
      <c r="AP33" s="5">
        <v>-0.8786074698</v>
      </c>
      <c r="AQ33" s="5">
        <v>-0.006688155773</v>
      </c>
    </row>
    <row r="34">
      <c r="A34" s="342">
        <v>33.0</v>
      </c>
      <c r="B34" s="341">
        <v>100.0</v>
      </c>
      <c r="C34" s="341">
        <v>0.0</v>
      </c>
      <c r="D34" s="341">
        <v>0.4226253773</v>
      </c>
      <c r="E34" s="342">
        <v>0.004477212339</v>
      </c>
      <c r="F34" s="342">
        <v>0.1965994387</v>
      </c>
      <c r="G34" s="342">
        <v>0.2260259386</v>
      </c>
      <c r="H34" s="342">
        <v>0.01344743943</v>
      </c>
      <c r="I34" s="343"/>
      <c r="J34" s="342" t="s">
        <v>1470</v>
      </c>
      <c r="K34" s="342" t="s">
        <v>1471</v>
      </c>
      <c r="L34" s="342" t="s">
        <v>1380</v>
      </c>
      <c r="M34" s="342" t="s">
        <v>1472</v>
      </c>
      <c r="N34" s="343"/>
      <c r="O34" s="342" t="s">
        <v>1368</v>
      </c>
      <c r="P34" s="342" t="s">
        <v>1423</v>
      </c>
      <c r="Q34" s="342">
        <v>2.0</v>
      </c>
      <c r="R34" s="342" t="s">
        <v>1473</v>
      </c>
      <c r="S34" s="342" t="s">
        <v>1370</v>
      </c>
      <c r="T34" s="342">
        <v>73.0</v>
      </c>
      <c r="U34" s="342">
        <v>16.0</v>
      </c>
      <c r="V34" s="342">
        <v>35.0</v>
      </c>
      <c r="W34" s="341">
        <v>18.69739726</v>
      </c>
      <c r="X34" s="5">
        <v>2.435616438</v>
      </c>
      <c r="Y34" s="5">
        <v>6.496849315</v>
      </c>
      <c r="Z34" s="5">
        <v>7.868493151</v>
      </c>
      <c r="AA34" s="5">
        <v>1.499589041</v>
      </c>
      <c r="AB34" s="5">
        <v>0.2909589041</v>
      </c>
      <c r="AC34" s="5">
        <v>0.450156026</v>
      </c>
      <c r="AD34" s="5">
        <v>16.24246575</v>
      </c>
      <c r="AE34" s="5">
        <v>0.7759828727</v>
      </c>
      <c r="AF34" s="5">
        <v>2.111506849</v>
      </c>
      <c r="AG34" s="5">
        <v>3.031917808</v>
      </c>
      <c r="AH34" s="5">
        <v>25.38761329</v>
      </c>
      <c r="AI34" s="5">
        <v>0.4692409376</v>
      </c>
      <c r="AJ34" s="5">
        <v>0.7795709491</v>
      </c>
      <c r="AK34" s="5">
        <v>0.2841880638</v>
      </c>
      <c r="AL34" s="5">
        <v>1.917901613</v>
      </c>
      <c r="AM34" s="5">
        <v>1.76388473</v>
      </c>
      <c r="AN34" s="5">
        <v>-0.7327262579</v>
      </c>
      <c r="AO34" s="5">
        <v>-0.937128939</v>
      </c>
      <c r="AP34" s="5">
        <v>-0.1639280779</v>
      </c>
      <c r="AQ34" s="5">
        <v>-1.61160807</v>
      </c>
    </row>
    <row r="35">
      <c r="A35" s="342">
        <v>34.0</v>
      </c>
      <c r="B35" s="341">
        <v>100.0</v>
      </c>
      <c r="C35" s="341">
        <v>0.0</v>
      </c>
      <c r="D35" s="341">
        <v>0.3901401188</v>
      </c>
      <c r="E35" s="342">
        <v>-0.02184510029</v>
      </c>
      <c r="F35" s="342">
        <v>0.1475017513</v>
      </c>
      <c r="G35" s="342">
        <v>0.2426383674</v>
      </c>
      <c r="H35" s="342">
        <v>-0.3730657897</v>
      </c>
      <c r="I35" s="343"/>
      <c r="J35" s="342" t="s">
        <v>1474</v>
      </c>
      <c r="K35" s="342" t="s">
        <v>222</v>
      </c>
      <c r="L35" s="342" t="s">
        <v>1380</v>
      </c>
      <c r="M35" s="342" t="s">
        <v>1475</v>
      </c>
      <c r="N35" s="343"/>
      <c r="O35" s="342" t="s">
        <v>1374</v>
      </c>
      <c r="P35" s="342" t="s">
        <v>1399</v>
      </c>
      <c r="Q35" s="342">
        <v>3.0</v>
      </c>
      <c r="R35" s="342" t="s">
        <v>1473</v>
      </c>
      <c r="S35" s="342" t="s">
        <v>1370</v>
      </c>
      <c r="T35" s="342">
        <v>68.0</v>
      </c>
      <c r="U35" s="342">
        <v>15.0</v>
      </c>
      <c r="V35" s="342">
        <v>35.0</v>
      </c>
      <c r="W35" s="341">
        <v>23.43279412</v>
      </c>
      <c r="X35" s="5">
        <v>1.937058824</v>
      </c>
      <c r="Y35" s="5">
        <v>5.053088235</v>
      </c>
      <c r="Z35" s="5">
        <v>8.0575</v>
      </c>
      <c r="AA35" s="5">
        <v>0.9517647059</v>
      </c>
      <c r="AB35" s="5">
        <v>0.4289705882</v>
      </c>
      <c r="AC35" s="5">
        <v>0.4586624621</v>
      </c>
      <c r="AD35" s="5">
        <v>18.84058824</v>
      </c>
      <c r="AE35" s="5">
        <v>0.8599861907</v>
      </c>
      <c r="AF35" s="5">
        <v>4.898676471</v>
      </c>
      <c r="AG35" s="5">
        <v>3.176323529</v>
      </c>
      <c r="AH35" s="5">
        <v>30.19416799</v>
      </c>
      <c r="AI35" s="5">
        <v>1.264256164</v>
      </c>
      <c r="AJ35" s="5">
        <v>0.2900972592</v>
      </c>
      <c r="AK35" s="5">
        <v>-0.2935249541</v>
      </c>
      <c r="AL35" s="5">
        <v>2.00519536</v>
      </c>
      <c r="AM35" s="5">
        <v>0.03451771299</v>
      </c>
      <c r="AN35" s="5">
        <v>-0.4803931434</v>
      </c>
      <c r="AO35" s="5">
        <v>-0.8404700766</v>
      </c>
      <c r="AP35" s="5">
        <v>1.141442629</v>
      </c>
      <c r="AQ35" s="5">
        <v>-1.793605188</v>
      </c>
    </row>
    <row r="36">
      <c r="A36" s="342">
        <v>35.0</v>
      </c>
      <c r="B36" s="341">
        <v>100.0</v>
      </c>
      <c r="C36" s="341">
        <v>0.0</v>
      </c>
      <c r="D36" s="341">
        <v>0.3801698403</v>
      </c>
      <c r="E36" s="342">
        <v>-0.00739469098</v>
      </c>
      <c r="F36" s="342">
        <v>0.2946139208</v>
      </c>
      <c r="G36" s="342">
        <v>0.08555591952</v>
      </c>
      <c r="H36" s="342">
        <v>0.01344743943</v>
      </c>
      <c r="I36" s="343"/>
      <c r="J36" s="342" t="s">
        <v>1476</v>
      </c>
      <c r="K36" s="342" t="s">
        <v>173</v>
      </c>
      <c r="L36" s="342" t="s">
        <v>1366</v>
      </c>
      <c r="M36" s="342" t="s">
        <v>1477</v>
      </c>
      <c r="N36" s="342" t="s">
        <v>1478</v>
      </c>
      <c r="O36" s="342" t="s">
        <v>1374</v>
      </c>
      <c r="P36" s="343"/>
      <c r="Q36" s="342">
        <v>2.0</v>
      </c>
      <c r="R36" s="342" t="s">
        <v>1479</v>
      </c>
      <c r="S36" s="342" t="s">
        <v>1370</v>
      </c>
      <c r="T36" s="342">
        <v>68.0</v>
      </c>
      <c r="U36" s="342">
        <v>15.0</v>
      </c>
      <c r="V36" s="342">
        <v>33.0</v>
      </c>
      <c r="W36" s="341">
        <v>18.67691176</v>
      </c>
      <c r="X36" s="5">
        <v>1.729705882</v>
      </c>
      <c r="Y36" s="5">
        <v>6.1875</v>
      </c>
      <c r="Z36" s="5">
        <v>1.856323529</v>
      </c>
      <c r="AA36" s="5">
        <v>1.2375</v>
      </c>
      <c r="AB36" s="5">
        <v>2.131176471</v>
      </c>
      <c r="AC36" s="5">
        <v>0.4709663351</v>
      </c>
      <c r="AD36" s="5">
        <v>14.16205882</v>
      </c>
      <c r="AE36" s="5">
        <v>0.7959958466</v>
      </c>
      <c r="AF36" s="5">
        <v>4.532058824</v>
      </c>
      <c r="AG36" s="5">
        <v>2.0625</v>
      </c>
      <c r="AH36" s="5">
        <v>23.97678538</v>
      </c>
      <c r="AI36" s="5">
        <v>0.4658016734</v>
      </c>
      <c r="AJ36" s="5">
        <v>0.08652237396</v>
      </c>
      <c r="AK36" s="5">
        <v>0.1604036449</v>
      </c>
      <c r="AL36" s="5">
        <v>-0.8588486161</v>
      </c>
      <c r="AM36" s="5">
        <v>0.9365243625</v>
      </c>
      <c r="AN36" s="5">
        <v>2.63182822</v>
      </c>
      <c r="AO36" s="5">
        <v>-0.3675665322</v>
      </c>
      <c r="AP36" s="5">
        <v>-0.01330640455</v>
      </c>
      <c r="AQ36" s="5">
        <v>-0.3898334354</v>
      </c>
    </row>
    <row r="37">
      <c r="A37" s="342">
        <v>36.0</v>
      </c>
      <c r="B37" s="341">
        <v>100.0</v>
      </c>
      <c r="C37" s="341">
        <v>0.0</v>
      </c>
      <c r="D37" s="341">
        <v>0.3777061179</v>
      </c>
      <c r="E37" s="342">
        <v>0.04597308946</v>
      </c>
      <c r="F37" s="342">
        <v>0.331600266</v>
      </c>
      <c r="G37" s="342">
        <v>0.0461058519</v>
      </c>
      <c r="H37" s="342">
        <v>-1.033359223</v>
      </c>
      <c r="I37" s="343"/>
      <c r="J37" s="342" t="s">
        <v>1480</v>
      </c>
      <c r="K37" s="342" t="s">
        <v>67</v>
      </c>
      <c r="L37" s="342" t="s">
        <v>1380</v>
      </c>
      <c r="M37" s="342" t="s">
        <v>1481</v>
      </c>
      <c r="N37" s="342" t="s">
        <v>1482</v>
      </c>
      <c r="O37" s="342" t="s">
        <v>1368</v>
      </c>
      <c r="P37" s="342" t="s">
        <v>1399</v>
      </c>
      <c r="Q37" s="342">
        <v>3.0</v>
      </c>
      <c r="R37" s="342" t="s">
        <v>1473</v>
      </c>
      <c r="S37" s="342" t="s">
        <v>1370</v>
      </c>
      <c r="T37" s="342">
        <v>73.0</v>
      </c>
      <c r="U37" s="342">
        <v>15.0</v>
      </c>
      <c r="V37" s="342">
        <v>38.0</v>
      </c>
      <c r="W37" s="341">
        <v>25.06109589</v>
      </c>
      <c r="X37" s="5">
        <v>2.966712329</v>
      </c>
      <c r="Y37" s="5">
        <v>3.723972603</v>
      </c>
      <c r="Z37" s="5">
        <v>6.206712329</v>
      </c>
      <c r="AA37" s="5">
        <v>0.9324657534</v>
      </c>
      <c r="AB37" s="5">
        <v>0.3875342466</v>
      </c>
      <c r="AC37" s="5">
        <v>0.4652092312</v>
      </c>
      <c r="AD37" s="5">
        <v>19.70684932</v>
      </c>
      <c r="AE37" s="5">
        <v>0.867005814</v>
      </c>
      <c r="AF37" s="5">
        <v>4.335342466</v>
      </c>
      <c r="AG37" s="5">
        <v>1.782739726</v>
      </c>
      <c r="AH37" s="5">
        <v>27.07158089</v>
      </c>
      <c r="AI37" s="5">
        <v>1.53762812</v>
      </c>
      <c r="AJ37" s="5">
        <v>1.300990054</v>
      </c>
      <c r="AK37" s="5">
        <v>-0.8253632298</v>
      </c>
      <c r="AL37" s="5">
        <v>1.150399934</v>
      </c>
      <c r="AM37" s="5">
        <v>-0.02640504945</v>
      </c>
      <c r="AN37" s="5">
        <v>-0.5561531141</v>
      </c>
      <c r="AO37" s="5">
        <v>-0.6813890851</v>
      </c>
      <c r="AP37" s="5">
        <v>1.121941314</v>
      </c>
      <c r="AQ37" s="5">
        <v>-0.03724654915</v>
      </c>
    </row>
    <row r="38">
      <c r="A38" s="342">
        <v>37.0</v>
      </c>
      <c r="B38" s="341">
        <v>100.0</v>
      </c>
      <c r="C38" s="341">
        <v>0.0</v>
      </c>
      <c r="D38" s="341">
        <v>0.3749468059</v>
      </c>
      <c r="E38" s="342">
        <v>0.001962918264</v>
      </c>
      <c r="F38" s="342">
        <v>0.3786602622</v>
      </c>
      <c r="G38" s="342">
        <v>-0.003713456372</v>
      </c>
      <c r="H38" s="342">
        <v>-2.305631935</v>
      </c>
      <c r="I38" s="343"/>
      <c r="J38" s="342" t="s">
        <v>1483</v>
      </c>
      <c r="K38" s="342" t="s">
        <v>98</v>
      </c>
      <c r="L38" s="342" t="s">
        <v>1366</v>
      </c>
      <c r="M38" s="342" t="s">
        <v>1484</v>
      </c>
      <c r="N38" s="342" t="s">
        <v>1485</v>
      </c>
      <c r="O38" s="342" t="s">
        <v>1374</v>
      </c>
      <c r="P38" s="343"/>
      <c r="Q38" s="342">
        <v>3.0</v>
      </c>
      <c r="R38" s="343"/>
      <c r="S38" s="342" t="s">
        <v>1434</v>
      </c>
      <c r="T38" s="342">
        <v>36.0</v>
      </c>
      <c r="U38" s="342">
        <v>13.0</v>
      </c>
      <c r="V38" s="342">
        <v>28.0</v>
      </c>
      <c r="W38" s="341">
        <v>18.43694444</v>
      </c>
      <c r="X38" s="5">
        <v>1.805277778</v>
      </c>
      <c r="Y38" s="5">
        <v>6.802777778</v>
      </c>
      <c r="Z38" s="5">
        <v>1.943611111</v>
      </c>
      <c r="AA38" s="5">
        <v>0.7430555556</v>
      </c>
      <c r="AB38" s="5">
        <v>1.783333333</v>
      </c>
      <c r="AC38" s="5">
        <v>0.5063670087</v>
      </c>
      <c r="AD38" s="5">
        <v>12.80472222</v>
      </c>
      <c r="AE38" s="5">
        <v>0.8670216262</v>
      </c>
      <c r="AF38" s="5">
        <v>4.225833333</v>
      </c>
      <c r="AG38" s="5">
        <v>1.429166667</v>
      </c>
      <c r="AH38" s="5">
        <v>25.4488644</v>
      </c>
      <c r="AI38" s="5">
        <v>0.4255140947</v>
      </c>
      <c r="AJ38" s="5">
        <v>0.1607173183</v>
      </c>
      <c r="AK38" s="5">
        <v>0.4066036476</v>
      </c>
      <c r="AL38" s="5">
        <v>-0.8185344155</v>
      </c>
      <c r="AM38" s="5">
        <v>-0.624333487</v>
      </c>
      <c r="AN38" s="5">
        <v>1.995850602</v>
      </c>
      <c r="AO38" s="5">
        <v>0.3600013662</v>
      </c>
      <c r="AP38" s="5">
        <v>1.09375532</v>
      </c>
      <c r="AQ38" s="5">
        <v>0.4083679132</v>
      </c>
    </row>
    <row r="39">
      <c r="A39" s="342">
        <v>38.0</v>
      </c>
      <c r="B39" s="341">
        <v>100.0</v>
      </c>
      <c r="C39" s="341">
        <v>0.0</v>
      </c>
      <c r="D39" s="341">
        <v>0.3289708828</v>
      </c>
      <c r="E39" s="342">
        <v>2.277325743E-4</v>
      </c>
      <c r="F39" s="342">
        <v>0.3164641708</v>
      </c>
      <c r="G39" s="342">
        <v>0.01250671198</v>
      </c>
      <c r="H39" s="342">
        <v>-2.531097985</v>
      </c>
      <c r="I39" s="343"/>
      <c r="J39" s="342" t="s">
        <v>1486</v>
      </c>
      <c r="K39" s="342" t="s">
        <v>169</v>
      </c>
      <c r="L39" s="342" t="s">
        <v>1404</v>
      </c>
      <c r="M39" s="342" t="s">
        <v>1487</v>
      </c>
      <c r="N39" s="343"/>
      <c r="O39" s="342" t="s">
        <v>1374</v>
      </c>
      <c r="P39" s="342" t="s">
        <v>1488</v>
      </c>
      <c r="Q39" s="342">
        <v>3.0</v>
      </c>
      <c r="R39" s="342" t="s">
        <v>1433</v>
      </c>
      <c r="S39" s="342" t="s">
        <v>1370</v>
      </c>
      <c r="T39" s="342">
        <v>61.0</v>
      </c>
      <c r="U39" s="342">
        <v>15.0</v>
      </c>
      <c r="V39" s="342">
        <v>34.0</v>
      </c>
      <c r="W39" s="341">
        <v>19.37639344</v>
      </c>
      <c r="X39" s="5">
        <v>0.8672131148</v>
      </c>
      <c r="Y39" s="5">
        <v>5.153114754</v>
      </c>
      <c r="Z39" s="5">
        <v>5.274098361</v>
      </c>
      <c r="AA39" s="5">
        <v>1.440983607</v>
      </c>
      <c r="AB39" s="5">
        <v>0.2750819672</v>
      </c>
      <c r="AC39" s="5">
        <v>0.4986563192</v>
      </c>
      <c r="AD39" s="5">
        <v>12.50540984</v>
      </c>
      <c r="AE39" s="5">
        <v>0.8470101196</v>
      </c>
      <c r="AF39" s="5">
        <v>7.127868852</v>
      </c>
      <c r="AG39" s="5">
        <v>1.58147541</v>
      </c>
      <c r="AH39" s="5">
        <v>23.1082025</v>
      </c>
      <c r="AI39" s="5">
        <v>0.5832360935</v>
      </c>
      <c r="AJ39" s="5">
        <v>-0.7602554204</v>
      </c>
      <c r="AK39" s="5">
        <v>-0.2534998953</v>
      </c>
      <c r="AL39" s="5">
        <v>0.7196675675</v>
      </c>
      <c r="AM39" s="5">
        <v>1.578879612</v>
      </c>
      <c r="AN39" s="5">
        <v>-0.7617547925</v>
      </c>
      <c r="AO39" s="5">
        <v>0.2039099191</v>
      </c>
      <c r="AP39" s="5">
        <v>1.321583979</v>
      </c>
      <c r="AQ39" s="5">
        <v>0.216410475</v>
      </c>
    </row>
    <row r="40">
      <c r="A40" s="342">
        <v>39.0</v>
      </c>
      <c r="B40" s="341">
        <v>100.0</v>
      </c>
      <c r="C40" s="341">
        <v>0.0</v>
      </c>
      <c r="D40" s="341">
        <v>0.3260499371</v>
      </c>
      <c r="E40" s="342">
        <v>0.004251787793</v>
      </c>
      <c r="F40" s="342">
        <v>0.1163014184</v>
      </c>
      <c r="G40" s="342">
        <v>0.2097485187</v>
      </c>
      <c r="H40" s="342">
        <v>-1.178301684</v>
      </c>
      <c r="I40" s="343"/>
      <c r="J40" s="342" t="s">
        <v>1489</v>
      </c>
      <c r="K40" s="342" t="s">
        <v>1471</v>
      </c>
      <c r="L40" s="342" t="s">
        <v>1366</v>
      </c>
      <c r="M40" s="342" t="s">
        <v>1490</v>
      </c>
      <c r="N40" s="343"/>
      <c r="O40" s="342" t="s">
        <v>1374</v>
      </c>
      <c r="P40" s="343"/>
      <c r="Q40" s="342">
        <v>3.0</v>
      </c>
      <c r="R40" s="342" t="s">
        <v>1469</v>
      </c>
      <c r="S40" s="342" t="s">
        <v>1370</v>
      </c>
      <c r="T40" s="342">
        <v>65.0</v>
      </c>
      <c r="U40" s="342">
        <v>16.0</v>
      </c>
      <c r="V40" s="342">
        <v>33.0</v>
      </c>
      <c r="W40" s="341">
        <v>24.63276923</v>
      </c>
      <c r="X40" s="5">
        <v>0.09169230769</v>
      </c>
      <c r="Y40" s="5">
        <v>6.466</v>
      </c>
      <c r="Z40" s="5">
        <v>5.376923077</v>
      </c>
      <c r="AA40" s="5">
        <v>1.361230769</v>
      </c>
      <c r="AB40" s="5">
        <v>0.816</v>
      </c>
      <c r="AC40" s="5">
        <v>0.5759092177</v>
      </c>
      <c r="AD40" s="5">
        <v>16.54</v>
      </c>
      <c r="AE40" s="5">
        <v>0.7200072636</v>
      </c>
      <c r="AF40" s="5">
        <v>7.624923077</v>
      </c>
      <c r="AG40" s="5">
        <v>2.992307692</v>
      </c>
      <c r="AH40" s="5">
        <v>30.50314233</v>
      </c>
      <c r="AI40" s="5">
        <v>1.465717311</v>
      </c>
      <c r="AJ40" s="5">
        <v>-1.521645919</v>
      </c>
      <c r="AK40" s="5">
        <v>0.2718438809</v>
      </c>
      <c r="AL40" s="5">
        <v>0.7671576705</v>
      </c>
      <c r="AM40" s="5">
        <v>1.327116561</v>
      </c>
      <c r="AN40" s="5">
        <v>0.2272305443</v>
      </c>
      <c r="AO40" s="5">
        <v>2.226721745</v>
      </c>
      <c r="AP40" s="5">
        <v>-2.155742296</v>
      </c>
      <c r="AQ40" s="5">
        <v>-1.561686731</v>
      </c>
    </row>
    <row r="41">
      <c r="A41" s="342">
        <v>40.0</v>
      </c>
      <c r="B41" s="341">
        <v>100.0</v>
      </c>
      <c r="C41" s="341">
        <v>0.0</v>
      </c>
      <c r="D41" s="341">
        <v>0.3051366316</v>
      </c>
      <c r="E41" s="342">
        <v>-0.01165445854</v>
      </c>
      <c r="F41" s="342">
        <v>0.2092383658</v>
      </c>
      <c r="G41" s="342">
        <v>0.0958982658</v>
      </c>
      <c r="H41" s="342">
        <v>0.06176159307</v>
      </c>
      <c r="I41" s="343"/>
      <c r="J41" s="342" t="s">
        <v>1491</v>
      </c>
      <c r="K41" s="342" t="s">
        <v>173</v>
      </c>
      <c r="L41" s="342" t="s">
        <v>1380</v>
      </c>
      <c r="M41" s="342" t="s">
        <v>1492</v>
      </c>
      <c r="N41" s="343"/>
      <c r="O41" s="342" t="s">
        <v>1368</v>
      </c>
      <c r="P41" s="343"/>
      <c r="Q41" s="342">
        <v>4.0</v>
      </c>
      <c r="R41" s="342" t="s">
        <v>1433</v>
      </c>
      <c r="S41" s="342" t="s">
        <v>1370</v>
      </c>
      <c r="T41" s="342">
        <v>73.0</v>
      </c>
      <c r="U41" s="342">
        <v>15.0</v>
      </c>
      <c r="V41" s="342">
        <v>34.0</v>
      </c>
      <c r="W41" s="341">
        <v>21.32273973</v>
      </c>
      <c r="X41" s="5">
        <v>2.957671233</v>
      </c>
      <c r="Y41" s="5">
        <v>4.887534247</v>
      </c>
      <c r="Z41" s="5">
        <v>4.816712329</v>
      </c>
      <c r="AA41" s="5">
        <v>0.9191780822</v>
      </c>
      <c r="AB41" s="5">
        <v>0.4254794521</v>
      </c>
      <c r="AC41" s="5">
        <v>0.474470924</v>
      </c>
      <c r="AD41" s="5">
        <v>16.22109589</v>
      </c>
      <c r="AE41" s="5">
        <v>0.8749848772</v>
      </c>
      <c r="AF41" s="5">
        <v>3.396849315</v>
      </c>
      <c r="AG41" s="5">
        <v>2.195890411</v>
      </c>
      <c r="AH41" s="5">
        <v>25.43405433</v>
      </c>
      <c r="AI41" s="5">
        <v>0.9100038338</v>
      </c>
      <c r="AJ41" s="5">
        <v>1.29211369</v>
      </c>
      <c r="AK41" s="5">
        <v>-0.3597704678</v>
      </c>
      <c r="AL41" s="5">
        <v>0.50842157</v>
      </c>
      <c r="AM41" s="5">
        <v>-0.06835145249</v>
      </c>
      <c r="AN41" s="5">
        <v>-0.4867761484</v>
      </c>
      <c r="AO41" s="5">
        <v>-0.3327360119</v>
      </c>
      <c r="AP41" s="5">
        <v>0.9781880394</v>
      </c>
      <c r="AQ41" s="5">
        <v>-0.5579477606</v>
      </c>
    </row>
    <row r="42">
      <c r="A42" s="342">
        <v>41.0</v>
      </c>
      <c r="B42" s="341">
        <v>100.0</v>
      </c>
      <c r="C42" s="341">
        <v>0.0</v>
      </c>
      <c r="D42" s="341">
        <v>0.2876586793</v>
      </c>
      <c r="E42" s="342">
        <v>0.004097965362</v>
      </c>
      <c r="F42" s="342">
        <v>0.2250258763</v>
      </c>
      <c r="G42" s="342">
        <v>0.06263280304</v>
      </c>
      <c r="H42" s="342">
        <v>-0.4213799433</v>
      </c>
      <c r="I42" s="343"/>
      <c r="J42" s="342" t="s">
        <v>1493</v>
      </c>
      <c r="K42" s="342" t="s">
        <v>126</v>
      </c>
      <c r="L42" s="342" t="s">
        <v>1380</v>
      </c>
      <c r="M42" s="342" t="s">
        <v>1494</v>
      </c>
      <c r="N42" s="343"/>
      <c r="O42" s="342" t="s">
        <v>1378</v>
      </c>
      <c r="P42" s="342" t="s">
        <v>1468</v>
      </c>
      <c r="Q42" s="342">
        <v>3.0</v>
      </c>
      <c r="R42" s="342" t="s">
        <v>1495</v>
      </c>
      <c r="S42" s="342" t="s">
        <v>1370</v>
      </c>
      <c r="T42" s="342">
        <v>77.0</v>
      </c>
      <c r="U42" s="342">
        <v>15.0</v>
      </c>
      <c r="V42" s="342">
        <v>35.0</v>
      </c>
      <c r="W42" s="341">
        <v>20.93103896</v>
      </c>
      <c r="X42" s="5">
        <v>2.955974026</v>
      </c>
      <c r="Y42" s="5">
        <v>4.787012987</v>
      </c>
      <c r="Z42" s="5">
        <v>7.07</v>
      </c>
      <c r="AA42" s="5">
        <v>1.045454545</v>
      </c>
      <c r="AB42" s="5">
        <v>0.2188311688</v>
      </c>
      <c r="AC42" s="5">
        <v>0.434168524</v>
      </c>
      <c r="AD42" s="5">
        <v>15.9074026</v>
      </c>
      <c r="AE42" s="5">
        <v>0.8440125359</v>
      </c>
      <c r="AF42" s="5">
        <v>4.931298701</v>
      </c>
      <c r="AG42" s="5">
        <v>1.972207792</v>
      </c>
      <c r="AH42" s="5">
        <v>24.66299392</v>
      </c>
      <c r="AI42" s="5">
        <v>0.8442420653</v>
      </c>
      <c r="AJ42" s="5">
        <v>1.290447407</v>
      </c>
      <c r="AK42" s="5">
        <v>-0.3999934943</v>
      </c>
      <c r="AL42" s="5">
        <v>1.549113608</v>
      </c>
      <c r="AM42" s="5">
        <v>0.33027697</v>
      </c>
      <c r="AN42" s="5">
        <v>-0.8646007162</v>
      </c>
      <c r="AO42" s="5">
        <v>-1.306913671</v>
      </c>
      <c r="AP42" s="5">
        <v>0.8586972652</v>
      </c>
      <c r="AQ42" s="5">
        <v>-0.276036548</v>
      </c>
    </row>
    <row r="43">
      <c r="A43" s="342">
        <v>42.0</v>
      </c>
      <c r="B43" s="341">
        <v>100.0</v>
      </c>
      <c r="C43" s="341">
        <v>0.0</v>
      </c>
      <c r="D43" s="341">
        <v>0.277142644</v>
      </c>
      <c r="E43" s="342">
        <v>0.002580283639</v>
      </c>
      <c r="F43" s="342">
        <v>0.284084636</v>
      </c>
      <c r="G43" s="342">
        <v>-0.00694199194</v>
      </c>
      <c r="H43" s="342">
        <v>-1.113882812</v>
      </c>
      <c r="I43" s="343"/>
      <c r="J43" s="342" t="s">
        <v>1496</v>
      </c>
      <c r="K43" s="342" t="s">
        <v>98</v>
      </c>
      <c r="L43" s="342" t="s">
        <v>1380</v>
      </c>
      <c r="M43" s="342" t="s">
        <v>1497</v>
      </c>
      <c r="N43" s="343"/>
      <c r="O43" s="342" t="s">
        <v>1368</v>
      </c>
      <c r="P43" s="342" t="s">
        <v>1399</v>
      </c>
      <c r="Q43" s="342">
        <v>3.0</v>
      </c>
      <c r="R43" s="342" t="s">
        <v>1498</v>
      </c>
      <c r="S43" s="342" t="s">
        <v>1370</v>
      </c>
      <c r="T43" s="342">
        <v>70.0</v>
      </c>
      <c r="U43" s="342">
        <v>13.0</v>
      </c>
      <c r="V43" s="342">
        <v>33.0</v>
      </c>
      <c r="W43" s="341">
        <v>15.688</v>
      </c>
      <c r="X43" s="5">
        <v>2.864857143</v>
      </c>
      <c r="Y43" s="5">
        <v>4.312</v>
      </c>
      <c r="Z43" s="5">
        <v>5.39</v>
      </c>
      <c r="AA43" s="5">
        <v>0.9417142857</v>
      </c>
      <c r="AB43" s="5">
        <v>1.078</v>
      </c>
      <c r="AC43" s="5">
        <v>0.4605479809</v>
      </c>
      <c r="AD43" s="5">
        <v>12.05985714</v>
      </c>
      <c r="AE43" s="5">
        <v>0.8910332542</v>
      </c>
      <c r="AF43" s="5">
        <v>1.924571429</v>
      </c>
      <c r="AG43" s="5">
        <v>1.483714286</v>
      </c>
      <c r="AH43" s="5">
        <v>19.30816226</v>
      </c>
      <c r="AI43" s="5">
        <v>-0.03600006235</v>
      </c>
      <c r="AJ43" s="5">
        <v>1.200990711</v>
      </c>
      <c r="AK43" s="5">
        <v>-0.5900673162</v>
      </c>
      <c r="AL43" s="5">
        <v>0.773197312</v>
      </c>
      <c r="AM43" s="5">
        <v>0.002790635486</v>
      </c>
      <c r="AN43" s="5">
        <v>0.7062572036</v>
      </c>
      <c r="AO43" s="5">
        <v>-0.506512807</v>
      </c>
      <c r="AP43" s="5">
        <v>0.6664854753</v>
      </c>
      <c r="AQ43" s="5">
        <v>0.3396205715</v>
      </c>
    </row>
    <row r="44">
      <c r="A44" s="342">
        <v>43.0</v>
      </c>
      <c r="B44" s="341">
        <v>100.0</v>
      </c>
      <c r="C44" s="341">
        <v>0.0</v>
      </c>
      <c r="D44" s="341">
        <v>0.2663788979</v>
      </c>
      <c r="E44" s="342">
        <v>0.002738734618</v>
      </c>
      <c r="F44" s="342">
        <v>0.112020529</v>
      </c>
      <c r="G44" s="342">
        <v>0.1543583689</v>
      </c>
      <c r="H44" s="342">
        <v>0.99583523</v>
      </c>
      <c r="I44" s="343"/>
      <c r="J44" s="342" t="s">
        <v>1499</v>
      </c>
      <c r="K44" s="342" t="s">
        <v>180</v>
      </c>
      <c r="L44" s="342" t="s">
        <v>34</v>
      </c>
      <c r="M44" s="342" t="s">
        <v>1500</v>
      </c>
      <c r="N44" s="343"/>
      <c r="O44" s="342" t="s">
        <v>1368</v>
      </c>
      <c r="P44" s="342" t="s">
        <v>1501</v>
      </c>
      <c r="Q44" s="342">
        <v>4.0</v>
      </c>
      <c r="R44" s="342" t="s">
        <v>1479</v>
      </c>
      <c r="S44" s="342" t="s">
        <v>1370</v>
      </c>
      <c r="T44" s="342">
        <v>73.0</v>
      </c>
      <c r="U44" s="342">
        <v>16.0</v>
      </c>
      <c r="V44" s="342">
        <v>33.0</v>
      </c>
      <c r="W44" s="341">
        <v>22.21575342</v>
      </c>
      <c r="X44" s="5">
        <v>0.4330136986</v>
      </c>
      <c r="Y44" s="5">
        <v>9.860136986</v>
      </c>
      <c r="Z44" s="5">
        <v>5.207808219</v>
      </c>
      <c r="AA44" s="5">
        <v>1.180410959</v>
      </c>
      <c r="AB44" s="5">
        <v>0.8332876712</v>
      </c>
      <c r="AC44" s="5">
        <v>0.5407574959</v>
      </c>
      <c r="AD44" s="5">
        <v>16.10931507</v>
      </c>
      <c r="AE44" s="5">
        <v>0.6940083726</v>
      </c>
      <c r="AF44" s="5">
        <v>6.282739726</v>
      </c>
      <c r="AG44" s="5">
        <v>2.644109589</v>
      </c>
      <c r="AH44" s="5">
        <v>27.3095816</v>
      </c>
      <c r="AI44" s="5">
        <v>1.059929914</v>
      </c>
      <c r="AJ44" s="5">
        <v>-1.186543544</v>
      </c>
      <c r="AK44" s="5">
        <v>1.62998904</v>
      </c>
      <c r="AL44" s="5">
        <v>0.6890511383</v>
      </c>
      <c r="AM44" s="5">
        <v>0.7563061824</v>
      </c>
      <c r="AN44" s="5">
        <v>0.2588383893</v>
      </c>
      <c r="AO44" s="5">
        <v>1.302512487</v>
      </c>
      <c r="AP44" s="5">
        <v>-2.379052423</v>
      </c>
      <c r="AQ44" s="5">
        <v>-1.122846422</v>
      </c>
    </row>
    <row r="45">
      <c r="A45" s="342">
        <v>44.0</v>
      </c>
      <c r="B45" s="341">
        <v>100.0</v>
      </c>
      <c r="C45" s="341">
        <v>0.0</v>
      </c>
      <c r="D45" s="341">
        <v>0.2640214867</v>
      </c>
      <c r="E45" s="342">
        <v>0.007472776591</v>
      </c>
      <c r="F45" s="342">
        <v>0.1732095092</v>
      </c>
      <c r="G45" s="342">
        <v>0.09081197749</v>
      </c>
      <c r="H45" s="342">
        <v>0.206704054</v>
      </c>
      <c r="I45" s="343"/>
      <c r="J45" s="342" t="s">
        <v>1502</v>
      </c>
      <c r="K45" s="342" t="s">
        <v>169</v>
      </c>
      <c r="L45" s="342" t="s">
        <v>34</v>
      </c>
      <c r="M45" s="342" t="s">
        <v>1503</v>
      </c>
      <c r="N45" s="343"/>
      <c r="O45" s="342" t="s">
        <v>1368</v>
      </c>
      <c r="P45" s="343"/>
      <c r="Q45" s="342">
        <v>4.0</v>
      </c>
      <c r="R45" s="342" t="s">
        <v>1479</v>
      </c>
      <c r="S45" s="342" t="s">
        <v>1370</v>
      </c>
      <c r="T45" s="342">
        <v>73.0</v>
      </c>
      <c r="U45" s="342">
        <v>15.0</v>
      </c>
      <c r="V45" s="342">
        <v>34.0</v>
      </c>
      <c r="W45" s="341">
        <v>17.94493151</v>
      </c>
      <c r="X45" s="5">
        <v>0.8771232877</v>
      </c>
      <c r="Y45" s="5">
        <v>9.344383562</v>
      </c>
      <c r="Z45" s="5">
        <v>3.893150685</v>
      </c>
      <c r="AA45" s="5">
        <v>1.243013699</v>
      </c>
      <c r="AB45" s="5">
        <v>0.8901369863</v>
      </c>
      <c r="AC45" s="5">
        <v>0.5157986357</v>
      </c>
      <c r="AD45" s="5">
        <v>13.53506849</v>
      </c>
      <c r="AE45" s="5">
        <v>0.7400019588</v>
      </c>
      <c r="AF45" s="5">
        <v>4.196027397</v>
      </c>
      <c r="AG45" s="5">
        <v>2.192191781</v>
      </c>
      <c r="AH45" s="5">
        <v>23.57828501</v>
      </c>
      <c r="AI45" s="5">
        <v>0.342911139</v>
      </c>
      <c r="AJ45" s="5">
        <v>-0.7505258149</v>
      </c>
      <c r="AK45" s="5">
        <v>1.423613157</v>
      </c>
      <c r="AL45" s="5">
        <v>0.08187006401</v>
      </c>
      <c r="AM45" s="5">
        <v>0.9539299575</v>
      </c>
      <c r="AN45" s="5">
        <v>0.3627786087</v>
      </c>
      <c r="AO45" s="5">
        <v>0.5762833492</v>
      </c>
      <c r="AP45" s="5">
        <v>-0.8786885672</v>
      </c>
      <c r="AQ45" s="5">
        <v>-0.5532863107</v>
      </c>
    </row>
    <row r="46">
      <c r="A46" s="342">
        <v>45.0</v>
      </c>
      <c r="B46" s="341">
        <v>100.0</v>
      </c>
      <c r="C46" s="341">
        <v>0.0</v>
      </c>
      <c r="D46" s="341">
        <v>0.2503573816</v>
      </c>
      <c r="E46" s="342">
        <v>0.01144326182</v>
      </c>
      <c r="F46" s="342">
        <v>0.2282056059</v>
      </c>
      <c r="G46" s="342">
        <v>0.0221517757</v>
      </c>
      <c r="H46" s="342">
        <v>0.8025786155</v>
      </c>
      <c r="I46" s="343"/>
      <c r="J46" s="342" t="s">
        <v>1504</v>
      </c>
      <c r="K46" s="342" t="s">
        <v>144</v>
      </c>
      <c r="L46" s="342" t="s">
        <v>1413</v>
      </c>
      <c r="M46" s="342" t="s">
        <v>1505</v>
      </c>
      <c r="N46" s="342" t="s">
        <v>1506</v>
      </c>
      <c r="O46" s="342" t="s">
        <v>1378</v>
      </c>
      <c r="P46" s="342" t="s">
        <v>1507</v>
      </c>
      <c r="Q46" s="342">
        <v>2.0</v>
      </c>
      <c r="R46" s="342" t="s">
        <v>1508</v>
      </c>
      <c r="S46" s="342" t="s">
        <v>1370</v>
      </c>
      <c r="T46" s="342">
        <v>77.0</v>
      </c>
      <c r="U46" s="342">
        <v>16.0</v>
      </c>
      <c r="V46" s="342">
        <v>37.0</v>
      </c>
      <c r="W46" s="341">
        <v>22.87337662</v>
      </c>
      <c r="X46" s="5">
        <v>0.9087012987</v>
      </c>
      <c r="Y46" s="5">
        <v>4.593376623</v>
      </c>
      <c r="Z46" s="5">
        <v>4.904805195</v>
      </c>
      <c r="AA46" s="5">
        <v>1.08</v>
      </c>
      <c r="AB46" s="5">
        <v>0.4702597403</v>
      </c>
      <c r="AC46" s="5">
        <v>0.4843079597</v>
      </c>
      <c r="AD46" s="5">
        <v>16.73857143</v>
      </c>
      <c r="AE46" s="5">
        <v>0.8590049462</v>
      </c>
      <c r="AF46" s="5">
        <v>6.695454545</v>
      </c>
      <c r="AG46" s="5">
        <v>1.712727273</v>
      </c>
      <c r="AH46" s="5">
        <v>24.97422526</v>
      </c>
      <c r="AI46" s="5">
        <v>1.170336807</v>
      </c>
      <c r="AJ46" s="5">
        <v>-0.7195231683</v>
      </c>
      <c r="AK46" s="5">
        <v>-0.4774760152</v>
      </c>
      <c r="AL46" s="5">
        <v>0.5491076952</v>
      </c>
      <c r="AM46" s="5">
        <v>0.4393297554</v>
      </c>
      <c r="AN46" s="5">
        <v>-0.4049022863</v>
      </c>
      <c r="AO46" s="5">
        <v>-0.09124904434</v>
      </c>
      <c r="AP46" s="5">
        <v>1.537235309</v>
      </c>
      <c r="AQ46" s="5">
        <v>0.05099140029</v>
      </c>
    </row>
    <row r="47">
      <c r="A47" s="342">
        <v>46.0</v>
      </c>
      <c r="B47" s="341">
        <v>100.0</v>
      </c>
      <c r="C47" s="341">
        <v>0.0</v>
      </c>
      <c r="D47" s="341">
        <v>0.2428815747</v>
      </c>
      <c r="E47" s="342">
        <v>0.003851331349</v>
      </c>
      <c r="F47" s="342">
        <v>0.2186045304</v>
      </c>
      <c r="G47" s="342">
        <v>0.02427704424</v>
      </c>
      <c r="H47" s="342">
        <v>0.5287984116</v>
      </c>
      <c r="I47" s="343"/>
      <c r="J47" s="342" t="s">
        <v>1509</v>
      </c>
      <c r="K47" s="342" t="s">
        <v>236</v>
      </c>
      <c r="L47" s="342" t="s">
        <v>1413</v>
      </c>
      <c r="M47" s="342" t="s">
        <v>1510</v>
      </c>
      <c r="N47" s="343"/>
      <c r="O47" s="342" t="s">
        <v>1368</v>
      </c>
      <c r="P47" s="342" t="s">
        <v>1399</v>
      </c>
      <c r="Q47" s="342">
        <v>4.0</v>
      </c>
      <c r="R47" s="342" t="s">
        <v>1508</v>
      </c>
      <c r="S47" s="342" t="s">
        <v>1370</v>
      </c>
      <c r="T47" s="342">
        <v>73.0</v>
      </c>
      <c r="U47" s="342">
        <v>13.0</v>
      </c>
      <c r="V47" s="342">
        <v>33.0</v>
      </c>
      <c r="W47" s="341">
        <v>21.69534247</v>
      </c>
      <c r="X47" s="5">
        <v>1.582054795</v>
      </c>
      <c r="Y47" s="5">
        <v>5.201643836</v>
      </c>
      <c r="Z47" s="5">
        <v>3.467808219</v>
      </c>
      <c r="AA47" s="5">
        <v>1.076027397</v>
      </c>
      <c r="AB47" s="5">
        <v>0.3978082192</v>
      </c>
      <c r="AC47" s="5">
        <v>0.5151407827</v>
      </c>
      <c r="AD47" s="5">
        <v>15.47123288</v>
      </c>
      <c r="AE47" s="5">
        <v>0.8430037907</v>
      </c>
      <c r="AF47" s="5">
        <v>4.950821918</v>
      </c>
      <c r="AG47" s="5">
        <v>1.733835616</v>
      </c>
      <c r="AH47" s="5">
        <v>26.17211843</v>
      </c>
      <c r="AI47" s="5">
        <v>0.9725592775</v>
      </c>
      <c r="AJ47" s="5">
        <v>-0.05843845028</v>
      </c>
      <c r="AK47" s="5">
        <v>-0.2340812515</v>
      </c>
      <c r="AL47" s="5">
        <v>-0.1145764542</v>
      </c>
      <c r="AM47" s="5">
        <v>0.4267890782</v>
      </c>
      <c r="AN47" s="5">
        <v>-0.5373687371</v>
      </c>
      <c r="AO47" s="5">
        <v>0.6444674461</v>
      </c>
      <c r="AP47" s="5">
        <v>0.8437016887</v>
      </c>
      <c r="AQ47" s="5">
        <v>0.02438817647</v>
      </c>
    </row>
    <row r="48">
      <c r="A48" s="342">
        <v>47.0</v>
      </c>
      <c r="B48" s="341">
        <v>100.0</v>
      </c>
      <c r="C48" s="341">
        <v>0.0</v>
      </c>
      <c r="D48" s="341">
        <v>0.2401299002</v>
      </c>
      <c r="E48" s="342">
        <v>0.002730541306</v>
      </c>
      <c r="F48" s="342">
        <v>0.1934663303</v>
      </c>
      <c r="G48" s="342">
        <v>0.04666356994</v>
      </c>
      <c r="H48" s="342">
        <v>-0.01876199633</v>
      </c>
      <c r="I48" s="343"/>
      <c r="J48" s="342" t="s">
        <v>1511</v>
      </c>
      <c r="K48" s="342" t="s">
        <v>93</v>
      </c>
      <c r="L48" s="342" t="s">
        <v>1404</v>
      </c>
      <c r="M48" s="342" t="s">
        <v>1512</v>
      </c>
      <c r="N48" s="343"/>
      <c r="O48" s="342" t="s">
        <v>1374</v>
      </c>
      <c r="P48" s="342" t="s">
        <v>1513</v>
      </c>
      <c r="Q48" s="342">
        <v>3.0</v>
      </c>
      <c r="R48" s="342" t="s">
        <v>1469</v>
      </c>
      <c r="S48" s="342" t="s">
        <v>1370</v>
      </c>
      <c r="T48" s="342">
        <v>68.0</v>
      </c>
      <c r="U48" s="342">
        <v>16.0</v>
      </c>
      <c r="V48" s="342">
        <v>35.0</v>
      </c>
      <c r="W48" s="341">
        <v>19.71161765</v>
      </c>
      <c r="X48" s="5">
        <v>1.545588235</v>
      </c>
      <c r="Y48" s="5">
        <v>8.968823529</v>
      </c>
      <c r="Z48" s="5">
        <v>4.375</v>
      </c>
      <c r="AA48" s="5">
        <v>1.093823529</v>
      </c>
      <c r="AB48" s="5">
        <v>0.8020588235</v>
      </c>
      <c r="AC48" s="5">
        <v>0.4891252998</v>
      </c>
      <c r="AD48" s="5">
        <v>16.18705882</v>
      </c>
      <c r="AE48" s="5">
        <v>0.7200090847</v>
      </c>
      <c r="AF48" s="5">
        <v>3.2375</v>
      </c>
      <c r="AG48" s="5">
        <v>1.895882353</v>
      </c>
      <c r="AH48" s="5">
        <v>23.75935496</v>
      </c>
      <c r="AI48" s="5">
        <v>0.6395161382</v>
      </c>
      <c r="AJ48" s="5">
        <v>-0.09424057379</v>
      </c>
      <c r="AK48" s="5">
        <v>1.273334886</v>
      </c>
      <c r="AL48" s="5">
        <v>0.3044145497</v>
      </c>
      <c r="AM48" s="5">
        <v>0.4829677508</v>
      </c>
      <c r="AN48" s="5">
        <v>0.2017412497</v>
      </c>
      <c r="AO48" s="5">
        <v>0.03070662159</v>
      </c>
      <c r="AP48" s="5">
        <v>-0.91740142</v>
      </c>
      <c r="AQ48" s="5">
        <v>-0.1798422292</v>
      </c>
    </row>
    <row r="49">
      <c r="A49" s="342">
        <v>48.0</v>
      </c>
      <c r="B49" s="341">
        <v>100.0</v>
      </c>
      <c r="C49" s="341">
        <v>0.0</v>
      </c>
      <c r="D49" s="341">
        <v>0.224574774</v>
      </c>
      <c r="E49" s="342">
        <v>-0.008292507675</v>
      </c>
      <c r="F49" s="342">
        <v>-0.03004275333</v>
      </c>
      <c r="G49" s="342">
        <v>0.2546175273</v>
      </c>
      <c r="H49" s="342">
        <v>-0.4857988148</v>
      </c>
      <c r="I49" s="343"/>
      <c r="J49" s="342" t="s">
        <v>1514</v>
      </c>
      <c r="K49" s="342" t="s">
        <v>173</v>
      </c>
      <c r="L49" s="342" t="s">
        <v>1380</v>
      </c>
      <c r="M49" s="342" t="s">
        <v>1515</v>
      </c>
      <c r="N49" s="342" t="s">
        <v>1516</v>
      </c>
      <c r="O49" s="342" t="s">
        <v>1374</v>
      </c>
      <c r="P49" s="343"/>
      <c r="Q49" s="342">
        <v>2.0</v>
      </c>
      <c r="R49" s="342" t="s">
        <v>1495</v>
      </c>
      <c r="S49" s="342" t="s">
        <v>1370</v>
      </c>
      <c r="T49" s="342">
        <v>68.0</v>
      </c>
      <c r="U49" s="342">
        <v>15.0</v>
      </c>
      <c r="V49" s="342">
        <v>35.0</v>
      </c>
      <c r="W49" s="341">
        <v>24.52617647</v>
      </c>
      <c r="X49" s="5">
        <v>1.453382353</v>
      </c>
      <c r="Y49" s="5">
        <v>5.614558824</v>
      </c>
      <c r="Z49" s="5">
        <v>8.3125</v>
      </c>
      <c r="AA49" s="5">
        <v>1.020882353</v>
      </c>
      <c r="AB49" s="5">
        <v>0.3602941176</v>
      </c>
      <c r="AC49" s="5">
        <v>0.4676800162</v>
      </c>
      <c r="AD49" s="5">
        <v>18.88514706</v>
      </c>
      <c r="AE49" s="5">
        <v>0.7739919185</v>
      </c>
      <c r="AF49" s="5">
        <v>6.987647059</v>
      </c>
      <c r="AG49" s="5">
        <v>3.393235294</v>
      </c>
      <c r="AH49" s="5">
        <v>31.45927847</v>
      </c>
      <c r="AI49" s="5">
        <v>1.44782169</v>
      </c>
      <c r="AJ49" s="5">
        <v>-0.184766427</v>
      </c>
      <c r="AK49" s="5">
        <v>-0.06885560085</v>
      </c>
      <c r="AL49" s="5">
        <v>2.122968369</v>
      </c>
      <c r="AM49" s="5">
        <v>0.25270769</v>
      </c>
      <c r="AN49" s="5">
        <v>-0.6059574957</v>
      </c>
      <c r="AO49" s="5">
        <v>-0.5820021223</v>
      </c>
      <c r="AP49" s="5">
        <v>-0.5853179116</v>
      </c>
      <c r="AQ49" s="5">
        <v>-2.066982972</v>
      </c>
    </row>
    <row r="50">
      <c r="A50" s="342">
        <v>49.0</v>
      </c>
      <c r="B50" s="341">
        <v>100.0</v>
      </c>
      <c r="C50" s="341">
        <v>0.0</v>
      </c>
      <c r="D50" s="341">
        <v>0.2205367128</v>
      </c>
      <c r="E50" s="342">
        <v>0.00466678722</v>
      </c>
      <c r="F50" s="342">
        <v>0.02699491703</v>
      </c>
      <c r="G50" s="342">
        <v>0.1935417958</v>
      </c>
      <c r="H50" s="342">
        <v>0.1422851825</v>
      </c>
      <c r="I50" s="343"/>
      <c r="J50" s="342" t="s">
        <v>1517</v>
      </c>
      <c r="K50" s="342" t="s">
        <v>110</v>
      </c>
      <c r="L50" s="342" t="s">
        <v>1380</v>
      </c>
      <c r="M50" s="342" t="s">
        <v>1518</v>
      </c>
      <c r="N50" s="343"/>
      <c r="O50" s="342" t="s">
        <v>1374</v>
      </c>
      <c r="P50" s="343"/>
      <c r="Q50" s="342">
        <v>3.0</v>
      </c>
      <c r="R50" s="342" t="s">
        <v>1495</v>
      </c>
      <c r="S50" s="342" t="s">
        <v>1370</v>
      </c>
      <c r="T50" s="342">
        <v>68.0</v>
      </c>
      <c r="U50" s="342">
        <v>16.0</v>
      </c>
      <c r="V50" s="342">
        <v>33.0</v>
      </c>
      <c r="W50" s="341">
        <v>19.48102941</v>
      </c>
      <c r="X50" s="5">
        <v>2.7025</v>
      </c>
      <c r="Y50" s="5">
        <v>2.805</v>
      </c>
      <c r="Z50" s="5">
        <v>7.503382353</v>
      </c>
      <c r="AA50" s="5">
        <v>1.251176471</v>
      </c>
      <c r="AB50" s="5">
        <v>0.1410294118</v>
      </c>
      <c r="AC50" s="5">
        <v>0.4490716254</v>
      </c>
      <c r="AD50" s="5">
        <v>15.84838235</v>
      </c>
      <c r="AE50" s="5">
        <v>0.8449892557</v>
      </c>
      <c r="AF50" s="5">
        <v>3.011176471</v>
      </c>
      <c r="AG50" s="5">
        <v>2.960294118</v>
      </c>
      <c r="AH50" s="5">
        <v>26.36047129</v>
      </c>
      <c r="AI50" s="5">
        <v>0.6008031932</v>
      </c>
      <c r="AJ50" s="5">
        <v>1.041591782</v>
      </c>
      <c r="AK50" s="5">
        <v>-1.193085039</v>
      </c>
      <c r="AL50" s="5">
        <v>1.749273388</v>
      </c>
      <c r="AM50" s="5">
        <v>0.9796981239</v>
      </c>
      <c r="AN50" s="5">
        <v>-1.00684925</v>
      </c>
      <c r="AO50" s="5">
        <v>-0.9408967512</v>
      </c>
      <c r="AP50" s="5">
        <v>0.5337582545</v>
      </c>
      <c r="AQ50" s="5">
        <v>-1.521339449</v>
      </c>
    </row>
    <row r="51">
      <c r="A51" s="342">
        <v>50.0</v>
      </c>
      <c r="B51" s="341">
        <v>100.0</v>
      </c>
      <c r="C51" s="341">
        <v>0.0</v>
      </c>
      <c r="D51" s="341">
        <v>0.204242025</v>
      </c>
      <c r="E51" s="342">
        <v>0.006627318223</v>
      </c>
      <c r="F51" s="342">
        <v>0.1792391456</v>
      </c>
      <c r="G51" s="342">
        <v>0.02500287945</v>
      </c>
      <c r="H51" s="342">
        <v>-3.497381058</v>
      </c>
      <c r="I51" s="343"/>
      <c r="J51" s="342" t="s">
        <v>1519</v>
      </c>
      <c r="K51" s="342" t="s">
        <v>259</v>
      </c>
      <c r="L51" s="342" t="s">
        <v>34</v>
      </c>
      <c r="M51" s="342" t="s">
        <v>1520</v>
      </c>
      <c r="N51" s="343"/>
      <c r="O51" s="342" t="s">
        <v>1374</v>
      </c>
      <c r="P51" s="343"/>
      <c r="Q51" s="342">
        <v>1.0</v>
      </c>
      <c r="R51" s="342" t="s">
        <v>1521</v>
      </c>
      <c r="S51" s="342" t="s">
        <v>1370</v>
      </c>
      <c r="T51" s="342">
        <v>62.0</v>
      </c>
      <c r="U51" s="342">
        <v>13.0</v>
      </c>
      <c r="V51" s="342">
        <v>33.0</v>
      </c>
      <c r="W51" s="341">
        <v>17.24596774</v>
      </c>
      <c r="X51" s="5">
        <v>0.05548387097</v>
      </c>
      <c r="Y51" s="5">
        <v>11.43451613</v>
      </c>
      <c r="Z51" s="5">
        <v>1.701612903</v>
      </c>
      <c r="AA51" s="5">
        <v>0.8167741935</v>
      </c>
      <c r="AB51" s="5">
        <v>0.7487096774</v>
      </c>
      <c r="AC51" s="5">
        <v>0.5743593318</v>
      </c>
      <c r="AD51" s="5">
        <v>13.88419355</v>
      </c>
      <c r="AE51" s="5">
        <v>0.8129488804</v>
      </c>
      <c r="AF51" s="5">
        <v>1.527096774</v>
      </c>
      <c r="AG51" s="5">
        <v>1.769677419</v>
      </c>
      <c r="AH51" s="5">
        <v>21.30288469</v>
      </c>
      <c r="AI51" s="5">
        <v>0.2255636701</v>
      </c>
      <c r="AJ51" s="5">
        <v>-1.557194623</v>
      </c>
      <c r="AK51" s="5">
        <v>2.259968154</v>
      </c>
      <c r="AL51" s="5">
        <v>-0.9303024828</v>
      </c>
      <c r="AM51" s="5">
        <v>-0.3916191425</v>
      </c>
      <c r="AN51" s="5">
        <v>0.1042005503</v>
      </c>
      <c r="AO51" s="5">
        <v>1.834797887</v>
      </c>
      <c r="AP51" s="5">
        <v>0.08852218766</v>
      </c>
      <c r="AQ51" s="5">
        <v>-0.02078388999</v>
      </c>
    </row>
    <row r="52">
      <c r="A52" s="342">
        <v>51.0</v>
      </c>
      <c r="B52" s="341">
        <v>100.0</v>
      </c>
      <c r="C52" s="341">
        <v>0.0</v>
      </c>
      <c r="D52" s="341">
        <v>0.203701369</v>
      </c>
      <c r="E52" s="342">
        <v>0.02002640379</v>
      </c>
      <c r="F52" s="342">
        <v>0.2057731568</v>
      </c>
      <c r="G52" s="342">
        <v>-0.002071787846</v>
      </c>
      <c r="H52" s="342">
        <v>-1.033359223</v>
      </c>
      <c r="I52" s="343"/>
      <c r="J52" s="342" t="s">
        <v>1522</v>
      </c>
      <c r="K52" s="342" t="s">
        <v>1421</v>
      </c>
      <c r="L52" s="342" t="s">
        <v>1413</v>
      </c>
      <c r="M52" s="342" t="s">
        <v>1523</v>
      </c>
      <c r="N52" s="343"/>
      <c r="O52" s="342" t="s">
        <v>1374</v>
      </c>
      <c r="P52" s="342" t="s">
        <v>1399</v>
      </c>
      <c r="Q52" s="342">
        <v>3.0</v>
      </c>
      <c r="R52" s="342" t="s">
        <v>1508</v>
      </c>
      <c r="S52" s="342" t="s">
        <v>1370</v>
      </c>
      <c r="T52" s="342">
        <v>68.0</v>
      </c>
      <c r="U52" s="342">
        <v>15.0</v>
      </c>
      <c r="V52" s="342">
        <v>36.0</v>
      </c>
      <c r="W52" s="341">
        <v>15.46573529</v>
      </c>
      <c r="X52" s="5">
        <v>1.850735294</v>
      </c>
      <c r="Y52" s="5">
        <v>5.183970588</v>
      </c>
      <c r="Z52" s="5">
        <v>1.872058824</v>
      </c>
      <c r="AA52" s="5">
        <v>1.656029412</v>
      </c>
      <c r="AB52" s="5">
        <v>0.8639705882</v>
      </c>
      <c r="AC52" s="5">
        <v>0.4973988682</v>
      </c>
      <c r="AD52" s="5">
        <v>12.24014706</v>
      </c>
      <c r="AE52" s="5">
        <v>0.7740148758</v>
      </c>
      <c r="AF52" s="5">
        <v>1.858529412</v>
      </c>
      <c r="AG52" s="5">
        <v>1.576764706</v>
      </c>
      <c r="AH52" s="5">
        <v>18.14248637</v>
      </c>
      <c r="AI52" s="5">
        <v>-0.07331558853</v>
      </c>
      <c r="AJ52" s="5">
        <v>0.20534658</v>
      </c>
      <c r="AK52" s="5">
        <v>-0.2411531038</v>
      </c>
      <c r="AL52" s="5">
        <v>-0.8515811928</v>
      </c>
      <c r="AM52" s="5">
        <v>2.257734308</v>
      </c>
      <c r="AN52" s="5">
        <v>0.3149373788</v>
      </c>
      <c r="AO52" s="5">
        <v>0.1758521428</v>
      </c>
      <c r="AP52" s="5">
        <v>-0.1582095728</v>
      </c>
      <c r="AQ52" s="5">
        <v>0.2223474596</v>
      </c>
    </row>
    <row r="53">
      <c r="A53" s="342">
        <v>52.0</v>
      </c>
      <c r="B53" s="341">
        <v>100.0</v>
      </c>
      <c r="C53" s="341">
        <v>0.0</v>
      </c>
      <c r="D53" s="341">
        <v>0.1851468803</v>
      </c>
      <c r="E53" s="342">
        <v>0.003289764051</v>
      </c>
      <c r="F53" s="342">
        <v>0.1212601785</v>
      </c>
      <c r="G53" s="342">
        <v>0.06388670175</v>
      </c>
      <c r="H53" s="342">
        <v>-0.5180082506</v>
      </c>
      <c r="I53" s="343"/>
      <c r="J53" s="342" t="s">
        <v>1524</v>
      </c>
      <c r="K53" s="342" t="s">
        <v>118</v>
      </c>
      <c r="L53" s="342" t="s">
        <v>1413</v>
      </c>
      <c r="M53" s="342" t="s">
        <v>1525</v>
      </c>
      <c r="N53" s="343"/>
      <c r="O53" s="342" t="s">
        <v>1374</v>
      </c>
      <c r="P53" s="343"/>
      <c r="Q53" s="342">
        <v>4.0</v>
      </c>
      <c r="R53" s="342" t="s">
        <v>1508</v>
      </c>
      <c r="S53" s="342" t="s">
        <v>1370</v>
      </c>
      <c r="T53" s="342">
        <v>68.0</v>
      </c>
      <c r="U53" s="342">
        <v>16.0</v>
      </c>
      <c r="V53" s="342">
        <v>33.0</v>
      </c>
      <c r="W53" s="341">
        <v>18.40529412</v>
      </c>
      <c r="X53" s="5">
        <v>2.250735294</v>
      </c>
      <c r="Y53" s="5">
        <v>4.606176471</v>
      </c>
      <c r="Z53" s="5">
        <v>4.675</v>
      </c>
      <c r="AA53" s="5">
        <v>1.024705882</v>
      </c>
      <c r="AB53" s="5">
        <v>0.5523529412</v>
      </c>
      <c r="AC53" s="5">
        <v>0.4904101296</v>
      </c>
      <c r="AD53" s="5">
        <v>14.57573529</v>
      </c>
      <c r="AE53" s="5">
        <v>0.8500033632</v>
      </c>
      <c r="AF53" s="5">
        <v>2.186323529</v>
      </c>
      <c r="AG53" s="5">
        <v>2.0625</v>
      </c>
      <c r="AH53" s="5">
        <v>23.28884285</v>
      </c>
      <c r="AI53" s="5">
        <v>0.4202003919</v>
      </c>
      <c r="AJ53" s="5">
        <v>0.5980584154</v>
      </c>
      <c r="AK53" s="5">
        <v>-0.4723542271</v>
      </c>
      <c r="AL53" s="5">
        <v>0.4429710311</v>
      </c>
      <c r="AM53" s="5">
        <v>0.2647777738</v>
      </c>
      <c r="AN53" s="5">
        <v>-0.2548075085</v>
      </c>
      <c r="AO53" s="5">
        <v>0.05537594886</v>
      </c>
      <c r="AP53" s="5">
        <v>0.4269532169</v>
      </c>
      <c r="AQ53" s="5">
        <v>-0.3898334354</v>
      </c>
    </row>
    <row r="54">
      <c r="A54" s="342">
        <v>53.0</v>
      </c>
      <c r="B54" s="341">
        <v>100.0</v>
      </c>
      <c r="C54" s="341">
        <v>0.0</v>
      </c>
      <c r="D54" s="341">
        <v>0.1644276756</v>
      </c>
      <c r="E54" s="342">
        <v>0.00478514997</v>
      </c>
      <c r="F54" s="342">
        <v>0.07160037816</v>
      </c>
      <c r="G54" s="342">
        <v>0.09282729745</v>
      </c>
      <c r="H54" s="342">
        <v>-1.951328142</v>
      </c>
      <c r="I54" s="343"/>
      <c r="J54" s="342" t="s">
        <v>1526</v>
      </c>
      <c r="K54" s="342" t="s">
        <v>98</v>
      </c>
      <c r="L54" s="342" t="s">
        <v>1413</v>
      </c>
      <c r="M54" s="342" t="s">
        <v>1527</v>
      </c>
      <c r="N54" s="343"/>
      <c r="O54" s="342" t="s">
        <v>1368</v>
      </c>
      <c r="P54" s="343"/>
      <c r="Q54" s="342">
        <v>4.0</v>
      </c>
      <c r="R54" s="342" t="s">
        <v>1508</v>
      </c>
      <c r="S54" s="342" t="s">
        <v>1370</v>
      </c>
      <c r="T54" s="342">
        <v>66.0</v>
      </c>
      <c r="U54" s="342">
        <v>13.0</v>
      </c>
      <c r="V54" s="342">
        <v>34.0</v>
      </c>
      <c r="W54" s="341">
        <v>24.40318182</v>
      </c>
      <c r="X54" s="5">
        <v>2.173939394</v>
      </c>
      <c r="Y54" s="5">
        <v>5.969848485</v>
      </c>
      <c r="Z54" s="5">
        <v>3.331969697</v>
      </c>
      <c r="AA54" s="5">
        <v>1.254393939</v>
      </c>
      <c r="AB54" s="5">
        <v>0.4154545455</v>
      </c>
      <c r="AC54" s="5">
        <v>0.505456739</v>
      </c>
      <c r="AD54" s="5">
        <v>19.08954545</v>
      </c>
      <c r="AE54" s="5">
        <v>0.6979940833</v>
      </c>
      <c r="AF54" s="5">
        <v>4.19969697</v>
      </c>
      <c r="AG54" s="5">
        <v>2.285606061</v>
      </c>
      <c r="AH54" s="5">
        <v>30.24281942</v>
      </c>
      <c r="AI54" s="5">
        <v>1.427172392</v>
      </c>
      <c r="AJ54" s="5">
        <v>0.5226617681</v>
      </c>
      <c r="AK54" s="5">
        <v>0.07331159381</v>
      </c>
      <c r="AL54" s="5">
        <v>-0.1773141465</v>
      </c>
      <c r="AM54" s="5">
        <v>0.9898550009</v>
      </c>
      <c r="AN54" s="5">
        <v>-0.5051051466</v>
      </c>
      <c r="AO54" s="5">
        <v>0.5146276742</v>
      </c>
      <c r="AP54" s="5">
        <v>-1.529787731</v>
      </c>
      <c r="AQ54" s="5">
        <v>-0.6710180014</v>
      </c>
    </row>
    <row r="55">
      <c r="A55" s="342">
        <v>54.0</v>
      </c>
      <c r="B55" s="341">
        <v>100.0</v>
      </c>
      <c r="C55" s="341">
        <v>0.0</v>
      </c>
      <c r="D55" s="341">
        <v>0.1601688321</v>
      </c>
      <c r="E55" s="342">
        <v>0.004121020202</v>
      </c>
      <c r="F55" s="342">
        <v>0.1048442229</v>
      </c>
      <c r="G55" s="342">
        <v>0.05532460922</v>
      </c>
      <c r="H55" s="342">
        <v>-2.273422499</v>
      </c>
      <c r="I55" s="343"/>
      <c r="J55" s="342" t="s">
        <v>1528</v>
      </c>
      <c r="K55" s="342" t="s">
        <v>40</v>
      </c>
      <c r="L55" s="342" t="s">
        <v>1380</v>
      </c>
      <c r="M55" s="342" t="s">
        <v>1529</v>
      </c>
      <c r="N55" s="342" t="s">
        <v>1530</v>
      </c>
      <c r="O55" s="342" t="s">
        <v>1374</v>
      </c>
      <c r="P55" s="342" t="s">
        <v>1399</v>
      </c>
      <c r="Q55" s="342">
        <v>3.0</v>
      </c>
      <c r="R55" s="342" t="s">
        <v>1495</v>
      </c>
      <c r="S55" s="342" t="s">
        <v>1370</v>
      </c>
      <c r="T55" s="342">
        <v>68.0</v>
      </c>
      <c r="U55" s="342">
        <v>16.0</v>
      </c>
      <c r="V55" s="342">
        <v>33.0</v>
      </c>
      <c r="W55" s="341">
        <v>20.65838235</v>
      </c>
      <c r="X55" s="5">
        <v>2.414264706</v>
      </c>
      <c r="Y55" s="5">
        <v>3.705588235</v>
      </c>
      <c r="Z55" s="5">
        <v>5.726911765</v>
      </c>
      <c r="AA55" s="5">
        <v>1.016911765</v>
      </c>
      <c r="AB55" s="5">
        <v>0.4716176471</v>
      </c>
      <c r="AC55" s="5">
        <v>0.4609148311</v>
      </c>
      <c r="AD55" s="5">
        <v>16.97838235</v>
      </c>
      <c r="AE55" s="5">
        <v>0.8399790386</v>
      </c>
      <c r="AF55" s="5">
        <v>3.086911765</v>
      </c>
      <c r="AG55" s="5">
        <v>2.021176471</v>
      </c>
      <c r="AH55" s="5">
        <v>27.12186608</v>
      </c>
      <c r="AI55" s="5">
        <v>0.7984663549</v>
      </c>
      <c r="AJ55" s="5">
        <v>0.758608254</v>
      </c>
      <c r="AK55" s="5">
        <v>-0.8327196328</v>
      </c>
      <c r="AL55" s="5">
        <v>0.9288016743</v>
      </c>
      <c r="AM55" s="5">
        <v>0.2401733721</v>
      </c>
      <c r="AN55" s="5">
        <v>-0.4024195628</v>
      </c>
      <c r="AO55" s="5">
        <v>-0.699822628</v>
      </c>
      <c r="AP55" s="5">
        <v>0.4902628251</v>
      </c>
      <c r="AQ55" s="5">
        <v>-0.3377526508</v>
      </c>
    </row>
    <row r="56">
      <c r="A56" s="342">
        <v>55.0</v>
      </c>
      <c r="B56" s="341">
        <v>100.0</v>
      </c>
      <c r="C56" s="341">
        <v>0.0</v>
      </c>
      <c r="D56" s="341">
        <v>0.1541508015</v>
      </c>
      <c r="E56" s="342">
        <v>-0.00920516783</v>
      </c>
      <c r="F56" s="342">
        <v>0.1271103699</v>
      </c>
      <c r="G56" s="342">
        <v>0.02704043156</v>
      </c>
      <c r="H56" s="342">
        <v>-0.8078931724</v>
      </c>
      <c r="I56" s="343"/>
      <c r="J56" s="342" t="s">
        <v>1531</v>
      </c>
      <c r="K56" s="342" t="s">
        <v>136</v>
      </c>
      <c r="L56" s="342" t="s">
        <v>1404</v>
      </c>
      <c r="M56" s="342" t="s">
        <v>1532</v>
      </c>
      <c r="N56" s="343"/>
      <c r="O56" s="342" t="s">
        <v>1368</v>
      </c>
      <c r="P56" s="343"/>
      <c r="Q56" s="342">
        <v>2.0</v>
      </c>
      <c r="R56" s="342" t="s">
        <v>1508</v>
      </c>
      <c r="S56" s="342" t="s">
        <v>1370</v>
      </c>
      <c r="T56" s="342">
        <v>73.0</v>
      </c>
      <c r="U56" s="342">
        <v>15.0</v>
      </c>
      <c r="V56" s="342">
        <v>34.0</v>
      </c>
      <c r="W56" s="341">
        <v>20.16657534</v>
      </c>
      <c r="X56" s="5">
        <v>2.994383562</v>
      </c>
      <c r="Y56" s="5">
        <v>4.888219178</v>
      </c>
      <c r="Z56" s="5">
        <v>2.772465753</v>
      </c>
      <c r="AA56" s="5">
        <v>1.10109589</v>
      </c>
      <c r="AB56" s="5">
        <v>0.6538356164</v>
      </c>
      <c r="AC56" s="5">
        <v>0.4534641689</v>
      </c>
      <c r="AD56" s="5">
        <v>16.1239726</v>
      </c>
      <c r="AE56" s="5">
        <v>0.8320067966</v>
      </c>
      <c r="AF56" s="5">
        <v>3.063561644</v>
      </c>
      <c r="AG56" s="5">
        <v>1.823972603</v>
      </c>
      <c r="AH56" s="5">
        <v>23.92649982</v>
      </c>
      <c r="AI56" s="5">
        <v>0.7158979719</v>
      </c>
      <c r="AJ56" s="5">
        <v>1.328157105</v>
      </c>
      <c r="AK56" s="5">
        <v>-0.3594963962</v>
      </c>
      <c r="AL56" s="5">
        <v>-0.4357238058</v>
      </c>
      <c r="AM56" s="5">
        <v>0.5059250757</v>
      </c>
      <c r="AN56" s="5">
        <v>-0.06926206228</v>
      </c>
      <c r="AO56" s="5">
        <v>-0.84878657</v>
      </c>
      <c r="AP56" s="5">
        <v>0.3964950934</v>
      </c>
      <c r="AQ56" s="5">
        <v>-0.08921308252</v>
      </c>
    </row>
    <row r="57">
      <c r="A57" s="342">
        <v>56.0</v>
      </c>
      <c r="B57" s="341">
        <v>100.0</v>
      </c>
      <c r="C57" s="341">
        <v>0.0</v>
      </c>
      <c r="D57" s="341">
        <v>0.1514272429</v>
      </c>
      <c r="E57" s="342">
        <v>0.004253205437</v>
      </c>
      <c r="F57" s="342">
        <v>-0.03737710656</v>
      </c>
      <c r="G57" s="342">
        <v>0.1888043495</v>
      </c>
      <c r="H57" s="342">
        <v>0.6254267188</v>
      </c>
      <c r="I57" s="343"/>
      <c r="J57" s="342" t="s">
        <v>1533</v>
      </c>
      <c r="K57" s="342" t="s">
        <v>287</v>
      </c>
      <c r="L57" s="342" t="s">
        <v>1380</v>
      </c>
      <c r="M57" s="342" t="s">
        <v>1534</v>
      </c>
      <c r="N57" s="343"/>
      <c r="O57" s="342" t="s">
        <v>1378</v>
      </c>
      <c r="P57" s="343"/>
      <c r="Q57" s="342">
        <v>4.0</v>
      </c>
      <c r="R57" s="342" t="s">
        <v>1535</v>
      </c>
      <c r="S57" s="342" t="s">
        <v>1370</v>
      </c>
      <c r="T57" s="342">
        <v>77.0</v>
      </c>
      <c r="U57" s="342">
        <v>16.0</v>
      </c>
      <c r="V57" s="342">
        <v>32.0</v>
      </c>
      <c r="W57" s="341">
        <v>19.74415584</v>
      </c>
      <c r="X57" s="5">
        <v>2.770519481</v>
      </c>
      <c r="Y57" s="5">
        <v>2.911948052</v>
      </c>
      <c r="Z57" s="5">
        <v>6.586623377</v>
      </c>
      <c r="AA57" s="5">
        <v>1.04</v>
      </c>
      <c r="AB57" s="5">
        <v>0.347012987</v>
      </c>
      <c r="AC57" s="5">
        <v>0.4303583476</v>
      </c>
      <c r="AD57" s="5">
        <v>16.36298701</v>
      </c>
      <c r="AE57" s="5">
        <v>0.8830112306</v>
      </c>
      <c r="AF57" s="5">
        <v>3.272597403</v>
      </c>
      <c r="AG57" s="5">
        <v>2.981298701</v>
      </c>
      <c r="AH57" s="5">
        <v>27.31792087</v>
      </c>
      <c r="AI57" s="5">
        <v>0.6449789036</v>
      </c>
      <c r="AJ57" s="5">
        <v>1.10837192</v>
      </c>
      <c r="AK57" s="5">
        <v>-1.150290367</v>
      </c>
      <c r="AL57" s="5">
        <v>1.325863728</v>
      </c>
      <c r="AM57" s="5">
        <v>0.3130581091</v>
      </c>
      <c r="AN57" s="5">
        <v>-0.6302399981</v>
      </c>
      <c r="AO57" s="5">
        <v>-1.439425199</v>
      </c>
      <c r="AP57" s="5">
        <v>1.039100847</v>
      </c>
      <c r="AQ57" s="5">
        <v>-1.547811903</v>
      </c>
    </row>
    <row r="58">
      <c r="A58" s="342">
        <v>57.0</v>
      </c>
      <c r="B58" s="341">
        <v>100.0</v>
      </c>
      <c r="C58" s="341">
        <v>0.0</v>
      </c>
      <c r="D58" s="341">
        <v>0.1312381714</v>
      </c>
      <c r="E58" s="342">
        <v>-0.01703043867</v>
      </c>
      <c r="F58" s="342">
        <v>0.1559477804</v>
      </c>
      <c r="G58" s="342">
        <v>-0.02470960895</v>
      </c>
      <c r="H58" s="342">
        <v>-2.563307421</v>
      </c>
      <c r="I58" s="343"/>
      <c r="J58" s="342" t="s">
        <v>1536</v>
      </c>
      <c r="K58" s="342" t="s">
        <v>222</v>
      </c>
      <c r="L58" s="342" t="s">
        <v>1404</v>
      </c>
      <c r="M58" s="342" t="s">
        <v>1537</v>
      </c>
      <c r="N58" s="343"/>
      <c r="O58" s="342" t="s">
        <v>1368</v>
      </c>
      <c r="P58" s="342" t="s">
        <v>1416</v>
      </c>
      <c r="Q58" s="342">
        <v>4.0</v>
      </c>
      <c r="R58" s="342" t="s">
        <v>1538</v>
      </c>
      <c r="S58" s="342" t="s">
        <v>1370</v>
      </c>
      <c r="T58" s="342">
        <v>73.0</v>
      </c>
      <c r="U58" s="342">
        <v>15.0</v>
      </c>
      <c r="V58" s="342">
        <v>34.0</v>
      </c>
      <c r="W58" s="341">
        <v>18.26835616</v>
      </c>
      <c r="X58" s="5">
        <v>1.421369863</v>
      </c>
      <c r="Y58" s="5">
        <v>6.942328767</v>
      </c>
      <c r="Z58" s="5">
        <v>3.50630137</v>
      </c>
      <c r="AA58" s="5">
        <v>0.9116438356</v>
      </c>
      <c r="AB58" s="5">
        <v>0.5609589041</v>
      </c>
      <c r="AC58" s="5">
        <v>0.4745752973</v>
      </c>
      <c r="AD58" s="5">
        <v>14.30493151</v>
      </c>
      <c r="AE58" s="5">
        <v>0.8790144372</v>
      </c>
      <c r="AF58" s="5">
        <v>3.719452055</v>
      </c>
      <c r="AG58" s="5">
        <v>1.47260274</v>
      </c>
      <c r="AH58" s="5">
        <v>22.392086</v>
      </c>
      <c r="AI58" s="5">
        <v>0.397210184</v>
      </c>
      <c r="AJ58" s="5">
        <v>-0.2161956362</v>
      </c>
      <c r="AK58" s="5">
        <v>0.4624442049</v>
      </c>
      <c r="AL58" s="5">
        <v>-0.09679820252</v>
      </c>
      <c r="AM58" s="5">
        <v>-0.09213549545</v>
      </c>
      <c r="AN58" s="5">
        <v>-0.2390728304</v>
      </c>
      <c r="AO58" s="5">
        <v>-0.2922312921</v>
      </c>
      <c r="AP58" s="5">
        <v>1.126684439</v>
      </c>
      <c r="AQ58" s="5">
        <v>0.353624652</v>
      </c>
    </row>
    <row r="59">
      <c r="A59" s="342">
        <v>58.0</v>
      </c>
      <c r="B59" s="341">
        <v>100.0</v>
      </c>
      <c r="C59" s="341">
        <v>0.0</v>
      </c>
      <c r="D59" s="341">
        <v>0.1269709149</v>
      </c>
      <c r="E59" s="342">
        <v>-0.04614586677</v>
      </c>
      <c r="F59" s="342">
        <v>0.05824241621</v>
      </c>
      <c r="G59" s="342">
        <v>0.06872849869</v>
      </c>
      <c r="H59" s="342">
        <v>-0.3730657897</v>
      </c>
      <c r="I59" s="343"/>
      <c r="J59" s="342" t="s">
        <v>1539</v>
      </c>
      <c r="K59" s="342" t="s">
        <v>243</v>
      </c>
      <c r="L59" s="342" t="s">
        <v>1413</v>
      </c>
      <c r="M59" s="342" t="s">
        <v>1540</v>
      </c>
      <c r="N59" s="343"/>
      <c r="O59" s="342" t="s">
        <v>1374</v>
      </c>
      <c r="P59" s="343"/>
      <c r="Q59" s="342">
        <v>1.0</v>
      </c>
      <c r="R59" s="342" t="s">
        <v>1508</v>
      </c>
      <c r="S59" s="342" t="s">
        <v>1370</v>
      </c>
      <c r="T59" s="342">
        <v>68.0</v>
      </c>
      <c r="U59" s="342">
        <v>13.0</v>
      </c>
      <c r="V59" s="342">
        <v>35.0</v>
      </c>
      <c r="W59" s="341">
        <v>21.37235294</v>
      </c>
      <c r="X59" s="5">
        <v>2.576323529</v>
      </c>
      <c r="Y59" s="5">
        <v>4.787647059</v>
      </c>
      <c r="Z59" s="5">
        <v>3.858823529</v>
      </c>
      <c r="AA59" s="5">
        <v>0.8577941176</v>
      </c>
      <c r="AB59" s="5">
        <v>0.2857352941</v>
      </c>
      <c r="AC59" s="5">
        <v>0.4751739668</v>
      </c>
      <c r="AD59" s="5">
        <v>15.93441176</v>
      </c>
      <c r="AE59" s="5">
        <v>0.8489934033</v>
      </c>
      <c r="AF59" s="5">
        <v>4.3025</v>
      </c>
      <c r="AG59" s="5">
        <v>2.143235294</v>
      </c>
      <c r="AH59" s="5">
        <v>25.10671282</v>
      </c>
      <c r="AI59" s="5">
        <v>0.918333286</v>
      </c>
      <c r="AJ59" s="5">
        <v>0.917714299</v>
      </c>
      <c r="AK59" s="5">
        <v>-0.399739774</v>
      </c>
      <c r="AL59" s="5">
        <v>0.06601589772</v>
      </c>
      <c r="AM59" s="5">
        <v>-0.2621278089</v>
      </c>
      <c r="AN59" s="5">
        <v>-0.7422768245</v>
      </c>
      <c r="AO59" s="5">
        <v>-0.309885639</v>
      </c>
      <c r="AP59" s="5">
        <v>0.8277338829</v>
      </c>
      <c r="AQ59" s="5">
        <v>-0.4915855733</v>
      </c>
    </row>
    <row r="60">
      <c r="A60" s="342">
        <v>59.0</v>
      </c>
      <c r="B60" s="341">
        <v>100.0</v>
      </c>
      <c r="C60" s="341">
        <v>0.0</v>
      </c>
      <c r="D60" s="341">
        <v>0.1250478738</v>
      </c>
      <c r="E60" s="342">
        <v>0.05163400266</v>
      </c>
      <c r="F60" s="342">
        <v>0.00188432344</v>
      </c>
      <c r="G60" s="342">
        <v>0.1231635504</v>
      </c>
      <c r="H60" s="342">
        <v>0.4804842579</v>
      </c>
      <c r="I60" s="343"/>
      <c r="J60" s="342" t="s">
        <v>1541</v>
      </c>
      <c r="K60" s="342" t="s">
        <v>148</v>
      </c>
      <c r="L60" s="342" t="s">
        <v>1380</v>
      </c>
      <c r="M60" s="342" t="s">
        <v>1542</v>
      </c>
      <c r="N60" s="343"/>
      <c r="O60" s="342" t="s">
        <v>1368</v>
      </c>
      <c r="P60" s="343"/>
      <c r="Q60" s="342">
        <v>4.0</v>
      </c>
      <c r="R60" s="342" t="s">
        <v>1543</v>
      </c>
      <c r="S60" s="342" t="s">
        <v>1370</v>
      </c>
      <c r="T60" s="342">
        <v>66.0</v>
      </c>
      <c r="U60" s="342">
        <v>15.0</v>
      </c>
      <c r="V60" s="342">
        <v>31.0</v>
      </c>
      <c r="W60" s="341">
        <v>21.09242424</v>
      </c>
      <c r="X60" s="5">
        <v>1.707121212</v>
      </c>
      <c r="Y60" s="5">
        <v>2.870151515</v>
      </c>
      <c r="Z60" s="5">
        <v>6.066363636</v>
      </c>
      <c r="AA60" s="5">
        <v>0.9198484848</v>
      </c>
      <c r="AB60" s="5">
        <v>0.2596969697</v>
      </c>
      <c r="AC60" s="5">
        <v>0.4962002503</v>
      </c>
      <c r="AD60" s="5">
        <v>15.13257576</v>
      </c>
      <c r="AE60" s="5">
        <v>0.83899415</v>
      </c>
      <c r="AF60" s="5">
        <v>5.205909091</v>
      </c>
      <c r="AG60" s="5">
        <v>2.533484848</v>
      </c>
      <c r="AH60" s="5">
        <v>27.4593613</v>
      </c>
      <c r="AI60" s="5">
        <v>0.8713366805</v>
      </c>
      <c r="AJ60" s="5">
        <v>0.06434920571</v>
      </c>
      <c r="AK60" s="5">
        <v>-1.16701502</v>
      </c>
      <c r="AL60" s="5">
        <v>1.085579197</v>
      </c>
      <c r="AM60" s="5">
        <v>-0.06623513131</v>
      </c>
      <c r="AN60" s="5">
        <v>-0.7898838916</v>
      </c>
      <c r="AO60" s="5">
        <v>0.1918371956</v>
      </c>
      <c r="AP60" s="5">
        <v>0.8104147537</v>
      </c>
      <c r="AQ60" s="5">
        <v>-0.9834240795</v>
      </c>
    </row>
    <row r="61">
      <c r="A61" s="342">
        <v>60.0</v>
      </c>
      <c r="B61" s="341">
        <v>100.0</v>
      </c>
      <c r="C61" s="341">
        <v>0.0</v>
      </c>
      <c r="D61" s="341">
        <v>0.1225152465</v>
      </c>
      <c r="E61" s="342">
        <v>-3.27050605E-4</v>
      </c>
      <c r="F61" s="342">
        <v>0.1639624306</v>
      </c>
      <c r="G61" s="342">
        <v>-0.041447184</v>
      </c>
      <c r="H61" s="342">
        <v>0.609322001</v>
      </c>
      <c r="I61" s="343"/>
      <c r="J61" s="342" t="s">
        <v>1544</v>
      </c>
      <c r="K61" s="342" t="s">
        <v>110</v>
      </c>
      <c r="L61" s="342" t="s">
        <v>34</v>
      </c>
      <c r="M61" s="342" t="s">
        <v>1545</v>
      </c>
      <c r="N61" s="343"/>
      <c r="O61" s="342" t="s">
        <v>1368</v>
      </c>
      <c r="P61" s="342" t="s">
        <v>1399</v>
      </c>
      <c r="Q61" s="342">
        <v>5.0</v>
      </c>
      <c r="R61" s="342" t="s">
        <v>1546</v>
      </c>
      <c r="S61" s="342" t="s">
        <v>1370</v>
      </c>
      <c r="T61" s="342">
        <v>73.0</v>
      </c>
      <c r="U61" s="342">
        <v>16.0</v>
      </c>
      <c r="V61" s="342">
        <v>32.0</v>
      </c>
      <c r="W61" s="341">
        <v>16.19958904</v>
      </c>
      <c r="X61" s="5">
        <v>0.01479452055</v>
      </c>
      <c r="Y61" s="5">
        <v>10.3360274</v>
      </c>
      <c r="Z61" s="5">
        <v>2.447945205</v>
      </c>
      <c r="AA61" s="5">
        <v>0.61</v>
      </c>
      <c r="AB61" s="5">
        <v>1.022328767</v>
      </c>
      <c r="AC61" s="5">
        <v>0.6408925389</v>
      </c>
      <c r="AD61" s="5">
        <v>10.60849315</v>
      </c>
      <c r="AE61" s="5">
        <v>0.738994326</v>
      </c>
      <c r="AF61" s="5">
        <v>3.500684932</v>
      </c>
      <c r="AG61" s="5">
        <v>1.36</v>
      </c>
      <c r="AH61" s="5">
        <v>18.23947858</v>
      </c>
      <c r="AI61" s="5">
        <v>0.04988948174</v>
      </c>
      <c r="AJ61" s="5">
        <v>-1.597142597</v>
      </c>
      <c r="AK61" s="5">
        <v>1.820413958</v>
      </c>
      <c r="AL61" s="5">
        <v>-0.5856052235</v>
      </c>
      <c r="AM61" s="5">
        <v>-1.044362088</v>
      </c>
      <c r="AN61" s="5">
        <v>0.6044709261</v>
      </c>
      <c r="AO61" s="5">
        <v>2.479144447</v>
      </c>
      <c r="AP61" s="5">
        <v>-0.7466869318</v>
      </c>
      <c r="AQ61" s="5">
        <v>0.4955399026</v>
      </c>
    </row>
    <row r="62">
      <c r="A62" s="342">
        <v>61.0</v>
      </c>
      <c r="B62" s="341">
        <v>100.0</v>
      </c>
      <c r="C62" s="341">
        <v>0.0</v>
      </c>
      <c r="D62" s="341">
        <v>0.1192219974</v>
      </c>
      <c r="E62" s="342">
        <v>-0.002758846101</v>
      </c>
      <c r="F62" s="342">
        <v>0.149832272</v>
      </c>
      <c r="G62" s="342">
        <v>-0.03061027463</v>
      </c>
      <c r="H62" s="342">
        <v>1.30182487</v>
      </c>
      <c r="I62" s="343"/>
      <c r="J62" s="342" t="s">
        <v>1547</v>
      </c>
      <c r="K62" s="342" t="s">
        <v>1421</v>
      </c>
      <c r="L62" s="342" t="s">
        <v>1413</v>
      </c>
      <c r="M62" s="342" t="s">
        <v>1548</v>
      </c>
      <c r="N62" s="343"/>
      <c r="O62" s="342" t="s">
        <v>1378</v>
      </c>
      <c r="P62" s="342" t="s">
        <v>1423</v>
      </c>
      <c r="Q62" s="342">
        <v>2.0</v>
      </c>
      <c r="R62" s="342" t="s">
        <v>1543</v>
      </c>
      <c r="S62" s="342" t="s">
        <v>1370</v>
      </c>
      <c r="T62" s="342">
        <v>80.0</v>
      </c>
      <c r="U62" s="342">
        <v>15.0</v>
      </c>
      <c r="V62" s="342">
        <v>36.0</v>
      </c>
      <c r="W62" s="341">
        <v>19.004625</v>
      </c>
      <c r="X62" s="5">
        <v>3.184875</v>
      </c>
      <c r="Y62" s="5">
        <v>4.464</v>
      </c>
      <c r="Z62" s="5">
        <v>3.168</v>
      </c>
      <c r="AA62" s="5">
        <v>1.152</v>
      </c>
      <c r="AB62" s="5">
        <v>0.504</v>
      </c>
      <c r="AC62" s="5">
        <v>0.4476619441</v>
      </c>
      <c r="AD62" s="5">
        <v>15.26375</v>
      </c>
      <c r="AE62" s="5">
        <v>0.8300014452</v>
      </c>
      <c r="AF62" s="5">
        <v>2.594875</v>
      </c>
      <c r="AG62" s="5">
        <v>1.44</v>
      </c>
      <c r="AH62" s="5">
        <v>22.12292911</v>
      </c>
      <c r="AI62" s="5">
        <v>0.5208207181</v>
      </c>
      <c r="AJ62" s="5">
        <v>1.515177711</v>
      </c>
      <c r="AK62" s="5">
        <v>-0.5292453561</v>
      </c>
      <c r="AL62" s="5">
        <v>-0.2530443608</v>
      </c>
      <c r="AM62" s="5">
        <v>0.6666187186</v>
      </c>
      <c r="AN62" s="5">
        <v>-0.3432134165</v>
      </c>
      <c r="AO62" s="5">
        <v>-0.9394321106</v>
      </c>
      <c r="AP62" s="5">
        <v>0.3160940748</v>
      </c>
      <c r="AQ62" s="5">
        <v>0.3947144691</v>
      </c>
    </row>
    <row r="63">
      <c r="A63" s="342">
        <v>62.0</v>
      </c>
      <c r="B63" s="341">
        <v>100.0</v>
      </c>
      <c r="C63" s="341">
        <v>0.0</v>
      </c>
      <c r="D63" s="341">
        <v>0.1116087474</v>
      </c>
      <c r="E63" s="342">
        <v>6.225702353E-4</v>
      </c>
      <c r="F63" s="342">
        <v>0.135449319</v>
      </c>
      <c r="G63" s="342">
        <v>-0.0238405716</v>
      </c>
      <c r="H63" s="342">
        <v>-0.1475997394</v>
      </c>
      <c r="I63" s="343"/>
      <c r="J63" s="342" t="s">
        <v>1549</v>
      </c>
      <c r="K63" s="342" t="s">
        <v>89</v>
      </c>
      <c r="L63" s="342" t="s">
        <v>34</v>
      </c>
      <c r="M63" s="342" t="s">
        <v>1550</v>
      </c>
      <c r="N63" s="343"/>
      <c r="O63" s="342" t="s">
        <v>1368</v>
      </c>
      <c r="P63" s="342" t="s">
        <v>1551</v>
      </c>
      <c r="Q63" s="342">
        <v>5.0</v>
      </c>
      <c r="R63" s="342" t="s">
        <v>1521</v>
      </c>
      <c r="S63" s="342" t="s">
        <v>1370</v>
      </c>
      <c r="T63" s="342">
        <v>73.0</v>
      </c>
      <c r="U63" s="342">
        <v>14.0</v>
      </c>
      <c r="V63" s="342">
        <v>28.0</v>
      </c>
      <c r="W63" s="341">
        <v>17.50863014</v>
      </c>
      <c r="X63" s="5">
        <v>1.77260274</v>
      </c>
      <c r="Y63" s="5">
        <v>7.330136986</v>
      </c>
      <c r="Z63" s="5">
        <v>1.414109589</v>
      </c>
      <c r="AA63" s="5">
        <v>0.4806849315</v>
      </c>
      <c r="AB63" s="5">
        <v>2.042876712</v>
      </c>
      <c r="AC63" s="5">
        <v>0.5184559093</v>
      </c>
      <c r="AD63" s="5">
        <v>12.31739726</v>
      </c>
      <c r="AE63" s="5">
        <v>0.7519897126</v>
      </c>
      <c r="AF63" s="5">
        <v>3.941506849</v>
      </c>
      <c r="AG63" s="5">
        <v>1.494383562</v>
      </c>
      <c r="AH63" s="5">
        <v>23.50850545</v>
      </c>
      <c r="AI63" s="5">
        <v>0.2696614743</v>
      </c>
      <c r="AJ63" s="5">
        <v>0.1286376329</v>
      </c>
      <c r="AK63" s="5">
        <v>0.6176235208</v>
      </c>
      <c r="AL63" s="5">
        <v>-1.063087308</v>
      </c>
      <c r="AM63" s="5">
        <v>-1.452582753</v>
      </c>
      <c r="AN63" s="5">
        <v>2.470385708</v>
      </c>
      <c r="AO63" s="5">
        <v>0.5736675158</v>
      </c>
      <c r="AP63" s="5">
        <v>-0.6514358115</v>
      </c>
      <c r="AQ63" s="5">
        <v>0.3261738918</v>
      </c>
    </row>
    <row r="64">
      <c r="A64" s="342">
        <v>63.0</v>
      </c>
      <c r="B64" s="341">
        <v>100.0</v>
      </c>
      <c r="C64" s="341">
        <v>0.0</v>
      </c>
      <c r="D64" s="341">
        <v>0.09323440504</v>
      </c>
      <c r="E64" s="342">
        <v>-0.003494071878</v>
      </c>
      <c r="F64" s="342">
        <v>0.03285097388</v>
      </c>
      <c r="G64" s="342">
        <v>0.06038343117</v>
      </c>
      <c r="H64" s="342">
        <v>0.3033323613</v>
      </c>
      <c r="I64" s="343"/>
      <c r="J64" s="342" t="s">
        <v>1552</v>
      </c>
      <c r="K64" s="342" t="s">
        <v>63</v>
      </c>
      <c r="L64" s="342" t="s">
        <v>1380</v>
      </c>
      <c r="M64" s="342" t="s">
        <v>1553</v>
      </c>
      <c r="N64" s="343"/>
      <c r="O64" s="342" t="s">
        <v>1368</v>
      </c>
      <c r="P64" s="342" t="s">
        <v>1551</v>
      </c>
      <c r="Q64" s="342">
        <v>5.0</v>
      </c>
      <c r="R64" s="342" t="s">
        <v>1535</v>
      </c>
      <c r="S64" s="342" t="s">
        <v>1370</v>
      </c>
      <c r="T64" s="342">
        <v>73.0</v>
      </c>
      <c r="U64" s="342">
        <v>13.0</v>
      </c>
      <c r="V64" s="342">
        <v>34.0</v>
      </c>
      <c r="W64" s="341">
        <v>17.59767123</v>
      </c>
      <c r="X64" s="5">
        <v>3.184794521</v>
      </c>
      <c r="Y64" s="5">
        <v>3.395753425</v>
      </c>
      <c r="Z64" s="5">
        <v>6.177808219</v>
      </c>
      <c r="AA64" s="5">
        <v>0.9278082192</v>
      </c>
      <c r="AB64" s="5">
        <v>0.437260274</v>
      </c>
      <c r="AC64" s="5">
        <v>0.43945023</v>
      </c>
      <c r="AD64" s="5">
        <v>14.23260274</v>
      </c>
      <c r="AE64" s="5">
        <v>0.8360202117</v>
      </c>
      <c r="AF64" s="5">
        <v>2.277260274</v>
      </c>
      <c r="AG64" s="5">
        <v>2.110410959</v>
      </c>
      <c r="AH64" s="5">
        <v>21.96018254</v>
      </c>
      <c r="AI64" s="5">
        <v>0.2846103854</v>
      </c>
      <c r="AJ64" s="5">
        <v>1.515098698</v>
      </c>
      <c r="AK64" s="5">
        <v>-0.9566983202</v>
      </c>
      <c r="AL64" s="5">
        <v>1.137050428</v>
      </c>
      <c r="AM64" s="5">
        <v>-0.04110791237</v>
      </c>
      <c r="AN64" s="5">
        <v>-0.4652367295</v>
      </c>
      <c r="AO64" s="5">
        <v>-1.055322216</v>
      </c>
      <c r="AP64" s="5">
        <v>0.3274809065</v>
      </c>
      <c r="AQ64" s="5">
        <v>-0.4502164754</v>
      </c>
    </row>
    <row r="65">
      <c r="A65" s="342">
        <v>64.0</v>
      </c>
      <c r="B65" s="341">
        <v>100.0</v>
      </c>
      <c r="C65" s="341">
        <v>0.0</v>
      </c>
      <c r="D65" s="341">
        <v>0.08330053242</v>
      </c>
      <c r="E65" s="342">
        <v>0.005149063546</v>
      </c>
      <c r="F65" s="342">
        <v>0.02933453404</v>
      </c>
      <c r="G65" s="342">
        <v>0.05396599839</v>
      </c>
      <c r="H65" s="342">
        <v>0.609322001</v>
      </c>
      <c r="I65" s="343"/>
      <c r="J65" s="342" t="s">
        <v>1554</v>
      </c>
      <c r="K65" s="342" t="s">
        <v>291</v>
      </c>
      <c r="L65" s="342" t="s">
        <v>1413</v>
      </c>
      <c r="M65" s="342" t="s">
        <v>1555</v>
      </c>
      <c r="N65" s="343"/>
      <c r="O65" s="342" t="s">
        <v>1368</v>
      </c>
      <c r="P65" s="342" t="s">
        <v>1513</v>
      </c>
      <c r="Q65" s="342">
        <v>3.0</v>
      </c>
      <c r="R65" s="342" t="s">
        <v>1543</v>
      </c>
      <c r="S65" s="342" t="s">
        <v>1370</v>
      </c>
      <c r="T65" s="342">
        <v>73.0</v>
      </c>
      <c r="U65" s="342">
        <v>15.0</v>
      </c>
      <c r="V65" s="342">
        <v>34.0</v>
      </c>
      <c r="W65" s="341">
        <v>26.6839726</v>
      </c>
      <c r="X65" s="5">
        <v>2.650136986</v>
      </c>
      <c r="Y65" s="5">
        <v>3.648630137</v>
      </c>
      <c r="Z65" s="5">
        <v>3.648630137</v>
      </c>
      <c r="AA65" s="5">
        <v>0.7884931507</v>
      </c>
      <c r="AB65" s="5">
        <v>0.2143835616</v>
      </c>
      <c r="AC65" s="5">
        <v>0.4314966784</v>
      </c>
      <c r="AD65" s="5">
        <v>21.03287671</v>
      </c>
      <c r="AE65" s="5">
        <v>0.8739976391</v>
      </c>
      <c r="AF65" s="5">
        <v>6.730684932</v>
      </c>
      <c r="AG65" s="5">
        <v>2.072465753</v>
      </c>
      <c r="AH65" s="5">
        <v>32.57865847</v>
      </c>
      <c r="AI65" s="5">
        <v>1.810089275</v>
      </c>
      <c r="AJ65" s="5">
        <v>0.9901828444</v>
      </c>
      <c r="AK65" s="5">
        <v>-0.8555111011</v>
      </c>
      <c r="AL65" s="5">
        <v>-0.03106295856</v>
      </c>
      <c r="AM65" s="5">
        <v>-0.4808964885</v>
      </c>
      <c r="AN65" s="5">
        <v>-0.8727324812</v>
      </c>
      <c r="AO65" s="5">
        <v>-1.810994128</v>
      </c>
      <c r="AP65" s="5">
        <v>1.917329298</v>
      </c>
      <c r="AQ65" s="5">
        <v>-0.402393453</v>
      </c>
    </row>
    <row r="66">
      <c r="A66" s="342">
        <v>65.0</v>
      </c>
      <c r="B66" s="341">
        <v>100.0</v>
      </c>
      <c r="C66" s="341">
        <v>0.0</v>
      </c>
      <c r="D66" s="341">
        <v>0.08224459176</v>
      </c>
      <c r="E66" s="342">
        <v>0.002527843425</v>
      </c>
      <c r="F66" s="342">
        <v>0.2376170907</v>
      </c>
      <c r="G66" s="342">
        <v>-0.1553724989</v>
      </c>
      <c r="H66" s="342">
        <v>-0.4696940969</v>
      </c>
      <c r="I66" s="343"/>
      <c r="J66" s="342" t="s">
        <v>1556</v>
      </c>
      <c r="K66" s="342" t="s">
        <v>1471</v>
      </c>
      <c r="L66" s="342" t="s">
        <v>1404</v>
      </c>
      <c r="M66" s="342" t="s">
        <v>1557</v>
      </c>
      <c r="N66" s="342" t="s">
        <v>1558</v>
      </c>
      <c r="O66" s="342" t="s">
        <v>1368</v>
      </c>
      <c r="P66" s="342" t="s">
        <v>1501</v>
      </c>
      <c r="Q66" s="342">
        <v>2.0</v>
      </c>
      <c r="R66" s="342" t="s">
        <v>1559</v>
      </c>
      <c r="S66" s="342" t="s">
        <v>1560</v>
      </c>
      <c r="T66" s="342">
        <v>69.0</v>
      </c>
      <c r="U66" s="342">
        <v>16.0</v>
      </c>
      <c r="V66" s="342">
        <v>31.0</v>
      </c>
      <c r="W66" s="341">
        <v>16.47492754</v>
      </c>
      <c r="X66" s="5">
        <v>3.33884058</v>
      </c>
      <c r="Y66" s="5">
        <v>5.754347826</v>
      </c>
      <c r="Z66" s="5">
        <v>2.045942029</v>
      </c>
      <c r="AA66" s="5">
        <v>1.013913043</v>
      </c>
      <c r="AB66" s="5">
        <v>0.4475362319</v>
      </c>
      <c r="AC66" s="5">
        <v>0.4493969521</v>
      </c>
      <c r="AD66" s="5">
        <v>11.76391304</v>
      </c>
      <c r="AE66" s="5">
        <v>0.8500216315</v>
      </c>
      <c r="AF66" s="5">
        <v>3.014927536</v>
      </c>
      <c r="AG66" s="5">
        <v>0.5784057971</v>
      </c>
      <c r="AH66" s="5">
        <v>19.39259435</v>
      </c>
      <c r="AI66" s="5">
        <v>0.09611544812</v>
      </c>
      <c r="AJ66" s="5">
        <v>1.666337975</v>
      </c>
      <c r="AK66" s="5">
        <v>-0.01291980394</v>
      </c>
      <c r="AL66" s="5">
        <v>-0.7712723757</v>
      </c>
      <c r="AM66" s="5">
        <v>0.2307070355</v>
      </c>
      <c r="AN66" s="5">
        <v>-0.4464487226</v>
      </c>
      <c r="AO66" s="5">
        <v>-0.6949196284</v>
      </c>
      <c r="AP66" s="5">
        <v>0.5903568063</v>
      </c>
      <c r="AQ66" s="5">
        <v>1.480597082</v>
      </c>
    </row>
    <row r="67">
      <c r="A67" s="342">
        <v>66.0</v>
      </c>
      <c r="B67" s="341">
        <v>100.0</v>
      </c>
      <c r="C67" s="341">
        <v>0.0</v>
      </c>
      <c r="D67" s="341">
        <v>0.069497982</v>
      </c>
      <c r="E67" s="342">
        <v>-0.01207040721</v>
      </c>
      <c r="F67" s="342">
        <v>-0.002626514527</v>
      </c>
      <c r="G67" s="342">
        <v>0.07212449653</v>
      </c>
      <c r="H67" s="342">
        <v>-1.017254505</v>
      </c>
      <c r="I67" s="343"/>
      <c r="J67" s="342" t="s">
        <v>1561</v>
      </c>
      <c r="K67" s="342" t="s">
        <v>222</v>
      </c>
      <c r="L67" s="342" t="s">
        <v>34</v>
      </c>
      <c r="M67" s="342" t="s">
        <v>1562</v>
      </c>
      <c r="N67" s="343"/>
      <c r="O67" s="342" t="s">
        <v>1374</v>
      </c>
      <c r="P67" s="343"/>
      <c r="Q67" s="342">
        <v>2.0</v>
      </c>
      <c r="R67" s="342" t="s">
        <v>1521</v>
      </c>
      <c r="S67" s="342" t="s">
        <v>1370</v>
      </c>
      <c r="T67" s="342">
        <v>68.0</v>
      </c>
      <c r="U67" s="342">
        <v>15.0</v>
      </c>
      <c r="V67" s="342">
        <v>29.0</v>
      </c>
      <c r="W67" s="341">
        <v>12.98647059</v>
      </c>
      <c r="X67" s="5">
        <v>0.0</v>
      </c>
      <c r="Y67" s="5">
        <v>11.42411765</v>
      </c>
      <c r="Z67" s="5">
        <v>2.262941176</v>
      </c>
      <c r="AA67" s="5">
        <v>0.6036764706</v>
      </c>
      <c r="AB67" s="5">
        <v>0.8373529412</v>
      </c>
      <c r="AC67" s="5">
        <v>0.6229925716</v>
      </c>
      <c r="AD67" s="5">
        <v>8.314705882</v>
      </c>
      <c r="AE67" s="5">
        <v>0.8100140596</v>
      </c>
      <c r="AF67" s="5">
        <v>3.2425</v>
      </c>
      <c r="AG67" s="5">
        <v>2.213088235</v>
      </c>
      <c r="AH67" s="5">
        <v>18.0221173</v>
      </c>
      <c r="AI67" s="5">
        <v>-0.4895538152</v>
      </c>
      <c r="AJ67" s="5">
        <v>-1.611667555</v>
      </c>
      <c r="AK67" s="5">
        <v>2.255807259</v>
      </c>
      <c r="AL67" s="5">
        <v>-0.6710502479</v>
      </c>
      <c r="AM67" s="5">
        <v>-1.06432415</v>
      </c>
      <c r="AN67" s="5">
        <v>0.2662711095</v>
      </c>
      <c r="AO67" s="5">
        <v>1.713507182</v>
      </c>
      <c r="AP67" s="5">
        <v>0.1569940737</v>
      </c>
      <c r="AQ67" s="5">
        <v>-0.5796224867</v>
      </c>
    </row>
    <row r="68">
      <c r="A68" s="342">
        <v>67.0</v>
      </c>
      <c r="B68" s="341">
        <v>100.0</v>
      </c>
      <c r="C68" s="341">
        <v>0.0</v>
      </c>
      <c r="D68" s="341">
        <v>0.06933523348</v>
      </c>
      <c r="E68" s="342">
        <v>0.003262465747</v>
      </c>
      <c r="F68" s="342">
        <v>0.04453192894</v>
      </c>
      <c r="G68" s="342">
        <v>0.02480330454</v>
      </c>
      <c r="H68" s="342">
        <v>-0.3408563539</v>
      </c>
      <c r="I68" s="343"/>
      <c r="J68" s="342" t="s">
        <v>1563</v>
      </c>
      <c r="K68" s="342" t="s">
        <v>236</v>
      </c>
      <c r="L68" s="342" t="s">
        <v>1380</v>
      </c>
      <c r="M68" s="342" t="s">
        <v>1564</v>
      </c>
      <c r="N68" s="343"/>
      <c r="O68" s="342" t="s">
        <v>1374</v>
      </c>
      <c r="P68" s="342" t="s">
        <v>1501</v>
      </c>
      <c r="Q68" s="342">
        <v>3.0</v>
      </c>
      <c r="R68" s="342" t="s">
        <v>1535</v>
      </c>
      <c r="S68" s="342" t="s">
        <v>1370</v>
      </c>
      <c r="T68" s="342">
        <v>68.0</v>
      </c>
      <c r="U68" s="342">
        <v>13.0</v>
      </c>
      <c r="V68" s="342">
        <v>29.0</v>
      </c>
      <c r="W68" s="341">
        <v>13.48</v>
      </c>
      <c r="X68" s="5">
        <v>2.01</v>
      </c>
      <c r="Y68" s="5">
        <v>3.398970588</v>
      </c>
      <c r="Z68" s="5">
        <v>4.453970588</v>
      </c>
      <c r="AA68" s="5">
        <v>1.540441176</v>
      </c>
      <c r="AB68" s="5">
        <v>0.64</v>
      </c>
      <c r="AC68" s="5">
        <v>0.4743023035</v>
      </c>
      <c r="AD68" s="5">
        <v>10.08044118</v>
      </c>
      <c r="AE68" s="5">
        <v>0.7570028011</v>
      </c>
      <c r="AF68" s="5">
        <v>2.52</v>
      </c>
      <c r="AG68" s="5">
        <v>1.875294118</v>
      </c>
      <c r="AH68" s="5">
        <v>20.07327119</v>
      </c>
      <c r="AI68" s="5">
        <v>-0.4066962621</v>
      </c>
      <c r="AJ68" s="5">
        <v>0.3617094174</v>
      </c>
      <c r="AK68" s="5">
        <v>-0.9554109899</v>
      </c>
      <c r="AL68" s="5">
        <v>0.3408875058</v>
      </c>
      <c r="AM68" s="5">
        <v>1.892846389</v>
      </c>
      <c r="AN68" s="5">
        <v>-0.09455835665</v>
      </c>
      <c r="AO68" s="5">
        <v>-0.2128488146</v>
      </c>
      <c r="AP68" s="5">
        <v>-0.3712470215</v>
      </c>
      <c r="AQ68" s="5">
        <v>-0.1538945074</v>
      </c>
    </row>
    <row r="69">
      <c r="A69" s="342">
        <v>68.0</v>
      </c>
      <c r="B69" s="341">
        <v>99.0</v>
      </c>
      <c r="C69" s="341">
        <v>0.1</v>
      </c>
      <c r="D69" s="341">
        <v>0.05885823741</v>
      </c>
      <c r="E69" s="342">
        <v>1.512499358E-4</v>
      </c>
      <c r="F69" s="342">
        <v>0.0981731592</v>
      </c>
      <c r="G69" s="342">
        <v>-0.03931492179</v>
      </c>
      <c r="H69" s="342">
        <v>-1.919118706</v>
      </c>
      <c r="I69" s="343"/>
      <c r="J69" s="342" t="s">
        <v>1565</v>
      </c>
      <c r="K69" s="342" t="s">
        <v>45</v>
      </c>
      <c r="L69" s="342" t="s">
        <v>1380</v>
      </c>
      <c r="M69" s="342" t="s">
        <v>1566</v>
      </c>
      <c r="N69" s="343"/>
      <c r="O69" s="342" t="s">
        <v>1374</v>
      </c>
      <c r="P69" s="342" t="s">
        <v>1567</v>
      </c>
      <c r="Q69" s="342">
        <v>3.0</v>
      </c>
      <c r="R69" s="342" t="s">
        <v>1543</v>
      </c>
      <c r="S69" s="342" t="s">
        <v>1560</v>
      </c>
      <c r="T69" s="342">
        <v>68.0</v>
      </c>
      <c r="U69" s="342">
        <v>16.0</v>
      </c>
      <c r="V69" s="342">
        <v>28.0</v>
      </c>
      <c r="W69" s="341">
        <v>8.978088235</v>
      </c>
      <c r="X69" s="5">
        <v>1.822647059</v>
      </c>
      <c r="Y69" s="5">
        <v>3.770735294</v>
      </c>
      <c r="Z69" s="5">
        <v>3.829558824</v>
      </c>
      <c r="AA69" s="5">
        <v>1.8</v>
      </c>
      <c r="AB69" s="5">
        <v>0.7658823529</v>
      </c>
      <c r="AC69" s="5">
        <v>0.4395757015</v>
      </c>
      <c r="AD69" s="5">
        <v>7.306176471</v>
      </c>
      <c r="AE69" s="5">
        <v>0.7709817281</v>
      </c>
      <c r="AF69" s="5">
        <v>0.9497058824</v>
      </c>
      <c r="AG69" s="5">
        <v>1.425735294</v>
      </c>
      <c r="AH69" s="5">
        <v>14.2425585</v>
      </c>
      <c r="AI69" s="5">
        <v>-1.162512196</v>
      </c>
      <c r="AJ69" s="5">
        <v>0.1777701239</v>
      </c>
      <c r="AK69" s="5">
        <v>-0.8066513972</v>
      </c>
      <c r="AL69" s="5">
        <v>0.05249984879</v>
      </c>
      <c r="AM69" s="5">
        <v>2.712219388</v>
      </c>
      <c r="AN69" s="5">
        <v>0.1355981434</v>
      </c>
      <c r="AO69" s="5">
        <v>-0.5448039065</v>
      </c>
      <c r="AP69" s="5">
        <v>-0.09325410474</v>
      </c>
      <c r="AQ69" s="5">
        <v>0.4126925335</v>
      </c>
    </row>
    <row r="70">
      <c r="A70" s="342">
        <v>69.0</v>
      </c>
      <c r="B70" s="341">
        <v>100.0</v>
      </c>
      <c r="C70" s="341">
        <v>0.0</v>
      </c>
      <c r="D70" s="341">
        <v>0.05732801948</v>
      </c>
      <c r="E70" s="342">
        <v>-0.009278624326</v>
      </c>
      <c r="F70" s="342">
        <v>0.04404313586</v>
      </c>
      <c r="G70" s="342">
        <v>0.01328488362</v>
      </c>
      <c r="H70" s="342">
        <v>0.4804842579</v>
      </c>
      <c r="I70" s="343"/>
      <c r="J70" s="342" t="s">
        <v>1568</v>
      </c>
      <c r="K70" s="342" t="s">
        <v>136</v>
      </c>
      <c r="L70" s="342" t="s">
        <v>1404</v>
      </c>
      <c r="M70" s="342" t="s">
        <v>1569</v>
      </c>
      <c r="N70" s="343"/>
      <c r="O70" s="342" t="s">
        <v>1378</v>
      </c>
      <c r="P70" s="342" t="s">
        <v>1399</v>
      </c>
      <c r="Q70" s="342">
        <v>3.0</v>
      </c>
      <c r="R70" s="342" t="s">
        <v>1570</v>
      </c>
      <c r="S70" s="342" t="s">
        <v>1370</v>
      </c>
      <c r="T70" s="342">
        <v>74.0</v>
      </c>
      <c r="U70" s="342">
        <v>15.0</v>
      </c>
      <c r="V70" s="342">
        <v>35.0</v>
      </c>
      <c r="W70" s="341">
        <v>18.80608108</v>
      </c>
      <c r="X70" s="5">
        <v>2.032432432</v>
      </c>
      <c r="Y70" s="5">
        <v>7.285135135</v>
      </c>
      <c r="Z70" s="5">
        <v>3.079324324</v>
      </c>
      <c r="AA70" s="5">
        <v>0.8133783784</v>
      </c>
      <c r="AB70" s="5">
        <v>0.6759459459</v>
      </c>
      <c r="AC70" s="5">
        <v>0.4741350367</v>
      </c>
      <c r="AD70" s="5">
        <v>15.69743243</v>
      </c>
      <c r="AE70" s="5">
        <v>0.8019858807</v>
      </c>
      <c r="AF70" s="5">
        <v>2.354459459</v>
      </c>
      <c r="AG70" s="5">
        <v>1.802567568</v>
      </c>
      <c r="AH70" s="5">
        <v>22.32748778</v>
      </c>
      <c r="AI70" s="5">
        <v>0.487487622</v>
      </c>
      <c r="AJ70" s="5">
        <v>0.3837331217</v>
      </c>
      <c r="AK70" s="5">
        <v>0.5996162787</v>
      </c>
      <c r="AL70" s="5">
        <v>-0.2939996595</v>
      </c>
      <c r="AM70" s="5">
        <v>-0.4023390218</v>
      </c>
      <c r="AN70" s="5">
        <v>-0.02883672915</v>
      </c>
      <c r="AO70" s="5">
        <v>-0.3303538456</v>
      </c>
      <c r="AP70" s="5">
        <v>0.04331638951</v>
      </c>
      <c r="AQ70" s="5">
        <v>-0.06223593314</v>
      </c>
    </row>
    <row r="71">
      <c r="A71" s="342">
        <v>70.0</v>
      </c>
      <c r="B71" s="341">
        <v>100.0</v>
      </c>
      <c r="C71" s="341">
        <v>0.0</v>
      </c>
      <c r="D71" s="341">
        <v>0.0532916778</v>
      </c>
      <c r="E71" s="342">
        <v>-0.004788950213</v>
      </c>
      <c r="F71" s="342">
        <v>0.1258143503</v>
      </c>
      <c r="G71" s="342">
        <v>-0.07252267251</v>
      </c>
      <c r="H71" s="342">
        <v>0.09397102882</v>
      </c>
      <c r="I71" s="343"/>
      <c r="J71" s="342" t="s">
        <v>1571</v>
      </c>
      <c r="K71" s="342" t="s">
        <v>148</v>
      </c>
      <c r="L71" s="342" t="s">
        <v>34</v>
      </c>
      <c r="M71" s="342" t="s">
        <v>1572</v>
      </c>
      <c r="N71" s="343"/>
      <c r="O71" s="342" t="s">
        <v>1368</v>
      </c>
      <c r="P71" s="343"/>
      <c r="Q71" s="342">
        <v>2.0</v>
      </c>
      <c r="R71" s="342" t="s">
        <v>1573</v>
      </c>
      <c r="S71" s="342" t="s">
        <v>1370</v>
      </c>
      <c r="T71" s="342">
        <v>73.0</v>
      </c>
      <c r="U71" s="342">
        <v>15.0</v>
      </c>
      <c r="V71" s="342">
        <v>27.0</v>
      </c>
      <c r="W71" s="341">
        <v>9.348356164</v>
      </c>
      <c r="X71" s="5">
        <v>0.05712328767</v>
      </c>
      <c r="Y71" s="5">
        <v>8.805890411</v>
      </c>
      <c r="Z71" s="5">
        <v>1.306712329</v>
      </c>
      <c r="AA71" s="5">
        <v>0.5171232877</v>
      </c>
      <c r="AB71" s="5">
        <v>2.556575342</v>
      </c>
      <c r="AC71" s="5">
        <v>0.6835808675</v>
      </c>
      <c r="AD71" s="5">
        <v>6.022876712</v>
      </c>
      <c r="AE71" s="5">
        <v>0.650042123</v>
      </c>
      <c r="AF71" s="5">
        <v>1.626027397</v>
      </c>
      <c r="AG71" s="5">
        <v>1.193013699</v>
      </c>
      <c r="AH71" s="5">
        <v>12.52988809</v>
      </c>
      <c r="AI71" s="5">
        <v>-1.100348739</v>
      </c>
      <c r="AJ71" s="5">
        <v>-1.555585077</v>
      </c>
      <c r="AK71" s="5">
        <v>1.208138099</v>
      </c>
      <c r="AL71" s="5">
        <v>-1.112689263</v>
      </c>
      <c r="AM71" s="5">
        <v>-1.337554472</v>
      </c>
      <c r="AN71" s="5">
        <v>3.409604558</v>
      </c>
      <c r="AO71" s="5">
        <v>1.796734669</v>
      </c>
      <c r="AP71" s="5">
        <v>-0.8819663522</v>
      </c>
      <c r="AQ71" s="5">
        <v>0.7059957304</v>
      </c>
    </row>
    <row r="72">
      <c r="A72" s="342">
        <v>71.0</v>
      </c>
      <c r="B72" s="341">
        <v>100.0</v>
      </c>
      <c r="C72" s="341">
        <v>0.0</v>
      </c>
      <c r="D72" s="341">
        <v>0.05284382944</v>
      </c>
      <c r="E72" s="342">
        <v>0.002134570683</v>
      </c>
      <c r="F72" s="342">
        <v>-0.05856277401</v>
      </c>
      <c r="G72" s="342">
        <v>0.1114066035</v>
      </c>
      <c r="H72" s="342">
        <v>-0.5019035327</v>
      </c>
      <c r="I72" s="343"/>
      <c r="J72" s="342" t="s">
        <v>1574</v>
      </c>
      <c r="K72" s="342" t="s">
        <v>1396</v>
      </c>
      <c r="L72" s="342" t="s">
        <v>1366</v>
      </c>
      <c r="M72" s="342" t="s">
        <v>1575</v>
      </c>
      <c r="N72" s="343"/>
      <c r="O72" s="342" t="s">
        <v>1374</v>
      </c>
      <c r="P72" s="343"/>
      <c r="Q72" s="342">
        <v>4.0</v>
      </c>
      <c r="R72" s="342" t="s">
        <v>1570</v>
      </c>
      <c r="S72" s="342" t="s">
        <v>1370</v>
      </c>
      <c r="T72" s="342">
        <v>66.0</v>
      </c>
      <c r="U72" s="342">
        <v>14.0</v>
      </c>
      <c r="V72" s="342">
        <v>28.0</v>
      </c>
      <c r="W72" s="341">
        <v>8.276212121</v>
      </c>
      <c r="X72" s="5">
        <v>0.7610606061</v>
      </c>
      <c r="Y72" s="5">
        <v>7.35</v>
      </c>
      <c r="Z72" s="5">
        <v>6.416666667</v>
      </c>
      <c r="AA72" s="5">
        <v>1.109545455</v>
      </c>
      <c r="AB72" s="5">
        <v>0.8743939394</v>
      </c>
      <c r="AC72" s="5">
        <v>0.5117810761</v>
      </c>
      <c r="AD72" s="5">
        <v>6.533333333</v>
      </c>
      <c r="AE72" s="5">
        <v>0.7039422829</v>
      </c>
      <c r="AF72" s="5">
        <v>1.176060606</v>
      </c>
      <c r="AG72" s="5">
        <v>2.506818182</v>
      </c>
      <c r="AH72" s="5">
        <v>14.63252226</v>
      </c>
      <c r="AI72" s="5">
        <v>-1.280348613</v>
      </c>
      <c r="AJ72" s="5">
        <v>-0.8644737867</v>
      </c>
      <c r="AK72" s="5">
        <v>0.6255715959</v>
      </c>
      <c r="AL72" s="5">
        <v>1.247368382</v>
      </c>
      <c r="AM72" s="5">
        <v>0.532598585</v>
      </c>
      <c r="AN72" s="5">
        <v>0.3339948714</v>
      </c>
      <c r="AO72" s="5">
        <v>0.2332822958</v>
      </c>
      <c r="AP72" s="5">
        <v>-0.4052426949</v>
      </c>
      <c r="AQ72" s="5">
        <v>-0.9498156017</v>
      </c>
    </row>
    <row r="73">
      <c r="A73" s="342">
        <v>72.0</v>
      </c>
      <c r="B73" s="341">
        <v>100.0</v>
      </c>
      <c r="C73" s="341">
        <v>0.0</v>
      </c>
      <c r="D73" s="341">
        <v>0.05084958204</v>
      </c>
      <c r="E73" s="342">
        <v>0.002651157356</v>
      </c>
      <c r="F73" s="342">
        <v>0.09237543707</v>
      </c>
      <c r="G73" s="342">
        <v>-0.04152585503</v>
      </c>
      <c r="H73" s="342">
        <v>0.9475210764</v>
      </c>
      <c r="I73" s="343"/>
      <c r="J73" s="342" t="s">
        <v>1576</v>
      </c>
      <c r="K73" s="342" t="s">
        <v>89</v>
      </c>
      <c r="L73" s="342" t="s">
        <v>1366</v>
      </c>
      <c r="M73" s="342" t="s">
        <v>1577</v>
      </c>
      <c r="N73" s="343"/>
      <c r="O73" s="342" t="s">
        <v>1368</v>
      </c>
      <c r="P73" s="342" t="s">
        <v>1399</v>
      </c>
      <c r="Q73" s="342">
        <v>5.0</v>
      </c>
      <c r="R73" s="342" t="s">
        <v>1538</v>
      </c>
      <c r="S73" s="342" t="s">
        <v>1370</v>
      </c>
      <c r="T73" s="342">
        <v>73.0</v>
      </c>
      <c r="U73" s="342">
        <v>14.0</v>
      </c>
      <c r="V73" s="342">
        <v>33.0</v>
      </c>
      <c r="W73" s="341">
        <v>22.94424658</v>
      </c>
      <c r="X73" s="5">
        <v>0.8468493151</v>
      </c>
      <c r="Y73" s="5">
        <v>8.07260274</v>
      </c>
      <c r="Z73" s="5">
        <v>3.399041096</v>
      </c>
      <c r="AA73" s="5">
        <v>0.8612328767</v>
      </c>
      <c r="AB73" s="5">
        <v>0.4209589041</v>
      </c>
      <c r="AC73" s="5">
        <v>0.5370361488</v>
      </c>
      <c r="AD73" s="5">
        <v>17.13616438</v>
      </c>
      <c r="AE73" s="5">
        <v>0.7270103315</v>
      </c>
      <c r="AF73" s="5">
        <v>5.078219178</v>
      </c>
      <c r="AG73" s="5">
        <v>1.41630137</v>
      </c>
      <c r="AH73" s="5">
        <v>26.6709557</v>
      </c>
      <c r="AI73" s="5">
        <v>1.182235005</v>
      </c>
      <c r="AJ73" s="5">
        <v>-0.7802481833</v>
      </c>
      <c r="AK73" s="5">
        <v>0.9147170891</v>
      </c>
      <c r="AL73" s="5">
        <v>-0.1463368897</v>
      </c>
      <c r="AM73" s="5">
        <v>-0.2512723647</v>
      </c>
      <c r="AN73" s="5">
        <v>-0.4950412743</v>
      </c>
      <c r="AO73" s="5">
        <v>1.288600983</v>
      </c>
      <c r="AP73" s="5">
        <v>-1.305857709</v>
      </c>
      <c r="AQ73" s="5">
        <v>0.4245822773</v>
      </c>
    </row>
    <row r="74">
      <c r="A74" s="342">
        <v>73.0</v>
      </c>
      <c r="B74" s="341">
        <v>100.0</v>
      </c>
      <c r="C74" s="341">
        <v>0.0</v>
      </c>
      <c r="D74" s="341">
        <v>0.05030919134</v>
      </c>
      <c r="E74" s="342">
        <v>0.001511967882</v>
      </c>
      <c r="F74" s="342">
        <v>0.04491704411</v>
      </c>
      <c r="G74" s="342">
        <v>0.005392147226</v>
      </c>
      <c r="H74" s="342">
        <v>-1.96743286</v>
      </c>
      <c r="I74" s="343"/>
      <c r="J74" s="342" t="s">
        <v>1578</v>
      </c>
      <c r="K74" s="342" t="s">
        <v>98</v>
      </c>
      <c r="L74" s="342" t="s">
        <v>1380</v>
      </c>
      <c r="M74" s="342" t="s">
        <v>1579</v>
      </c>
      <c r="N74" s="343"/>
      <c r="O74" s="342" t="s">
        <v>1374</v>
      </c>
      <c r="P74" s="343"/>
      <c r="Q74" s="342">
        <v>5.0</v>
      </c>
      <c r="R74" s="342" t="s">
        <v>1535</v>
      </c>
      <c r="S74" s="342" t="s">
        <v>1370</v>
      </c>
      <c r="T74" s="342">
        <v>62.0</v>
      </c>
      <c r="U74" s="342">
        <v>13.0</v>
      </c>
      <c r="V74" s="342">
        <v>33.0</v>
      </c>
      <c r="W74" s="341">
        <v>12.81564516</v>
      </c>
      <c r="X74" s="5">
        <v>2.158548387</v>
      </c>
      <c r="Y74" s="5">
        <v>5.187903226</v>
      </c>
      <c r="Z74" s="5">
        <v>4.985806452</v>
      </c>
      <c r="AA74" s="5">
        <v>0.9503225806</v>
      </c>
      <c r="AB74" s="5">
        <v>0.7411290323</v>
      </c>
      <c r="AC74" s="5">
        <v>0.4725389396</v>
      </c>
      <c r="AD74" s="5">
        <v>10.51048387</v>
      </c>
      <c r="AE74" s="5">
        <v>0.8609246115</v>
      </c>
      <c r="AF74" s="5">
        <v>0.8408064516</v>
      </c>
      <c r="AG74" s="5">
        <v>1.751774194</v>
      </c>
      <c r="AH74" s="5">
        <v>16.94915409</v>
      </c>
      <c r="AI74" s="5">
        <v>-0.5182333155</v>
      </c>
      <c r="AJ74" s="5">
        <v>0.5075511918</v>
      </c>
      <c r="AK74" s="5">
        <v>-0.2395794806</v>
      </c>
      <c r="AL74" s="5">
        <v>0.5865185257</v>
      </c>
      <c r="AM74" s="5">
        <v>0.02996522479</v>
      </c>
      <c r="AN74" s="5">
        <v>0.0903405078</v>
      </c>
      <c r="AO74" s="5">
        <v>-0.249881183</v>
      </c>
      <c r="AP74" s="5">
        <v>0.1957920597</v>
      </c>
      <c r="AQ74" s="5">
        <v>0.001779866302</v>
      </c>
    </row>
    <row r="75">
      <c r="A75" s="342">
        <v>74.0</v>
      </c>
      <c r="B75" s="341">
        <v>100.0</v>
      </c>
      <c r="C75" s="341">
        <v>0.0</v>
      </c>
      <c r="D75" s="341">
        <v>0.05012675555</v>
      </c>
      <c r="E75" s="342">
        <v>-0.005782460621</v>
      </c>
      <c r="F75" s="342">
        <v>0.08076029374</v>
      </c>
      <c r="G75" s="342">
        <v>-0.03063353819</v>
      </c>
      <c r="H75" s="342">
        <v>-0.6307412757</v>
      </c>
      <c r="I75" s="343"/>
      <c r="J75" s="342" t="s">
        <v>1580</v>
      </c>
      <c r="K75" s="342" t="s">
        <v>159</v>
      </c>
      <c r="L75" s="342" t="s">
        <v>34</v>
      </c>
      <c r="M75" s="342" t="s">
        <v>1581</v>
      </c>
      <c r="N75" s="343"/>
      <c r="O75" s="342" t="s">
        <v>1368</v>
      </c>
      <c r="P75" s="342" t="s">
        <v>1410</v>
      </c>
      <c r="Q75" s="342">
        <v>4.0</v>
      </c>
      <c r="R75" s="342" t="s">
        <v>1546</v>
      </c>
      <c r="S75" s="342" t="s">
        <v>1370</v>
      </c>
      <c r="T75" s="342">
        <v>73.0</v>
      </c>
      <c r="U75" s="342">
        <v>14.0</v>
      </c>
      <c r="V75" s="342">
        <v>33.0</v>
      </c>
      <c r="W75" s="341">
        <v>11.92520548</v>
      </c>
      <c r="X75" s="5">
        <v>0.0</v>
      </c>
      <c r="Y75" s="5">
        <v>12.46438356</v>
      </c>
      <c r="Z75" s="5">
        <v>1.30369863</v>
      </c>
      <c r="AA75" s="5">
        <v>0.6642465753</v>
      </c>
      <c r="AB75" s="5">
        <v>2.041232877</v>
      </c>
      <c r="AC75" s="5">
        <v>0.675</v>
      </c>
      <c r="AD75" s="5">
        <v>6.805479452</v>
      </c>
      <c r="AE75" s="5">
        <v>0.6430088154</v>
      </c>
      <c r="AF75" s="5">
        <v>4.257808219</v>
      </c>
      <c r="AG75" s="5">
        <v>1.494657534</v>
      </c>
      <c r="AH75" s="5">
        <v>13.69233419</v>
      </c>
      <c r="AI75" s="5">
        <v>-0.6677272494</v>
      </c>
      <c r="AJ75" s="5">
        <v>-1.611667555</v>
      </c>
      <c r="AK75" s="5">
        <v>2.672063916</v>
      </c>
      <c r="AL75" s="5">
        <v>-1.114081155</v>
      </c>
      <c r="AM75" s="5">
        <v>-0.8731169787</v>
      </c>
      <c r="AN75" s="5">
        <v>2.467380208</v>
      </c>
      <c r="AO75" s="5">
        <v>1.942086252</v>
      </c>
      <c r="AP75" s="5">
        <v>-2.413923393</v>
      </c>
      <c r="AQ75" s="5">
        <v>0.3258285993</v>
      </c>
    </row>
    <row r="76">
      <c r="A76" s="342">
        <v>75.0</v>
      </c>
      <c r="B76" s="341">
        <v>100.0</v>
      </c>
      <c r="C76" s="341">
        <v>0.0</v>
      </c>
      <c r="D76" s="341">
        <v>0.04697212846</v>
      </c>
      <c r="E76" s="342">
        <v>0.01054205896</v>
      </c>
      <c r="F76" s="342">
        <v>-0.1170796725</v>
      </c>
      <c r="G76" s="342">
        <v>0.1640518009</v>
      </c>
      <c r="H76" s="342">
        <v>-0.6468459936</v>
      </c>
      <c r="I76" s="343"/>
      <c r="J76" s="342" t="s">
        <v>1582</v>
      </c>
      <c r="K76" s="342" t="s">
        <v>259</v>
      </c>
      <c r="L76" s="342" t="s">
        <v>1380</v>
      </c>
      <c r="M76" s="342" t="s">
        <v>1583</v>
      </c>
      <c r="N76" s="343"/>
      <c r="O76" s="342" t="s">
        <v>1374</v>
      </c>
      <c r="P76" s="343"/>
      <c r="Q76" s="342">
        <v>1.0</v>
      </c>
      <c r="R76" s="342" t="s">
        <v>1543</v>
      </c>
      <c r="S76" s="342" t="s">
        <v>1370</v>
      </c>
      <c r="T76" s="342">
        <v>62.0</v>
      </c>
      <c r="U76" s="342">
        <v>13.0</v>
      </c>
      <c r="V76" s="342">
        <v>35.0</v>
      </c>
      <c r="W76" s="341">
        <v>21.93741935</v>
      </c>
      <c r="X76" s="5">
        <v>3.438225806</v>
      </c>
      <c r="Y76" s="5">
        <v>3.465</v>
      </c>
      <c r="Z76" s="5">
        <v>5.847258065</v>
      </c>
      <c r="AA76" s="5">
        <v>0.5064516129</v>
      </c>
      <c r="AB76" s="5">
        <v>0.1441935484</v>
      </c>
      <c r="AC76" s="5">
        <v>0.4348100802</v>
      </c>
      <c r="AD76" s="5">
        <v>17.61354839</v>
      </c>
      <c r="AE76" s="5">
        <v>0.9000045618</v>
      </c>
      <c r="AF76" s="5">
        <v>3.535645161</v>
      </c>
      <c r="AG76" s="5">
        <v>2.887419355</v>
      </c>
      <c r="AH76" s="5">
        <v>27.13623524</v>
      </c>
      <c r="AI76" s="5">
        <v>1.013201027</v>
      </c>
      <c r="AJ76" s="5">
        <v>1.763912362</v>
      </c>
      <c r="AK76" s="5">
        <v>-0.9289896857</v>
      </c>
      <c r="AL76" s="5">
        <v>0.9843842071</v>
      </c>
      <c r="AM76" s="5">
        <v>-1.371242721</v>
      </c>
      <c r="AN76" s="5">
        <v>-1.001064113</v>
      </c>
      <c r="AO76" s="5">
        <v>-1.428821205</v>
      </c>
      <c r="AP76" s="5">
        <v>1.344397156</v>
      </c>
      <c r="AQ76" s="5">
        <v>-1.42949408</v>
      </c>
    </row>
    <row r="77">
      <c r="A77" s="342">
        <v>76.0</v>
      </c>
      <c r="B77" s="341">
        <v>100.0</v>
      </c>
      <c r="C77" s="341">
        <v>1.3</v>
      </c>
      <c r="D77" s="341">
        <v>0.03962858501</v>
      </c>
      <c r="E77" s="342">
        <v>-0.002546187652</v>
      </c>
      <c r="F77" s="342">
        <v>0.08305500276</v>
      </c>
      <c r="G77" s="342">
        <v>-0.04342641775</v>
      </c>
      <c r="H77" s="342">
        <v>-0.3408563539</v>
      </c>
      <c r="I77" s="343"/>
      <c r="J77" s="342" t="s">
        <v>1584</v>
      </c>
      <c r="K77" s="342" t="s">
        <v>45</v>
      </c>
      <c r="L77" s="342" t="s">
        <v>34</v>
      </c>
      <c r="M77" s="342" t="s">
        <v>1585</v>
      </c>
      <c r="N77" s="342" t="s">
        <v>1586</v>
      </c>
      <c r="O77" s="342" t="s">
        <v>1368</v>
      </c>
      <c r="P77" s="342" t="s">
        <v>1587</v>
      </c>
      <c r="Q77" s="342">
        <v>2.0</v>
      </c>
      <c r="R77" s="342" t="s">
        <v>1546</v>
      </c>
      <c r="S77" s="342" t="s">
        <v>1434</v>
      </c>
      <c r="T77" s="342">
        <v>49.0</v>
      </c>
      <c r="U77" s="342">
        <v>16.0</v>
      </c>
      <c r="V77" s="342">
        <v>27.0</v>
      </c>
      <c r="W77" s="341">
        <v>11.22408163</v>
      </c>
      <c r="X77" s="5">
        <v>0.1579591837</v>
      </c>
      <c r="Y77" s="5">
        <v>8.749183673</v>
      </c>
      <c r="Z77" s="5">
        <v>3.40877551</v>
      </c>
      <c r="AA77" s="5">
        <v>0.9657142857</v>
      </c>
      <c r="AB77" s="5">
        <v>1.184489796</v>
      </c>
      <c r="AC77" s="5">
        <v>0.5965386128</v>
      </c>
      <c r="AD77" s="5">
        <v>7.782653061</v>
      </c>
      <c r="AE77" s="5">
        <v>0.7150114716</v>
      </c>
      <c r="AF77" s="5">
        <v>2.490612245</v>
      </c>
      <c r="AG77" s="5">
        <v>1.411632653</v>
      </c>
      <c r="AH77" s="5">
        <v>16.61091043</v>
      </c>
      <c r="AI77" s="5">
        <v>-0.7854373697</v>
      </c>
      <c r="AJ77" s="5">
        <v>-1.456586453</v>
      </c>
      <c r="AK77" s="5">
        <v>1.185447211</v>
      </c>
      <c r="AL77" s="5">
        <v>-0.1418410024</v>
      </c>
      <c r="AM77" s="5">
        <v>0.07855362324</v>
      </c>
      <c r="AN77" s="5">
        <v>0.900957399</v>
      </c>
      <c r="AO77" s="5">
        <v>1.288421412</v>
      </c>
      <c r="AP77" s="5">
        <v>-0.7524861398</v>
      </c>
      <c r="AQ77" s="5">
        <v>0.4304663447</v>
      </c>
    </row>
    <row r="78">
      <c r="A78" s="342">
        <v>77.0</v>
      </c>
      <c r="B78" s="341">
        <v>100.0</v>
      </c>
      <c r="C78" s="341">
        <v>0.0</v>
      </c>
      <c r="D78" s="341">
        <v>0.03028641324</v>
      </c>
      <c r="E78" s="342">
        <v>-0.008621625722</v>
      </c>
      <c r="F78" s="342">
        <v>-0.1552756622</v>
      </c>
      <c r="G78" s="342">
        <v>0.1855620754</v>
      </c>
      <c r="H78" s="342">
        <v>0.5771125652</v>
      </c>
      <c r="I78" s="343"/>
      <c r="J78" s="342" t="s">
        <v>1588</v>
      </c>
      <c r="K78" s="342" t="s">
        <v>159</v>
      </c>
      <c r="L78" s="342" t="s">
        <v>1404</v>
      </c>
      <c r="M78" s="342" t="s">
        <v>1589</v>
      </c>
      <c r="N78" s="343"/>
      <c r="O78" s="342" t="s">
        <v>1374</v>
      </c>
      <c r="P78" s="342" t="s">
        <v>1590</v>
      </c>
      <c r="Q78" s="342">
        <v>2.0</v>
      </c>
      <c r="R78" s="342" t="s">
        <v>1570</v>
      </c>
      <c r="S78" s="342" t="s">
        <v>1370</v>
      </c>
      <c r="T78" s="342">
        <v>68.0</v>
      </c>
      <c r="U78" s="342">
        <v>14.0</v>
      </c>
      <c r="V78" s="342">
        <v>34.0</v>
      </c>
      <c r="W78" s="341">
        <v>22.09382353</v>
      </c>
      <c r="X78" s="5">
        <v>1.700882353</v>
      </c>
      <c r="Y78" s="5">
        <v>8.954705882</v>
      </c>
      <c r="Z78" s="5">
        <v>4.581470588</v>
      </c>
      <c r="AA78" s="5">
        <v>0.4848529412</v>
      </c>
      <c r="AB78" s="5">
        <v>0.2780882353</v>
      </c>
      <c r="AC78" s="5">
        <v>0.482485659</v>
      </c>
      <c r="AD78" s="5">
        <v>16.86852941</v>
      </c>
      <c r="AE78" s="5">
        <v>0.786995894</v>
      </c>
      <c r="AF78" s="5">
        <v>5.229117647</v>
      </c>
      <c r="AG78" s="5">
        <v>3.054264706</v>
      </c>
      <c r="AH78" s="5">
        <v>29.03043552</v>
      </c>
      <c r="AI78" s="5">
        <v>1.039459375</v>
      </c>
      <c r="AJ78" s="5">
        <v>0.05822402112</v>
      </c>
      <c r="AK78" s="5">
        <v>1.267685787</v>
      </c>
      <c r="AL78" s="5">
        <v>0.3997740104</v>
      </c>
      <c r="AM78" s="5">
        <v>-1.439425217</v>
      </c>
      <c r="AN78" s="5">
        <v>-0.7562582941</v>
      </c>
      <c r="AO78" s="5">
        <v>-0.1388957747</v>
      </c>
      <c r="AP78" s="5">
        <v>-0.1882726027</v>
      </c>
      <c r="AQ78" s="5">
        <v>-1.639772266</v>
      </c>
    </row>
    <row r="79">
      <c r="A79" s="342">
        <v>78.0</v>
      </c>
      <c r="B79" s="341">
        <v>100.0</v>
      </c>
      <c r="C79" s="341">
        <v>0.0</v>
      </c>
      <c r="D79" s="341">
        <v>0.02779335115</v>
      </c>
      <c r="E79" s="342">
        <v>0.001991375868</v>
      </c>
      <c r="F79" s="342">
        <v>-0.07270430516</v>
      </c>
      <c r="G79" s="342">
        <v>0.1004976563</v>
      </c>
      <c r="H79" s="342">
        <v>0.1100757467</v>
      </c>
      <c r="I79" s="343"/>
      <c r="J79" s="342" t="s">
        <v>1591</v>
      </c>
      <c r="K79" s="342" t="s">
        <v>74</v>
      </c>
      <c r="L79" s="342" t="s">
        <v>1404</v>
      </c>
      <c r="M79" s="342" t="s">
        <v>1592</v>
      </c>
      <c r="N79" s="342" t="s">
        <v>1593</v>
      </c>
      <c r="O79" s="342" t="s">
        <v>1374</v>
      </c>
      <c r="P79" s="342" t="s">
        <v>1410</v>
      </c>
      <c r="Q79" s="342">
        <v>2.0</v>
      </c>
      <c r="R79" s="342" t="s">
        <v>1559</v>
      </c>
      <c r="S79" s="342" t="s">
        <v>1370</v>
      </c>
      <c r="T79" s="342">
        <v>58.0</v>
      </c>
      <c r="U79" s="342">
        <v>16.0</v>
      </c>
      <c r="V79" s="342">
        <v>30.0</v>
      </c>
      <c r="W79" s="341">
        <v>15.0487931</v>
      </c>
      <c r="X79" s="5">
        <v>1.715344828</v>
      </c>
      <c r="Y79" s="5">
        <v>5.073793103</v>
      </c>
      <c r="Z79" s="5">
        <v>5.816206897</v>
      </c>
      <c r="AA79" s="5">
        <v>0.9456896552</v>
      </c>
      <c r="AB79" s="5">
        <v>0.3055172414</v>
      </c>
      <c r="AC79" s="5">
        <v>0.4775616836</v>
      </c>
      <c r="AD79" s="5">
        <v>11.87931034</v>
      </c>
      <c r="AE79" s="5">
        <v>0.8540308239</v>
      </c>
      <c r="AF79" s="5">
        <v>2.326896552</v>
      </c>
      <c r="AG79" s="5">
        <v>2.448793103</v>
      </c>
      <c r="AH79" s="5">
        <v>22.79347844</v>
      </c>
      <c r="AI79" s="5">
        <v>-0.1433150838</v>
      </c>
      <c r="AJ79" s="5">
        <v>0.07242298352</v>
      </c>
      <c r="AK79" s="5">
        <v>-0.2852400155</v>
      </c>
      <c r="AL79" s="5">
        <v>0.9700430719</v>
      </c>
      <c r="AM79" s="5">
        <v>0.01534004663</v>
      </c>
      <c r="AN79" s="5">
        <v>-0.7061085798</v>
      </c>
      <c r="AO79" s="5">
        <v>-0.1899817445</v>
      </c>
      <c r="AP79" s="5">
        <v>0.4891861308</v>
      </c>
      <c r="AQ79" s="5">
        <v>-0.8766855557</v>
      </c>
    </row>
    <row r="80">
      <c r="A80" s="342">
        <v>79.0</v>
      </c>
      <c r="B80" s="341">
        <v>100.0</v>
      </c>
      <c r="C80" s="341">
        <v>0.0</v>
      </c>
      <c r="D80" s="341">
        <v>0.02751138796</v>
      </c>
      <c r="E80" s="342">
        <v>-9.977901233E-4</v>
      </c>
      <c r="F80" s="342">
        <v>0.04160910408</v>
      </c>
      <c r="G80" s="342">
        <v>-0.01409771612</v>
      </c>
      <c r="H80" s="342">
        <v>-0.09928558572</v>
      </c>
      <c r="I80" s="343"/>
      <c r="J80" s="342" t="s">
        <v>1594</v>
      </c>
      <c r="K80" s="342" t="s">
        <v>291</v>
      </c>
      <c r="L80" s="342" t="s">
        <v>34</v>
      </c>
      <c r="M80" s="342" t="s">
        <v>1595</v>
      </c>
      <c r="N80" s="342" t="s">
        <v>1596</v>
      </c>
      <c r="O80" s="342" t="s">
        <v>1368</v>
      </c>
      <c r="P80" s="342" t="s">
        <v>1399</v>
      </c>
      <c r="Q80" s="342">
        <v>4.0</v>
      </c>
      <c r="R80" s="342" t="s">
        <v>1597</v>
      </c>
      <c r="S80" s="342" t="s">
        <v>1370</v>
      </c>
      <c r="T80" s="342">
        <v>73.0</v>
      </c>
      <c r="U80" s="342">
        <v>15.0</v>
      </c>
      <c r="V80" s="342">
        <v>31.0</v>
      </c>
      <c r="W80" s="341">
        <v>13.46027397</v>
      </c>
      <c r="X80" s="5">
        <v>0.0</v>
      </c>
      <c r="Y80" s="5">
        <v>9.98</v>
      </c>
      <c r="Z80" s="5">
        <v>2.478767123</v>
      </c>
      <c r="AA80" s="5">
        <v>0.7197260274</v>
      </c>
      <c r="AB80" s="5">
        <v>2.022054795</v>
      </c>
      <c r="AC80" s="5">
        <v>0.6600061767</v>
      </c>
      <c r="AD80" s="5">
        <v>8.871232877</v>
      </c>
      <c r="AE80" s="5">
        <v>0.5479969117</v>
      </c>
      <c r="AF80" s="5">
        <v>3.19369863</v>
      </c>
      <c r="AG80" s="5">
        <v>1.630684932</v>
      </c>
      <c r="AH80" s="5">
        <v>16.32185892</v>
      </c>
      <c r="AI80" s="5">
        <v>-0.4100080208</v>
      </c>
      <c r="AJ80" s="5">
        <v>-1.611667555</v>
      </c>
      <c r="AK80" s="5">
        <v>1.677951563</v>
      </c>
      <c r="AL80" s="5">
        <v>-0.5713699685</v>
      </c>
      <c r="AM80" s="5">
        <v>-0.6979799351</v>
      </c>
      <c r="AN80" s="5">
        <v>2.432316037</v>
      </c>
      <c r="AO80" s="5">
        <v>2.330961843</v>
      </c>
      <c r="AP80" s="5">
        <v>-2.93011286</v>
      </c>
      <c r="AQ80" s="5">
        <v>0.154390833</v>
      </c>
    </row>
    <row r="81">
      <c r="A81" s="342">
        <v>80.0</v>
      </c>
      <c r="B81" s="341">
        <v>99.0</v>
      </c>
      <c r="C81" s="341">
        <v>-1.2</v>
      </c>
      <c r="D81" s="341">
        <v>0.01455169419</v>
      </c>
      <c r="E81" s="342">
        <v>-0.005850770683</v>
      </c>
      <c r="F81" s="342">
        <v>0.1205195534</v>
      </c>
      <c r="G81" s="342">
        <v>-0.1059678592</v>
      </c>
      <c r="H81" s="342">
        <v>-1.613129066</v>
      </c>
      <c r="I81" s="343"/>
      <c r="J81" s="342" t="s">
        <v>1598</v>
      </c>
      <c r="K81" s="342" t="s">
        <v>136</v>
      </c>
      <c r="L81" s="342" t="s">
        <v>34</v>
      </c>
      <c r="M81" s="342" t="s">
        <v>1599</v>
      </c>
      <c r="N81" s="342" t="s">
        <v>1600</v>
      </c>
      <c r="O81" s="342" t="s">
        <v>1374</v>
      </c>
      <c r="P81" s="343"/>
      <c r="Q81" s="342">
        <v>2.0</v>
      </c>
      <c r="R81" s="342" t="s">
        <v>1597</v>
      </c>
      <c r="S81" s="342" t="s">
        <v>1370</v>
      </c>
      <c r="T81" s="342">
        <v>61.0</v>
      </c>
      <c r="U81" s="342">
        <v>15.0</v>
      </c>
      <c r="V81" s="342">
        <v>27.0</v>
      </c>
      <c r="W81" s="341">
        <v>13.07557377</v>
      </c>
      <c r="X81" s="5">
        <v>0.0</v>
      </c>
      <c r="Y81" s="5">
        <v>9.907377049</v>
      </c>
      <c r="Z81" s="5">
        <v>1.158688525</v>
      </c>
      <c r="AA81" s="5">
        <v>0.8316393443</v>
      </c>
      <c r="AB81" s="5">
        <v>1.332622951</v>
      </c>
      <c r="AC81" s="5">
        <v>0.643003876</v>
      </c>
      <c r="AD81" s="5">
        <v>8.459016393</v>
      </c>
      <c r="AE81" s="5">
        <v>0.7020217892</v>
      </c>
      <c r="AF81" s="5">
        <v>3.129836066</v>
      </c>
      <c r="AG81" s="5">
        <v>0.9849180328</v>
      </c>
      <c r="AH81" s="5">
        <v>16.89658368</v>
      </c>
      <c r="AI81" s="5">
        <v>-0.4745944805</v>
      </c>
      <c r="AJ81" s="5">
        <v>-1.611667555</v>
      </c>
      <c r="AK81" s="5">
        <v>1.64889189</v>
      </c>
      <c r="AL81" s="5">
        <v>-1.181054788</v>
      </c>
      <c r="AM81" s="5">
        <v>-0.3446929662</v>
      </c>
      <c r="AN81" s="5">
        <v>1.171796064</v>
      </c>
      <c r="AO81" s="5">
        <v>2.002277428</v>
      </c>
      <c r="AP81" s="5">
        <v>-1.094542039</v>
      </c>
      <c r="AQ81" s="5">
        <v>0.9682624269</v>
      </c>
    </row>
    <row r="82">
      <c r="A82" s="342">
        <v>81.0</v>
      </c>
      <c r="B82" s="341">
        <v>100.0</v>
      </c>
      <c r="C82" s="341">
        <v>0.0</v>
      </c>
      <c r="D82" s="341">
        <v>0.0123332991</v>
      </c>
      <c r="E82" s="342">
        <v>-0.005694791567</v>
      </c>
      <c r="F82" s="342">
        <v>-0.03913087637</v>
      </c>
      <c r="G82" s="342">
        <v>0.05146417547</v>
      </c>
      <c r="H82" s="342">
        <v>1.30182487</v>
      </c>
      <c r="I82" s="343"/>
      <c r="J82" s="342" t="s">
        <v>1601</v>
      </c>
      <c r="K82" s="342" t="s">
        <v>63</v>
      </c>
      <c r="L82" s="342" t="s">
        <v>1413</v>
      </c>
      <c r="M82" s="342" t="s">
        <v>1602</v>
      </c>
      <c r="N82" s="343"/>
      <c r="O82" s="342" t="s">
        <v>1378</v>
      </c>
      <c r="P82" s="343"/>
      <c r="Q82" s="342">
        <v>5.0</v>
      </c>
      <c r="R82" s="342" t="s">
        <v>1603</v>
      </c>
      <c r="S82" s="342" t="s">
        <v>1370</v>
      </c>
      <c r="T82" s="342">
        <v>77.0</v>
      </c>
      <c r="U82" s="342">
        <v>13.0</v>
      </c>
      <c r="V82" s="342">
        <v>33.0</v>
      </c>
      <c r="W82" s="341">
        <v>16.56701299</v>
      </c>
      <c r="X82" s="5">
        <v>2.255714286</v>
      </c>
      <c r="Y82" s="5">
        <v>4.558181818</v>
      </c>
      <c r="Z82" s="5">
        <v>5.39961039</v>
      </c>
      <c r="AA82" s="5">
        <v>0.6971428571</v>
      </c>
      <c r="AB82" s="5">
        <v>0.4224675325</v>
      </c>
      <c r="AC82" s="5">
        <v>0.4831642746</v>
      </c>
      <c r="AD82" s="5">
        <v>12.34233766</v>
      </c>
      <c r="AE82" s="5">
        <v>0.84001281</v>
      </c>
      <c r="AF82" s="5">
        <v>2.838701299</v>
      </c>
      <c r="AG82" s="5">
        <v>2.110909091</v>
      </c>
      <c r="AH82" s="5">
        <v>20.48278474</v>
      </c>
      <c r="AI82" s="5">
        <v>0.1115754692</v>
      </c>
      <c r="AJ82" s="5">
        <v>0.6029466877</v>
      </c>
      <c r="AK82" s="5">
        <v>-0.491559022</v>
      </c>
      <c r="AL82" s="5">
        <v>0.7776359179</v>
      </c>
      <c r="AM82" s="5">
        <v>-0.7692702873</v>
      </c>
      <c r="AN82" s="5">
        <v>-0.4922829796</v>
      </c>
      <c r="AO82" s="5">
        <v>-0.09128043815</v>
      </c>
      <c r="AP82" s="5">
        <v>0.4509010451</v>
      </c>
      <c r="AQ82" s="5">
        <v>-0.4508442801</v>
      </c>
    </row>
    <row r="83">
      <c r="A83" s="342">
        <v>82.0</v>
      </c>
      <c r="B83" s="341">
        <v>100.0</v>
      </c>
      <c r="C83" s="341">
        <v>0.0</v>
      </c>
      <c r="D83" s="341">
        <v>0.006994440517</v>
      </c>
      <c r="E83" s="342">
        <v>0.003391830137</v>
      </c>
      <c r="F83" s="342">
        <v>-0.01900325533</v>
      </c>
      <c r="G83" s="342">
        <v>0.02599769585</v>
      </c>
      <c r="H83" s="342">
        <v>0.335541797</v>
      </c>
      <c r="I83" s="343"/>
      <c r="J83" s="342" t="s">
        <v>1604</v>
      </c>
      <c r="K83" s="342" t="s">
        <v>93</v>
      </c>
      <c r="L83" s="342" t="s">
        <v>1413</v>
      </c>
      <c r="M83" s="342" t="s">
        <v>1605</v>
      </c>
      <c r="N83" s="343"/>
      <c r="O83" s="342" t="s">
        <v>1368</v>
      </c>
      <c r="P83" s="343"/>
      <c r="Q83" s="342">
        <v>3.0</v>
      </c>
      <c r="R83" s="342" t="s">
        <v>1543</v>
      </c>
      <c r="S83" s="342" t="s">
        <v>1434</v>
      </c>
      <c r="T83" s="342">
        <v>73.0</v>
      </c>
      <c r="U83" s="342">
        <v>16.0</v>
      </c>
      <c r="V83" s="342">
        <v>32.0</v>
      </c>
      <c r="W83" s="341">
        <v>16.61136986</v>
      </c>
      <c r="X83" s="5">
        <v>2.866438356</v>
      </c>
      <c r="Y83" s="5">
        <v>3.8</v>
      </c>
      <c r="Z83" s="5">
        <v>3.8</v>
      </c>
      <c r="AA83" s="5">
        <v>1.129178082</v>
      </c>
      <c r="AB83" s="5">
        <v>0.4009589041</v>
      </c>
      <c r="AC83" s="5">
        <v>0.4296976103</v>
      </c>
      <c r="AD83" s="5">
        <v>13.86671233</v>
      </c>
      <c r="AE83" s="5">
        <v>0.8840013249</v>
      </c>
      <c r="AF83" s="5">
        <v>2.067808219</v>
      </c>
      <c r="AG83" s="5">
        <v>1.933287671</v>
      </c>
      <c r="AH83" s="5">
        <v>22.25997045</v>
      </c>
      <c r="AI83" s="5">
        <v>0.1190224463</v>
      </c>
      <c r="AJ83" s="5">
        <v>1.202543114</v>
      </c>
      <c r="AK83" s="5">
        <v>-0.7949412869</v>
      </c>
      <c r="AL83" s="5">
        <v>0.03884796017</v>
      </c>
      <c r="AM83" s="5">
        <v>0.5945746903</v>
      </c>
      <c r="AN83" s="5">
        <v>-0.5316081949</v>
      </c>
      <c r="AO83" s="5">
        <v>-1.235243628</v>
      </c>
      <c r="AP83" s="5">
        <v>0.6627604228</v>
      </c>
      <c r="AQ83" s="5">
        <v>-0.2269848221</v>
      </c>
    </row>
    <row r="84">
      <c r="A84" s="342">
        <v>83.0</v>
      </c>
      <c r="B84" s="341">
        <v>100.0</v>
      </c>
      <c r="C84" s="341">
        <v>0.0</v>
      </c>
      <c r="D84" s="341">
        <v>0.006282036411</v>
      </c>
      <c r="E84" s="342">
        <v>0.001943849164</v>
      </c>
      <c r="F84" s="342">
        <v>-0.0729661526</v>
      </c>
      <c r="G84" s="342">
        <v>0.07924818902</v>
      </c>
      <c r="H84" s="342">
        <v>-0.5180082506</v>
      </c>
      <c r="I84" s="343"/>
      <c r="J84" s="342" t="s">
        <v>1606</v>
      </c>
      <c r="K84" s="342" t="s">
        <v>1471</v>
      </c>
      <c r="L84" s="342" t="s">
        <v>1413</v>
      </c>
      <c r="M84" s="342" t="s">
        <v>1607</v>
      </c>
      <c r="N84" s="343"/>
      <c r="O84" s="342" t="s">
        <v>1374</v>
      </c>
      <c r="P84" s="342" t="s">
        <v>1608</v>
      </c>
      <c r="Q84" s="342">
        <v>4.0</v>
      </c>
      <c r="R84" s="342" t="s">
        <v>1559</v>
      </c>
      <c r="S84" s="342" t="s">
        <v>1370</v>
      </c>
      <c r="T84" s="342">
        <v>68.0</v>
      </c>
      <c r="U84" s="342">
        <v>16.0</v>
      </c>
      <c r="V84" s="342">
        <v>33.0</v>
      </c>
      <c r="W84" s="341">
        <v>17.98279412</v>
      </c>
      <c r="X84" s="5">
        <v>1.190441176</v>
      </c>
      <c r="Y84" s="5">
        <v>5.785294118</v>
      </c>
      <c r="Z84" s="5">
        <v>4.900441176</v>
      </c>
      <c r="AA84" s="5">
        <v>0.7513235294</v>
      </c>
      <c r="AB84" s="5">
        <v>0.5445588235</v>
      </c>
      <c r="AC84" s="5">
        <v>0.4993455769</v>
      </c>
      <c r="AD84" s="5">
        <v>14.15705882</v>
      </c>
      <c r="AE84" s="5">
        <v>0.815012194</v>
      </c>
      <c r="AF84" s="5">
        <v>3.256176471</v>
      </c>
      <c r="AG84" s="5">
        <v>2.314117647</v>
      </c>
      <c r="AH84" s="5">
        <v>23.8615151</v>
      </c>
      <c r="AI84" s="5">
        <v>0.3492678084</v>
      </c>
      <c r="AJ84" s="5">
        <v>-0.442916707</v>
      </c>
      <c r="AK84" s="5">
        <v>-5.368163845E-4</v>
      </c>
      <c r="AL84" s="5">
        <v>0.5470921518</v>
      </c>
      <c r="AM84" s="5">
        <v>-0.5982332202</v>
      </c>
      <c r="AN84" s="5">
        <v>-0.2690578526</v>
      </c>
      <c r="AO84" s="5">
        <v>0.2469758099</v>
      </c>
      <c r="AP84" s="5">
        <v>0.2176651174</v>
      </c>
      <c r="AQ84" s="5">
        <v>-0.7069516647</v>
      </c>
    </row>
    <row r="85">
      <c r="A85" s="342">
        <v>84.0</v>
      </c>
      <c r="B85" s="341">
        <v>100.0</v>
      </c>
      <c r="C85" s="341">
        <v>0.0</v>
      </c>
      <c r="D85" s="341">
        <v>0.002069155599</v>
      </c>
      <c r="E85" s="342">
        <v>-0.03973554412</v>
      </c>
      <c r="F85" s="342">
        <v>-0.1249102597</v>
      </c>
      <c r="G85" s="342">
        <v>0.1269794153</v>
      </c>
      <c r="H85" s="342">
        <v>0.9636257943</v>
      </c>
      <c r="I85" s="343"/>
      <c r="J85" s="342" t="s">
        <v>1609</v>
      </c>
      <c r="K85" s="342" t="s">
        <v>243</v>
      </c>
      <c r="L85" s="342" t="s">
        <v>1413</v>
      </c>
      <c r="M85" s="342" t="s">
        <v>1610</v>
      </c>
      <c r="N85" s="343"/>
      <c r="O85" s="342" t="s">
        <v>1378</v>
      </c>
      <c r="P85" s="342" t="s">
        <v>1611</v>
      </c>
      <c r="Q85" s="342">
        <v>3.0</v>
      </c>
      <c r="R85" s="342" t="s">
        <v>1535</v>
      </c>
      <c r="S85" s="342" t="s">
        <v>1370</v>
      </c>
      <c r="T85" s="342">
        <v>77.0</v>
      </c>
      <c r="U85" s="342">
        <v>13.0</v>
      </c>
      <c r="V85" s="342">
        <v>31.0</v>
      </c>
      <c r="W85" s="341">
        <v>15.11077922</v>
      </c>
      <c r="X85" s="5">
        <v>1.057532468</v>
      </c>
      <c r="Y85" s="5">
        <v>7.721558442</v>
      </c>
      <c r="Z85" s="5">
        <v>6.265844156</v>
      </c>
      <c r="AA85" s="5">
        <v>0.7207792208</v>
      </c>
      <c r="AB85" s="5">
        <v>0.5696103896</v>
      </c>
      <c r="AC85" s="5">
        <v>0.4830343544</v>
      </c>
      <c r="AD85" s="5">
        <v>12.27844156</v>
      </c>
      <c r="AE85" s="5">
        <v>0.7759944815</v>
      </c>
      <c r="AF85" s="5">
        <v>2.824025974</v>
      </c>
      <c r="AG85" s="5">
        <v>2.658311688</v>
      </c>
      <c r="AH85" s="5">
        <v>22.96477975</v>
      </c>
      <c r="AI85" s="5">
        <v>-0.1329083727</v>
      </c>
      <c r="AJ85" s="5">
        <v>-0.5734037646</v>
      </c>
      <c r="AK85" s="5">
        <v>0.7742486531</v>
      </c>
      <c r="AL85" s="5">
        <v>1.177710261</v>
      </c>
      <c r="AM85" s="5">
        <v>-0.6946552236</v>
      </c>
      <c r="AN85" s="5">
        <v>-0.2232549212</v>
      </c>
      <c r="AO85" s="5">
        <v>-0.09329493048</v>
      </c>
      <c r="AP85" s="5">
        <v>-0.2178884562</v>
      </c>
      <c r="AQ85" s="5">
        <v>-1.140745582</v>
      </c>
    </row>
    <row r="86">
      <c r="A86" s="342">
        <v>85.0</v>
      </c>
      <c r="B86" s="341">
        <v>100.0</v>
      </c>
      <c r="C86" s="341">
        <v>0.0</v>
      </c>
      <c r="D86" s="341">
        <v>0.00201271391</v>
      </c>
      <c r="E86" s="342">
        <v>0.002756768173</v>
      </c>
      <c r="F86" s="342">
        <v>-0.1891584425</v>
      </c>
      <c r="G86" s="342">
        <v>0.1911711564</v>
      </c>
      <c r="H86" s="342">
        <v>0.9636257943</v>
      </c>
      <c r="I86" s="343"/>
      <c r="J86" s="342" t="s">
        <v>1612</v>
      </c>
      <c r="K86" s="342" t="s">
        <v>236</v>
      </c>
      <c r="L86" s="342" t="s">
        <v>1404</v>
      </c>
      <c r="M86" s="342" t="s">
        <v>1613</v>
      </c>
      <c r="N86" s="343"/>
      <c r="O86" s="342" t="s">
        <v>1378</v>
      </c>
      <c r="P86" s="343"/>
      <c r="Q86" s="342">
        <v>4.0</v>
      </c>
      <c r="R86" s="342" t="s">
        <v>1570</v>
      </c>
      <c r="S86" s="342" t="s">
        <v>1370</v>
      </c>
      <c r="T86" s="342">
        <v>77.0</v>
      </c>
      <c r="U86" s="342">
        <v>13.0</v>
      </c>
      <c r="V86" s="342">
        <v>35.0</v>
      </c>
      <c r="W86" s="341">
        <v>23.43792208</v>
      </c>
      <c r="X86" s="5">
        <v>1.547402597</v>
      </c>
      <c r="Y86" s="5">
        <v>7.355844156</v>
      </c>
      <c r="Z86" s="5">
        <v>5.624935065</v>
      </c>
      <c r="AA86" s="5">
        <v>0.7054545455</v>
      </c>
      <c r="AB86" s="5">
        <v>0.6376623377</v>
      </c>
      <c r="AC86" s="5">
        <v>0.455972672</v>
      </c>
      <c r="AD86" s="5">
        <v>18.2487013</v>
      </c>
      <c r="AE86" s="5">
        <v>0.7599947347</v>
      </c>
      <c r="AF86" s="5">
        <v>6.906233766</v>
      </c>
      <c r="AG86" s="5">
        <v>3.116753247</v>
      </c>
      <c r="AH86" s="5">
        <v>31.06838429</v>
      </c>
      <c r="AI86" s="5">
        <v>1.265117085</v>
      </c>
      <c r="AJ86" s="5">
        <v>-0.09245927011</v>
      </c>
      <c r="AK86" s="5">
        <v>0.6279101026</v>
      </c>
      <c r="AL86" s="5">
        <v>0.8817032319</v>
      </c>
      <c r="AM86" s="5">
        <v>-0.7430320231</v>
      </c>
      <c r="AN86" s="5">
        <v>-0.0988324123</v>
      </c>
      <c r="AO86" s="5">
        <v>-0.8894198014</v>
      </c>
      <c r="AP86" s="5">
        <v>-0.9348852017</v>
      </c>
      <c r="AQ86" s="5">
        <v>-1.718527693</v>
      </c>
    </row>
    <row r="87">
      <c r="A87" s="342">
        <v>86.0</v>
      </c>
      <c r="B87" s="341">
        <v>100.0</v>
      </c>
      <c r="C87" s="341">
        <v>0.0</v>
      </c>
      <c r="D87" s="341">
        <v>-6.810926393E-4</v>
      </c>
      <c r="E87" s="342">
        <v>-0.04100219222</v>
      </c>
      <c r="F87" s="342">
        <v>0.04990822119</v>
      </c>
      <c r="G87" s="342">
        <v>-0.05058931383</v>
      </c>
      <c r="H87" s="342">
        <v>0.8992069228</v>
      </c>
      <c r="I87" s="343"/>
      <c r="J87" s="342" t="s">
        <v>1614</v>
      </c>
      <c r="K87" s="342" t="s">
        <v>243</v>
      </c>
      <c r="L87" s="342" t="s">
        <v>34</v>
      </c>
      <c r="M87" s="342" t="s">
        <v>1615</v>
      </c>
      <c r="N87" s="343"/>
      <c r="O87" s="342" t="s">
        <v>1368</v>
      </c>
      <c r="P87" s="342" t="s">
        <v>1616</v>
      </c>
      <c r="Q87" s="342">
        <v>1.0</v>
      </c>
      <c r="R87" s="342" t="s">
        <v>1597</v>
      </c>
      <c r="S87" s="342" t="s">
        <v>1370</v>
      </c>
      <c r="T87" s="342">
        <v>73.0</v>
      </c>
      <c r="U87" s="342">
        <v>13.0</v>
      </c>
      <c r="V87" s="342">
        <v>31.0</v>
      </c>
      <c r="W87" s="341">
        <v>16.21643836</v>
      </c>
      <c r="X87" s="5">
        <v>1.126712329</v>
      </c>
      <c r="Y87" s="5">
        <v>9.620273973</v>
      </c>
      <c r="Z87" s="5">
        <v>2.911369863</v>
      </c>
      <c r="AA87" s="5">
        <v>0.6328767123</v>
      </c>
      <c r="AB87" s="5">
        <v>0.705890411</v>
      </c>
      <c r="AC87" s="5">
        <v>0.4953355311</v>
      </c>
      <c r="AD87" s="5">
        <v>13.67082192</v>
      </c>
      <c r="AE87" s="5">
        <v>0.807973089</v>
      </c>
      <c r="AF87" s="5">
        <v>1.913972603</v>
      </c>
      <c r="AG87" s="5">
        <v>1.392465753</v>
      </c>
      <c r="AH87" s="5">
        <v>22.57602422</v>
      </c>
      <c r="AI87" s="5">
        <v>0.0527182757</v>
      </c>
      <c r="AJ87" s="5">
        <v>-0.5054843889</v>
      </c>
      <c r="AK87" s="5">
        <v>1.534009181</v>
      </c>
      <c r="AL87" s="5">
        <v>-0.3715702569</v>
      </c>
      <c r="AM87" s="5">
        <v>-0.9721450849</v>
      </c>
      <c r="AN87" s="5">
        <v>0.02591211452</v>
      </c>
      <c r="AO87" s="5">
        <v>0.1543416497</v>
      </c>
      <c r="AP87" s="5">
        <v>0.07676976906</v>
      </c>
      <c r="AQ87" s="5">
        <v>0.4546227318</v>
      </c>
    </row>
    <row r="88">
      <c r="A88" s="342">
        <v>87.0</v>
      </c>
      <c r="B88" s="341">
        <v>100.0</v>
      </c>
      <c r="C88" s="341">
        <v>0.0</v>
      </c>
      <c r="D88" s="341">
        <v>-0.001631217568</v>
      </c>
      <c r="E88" s="342">
        <v>0.00344311231</v>
      </c>
      <c r="F88" s="342">
        <v>0.04187251173</v>
      </c>
      <c r="G88" s="342">
        <v>-0.0435037293</v>
      </c>
      <c r="H88" s="342">
        <v>0.1744946182</v>
      </c>
      <c r="I88" s="343"/>
      <c r="J88" s="342" t="s">
        <v>1617</v>
      </c>
      <c r="K88" s="342" t="s">
        <v>1365</v>
      </c>
      <c r="L88" s="342" t="s">
        <v>1413</v>
      </c>
      <c r="M88" s="342" t="s">
        <v>1618</v>
      </c>
      <c r="N88" s="342" t="s">
        <v>1619</v>
      </c>
      <c r="O88" s="342" t="s">
        <v>1374</v>
      </c>
      <c r="P88" s="343"/>
      <c r="Q88" s="342">
        <v>4.0</v>
      </c>
      <c r="R88" s="342" t="s">
        <v>1603</v>
      </c>
      <c r="S88" s="342" t="s">
        <v>1434</v>
      </c>
      <c r="T88" s="342">
        <v>55.0</v>
      </c>
      <c r="U88" s="342">
        <v>15.0</v>
      </c>
      <c r="V88" s="342">
        <v>33.0</v>
      </c>
      <c r="W88" s="341">
        <v>18.84818182</v>
      </c>
      <c r="X88" s="5">
        <v>2.230181818</v>
      </c>
      <c r="Y88" s="5">
        <v>3.85</v>
      </c>
      <c r="Z88" s="5">
        <v>3.437454545</v>
      </c>
      <c r="AA88" s="5">
        <v>1.031272727</v>
      </c>
      <c r="AB88" s="5">
        <v>0.4152727273</v>
      </c>
      <c r="AC88" s="5">
        <v>0.4845355868</v>
      </c>
      <c r="AD88" s="5">
        <v>15.12563636</v>
      </c>
      <c r="AE88" s="5">
        <v>0.8099924869</v>
      </c>
      <c r="AF88" s="5">
        <v>2.42</v>
      </c>
      <c r="AG88" s="5">
        <v>1.443818182</v>
      </c>
      <c r="AH88" s="5">
        <v>23.18379743</v>
      </c>
      <c r="AI88" s="5">
        <v>0.494555821</v>
      </c>
      <c r="AJ88" s="5">
        <v>0.5778794323</v>
      </c>
      <c r="AK88" s="5">
        <v>-0.7749340632</v>
      </c>
      <c r="AL88" s="5">
        <v>-0.1285954484</v>
      </c>
      <c r="AM88" s="5">
        <v>0.2855079318</v>
      </c>
      <c r="AN88" s="5">
        <v>-0.5054375731</v>
      </c>
      <c r="AO88" s="5">
        <v>-0.07807516406</v>
      </c>
      <c r="AP88" s="5">
        <v>0.1160493232</v>
      </c>
      <c r="AQ88" s="5">
        <v>0.3899023461</v>
      </c>
    </row>
    <row r="89">
      <c r="A89" s="342">
        <v>88.0</v>
      </c>
      <c r="B89" s="341">
        <v>100.0</v>
      </c>
      <c r="C89" s="341">
        <v>0.0</v>
      </c>
      <c r="D89" s="341">
        <v>-0.004182502111</v>
      </c>
      <c r="E89" s="342">
        <v>0.002999604119</v>
      </c>
      <c r="F89" s="342">
        <v>0.01120561436</v>
      </c>
      <c r="G89" s="342">
        <v>-0.01538811647</v>
      </c>
      <c r="H89" s="342">
        <v>0.4321701043</v>
      </c>
      <c r="I89" s="343"/>
      <c r="J89" s="342" t="s">
        <v>1620</v>
      </c>
      <c r="K89" s="342" t="s">
        <v>1471</v>
      </c>
      <c r="L89" s="342" t="s">
        <v>1380</v>
      </c>
      <c r="M89" s="342" t="s">
        <v>1621</v>
      </c>
      <c r="N89" s="343"/>
      <c r="O89" s="342" t="s">
        <v>1374</v>
      </c>
      <c r="P89" s="342" t="s">
        <v>1616</v>
      </c>
      <c r="Q89" s="342">
        <v>2.0</v>
      </c>
      <c r="R89" s="342" t="s">
        <v>1603</v>
      </c>
      <c r="S89" s="342" t="s">
        <v>1370</v>
      </c>
      <c r="T89" s="342">
        <v>68.0</v>
      </c>
      <c r="U89" s="342">
        <v>16.0</v>
      </c>
      <c r="V89" s="342">
        <v>33.0</v>
      </c>
      <c r="W89" s="341">
        <v>18.45455882</v>
      </c>
      <c r="X89" s="5">
        <v>3.242205882</v>
      </c>
      <c r="Y89" s="5">
        <v>4.356029412</v>
      </c>
      <c r="Z89" s="5">
        <v>4.424117647</v>
      </c>
      <c r="AA89" s="5">
        <v>0.8055882353</v>
      </c>
      <c r="AB89" s="5">
        <v>0.4808823529</v>
      </c>
      <c r="AC89" s="5">
        <v>0.4369886049</v>
      </c>
      <c r="AD89" s="5">
        <v>15.65426471</v>
      </c>
      <c r="AE89" s="5">
        <v>0.83299992</v>
      </c>
      <c r="AF89" s="5">
        <v>1.837794118</v>
      </c>
      <c r="AG89" s="5">
        <v>1.646617647</v>
      </c>
      <c r="AH89" s="5">
        <v>24.13555317</v>
      </c>
      <c r="AI89" s="5">
        <v>0.4284713335</v>
      </c>
      <c r="AJ89" s="5">
        <v>1.571464001</v>
      </c>
      <c r="AK89" s="5">
        <v>-0.5724491904</v>
      </c>
      <c r="AL89" s="5">
        <v>0.3270997775</v>
      </c>
      <c r="AM89" s="5">
        <v>-0.4269308766</v>
      </c>
      <c r="AN89" s="5">
        <v>-0.3854804746</v>
      </c>
      <c r="AO89" s="5">
        <v>-1.218750219</v>
      </c>
      <c r="AP89" s="5">
        <v>0.2431156316</v>
      </c>
      <c r="AQ89" s="5">
        <v>0.1343105461</v>
      </c>
    </row>
    <row r="90">
      <c r="A90" s="342">
        <v>89.0</v>
      </c>
      <c r="B90" s="341">
        <v>100.0</v>
      </c>
      <c r="C90" s="341">
        <v>0.0</v>
      </c>
      <c r="D90" s="341">
        <v>-0.004536102754</v>
      </c>
      <c r="E90" s="342">
        <v>0.00846368828</v>
      </c>
      <c r="F90" s="342">
        <v>0.1178265662</v>
      </c>
      <c r="G90" s="342">
        <v>-0.1223626689</v>
      </c>
      <c r="H90" s="342">
        <v>0.3033323613</v>
      </c>
      <c r="I90" s="343"/>
      <c r="J90" s="342" t="s">
        <v>1622</v>
      </c>
      <c r="K90" s="342" t="s">
        <v>144</v>
      </c>
      <c r="L90" s="342" t="s">
        <v>1404</v>
      </c>
      <c r="M90" s="342" t="s">
        <v>1623</v>
      </c>
      <c r="N90" s="343"/>
      <c r="O90" s="342" t="s">
        <v>1378</v>
      </c>
      <c r="P90" s="342" t="s">
        <v>1616</v>
      </c>
      <c r="Q90" s="342">
        <v>4.0</v>
      </c>
      <c r="R90" s="342" t="s">
        <v>1624</v>
      </c>
      <c r="S90" s="342" t="s">
        <v>1370</v>
      </c>
      <c r="T90" s="342">
        <v>77.0</v>
      </c>
      <c r="U90" s="342">
        <v>16.0</v>
      </c>
      <c r="V90" s="342">
        <v>35.0</v>
      </c>
      <c r="W90" s="341">
        <v>14.94246753</v>
      </c>
      <c r="X90" s="5">
        <v>2.654935065</v>
      </c>
      <c r="Y90" s="5">
        <v>6.628181818</v>
      </c>
      <c r="Z90" s="5">
        <v>1.546623377</v>
      </c>
      <c r="AA90" s="5">
        <v>0.9588311688</v>
      </c>
      <c r="AB90" s="5">
        <v>0.8828571429</v>
      </c>
      <c r="AC90" s="5">
        <v>0.4471965635</v>
      </c>
      <c r="AD90" s="5">
        <v>12.66766234</v>
      </c>
      <c r="AE90" s="5">
        <v>0.8400546822</v>
      </c>
      <c r="AF90" s="5">
        <v>1.14</v>
      </c>
      <c r="AG90" s="5">
        <v>0.882987013</v>
      </c>
      <c r="AH90" s="5">
        <v>17.3385431</v>
      </c>
      <c r="AI90" s="5">
        <v>-0.161165847</v>
      </c>
      <c r="AJ90" s="5">
        <v>0.9948935</v>
      </c>
      <c r="AK90" s="5">
        <v>0.3367400392</v>
      </c>
      <c r="AL90" s="5">
        <v>-1.001885161</v>
      </c>
      <c r="AM90" s="5">
        <v>0.05682506073</v>
      </c>
      <c r="AN90" s="5">
        <v>0.3494685359</v>
      </c>
      <c r="AO90" s="5">
        <v>-0.7902280353</v>
      </c>
      <c r="AP90" s="5">
        <v>0.1790630855</v>
      </c>
      <c r="AQ90" s="5">
        <v>1.096727918</v>
      </c>
    </row>
    <row r="91">
      <c r="A91" s="342">
        <v>90.0</v>
      </c>
      <c r="B91" s="341">
        <v>100.0</v>
      </c>
      <c r="C91" s="341">
        <v>0.0</v>
      </c>
      <c r="D91" s="341">
        <v>-0.004917318446</v>
      </c>
      <c r="E91" s="342">
        <v>-6.103528949E-4</v>
      </c>
      <c r="F91" s="342">
        <v>0.0265952905</v>
      </c>
      <c r="G91" s="342">
        <v>-0.03151260894</v>
      </c>
      <c r="H91" s="342">
        <v>0.04565687519</v>
      </c>
      <c r="I91" s="343"/>
      <c r="J91" s="342" t="s">
        <v>1625</v>
      </c>
      <c r="K91" s="342" t="s">
        <v>126</v>
      </c>
      <c r="L91" s="342" t="s">
        <v>34</v>
      </c>
      <c r="M91" s="342" t="s">
        <v>1626</v>
      </c>
      <c r="N91" s="343"/>
      <c r="O91" s="342" t="s">
        <v>1368</v>
      </c>
      <c r="P91" s="343"/>
      <c r="Q91" s="342">
        <v>3.0</v>
      </c>
      <c r="R91" s="342" t="s">
        <v>1597</v>
      </c>
      <c r="S91" s="342" t="s">
        <v>1370</v>
      </c>
      <c r="T91" s="342">
        <v>73.0</v>
      </c>
      <c r="U91" s="342">
        <v>15.0</v>
      </c>
      <c r="V91" s="342">
        <v>27.0</v>
      </c>
      <c r="W91" s="341">
        <v>12.01561644</v>
      </c>
      <c r="X91" s="5">
        <v>0.0</v>
      </c>
      <c r="Y91" s="5">
        <v>8.805890411</v>
      </c>
      <c r="Z91" s="5">
        <v>2.684657534</v>
      </c>
      <c r="AA91" s="5">
        <v>0.7971232877</v>
      </c>
      <c r="AB91" s="5">
        <v>1.704383562</v>
      </c>
      <c r="AC91" s="5">
        <v>0.61</v>
      </c>
      <c r="AD91" s="5">
        <v>8.863013699</v>
      </c>
      <c r="AE91" s="5">
        <v>0.590014112</v>
      </c>
      <c r="AF91" s="5">
        <v>2.038493151</v>
      </c>
      <c r="AG91" s="5">
        <v>1.532054795</v>
      </c>
      <c r="AH91" s="5">
        <v>18.00612122</v>
      </c>
      <c r="AI91" s="5">
        <v>-0.652548355</v>
      </c>
      <c r="AJ91" s="5">
        <v>-1.611667555</v>
      </c>
      <c r="AK91" s="5">
        <v>1.208138099</v>
      </c>
      <c r="AL91" s="5">
        <v>-0.4762784655</v>
      </c>
      <c r="AM91" s="5">
        <v>-0.4536529484</v>
      </c>
      <c r="AN91" s="5">
        <v>1.851503101</v>
      </c>
      <c r="AO91" s="5">
        <v>1.651006096</v>
      </c>
      <c r="AP91" s="5">
        <v>-1.555838519</v>
      </c>
      <c r="AQ91" s="5">
        <v>0.278696162</v>
      </c>
    </row>
    <row r="92">
      <c r="A92" s="342">
        <v>91.0</v>
      </c>
      <c r="B92" s="341">
        <v>100.0</v>
      </c>
      <c r="C92" s="341">
        <v>0.0</v>
      </c>
      <c r="D92" s="341">
        <v>-0.00627154014</v>
      </c>
      <c r="E92" s="342">
        <v>0.01189902668</v>
      </c>
      <c r="F92" s="342">
        <v>0.05926857661</v>
      </c>
      <c r="G92" s="342">
        <v>-0.06554011675</v>
      </c>
      <c r="H92" s="342">
        <v>0.3194370791</v>
      </c>
      <c r="I92" s="343"/>
      <c r="J92" s="342" t="s">
        <v>1627</v>
      </c>
      <c r="K92" s="342" t="s">
        <v>102</v>
      </c>
      <c r="L92" s="342" t="s">
        <v>34</v>
      </c>
      <c r="M92" s="342" t="s">
        <v>1628</v>
      </c>
      <c r="N92" s="343"/>
      <c r="O92" s="342" t="s">
        <v>1368</v>
      </c>
      <c r="P92" s="342" t="s">
        <v>1399</v>
      </c>
      <c r="Q92" s="342">
        <v>4.0</v>
      </c>
      <c r="R92" s="342" t="s">
        <v>1573</v>
      </c>
      <c r="S92" s="342" t="s">
        <v>1370</v>
      </c>
      <c r="T92" s="342">
        <v>73.0</v>
      </c>
      <c r="U92" s="342">
        <v>16.0</v>
      </c>
      <c r="V92" s="342">
        <v>29.0</v>
      </c>
      <c r="W92" s="341">
        <v>14.28589041</v>
      </c>
      <c r="X92" s="5">
        <v>0.0</v>
      </c>
      <c r="Y92" s="5">
        <v>10.12465753</v>
      </c>
      <c r="Z92" s="5">
        <v>1.606712329</v>
      </c>
      <c r="AA92" s="5">
        <v>0.4216438356</v>
      </c>
      <c r="AB92" s="5">
        <v>1.229452055</v>
      </c>
      <c r="AC92" s="5">
        <v>0.6339964633</v>
      </c>
      <c r="AD92" s="5">
        <v>9.295890411</v>
      </c>
      <c r="AE92" s="5">
        <v>0.768009768</v>
      </c>
      <c r="AF92" s="5">
        <v>3.253561644</v>
      </c>
      <c r="AG92" s="5">
        <v>1.290136986</v>
      </c>
      <c r="AH92" s="5">
        <v>18.43322671</v>
      </c>
      <c r="AI92" s="5">
        <v>-0.2713971168</v>
      </c>
      <c r="AJ92" s="5">
        <v>-1.611667555</v>
      </c>
      <c r="AK92" s="5">
        <v>1.735835476</v>
      </c>
      <c r="AL92" s="5">
        <v>-0.9741327818</v>
      </c>
      <c r="AM92" s="5">
        <v>-1.638963162</v>
      </c>
      <c r="AN92" s="5">
        <v>0.9831639665</v>
      </c>
      <c r="AO92" s="5">
        <v>2.073226149</v>
      </c>
      <c r="AP92" s="5">
        <v>-0.3462372959</v>
      </c>
      <c r="AQ92" s="5">
        <v>0.5835895106</v>
      </c>
    </row>
    <row r="93">
      <c r="A93" s="342">
        <v>92.0</v>
      </c>
      <c r="B93" s="341">
        <v>100.0</v>
      </c>
      <c r="C93" s="341">
        <v>0.0</v>
      </c>
      <c r="D93" s="341">
        <v>-0.01039158534</v>
      </c>
      <c r="E93" s="342">
        <v>-0.06848233708</v>
      </c>
      <c r="F93" s="342">
        <v>0.1005327155</v>
      </c>
      <c r="G93" s="342">
        <v>-0.1109243009</v>
      </c>
      <c r="H93" s="342">
        <v>-0.4696940969</v>
      </c>
      <c r="I93" s="343"/>
      <c r="J93" s="342" t="s">
        <v>1629</v>
      </c>
      <c r="K93" s="342" t="s">
        <v>57</v>
      </c>
      <c r="L93" s="342" t="s">
        <v>1366</v>
      </c>
      <c r="M93" s="342" t="s">
        <v>1630</v>
      </c>
      <c r="N93" s="343"/>
      <c r="O93" s="342" t="s">
        <v>1368</v>
      </c>
      <c r="P93" s="342" t="s">
        <v>1616</v>
      </c>
      <c r="Q93" s="342">
        <v>2.0</v>
      </c>
      <c r="R93" s="342" t="s">
        <v>1573</v>
      </c>
      <c r="S93" s="342" t="s">
        <v>1560</v>
      </c>
      <c r="T93" s="342">
        <v>73.0</v>
      </c>
      <c r="U93" s="342">
        <v>13.0</v>
      </c>
      <c r="V93" s="342">
        <v>23.0</v>
      </c>
      <c r="W93" s="341">
        <v>10.43520548</v>
      </c>
      <c r="X93" s="5">
        <v>0.0</v>
      </c>
      <c r="Y93" s="5">
        <v>6.630273973</v>
      </c>
      <c r="Z93" s="5">
        <v>1.597123288</v>
      </c>
      <c r="AA93" s="5">
        <v>0.7239726027</v>
      </c>
      <c r="AB93" s="5">
        <v>1.79369863</v>
      </c>
      <c r="AC93" s="5">
        <v>0.7399957109</v>
      </c>
      <c r="AD93" s="5">
        <v>6.387671233</v>
      </c>
      <c r="AE93" s="5">
        <v>0.6680029834</v>
      </c>
      <c r="AF93" s="5">
        <v>1.469315068</v>
      </c>
      <c r="AG93" s="5">
        <v>0.9693150685</v>
      </c>
      <c r="AH93" s="5">
        <v>14.93179938</v>
      </c>
      <c r="AI93" s="5">
        <v>-0.9178800291</v>
      </c>
      <c r="AJ93" s="5">
        <v>-1.611667555</v>
      </c>
      <c r="AK93" s="5">
        <v>0.3375772032</v>
      </c>
      <c r="AL93" s="5">
        <v>-0.9785615278</v>
      </c>
      <c r="AM93" s="5">
        <v>-0.6845743837</v>
      </c>
      <c r="AN93" s="5">
        <v>2.014801951</v>
      </c>
      <c r="AO93" s="5">
        <v>2.457207871</v>
      </c>
      <c r="AP93" s="5">
        <v>-0.7000362126</v>
      </c>
      <c r="AQ93" s="5">
        <v>0.9879271224</v>
      </c>
    </row>
    <row r="94">
      <c r="A94" s="342">
        <v>93.0</v>
      </c>
      <c r="B94" s="341">
        <v>100.0</v>
      </c>
      <c r="C94" s="341">
        <v>0.0</v>
      </c>
      <c r="D94" s="341">
        <v>-0.02648356322</v>
      </c>
      <c r="E94" s="342">
        <v>0.002027326907</v>
      </c>
      <c r="F94" s="342">
        <v>0.04557713574</v>
      </c>
      <c r="G94" s="342">
        <v>-0.07206069896</v>
      </c>
      <c r="H94" s="342">
        <v>-0.6307412757</v>
      </c>
      <c r="I94" s="343"/>
      <c r="J94" s="342" t="s">
        <v>1631</v>
      </c>
      <c r="K94" s="342" t="s">
        <v>1471</v>
      </c>
      <c r="L94" s="342" t="s">
        <v>1404</v>
      </c>
      <c r="M94" s="342" t="s">
        <v>1632</v>
      </c>
      <c r="N94" s="343"/>
      <c r="O94" s="342" t="s">
        <v>1378</v>
      </c>
      <c r="P94" s="343"/>
      <c r="Q94" s="342">
        <v>2.0</v>
      </c>
      <c r="R94" s="342" t="s">
        <v>1633</v>
      </c>
      <c r="S94" s="342" t="s">
        <v>1560</v>
      </c>
      <c r="T94" s="342">
        <v>77.0</v>
      </c>
      <c r="U94" s="342">
        <v>16.0</v>
      </c>
      <c r="V94" s="342">
        <v>32.0</v>
      </c>
      <c r="W94" s="341">
        <v>9.722077922</v>
      </c>
      <c r="X94" s="5">
        <v>1.309480519</v>
      </c>
      <c r="Y94" s="5">
        <v>4.818051948</v>
      </c>
      <c r="Z94" s="5">
        <v>2.375974026</v>
      </c>
      <c r="AA94" s="5">
        <v>1.571688312</v>
      </c>
      <c r="AB94" s="5">
        <v>0.7298701299</v>
      </c>
      <c r="AC94" s="5">
        <v>0.4685706033</v>
      </c>
      <c r="AD94" s="5">
        <v>7.194025974</v>
      </c>
      <c r="AE94" s="5">
        <v>0.8399712719</v>
      </c>
      <c r="AF94" s="5">
        <v>1.989090909</v>
      </c>
      <c r="AG94" s="5">
        <v>1.25961039</v>
      </c>
      <c r="AH94" s="5">
        <v>12.82159197</v>
      </c>
      <c r="AI94" s="5">
        <v>-1.037605426</v>
      </c>
      <c r="AJ94" s="5">
        <v>-0.3260463098</v>
      </c>
      <c r="AK94" s="5">
        <v>-0.3875734256</v>
      </c>
      <c r="AL94" s="5">
        <v>-0.6188454681</v>
      </c>
      <c r="AM94" s="5">
        <v>1.991487069</v>
      </c>
      <c r="AN94" s="5">
        <v>0.06975533834</v>
      </c>
      <c r="AO94" s="5">
        <v>-0.2175882051</v>
      </c>
      <c r="AP94" s="5">
        <v>0.3145479208</v>
      </c>
      <c r="AQ94" s="5">
        <v>0.6220627274</v>
      </c>
    </row>
    <row r="95">
      <c r="A95" s="342">
        <v>94.0</v>
      </c>
      <c r="B95" s="341">
        <v>100.0</v>
      </c>
      <c r="C95" s="341">
        <v>0.0</v>
      </c>
      <c r="D95" s="341">
        <v>-0.02960682851</v>
      </c>
      <c r="E95" s="342">
        <v>0.00261544317</v>
      </c>
      <c r="F95" s="342">
        <v>-0.2013371479</v>
      </c>
      <c r="G95" s="342">
        <v>0.1717303194</v>
      </c>
      <c r="H95" s="342">
        <v>-1.033359223</v>
      </c>
      <c r="I95" s="343"/>
      <c r="J95" s="342" t="s">
        <v>1634</v>
      </c>
      <c r="K95" s="342" t="s">
        <v>287</v>
      </c>
      <c r="L95" s="342" t="s">
        <v>1404</v>
      </c>
      <c r="M95" s="342" t="s">
        <v>1635</v>
      </c>
      <c r="N95" s="343"/>
      <c r="O95" s="342" t="s">
        <v>1368</v>
      </c>
      <c r="P95" s="343"/>
      <c r="Q95" s="342">
        <v>4.0</v>
      </c>
      <c r="R95" s="342" t="s">
        <v>1624</v>
      </c>
      <c r="S95" s="342" t="s">
        <v>1370</v>
      </c>
      <c r="T95" s="342">
        <v>73.0</v>
      </c>
      <c r="U95" s="342">
        <v>16.0</v>
      </c>
      <c r="V95" s="342">
        <v>33.0</v>
      </c>
      <c r="W95" s="341">
        <v>21.66260274</v>
      </c>
      <c r="X95" s="5">
        <v>1.784109589</v>
      </c>
      <c r="Y95" s="5">
        <v>6.006027397</v>
      </c>
      <c r="Z95" s="5">
        <v>4.29</v>
      </c>
      <c r="AA95" s="5">
        <v>0.6387671233</v>
      </c>
      <c r="AB95" s="5">
        <v>0.718630137</v>
      </c>
      <c r="AC95" s="5">
        <v>0.4744839783</v>
      </c>
      <c r="AD95" s="5">
        <v>17.66013699</v>
      </c>
      <c r="AE95" s="5">
        <v>0.7680089033</v>
      </c>
      <c r="AF95" s="5">
        <v>4.061917808</v>
      </c>
      <c r="AG95" s="5">
        <v>3.003013699</v>
      </c>
      <c r="AH95" s="5">
        <v>28.61368215</v>
      </c>
      <c r="AI95" s="5">
        <v>0.9670626778</v>
      </c>
      <c r="AJ95" s="5">
        <v>0.1399348227</v>
      </c>
      <c r="AK95" s="5">
        <v>0.08778838569</v>
      </c>
      <c r="AL95" s="5">
        <v>0.2651568799</v>
      </c>
      <c r="AM95" s="5">
        <v>-0.9535502877</v>
      </c>
      <c r="AN95" s="5">
        <v>0.049204742</v>
      </c>
      <c r="AO95" s="5">
        <v>-0.3610877663</v>
      </c>
      <c r="AP95" s="5">
        <v>-0.4313640823</v>
      </c>
      <c r="AQ95" s="5">
        <v>-1.575179703</v>
      </c>
    </row>
    <row r="96">
      <c r="A96" s="342">
        <v>95.0</v>
      </c>
      <c r="B96" s="341">
        <v>100.0</v>
      </c>
      <c r="C96" s="341">
        <v>0.0</v>
      </c>
      <c r="D96" s="341">
        <v>-0.0441463316</v>
      </c>
      <c r="E96" s="342">
        <v>0.001336523302</v>
      </c>
      <c r="F96" s="342">
        <v>-5.735647871E-4</v>
      </c>
      <c r="G96" s="342">
        <v>-0.04357276681</v>
      </c>
      <c r="H96" s="342">
        <v>0.06176159307</v>
      </c>
      <c r="I96" s="343"/>
      <c r="J96" s="342" t="s">
        <v>1636</v>
      </c>
      <c r="K96" s="342" t="s">
        <v>180</v>
      </c>
      <c r="L96" s="342" t="s">
        <v>1413</v>
      </c>
      <c r="M96" s="342" t="s">
        <v>1637</v>
      </c>
      <c r="N96" s="343"/>
      <c r="O96" s="342" t="s">
        <v>1374</v>
      </c>
      <c r="P96" s="343"/>
      <c r="Q96" s="342">
        <v>2.0</v>
      </c>
      <c r="R96" s="343"/>
      <c r="S96" s="342" t="s">
        <v>1434</v>
      </c>
      <c r="T96" s="342">
        <v>68.0</v>
      </c>
      <c r="U96" s="342">
        <v>16.0</v>
      </c>
      <c r="V96" s="342">
        <v>26.0</v>
      </c>
      <c r="W96" s="341">
        <v>11.99764706</v>
      </c>
      <c r="X96" s="5">
        <v>0.1511764706</v>
      </c>
      <c r="Y96" s="5">
        <v>6.947941176</v>
      </c>
      <c r="Z96" s="5">
        <v>3.227794118</v>
      </c>
      <c r="AA96" s="5">
        <v>1.416176471</v>
      </c>
      <c r="AB96" s="5">
        <v>0.7680882353</v>
      </c>
      <c r="AC96" s="5">
        <v>0.5641206775</v>
      </c>
      <c r="AD96" s="5">
        <v>8.535147059</v>
      </c>
      <c r="AE96" s="5">
        <v>0.7019978578</v>
      </c>
      <c r="AF96" s="5">
        <v>3.157794118</v>
      </c>
      <c r="AG96" s="5">
        <v>1.477058824</v>
      </c>
      <c r="AH96" s="5">
        <v>18.36641142</v>
      </c>
      <c r="AI96" s="5">
        <v>-0.6555651941</v>
      </c>
      <c r="AJ96" s="5">
        <v>-1.463245582</v>
      </c>
      <c r="AK96" s="5">
        <v>0.4646899795</v>
      </c>
      <c r="AL96" s="5">
        <v>-0.2254281523</v>
      </c>
      <c r="AM96" s="5">
        <v>1.500568665</v>
      </c>
      <c r="AN96" s="5">
        <v>0.1396312596</v>
      </c>
      <c r="AO96" s="5">
        <v>0.9907435497</v>
      </c>
      <c r="AP96" s="5">
        <v>-1.104565178</v>
      </c>
      <c r="AQ96" s="5">
        <v>0.3480085697</v>
      </c>
    </row>
    <row r="97">
      <c r="A97" s="342">
        <v>96.0</v>
      </c>
      <c r="B97" s="341">
        <v>98.0</v>
      </c>
      <c r="C97" s="341">
        <v>0.2</v>
      </c>
      <c r="D97" s="341">
        <v>-0.04616290354</v>
      </c>
      <c r="E97" s="342">
        <v>0.0795609708</v>
      </c>
      <c r="F97" s="342">
        <v>-0.03690435848</v>
      </c>
      <c r="G97" s="342">
        <v>-0.009258545055</v>
      </c>
      <c r="H97" s="342">
        <v>0.9797305122</v>
      </c>
      <c r="I97" s="343"/>
      <c r="J97" s="342" t="s">
        <v>1638</v>
      </c>
      <c r="K97" s="342" t="s">
        <v>1421</v>
      </c>
      <c r="L97" s="342" t="s">
        <v>1413</v>
      </c>
      <c r="M97" s="342" t="s">
        <v>1639</v>
      </c>
      <c r="N97" s="343"/>
      <c r="O97" s="342" t="s">
        <v>1368</v>
      </c>
      <c r="P97" s="343"/>
      <c r="Q97" s="342">
        <v>4.0</v>
      </c>
      <c r="R97" s="342" t="s">
        <v>1633</v>
      </c>
      <c r="S97" s="342" t="s">
        <v>1370</v>
      </c>
      <c r="T97" s="342">
        <v>73.0</v>
      </c>
      <c r="U97" s="342">
        <v>15.0</v>
      </c>
      <c r="V97" s="342">
        <v>37.0</v>
      </c>
      <c r="W97" s="341">
        <v>8.972739726</v>
      </c>
      <c r="X97" s="5">
        <v>0.7701369863</v>
      </c>
      <c r="Y97" s="5">
        <v>9.693972603</v>
      </c>
      <c r="Z97" s="5">
        <v>4.883972603</v>
      </c>
      <c r="AA97" s="5">
        <v>1.086849315</v>
      </c>
      <c r="AB97" s="5">
        <v>0.3756164384</v>
      </c>
      <c r="AC97" s="5">
        <v>0.4730107449</v>
      </c>
      <c r="AD97" s="5">
        <v>7.54739726</v>
      </c>
      <c r="AE97" s="5">
        <v>0.7660477977</v>
      </c>
      <c r="AF97" s="5">
        <v>1.387123288</v>
      </c>
      <c r="AG97" s="5">
        <v>1.72369863</v>
      </c>
      <c r="AH97" s="5">
        <v>11.91885702</v>
      </c>
      <c r="AI97" s="5">
        <v>-1.163410146</v>
      </c>
      <c r="AJ97" s="5">
        <v>-0.8555627819</v>
      </c>
      <c r="AK97" s="5">
        <v>1.56349928</v>
      </c>
      <c r="AL97" s="5">
        <v>0.5394860597</v>
      </c>
      <c r="AM97" s="5">
        <v>0.4609516126</v>
      </c>
      <c r="AN97" s="5">
        <v>-0.5779429915</v>
      </c>
      <c r="AO97" s="5">
        <v>-0.176576742</v>
      </c>
      <c r="AP97" s="5">
        <v>-0.1597475199</v>
      </c>
      <c r="AQ97" s="5">
        <v>0.03716400195</v>
      </c>
    </row>
    <row r="98">
      <c r="A98" s="342">
        <v>97.0</v>
      </c>
      <c r="B98" s="341">
        <v>100.0</v>
      </c>
      <c r="C98" s="341">
        <v>0.0</v>
      </c>
      <c r="D98" s="341">
        <v>-0.06324935259</v>
      </c>
      <c r="E98" s="342">
        <v>0.00171490448</v>
      </c>
      <c r="F98" s="342">
        <v>-0.0476028807</v>
      </c>
      <c r="G98" s="342">
        <v>-0.01564647189</v>
      </c>
      <c r="H98" s="342">
        <v>0.609322001</v>
      </c>
      <c r="I98" s="343"/>
      <c r="J98" s="342" t="s">
        <v>1640</v>
      </c>
      <c r="K98" s="342" t="s">
        <v>1365</v>
      </c>
      <c r="L98" s="342" t="s">
        <v>1380</v>
      </c>
      <c r="M98" s="342" t="s">
        <v>1641</v>
      </c>
      <c r="N98" s="343"/>
      <c r="O98" s="342" t="s">
        <v>1374</v>
      </c>
      <c r="P98" s="342" t="s">
        <v>1642</v>
      </c>
      <c r="Q98" s="342">
        <v>4.0</v>
      </c>
      <c r="R98" s="342" t="s">
        <v>1643</v>
      </c>
      <c r="S98" s="342" t="s">
        <v>1370</v>
      </c>
      <c r="T98" s="342">
        <v>61.0</v>
      </c>
      <c r="U98" s="342">
        <v>15.0</v>
      </c>
      <c r="V98" s="342">
        <v>28.0</v>
      </c>
      <c r="W98" s="341">
        <v>9.503770492</v>
      </c>
      <c r="X98" s="5">
        <v>1.234918033</v>
      </c>
      <c r="Y98" s="5">
        <v>3.675081967</v>
      </c>
      <c r="Z98" s="5">
        <v>8.05</v>
      </c>
      <c r="AA98" s="5">
        <v>1.298196721</v>
      </c>
      <c r="AB98" s="5">
        <v>0.1737704918</v>
      </c>
      <c r="AC98" s="5">
        <v>0.4577398819</v>
      </c>
      <c r="AD98" s="5">
        <v>8.574918033</v>
      </c>
      <c r="AE98" s="5">
        <v>0.8138942001</v>
      </c>
      <c r="AF98" s="5">
        <v>0.5144262295</v>
      </c>
      <c r="AG98" s="5">
        <v>1.691639344</v>
      </c>
      <c r="AH98" s="5">
        <v>16.25844904</v>
      </c>
      <c r="AI98" s="5">
        <v>-1.074256574</v>
      </c>
      <c r="AJ98" s="5">
        <v>-0.3992502373</v>
      </c>
      <c r="AK98" s="5">
        <v>-0.8449265474</v>
      </c>
      <c r="AL98" s="5">
        <v>2.001731448</v>
      </c>
      <c r="AM98" s="5">
        <v>1.128131236</v>
      </c>
      <c r="AN98" s="5">
        <v>-0.9469872261</v>
      </c>
      <c r="AO98" s="5">
        <v>-0.3996214378</v>
      </c>
      <c r="AP98" s="5">
        <v>0.0291845183</v>
      </c>
      <c r="AQ98" s="5">
        <v>0.07756889441</v>
      </c>
    </row>
    <row r="99">
      <c r="A99" s="342">
        <v>98.0</v>
      </c>
      <c r="B99" s="341">
        <v>100.0</v>
      </c>
      <c r="C99" s="341">
        <v>0.0</v>
      </c>
      <c r="D99" s="341">
        <v>-0.07377732625</v>
      </c>
      <c r="E99" s="342">
        <v>-0.009659797348</v>
      </c>
      <c r="F99" s="342">
        <v>-0.1087299243</v>
      </c>
      <c r="G99" s="342">
        <v>0.03495259802</v>
      </c>
      <c r="H99" s="342">
        <v>-1.017254505</v>
      </c>
      <c r="I99" s="343"/>
      <c r="J99" s="342" t="s">
        <v>1644</v>
      </c>
      <c r="K99" s="342" t="s">
        <v>169</v>
      </c>
      <c r="L99" s="342" t="s">
        <v>1380</v>
      </c>
      <c r="M99" s="342" t="s">
        <v>1645</v>
      </c>
      <c r="N99" s="343"/>
      <c r="O99" s="342" t="s">
        <v>1374</v>
      </c>
      <c r="P99" s="343"/>
      <c r="Q99" s="342">
        <v>3.0</v>
      </c>
      <c r="R99" s="342" t="s">
        <v>1603</v>
      </c>
      <c r="S99" s="342" t="s">
        <v>1370</v>
      </c>
      <c r="T99" s="342">
        <v>68.0</v>
      </c>
      <c r="U99" s="342">
        <v>15.0</v>
      </c>
      <c r="V99" s="342">
        <v>34.0</v>
      </c>
      <c r="W99" s="341">
        <v>19.46397059</v>
      </c>
      <c r="X99" s="5">
        <v>2.970882353</v>
      </c>
      <c r="Y99" s="5">
        <v>5.221764706</v>
      </c>
      <c r="Z99" s="5">
        <v>4.328676471</v>
      </c>
      <c r="AA99" s="5">
        <v>0.6220588235</v>
      </c>
      <c r="AB99" s="5">
        <v>0.06838235294</v>
      </c>
      <c r="AC99" s="5">
        <v>0.4448603749</v>
      </c>
      <c r="AD99" s="5">
        <v>16.14617647</v>
      </c>
      <c r="AE99" s="5">
        <v>0.8699861687</v>
      </c>
      <c r="AF99" s="5">
        <v>2.445441176</v>
      </c>
      <c r="AG99" s="5">
        <v>2.061323529</v>
      </c>
      <c r="AH99" s="5">
        <v>25.87255819</v>
      </c>
      <c r="AI99" s="5">
        <v>0.5979392254</v>
      </c>
      <c r="AJ99" s="5">
        <v>1.305084098</v>
      </c>
      <c r="AK99" s="5">
        <v>-0.2260299965</v>
      </c>
      <c r="AL99" s="5">
        <v>0.2830197988</v>
      </c>
      <c r="AM99" s="5">
        <v>-1.006294901</v>
      </c>
      <c r="AN99" s="5">
        <v>-1.139673211</v>
      </c>
      <c r="AO99" s="5">
        <v>-1.062388625</v>
      </c>
      <c r="AP99" s="5">
        <v>0.6581250009</v>
      </c>
      <c r="AQ99" s="5">
        <v>-0.3883507085</v>
      </c>
    </row>
    <row r="100">
      <c r="A100" s="342">
        <v>99.0</v>
      </c>
      <c r="B100" s="341">
        <v>99.0</v>
      </c>
      <c r="C100" s="341">
        <v>-1.2</v>
      </c>
      <c r="D100" s="341">
        <v>-0.07568121611</v>
      </c>
      <c r="E100" s="342">
        <v>0.001385448337</v>
      </c>
      <c r="F100" s="342">
        <v>0.03185773738</v>
      </c>
      <c r="G100" s="342">
        <v>-0.1075389535</v>
      </c>
      <c r="H100" s="342">
        <v>0.9797305122</v>
      </c>
      <c r="I100" s="343"/>
      <c r="J100" s="342" t="s">
        <v>1646</v>
      </c>
      <c r="K100" s="342" t="s">
        <v>40</v>
      </c>
      <c r="L100" s="342" t="s">
        <v>1404</v>
      </c>
      <c r="M100" s="342" t="s">
        <v>1647</v>
      </c>
      <c r="N100" s="343"/>
      <c r="O100" s="342" t="s">
        <v>1374</v>
      </c>
      <c r="P100" s="343"/>
      <c r="Q100" s="342">
        <v>4.0</v>
      </c>
      <c r="R100" s="342" t="s">
        <v>1633</v>
      </c>
      <c r="S100" s="342" t="s">
        <v>1370</v>
      </c>
      <c r="T100" s="342">
        <v>68.0</v>
      </c>
      <c r="U100" s="342">
        <v>16.0</v>
      </c>
      <c r="V100" s="342">
        <v>32.0</v>
      </c>
      <c r="W100" s="341">
        <v>16.79617647</v>
      </c>
      <c r="X100" s="5">
        <v>2.626470588</v>
      </c>
      <c r="Y100" s="5">
        <v>6.206617647</v>
      </c>
      <c r="Z100" s="5">
        <v>1.372058824</v>
      </c>
      <c r="AA100" s="5">
        <v>0.5895588235</v>
      </c>
      <c r="AB100" s="5">
        <v>0.5869117647</v>
      </c>
      <c r="AC100" s="5">
        <v>0.4910021389</v>
      </c>
      <c r="AD100" s="5">
        <v>13.13220588</v>
      </c>
      <c r="AE100" s="5">
        <v>0.8779647273</v>
      </c>
      <c r="AF100" s="5">
        <v>1.450882353</v>
      </c>
      <c r="AG100" s="5">
        <v>1.045294118</v>
      </c>
      <c r="AH100" s="5">
        <v>20.35543457</v>
      </c>
      <c r="AI100" s="5">
        <v>0.1500492158</v>
      </c>
      <c r="AJ100" s="5">
        <v>0.9669476578</v>
      </c>
      <c r="AK100" s="5">
        <v>0.1680534657</v>
      </c>
      <c r="AL100" s="5">
        <v>-1.082508662</v>
      </c>
      <c r="AM100" s="5">
        <v>-1.108890613</v>
      </c>
      <c r="AN100" s="5">
        <v>-0.1916220208</v>
      </c>
      <c r="AO100" s="5">
        <v>0.06087216115</v>
      </c>
      <c r="AP100" s="5">
        <v>0.4316490666</v>
      </c>
      <c r="AQ100" s="5">
        <v>0.8921693653</v>
      </c>
    </row>
    <row r="101">
      <c r="A101" s="342">
        <v>100.0</v>
      </c>
      <c r="B101" s="341">
        <v>99.0</v>
      </c>
      <c r="C101" s="341">
        <v>0.1</v>
      </c>
      <c r="D101" s="341">
        <v>-0.09059723154</v>
      </c>
      <c r="E101" s="342">
        <v>0.0367514821</v>
      </c>
      <c r="F101" s="342">
        <v>-0.3212139785</v>
      </c>
      <c r="G101" s="342">
        <v>0.230616747</v>
      </c>
      <c r="H101" s="342">
        <v>0.8831022049</v>
      </c>
      <c r="I101" s="343"/>
      <c r="J101" s="342" t="s">
        <v>1648</v>
      </c>
      <c r="K101" s="342" t="s">
        <v>148</v>
      </c>
      <c r="L101" s="342" t="s">
        <v>1380</v>
      </c>
      <c r="M101" s="342" t="s">
        <v>1649</v>
      </c>
      <c r="N101" s="343"/>
      <c r="O101" s="342" t="s">
        <v>1368</v>
      </c>
      <c r="P101" s="342" t="s">
        <v>1437</v>
      </c>
      <c r="Q101" s="342">
        <v>2.0</v>
      </c>
      <c r="R101" s="343"/>
      <c r="S101" s="342" t="s">
        <v>1370</v>
      </c>
      <c r="T101" s="342">
        <v>73.0</v>
      </c>
      <c r="U101" s="342">
        <v>15.0</v>
      </c>
      <c r="V101" s="342">
        <v>33.0</v>
      </c>
      <c r="W101" s="341">
        <v>18.19739726</v>
      </c>
      <c r="X101" s="5">
        <v>2.684246575</v>
      </c>
      <c r="Y101" s="5">
        <v>2.916438356</v>
      </c>
      <c r="Z101" s="5">
        <v>6.18</v>
      </c>
      <c r="AA101" s="5">
        <v>0.7638356164</v>
      </c>
      <c r="AB101" s="5">
        <v>0.1367123288</v>
      </c>
      <c r="AC101" s="5">
        <v>0.4156589368</v>
      </c>
      <c r="AD101" s="5">
        <v>14.44315068</v>
      </c>
      <c r="AE101" s="5">
        <v>0.8670144299</v>
      </c>
      <c r="AF101" s="5">
        <v>4.044109589</v>
      </c>
      <c r="AG101" s="5">
        <v>3.471917808</v>
      </c>
      <c r="AH101" s="5">
        <v>25.45626949</v>
      </c>
      <c r="AI101" s="5">
        <v>0.3852970517</v>
      </c>
      <c r="AJ101" s="5">
        <v>1.023670943</v>
      </c>
      <c r="AK101" s="5">
        <v>-1.148493596</v>
      </c>
      <c r="AL101" s="5">
        <v>1.138062713</v>
      </c>
      <c r="AM101" s="5">
        <v>-0.5587351746</v>
      </c>
      <c r="AN101" s="5">
        <v>-1.014742371</v>
      </c>
      <c r="AO101" s="5">
        <v>-1.596293174</v>
      </c>
      <c r="AP101" s="5">
        <v>1.046455756</v>
      </c>
      <c r="AQ101" s="5">
        <v>-2.166147954</v>
      </c>
    </row>
    <row r="102">
      <c r="A102" s="342">
        <v>101.0</v>
      </c>
      <c r="B102" s="341">
        <v>100.0</v>
      </c>
      <c r="C102" s="341">
        <v>0.0</v>
      </c>
      <c r="D102" s="341">
        <v>-0.09178949817</v>
      </c>
      <c r="E102" s="342">
        <v>0.00689509583</v>
      </c>
      <c r="F102" s="342">
        <v>-0.08840082824</v>
      </c>
      <c r="G102" s="342">
        <v>-0.003388669925</v>
      </c>
      <c r="H102" s="342">
        <v>-1.274929991</v>
      </c>
      <c r="I102" s="343"/>
      <c r="J102" s="342" t="s">
        <v>1650</v>
      </c>
      <c r="K102" s="342" t="s">
        <v>1396</v>
      </c>
      <c r="L102" s="342" t="s">
        <v>1366</v>
      </c>
      <c r="M102" s="342" t="s">
        <v>1651</v>
      </c>
      <c r="N102" s="343"/>
      <c r="O102" s="342" t="s">
        <v>1378</v>
      </c>
      <c r="P102" s="342" t="s">
        <v>1501</v>
      </c>
      <c r="Q102" s="342">
        <v>3.0</v>
      </c>
      <c r="R102" s="342" t="s">
        <v>1624</v>
      </c>
      <c r="S102" s="342" t="s">
        <v>1560</v>
      </c>
      <c r="T102" s="342">
        <v>77.0</v>
      </c>
      <c r="U102" s="342">
        <v>14.0</v>
      </c>
      <c r="V102" s="342">
        <v>30.0</v>
      </c>
      <c r="W102" s="341">
        <v>18.77363636</v>
      </c>
      <c r="X102" s="5">
        <v>0.7936363636</v>
      </c>
      <c r="Y102" s="5">
        <v>5.437532468</v>
      </c>
      <c r="Z102" s="5">
        <v>3.25</v>
      </c>
      <c r="AA102" s="5">
        <v>0.8842857143</v>
      </c>
      <c r="AB102" s="5">
        <v>0.5585714286</v>
      </c>
      <c r="AC102" s="5">
        <v>0.5313195112</v>
      </c>
      <c r="AD102" s="5">
        <v>14.18766234</v>
      </c>
      <c r="AE102" s="5">
        <v>0.7580010849</v>
      </c>
      <c r="AF102" s="5">
        <v>3.830649351</v>
      </c>
      <c r="AG102" s="5">
        <v>1.801818182</v>
      </c>
      <c r="AH102" s="5">
        <v>25.25601845</v>
      </c>
      <c r="AI102" s="5">
        <v>0.4820405507</v>
      </c>
      <c r="AJ102" s="5">
        <v>-0.8324915729</v>
      </c>
      <c r="AK102" s="5">
        <v>-0.139691719</v>
      </c>
      <c r="AL102" s="5">
        <v>-0.2151722559</v>
      </c>
      <c r="AM102" s="5">
        <v>-0.1784993709</v>
      </c>
      <c r="AN102" s="5">
        <v>-0.2434379618</v>
      </c>
      <c r="AO102" s="5">
        <v>0.9412675288</v>
      </c>
      <c r="AP102" s="5">
        <v>-0.5483311845</v>
      </c>
      <c r="AQ102" s="5">
        <v>-0.06129146885</v>
      </c>
    </row>
    <row r="103">
      <c r="A103" s="342">
        <v>102.0</v>
      </c>
      <c r="B103" s="341">
        <v>100.0</v>
      </c>
      <c r="C103" s="341">
        <v>0.0</v>
      </c>
      <c r="D103" s="341">
        <v>-0.09223420161</v>
      </c>
      <c r="E103" s="342">
        <v>-0.006740853212</v>
      </c>
      <c r="F103" s="342">
        <v>-0.04191798489</v>
      </c>
      <c r="G103" s="342">
        <v>-0.05031621673</v>
      </c>
      <c r="H103" s="342">
        <v>-1.452081888</v>
      </c>
      <c r="I103" s="343"/>
      <c r="J103" s="342" t="s">
        <v>1652</v>
      </c>
      <c r="K103" s="342" t="s">
        <v>169</v>
      </c>
      <c r="L103" s="342" t="s">
        <v>1380</v>
      </c>
      <c r="M103" s="342" t="s">
        <v>1653</v>
      </c>
      <c r="N103" s="343"/>
      <c r="O103" s="342" t="s">
        <v>1374</v>
      </c>
      <c r="P103" s="342" t="s">
        <v>1616</v>
      </c>
      <c r="Q103" s="342">
        <v>3.0</v>
      </c>
      <c r="R103" s="342" t="s">
        <v>1643</v>
      </c>
      <c r="S103" s="342" t="s">
        <v>1370</v>
      </c>
      <c r="T103" s="342">
        <v>68.0</v>
      </c>
      <c r="U103" s="342">
        <v>15.0</v>
      </c>
      <c r="V103" s="342">
        <v>33.0</v>
      </c>
      <c r="W103" s="341">
        <v>16.37514706</v>
      </c>
      <c r="X103" s="5">
        <v>2.146176471</v>
      </c>
      <c r="Y103" s="5">
        <v>3.734558824</v>
      </c>
      <c r="Z103" s="5">
        <v>4.534705882</v>
      </c>
      <c r="AA103" s="5">
        <v>1.070882353</v>
      </c>
      <c r="AB103" s="5">
        <v>0.3326470588</v>
      </c>
      <c r="AC103" s="5">
        <v>0.4413512506</v>
      </c>
      <c r="AD103" s="5">
        <v>14.20470588</v>
      </c>
      <c r="AE103" s="5">
        <v>0.8500332766</v>
      </c>
      <c r="AF103" s="5">
        <v>1.988676471</v>
      </c>
      <c r="AG103" s="5">
        <v>1.467058824</v>
      </c>
      <c r="AH103" s="5">
        <v>22.87347634</v>
      </c>
      <c r="AI103" s="5">
        <v>0.07936352612</v>
      </c>
      <c r="AJ103" s="5">
        <v>0.4954046967</v>
      </c>
      <c r="AK103" s="5">
        <v>-0.821127212</v>
      </c>
      <c r="AL103" s="5">
        <v>0.3781755001</v>
      </c>
      <c r="AM103" s="5">
        <v>0.4105472478</v>
      </c>
      <c r="AN103" s="5">
        <v>-0.6565058859</v>
      </c>
      <c r="AO103" s="5">
        <v>-1.011975735</v>
      </c>
      <c r="AP103" s="5">
        <v>0.3882442493</v>
      </c>
      <c r="AQ103" s="5">
        <v>0.3606117489</v>
      </c>
    </row>
    <row r="104">
      <c r="A104" s="342">
        <v>103.0</v>
      </c>
      <c r="B104" s="341">
        <v>100.0</v>
      </c>
      <c r="C104" s="341">
        <v>0.0</v>
      </c>
      <c r="D104" s="341">
        <v>-0.1040821075</v>
      </c>
      <c r="E104" s="342">
        <v>-5.48027632E-4</v>
      </c>
      <c r="F104" s="342">
        <v>-0.1848398228</v>
      </c>
      <c r="G104" s="342">
        <v>0.08075771533</v>
      </c>
      <c r="H104" s="342">
        <v>-0.1475997394</v>
      </c>
      <c r="I104" s="343"/>
      <c r="J104" s="342" t="s">
        <v>1654</v>
      </c>
      <c r="K104" s="342" t="s">
        <v>118</v>
      </c>
      <c r="L104" s="342" t="s">
        <v>34</v>
      </c>
      <c r="M104" s="342" t="s">
        <v>1655</v>
      </c>
      <c r="N104" s="343"/>
      <c r="O104" s="342" t="s">
        <v>1368</v>
      </c>
      <c r="P104" s="343"/>
      <c r="Q104" s="342">
        <v>3.0</v>
      </c>
      <c r="R104" s="342" t="s">
        <v>1573</v>
      </c>
      <c r="S104" s="342" t="s">
        <v>1370</v>
      </c>
      <c r="T104" s="342">
        <v>73.0</v>
      </c>
      <c r="U104" s="342">
        <v>16.0</v>
      </c>
      <c r="V104" s="342">
        <v>27.0</v>
      </c>
      <c r="W104" s="341">
        <v>11.10712329</v>
      </c>
      <c r="X104" s="5">
        <v>0.355890411</v>
      </c>
      <c r="Y104" s="5">
        <v>11.36246575</v>
      </c>
      <c r="Z104" s="5">
        <v>3.431232877</v>
      </c>
      <c r="AA104" s="5">
        <v>1.130410959</v>
      </c>
      <c r="AB104" s="5">
        <v>1.009315068</v>
      </c>
      <c r="AC104" s="5">
        <v>0.5060056601</v>
      </c>
      <c r="AD104" s="5">
        <v>8.325479452</v>
      </c>
      <c r="AE104" s="5">
        <v>0.6300048239</v>
      </c>
      <c r="AF104" s="5">
        <v>3.691643836</v>
      </c>
      <c r="AG104" s="5">
        <v>2.412465753</v>
      </c>
      <c r="AH104" s="5">
        <v>19.99301166</v>
      </c>
      <c r="AI104" s="5">
        <v>-0.8050732456</v>
      </c>
      <c r="AJ104" s="5">
        <v>-1.262261614</v>
      </c>
      <c r="AK104" s="5">
        <v>2.231137594</v>
      </c>
      <c r="AL104" s="5">
        <v>-0.1314689568</v>
      </c>
      <c r="AM104" s="5">
        <v>0.5984666246</v>
      </c>
      <c r="AN104" s="5">
        <v>0.5806773819</v>
      </c>
      <c r="AO104" s="5">
        <v>0.2262579014</v>
      </c>
      <c r="AP104" s="5">
        <v>-2.270392546</v>
      </c>
      <c r="AQ104" s="5">
        <v>-0.8309015455</v>
      </c>
    </row>
    <row r="105">
      <c r="A105" s="342">
        <v>104.0</v>
      </c>
      <c r="B105" s="341">
        <v>91.0</v>
      </c>
      <c r="C105" s="341">
        <v>1.1</v>
      </c>
      <c r="D105" s="341">
        <v>-0.1216222768</v>
      </c>
      <c r="E105" s="342">
        <v>-3.959501935E-4</v>
      </c>
      <c r="F105" s="342">
        <v>0.02132278637</v>
      </c>
      <c r="G105" s="342">
        <v>-0.1429450632</v>
      </c>
      <c r="H105" s="342">
        <v>-1.725862092</v>
      </c>
      <c r="I105" s="343"/>
      <c r="J105" s="342" t="s">
        <v>1656</v>
      </c>
      <c r="K105" s="342" t="s">
        <v>98</v>
      </c>
      <c r="L105" s="342" t="s">
        <v>1366</v>
      </c>
      <c r="M105" s="342" t="s">
        <v>1657</v>
      </c>
      <c r="N105" s="343"/>
      <c r="O105" s="342" t="s">
        <v>1374</v>
      </c>
      <c r="P105" s="342" t="s">
        <v>1551</v>
      </c>
      <c r="Q105" s="342">
        <v>3.0</v>
      </c>
      <c r="R105" s="343"/>
      <c r="S105" s="342" t="s">
        <v>1560</v>
      </c>
      <c r="T105" s="342">
        <v>55.0</v>
      </c>
      <c r="U105" s="342">
        <v>13.0</v>
      </c>
      <c r="V105" s="342">
        <v>29.0</v>
      </c>
      <c r="W105" s="341">
        <v>10.16818182</v>
      </c>
      <c r="X105" s="5">
        <v>1.853636364</v>
      </c>
      <c r="Y105" s="5">
        <v>6.453636364</v>
      </c>
      <c r="Z105" s="5">
        <v>2.605090909</v>
      </c>
      <c r="AA105" s="5">
        <v>0.6607272727</v>
      </c>
      <c r="AB105" s="5">
        <v>1.124909091</v>
      </c>
      <c r="AC105" s="5">
        <v>0.4954747447</v>
      </c>
      <c r="AD105" s="5">
        <v>7.814727273</v>
      </c>
      <c r="AE105" s="5">
        <v>0.81106229</v>
      </c>
      <c r="AF105" s="5">
        <v>0.7034545455</v>
      </c>
      <c r="AG105" s="5">
        <v>0.8289090909</v>
      </c>
      <c r="AH105" s="5">
        <v>13.66975411</v>
      </c>
      <c r="AI105" s="5">
        <v>-0.9627100366</v>
      </c>
      <c r="AJ105" s="5">
        <v>0.2081947909</v>
      </c>
      <c r="AK105" s="5">
        <v>0.2668966401</v>
      </c>
      <c r="AL105" s="5">
        <v>-0.5130267042</v>
      </c>
      <c r="AM105" s="5">
        <v>-0.8842266821</v>
      </c>
      <c r="AN105" s="5">
        <v>0.7920232537</v>
      </c>
      <c r="AO105" s="5">
        <v>0.08596002334</v>
      </c>
      <c r="AP105" s="5">
        <v>0.03391050036</v>
      </c>
      <c r="AQ105" s="5">
        <v>1.164883292</v>
      </c>
    </row>
    <row r="106">
      <c r="A106" s="342">
        <v>105.0</v>
      </c>
      <c r="B106" s="341">
        <v>100.0</v>
      </c>
      <c r="C106" s="341">
        <v>0.0</v>
      </c>
      <c r="D106" s="341">
        <v>-0.1287859289</v>
      </c>
      <c r="E106" s="342">
        <v>-2.291329049E-4</v>
      </c>
      <c r="F106" s="342">
        <v>-0.01172765013</v>
      </c>
      <c r="G106" s="342">
        <v>-0.1170582788</v>
      </c>
      <c r="H106" s="342">
        <v>0.8186833334</v>
      </c>
      <c r="I106" s="343"/>
      <c r="J106" s="342" t="s">
        <v>1658</v>
      </c>
      <c r="K106" s="342" t="s">
        <v>74</v>
      </c>
      <c r="L106" s="342" t="s">
        <v>34</v>
      </c>
      <c r="M106" s="342" t="s">
        <v>1659</v>
      </c>
      <c r="N106" s="343"/>
      <c r="O106" s="342" t="s">
        <v>1368</v>
      </c>
      <c r="P106" s="342" t="s">
        <v>1551</v>
      </c>
      <c r="Q106" s="342">
        <v>2.0</v>
      </c>
      <c r="R106" s="343"/>
      <c r="S106" s="342" t="s">
        <v>1370</v>
      </c>
      <c r="T106" s="342">
        <v>73.0</v>
      </c>
      <c r="U106" s="342">
        <v>16.0</v>
      </c>
      <c r="V106" s="342">
        <v>29.0</v>
      </c>
      <c r="W106" s="341">
        <v>11.46547945</v>
      </c>
      <c r="X106" s="5">
        <v>1.876575342</v>
      </c>
      <c r="Y106" s="5">
        <v>4.605616438</v>
      </c>
      <c r="Z106" s="5">
        <v>1.315890411</v>
      </c>
      <c r="AA106" s="5">
        <v>0.4763013699</v>
      </c>
      <c r="AB106" s="5">
        <v>2.039863014</v>
      </c>
      <c r="AC106" s="5">
        <v>0.4835494622</v>
      </c>
      <c r="AD106" s="5">
        <v>8.672739726</v>
      </c>
      <c r="AE106" s="5">
        <v>0.8210240569</v>
      </c>
      <c r="AF106" s="5">
        <v>1.463424658</v>
      </c>
      <c r="AG106" s="5">
        <v>1.019452055</v>
      </c>
      <c r="AH106" s="5">
        <v>15.87549598</v>
      </c>
      <c r="AI106" s="5">
        <v>-0.7449096277</v>
      </c>
      <c r="AJ106" s="5">
        <v>0.2307158121</v>
      </c>
      <c r="AK106" s="5">
        <v>-0.4725783209</v>
      </c>
      <c r="AL106" s="5">
        <v>-1.108450321</v>
      </c>
      <c r="AM106" s="5">
        <v>-1.466420741</v>
      </c>
      <c r="AN106" s="5">
        <v>2.464875624</v>
      </c>
      <c r="AO106" s="5">
        <v>-0.06176068212</v>
      </c>
      <c r="AP106" s="5">
        <v>0.128240825</v>
      </c>
      <c r="AQ106" s="5">
        <v>0.9247385802</v>
      </c>
    </row>
    <row r="107">
      <c r="A107" s="342">
        <v>106.0</v>
      </c>
      <c r="B107" s="341">
        <v>85.0</v>
      </c>
      <c r="C107" s="341">
        <v>1.8</v>
      </c>
      <c r="D107" s="341">
        <v>-0.139712582</v>
      </c>
      <c r="E107" s="342">
        <v>0.001864443275</v>
      </c>
      <c r="F107" s="342">
        <v>-0.08291022675</v>
      </c>
      <c r="G107" s="342">
        <v>-0.05680235526</v>
      </c>
      <c r="H107" s="342">
        <v>0.9636257943</v>
      </c>
      <c r="I107" s="343"/>
      <c r="J107" s="342" t="s">
        <v>1660</v>
      </c>
      <c r="K107" s="342" t="s">
        <v>93</v>
      </c>
      <c r="L107" s="342" t="s">
        <v>1380</v>
      </c>
      <c r="M107" s="342" t="s">
        <v>1661</v>
      </c>
      <c r="N107" s="343"/>
      <c r="O107" s="342" t="s">
        <v>1374</v>
      </c>
      <c r="P107" s="342" t="s">
        <v>1662</v>
      </c>
      <c r="Q107" s="342">
        <v>2.0</v>
      </c>
      <c r="R107" s="343"/>
      <c r="S107" s="342" t="s">
        <v>1560</v>
      </c>
      <c r="T107" s="342">
        <v>63.0</v>
      </c>
      <c r="U107" s="342">
        <v>16.0</v>
      </c>
      <c r="V107" s="342">
        <v>28.0</v>
      </c>
      <c r="W107" s="341">
        <v>9.287301587</v>
      </c>
      <c r="X107" s="5">
        <v>1.195555556</v>
      </c>
      <c r="Y107" s="5">
        <v>5.016666667</v>
      </c>
      <c r="Z107" s="5">
        <v>3.5</v>
      </c>
      <c r="AA107" s="5">
        <v>1.575079365</v>
      </c>
      <c r="AB107" s="5">
        <v>0.4568253968</v>
      </c>
      <c r="AC107" s="5">
        <v>0.4659558171</v>
      </c>
      <c r="AD107" s="5">
        <v>7.874920635</v>
      </c>
      <c r="AE107" s="5">
        <v>0.6829830118</v>
      </c>
      <c r="AF107" s="5">
        <v>1.102539683</v>
      </c>
      <c r="AG107" s="5">
        <v>1.458412698</v>
      </c>
      <c r="AH107" s="5">
        <v>14.94814565</v>
      </c>
      <c r="AI107" s="5">
        <v>-1.110599056</v>
      </c>
      <c r="AJ107" s="5">
        <v>-0.437895514</v>
      </c>
      <c r="AK107" s="5">
        <v>-0.3080988435</v>
      </c>
      <c r="AL107" s="5">
        <v>-0.0997085213</v>
      </c>
      <c r="AM107" s="5">
        <v>2.002191917</v>
      </c>
      <c r="AN107" s="5">
        <v>-0.4294649148</v>
      </c>
      <c r="AO107" s="5">
        <v>-0.2688036724</v>
      </c>
      <c r="AP107" s="5">
        <v>-0.4653220512</v>
      </c>
      <c r="AQ107" s="5">
        <v>0.3715086153</v>
      </c>
    </row>
    <row r="108">
      <c r="A108" s="342">
        <v>107.0</v>
      </c>
      <c r="B108" s="341">
        <v>100.0</v>
      </c>
      <c r="C108" s="341">
        <v>0.0</v>
      </c>
      <c r="D108" s="341">
        <v>-0.1412231985</v>
      </c>
      <c r="E108" s="342">
        <v>-0.03975327626</v>
      </c>
      <c r="F108" s="342">
        <v>-0.1064589029</v>
      </c>
      <c r="G108" s="342">
        <v>-0.03476429562</v>
      </c>
      <c r="H108" s="342">
        <v>0.8186833334</v>
      </c>
      <c r="I108" s="343"/>
      <c r="J108" s="342" t="s">
        <v>1663</v>
      </c>
      <c r="K108" s="342" t="s">
        <v>243</v>
      </c>
      <c r="L108" s="342" t="s">
        <v>1380</v>
      </c>
      <c r="M108" s="342" t="s">
        <v>1664</v>
      </c>
      <c r="N108" s="342" t="s">
        <v>1665</v>
      </c>
      <c r="O108" s="342" t="s">
        <v>1378</v>
      </c>
      <c r="P108" s="343"/>
      <c r="Q108" s="342">
        <v>3.0</v>
      </c>
      <c r="R108" s="343"/>
      <c r="S108" s="342" t="s">
        <v>1370</v>
      </c>
      <c r="T108" s="342">
        <v>73.0</v>
      </c>
      <c r="U108" s="342">
        <v>13.0</v>
      </c>
      <c r="V108" s="342">
        <v>36.0</v>
      </c>
      <c r="W108" s="341">
        <v>18.96849315</v>
      </c>
      <c r="X108" s="5">
        <v>2.273424658</v>
      </c>
      <c r="Y108" s="5">
        <v>3.822054795</v>
      </c>
      <c r="Z108" s="5">
        <v>4.41</v>
      </c>
      <c r="AA108" s="5">
        <v>0.6620547945</v>
      </c>
      <c r="AB108" s="5">
        <v>0.2204109589</v>
      </c>
      <c r="AC108" s="5">
        <v>0.4497405255</v>
      </c>
      <c r="AD108" s="5">
        <v>14.99342466</v>
      </c>
      <c r="AE108" s="5">
        <v>0.8560152025</v>
      </c>
      <c r="AF108" s="5">
        <v>3.748493151</v>
      </c>
      <c r="AG108" s="5">
        <v>1.616986301</v>
      </c>
      <c r="AH108" s="5">
        <v>22.31803045</v>
      </c>
      <c r="AI108" s="5">
        <v>0.5147546225</v>
      </c>
      <c r="AJ108" s="5">
        <v>0.6203343693</v>
      </c>
      <c r="AK108" s="5">
        <v>-0.7861161827</v>
      </c>
      <c r="AL108" s="5">
        <v>0.3205794725</v>
      </c>
      <c r="AM108" s="5">
        <v>-0.8800359731</v>
      </c>
      <c r="AN108" s="5">
        <v>-0.8617123133</v>
      </c>
      <c r="AO108" s="5">
        <v>-0.875296757</v>
      </c>
      <c r="AP108" s="5">
        <v>0.8177071739</v>
      </c>
      <c r="AQ108" s="5">
        <v>0.1716554621</v>
      </c>
    </row>
    <row r="109">
      <c r="A109" s="342">
        <v>108.0</v>
      </c>
      <c r="B109" s="341">
        <v>100.0</v>
      </c>
      <c r="C109" s="341">
        <v>0.0</v>
      </c>
      <c r="D109" s="341">
        <v>-0.1413278228</v>
      </c>
      <c r="E109" s="342">
        <v>6.365001598E-4</v>
      </c>
      <c r="F109" s="342">
        <v>-0.007990053454</v>
      </c>
      <c r="G109" s="342">
        <v>-0.1333377694</v>
      </c>
      <c r="H109" s="342">
        <v>0.2872276434</v>
      </c>
      <c r="I109" s="343"/>
      <c r="J109" s="342" t="s">
        <v>1666</v>
      </c>
      <c r="K109" s="342" t="s">
        <v>180</v>
      </c>
      <c r="L109" s="342" t="s">
        <v>1366</v>
      </c>
      <c r="M109" s="342" t="s">
        <v>1667</v>
      </c>
      <c r="N109" s="343"/>
      <c r="O109" s="342" t="s">
        <v>1368</v>
      </c>
      <c r="P109" s="343"/>
      <c r="Q109" s="342">
        <v>4.0</v>
      </c>
      <c r="R109" s="342" t="s">
        <v>1624</v>
      </c>
      <c r="S109" s="342" t="s">
        <v>1370</v>
      </c>
      <c r="T109" s="342">
        <v>73.0</v>
      </c>
      <c r="U109" s="342">
        <v>16.0</v>
      </c>
      <c r="V109" s="342">
        <v>31.0</v>
      </c>
      <c r="W109" s="341">
        <v>14.23739726</v>
      </c>
      <c r="X109" s="5">
        <v>1.953424658</v>
      </c>
      <c r="Y109" s="5">
        <v>7.175205479</v>
      </c>
      <c r="Z109" s="5">
        <v>1.826438356</v>
      </c>
      <c r="AA109" s="5">
        <v>0.7168493151</v>
      </c>
      <c r="AB109" s="5">
        <v>0.8484931507</v>
      </c>
      <c r="AC109" s="5">
        <v>0.4621599585</v>
      </c>
      <c r="AD109" s="5">
        <v>11.08849315</v>
      </c>
      <c r="AE109" s="5">
        <v>0.7990209264</v>
      </c>
      <c r="AF109" s="5">
        <v>2.546438356</v>
      </c>
      <c r="AG109" s="5">
        <v>0.9131506849</v>
      </c>
      <c r="AH109" s="5">
        <v>17.72847544</v>
      </c>
      <c r="AI109" s="5">
        <v>-0.2795385238</v>
      </c>
      <c r="AJ109" s="5">
        <v>0.306164901</v>
      </c>
      <c r="AK109" s="5">
        <v>0.5556285344</v>
      </c>
      <c r="AL109" s="5">
        <v>-0.872651231</v>
      </c>
      <c r="AM109" s="5">
        <v>-0.7070611152</v>
      </c>
      <c r="AN109" s="5">
        <v>0.2866392673</v>
      </c>
      <c r="AO109" s="5">
        <v>-0.4391196736</v>
      </c>
      <c r="AP109" s="5">
        <v>0.01931525836</v>
      </c>
      <c r="AQ109" s="5">
        <v>1.058712101</v>
      </c>
    </row>
    <row r="110">
      <c r="A110" s="342">
        <v>109.0</v>
      </c>
      <c r="B110" s="341">
        <v>100.0</v>
      </c>
      <c r="C110" s="341">
        <v>0.0</v>
      </c>
      <c r="D110" s="341">
        <v>-0.1439083741</v>
      </c>
      <c r="E110" s="342">
        <v>-0.006830374243</v>
      </c>
      <c r="F110" s="342">
        <v>-0.1058305193</v>
      </c>
      <c r="G110" s="342">
        <v>-0.03807785489</v>
      </c>
      <c r="H110" s="342">
        <v>0.9797305122</v>
      </c>
      <c r="I110" s="343"/>
      <c r="J110" s="342" t="s">
        <v>1668</v>
      </c>
      <c r="K110" s="342" t="s">
        <v>159</v>
      </c>
      <c r="L110" s="342" t="s">
        <v>1366</v>
      </c>
      <c r="M110" s="342" t="s">
        <v>1669</v>
      </c>
      <c r="N110" s="343"/>
      <c r="O110" s="342" t="s">
        <v>1378</v>
      </c>
      <c r="P110" s="342" t="s">
        <v>1410</v>
      </c>
      <c r="Q110" s="342">
        <v>3.0</v>
      </c>
      <c r="R110" s="343"/>
      <c r="S110" s="342" t="s">
        <v>1434</v>
      </c>
      <c r="T110" s="342">
        <v>77.0</v>
      </c>
      <c r="U110" s="342">
        <v>14.0</v>
      </c>
      <c r="V110" s="342">
        <v>28.0</v>
      </c>
      <c r="W110" s="341">
        <v>13.83649351</v>
      </c>
      <c r="X110" s="5">
        <v>2.004155844</v>
      </c>
      <c r="Y110" s="5">
        <v>5.888181818</v>
      </c>
      <c r="Z110" s="5">
        <v>1.682857143</v>
      </c>
      <c r="AA110" s="5">
        <v>0.9201298701</v>
      </c>
      <c r="AB110" s="5">
        <v>1.195844156</v>
      </c>
      <c r="AC110" s="5">
        <v>0.4676141659</v>
      </c>
      <c r="AD110" s="5">
        <v>11.14805195</v>
      </c>
      <c r="AE110" s="5">
        <v>0.6939887208</v>
      </c>
      <c r="AF110" s="5">
        <v>2.026493506</v>
      </c>
      <c r="AG110" s="5">
        <v>1.595454545</v>
      </c>
      <c r="AH110" s="5">
        <v>21.62819441</v>
      </c>
      <c r="AI110" s="5">
        <v>-0.3468453617</v>
      </c>
      <c r="AJ110" s="5">
        <v>0.3559717445</v>
      </c>
      <c r="AK110" s="5">
        <v>0.04063312843</v>
      </c>
      <c r="AL110" s="5">
        <v>-0.9389649234</v>
      </c>
      <c r="AM110" s="5">
        <v>-0.06534685674</v>
      </c>
      <c r="AN110" s="5">
        <v>0.9217170979</v>
      </c>
      <c r="AO110" s="5">
        <v>-0.348442648</v>
      </c>
      <c r="AP110" s="5">
        <v>-0.7699891742</v>
      </c>
      <c r="AQ110" s="5">
        <v>0.1987923199</v>
      </c>
    </row>
    <row r="111">
      <c r="A111" s="342">
        <v>110.0</v>
      </c>
      <c r="B111" s="341">
        <v>98.0</v>
      </c>
      <c r="C111" s="341">
        <v>-1.1</v>
      </c>
      <c r="D111" s="341">
        <v>-0.145398031</v>
      </c>
      <c r="E111" s="342">
        <v>5.303015896E-5</v>
      </c>
      <c r="F111" s="342">
        <v>-0.1658962511</v>
      </c>
      <c r="G111" s="342">
        <v>0.02049822001</v>
      </c>
      <c r="H111" s="343"/>
      <c r="I111" s="343"/>
      <c r="J111" s="342" t="s">
        <v>1670</v>
      </c>
      <c r="K111" s="342" t="s">
        <v>287</v>
      </c>
      <c r="L111" s="342" t="s">
        <v>1404</v>
      </c>
      <c r="M111" s="342" t="s">
        <v>1671</v>
      </c>
      <c r="N111" s="342" t="s">
        <v>1672</v>
      </c>
      <c r="O111" s="342" t="s">
        <v>1368</v>
      </c>
      <c r="P111" s="343"/>
      <c r="Q111" s="342">
        <v>1.0</v>
      </c>
      <c r="R111" s="343"/>
      <c r="S111" s="342" t="s">
        <v>1370</v>
      </c>
      <c r="T111" s="342">
        <v>73.0</v>
      </c>
      <c r="U111" s="342">
        <v>16.0</v>
      </c>
      <c r="V111" s="342">
        <v>31.0</v>
      </c>
      <c r="W111" s="341">
        <v>11.58890411</v>
      </c>
      <c r="X111" s="5">
        <v>1.09</v>
      </c>
      <c r="Y111" s="5">
        <v>6.716712329</v>
      </c>
      <c r="Z111" s="5">
        <v>2.350821918</v>
      </c>
      <c r="AA111" s="5">
        <v>0.7387671233</v>
      </c>
      <c r="AB111" s="5">
        <v>2.014931507</v>
      </c>
      <c r="AC111" s="5">
        <v>0.4337825279</v>
      </c>
      <c r="AD111" s="5">
        <v>10.61260274</v>
      </c>
      <c r="AE111" s="5">
        <v>0.7160212604</v>
      </c>
      <c r="AF111" s="5">
        <v>1.804109589</v>
      </c>
      <c r="AG111" s="5">
        <v>2.014931507</v>
      </c>
      <c r="AH111" s="5">
        <v>18.20949809</v>
      </c>
      <c r="AI111" s="5">
        <v>-0.724188137</v>
      </c>
      <c r="AJ111" s="5">
        <v>-0.5415278039</v>
      </c>
      <c r="AK111" s="5">
        <v>0.3721650338</v>
      </c>
      <c r="AL111" s="5">
        <v>-0.6304620935</v>
      </c>
      <c r="AM111" s="5">
        <v>-0.637871172</v>
      </c>
      <c r="AN111" s="5">
        <v>2.419292203</v>
      </c>
      <c r="AO111" s="5">
        <v>-0.8812247424</v>
      </c>
      <c r="AP111" s="5">
        <v>-0.539367536</v>
      </c>
      <c r="AQ111" s="5">
        <v>-0.3298820111</v>
      </c>
    </row>
    <row r="112">
      <c r="A112" s="342">
        <v>111.0</v>
      </c>
      <c r="B112" s="341">
        <v>100.0</v>
      </c>
      <c r="C112" s="341">
        <v>0.0</v>
      </c>
      <c r="D112" s="341">
        <v>-0.1493654855</v>
      </c>
      <c r="E112" s="342">
        <v>0.003214854216</v>
      </c>
      <c r="F112" s="342">
        <v>-0.2078462683</v>
      </c>
      <c r="G112" s="342">
        <v>0.05848078278</v>
      </c>
      <c r="H112" s="342">
        <v>1.30182487</v>
      </c>
      <c r="I112" s="343"/>
      <c r="J112" s="342" t="s">
        <v>1673</v>
      </c>
      <c r="K112" s="342" t="s">
        <v>180</v>
      </c>
      <c r="L112" s="342" t="s">
        <v>1380</v>
      </c>
      <c r="M112" s="342" t="s">
        <v>1674</v>
      </c>
      <c r="N112" s="343"/>
      <c r="O112" s="342" t="s">
        <v>1368</v>
      </c>
      <c r="P112" s="343"/>
      <c r="Q112" s="342">
        <v>2.0</v>
      </c>
      <c r="R112" s="343"/>
      <c r="S112" s="342" t="s">
        <v>1370</v>
      </c>
      <c r="T112" s="342">
        <v>73.0</v>
      </c>
      <c r="U112" s="342">
        <v>16.0</v>
      </c>
      <c r="V112" s="342">
        <v>32.0</v>
      </c>
      <c r="W112" s="341">
        <v>19.86671233</v>
      </c>
      <c r="X112" s="5">
        <v>2.66109589</v>
      </c>
      <c r="Y112" s="5">
        <v>4.443972603</v>
      </c>
      <c r="Z112" s="5">
        <v>3.644246575</v>
      </c>
      <c r="AA112" s="5">
        <v>0.8628767123</v>
      </c>
      <c r="AB112" s="5">
        <v>0.34</v>
      </c>
      <c r="AC112" s="5">
        <v>0.4297209182</v>
      </c>
      <c r="AD112" s="5">
        <v>16.42863014</v>
      </c>
      <c r="AE112" s="5">
        <v>0.801002631</v>
      </c>
      <c r="AF112" s="5">
        <v>3.852876712</v>
      </c>
      <c r="AG112" s="5">
        <v>2.289315068</v>
      </c>
      <c r="AH112" s="5">
        <v>26.71725632</v>
      </c>
      <c r="AI112" s="5">
        <v>0.6655546387</v>
      </c>
      <c r="AJ112" s="5">
        <v>1.000942073</v>
      </c>
      <c r="AK112" s="5">
        <v>-0.5372592085</v>
      </c>
      <c r="AL112" s="5">
        <v>-0.03308752816</v>
      </c>
      <c r="AM112" s="5">
        <v>-0.246083119</v>
      </c>
      <c r="AN112" s="5">
        <v>-0.6430621651</v>
      </c>
      <c r="AO112" s="5">
        <v>-1.461177721</v>
      </c>
      <c r="AP112" s="5">
        <v>0.05924914598</v>
      </c>
      <c r="AQ112" s="5">
        <v>-0.6756925305</v>
      </c>
    </row>
    <row r="113">
      <c r="A113" s="342">
        <v>112.0</v>
      </c>
      <c r="B113" s="341">
        <v>100.0</v>
      </c>
      <c r="C113" s="341">
        <v>0.0</v>
      </c>
      <c r="D113" s="341">
        <v>-0.152851309</v>
      </c>
      <c r="E113" s="342">
        <v>0.002714654563</v>
      </c>
      <c r="F113" s="342">
        <v>-0.07599292786</v>
      </c>
      <c r="G113" s="342">
        <v>-0.07685838116</v>
      </c>
      <c r="H113" s="342">
        <v>0.609322001</v>
      </c>
      <c r="I113" s="343"/>
      <c r="J113" s="342" t="s">
        <v>1675</v>
      </c>
      <c r="K113" s="342" t="s">
        <v>57</v>
      </c>
      <c r="L113" s="342" t="s">
        <v>1413</v>
      </c>
      <c r="M113" s="342" t="s">
        <v>1676</v>
      </c>
      <c r="N113" s="343"/>
      <c r="O113" s="342" t="s">
        <v>1368</v>
      </c>
      <c r="P113" s="342" t="s">
        <v>1677</v>
      </c>
      <c r="Q113" s="342">
        <v>2.0</v>
      </c>
      <c r="R113" s="343"/>
      <c r="S113" s="342" t="s">
        <v>1370</v>
      </c>
      <c r="T113" s="342">
        <v>73.0</v>
      </c>
      <c r="U113" s="342">
        <v>13.0</v>
      </c>
      <c r="V113" s="342">
        <v>30.0</v>
      </c>
      <c r="W113" s="341">
        <v>17.09369863</v>
      </c>
      <c r="X113" s="5">
        <v>3.497945205</v>
      </c>
      <c r="Y113" s="5">
        <v>2.90369863</v>
      </c>
      <c r="Z113" s="5">
        <v>2.02</v>
      </c>
      <c r="AA113" s="5">
        <v>0.7615068493</v>
      </c>
      <c r="AB113" s="5">
        <v>0.4402739726</v>
      </c>
      <c r="AC113" s="5">
        <v>0.4461633849</v>
      </c>
      <c r="AD113" s="5">
        <v>13.69821918</v>
      </c>
      <c r="AE113" s="5">
        <v>0.9030193781</v>
      </c>
      <c r="AF113" s="5">
        <v>1.519863014</v>
      </c>
      <c r="AG113" s="5">
        <v>1.325616438</v>
      </c>
      <c r="AH113" s="5">
        <v>22.44573434</v>
      </c>
      <c r="AI113" s="5">
        <v>0.1999995482</v>
      </c>
      <c r="AJ113" s="5">
        <v>1.822543649</v>
      </c>
      <c r="AK113" s="5">
        <v>-1.153591327</v>
      </c>
      <c r="AL113" s="5">
        <v>-0.7832538299</v>
      </c>
      <c r="AM113" s="5">
        <v>-0.566086606</v>
      </c>
      <c r="AN113" s="5">
        <v>-0.4597266455</v>
      </c>
      <c r="AO113" s="5">
        <v>-0.875412729</v>
      </c>
      <c r="AP113" s="5">
        <v>0.5927174683</v>
      </c>
      <c r="AQ113" s="5">
        <v>0.5388741214</v>
      </c>
    </row>
    <row r="114">
      <c r="A114" s="342">
        <v>113.0</v>
      </c>
      <c r="B114" s="341">
        <v>100.0</v>
      </c>
      <c r="C114" s="341">
        <v>0.0</v>
      </c>
      <c r="D114" s="341">
        <v>-0.1569996112</v>
      </c>
      <c r="E114" s="342">
        <v>0.002231218068</v>
      </c>
      <c r="F114" s="342">
        <v>-0.05079491646</v>
      </c>
      <c r="G114" s="342">
        <v>-0.1062046947</v>
      </c>
      <c r="H114" s="342">
        <v>-1.96743286</v>
      </c>
      <c r="I114" s="343"/>
      <c r="J114" s="342" t="s">
        <v>1678</v>
      </c>
      <c r="K114" s="342" t="s">
        <v>291</v>
      </c>
      <c r="L114" s="342" t="s">
        <v>1404</v>
      </c>
      <c r="M114" s="342" t="s">
        <v>1679</v>
      </c>
      <c r="N114" s="343"/>
      <c r="O114" s="342" t="s">
        <v>1374</v>
      </c>
      <c r="P114" s="342" t="s">
        <v>1437</v>
      </c>
      <c r="Q114" s="342">
        <v>2.0</v>
      </c>
      <c r="R114" s="343"/>
      <c r="S114" s="342" t="s">
        <v>1370</v>
      </c>
      <c r="T114" s="342">
        <v>61.0</v>
      </c>
      <c r="U114" s="342">
        <v>15.0</v>
      </c>
      <c r="V114" s="342">
        <v>28.0</v>
      </c>
      <c r="W114" s="341">
        <v>14.85704918</v>
      </c>
      <c r="X114" s="5">
        <v>2.645081967</v>
      </c>
      <c r="Y114" s="5">
        <v>4.300983607</v>
      </c>
      <c r="Z114" s="5">
        <v>2.425901639</v>
      </c>
      <c r="AA114" s="5">
        <v>1.013442623</v>
      </c>
      <c r="AB114" s="5">
        <v>0.292295082</v>
      </c>
      <c r="AC114" s="5">
        <v>0.4483718099</v>
      </c>
      <c r="AD114" s="5">
        <v>11.31196721</v>
      </c>
      <c r="AE114" s="5">
        <v>0.8309729267</v>
      </c>
      <c r="AF114" s="5">
        <v>2.488688525</v>
      </c>
      <c r="AG114" s="5">
        <v>1.119344262</v>
      </c>
      <c r="AH114" s="5">
        <v>20.52795813</v>
      </c>
      <c r="AI114" s="5">
        <v>-0.1755065438</v>
      </c>
      <c r="AJ114" s="5">
        <v>0.9852199298</v>
      </c>
      <c r="AK114" s="5">
        <v>-0.5944754651</v>
      </c>
      <c r="AL114" s="5">
        <v>-0.5957861533</v>
      </c>
      <c r="AM114" s="5">
        <v>0.2292220161</v>
      </c>
      <c r="AN114" s="5">
        <v>-0.7302832625</v>
      </c>
      <c r="AO114" s="5">
        <v>-0.6863089261</v>
      </c>
      <c r="AP114" s="5">
        <v>0.3119215156</v>
      </c>
      <c r="AQ114" s="5">
        <v>0.7988426411</v>
      </c>
    </row>
    <row r="115">
      <c r="A115" s="342">
        <v>114.0</v>
      </c>
      <c r="B115" s="341">
        <v>99.0</v>
      </c>
      <c r="C115" s="341">
        <v>0.1</v>
      </c>
      <c r="D115" s="341">
        <v>-0.16564763</v>
      </c>
      <c r="E115" s="342">
        <v>0.05489522516</v>
      </c>
      <c r="F115" s="342">
        <v>-0.01223865315</v>
      </c>
      <c r="G115" s="342">
        <v>-0.1534089768</v>
      </c>
      <c r="H115" s="342">
        <v>-1.081673376</v>
      </c>
      <c r="I115" s="343"/>
      <c r="J115" s="342" t="s">
        <v>1680</v>
      </c>
      <c r="K115" s="342" t="s">
        <v>57</v>
      </c>
      <c r="L115" s="342" t="s">
        <v>34</v>
      </c>
      <c r="M115" s="342" t="s">
        <v>1681</v>
      </c>
      <c r="N115" s="343"/>
      <c r="O115" s="342" t="s">
        <v>1374</v>
      </c>
      <c r="P115" s="342" t="s">
        <v>1437</v>
      </c>
      <c r="Q115" s="342">
        <v>3.0</v>
      </c>
      <c r="R115" s="343"/>
      <c r="S115" s="342" t="s">
        <v>1560</v>
      </c>
      <c r="T115" s="342">
        <v>68.0</v>
      </c>
      <c r="U115" s="342">
        <v>13.0</v>
      </c>
      <c r="V115" s="342">
        <v>25.0</v>
      </c>
      <c r="W115" s="341">
        <v>10.26867647</v>
      </c>
      <c r="X115" s="5">
        <v>0.01264705882</v>
      </c>
      <c r="Y115" s="5">
        <v>7.259411765</v>
      </c>
      <c r="Z115" s="5">
        <v>1.215</v>
      </c>
      <c r="AA115" s="5">
        <v>0.6970588235</v>
      </c>
      <c r="AB115" s="5">
        <v>1.507205882</v>
      </c>
      <c r="AC115" s="5">
        <v>0.7474900417</v>
      </c>
      <c r="AD115" s="5">
        <v>6.313088235</v>
      </c>
      <c r="AE115" s="5">
        <v>0.5399922345</v>
      </c>
      <c r="AF115" s="5">
        <v>1.515</v>
      </c>
      <c r="AG115" s="5">
        <v>0.7891176471</v>
      </c>
      <c r="AH115" s="5">
        <v>13.33445014</v>
      </c>
      <c r="AI115" s="5">
        <v>-0.9458382133</v>
      </c>
      <c r="AJ115" s="5">
        <v>-1.599250931</v>
      </c>
      <c r="AK115" s="5">
        <v>0.5893232142</v>
      </c>
      <c r="AL115" s="5">
        <v>-1.155047055</v>
      </c>
      <c r="AM115" s="5">
        <v>-0.7695355639</v>
      </c>
      <c r="AN115" s="5">
        <v>1.490994074</v>
      </c>
      <c r="AO115" s="5">
        <v>2.500764277</v>
      </c>
      <c r="AP115" s="5">
        <v>-1.436590842</v>
      </c>
      <c r="AQ115" s="5">
        <v>1.215033162</v>
      </c>
    </row>
    <row r="116">
      <c r="A116" s="342">
        <v>115.0</v>
      </c>
      <c r="B116" s="341">
        <v>98.0</v>
      </c>
      <c r="C116" s="341">
        <v>0.2</v>
      </c>
      <c r="D116" s="341">
        <v>-0.1679244601</v>
      </c>
      <c r="E116" s="342">
        <v>-0.004792153805</v>
      </c>
      <c r="F116" s="342">
        <v>-0.1198946447</v>
      </c>
      <c r="G116" s="342">
        <v>-0.04802981532</v>
      </c>
      <c r="H116" s="342">
        <v>0.2872276434</v>
      </c>
      <c r="I116" s="343"/>
      <c r="J116" s="342" t="s">
        <v>1682</v>
      </c>
      <c r="K116" s="342" t="s">
        <v>159</v>
      </c>
      <c r="L116" s="342" t="s">
        <v>1380</v>
      </c>
      <c r="M116" s="342" t="s">
        <v>1683</v>
      </c>
      <c r="N116" s="343"/>
      <c r="O116" s="342" t="s">
        <v>1374</v>
      </c>
      <c r="P116" s="343"/>
      <c r="Q116" s="342">
        <v>2.0</v>
      </c>
      <c r="R116" s="343"/>
      <c r="S116" s="342" t="s">
        <v>1370</v>
      </c>
      <c r="T116" s="342">
        <v>61.0</v>
      </c>
      <c r="U116" s="342">
        <v>14.0</v>
      </c>
      <c r="V116" s="342">
        <v>28.0</v>
      </c>
      <c r="W116" s="341">
        <v>9.918032787</v>
      </c>
      <c r="X116" s="5">
        <v>1.947213115</v>
      </c>
      <c r="Y116" s="5">
        <v>2.686885246</v>
      </c>
      <c r="Z116" s="5">
        <v>5.259344262</v>
      </c>
      <c r="AA116" s="5">
        <v>1.194754098</v>
      </c>
      <c r="AB116" s="5">
        <v>0.2293442623</v>
      </c>
      <c r="AC116" s="5">
        <v>0.4445775914</v>
      </c>
      <c r="AD116" s="5">
        <v>7.660983607</v>
      </c>
      <c r="AE116" s="5">
        <v>0.889979859</v>
      </c>
      <c r="AF116" s="5">
        <v>1.302295082</v>
      </c>
      <c r="AG116" s="5">
        <v>1.543442623</v>
      </c>
      <c r="AH116" s="5">
        <v>15.50903925</v>
      </c>
      <c r="AI116" s="5">
        <v>-1.004707</v>
      </c>
      <c r="AJ116" s="5">
        <v>0.3000665351</v>
      </c>
      <c r="AK116" s="5">
        <v>-1.240348005</v>
      </c>
      <c r="AL116" s="5">
        <v>0.7128533143</v>
      </c>
      <c r="AM116" s="5">
        <v>0.8015844782</v>
      </c>
      <c r="AN116" s="5">
        <v>-0.8453791436</v>
      </c>
      <c r="AO116" s="5">
        <v>-0.5122140867</v>
      </c>
      <c r="AP116" s="5">
        <v>0.4447482268</v>
      </c>
      <c r="AQ116" s="5">
        <v>0.2643438778</v>
      </c>
    </row>
    <row r="117">
      <c r="A117" s="342">
        <v>116.0</v>
      </c>
      <c r="B117" s="341">
        <v>100.0</v>
      </c>
      <c r="C117" s="341">
        <v>0.0</v>
      </c>
      <c r="D117" s="341">
        <v>-0.171830595</v>
      </c>
      <c r="E117" s="342">
        <v>-0.001215398897</v>
      </c>
      <c r="F117" s="342">
        <v>-0.1403436254</v>
      </c>
      <c r="G117" s="342">
        <v>-0.0314869696</v>
      </c>
      <c r="H117" s="342">
        <v>1.30182487</v>
      </c>
      <c r="I117" s="343"/>
      <c r="J117" s="342" t="s">
        <v>1684</v>
      </c>
      <c r="K117" s="342" t="s">
        <v>287</v>
      </c>
      <c r="L117" s="342" t="s">
        <v>34</v>
      </c>
      <c r="M117" s="342" t="s">
        <v>1685</v>
      </c>
      <c r="N117" s="343"/>
      <c r="O117" s="342" t="s">
        <v>1378</v>
      </c>
      <c r="P117" s="342" t="s">
        <v>1416</v>
      </c>
      <c r="Q117" s="342">
        <v>4.0</v>
      </c>
      <c r="R117" s="343"/>
      <c r="S117" s="342" t="s">
        <v>1370</v>
      </c>
      <c r="T117" s="342">
        <v>77.0</v>
      </c>
      <c r="U117" s="342">
        <v>16.0</v>
      </c>
      <c r="V117" s="342">
        <v>26.0</v>
      </c>
      <c r="W117" s="341">
        <v>14.37376623</v>
      </c>
      <c r="X117" s="5">
        <v>0.5123376623</v>
      </c>
      <c r="Y117" s="5">
        <v>10.25272727</v>
      </c>
      <c r="Z117" s="5">
        <v>2.028051948</v>
      </c>
      <c r="AA117" s="5">
        <v>0.3476623377</v>
      </c>
      <c r="AB117" s="5">
        <v>0.7323376623</v>
      </c>
      <c r="AC117" s="5">
        <v>0.5421716456</v>
      </c>
      <c r="AD117" s="5">
        <v>10.53363636</v>
      </c>
      <c r="AE117" s="5">
        <v>0.7890027724</v>
      </c>
      <c r="AF117" s="5">
        <v>3.091688312</v>
      </c>
      <c r="AG117" s="5">
        <v>1.664675325</v>
      </c>
      <c r="AH117" s="5">
        <v>21.9334505</v>
      </c>
      <c r="AI117" s="5">
        <v>-0.2566438407</v>
      </c>
      <c r="AJ117" s="5">
        <v>-1.108664896</v>
      </c>
      <c r="AK117" s="5">
        <v>1.787081874</v>
      </c>
      <c r="AL117" s="5">
        <v>-0.7795349979</v>
      </c>
      <c r="AM117" s="5">
        <v>-1.8725073</v>
      </c>
      <c r="AN117" s="5">
        <v>0.07426684153</v>
      </c>
      <c r="AO117" s="5">
        <v>0.8712974543</v>
      </c>
      <c r="AP117" s="5">
        <v>-0.08993989415</v>
      </c>
      <c r="AQ117" s="5">
        <v>0.1115521315</v>
      </c>
    </row>
    <row r="118">
      <c r="A118" s="342">
        <v>117.0</v>
      </c>
      <c r="B118" s="341">
        <v>53.0</v>
      </c>
      <c r="C118" s="341">
        <v>2.9</v>
      </c>
      <c r="D118" s="341">
        <v>-0.1765765834</v>
      </c>
      <c r="E118" s="342">
        <v>-8.812167492E-5</v>
      </c>
      <c r="F118" s="342">
        <v>0.001379077834</v>
      </c>
      <c r="G118" s="342">
        <v>-0.1779556612</v>
      </c>
      <c r="H118" s="342">
        <v>-3.062553675</v>
      </c>
      <c r="I118" s="343"/>
      <c r="J118" s="342" t="s">
        <v>1686</v>
      </c>
      <c r="K118" s="342" t="s">
        <v>236</v>
      </c>
      <c r="L118" s="342" t="s">
        <v>1404</v>
      </c>
      <c r="M118" s="342" t="s">
        <v>1687</v>
      </c>
      <c r="N118" s="343"/>
      <c r="O118" s="342" t="s">
        <v>1374</v>
      </c>
      <c r="P118" s="342" t="s">
        <v>1399</v>
      </c>
      <c r="Q118" s="342">
        <v>2.0</v>
      </c>
      <c r="R118" s="343"/>
      <c r="S118" s="342" t="s">
        <v>1434</v>
      </c>
      <c r="T118" s="342">
        <v>56.0</v>
      </c>
      <c r="U118" s="342">
        <v>13.0</v>
      </c>
      <c r="V118" s="342">
        <v>22.0</v>
      </c>
      <c r="W118" s="341">
        <v>8.962321429</v>
      </c>
      <c r="X118" s="5">
        <v>1.009464286</v>
      </c>
      <c r="Y118" s="5">
        <v>6.401964286</v>
      </c>
      <c r="Z118" s="5">
        <v>0.965</v>
      </c>
      <c r="AA118" s="5">
        <v>1.0225</v>
      </c>
      <c r="AB118" s="5">
        <v>1.484107143</v>
      </c>
      <c r="AC118" s="5">
        <v>0.5068315759</v>
      </c>
      <c r="AD118" s="5">
        <v>6.756964286</v>
      </c>
      <c r="AE118" s="5">
        <v>0.7100183824</v>
      </c>
      <c r="AF118" s="5">
        <v>1.554285714</v>
      </c>
      <c r="AG118" s="5">
        <v>0.6225</v>
      </c>
      <c r="AH118" s="5">
        <v>16.33108405</v>
      </c>
      <c r="AI118" s="5">
        <v>-1.16515925</v>
      </c>
      <c r="AJ118" s="5">
        <v>-0.6205961244</v>
      </c>
      <c r="AK118" s="5">
        <v>0.2462203437</v>
      </c>
      <c r="AL118" s="5">
        <v>-1.27051079</v>
      </c>
      <c r="AM118" s="5">
        <v>0.2578142639</v>
      </c>
      <c r="AN118" s="5">
        <v>1.448761585</v>
      </c>
      <c r="AO118" s="5">
        <v>0.1904366677</v>
      </c>
      <c r="AP118" s="5">
        <v>-0.4995793634</v>
      </c>
      <c r="AQ118" s="5">
        <v>1.425024368</v>
      </c>
    </row>
    <row r="119">
      <c r="A119" s="342">
        <v>118.0</v>
      </c>
      <c r="B119" s="341">
        <v>100.0</v>
      </c>
      <c r="C119" s="341">
        <v>0.0</v>
      </c>
      <c r="D119" s="341">
        <v>-0.1794555381</v>
      </c>
      <c r="E119" s="342">
        <v>-6.48783481E-4</v>
      </c>
      <c r="F119" s="342">
        <v>-0.04296780681</v>
      </c>
      <c r="G119" s="342">
        <v>-0.1364877313</v>
      </c>
      <c r="H119" s="342">
        <v>0.4160653864</v>
      </c>
      <c r="I119" s="343"/>
      <c r="J119" s="342" t="s">
        <v>1688</v>
      </c>
      <c r="K119" s="342" t="s">
        <v>93</v>
      </c>
      <c r="L119" s="342" t="s">
        <v>34</v>
      </c>
      <c r="M119" s="342" t="s">
        <v>1689</v>
      </c>
      <c r="N119" s="343"/>
      <c r="O119" s="342" t="s">
        <v>1368</v>
      </c>
      <c r="P119" s="342" t="s">
        <v>1690</v>
      </c>
      <c r="Q119" s="342">
        <v>2.0</v>
      </c>
      <c r="R119" s="343"/>
      <c r="S119" s="342" t="s">
        <v>1560</v>
      </c>
      <c r="T119" s="342">
        <v>66.0</v>
      </c>
      <c r="U119" s="342">
        <v>16.0</v>
      </c>
      <c r="V119" s="342">
        <v>26.0</v>
      </c>
      <c r="W119" s="341">
        <v>11.36606061</v>
      </c>
      <c r="X119" s="5">
        <v>0.4396969697</v>
      </c>
      <c r="Y119" s="5">
        <v>6.608333333</v>
      </c>
      <c r="Z119" s="5">
        <v>1.354242424</v>
      </c>
      <c r="AA119" s="5">
        <v>0.65</v>
      </c>
      <c r="AB119" s="5">
        <v>1.186515152</v>
      </c>
      <c r="AC119" s="5">
        <v>0.6178429834</v>
      </c>
      <c r="AD119" s="5">
        <v>7.528636364</v>
      </c>
      <c r="AE119" s="5">
        <v>0.7700158114</v>
      </c>
      <c r="AF119" s="5">
        <v>2.108181818</v>
      </c>
      <c r="AG119" s="5">
        <v>0.9209090909</v>
      </c>
      <c r="AH119" s="5">
        <v>15.37445356</v>
      </c>
      <c r="AI119" s="5">
        <v>-0.7616008362</v>
      </c>
      <c r="AJ119" s="5">
        <v>-1.179982045</v>
      </c>
      <c r="AK119" s="5">
        <v>0.3287977777</v>
      </c>
      <c r="AL119" s="5">
        <v>-1.090737254</v>
      </c>
      <c r="AM119" s="5">
        <v>-0.9180904418</v>
      </c>
      <c r="AN119" s="5">
        <v>0.9046604499</v>
      </c>
      <c r="AO119" s="5">
        <v>1.491355799</v>
      </c>
      <c r="AP119" s="5">
        <v>-0.2100477535</v>
      </c>
      <c r="AQ119" s="5">
        <v>1.048934043</v>
      </c>
    </row>
    <row r="120">
      <c r="A120" s="342">
        <v>119.0</v>
      </c>
      <c r="B120" s="341">
        <v>93.0</v>
      </c>
      <c r="C120" s="341">
        <v>2.1</v>
      </c>
      <c r="D120" s="341">
        <v>-0.1850719659</v>
      </c>
      <c r="E120" s="342">
        <v>0.001333509915</v>
      </c>
      <c r="F120" s="342">
        <v>-0.1430569028</v>
      </c>
      <c r="G120" s="342">
        <v>-0.04201506311</v>
      </c>
      <c r="H120" s="342">
        <v>1.172987127</v>
      </c>
      <c r="I120" s="343"/>
      <c r="J120" s="342" t="s">
        <v>1691</v>
      </c>
      <c r="K120" s="342" t="s">
        <v>1365</v>
      </c>
      <c r="L120" s="342" t="s">
        <v>1404</v>
      </c>
      <c r="M120" s="342" t="s">
        <v>1692</v>
      </c>
      <c r="N120" s="343"/>
      <c r="O120" s="342" t="s">
        <v>1368</v>
      </c>
      <c r="P120" s="343"/>
      <c r="Q120" s="342">
        <v>3.0</v>
      </c>
      <c r="R120" s="343"/>
      <c r="S120" s="342" t="s">
        <v>1370</v>
      </c>
      <c r="T120" s="342">
        <v>73.0</v>
      </c>
      <c r="U120" s="342">
        <v>15.0</v>
      </c>
      <c r="V120" s="342">
        <v>32.0</v>
      </c>
      <c r="W120" s="341">
        <v>12.86205479</v>
      </c>
      <c r="X120" s="5">
        <v>1.093013699</v>
      </c>
      <c r="Y120" s="5">
        <v>7.266712329</v>
      </c>
      <c r="Z120" s="5">
        <v>2.733287671</v>
      </c>
      <c r="AA120" s="5">
        <v>1.133287671</v>
      </c>
      <c r="AB120" s="5">
        <v>0.6612328767</v>
      </c>
      <c r="AC120" s="5">
        <v>0.4409704385</v>
      </c>
      <c r="AD120" s="5">
        <v>11.73315068</v>
      </c>
      <c r="AE120" s="5">
        <v>0.7570052539</v>
      </c>
      <c r="AF120" s="5">
        <v>1.877260274</v>
      </c>
      <c r="AG120" s="5">
        <v>1.6</v>
      </c>
      <c r="AH120" s="5">
        <v>19.19678342</v>
      </c>
      <c r="AI120" s="5">
        <v>-0.5104417056</v>
      </c>
      <c r="AJ120" s="5">
        <v>-0.5385690161</v>
      </c>
      <c r="AK120" s="5">
        <v>0.5922444945</v>
      </c>
      <c r="AL120" s="5">
        <v>-0.4538183966</v>
      </c>
      <c r="AM120" s="5">
        <v>0.6075478047</v>
      </c>
      <c r="AN120" s="5">
        <v>-0.05573731084</v>
      </c>
      <c r="AO120" s="5">
        <v>-0.8443261961</v>
      </c>
      <c r="AP120" s="5">
        <v>-0.2774754013</v>
      </c>
      <c r="AQ120" s="5">
        <v>0.1930636021</v>
      </c>
    </row>
    <row r="121">
      <c r="A121" s="342">
        <v>120.0</v>
      </c>
      <c r="B121" s="341">
        <v>99.0</v>
      </c>
      <c r="C121" s="341">
        <v>0.1</v>
      </c>
      <c r="D121" s="341">
        <v>-0.1886689085</v>
      </c>
      <c r="E121" s="342">
        <v>0.00847110066</v>
      </c>
      <c r="F121" s="342">
        <v>-0.1971570255</v>
      </c>
      <c r="G121" s="342">
        <v>0.008488116996</v>
      </c>
      <c r="H121" s="342">
        <v>-2.112375321</v>
      </c>
      <c r="I121" s="343"/>
      <c r="J121" s="342" t="s">
        <v>1693</v>
      </c>
      <c r="K121" s="342" t="s">
        <v>259</v>
      </c>
      <c r="L121" s="342" t="s">
        <v>1404</v>
      </c>
      <c r="M121" s="342" t="s">
        <v>1694</v>
      </c>
      <c r="N121" s="343"/>
      <c r="O121" s="342" t="s">
        <v>1374</v>
      </c>
      <c r="P121" s="343"/>
      <c r="Q121" s="342">
        <v>1.0</v>
      </c>
      <c r="R121" s="343"/>
      <c r="S121" s="342" t="s">
        <v>1370</v>
      </c>
      <c r="T121" s="342">
        <v>60.0</v>
      </c>
      <c r="U121" s="342">
        <v>13.0</v>
      </c>
      <c r="V121" s="342">
        <v>34.0</v>
      </c>
      <c r="W121" s="341">
        <v>19.58816667</v>
      </c>
      <c r="X121" s="5">
        <v>1.995</v>
      </c>
      <c r="Y121" s="5">
        <v>3.295833333</v>
      </c>
      <c r="Z121" s="5">
        <v>2.664666667</v>
      </c>
      <c r="AA121" s="5">
        <v>0.8436666667</v>
      </c>
      <c r="AB121" s="5">
        <v>0.63</v>
      </c>
      <c r="AC121" s="5">
        <v>0.4424836746</v>
      </c>
      <c r="AD121" s="5">
        <v>15.00733333</v>
      </c>
      <c r="AE121" s="5">
        <v>0.8210001904</v>
      </c>
      <c r="AF121" s="5">
        <v>5.252333333</v>
      </c>
      <c r="AG121" s="5">
        <v>1.9635</v>
      </c>
      <c r="AH121" s="5">
        <v>24.42013523</v>
      </c>
      <c r="AI121" s="5">
        <v>0.6187902282</v>
      </c>
      <c r="AJ121" s="5">
        <v>0.3469827236</v>
      </c>
      <c r="AK121" s="5">
        <v>-0.9966807925</v>
      </c>
      <c r="AL121" s="5">
        <v>-0.4855113464</v>
      </c>
      <c r="AM121" s="5">
        <v>-0.3067252212</v>
      </c>
      <c r="AN121" s="5">
        <v>-0.1128418169</v>
      </c>
      <c r="AO121" s="5">
        <v>-1.042648546</v>
      </c>
      <c r="AP121" s="5">
        <v>0.469283503</v>
      </c>
      <c r="AQ121" s="5">
        <v>-0.2650619615</v>
      </c>
    </row>
    <row r="122">
      <c r="A122" s="342">
        <v>121.0</v>
      </c>
      <c r="B122" s="341">
        <v>28.0</v>
      </c>
      <c r="C122" s="341">
        <v>4.5</v>
      </c>
      <c r="D122" s="341">
        <v>-0.1914659882</v>
      </c>
      <c r="E122" s="342">
        <v>0.09690223988</v>
      </c>
      <c r="F122" s="342">
        <v>-0.1490493796</v>
      </c>
      <c r="G122" s="342">
        <v>-0.04241660858</v>
      </c>
      <c r="H122" s="342">
        <v>-1.516500759</v>
      </c>
      <c r="I122" s="343"/>
      <c r="J122" s="342" t="s">
        <v>1695</v>
      </c>
      <c r="K122" s="342" t="s">
        <v>110</v>
      </c>
      <c r="L122" s="342" t="s">
        <v>1380</v>
      </c>
      <c r="M122" s="342" t="s">
        <v>1696</v>
      </c>
      <c r="N122" s="343"/>
      <c r="O122" s="342" t="s">
        <v>1374</v>
      </c>
      <c r="P122" s="342" t="s">
        <v>1551</v>
      </c>
      <c r="Q122" s="342">
        <v>3.0</v>
      </c>
      <c r="R122" s="343"/>
      <c r="S122" s="342" t="s">
        <v>1434</v>
      </c>
      <c r="T122" s="342">
        <v>68.0</v>
      </c>
      <c r="U122" s="342">
        <v>16.0</v>
      </c>
      <c r="V122" s="342">
        <v>29.0</v>
      </c>
      <c r="W122" s="341">
        <v>13.56176471</v>
      </c>
      <c r="X122" s="5">
        <v>1.524705882</v>
      </c>
      <c r="Y122" s="5">
        <v>4.498676471</v>
      </c>
      <c r="Z122" s="5">
        <v>5.114852941</v>
      </c>
      <c r="AA122" s="5">
        <v>1.213529412</v>
      </c>
      <c r="AB122" s="5">
        <v>0.4313235294</v>
      </c>
      <c r="AC122" s="5">
        <v>0.4256898479</v>
      </c>
      <c r="AD122" s="5">
        <v>11.70867647</v>
      </c>
      <c r="AE122" s="5">
        <v>0.7550187869</v>
      </c>
      <c r="AF122" s="5">
        <v>2.739705882</v>
      </c>
      <c r="AG122" s="5">
        <v>1.602205882</v>
      </c>
      <c r="AH122" s="5">
        <v>21.62745028</v>
      </c>
      <c r="AI122" s="5">
        <v>-0.3929689678</v>
      </c>
      <c r="AJ122" s="5">
        <v>-0.1147424417</v>
      </c>
      <c r="AK122" s="5">
        <v>-0.515369758</v>
      </c>
      <c r="AL122" s="5">
        <v>0.6461192841</v>
      </c>
      <c r="AM122" s="5">
        <v>0.8608542215</v>
      </c>
      <c r="AN122" s="5">
        <v>-0.4760911528</v>
      </c>
      <c r="AO122" s="5">
        <v>-1.116197013</v>
      </c>
      <c r="AP122" s="5">
        <v>-0.4233320775</v>
      </c>
      <c r="AQ122" s="5">
        <v>0.190283489</v>
      </c>
    </row>
    <row r="123">
      <c r="A123" s="342">
        <v>122.0</v>
      </c>
      <c r="B123" s="341">
        <v>94.0</v>
      </c>
      <c r="C123" s="341">
        <v>-0.6</v>
      </c>
      <c r="D123" s="341">
        <v>-0.1919506286</v>
      </c>
      <c r="E123" s="342">
        <v>-0.1024812417</v>
      </c>
      <c r="F123" s="342">
        <v>-0.05158774982</v>
      </c>
      <c r="G123" s="342">
        <v>-0.1403628788</v>
      </c>
      <c r="H123" s="342">
        <v>0.6254267188</v>
      </c>
      <c r="I123" s="343"/>
      <c r="J123" s="342" t="s">
        <v>1697</v>
      </c>
      <c r="K123" s="342" t="s">
        <v>148</v>
      </c>
      <c r="L123" s="342" t="s">
        <v>1404</v>
      </c>
      <c r="M123" s="342" t="s">
        <v>1698</v>
      </c>
      <c r="N123" s="343"/>
      <c r="O123" s="342" t="s">
        <v>1368</v>
      </c>
      <c r="P123" s="342" t="s">
        <v>1437</v>
      </c>
      <c r="Q123" s="342">
        <v>2.0</v>
      </c>
      <c r="R123" s="343"/>
      <c r="S123" s="342" t="s">
        <v>1370</v>
      </c>
      <c r="T123" s="342">
        <v>73.0</v>
      </c>
      <c r="U123" s="342">
        <v>15.0</v>
      </c>
      <c r="V123" s="342">
        <v>29.0</v>
      </c>
      <c r="W123" s="341">
        <v>10.64863014</v>
      </c>
      <c r="X123" s="5">
        <v>1.819452055</v>
      </c>
      <c r="Y123" s="5">
        <v>6.285205479</v>
      </c>
      <c r="Z123" s="5">
        <v>1.169315068</v>
      </c>
      <c r="AA123" s="5">
        <v>0.9153424658</v>
      </c>
      <c r="AB123" s="5">
        <v>1.021232877</v>
      </c>
      <c r="AC123" s="5">
        <v>0.4610116933</v>
      </c>
      <c r="AD123" s="5">
        <v>8.481643836</v>
      </c>
      <c r="AE123" s="5">
        <v>0.7929586563</v>
      </c>
      <c r="AF123" s="5">
        <v>1.272328767</v>
      </c>
      <c r="AG123" s="5">
        <v>0.9031506849</v>
      </c>
      <c r="AH123" s="5">
        <v>14.62697141</v>
      </c>
      <c r="AI123" s="5">
        <v>-0.882048639</v>
      </c>
      <c r="AJ123" s="5">
        <v>0.1746333342</v>
      </c>
      <c r="AK123" s="5">
        <v>0.1994999525</v>
      </c>
      <c r="AL123" s="5">
        <v>-1.176146866</v>
      </c>
      <c r="AM123" s="5">
        <v>-0.08045969254</v>
      </c>
      <c r="AN123" s="5">
        <v>0.6024672592</v>
      </c>
      <c r="AO123" s="5">
        <v>-0.352936159</v>
      </c>
      <c r="AP123" s="5">
        <v>-0.02061421802</v>
      </c>
      <c r="AQ123" s="5">
        <v>1.071315281</v>
      </c>
    </row>
    <row r="124">
      <c r="A124" s="342">
        <v>123.0</v>
      </c>
      <c r="B124" s="341">
        <v>85.0</v>
      </c>
      <c r="C124" s="341">
        <v>-2.1</v>
      </c>
      <c r="D124" s="341">
        <v>-0.193877435</v>
      </c>
      <c r="E124" s="342">
        <v>-0.001029115723</v>
      </c>
      <c r="F124" s="342">
        <v>-0.2353719654</v>
      </c>
      <c r="G124" s="342">
        <v>0.04149453045</v>
      </c>
      <c r="H124" s="342">
        <v>-2.837087625</v>
      </c>
      <c r="I124" s="343"/>
      <c r="J124" s="342" t="s">
        <v>1699</v>
      </c>
      <c r="K124" s="342" t="s">
        <v>291</v>
      </c>
      <c r="L124" s="342" t="s">
        <v>1380</v>
      </c>
      <c r="M124" s="342" t="s">
        <v>1700</v>
      </c>
      <c r="N124" s="343"/>
      <c r="O124" s="342" t="s">
        <v>1374</v>
      </c>
      <c r="P124" s="342" t="s">
        <v>1551</v>
      </c>
      <c r="Q124" s="342">
        <v>1.0</v>
      </c>
      <c r="R124" s="343"/>
      <c r="S124" s="342" t="s">
        <v>1370</v>
      </c>
      <c r="T124" s="342">
        <v>39.0</v>
      </c>
      <c r="U124" s="342">
        <v>15.0</v>
      </c>
      <c r="V124" s="342">
        <v>25.0</v>
      </c>
      <c r="W124" s="341">
        <v>7.074615385</v>
      </c>
      <c r="X124" s="5">
        <v>0.0</v>
      </c>
      <c r="Y124" s="5">
        <v>8.101025641</v>
      </c>
      <c r="Z124" s="5">
        <v>6.47025641</v>
      </c>
      <c r="AA124" s="5">
        <v>1.052051282</v>
      </c>
      <c r="AB124" s="5">
        <v>0.4720512821</v>
      </c>
      <c r="AC124" s="5">
        <v>0.5859887535</v>
      </c>
      <c r="AD124" s="5">
        <v>5.471794872</v>
      </c>
      <c r="AE124" s="5">
        <v>0.5040031244</v>
      </c>
      <c r="AF124" s="5">
        <v>1.313076923</v>
      </c>
      <c r="AG124" s="5">
        <v>2.203333333</v>
      </c>
      <c r="AH124" s="5">
        <v>14.02779122</v>
      </c>
      <c r="AI124" s="5">
        <v>-1.482082011</v>
      </c>
      <c r="AJ124" s="5">
        <v>-1.611667555</v>
      </c>
      <c r="AK124" s="5">
        <v>0.926090356</v>
      </c>
      <c r="AL124" s="5">
        <v>1.27211907</v>
      </c>
      <c r="AM124" s="5">
        <v>0.3511014897</v>
      </c>
      <c r="AN124" s="5">
        <v>-0.401626728</v>
      </c>
      <c r="AO124" s="5">
        <v>0.8148526194</v>
      </c>
      <c r="AP124" s="5">
        <v>-1.41980672</v>
      </c>
      <c r="AQ124" s="5">
        <v>-0.567328209</v>
      </c>
    </row>
    <row r="125">
      <c r="A125" s="342">
        <v>124.0</v>
      </c>
      <c r="B125" s="341">
        <v>99.0</v>
      </c>
      <c r="C125" s="341">
        <v>2.7</v>
      </c>
      <c r="D125" s="341">
        <v>-0.195028984</v>
      </c>
      <c r="E125" s="342">
        <v>-0.03783834112</v>
      </c>
      <c r="F125" s="342">
        <v>-0.4113436173</v>
      </c>
      <c r="G125" s="342">
        <v>0.2163146333</v>
      </c>
      <c r="H125" s="342">
        <v>-0.2281233288</v>
      </c>
      <c r="I125" s="343"/>
      <c r="J125" s="342" t="s">
        <v>1701</v>
      </c>
      <c r="K125" s="342" t="s">
        <v>259</v>
      </c>
      <c r="L125" s="342" t="s">
        <v>1380</v>
      </c>
      <c r="M125" s="342" t="s">
        <v>1702</v>
      </c>
      <c r="N125" s="343"/>
      <c r="O125" s="342" t="s">
        <v>1374</v>
      </c>
      <c r="P125" s="342" t="s">
        <v>1690</v>
      </c>
      <c r="Q125" s="342">
        <v>3.0</v>
      </c>
      <c r="R125" s="343"/>
      <c r="S125" s="342" t="s">
        <v>1560</v>
      </c>
      <c r="T125" s="342">
        <v>68.0</v>
      </c>
      <c r="U125" s="342">
        <v>13.0</v>
      </c>
      <c r="V125" s="342">
        <v>31.0</v>
      </c>
      <c r="W125" s="341">
        <v>16.42367647</v>
      </c>
      <c r="X125" s="5">
        <v>1.855441176</v>
      </c>
      <c r="Y125" s="5">
        <v>3.452647059</v>
      </c>
      <c r="Z125" s="5">
        <v>6.841323529</v>
      </c>
      <c r="AA125" s="5">
        <v>0.9064705882</v>
      </c>
      <c r="AB125" s="5">
        <v>0.1901470588</v>
      </c>
      <c r="AC125" s="5">
        <v>0.4143974864</v>
      </c>
      <c r="AD125" s="5">
        <v>14.32235294</v>
      </c>
      <c r="AE125" s="5">
        <v>0.8190178571</v>
      </c>
      <c r="AF125" s="5">
        <v>3.294117647</v>
      </c>
      <c r="AG125" s="5">
        <v>3.452647059</v>
      </c>
      <c r="AH125" s="5">
        <v>26.70357593</v>
      </c>
      <c r="AI125" s="5">
        <v>0.08751102092</v>
      </c>
      <c r="AJ125" s="5">
        <v>0.2099667193</v>
      </c>
      <c r="AK125" s="5">
        <v>-0.9339326468</v>
      </c>
      <c r="AL125" s="5">
        <v>1.443498251</v>
      </c>
      <c r="AM125" s="5">
        <v>-0.108466357</v>
      </c>
      <c r="AN125" s="5">
        <v>-0.9170451948</v>
      </c>
      <c r="AO125" s="5">
        <v>-1.610648558</v>
      </c>
      <c r="AP125" s="5">
        <v>0.2688848933</v>
      </c>
      <c r="AQ125" s="5">
        <v>-2.141860684</v>
      </c>
    </row>
    <row r="126">
      <c r="A126" s="342">
        <v>125.0</v>
      </c>
      <c r="B126" s="341">
        <v>59.0</v>
      </c>
      <c r="C126" s="341">
        <v>-1.7</v>
      </c>
      <c r="D126" s="341">
        <v>-0.2033292383</v>
      </c>
      <c r="E126" s="342">
        <v>-0.04724184597</v>
      </c>
      <c r="F126" s="342">
        <v>-0.09568244855</v>
      </c>
      <c r="G126" s="342">
        <v>-0.1076467898</v>
      </c>
      <c r="H126" s="342">
        <v>-0.7756837366</v>
      </c>
      <c r="I126" s="343"/>
      <c r="J126" s="342" t="s">
        <v>1703</v>
      </c>
      <c r="K126" s="342" t="s">
        <v>1396</v>
      </c>
      <c r="L126" s="342" t="s">
        <v>1380</v>
      </c>
      <c r="M126" s="342" t="s">
        <v>1704</v>
      </c>
      <c r="N126" s="342" t="s">
        <v>1705</v>
      </c>
      <c r="O126" s="342" t="s">
        <v>1374</v>
      </c>
      <c r="P126" s="342" t="s">
        <v>1706</v>
      </c>
      <c r="Q126" s="342">
        <v>4.0</v>
      </c>
      <c r="R126" s="343"/>
      <c r="S126" s="342" t="s">
        <v>1560</v>
      </c>
      <c r="T126" s="342">
        <v>62.0</v>
      </c>
      <c r="U126" s="342">
        <v>14.0</v>
      </c>
      <c r="V126" s="342">
        <v>25.0</v>
      </c>
      <c r="W126" s="341">
        <v>11.52258065</v>
      </c>
      <c r="X126" s="5">
        <v>2.155967742</v>
      </c>
      <c r="Y126" s="5">
        <v>3.437419355</v>
      </c>
      <c r="Z126" s="5">
        <v>2.546290323</v>
      </c>
      <c r="AA126" s="5">
        <v>1.405</v>
      </c>
      <c r="AB126" s="5">
        <v>0.4169354839</v>
      </c>
      <c r="AC126" s="5">
        <v>0.4041167362</v>
      </c>
      <c r="AD126" s="5">
        <v>9.583225806</v>
      </c>
      <c r="AE126" s="5">
        <v>0.8470419686</v>
      </c>
      <c r="AF126" s="5">
        <v>1.913870968</v>
      </c>
      <c r="AG126" s="5">
        <v>1.145806452</v>
      </c>
      <c r="AH126" s="5">
        <v>19.84099822</v>
      </c>
      <c r="AI126" s="5">
        <v>-0.7353230356</v>
      </c>
      <c r="AJ126" s="5">
        <v>0.505017567</v>
      </c>
      <c r="AK126" s="5">
        <v>-0.9400259284</v>
      </c>
      <c r="AL126" s="5">
        <v>-0.5401840455</v>
      </c>
      <c r="AM126" s="5">
        <v>1.465286881</v>
      </c>
      <c r="AN126" s="5">
        <v>-0.5023974787</v>
      </c>
      <c r="AO126" s="5">
        <v>-1.23140645</v>
      </c>
      <c r="AP126" s="5">
        <v>0.3523985833</v>
      </c>
      <c r="AQ126" s="5">
        <v>0.7654918697</v>
      </c>
    </row>
    <row r="127">
      <c r="A127" s="342">
        <v>126.0</v>
      </c>
      <c r="B127" s="341">
        <v>71.0</v>
      </c>
      <c r="C127" s="341">
        <v>-0.5</v>
      </c>
      <c r="D127" s="341">
        <v>-0.2068061071</v>
      </c>
      <c r="E127" s="342">
        <v>0.002141879242</v>
      </c>
      <c r="F127" s="342">
        <v>-0.1306284049</v>
      </c>
      <c r="G127" s="342">
        <v>-0.07617770217</v>
      </c>
      <c r="H127" s="342">
        <v>-1.065568658</v>
      </c>
      <c r="I127" s="343"/>
      <c r="J127" s="342" t="s">
        <v>1707</v>
      </c>
      <c r="K127" s="342" t="s">
        <v>89</v>
      </c>
      <c r="L127" s="342" t="s">
        <v>1380</v>
      </c>
      <c r="M127" s="342" t="s">
        <v>1708</v>
      </c>
      <c r="N127" s="343"/>
      <c r="O127" s="342" t="s">
        <v>1368</v>
      </c>
      <c r="P127" s="342" t="s">
        <v>1399</v>
      </c>
      <c r="Q127" s="342">
        <v>3.0</v>
      </c>
      <c r="R127" s="343"/>
      <c r="S127" s="342" t="s">
        <v>1370</v>
      </c>
      <c r="T127" s="342">
        <v>73.0</v>
      </c>
      <c r="U127" s="342">
        <v>14.0</v>
      </c>
      <c r="V127" s="342">
        <v>32.0</v>
      </c>
      <c r="W127" s="341">
        <v>12.56383562</v>
      </c>
      <c r="X127" s="5">
        <v>1.626164384</v>
      </c>
      <c r="Y127" s="5">
        <v>2.677945205</v>
      </c>
      <c r="Z127" s="5">
        <v>5.081369863</v>
      </c>
      <c r="AA127" s="5">
        <v>1.118630137</v>
      </c>
      <c r="AB127" s="5">
        <v>0.1357534247</v>
      </c>
      <c r="AC127" s="5">
        <v>0.4832456129</v>
      </c>
      <c r="AD127" s="5">
        <v>10.43684932</v>
      </c>
      <c r="AE127" s="5">
        <v>0.8149363434</v>
      </c>
      <c r="AF127" s="5">
        <v>1.04369863</v>
      </c>
      <c r="AG127" s="5">
        <v>1.373287671</v>
      </c>
      <c r="AH127" s="5">
        <v>16.23436289</v>
      </c>
      <c r="AI127" s="5">
        <v>-0.5605090588</v>
      </c>
      <c r="AJ127" s="5">
        <v>-0.01513255611</v>
      </c>
      <c r="AK127" s="5">
        <v>-1.243925312</v>
      </c>
      <c r="AL127" s="5">
        <v>0.6306549591</v>
      </c>
      <c r="AM127" s="5">
        <v>0.5612770302</v>
      </c>
      <c r="AN127" s="5">
        <v>-1.01649558</v>
      </c>
      <c r="AO127" s="5">
        <v>-0.07730647435</v>
      </c>
      <c r="AP127" s="5">
        <v>0.06698813565</v>
      </c>
      <c r="AQ127" s="5">
        <v>0.4787932124</v>
      </c>
    </row>
    <row r="128">
      <c r="A128" s="342">
        <v>127.0</v>
      </c>
      <c r="B128" s="341">
        <v>99.0</v>
      </c>
      <c r="C128" s="341">
        <v>1.4</v>
      </c>
      <c r="D128" s="341">
        <v>-0.2111586332</v>
      </c>
      <c r="E128" s="342">
        <v>-0.04600459624</v>
      </c>
      <c r="F128" s="342">
        <v>-0.2222591812</v>
      </c>
      <c r="G128" s="342">
        <v>0.01110054804</v>
      </c>
      <c r="H128" s="342">
        <v>-0.4535893791</v>
      </c>
      <c r="I128" s="343"/>
      <c r="J128" s="342" t="s">
        <v>1709</v>
      </c>
      <c r="K128" s="342" t="s">
        <v>173</v>
      </c>
      <c r="L128" s="342" t="s">
        <v>1380</v>
      </c>
      <c r="M128" s="342" t="s">
        <v>1710</v>
      </c>
      <c r="N128" s="342" t="s">
        <v>1530</v>
      </c>
      <c r="O128" s="342" t="s">
        <v>1374</v>
      </c>
      <c r="P128" s="343"/>
      <c r="Q128" s="342">
        <v>3.0</v>
      </c>
      <c r="R128" s="343"/>
      <c r="S128" s="342" t="s">
        <v>1370</v>
      </c>
      <c r="T128" s="342">
        <v>68.0</v>
      </c>
      <c r="U128" s="342">
        <v>15.0</v>
      </c>
      <c r="V128" s="342">
        <v>30.0</v>
      </c>
      <c r="W128" s="341">
        <v>10.58455882</v>
      </c>
      <c r="X128" s="5">
        <v>1.756323529</v>
      </c>
      <c r="Y128" s="5">
        <v>3.0625</v>
      </c>
      <c r="Z128" s="5">
        <v>3.5</v>
      </c>
      <c r="AA128" s="5">
        <v>1.690294118</v>
      </c>
      <c r="AB128" s="5">
        <v>0.2497058824</v>
      </c>
      <c r="AC128" s="5">
        <v>0.4153441729</v>
      </c>
      <c r="AD128" s="5">
        <v>9.062647059</v>
      </c>
      <c r="AE128" s="5">
        <v>0.7549748057</v>
      </c>
      <c r="AF128" s="5">
        <v>1.721911765</v>
      </c>
      <c r="AG128" s="5">
        <v>2.0</v>
      </c>
      <c r="AH128" s="5">
        <v>17.11177908</v>
      </c>
      <c r="AI128" s="5">
        <v>-0.892805429</v>
      </c>
      <c r="AJ128" s="5">
        <v>0.1126550365</v>
      </c>
      <c r="AK128" s="5">
        <v>-1.090047836</v>
      </c>
      <c r="AL128" s="5">
        <v>-0.0997085213</v>
      </c>
      <c r="AM128" s="5">
        <v>2.365900829</v>
      </c>
      <c r="AN128" s="5">
        <v>-0.8081510564</v>
      </c>
      <c r="AO128" s="5">
        <v>-1.009407385</v>
      </c>
      <c r="AP128" s="5">
        <v>-0.2677047023</v>
      </c>
      <c r="AQ128" s="5">
        <v>-0.3110635655</v>
      </c>
    </row>
    <row r="129">
      <c r="A129" s="342">
        <v>128.0</v>
      </c>
      <c r="B129" s="341">
        <v>93.0</v>
      </c>
      <c r="C129" s="341">
        <v>-0.5</v>
      </c>
      <c r="D129" s="341">
        <v>-0.2167793455</v>
      </c>
      <c r="E129" s="342">
        <v>-0.04297394051</v>
      </c>
      <c r="F129" s="342">
        <v>-0.2017612677</v>
      </c>
      <c r="G129" s="342">
        <v>-0.01501807775</v>
      </c>
      <c r="H129" s="342">
        <v>0.6898455903</v>
      </c>
      <c r="I129" s="343"/>
      <c r="J129" s="342" t="s">
        <v>1711</v>
      </c>
      <c r="K129" s="342" t="s">
        <v>144</v>
      </c>
      <c r="L129" s="342" t="s">
        <v>1380</v>
      </c>
      <c r="M129" s="342" t="s">
        <v>1712</v>
      </c>
      <c r="N129" s="342" t="s">
        <v>1713</v>
      </c>
      <c r="O129" s="342" t="s">
        <v>1368</v>
      </c>
      <c r="P129" s="342" t="s">
        <v>1399</v>
      </c>
      <c r="Q129" s="342">
        <v>4.0</v>
      </c>
      <c r="R129" s="343"/>
      <c r="S129" s="342" t="s">
        <v>1434</v>
      </c>
      <c r="T129" s="342">
        <v>73.0</v>
      </c>
      <c r="U129" s="342">
        <v>16.0</v>
      </c>
      <c r="V129" s="342">
        <v>27.0</v>
      </c>
      <c r="W129" s="341">
        <v>15.73054795</v>
      </c>
      <c r="X129" s="5">
        <v>1.898082192</v>
      </c>
      <c r="Y129" s="5">
        <v>3.181506849</v>
      </c>
      <c r="Z129" s="5">
        <v>4.374520548</v>
      </c>
      <c r="AA129" s="5">
        <v>0.6926027397</v>
      </c>
      <c r="AB129" s="5">
        <v>0.5060273973</v>
      </c>
      <c r="AC129" s="5">
        <v>0.4548712936</v>
      </c>
      <c r="AD129" s="5">
        <v>12.61232877</v>
      </c>
      <c r="AE129" s="5">
        <v>0.8500123426</v>
      </c>
      <c r="AF129" s="5">
        <v>2.774657534</v>
      </c>
      <c r="AG129" s="5">
        <v>1.817945205</v>
      </c>
      <c r="AH129" s="5">
        <v>25.03321029</v>
      </c>
      <c r="AI129" s="5">
        <v>-0.02885678265</v>
      </c>
      <c r="AJ129" s="5">
        <v>0.2518307977</v>
      </c>
      <c r="AK129" s="5">
        <v>-1.042427903</v>
      </c>
      <c r="AL129" s="5">
        <v>0.3041931124</v>
      </c>
      <c r="AM129" s="5">
        <v>-0.7836024898</v>
      </c>
      <c r="AN129" s="5">
        <v>-0.3395066327</v>
      </c>
      <c r="AO129" s="5">
        <v>-0.6387872773</v>
      </c>
      <c r="AP129" s="5">
        <v>0.5429224119</v>
      </c>
      <c r="AQ129" s="5">
        <v>-0.08161664575</v>
      </c>
    </row>
    <row r="130">
      <c r="A130" s="342">
        <v>129.0</v>
      </c>
      <c r="B130" s="341">
        <v>100.0</v>
      </c>
      <c r="C130" s="341">
        <v>0.0</v>
      </c>
      <c r="D130" s="341">
        <v>-0.2231523524</v>
      </c>
      <c r="E130" s="342">
        <v>-0.008482668723</v>
      </c>
      <c r="F130" s="342">
        <v>-0.1449857544</v>
      </c>
      <c r="G130" s="342">
        <v>-0.07816659793</v>
      </c>
      <c r="H130" s="342">
        <v>0.9797305122</v>
      </c>
      <c r="I130" s="343"/>
      <c r="J130" s="342" t="s">
        <v>1714</v>
      </c>
      <c r="K130" s="342" t="s">
        <v>159</v>
      </c>
      <c r="L130" s="342" t="s">
        <v>1413</v>
      </c>
      <c r="M130" s="342" t="s">
        <v>1715</v>
      </c>
      <c r="N130" s="343"/>
      <c r="O130" s="342" t="s">
        <v>1368</v>
      </c>
      <c r="P130" s="342" t="s">
        <v>1716</v>
      </c>
      <c r="Q130" s="342">
        <v>4.0</v>
      </c>
      <c r="R130" s="343"/>
      <c r="S130" s="342" t="s">
        <v>1434</v>
      </c>
      <c r="T130" s="342">
        <v>73.0</v>
      </c>
      <c r="U130" s="342">
        <v>14.0</v>
      </c>
      <c r="V130" s="342">
        <v>26.0</v>
      </c>
      <c r="W130" s="341">
        <v>12.27575342</v>
      </c>
      <c r="X130" s="5">
        <v>2.784657534</v>
      </c>
      <c r="Y130" s="5">
        <v>3.503561644</v>
      </c>
      <c r="Z130" s="5">
        <v>2.388767123</v>
      </c>
      <c r="AA130" s="5">
        <v>1.102191781</v>
      </c>
      <c r="AB130" s="5">
        <v>0.4417808219</v>
      </c>
      <c r="AC130" s="5">
        <v>0.4359206643</v>
      </c>
      <c r="AD130" s="5">
        <v>9.980136986</v>
      </c>
      <c r="AE130" s="5">
        <v>0.79</v>
      </c>
      <c r="AF130" s="5">
        <v>1.0</v>
      </c>
      <c r="AG130" s="5">
        <v>1.372054795</v>
      </c>
      <c r="AH130" s="5">
        <v>20.14369455</v>
      </c>
      <c r="AI130" s="5">
        <v>-0.6088745361</v>
      </c>
      <c r="AJ130" s="5">
        <v>1.122252373</v>
      </c>
      <c r="AK130" s="5">
        <v>-0.913559457</v>
      </c>
      <c r="AL130" s="5">
        <v>-0.612936913</v>
      </c>
      <c r="AM130" s="5">
        <v>0.5093845728</v>
      </c>
      <c r="AN130" s="5">
        <v>-0.4569716036</v>
      </c>
      <c r="AO130" s="5">
        <v>-0.7966211329</v>
      </c>
      <c r="AP130" s="5">
        <v>-0.02789212173</v>
      </c>
      <c r="AQ130" s="5">
        <v>0.480347029</v>
      </c>
    </row>
    <row r="131">
      <c r="A131" s="342">
        <v>130.0</v>
      </c>
      <c r="B131" s="341">
        <v>47.0</v>
      </c>
      <c r="C131" s="341">
        <v>-4.2</v>
      </c>
      <c r="D131" s="341">
        <v>-0.2235282696</v>
      </c>
      <c r="E131" s="342">
        <v>0.004542676549</v>
      </c>
      <c r="F131" s="342">
        <v>-0.06043547701</v>
      </c>
      <c r="G131" s="342">
        <v>-0.1630927926</v>
      </c>
      <c r="H131" s="342">
        <v>0.8992069228</v>
      </c>
      <c r="I131" s="343"/>
      <c r="J131" s="342" t="s">
        <v>1717</v>
      </c>
      <c r="K131" s="342" t="s">
        <v>144</v>
      </c>
      <c r="L131" s="342" t="s">
        <v>1413</v>
      </c>
      <c r="M131" s="342" t="s">
        <v>1718</v>
      </c>
      <c r="N131" s="343"/>
      <c r="O131" s="342" t="s">
        <v>1368</v>
      </c>
      <c r="P131" s="342" t="s">
        <v>1719</v>
      </c>
      <c r="Q131" s="342">
        <v>3.0</v>
      </c>
      <c r="R131" s="343"/>
      <c r="S131" s="342" t="s">
        <v>1560</v>
      </c>
      <c r="T131" s="342">
        <v>73.0</v>
      </c>
      <c r="U131" s="342">
        <v>16.0</v>
      </c>
      <c r="V131" s="342">
        <v>26.0</v>
      </c>
      <c r="W131" s="341">
        <v>8.132054795</v>
      </c>
      <c r="X131" s="5">
        <v>1.812328767</v>
      </c>
      <c r="Y131" s="5">
        <v>3.337260274</v>
      </c>
      <c r="Z131" s="5">
        <v>1.750684932</v>
      </c>
      <c r="AA131" s="5">
        <v>1.491369863</v>
      </c>
      <c r="AB131" s="5">
        <v>0.6564383562</v>
      </c>
      <c r="AC131" s="5">
        <v>0.4362947585</v>
      </c>
      <c r="AD131" s="5">
        <v>6.400410959</v>
      </c>
      <c r="AE131" s="5">
        <v>0.8199327423</v>
      </c>
      <c r="AF131" s="5">
        <v>0.8961643836</v>
      </c>
      <c r="AG131" s="5">
        <v>0.765890411</v>
      </c>
      <c r="AH131" s="5">
        <v>12.55794279</v>
      </c>
      <c r="AI131" s="5">
        <v>-1.304550865</v>
      </c>
      <c r="AJ131" s="5">
        <v>0.1676398358</v>
      </c>
      <c r="AK131" s="5">
        <v>-0.9801040312</v>
      </c>
      <c r="AL131" s="5">
        <v>-0.9076383242</v>
      </c>
      <c r="AM131" s="5">
        <v>1.737938501</v>
      </c>
      <c r="AN131" s="5">
        <v>-0.06450335344</v>
      </c>
      <c r="AO131" s="5">
        <v>-0.5105148467</v>
      </c>
      <c r="AP131" s="5">
        <v>0.07350692764</v>
      </c>
      <c r="AQ131" s="5">
        <v>1.244306863</v>
      </c>
    </row>
    <row r="132">
      <c r="A132" s="342">
        <v>131.0</v>
      </c>
      <c r="B132" s="341">
        <v>99.0</v>
      </c>
      <c r="C132" s="341">
        <v>0.1</v>
      </c>
      <c r="D132" s="341">
        <v>-0.2297166041</v>
      </c>
      <c r="E132" s="342">
        <v>0.001950660394</v>
      </c>
      <c r="F132" s="342">
        <v>-0.2962726055</v>
      </c>
      <c r="G132" s="342">
        <v>0.06655600139</v>
      </c>
      <c r="H132" s="342">
        <v>-2.241213064</v>
      </c>
      <c r="I132" s="343"/>
      <c r="J132" s="342" t="s">
        <v>1720</v>
      </c>
      <c r="K132" s="342" t="s">
        <v>126</v>
      </c>
      <c r="L132" s="342" t="s">
        <v>1413</v>
      </c>
      <c r="M132" s="342" t="s">
        <v>1721</v>
      </c>
      <c r="N132" s="342" t="s">
        <v>1722</v>
      </c>
      <c r="O132" s="342" t="s">
        <v>1374</v>
      </c>
      <c r="P132" s="343"/>
      <c r="Q132" s="342">
        <v>3.0</v>
      </c>
      <c r="R132" s="343"/>
      <c r="S132" s="342" t="s">
        <v>1370</v>
      </c>
      <c r="T132" s="342">
        <v>68.0</v>
      </c>
      <c r="U132" s="342">
        <v>15.0</v>
      </c>
      <c r="V132" s="342">
        <v>35.0</v>
      </c>
      <c r="W132" s="341">
        <v>21.90529412</v>
      </c>
      <c r="X132" s="5">
        <v>1.264558824</v>
      </c>
      <c r="Y132" s="5">
        <v>6.186176471</v>
      </c>
      <c r="Z132" s="5">
        <v>4.197794118</v>
      </c>
      <c r="AA132" s="5">
        <v>0.5973529412</v>
      </c>
      <c r="AB132" s="5">
        <v>0.3647058824</v>
      </c>
      <c r="AC132" s="5">
        <v>0.5216020917</v>
      </c>
      <c r="AD132" s="5">
        <v>16.42338235</v>
      </c>
      <c r="AE132" s="5">
        <v>0.6889948007</v>
      </c>
      <c r="AF132" s="5">
        <v>5.091176471</v>
      </c>
      <c r="AG132" s="5">
        <v>2.410735294</v>
      </c>
      <c r="AH132" s="5">
        <v>25.92367892</v>
      </c>
      <c r="AI132" s="5">
        <v>1.007807592</v>
      </c>
      <c r="AJ132" s="5">
        <v>-0.370149514</v>
      </c>
      <c r="AK132" s="5">
        <v>0.1598740419</v>
      </c>
      <c r="AL132" s="5">
        <v>0.2225711378</v>
      </c>
      <c r="AM132" s="5">
        <v>-1.084286211</v>
      </c>
      <c r="AN132" s="5">
        <v>-0.5978912632</v>
      </c>
      <c r="AO132" s="5">
        <v>0.8469772905</v>
      </c>
      <c r="AP132" s="5">
        <v>-2.022635907</v>
      </c>
      <c r="AQ132" s="5">
        <v>-0.8287206166</v>
      </c>
    </row>
    <row r="133">
      <c r="A133" s="342">
        <v>132.0</v>
      </c>
      <c r="B133" s="341">
        <v>100.0</v>
      </c>
      <c r="C133" s="341">
        <v>0.0</v>
      </c>
      <c r="D133" s="341">
        <v>-0.2326106313</v>
      </c>
      <c r="E133" s="342">
        <v>-0.005687844842</v>
      </c>
      <c r="F133" s="342">
        <v>-0.1304809126</v>
      </c>
      <c r="G133" s="342">
        <v>-0.1021297187</v>
      </c>
      <c r="H133" s="342">
        <v>0.1583899003</v>
      </c>
      <c r="I133" s="343"/>
      <c r="J133" s="342" t="s">
        <v>1723</v>
      </c>
      <c r="K133" s="342" t="s">
        <v>148</v>
      </c>
      <c r="L133" s="342" t="s">
        <v>1366</v>
      </c>
      <c r="M133" s="342" t="s">
        <v>1724</v>
      </c>
      <c r="N133" s="343"/>
      <c r="O133" s="342" t="s">
        <v>1368</v>
      </c>
      <c r="P133" s="342" t="s">
        <v>1410</v>
      </c>
      <c r="Q133" s="342">
        <v>3.0</v>
      </c>
      <c r="R133" s="343"/>
      <c r="S133" s="342" t="s">
        <v>1434</v>
      </c>
      <c r="T133" s="342">
        <v>64.0</v>
      </c>
      <c r="U133" s="342">
        <v>15.0</v>
      </c>
      <c r="V133" s="342">
        <v>25.0</v>
      </c>
      <c r="W133" s="341">
        <v>13.5875</v>
      </c>
      <c r="X133" s="5">
        <v>1.01265625</v>
      </c>
      <c r="Y133" s="5">
        <v>7.7328125</v>
      </c>
      <c r="Z133" s="5">
        <v>1.16375</v>
      </c>
      <c r="AA133" s="5">
        <v>0.5271875</v>
      </c>
      <c r="AB133" s="5">
        <v>0.78796875</v>
      </c>
      <c r="AC133" s="5">
        <v>0.5304874154</v>
      </c>
      <c r="AD133" s="5">
        <v>9.78375</v>
      </c>
      <c r="AE133" s="5">
        <v>0.8010151705</v>
      </c>
      <c r="AF133" s="5">
        <v>2.7396875</v>
      </c>
      <c r="AG133" s="5">
        <v>1.2084375</v>
      </c>
      <c r="AH133" s="5">
        <v>20.81135764</v>
      </c>
      <c r="AI133" s="5">
        <v>-0.3886483266</v>
      </c>
      <c r="AJ133" s="5">
        <v>-0.617462319</v>
      </c>
      <c r="AK133" s="5">
        <v>0.7787519024</v>
      </c>
      <c r="AL133" s="5">
        <v>-1.178717121</v>
      </c>
      <c r="AM133" s="5">
        <v>-1.305783856</v>
      </c>
      <c r="AN133" s="5">
        <v>0.1759797197</v>
      </c>
      <c r="AO133" s="5">
        <v>0.6337956188</v>
      </c>
      <c r="AP133" s="5">
        <v>0.04119933053</v>
      </c>
      <c r="AQ133" s="5">
        <v>0.6865568372</v>
      </c>
    </row>
    <row r="134">
      <c r="A134" s="342">
        <v>133.0</v>
      </c>
      <c r="B134" s="341">
        <v>98.0</v>
      </c>
      <c r="C134" s="341">
        <v>0.2</v>
      </c>
      <c r="D134" s="341">
        <v>-0.2345204535</v>
      </c>
      <c r="E134" s="342">
        <v>0.1272737259</v>
      </c>
      <c r="F134" s="342">
        <v>-0.1733720571</v>
      </c>
      <c r="G134" s="342">
        <v>-0.06114839644</v>
      </c>
      <c r="H134" s="342">
        <v>0.2872276434</v>
      </c>
      <c r="I134" s="343"/>
      <c r="J134" s="342" t="s">
        <v>1725</v>
      </c>
      <c r="K134" s="342" t="s">
        <v>102</v>
      </c>
      <c r="L134" s="342" t="s">
        <v>1413</v>
      </c>
      <c r="M134" s="342" t="s">
        <v>1726</v>
      </c>
      <c r="N134" s="343"/>
      <c r="O134" s="342" t="s">
        <v>1368</v>
      </c>
      <c r="P134" s="343"/>
      <c r="Q134" s="342">
        <v>4.0</v>
      </c>
      <c r="R134" s="343"/>
      <c r="S134" s="342" t="s">
        <v>1370</v>
      </c>
      <c r="T134" s="342">
        <v>73.0</v>
      </c>
      <c r="U134" s="342">
        <v>16.0</v>
      </c>
      <c r="V134" s="342">
        <v>32.0</v>
      </c>
      <c r="W134" s="341">
        <v>18.81493151</v>
      </c>
      <c r="X134" s="5">
        <v>2.610410959</v>
      </c>
      <c r="Y134" s="5">
        <v>3.201369863</v>
      </c>
      <c r="Z134" s="5">
        <v>1.763972603</v>
      </c>
      <c r="AA134" s="5">
        <v>0.7839726027</v>
      </c>
      <c r="AB134" s="5">
        <v>0.3269863014</v>
      </c>
      <c r="AC134" s="5">
        <v>0.4720350306</v>
      </c>
      <c r="AD134" s="5">
        <v>14.04643836</v>
      </c>
      <c r="AE134" s="5">
        <v>0.8060087769</v>
      </c>
      <c r="AF134" s="5">
        <v>3.652191781</v>
      </c>
      <c r="AG134" s="5">
        <v>1.50260274</v>
      </c>
      <c r="AH134" s="5">
        <v>23.84778314</v>
      </c>
      <c r="AI134" s="5">
        <v>0.4889735003</v>
      </c>
      <c r="AJ134" s="5">
        <v>0.9511806415</v>
      </c>
      <c r="AK134" s="5">
        <v>-1.034479828</v>
      </c>
      <c r="AL134" s="5">
        <v>-0.9015013477</v>
      </c>
      <c r="AM134" s="5">
        <v>-0.4951669143</v>
      </c>
      <c r="AN134" s="5">
        <v>-0.6668557093</v>
      </c>
      <c r="AO134" s="5">
        <v>-0.341683937</v>
      </c>
      <c r="AP134" s="5">
        <v>0.1233699664</v>
      </c>
      <c r="AQ134" s="5">
        <v>0.3158151144</v>
      </c>
    </row>
    <row r="135">
      <c r="A135" s="342">
        <v>134.0</v>
      </c>
      <c r="B135" s="341">
        <v>94.0</v>
      </c>
      <c r="C135" s="341">
        <v>2.0</v>
      </c>
      <c r="D135" s="341">
        <v>-0.2489135506</v>
      </c>
      <c r="E135" s="342">
        <v>0.001087782566</v>
      </c>
      <c r="F135" s="342">
        <v>-0.1219031353</v>
      </c>
      <c r="G135" s="342">
        <v>-0.1270104153</v>
      </c>
      <c r="H135" s="342">
        <v>0.3033323613</v>
      </c>
      <c r="I135" s="343"/>
      <c r="J135" s="342" t="s">
        <v>1727</v>
      </c>
      <c r="K135" s="342" t="s">
        <v>57</v>
      </c>
      <c r="L135" s="342" t="s">
        <v>1404</v>
      </c>
      <c r="M135" s="342" t="s">
        <v>1728</v>
      </c>
      <c r="N135" s="343"/>
      <c r="O135" s="342" t="s">
        <v>1368</v>
      </c>
      <c r="P135" s="343"/>
      <c r="Q135" s="342">
        <v>3.0</v>
      </c>
      <c r="R135" s="343"/>
      <c r="S135" s="342" t="s">
        <v>1370</v>
      </c>
      <c r="T135" s="342">
        <v>73.0</v>
      </c>
      <c r="U135" s="342">
        <v>13.0</v>
      </c>
      <c r="V135" s="342">
        <v>31.0</v>
      </c>
      <c r="W135" s="341">
        <v>12.21136986</v>
      </c>
      <c r="X135" s="5">
        <v>2.020821918</v>
      </c>
      <c r="Y135" s="5">
        <v>6.196712329</v>
      </c>
      <c r="Z135" s="5">
        <v>1.749452055</v>
      </c>
      <c r="AA135" s="5">
        <v>1.040821918</v>
      </c>
      <c r="AB135" s="5">
        <v>0.8495890411</v>
      </c>
      <c r="AC135" s="5">
        <v>0.4325703804</v>
      </c>
      <c r="AD135" s="5">
        <v>10.3060274</v>
      </c>
      <c r="AE135" s="5">
        <v>0.6900311526</v>
      </c>
      <c r="AF135" s="5">
        <v>1.846849315</v>
      </c>
      <c r="AG135" s="5">
        <v>1.04369863</v>
      </c>
      <c r="AH135" s="5">
        <v>16.83512274</v>
      </c>
      <c r="AI135" s="5">
        <v>-0.6196837487</v>
      </c>
      <c r="AJ135" s="5">
        <v>0.3723341554</v>
      </c>
      <c r="AK135" s="5">
        <v>0.1640899073</v>
      </c>
      <c r="AL135" s="5">
        <v>-0.9082077344</v>
      </c>
      <c r="AM135" s="5">
        <v>0.315652732</v>
      </c>
      <c r="AN135" s="5">
        <v>0.2886429342</v>
      </c>
      <c r="AO135" s="5">
        <v>-0.8751376214</v>
      </c>
      <c r="AP135" s="5">
        <v>-0.7289990292</v>
      </c>
      <c r="AQ135" s="5">
        <v>0.8941801868</v>
      </c>
    </row>
    <row r="136">
      <c r="A136" s="342">
        <v>135.0</v>
      </c>
      <c r="B136" s="341">
        <v>99.0</v>
      </c>
      <c r="C136" s="341">
        <v>-1.2</v>
      </c>
      <c r="D136" s="341">
        <v>-0.2500186003</v>
      </c>
      <c r="E136" s="342">
        <v>-0.03887982731</v>
      </c>
      <c r="F136" s="342">
        <v>-0.1498565889</v>
      </c>
      <c r="G136" s="342">
        <v>-0.1001620114</v>
      </c>
      <c r="H136" s="342">
        <v>0.7220550261</v>
      </c>
      <c r="I136" s="343"/>
      <c r="J136" s="342" t="s">
        <v>1729</v>
      </c>
      <c r="K136" s="342" t="s">
        <v>1396</v>
      </c>
      <c r="L136" s="342" t="s">
        <v>1380</v>
      </c>
      <c r="M136" s="342" t="s">
        <v>1730</v>
      </c>
      <c r="N136" s="342" t="s">
        <v>1731</v>
      </c>
      <c r="O136" s="342" t="s">
        <v>1368</v>
      </c>
      <c r="P136" s="342" t="s">
        <v>1690</v>
      </c>
      <c r="Q136" s="342">
        <v>2.0</v>
      </c>
      <c r="R136" s="343"/>
      <c r="S136" s="342" t="s">
        <v>1560</v>
      </c>
      <c r="T136" s="342">
        <v>73.0</v>
      </c>
      <c r="U136" s="342">
        <v>14.0</v>
      </c>
      <c r="V136" s="342">
        <v>30.0</v>
      </c>
      <c r="W136" s="341">
        <v>11.81726027</v>
      </c>
      <c r="X136" s="5">
        <v>1.636575342</v>
      </c>
      <c r="Y136" s="5">
        <v>6.437534247</v>
      </c>
      <c r="Z136" s="5">
        <v>4.312465753</v>
      </c>
      <c r="AA136" s="5">
        <v>0.8923287671</v>
      </c>
      <c r="AB136" s="5">
        <v>0.2467123288</v>
      </c>
      <c r="AC136" s="5">
        <v>0.4582322453</v>
      </c>
      <c r="AD136" s="5">
        <v>9.937534247</v>
      </c>
      <c r="AE136" s="5">
        <v>0.7199963242</v>
      </c>
      <c r="AF136" s="5">
        <v>1.490684932</v>
      </c>
      <c r="AG136" s="5">
        <v>1.23630137</v>
      </c>
      <c r="AH136" s="5">
        <v>16.90368466</v>
      </c>
      <c r="AI136" s="5">
        <v>-0.6858499294</v>
      </c>
      <c r="AJ136" s="5">
        <v>-0.004911289161</v>
      </c>
      <c r="AK136" s="5">
        <v>0.2604534669</v>
      </c>
      <c r="AL136" s="5">
        <v>0.2755327991</v>
      </c>
      <c r="AM136" s="5">
        <v>-0.1531091328</v>
      </c>
      <c r="AN136" s="5">
        <v>-0.8136243082</v>
      </c>
      <c r="AO136" s="5">
        <v>-0.4541833453</v>
      </c>
      <c r="AP136" s="5">
        <v>-0.4244570638</v>
      </c>
      <c r="AQ136" s="5">
        <v>0.6514395027</v>
      </c>
    </row>
    <row r="137">
      <c r="A137" s="342">
        <v>136.0</v>
      </c>
      <c r="B137" s="341">
        <v>78.0</v>
      </c>
      <c r="C137" s="341">
        <v>1.3</v>
      </c>
      <c r="D137" s="341">
        <v>-0.2575996982</v>
      </c>
      <c r="E137" s="342">
        <v>0.006073044785</v>
      </c>
      <c r="F137" s="342">
        <v>-0.1696013631</v>
      </c>
      <c r="G137" s="342">
        <v>-0.08799833512</v>
      </c>
      <c r="H137" s="342">
        <v>-1.291034709</v>
      </c>
      <c r="I137" s="343"/>
      <c r="J137" s="342" t="s">
        <v>1732</v>
      </c>
      <c r="K137" s="342" t="s">
        <v>1396</v>
      </c>
      <c r="L137" s="342" t="s">
        <v>1404</v>
      </c>
      <c r="M137" s="342" t="s">
        <v>1733</v>
      </c>
      <c r="N137" s="343"/>
      <c r="O137" s="342" t="s">
        <v>1368</v>
      </c>
      <c r="P137" s="343"/>
      <c r="Q137" s="342">
        <v>2.0</v>
      </c>
      <c r="R137" s="343"/>
      <c r="S137" s="342" t="s">
        <v>1370</v>
      </c>
      <c r="T137" s="342">
        <v>73.0</v>
      </c>
      <c r="U137" s="342">
        <v>14.0</v>
      </c>
      <c r="V137" s="342">
        <v>29.0</v>
      </c>
      <c r="W137" s="341">
        <v>16.31821918</v>
      </c>
      <c r="X137" s="5">
        <v>1.830273973</v>
      </c>
      <c r="Y137" s="5">
        <v>4.833287671</v>
      </c>
      <c r="Z137" s="5">
        <v>2.018767123</v>
      </c>
      <c r="AA137" s="5">
        <v>0.7994520548</v>
      </c>
      <c r="AB137" s="5">
        <v>0.7165753425</v>
      </c>
      <c r="AC137" s="5">
        <v>0.4621657323</v>
      </c>
      <c r="AD137" s="5">
        <v>13.17027397</v>
      </c>
      <c r="AE137" s="5">
        <v>0.7759864039</v>
      </c>
      <c r="AF137" s="5">
        <v>2.982328767</v>
      </c>
      <c r="AG137" s="5">
        <v>1.329178082</v>
      </c>
      <c r="AH137" s="5">
        <v>23.3726242</v>
      </c>
      <c r="AI137" s="5">
        <v>0.06980603108</v>
      </c>
      <c r="AJ137" s="5">
        <v>0.1852580722</v>
      </c>
      <c r="AK137" s="5">
        <v>-0.3814769352</v>
      </c>
      <c r="AL137" s="5">
        <v>-0.7838232401</v>
      </c>
      <c r="AM137" s="5">
        <v>-0.4463015169</v>
      </c>
      <c r="AN137" s="5">
        <v>0.0454478666</v>
      </c>
      <c r="AO137" s="5">
        <v>-0.5197219694</v>
      </c>
      <c r="AP137" s="5">
        <v>-0.2299858939</v>
      </c>
      <c r="AQ137" s="5">
        <v>0.5343853179</v>
      </c>
    </row>
    <row r="138">
      <c r="A138" s="342">
        <v>137.0</v>
      </c>
      <c r="B138" s="341">
        <v>99.0</v>
      </c>
      <c r="C138" s="341">
        <v>-1.2</v>
      </c>
      <c r="D138" s="341">
        <v>-0.2619167518</v>
      </c>
      <c r="E138" s="342">
        <v>0.002955228113</v>
      </c>
      <c r="F138" s="342">
        <v>-0.1192661748</v>
      </c>
      <c r="G138" s="342">
        <v>-0.142650577</v>
      </c>
      <c r="H138" s="342">
        <v>0.7542644619</v>
      </c>
      <c r="I138" s="343"/>
      <c r="J138" s="342" t="s">
        <v>1734</v>
      </c>
      <c r="K138" s="342" t="s">
        <v>1396</v>
      </c>
      <c r="L138" s="342" t="s">
        <v>1366</v>
      </c>
      <c r="M138" s="342" t="s">
        <v>1735</v>
      </c>
      <c r="N138" s="343"/>
      <c r="O138" s="342" t="s">
        <v>1368</v>
      </c>
      <c r="P138" s="342" t="s">
        <v>1690</v>
      </c>
      <c r="Q138" s="342">
        <v>3.0</v>
      </c>
      <c r="R138" s="343"/>
      <c r="S138" s="342" t="s">
        <v>1560</v>
      </c>
      <c r="T138" s="342">
        <v>73.0</v>
      </c>
      <c r="U138" s="342">
        <v>14.0</v>
      </c>
      <c r="V138" s="342">
        <v>22.0</v>
      </c>
      <c r="W138" s="341">
        <v>11.94</v>
      </c>
      <c r="X138" s="5">
        <v>0.0</v>
      </c>
      <c r="Y138" s="5">
        <v>6.416712329</v>
      </c>
      <c r="Z138" s="5">
        <v>1.783150685</v>
      </c>
      <c r="AA138" s="5">
        <v>0.6204109589</v>
      </c>
      <c r="AB138" s="5">
        <v>1.420821918</v>
      </c>
      <c r="AC138" s="5">
        <v>0.7080075188</v>
      </c>
      <c r="AD138" s="5">
        <v>7.287671233</v>
      </c>
      <c r="AE138" s="5">
        <v>0.6009957326</v>
      </c>
      <c r="AF138" s="5">
        <v>2.696438356</v>
      </c>
      <c r="AG138" s="5">
        <v>0.9423287671</v>
      </c>
      <c r="AH138" s="5">
        <v>18.34810776</v>
      </c>
      <c r="AI138" s="5">
        <v>-0.6652434303</v>
      </c>
      <c r="AJ138" s="5">
        <v>-1.611667555</v>
      </c>
      <c r="AK138" s="5">
        <v>0.2521216916</v>
      </c>
      <c r="AL138" s="5">
        <v>-0.8926438557</v>
      </c>
      <c r="AM138" s="5">
        <v>-1.011496865</v>
      </c>
      <c r="AN138" s="5">
        <v>1.333054295</v>
      </c>
      <c r="AO138" s="5">
        <v>2.448206444</v>
      </c>
      <c r="AP138" s="5">
        <v>-1.94766474</v>
      </c>
      <c r="AQ138" s="5">
        <v>1.021938442</v>
      </c>
    </row>
    <row r="139">
      <c r="A139" s="342">
        <v>138.0</v>
      </c>
      <c r="B139" s="341">
        <v>12.0</v>
      </c>
      <c r="C139" s="341">
        <v>-1.4</v>
      </c>
      <c r="D139" s="341">
        <v>-0.2660832656</v>
      </c>
      <c r="E139" s="342">
        <v>0.001197789222</v>
      </c>
      <c r="F139" s="342">
        <v>-0.2314491616</v>
      </c>
      <c r="G139" s="342">
        <v>-0.03463410398</v>
      </c>
      <c r="H139" s="342">
        <v>0.6737408725</v>
      </c>
      <c r="I139" s="343"/>
      <c r="J139" s="342" t="s">
        <v>1736</v>
      </c>
      <c r="K139" s="342" t="s">
        <v>89</v>
      </c>
      <c r="L139" s="342" t="s">
        <v>1380</v>
      </c>
      <c r="M139" s="342" t="s">
        <v>1737</v>
      </c>
      <c r="N139" s="343"/>
      <c r="O139" s="342" t="s">
        <v>1368</v>
      </c>
      <c r="P139" s="342" t="s">
        <v>1399</v>
      </c>
      <c r="Q139" s="342">
        <v>4.0</v>
      </c>
      <c r="R139" s="343"/>
      <c r="S139" s="342" t="s">
        <v>1434</v>
      </c>
      <c r="T139" s="342">
        <v>73.0</v>
      </c>
      <c r="U139" s="342">
        <v>14.0</v>
      </c>
      <c r="V139" s="342">
        <v>20.0</v>
      </c>
      <c r="W139" s="341">
        <v>10.5009589</v>
      </c>
      <c r="X139" s="5">
        <v>0.2819178082</v>
      </c>
      <c r="Y139" s="5">
        <v>2.961232877</v>
      </c>
      <c r="Z139" s="5">
        <v>5.917260274</v>
      </c>
      <c r="AA139" s="5">
        <v>1.07260274</v>
      </c>
      <c r="AB139" s="5">
        <v>0.1287671233</v>
      </c>
      <c r="AC139" s="5">
        <v>0.5480603977</v>
      </c>
      <c r="AD139" s="5">
        <v>8.927123288</v>
      </c>
      <c r="AE139" s="5">
        <v>0.8099744246</v>
      </c>
      <c r="AF139" s="5">
        <v>0.5356164384</v>
      </c>
      <c r="AG139" s="5">
        <v>1.716986301</v>
      </c>
      <c r="AH139" s="5">
        <v>23.03314884</v>
      </c>
      <c r="AI139" s="5">
        <v>-0.9068408332</v>
      </c>
      <c r="AJ139" s="5">
        <v>-1.334886406</v>
      </c>
      <c r="AK139" s="5">
        <v>-1.130569316</v>
      </c>
      <c r="AL139" s="5">
        <v>1.016715073</v>
      </c>
      <c r="AM139" s="5">
        <v>0.4159781496</v>
      </c>
      <c r="AN139" s="5">
        <v>-1.029268956</v>
      </c>
      <c r="AO139" s="5">
        <v>0.8174079679</v>
      </c>
      <c r="AP139" s="5">
        <v>0.02279819556</v>
      </c>
      <c r="AQ139" s="5">
        <v>0.04562367018</v>
      </c>
    </row>
    <row r="140">
      <c r="A140" s="342">
        <v>139.0</v>
      </c>
      <c r="B140" s="341">
        <v>17.0</v>
      </c>
      <c r="C140" s="341">
        <v>2.0</v>
      </c>
      <c r="D140" s="341">
        <v>-0.2797050306</v>
      </c>
      <c r="E140" s="342">
        <v>7.41162793E-4</v>
      </c>
      <c r="F140" s="342">
        <v>-0.2352343583</v>
      </c>
      <c r="G140" s="342">
        <v>-0.04447067226</v>
      </c>
      <c r="H140" s="342">
        <v>1.108568255</v>
      </c>
      <c r="I140" s="343"/>
      <c r="J140" s="342" t="s">
        <v>1738</v>
      </c>
      <c r="K140" s="342" t="s">
        <v>110</v>
      </c>
      <c r="L140" s="342" t="s">
        <v>1413</v>
      </c>
      <c r="M140" s="342" t="s">
        <v>1739</v>
      </c>
      <c r="N140" s="342" t="s">
        <v>1740</v>
      </c>
      <c r="O140" s="342" t="s">
        <v>1368</v>
      </c>
      <c r="P140" s="343"/>
      <c r="Q140" s="342">
        <v>5.0</v>
      </c>
      <c r="R140" s="343"/>
      <c r="S140" s="342" t="s">
        <v>1370</v>
      </c>
      <c r="T140" s="342">
        <v>49.0</v>
      </c>
      <c r="U140" s="342">
        <v>16.0</v>
      </c>
      <c r="V140" s="342">
        <v>30.0</v>
      </c>
      <c r="W140" s="341">
        <v>11.57183673</v>
      </c>
      <c r="X140" s="5">
        <v>2.281836735</v>
      </c>
      <c r="Y140" s="5">
        <v>4.653673469</v>
      </c>
      <c r="Z140" s="5">
        <v>4.27122449</v>
      </c>
      <c r="AA140" s="5">
        <v>0.7651020408</v>
      </c>
      <c r="AB140" s="5">
        <v>0.3197959184</v>
      </c>
      <c r="AC140" s="5">
        <v>0.4321658788</v>
      </c>
      <c r="AD140" s="5">
        <v>9.497959184</v>
      </c>
      <c r="AE140" s="5">
        <v>0.819025522</v>
      </c>
      <c r="AF140" s="5">
        <v>1.319387755</v>
      </c>
      <c r="AG140" s="5">
        <v>1.65755102</v>
      </c>
      <c r="AH140" s="5">
        <v>16.9023137</v>
      </c>
      <c r="AI140" s="5">
        <v>-0.7270535405</v>
      </c>
      <c r="AJ140" s="5">
        <v>0.6285931749</v>
      </c>
      <c r="AK140" s="5">
        <v>-0.4533485655</v>
      </c>
      <c r="AL140" s="5">
        <v>0.2564853178</v>
      </c>
      <c r="AM140" s="5">
        <v>-0.5547373373</v>
      </c>
      <c r="AN140" s="5">
        <v>-0.6800022175</v>
      </c>
      <c r="AO140" s="5">
        <v>-0.8131153326</v>
      </c>
      <c r="AP140" s="5">
        <v>0.105538256</v>
      </c>
      <c r="AQ140" s="5">
        <v>0.1205310198</v>
      </c>
    </row>
    <row r="141">
      <c r="A141" s="342">
        <v>140.0</v>
      </c>
      <c r="B141" s="341">
        <v>66.0</v>
      </c>
      <c r="C141" s="341">
        <v>2.7</v>
      </c>
      <c r="D141" s="341">
        <v>-0.2808479338</v>
      </c>
      <c r="E141" s="342">
        <v>0.006691371572</v>
      </c>
      <c r="F141" s="342">
        <v>-0.2709952273</v>
      </c>
      <c r="G141" s="342">
        <v>-0.009852706518</v>
      </c>
      <c r="H141" s="342">
        <v>0.1905993361</v>
      </c>
      <c r="I141" s="343"/>
      <c r="J141" s="342" t="s">
        <v>1741</v>
      </c>
      <c r="K141" s="342" t="s">
        <v>259</v>
      </c>
      <c r="L141" s="342" t="s">
        <v>1413</v>
      </c>
      <c r="M141" s="342" t="s">
        <v>1742</v>
      </c>
      <c r="N141" s="342" t="s">
        <v>1743</v>
      </c>
      <c r="O141" s="342" t="s">
        <v>1374</v>
      </c>
      <c r="P141" s="343"/>
      <c r="Q141" s="342">
        <v>2.0</v>
      </c>
      <c r="R141" s="343"/>
      <c r="S141" s="342" t="s">
        <v>1434</v>
      </c>
      <c r="T141" s="342">
        <v>60.0</v>
      </c>
      <c r="U141" s="342">
        <v>13.0</v>
      </c>
      <c r="V141" s="342">
        <v>33.0</v>
      </c>
      <c r="W141" s="341">
        <v>16.22216667</v>
      </c>
      <c r="X141" s="5">
        <v>1.953166667</v>
      </c>
      <c r="Y141" s="5">
        <v>4.764333333</v>
      </c>
      <c r="Z141" s="5">
        <v>2.926666667</v>
      </c>
      <c r="AA141" s="5">
        <v>0.8256666667</v>
      </c>
      <c r="AB141" s="5">
        <v>0.4053333333</v>
      </c>
      <c r="AC141" s="5">
        <v>0.4255115049</v>
      </c>
      <c r="AD141" s="5">
        <v>13.2045</v>
      </c>
      <c r="AE141" s="5">
        <v>0.8199972952</v>
      </c>
      <c r="AF141" s="5">
        <v>3.697166667</v>
      </c>
      <c r="AG141" s="5">
        <v>1.905666667</v>
      </c>
      <c r="AH141" s="5">
        <v>21.8393474</v>
      </c>
      <c r="AI141" s="5">
        <v>0.05367998898</v>
      </c>
      <c r="AJ141" s="5">
        <v>0.3059116108</v>
      </c>
      <c r="AK141" s="5">
        <v>-0.4090686324</v>
      </c>
      <c r="AL141" s="5">
        <v>-0.3645053526</v>
      </c>
      <c r="AM141" s="5">
        <v>-0.363547462</v>
      </c>
      <c r="AN141" s="5">
        <v>-0.5236102246</v>
      </c>
      <c r="AO141" s="5">
        <v>-1.261224039</v>
      </c>
      <c r="AP141" s="5">
        <v>0.3155806402</v>
      </c>
      <c r="AQ141" s="5">
        <v>-0.1921735752</v>
      </c>
    </row>
    <row r="142">
      <c r="A142" s="342">
        <v>141.0</v>
      </c>
      <c r="B142" s="341">
        <v>92.0</v>
      </c>
      <c r="C142" s="341">
        <v>-0.3</v>
      </c>
      <c r="D142" s="341">
        <v>-0.2883712388</v>
      </c>
      <c r="E142" s="342">
        <v>-0.001360776399</v>
      </c>
      <c r="F142" s="342">
        <v>-0.2269751152</v>
      </c>
      <c r="G142" s="342">
        <v>-0.0613961236</v>
      </c>
      <c r="H142" s="342">
        <v>1.108568255</v>
      </c>
      <c r="I142" s="343"/>
      <c r="J142" s="342" t="s">
        <v>1744</v>
      </c>
      <c r="K142" s="342" t="s">
        <v>67</v>
      </c>
      <c r="L142" s="342" t="s">
        <v>34</v>
      </c>
      <c r="M142" s="342" t="s">
        <v>1745</v>
      </c>
      <c r="N142" s="343"/>
      <c r="O142" s="342" t="s">
        <v>1368</v>
      </c>
      <c r="P142" s="342" t="s">
        <v>1746</v>
      </c>
      <c r="Q142" s="342">
        <v>2.0</v>
      </c>
      <c r="R142" s="343"/>
      <c r="S142" s="342" t="s">
        <v>1434</v>
      </c>
      <c r="T142" s="342">
        <v>73.0</v>
      </c>
      <c r="U142" s="342">
        <v>15.0</v>
      </c>
      <c r="V142" s="342">
        <v>21.0</v>
      </c>
      <c r="W142" s="341">
        <v>8.595068493</v>
      </c>
      <c r="X142" s="5">
        <v>0.0</v>
      </c>
      <c r="Y142" s="5">
        <v>11.06178082</v>
      </c>
      <c r="Z142" s="5">
        <v>1.029041096</v>
      </c>
      <c r="AA142" s="5">
        <v>1.098219178</v>
      </c>
      <c r="AB142" s="5">
        <v>0.9004109589</v>
      </c>
      <c r="AC142" s="5">
        <v>0.5779897937</v>
      </c>
      <c r="AD142" s="5">
        <v>6.173972603</v>
      </c>
      <c r="AE142" s="5">
        <v>0.5760051951</v>
      </c>
      <c r="AF142" s="5">
        <v>2.531369863</v>
      </c>
      <c r="AG142" s="5">
        <v>1.543561644</v>
      </c>
      <c r="AH142" s="5">
        <v>18.49019997</v>
      </c>
      <c r="AI142" s="5">
        <v>-1.226816527</v>
      </c>
      <c r="AJ142" s="5">
        <v>-1.611667555</v>
      </c>
      <c r="AK142" s="5">
        <v>2.110820181</v>
      </c>
      <c r="AL142" s="5">
        <v>-1.240933093</v>
      </c>
      <c r="AM142" s="5">
        <v>0.4968438956</v>
      </c>
      <c r="AN142" s="5">
        <v>0.3815629857</v>
      </c>
      <c r="AO142" s="5">
        <v>0.8450732964</v>
      </c>
      <c r="AP142" s="5">
        <v>-2.061853093</v>
      </c>
      <c r="AQ142" s="5">
        <v>0.2641938736</v>
      </c>
    </row>
    <row r="143">
      <c r="A143" s="342">
        <v>142.0</v>
      </c>
      <c r="B143" s="341">
        <v>92.0</v>
      </c>
      <c r="C143" s="341">
        <v>-1.6</v>
      </c>
      <c r="D143" s="341">
        <v>-0.2912967958</v>
      </c>
      <c r="E143" s="342">
        <v>-0.0101145977</v>
      </c>
      <c r="F143" s="342">
        <v>-0.3553963901</v>
      </c>
      <c r="G143" s="342">
        <v>0.06409959426</v>
      </c>
      <c r="H143" s="342">
        <v>0.3033323613</v>
      </c>
      <c r="I143" s="343"/>
      <c r="J143" s="342" t="s">
        <v>1747</v>
      </c>
      <c r="K143" s="342" t="s">
        <v>222</v>
      </c>
      <c r="L143" s="342" t="s">
        <v>1380</v>
      </c>
      <c r="M143" s="342" t="s">
        <v>1748</v>
      </c>
      <c r="N143" s="343"/>
      <c r="O143" s="342" t="s">
        <v>1368</v>
      </c>
      <c r="P143" s="342" t="s">
        <v>1616</v>
      </c>
      <c r="Q143" s="342">
        <v>1.0</v>
      </c>
      <c r="R143" s="343"/>
      <c r="S143" s="342" t="s">
        <v>1370</v>
      </c>
      <c r="T143" s="342">
        <v>73.0</v>
      </c>
      <c r="U143" s="342">
        <v>15.0</v>
      </c>
      <c r="V143" s="342">
        <v>32.0</v>
      </c>
      <c r="W143" s="341">
        <v>17.90013699</v>
      </c>
      <c r="X143" s="5">
        <v>2.133424658</v>
      </c>
      <c r="Y143" s="5">
        <v>3.366027397</v>
      </c>
      <c r="Z143" s="5">
        <v>4.62</v>
      </c>
      <c r="AA143" s="5">
        <v>0.708630137</v>
      </c>
      <c r="AB143" s="5">
        <v>0.4694520548</v>
      </c>
      <c r="AC143" s="5">
        <v>0.4420107856</v>
      </c>
      <c r="AD143" s="5">
        <v>14.45356164</v>
      </c>
      <c r="AE143" s="5">
        <v>0.7660149531</v>
      </c>
      <c r="AF143" s="5">
        <v>3.90260274</v>
      </c>
      <c r="AG143" s="5">
        <v>2.442054795</v>
      </c>
      <c r="AH143" s="5">
        <v>25.42924375</v>
      </c>
      <c r="AI143" s="5">
        <v>0.3353906868</v>
      </c>
      <c r="AJ143" s="5">
        <v>0.4828852269</v>
      </c>
      <c r="AK143" s="5">
        <v>-0.9685930258</v>
      </c>
      <c r="AL143" s="5">
        <v>0.4175690095</v>
      </c>
      <c r="AM143" s="5">
        <v>-0.7330073439</v>
      </c>
      <c r="AN143" s="5">
        <v>-0.4063790149</v>
      </c>
      <c r="AO143" s="5">
        <v>-1.014965912</v>
      </c>
      <c r="AP143" s="5">
        <v>-0.4432739935</v>
      </c>
      <c r="AQ143" s="5">
        <v>-0.8681931442</v>
      </c>
    </row>
    <row r="144">
      <c r="A144" s="342">
        <v>143.0</v>
      </c>
      <c r="B144" s="341">
        <v>52.0</v>
      </c>
      <c r="C144" s="341">
        <v>-2.1</v>
      </c>
      <c r="D144" s="341">
        <v>-0.294940765</v>
      </c>
      <c r="E144" s="342">
        <v>0.003114236731</v>
      </c>
      <c r="F144" s="342">
        <v>-0.1176404355</v>
      </c>
      <c r="G144" s="342">
        <v>-0.1773003295</v>
      </c>
      <c r="H144" s="342">
        <v>-1.001149787</v>
      </c>
      <c r="I144" s="343"/>
      <c r="J144" s="342" t="s">
        <v>1749</v>
      </c>
      <c r="K144" s="342" t="s">
        <v>74</v>
      </c>
      <c r="L144" s="342" t="s">
        <v>1380</v>
      </c>
      <c r="M144" s="342" t="s">
        <v>1750</v>
      </c>
      <c r="N144" s="343"/>
      <c r="O144" s="342" t="s">
        <v>1368</v>
      </c>
      <c r="P144" s="342" t="s">
        <v>1642</v>
      </c>
      <c r="Q144" s="342">
        <v>4.0</v>
      </c>
      <c r="R144" s="343"/>
      <c r="S144" s="342" t="s">
        <v>1370</v>
      </c>
      <c r="T144" s="342">
        <v>73.0</v>
      </c>
      <c r="U144" s="342">
        <v>16.0</v>
      </c>
      <c r="V144" s="342">
        <v>32.0</v>
      </c>
      <c r="W144" s="341">
        <v>14.87479452</v>
      </c>
      <c r="X144" s="5">
        <v>2.742054795</v>
      </c>
      <c r="Y144" s="5">
        <v>2.706027397</v>
      </c>
      <c r="Z144" s="5">
        <v>1.583972603</v>
      </c>
      <c r="AA144" s="5">
        <v>1.187945205</v>
      </c>
      <c r="AB144" s="5">
        <v>0.1964383562</v>
      </c>
      <c r="AC144" s="5">
        <v>0.4240654708</v>
      </c>
      <c r="AD144" s="5">
        <v>12.73808219</v>
      </c>
      <c r="AE144" s="5">
        <v>0.853010989</v>
      </c>
      <c r="AF144" s="5">
        <v>1.558219178</v>
      </c>
      <c r="AG144" s="5">
        <v>0.7210958904</v>
      </c>
      <c r="AH144" s="5">
        <v>19.68862195</v>
      </c>
      <c r="AI144" s="5">
        <v>-0.1725273182</v>
      </c>
      <c r="AJ144" s="5">
        <v>1.080425872</v>
      </c>
      <c r="AK144" s="5">
        <v>-1.232688379</v>
      </c>
      <c r="AL144" s="5">
        <v>-0.9846352366</v>
      </c>
      <c r="AM144" s="5">
        <v>0.7800902254</v>
      </c>
      <c r="AN144" s="5">
        <v>-0.9055425263</v>
      </c>
      <c r="AO144" s="5">
        <v>-1.245167394</v>
      </c>
      <c r="AP144" s="5">
        <v>0.3205186362</v>
      </c>
      <c r="AQ144" s="5">
        <v>1.3007622</v>
      </c>
    </row>
    <row r="145">
      <c r="A145" s="342">
        <v>144.0</v>
      </c>
      <c r="B145" s="341">
        <v>100.0</v>
      </c>
      <c r="C145" s="341">
        <v>0.0</v>
      </c>
      <c r="D145" s="341">
        <v>-0.297363464</v>
      </c>
      <c r="E145" s="342">
        <v>0.001457296492</v>
      </c>
      <c r="F145" s="342">
        <v>-0.1448468407</v>
      </c>
      <c r="G145" s="342">
        <v>-0.1525166233</v>
      </c>
      <c r="H145" s="342">
        <v>0.8992069228</v>
      </c>
      <c r="I145" s="343"/>
      <c r="J145" s="342" t="s">
        <v>1751</v>
      </c>
      <c r="K145" s="342" t="s">
        <v>118</v>
      </c>
      <c r="L145" s="342" t="s">
        <v>1380</v>
      </c>
      <c r="M145" s="342" t="s">
        <v>1752</v>
      </c>
      <c r="N145" s="343"/>
      <c r="O145" s="342" t="s">
        <v>1368</v>
      </c>
      <c r="P145" s="342" t="s">
        <v>1642</v>
      </c>
      <c r="Q145" s="342">
        <v>2.0</v>
      </c>
      <c r="R145" s="343"/>
      <c r="S145" s="342" t="s">
        <v>1370</v>
      </c>
      <c r="T145" s="342">
        <v>73.0</v>
      </c>
      <c r="U145" s="342">
        <v>16.0</v>
      </c>
      <c r="V145" s="342">
        <v>27.0</v>
      </c>
      <c r="W145" s="341">
        <v>9.478630137</v>
      </c>
      <c r="X145" s="5">
        <v>1.654246575</v>
      </c>
      <c r="Y145" s="5">
        <v>2.30630137</v>
      </c>
      <c r="Z145" s="5">
        <v>5.625068493</v>
      </c>
      <c r="AA145" s="5">
        <v>1.125068493</v>
      </c>
      <c r="AB145" s="5">
        <v>0.2280821918</v>
      </c>
      <c r="AC145" s="5">
        <v>0.442868117</v>
      </c>
      <c r="AD145" s="5">
        <v>8.381232877</v>
      </c>
      <c r="AE145" s="5">
        <v>0.8239932413</v>
      </c>
      <c r="AF145" s="5">
        <v>0.4864383562</v>
      </c>
      <c r="AG145" s="5">
        <v>0.9</v>
      </c>
      <c r="AH145" s="5">
        <v>15.35632065</v>
      </c>
      <c r="AI145" s="5">
        <v>-1.078477332</v>
      </c>
      <c r="AJ145" s="5">
        <v>0.01243796658</v>
      </c>
      <c r="AK145" s="5">
        <v>-1.39263654</v>
      </c>
      <c r="AL145" s="5">
        <v>0.8817648564</v>
      </c>
      <c r="AM145" s="5">
        <v>0.581601576</v>
      </c>
      <c r="AN145" s="5">
        <v>-0.8476866452</v>
      </c>
      <c r="AO145" s="5">
        <v>-0.5814181339</v>
      </c>
      <c r="AP145" s="5">
        <v>0.04550653965</v>
      </c>
      <c r="AQ145" s="5">
        <v>1.075286145</v>
      </c>
    </row>
    <row r="146">
      <c r="A146" s="342">
        <v>145.0</v>
      </c>
      <c r="B146" s="341">
        <v>35.0</v>
      </c>
      <c r="C146" s="341">
        <v>-2.9</v>
      </c>
      <c r="D146" s="341">
        <v>-0.3002612758</v>
      </c>
      <c r="E146" s="342">
        <v>-0.07993157194</v>
      </c>
      <c r="F146" s="342">
        <v>-0.2312520388</v>
      </c>
      <c r="G146" s="342">
        <v>-0.06900923696</v>
      </c>
      <c r="H146" s="342">
        <v>-0.01876199633</v>
      </c>
      <c r="I146" s="343"/>
      <c r="J146" s="342" t="s">
        <v>1753</v>
      </c>
      <c r="K146" s="342" t="s">
        <v>243</v>
      </c>
      <c r="L146" s="342" t="s">
        <v>1380</v>
      </c>
      <c r="M146" s="342" t="s">
        <v>1754</v>
      </c>
      <c r="N146" s="343"/>
      <c r="O146" s="342" t="s">
        <v>1368</v>
      </c>
      <c r="P146" s="343"/>
      <c r="Q146" s="342">
        <v>3.0</v>
      </c>
      <c r="R146" s="343"/>
      <c r="S146" s="342" t="s">
        <v>1434</v>
      </c>
      <c r="T146" s="342">
        <v>73.0</v>
      </c>
      <c r="U146" s="342">
        <v>13.0</v>
      </c>
      <c r="V146" s="342">
        <v>30.0</v>
      </c>
      <c r="W146" s="341">
        <v>12.60123288</v>
      </c>
      <c r="X146" s="5">
        <v>1.560136986</v>
      </c>
      <c r="Y146" s="5">
        <v>2.817534247</v>
      </c>
      <c r="Z146" s="5">
        <v>3.341369863</v>
      </c>
      <c r="AA146" s="5">
        <v>0.8887671233</v>
      </c>
      <c r="AB146" s="5">
        <v>0.438630137</v>
      </c>
      <c r="AC146" s="5">
        <v>0.4892553029</v>
      </c>
      <c r="AD146" s="5">
        <v>9.861506849</v>
      </c>
      <c r="AE146" s="5">
        <v>0.8300375878</v>
      </c>
      <c r="AF146" s="5">
        <v>1.676438356</v>
      </c>
      <c r="AG146" s="5">
        <v>1.498630137</v>
      </c>
      <c r="AH146" s="5">
        <v>17.74384161</v>
      </c>
      <c r="AI146" s="5">
        <v>-0.5542305161</v>
      </c>
      <c r="AJ146" s="5">
        <v>-0.07995690702</v>
      </c>
      <c r="AK146" s="5">
        <v>-1.188069529</v>
      </c>
      <c r="AL146" s="5">
        <v>-0.1729726334</v>
      </c>
      <c r="AM146" s="5">
        <v>-0.1643524986</v>
      </c>
      <c r="AN146" s="5">
        <v>-0.4627321459</v>
      </c>
      <c r="AO146" s="5">
        <v>0.01708175364</v>
      </c>
      <c r="AP146" s="5">
        <v>0.2031422704</v>
      </c>
      <c r="AQ146" s="5">
        <v>0.3208218568</v>
      </c>
    </row>
    <row r="147">
      <c r="A147" s="342">
        <v>146.0</v>
      </c>
      <c r="B147" s="341">
        <v>69.0</v>
      </c>
      <c r="C147" s="341">
        <v>-0.3</v>
      </c>
      <c r="D147" s="341">
        <v>-0.3044799543</v>
      </c>
      <c r="E147" s="342">
        <v>0.001592197584</v>
      </c>
      <c r="F147" s="342">
        <v>-0.156735657</v>
      </c>
      <c r="G147" s="342">
        <v>-0.1477442973</v>
      </c>
      <c r="H147" s="342">
        <v>0.3033323613</v>
      </c>
      <c r="I147" s="343"/>
      <c r="J147" s="342" t="s">
        <v>1755</v>
      </c>
      <c r="K147" s="342" t="s">
        <v>236</v>
      </c>
      <c r="L147" s="342" t="s">
        <v>1413</v>
      </c>
      <c r="M147" s="342" t="s">
        <v>1756</v>
      </c>
      <c r="N147" s="343"/>
      <c r="O147" s="342" t="s">
        <v>1368</v>
      </c>
      <c r="P147" s="342" t="s">
        <v>1416</v>
      </c>
      <c r="Q147" s="342">
        <v>4.0</v>
      </c>
      <c r="R147" s="343"/>
      <c r="S147" s="342" t="s">
        <v>1370</v>
      </c>
      <c r="T147" s="342">
        <v>73.0</v>
      </c>
      <c r="U147" s="342">
        <v>13.0</v>
      </c>
      <c r="V147" s="342">
        <v>31.0</v>
      </c>
      <c r="W147" s="341">
        <v>9.478219178</v>
      </c>
      <c r="X147" s="5">
        <v>1.793424658</v>
      </c>
      <c r="Y147" s="5">
        <v>2.819041096</v>
      </c>
      <c r="Z147" s="5">
        <v>2.31739726</v>
      </c>
      <c r="AA147" s="5">
        <v>1.252739726</v>
      </c>
      <c r="AB147" s="5">
        <v>0.4384931507</v>
      </c>
      <c r="AC147" s="5">
        <v>0.4456973508</v>
      </c>
      <c r="AD147" s="5">
        <v>7.580547945</v>
      </c>
      <c r="AE147" s="5">
        <v>0.874015748</v>
      </c>
      <c r="AF147" s="5">
        <v>1.061232877</v>
      </c>
      <c r="AG147" s="5">
        <v>0.9397260274</v>
      </c>
      <c r="AH147" s="5">
        <v>12.91771476</v>
      </c>
      <c r="AI147" s="5">
        <v>-1.078546327</v>
      </c>
      <c r="AJ147" s="5">
        <v>0.1490801668</v>
      </c>
      <c r="AK147" s="5">
        <v>-1.187466572</v>
      </c>
      <c r="AL147" s="5">
        <v>-0.6458994366</v>
      </c>
      <c r="AM147" s="5">
        <v>0.9846329948</v>
      </c>
      <c r="AN147" s="5">
        <v>-0.4629826042</v>
      </c>
      <c r="AO147" s="5">
        <v>-0.4939513265</v>
      </c>
      <c r="AP147" s="5">
        <v>0.2992934698</v>
      </c>
      <c r="AQ147" s="5">
        <v>1.025218721</v>
      </c>
    </row>
    <row r="148">
      <c r="A148" s="342">
        <v>147.0</v>
      </c>
      <c r="B148" s="341">
        <v>100.0</v>
      </c>
      <c r="C148" s="341">
        <v>0.0</v>
      </c>
      <c r="D148" s="341">
        <v>-0.3124002498</v>
      </c>
      <c r="E148" s="342">
        <v>0.002521707191</v>
      </c>
      <c r="F148" s="342">
        <v>-0.300777193</v>
      </c>
      <c r="G148" s="342">
        <v>-0.01162305675</v>
      </c>
      <c r="H148" s="342">
        <v>0.1261804646</v>
      </c>
      <c r="I148" s="343"/>
      <c r="J148" s="342" t="s">
        <v>1757</v>
      </c>
      <c r="K148" s="342" t="s">
        <v>259</v>
      </c>
      <c r="L148" s="342" t="s">
        <v>1404</v>
      </c>
      <c r="M148" s="342" t="s">
        <v>1758</v>
      </c>
      <c r="N148" s="343"/>
      <c r="O148" s="342" t="s">
        <v>1368</v>
      </c>
      <c r="P148" s="342" t="s">
        <v>1423</v>
      </c>
      <c r="Q148" s="342">
        <v>4.0</v>
      </c>
      <c r="R148" s="343"/>
      <c r="S148" s="342" t="s">
        <v>1560</v>
      </c>
      <c r="T148" s="342">
        <v>67.0</v>
      </c>
      <c r="U148" s="342">
        <v>13.0</v>
      </c>
      <c r="V148" s="342">
        <v>31.0</v>
      </c>
      <c r="W148" s="341">
        <v>12.90701493</v>
      </c>
      <c r="X148" s="5">
        <v>1.275522388</v>
      </c>
      <c r="Y148" s="5">
        <v>6.393731343</v>
      </c>
      <c r="Z148" s="5">
        <v>3.196865672</v>
      </c>
      <c r="AA148" s="5">
        <v>0.8311940299</v>
      </c>
      <c r="AB148" s="5">
        <v>0.4514925373</v>
      </c>
      <c r="AC148" s="5">
        <v>0.4801892371</v>
      </c>
      <c r="AD148" s="5">
        <v>9.590746269</v>
      </c>
      <c r="AE148" s="5">
        <v>0.7359894723</v>
      </c>
      <c r="AF148" s="5">
        <v>3.289104478</v>
      </c>
      <c r="AG148" s="5">
        <v>1.918059701</v>
      </c>
      <c r="AH148" s="5">
        <v>17.99648555</v>
      </c>
      <c r="AI148" s="5">
        <v>-0.5028934494</v>
      </c>
      <c r="AJ148" s="5">
        <v>-0.3593857101</v>
      </c>
      <c r="AK148" s="5">
        <v>0.2429259772</v>
      </c>
      <c r="AL148" s="5">
        <v>-0.2397126078</v>
      </c>
      <c r="AM148" s="5">
        <v>-0.3460987308</v>
      </c>
      <c r="AN148" s="5">
        <v>-0.4392152273</v>
      </c>
      <c r="AO148" s="5">
        <v>-0.1166110848</v>
      </c>
      <c r="AP148" s="5">
        <v>-0.7382111653</v>
      </c>
      <c r="AQ148" s="5">
        <v>-0.207792739</v>
      </c>
    </row>
    <row r="149">
      <c r="A149" s="342">
        <v>148.0</v>
      </c>
      <c r="B149" s="341">
        <v>7.0</v>
      </c>
      <c r="C149" s="341">
        <v>-0.8</v>
      </c>
      <c r="D149" s="341">
        <v>-0.318414446</v>
      </c>
      <c r="E149" s="342">
        <v>0.03860229586</v>
      </c>
      <c r="F149" s="342">
        <v>-0.2143168341</v>
      </c>
      <c r="G149" s="342">
        <v>-0.1040976119</v>
      </c>
      <c r="H149" s="342">
        <v>0.6415314367</v>
      </c>
      <c r="I149" s="343"/>
      <c r="J149" s="342" t="s">
        <v>1759</v>
      </c>
      <c r="K149" s="342" t="s">
        <v>45</v>
      </c>
      <c r="L149" s="342" t="s">
        <v>1413</v>
      </c>
      <c r="M149" s="342" t="s">
        <v>1760</v>
      </c>
      <c r="N149" s="343"/>
      <c r="O149" s="342" t="s">
        <v>1368</v>
      </c>
      <c r="P149" s="343"/>
      <c r="Q149" s="342">
        <v>4.0</v>
      </c>
      <c r="R149" s="343"/>
      <c r="S149" s="342" t="s">
        <v>1560</v>
      </c>
      <c r="T149" s="342">
        <v>73.0</v>
      </c>
      <c r="U149" s="342">
        <v>16.0</v>
      </c>
      <c r="V149" s="342">
        <v>30.0</v>
      </c>
      <c r="W149" s="341">
        <v>13.75945205</v>
      </c>
      <c r="X149" s="5">
        <v>2.385205479</v>
      </c>
      <c r="Y149" s="5">
        <v>3.724383562</v>
      </c>
      <c r="Z149" s="5">
        <v>1.830684932</v>
      </c>
      <c r="AA149" s="5">
        <v>1.013561644</v>
      </c>
      <c r="AB149" s="5">
        <v>0.5038356164</v>
      </c>
      <c r="AC149" s="5">
        <v>0.4070840609</v>
      </c>
      <c r="AD149" s="5">
        <v>10.98356164</v>
      </c>
      <c r="AE149" s="5">
        <v>0.8199916855</v>
      </c>
      <c r="AF149" s="5">
        <v>2.965616438</v>
      </c>
      <c r="AG149" s="5">
        <v>1.262465753</v>
      </c>
      <c r="AH149" s="5">
        <v>19.68711696</v>
      </c>
      <c r="AI149" s="5">
        <v>-0.3597796793</v>
      </c>
      <c r="AJ149" s="5">
        <v>0.7300784986</v>
      </c>
      <c r="AK149" s="5">
        <v>-0.8251987868</v>
      </c>
      <c r="AL149" s="5">
        <v>-0.8706899292</v>
      </c>
      <c r="AM149" s="5">
        <v>0.2295977402</v>
      </c>
      <c r="AN149" s="5">
        <v>-0.3435139665</v>
      </c>
      <c r="AO149" s="5">
        <v>-1.360160987</v>
      </c>
      <c r="AP149" s="5">
        <v>0.2523515418</v>
      </c>
      <c r="AQ149" s="5">
        <v>0.6184640613</v>
      </c>
    </row>
    <row r="150">
      <c r="A150" s="342">
        <v>149.0</v>
      </c>
      <c r="B150" s="341">
        <v>6.0</v>
      </c>
      <c r="C150" s="341">
        <v>-0.7</v>
      </c>
      <c r="D150" s="341">
        <v>-0.3289913965</v>
      </c>
      <c r="E150" s="342">
        <v>-0.005071465518</v>
      </c>
      <c r="F150" s="342">
        <v>-0.2438534415</v>
      </c>
      <c r="G150" s="342">
        <v>-0.08513795504</v>
      </c>
      <c r="H150" s="342">
        <v>-1.419872452</v>
      </c>
      <c r="I150" s="343"/>
      <c r="J150" s="342" t="s">
        <v>1761</v>
      </c>
      <c r="K150" s="342" t="s">
        <v>173</v>
      </c>
      <c r="L150" s="342" t="s">
        <v>1413</v>
      </c>
      <c r="M150" s="342" t="s">
        <v>1762</v>
      </c>
      <c r="N150" s="342" t="s">
        <v>1763</v>
      </c>
      <c r="O150" s="342" t="s">
        <v>1374</v>
      </c>
      <c r="P150" s="343"/>
      <c r="Q150" s="342">
        <v>3.0</v>
      </c>
      <c r="R150" s="343"/>
      <c r="S150" s="342" t="s">
        <v>1434</v>
      </c>
      <c r="T150" s="342">
        <v>56.0</v>
      </c>
      <c r="U150" s="342">
        <v>15.0</v>
      </c>
      <c r="V150" s="342">
        <v>27.0</v>
      </c>
      <c r="W150" s="341">
        <v>8.904642857</v>
      </c>
      <c r="X150" s="5">
        <v>1.300892857</v>
      </c>
      <c r="Y150" s="5">
        <v>5.0625</v>
      </c>
      <c r="Z150" s="5">
        <v>2.75625</v>
      </c>
      <c r="AA150" s="5">
        <v>0.9403571429</v>
      </c>
      <c r="AB150" s="5">
        <v>0.6255357143</v>
      </c>
      <c r="AC150" s="5">
        <v>0.4638133531</v>
      </c>
      <c r="AD150" s="5">
        <v>6.750714286</v>
      </c>
      <c r="AE150" s="5">
        <v>0.795026455</v>
      </c>
      <c r="AF150" s="5">
        <v>1.6875</v>
      </c>
      <c r="AG150" s="5">
        <v>1.40625</v>
      </c>
      <c r="AH150" s="5">
        <v>14.31490443</v>
      </c>
      <c r="AI150" s="5">
        <v>-1.174842777</v>
      </c>
      <c r="AJ150" s="5">
        <v>-0.3344775014</v>
      </c>
      <c r="AK150" s="5">
        <v>-0.2897588884</v>
      </c>
      <c r="AL150" s="5">
        <v>-0.4432131316</v>
      </c>
      <c r="AM150" s="5">
        <v>-0.001493581083</v>
      </c>
      <c r="AN150" s="5">
        <v>-0.121004076</v>
      </c>
      <c r="AO150" s="5">
        <v>-0.2538581698</v>
      </c>
      <c r="AP150" s="5">
        <v>-0.01328304683</v>
      </c>
      <c r="AQ150" s="5">
        <v>0.4372501988</v>
      </c>
    </row>
    <row r="151">
      <c r="A151" s="342">
        <v>150.0</v>
      </c>
      <c r="B151" s="341">
        <v>49.0</v>
      </c>
      <c r="C151" s="341">
        <v>0.7</v>
      </c>
      <c r="D151" s="341">
        <v>-0.3304859442</v>
      </c>
      <c r="E151" s="342">
        <v>0.001179919324</v>
      </c>
      <c r="F151" s="342">
        <v>-0.3930318951</v>
      </c>
      <c r="G151" s="342">
        <v>0.06254595093</v>
      </c>
      <c r="H151" s="342">
        <v>0.7703691797</v>
      </c>
      <c r="I151" s="343"/>
      <c r="J151" s="342" t="s">
        <v>1764</v>
      </c>
      <c r="K151" s="342" t="s">
        <v>40</v>
      </c>
      <c r="L151" s="342" t="s">
        <v>1380</v>
      </c>
      <c r="M151" s="342" t="s">
        <v>1765</v>
      </c>
      <c r="N151" s="343"/>
      <c r="O151" s="342" t="s">
        <v>1368</v>
      </c>
      <c r="P151" s="342" t="s">
        <v>1766</v>
      </c>
      <c r="Q151" s="342">
        <v>2.0</v>
      </c>
      <c r="R151" s="343"/>
      <c r="S151" s="342" t="s">
        <v>1434</v>
      </c>
      <c r="T151" s="342">
        <v>73.0</v>
      </c>
      <c r="U151" s="342">
        <v>16.0</v>
      </c>
      <c r="V151" s="342">
        <v>26.0</v>
      </c>
      <c r="W151" s="341">
        <v>12.70205479</v>
      </c>
      <c r="X151" s="5">
        <v>0.7453424658</v>
      </c>
      <c r="Y151" s="5">
        <v>5.361369863</v>
      </c>
      <c r="Z151" s="5">
        <v>5.042876712</v>
      </c>
      <c r="AA151" s="5">
        <v>1.061643836</v>
      </c>
      <c r="AB151" s="5">
        <v>0.4180821918</v>
      </c>
      <c r="AC151" s="5">
        <v>0.4572066175</v>
      </c>
      <c r="AD151" s="5">
        <v>10.98780822</v>
      </c>
      <c r="AE151" s="5">
        <v>0.6950234367</v>
      </c>
      <c r="AF151" s="5">
        <v>2.747123288</v>
      </c>
      <c r="AG151" s="5">
        <v>2.462054795</v>
      </c>
      <c r="AH151" s="5">
        <v>24.78687226</v>
      </c>
      <c r="AI151" s="5">
        <v>-0.537303749</v>
      </c>
      <c r="AJ151" s="5">
        <v>-0.879905536</v>
      </c>
      <c r="AK151" s="5">
        <v>-0.1701677643</v>
      </c>
      <c r="AL151" s="5">
        <v>0.6128767074</v>
      </c>
      <c r="AM151" s="5">
        <v>0.381383178</v>
      </c>
      <c r="AN151" s="5">
        <v>-0.5003008999</v>
      </c>
      <c r="AO151" s="5">
        <v>-0.5184491756</v>
      </c>
      <c r="AP151" s="5">
        <v>-1.032020314</v>
      </c>
      <c r="AQ151" s="5">
        <v>-0.8933995025</v>
      </c>
    </row>
    <row r="152">
      <c r="A152" s="342">
        <v>151.0</v>
      </c>
      <c r="B152" s="341">
        <v>6.0</v>
      </c>
      <c r="C152" s="341">
        <v>-0.7</v>
      </c>
      <c r="D152" s="341">
        <v>-0.3414825054</v>
      </c>
      <c r="E152" s="342">
        <v>0.03892736691</v>
      </c>
      <c r="F152" s="342">
        <v>-0.2227176347</v>
      </c>
      <c r="G152" s="342">
        <v>-0.1187648708</v>
      </c>
      <c r="H152" s="342">
        <v>-0.6146365579</v>
      </c>
      <c r="I152" s="343"/>
      <c r="J152" s="342" t="s">
        <v>1767</v>
      </c>
      <c r="K152" s="342" t="s">
        <v>67</v>
      </c>
      <c r="L152" s="342" t="s">
        <v>1404</v>
      </c>
      <c r="M152" s="342" t="s">
        <v>1768</v>
      </c>
      <c r="N152" s="343"/>
      <c r="O152" s="342" t="s">
        <v>1374</v>
      </c>
      <c r="P152" s="342" t="s">
        <v>1587</v>
      </c>
      <c r="Q152" s="342">
        <v>4.0</v>
      </c>
      <c r="R152" s="343"/>
      <c r="S152" s="342" t="s">
        <v>1370</v>
      </c>
      <c r="T152" s="342">
        <v>68.0</v>
      </c>
      <c r="U152" s="342">
        <v>15.0</v>
      </c>
      <c r="V152" s="342">
        <v>32.0</v>
      </c>
      <c r="W152" s="341">
        <v>9.806029412</v>
      </c>
      <c r="X152" s="5">
        <v>1.432058824</v>
      </c>
      <c r="Y152" s="5">
        <v>4.965294118</v>
      </c>
      <c r="Z152" s="5">
        <v>2.156029412</v>
      </c>
      <c r="AA152" s="5">
        <v>1.045294118</v>
      </c>
      <c r="AB152" s="5">
        <v>0.5780882353</v>
      </c>
      <c r="AC152" s="5">
        <v>0.4403147848</v>
      </c>
      <c r="AD152" s="5">
        <v>8.427794118</v>
      </c>
      <c r="AE152" s="5">
        <v>0.8070547177</v>
      </c>
      <c r="AF152" s="5">
        <v>1.179852941</v>
      </c>
      <c r="AG152" s="5">
        <v>1.176029412</v>
      </c>
      <c r="AH152" s="5">
        <v>13.90887288</v>
      </c>
      <c r="AI152" s="5">
        <v>-1.023510997</v>
      </c>
      <c r="AJ152" s="5">
        <v>-0.2057014329</v>
      </c>
      <c r="AK152" s="5">
        <v>-0.3286552851</v>
      </c>
      <c r="AL152" s="5">
        <v>-0.7204279743</v>
      </c>
      <c r="AM152" s="5">
        <v>0.3297705329</v>
      </c>
      <c r="AN152" s="5">
        <v>-0.2077544857</v>
      </c>
      <c r="AO152" s="5">
        <v>-0.6175058042</v>
      </c>
      <c r="AP152" s="5">
        <v>0.04192540305</v>
      </c>
      <c r="AQ152" s="5">
        <v>0.7274013315</v>
      </c>
    </row>
    <row r="153">
      <c r="A153" s="342">
        <v>152.0</v>
      </c>
      <c r="B153" s="341">
        <v>68.0</v>
      </c>
      <c r="C153" s="341">
        <v>-0.2</v>
      </c>
      <c r="D153" s="341">
        <v>-0.3477770688</v>
      </c>
      <c r="E153" s="342">
        <v>-7.997590935E-4</v>
      </c>
      <c r="F153" s="342">
        <v>-0.239371474</v>
      </c>
      <c r="G153" s="342">
        <v>-0.1084055948</v>
      </c>
      <c r="H153" s="342">
        <v>-0.5019035327</v>
      </c>
      <c r="I153" s="343"/>
      <c r="J153" s="342" t="s">
        <v>1769</v>
      </c>
      <c r="K153" s="342" t="s">
        <v>236</v>
      </c>
      <c r="L153" s="342" t="s">
        <v>34</v>
      </c>
      <c r="M153" s="342" t="s">
        <v>1770</v>
      </c>
      <c r="N153" s="342" t="s">
        <v>1771</v>
      </c>
      <c r="O153" s="342" t="s">
        <v>1374</v>
      </c>
      <c r="P153" s="343"/>
      <c r="Q153" s="342">
        <v>2.0</v>
      </c>
      <c r="R153" s="343"/>
      <c r="S153" s="342" t="s">
        <v>1370</v>
      </c>
      <c r="T153" s="342">
        <v>68.0</v>
      </c>
      <c r="U153" s="342">
        <v>13.0</v>
      </c>
      <c r="V153" s="342">
        <v>26.0</v>
      </c>
      <c r="W153" s="341">
        <v>11.59955882</v>
      </c>
      <c r="X153" s="5">
        <v>1.245</v>
      </c>
      <c r="Y153" s="5">
        <v>7.828676471</v>
      </c>
      <c r="Z153" s="5">
        <v>2.101617647</v>
      </c>
      <c r="AA153" s="5">
        <v>0.6360294118</v>
      </c>
      <c r="AB153" s="5">
        <v>0.4702941176</v>
      </c>
      <c r="AC153" s="5">
        <v>0.5240795247</v>
      </c>
      <c r="AD153" s="5">
        <v>8.143970588</v>
      </c>
      <c r="AE153" s="5">
        <v>0.7099793294</v>
      </c>
      <c r="AF153" s="5">
        <v>2.561176471</v>
      </c>
      <c r="AG153" s="5">
        <v>1.255</v>
      </c>
      <c r="AH153" s="5">
        <v>18.03879777</v>
      </c>
      <c r="AI153" s="5">
        <v>-0.7223993408</v>
      </c>
      <c r="AJ153" s="5">
        <v>-0.3893519677</v>
      </c>
      <c r="AK153" s="5">
        <v>0.8171113405</v>
      </c>
      <c r="AL153" s="5">
        <v>-0.7455583166</v>
      </c>
      <c r="AM153" s="5">
        <v>-0.9621926712</v>
      </c>
      <c r="AN153" s="5">
        <v>-0.4048394326</v>
      </c>
      <c r="AO153" s="5">
        <v>0.4462251992</v>
      </c>
      <c r="AP153" s="5">
        <v>-0.821211361</v>
      </c>
      <c r="AQ153" s="5">
        <v>0.6278732841</v>
      </c>
    </row>
    <row r="154">
      <c r="A154" s="342">
        <v>153.0</v>
      </c>
      <c r="B154" s="341">
        <v>77.0</v>
      </c>
      <c r="C154" s="341">
        <v>0.2</v>
      </c>
      <c r="D154" s="341">
        <v>-0.348412032</v>
      </c>
      <c r="E154" s="342">
        <v>-0.001225179489</v>
      </c>
      <c r="F154" s="342">
        <v>-0.2438955053</v>
      </c>
      <c r="G154" s="342">
        <v>-0.1045165267</v>
      </c>
      <c r="H154" s="342">
        <v>0.3838559506</v>
      </c>
      <c r="I154" s="343"/>
      <c r="J154" s="342" t="s">
        <v>1772</v>
      </c>
      <c r="K154" s="342" t="s">
        <v>222</v>
      </c>
      <c r="L154" s="342" t="s">
        <v>1404</v>
      </c>
      <c r="M154" s="342" t="s">
        <v>1773</v>
      </c>
      <c r="N154" s="342" t="s">
        <v>1774</v>
      </c>
      <c r="O154" s="342" t="s">
        <v>1374</v>
      </c>
      <c r="P154" s="342" t="s">
        <v>1719</v>
      </c>
      <c r="Q154" s="342">
        <v>1.0</v>
      </c>
      <c r="R154" s="343"/>
      <c r="S154" s="342" t="s">
        <v>1434</v>
      </c>
      <c r="T154" s="342">
        <v>58.0</v>
      </c>
      <c r="U154" s="342">
        <v>15.0</v>
      </c>
      <c r="V154" s="342">
        <v>27.0</v>
      </c>
      <c r="W154" s="341">
        <v>9.374310345</v>
      </c>
      <c r="X154" s="5">
        <v>0.5210344828</v>
      </c>
      <c r="Y154" s="5">
        <v>5.568793103</v>
      </c>
      <c r="Z154" s="5">
        <v>2.060517241</v>
      </c>
      <c r="AA154" s="5">
        <v>1.336551724</v>
      </c>
      <c r="AB154" s="5">
        <v>0.8910344828</v>
      </c>
      <c r="AC154" s="5">
        <v>0.5096156019</v>
      </c>
      <c r="AD154" s="5">
        <v>7.629482759</v>
      </c>
      <c r="AE154" s="5">
        <v>0.5679607237</v>
      </c>
      <c r="AF154" s="5">
        <v>1.89637931</v>
      </c>
      <c r="AG154" s="5">
        <v>1.283275862</v>
      </c>
      <c r="AH154" s="5">
        <v>15.78291378</v>
      </c>
      <c r="AI154" s="5">
        <v>-1.095991349</v>
      </c>
      <c r="AJ154" s="5">
        <v>-1.100126535</v>
      </c>
      <c r="AK154" s="5">
        <v>-0.08716850084</v>
      </c>
      <c r="AL154" s="5">
        <v>-0.7645407419</v>
      </c>
      <c r="AM154" s="5">
        <v>1.249209969</v>
      </c>
      <c r="AN154" s="5">
        <v>0.3644195428</v>
      </c>
      <c r="AO154" s="5">
        <v>0.2486955281</v>
      </c>
      <c r="AP154" s="5">
        <v>-1.601794169</v>
      </c>
      <c r="AQ154" s="5">
        <v>0.5922367084</v>
      </c>
    </row>
    <row r="155">
      <c r="A155" s="342">
        <v>154.0</v>
      </c>
      <c r="B155" s="341">
        <v>82.0</v>
      </c>
      <c r="C155" s="341">
        <v>-3.1</v>
      </c>
      <c r="D155" s="341">
        <v>-0.3518101818</v>
      </c>
      <c r="E155" s="342">
        <v>0.05710241742</v>
      </c>
      <c r="F155" s="342">
        <v>-0.2501980161</v>
      </c>
      <c r="G155" s="342">
        <v>-0.1016121657</v>
      </c>
      <c r="H155" s="342">
        <v>0.1583899003</v>
      </c>
      <c r="I155" s="343"/>
      <c r="J155" s="342" t="s">
        <v>1775</v>
      </c>
      <c r="K155" s="342" t="s">
        <v>67</v>
      </c>
      <c r="L155" s="342" t="s">
        <v>1413</v>
      </c>
      <c r="M155" s="342" t="s">
        <v>1776</v>
      </c>
      <c r="N155" s="343"/>
      <c r="O155" s="342" t="s">
        <v>1368</v>
      </c>
      <c r="P155" s="342" t="s">
        <v>1406</v>
      </c>
      <c r="Q155" s="342">
        <v>2.0</v>
      </c>
      <c r="R155" s="343"/>
      <c r="S155" s="342" t="s">
        <v>1370</v>
      </c>
      <c r="T155" s="342">
        <v>73.0</v>
      </c>
      <c r="U155" s="342">
        <v>15.0</v>
      </c>
      <c r="V155" s="342">
        <v>32.0</v>
      </c>
      <c r="W155" s="341">
        <v>14.67972603</v>
      </c>
      <c r="X155" s="5">
        <v>1.59</v>
      </c>
      <c r="Y155" s="5">
        <v>5.226712329</v>
      </c>
      <c r="Z155" s="5">
        <v>1.43739726</v>
      </c>
      <c r="AA155" s="5">
        <v>1.102739726</v>
      </c>
      <c r="AB155" s="5">
        <v>0.5226027397</v>
      </c>
      <c r="AC155" s="5">
        <v>0.4298018301</v>
      </c>
      <c r="AD155" s="5">
        <v>12.73986301</v>
      </c>
      <c r="AE155" s="5">
        <v>0.7630009775</v>
      </c>
      <c r="AF155" s="5">
        <v>2.802739726</v>
      </c>
      <c r="AG155" s="5">
        <v>1.306712329</v>
      </c>
      <c r="AH155" s="5">
        <v>20.99430935</v>
      </c>
      <c r="AI155" s="5">
        <v>-0.2052769328</v>
      </c>
      <c r="AJ155" s="5">
        <v>-0.05063800972</v>
      </c>
      <c r="AK155" s="5">
        <v>-0.2240502325</v>
      </c>
      <c r="AL155" s="5">
        <v>-1.052331782</v>
      </c>
      <c r="AM155" s="5">
        <v>0.5111143214</v>
      </c>
      <c r="AN155" s="5">
        <v>-0.3092011712</v>
      </c>
      <c r="AO155" s="5">
        <v>-1.133579349</v>
      </c>
      <c r="AP155" s="5">
        <v>-0.3505182986</v>
      </c>
      <c r="AQ155" s="5">
        <v>0.5626993095</v>
      </c>
    </row>
    <row r="156">
      <c r="A156" s="342">
        <v>155.0</v>
      </c>
      <c r="B156" s="341">
        <v>99.0</v>
      </c>
      <c r="C156" s="341">
        <v>0.1</v>
      </c>
      <c r="D156" s="341">
        <v>-0.3523498699</v>
      </c>
      <c r="E156" s="342">
        <v>-5.487057786E-5</v>
      </c>
      <c r="F156" s="342">
        <v>-0.2337701114</v>
      </c>
      <c r="G156" s="342">
        <v>-0.1185797584</v>
      </c>
      <c r="H156" s="342">
        <v>1.30182487</v>
      </c>
      <c r="I156" s="343"/>
      <c r="J156" s="342" t="s">
        <v>1777</v>
      </c>
      <c r="K156" s="342" t="s">
        <v>74</v>
      </c>
      <c r="L156" s="342" t="s">
        <v>1366</v>
      </c>
      <c r="M156" s="342" t="s">
        <v>1778</v>
      </c>
      <c r="N156" s="343"/>
      <c r="O156" s="342" t="s">
        <v>1378</v>
      </c>
      <c r="P156" s="342" t="s">
        <v>1410</v>
      </c>
      <c r="Q156" s="342">
        <v>4.0</v>
      </c>
      <c r="R156" s="343"/>
      <c r="S156" s="342" t="s">
        <v>1434</v>
      </c>
      <c r="T156" s="342">
        <v>77.0</v>
      </c>
      <c r="U156" s="342">
        <v>16.0</v>
      </c>
      <c r="V156" s="342">
        <v>23.0</v>
      </c>
      <c r="W156" s="341">
        <v>12.80181818</v>
      </c>
      <c r="X156" s="5">
        <v>1.000909091</v>
      </c>
      <c r="Y156" s="5">
        <v>7.352857143</v>
      </c>
      <c r="Z156" s="5">
        <v>1.375714286</v>
      </c>
      <c r="AA156" s="5">
        <v>0.6641558442</v>
      </c>
      <c r="AB156" s="5">
        <v>0.3337662338</v>
      </c>
      <c r="AC156" s="5">
        <v>0.5113625351</v>
      </c>
      <c r="AD156" s="5">
        <v>10.72103896</v>
      </c>
      <c r="AE156" s="5">
        <v>0.7800121139</v>
      </c>
      <c r="AF156" s="5">
        <v>1.072077922</v>
      </c>
      <c r="AG156" s="5">
        <v>1.185974026</v>
      </c>
      <c r="AH156" s="5">
        <v>23.97269247</v>
      </c>
      <c r="AI156" s="5">
        <v>-0.5205546963</v>
      </c>
      <c r="AJ156" s="5">
        <v>-0.62899544</v>
      </c>
      <c r="AK156" s="5">
        <v>0.6267148658</v>
      </c>
      <c r="AL156" s="5">
        <v>-1.080820369</v>
      </c>
      <c r="AM156" s="5">
        <v>-0.8734033982</v>
      </c>
      <c r="AN156" s="5">
        <v>-0.6544596468</v>
      </c>
      <c r="AO156" s="5">
        <v>0.3818301947</v>
      </c>
      <c r="AP156" s="5">
        <v>-0.06911046951</v>
      </c>
      <c r="AQ156" s="5">
        <v>0.714867956</v>
      </c>
    </row>
    <row r="157">
      <c r="A157" s="342">
        <v>156.0</v>
      </c>
      <c r="B157" s="341">
        <v>5.0</v>
      </c>
      <c r="C157" s="341">
        <v>-0.6</v>
      </c>
      <c r="D157" s="341">
        <v>-0.3583183033</v>
      </c>
      <c r="E157" s="342">
        <v>1.656429233E-4</v>
      </c>
      <c r="F157" s="342">
        <v>-0.192481814</v>
      </c>
      <c r="G157" s="342">
        <v>-0.1658364892</v>
      </c>
      <c r="H157" s="342">
        <v>1.30182487</v>
      </c>
      <c r="I157" s="343"/>
      <c r="J157" s="342" t="s">
        <v>1779</v>
      </c>
      <c r="K157" s="342" t="s">
        <v>89</v>
      </c>
      <c r="L157" s="342" t="s">
        <v>1404</v>
      </c>
      <c r="M157" s="342" t="s">
        <v>1780</v>
      </c>
      <c r="N157" s="343"/>
      <c r="O157" s="342" t="s">
        <v>1378</v>
      </c>
      <c r="P157" s="342" t="s">
        <v>1399</v>
      </c>
      <c r="Q157" s="342">
        <v>4.0</v>
      </c>
      <c r="R157" s="343"/>
      <c r="S157" s="342" t="s">
        <v>1434</v>
      </c>
      <c r="T157" s="342">
        <v>77.0</v>
      </c>
      <c r="U157" s="342">
        <v>14.0</v>
      </c>
      <c r="V157" s="342">
        <v>21.0</v>
      </c>
      <c r="W157" s="341">
        <v>10.74987013</v>
      </c>
      <c r="X157" s="5">
        <v>1.365844156</v>
      </c>
      <c r="Y157" s="5">
        <v>4.280909091</v>
      </c>
      <c r="Z157" s="5">
        <v>1.697532468</v>
      </c>
      <c r="AA157" s="5">
        <v>0.7661038961</v>
      </c>
      <c r="AB157" s="5">
        <v>0.4936363636</v>
      </c>
      <c r="AC157" s="5">
        <v>0.5431027218</v>
      </c>
      <c r="AD157" s="5">
        <v>7.705844156</v>
      </c>
      <c r="AE157" s="5">
        <v>0.8129751119</v>
      </c>
      <c r="AF157" s="5">
        <v>1.247142857</v>
      </c>
      <c r="AG157" s="5">
        <v>0.8532467532</v>
      </c>
      <c r="AH157" s="5">
        <v>18.36364818</v>
      </c>
      <c r="AI157" s="5">
        <v>-0.8650516821</v>
      </c>
      <c r="AJ157" s="5">
        <v>-0.2707096421</v>
      </c>
      <c r="AK157" s="5">
        <v>-0.6025081716</v>
      </c>
      <c r="AL157" s="5">
        <v>-0.9321870522</v>
      </c>
      <c r="AM157" s="5">
        <v>-0.5515746894</v>
      </c>
      <c r="AN157" s="5">
        <v>-0.3621617298</v>
      </c>
      <c r="AO157" s="5">
        <v>0.6459032981</v>
      </c>
      <c r="AP157" s="5">
        <v>0.07174324296</v>
      </c>
      <c r="AQ157" s="5">
        <v>1.1342101</v>
      </c>
    </row>
    <row r="158">
      <c r="A158" s="342">
        <v>157.0</v>
      </c>
      <c r="B158" s="341">
        <v>94.0</v>
      </c>
      <c r="C158" s="341">
        <v>-3.3</v>
      </c>
      <c r="D158" s="341">
        <v>-0.3611852267</v>
      </c>
      <c r="E158" s="342">
        <v>-1.166947483E-6</v>
      </c>
      <c r="F158" s="342">
        <v>-0.2796709685</v>
      </c>
      <c r="G158" s="342">
        <v>-0.08151425826</v>
      </c>
      <c r="H158" s="342">
        <v>-0.3730657897</v>
      </c>
      <c r="I158" s="343"/>
      <c r="J158" s="342" t="s">
        <v>1781</v>
      </c>
      <c r="K158" s="342" t="s">
        <v>40</v>
      </c>
      <c r="L158" s="342" t="s">
        <v>1404</v>
      </c>
      <c r="M158" s="342" t="s">
        <v>1782</v>
      </c>
      <c r="N158" s="343"/>
      <c r="O158" s="342" t="s">
        <v>1368</v>
      </c>
      <c r="P158" s="342" t="s">
        <v>1410</v>
      </c>
      <c r="Q158" s="342">
        <v>4.0</v>
      </c>
      <c r="R158" s="343"/>
      <c r="S158" s="342" t="s">
        <v>1370</v>
      </c>
      <c r="T158" s="342">
        <v>73.0</v>
      </c>
      <c r="U158" s="342">
        <v>16.0</v>
      </c>
      <c r="V158" s="342">
        <v>31.0</v>
      </c>
      <c r="W158" s="341">
        <v>13.13726027</v>
      </c>
      <c r="X158" s="5">
        <v>0.5547945205</v>
      </c>
      <c r="Y158" s="5">
        <v>5.822876712</v>
      </c>
      <c r="Z158" s="5">
        <v>3.291232877</v>
      </c>
      <c r="AA158" s="5">
        <v>0.7576712329</v>
      </c>
      <c r="AB158" s="5">
        <v>0.6339726027</v>
      </c>
      <c r="AC158" s="5">
        <v>0.5683235454</v>
      </c>
      <c r="AD158" s="5">
        <v>9.050410959</v>
      </c>
      <c r="AE158" s="5">
        <v>0.6699988004</v>
      </c>
      <c r="AF158" s="5">
        <v>3.425890411</v>
      </c>
      <c r="AG158" s="5">
        <v>1.457671233</v>
      </c>
      <c r="AH158" s="5">
        <v>17.04048208</v>
      </c>
      <c r="AI158" s="5">
        <v>-0.4642380709</v>
      </c>
      <c r="AJ158" s="5">
        <v>-1.066981619</v>
      </c>
      <c r="AK158" s="5">
        <v>0.0145016512</v>
      </c>
      <c r="AL158" s="5">
        <v>-0.1961286481</v>
      </c>
      <c r="AM158" s="5">
        <v>-0.5781948461</v>
      </c>
      <c r="AN158" s="5">
        <v>-0.1055785245</v>
      </c>
      <c r="AO158" s="5">
        <v>1.109278853</v>
      </c>
      <c r="AP158" s="5">
        <v>-1.602140609</v>
      </c>
      <c r="AQ158" s="5">
        <v>0.3724430976</v>
      </c>
    </row>
    <row r="159">
      <c r="A159" s="342">
        <v>158.0</v>
      </c>
      <c r="B159" s="341">
        <v>62.0</v>
      </c>
      <c r="C159" s="341">
        <v>0.6</v>
      </c>
      <c r="D159" s="341">
        <v>-0.3715714289</v>
      </c>
      <c r="E159" s="342">
        <v>0.06569158866</v>
      </c>
      <c r="F159" s="342">
        <v>-0.3895604491</v>
      </c>
      <c r="G159" s="342">
        <v>0.01798902012</v>
      </c>
      <c r="H159" s="342">
        <v>1.30182487</v>
      </c>
      <c r="I159" s="343"/>
      <c r="J159" s="342" t="s">
        <v>1783</v>
      </c>
      <c r="K159" s="342" t="s">
        <v>102</v>
      </c>
      <c r="L159" s="342" t="s">
        <v>1380</v>
      </c>
      <c r="M159" s="342" t="s">
        <v>1784</v>
      </c>
      <c r="N159" s="343"/>
      <c r="O159" s="342" t="s">
        <v>1374</v>
      </c>
      <c r="P159" s="342" t="s">
        <v>1746</v>
      </c>
      <c r="Q159" s="342">
        <v>2.0</v>
      </c>
      <c r="R159" s="343"/>
      <c r="S159" s="342" t="s">
        <v>1434</v>
      </c>
      <c r="T159" s="342">
        <v>68.0</v>
      </c>
      <c r="U159" s="342">
        <v>16.0</v>
      </c>
      <c r="V159" s="342">
        <v>26.0</v>
      </c>
      <c r="W159" s="341">
        <v>14.79735294</v>
      </c>
      <c r="X159" s="5">
        <v>1.981323529</v>
      </c>
      <c r="Y159" s="5">
        <v>3.503529412</v>
      </c>
      <c r="Z159" s="5">
        <v>3.397352941</v>
      </c>
      <c r="AA159" s="5">
        <v>0.9176470588</v>
      </c>
      <c r="AB159" s="5">
        <v>0.2182352941</v>
      </c>
      <c r="AC159" s="5">
        <v>0.4538563244</v>
      </c>
      <c r="AD159" s="5">
        <v>11.67867647</v>
      </c>
      <c r="AE159" s="5">
        <v>0.75</v>
      </c>
      <c r="AF159" s="5">
        <v>2.953529412</v>
      </c>
      <c r="AG159" s="5">
        <v>2.176470588</v>
      </c>
      <c r="AH159" s="5">
        <v>25.92721156</v>
      </c>
      <c r="AI159" s="5">
        <v>-0.1855288123</v>
      </c>
      <c r="AJ159" s="5">
        <v>0.3335554439</v>
      </c>
      <c r="AK159" s="5">
        <v>-0.9135723545</v>
      </c>
      <c r="AL159" s="5">
        <v>-0.1471165723</v>
      </c>
      <c r="AM159" s="5">
        <v>-0.07318457352</v>
      </c>
      <c r="AN159" s="5">
        <v>-0.8656901814</v>
      </c>
      <c r="AO159" s="5">
        <v>-0.6103064876</v>
      </c>
      <c r="AP159" s="5">
        <v>-0.5107278937</v>
      </c>
      <c r="AQ159" s="5">
        <v>-0.53347261</v>
      </c>
    </row>
    <row r="160">
      <c r="A160" s="342">
        <v>159.0</v>
      </c>
      <c r="B160" s="341">
        <v>100.0</v>
      </c>
      <c r="C160" s="341">
        <v>0.0</v>
      </c>
      <c r="D160" s="341">
        <v>-0.3786477945</v>
      </c>
      <c r="E160" s="342">
        <v>-0.002070357122</v>
      </c>
      <c r="F160" s="342">
        <v>-0.2451066438</v>
      </c>
      <c r="G160" s="342">
        <v>-0.1335411507</v>
      </c>
      <c r="H160" s="342">
        <v>0.5449031294</v>
      </c>
      <c r="I160" s="343"/>
      <c r="J160" s="342" t="s">
        <v>1785</v>
      </c>
      <c r="K160" s="342" t="s">
        <v>93</v>
      </c>
      <c r="L160" s="342" t="s">
        <v>34</v>
      </c>
      <c r="M160" s="342" t="s">
        <v>1786</v>
      </c>
      <c r="N160" s="342" t="s">
        <v>1787</v>
      </c>
      <c r="O160" s="342" t="s">
        <v>1374</v>
      </c>
      <c r="P160" s="342" t="s">
        <v>1788</v>
      </c>
      <c r="Q160" s="342">
        <v>2.0</v>
      </c>
      <c r="R160" s="343"/>
      <c r="S160" s="342" t="s">
        <v>1434</v>
      </c>
      <c r="T160" s="342">
        <v>68.0</v>
      </c>
      <c r="U160" s="342">
        <v>16.0</v>
      </c>
      <c r="V160" s="342">
        <v>24.0</v>
      </c>
      <c r="W160" s="341">
        <v>9.419558824</v>
      </c>
      <c r="X160" s="5">
        <v>0.0</v>
      </c>
      <c r="Y160" s="5">
        <v>9.8</v>
      </c>
      <c r="Z160" s="5">
        <v>1.25</v>
      </c>
      <c r="AA160" s="5">
        <v>0.6</v>
      </c>
      <c r="AB160" s="5">
        <v>1.15</v>
      </c>
      <c r="AC160" s="5">
        <v>0.569995915</v>
      </c>
      <c r="AD160" s="5">
        <v>7.2</v>
      </c>
      <c r="AE160" s="5">
        <v>0.600992049</v>
      </c>
      <c r="AF160" s="5">
        <v>2.016029412</v>
      </c>
      <c r="AG160" s="5">
        <v>1.1</v>
      </c>
      <c r="AH160" s="5">
        <v>16.31801626</v>
      </c>
      <c r="AI160" s="5">
        <v>-1.088394683</v>
      </c>
      <c r="AJ160" s="5">
        <v>-1.611667555</v>
      </c>
      <c r="AK160" s="5">
        <v>1.605925557</v>
      </c>
      <c r="AL160" s="5">
        <v>-1.138882132</v>
      </c>
      <c r="AM160" s="5">
        <v>-1.07593</v>
      </c>
      <c r="AN160" s="5">
        <v>0.8378981177</v>
      </c>
      <c r="AO160" s="5">
        <v>0.8990181521</v>
      </c>
      <c r="AP160" s="5">
        <v>-1.457149813</v>
      </c>
      <c r="AQ160" s="5">
        <v>0.8232225615</v>
      </c>
    </row>
    <row r="161">
      <c r="A161" s="342">
        <v>160.0</v>
      </c>
      <c r="B161" s="341">
        <v>45.0</v>
      </c>
      <c r="C161" s="341">
        <v>3.9</v>
      </c>
      <c r="D161" s="341">
        <v>-0.380984213</v>
      </c>
      <c r="E161" s="342">
        <v>5.562244544E-4</v>
      </c>
      <c r="F161" s="342">
        <v>-0.2230891471</v>
      </c>
      <c r="G161" s="342">
        <v>-0.1578950659</v>
      </c>
      <c r="H161" s="342">
        <v>-1.194406401</v>
      </c>
      <c r="I161" s="343"/>
      <c r="J161" s="342" t="s">
        <v>1789</v>
      </c>
      <c r="K161" s="342" t="s">
        <v>180</v>
      </c>
      <c r="L161" s="342" t="s">
        <v>1404</v>
      </c>
      <c r="M161" s="342" t="s">
        <v>1790</v>
      </c>
      <c r="N161" s="343"/>
      <c r="O161" s="342" t="s">
        <v>1374</v>
      </c>
      <c r="P161" s="343"/>
      <c r="Q161" s="342">
        <v>3.0</v>
      </c>
      <c r="R161" s="343"/>
      <c r="S161" s="342" t="s">
        <v>1434</v>
      </c>
      <c r="T161" s="342">
        <v>68.0</v>
      </c>
      <c r="U161" s="342">
        <v>16.0</v>
      </c>
      <c r="V161" s="342">
        <v>21.0</v>
      </c>
      <c r="W161" s="341">
        <v>8.913970588</v>
      </c>
      <c r="X161" s="5">
        <v>0.7308823529</v>
      </c>
      <c r="Y161" s="5">
        <v>5.921176471</v>
      </c>
      <c r="Z161" s="5">
        <v>1.085294118</v>
      </c>
      <c r="AA161" s="5">
        <v>1.237205882</v>
      </c>
      <c r="AB161" s="5">
        <v>0.6213235294</v>
      </c>
      <c r="AC161" s="5">
        <v>0.4693368128</v>
      </c>
      <c r="AD161" s="5">
        <v>7.776617647</v>
      </c>
      <c r="AE161" s="5">
        <v>0.7099633613</v>
      </c>
      <c r="AF161" s="5">
        <v>1.244264706</v>
      </c>
      <c r="AG161" s="5">
        <v>0.9279411765</v>
      </c>
      <c r="AH161" s="5">
        <v>18.45221463</v>
      </c>
      <c r="AI161" s="5">
        <v>-1.173276765</v>
      </c>
      <c r="AJ161" s="5">
        <v>-0.8941021797</v>
      </c>
      <c r="AK161" s="5">
        <v>0.05383575626</v>
      </c>
      <c r="AL161" s="5">
        <v>-1.214952357</v>
      </c>
      <c r="AM161" s="5">
        <v>0.9355958945</v>
      </c>
      <c r="AN161" s="5">
        <v>-0.1287054075</v>
      </c>
      <c r="AO161" s="5">
        <v>-0.2253536743</v>
      </c>
      <c r="AP161" s="5">
        <v>-0.4009149705</v>
      </c>
      <c r="AQ161" s="5">
        <v>1.04007138</v>
      </c>
    </row>
    <row r="162">
      <c r="A162" s="342">
        <v>161.0</v>
      </c>
      <c r="B162" s="341">
        <v>73.0</v>
      </c>
      <c r="C162" s="341">
        <v>-3.4</v>
      </c>
      <c r="D162" s="341">
        <v>-0.3814051869</v>
      </c>
      <c r="E162" s="342">
        <v>5.292360137E-4</v>
      </c>
      <c r="F162" s="342">
        <v>-0.2205481063</v>
      </c>
      <c r="G162" s="342">
        <v>-0.1608570806</v>
      </c>
      <c r="H162" s="342">
        <v>-0.8401026082</v>
      </c>
      <c r="I162" s="343"/>
      <c r="J162" s="342" t="s">
        <v>1791</v>
      </c>
      <c r="K162" s="342" t="s">
        <v>89</v>
      </c>
      <c r="L162" s="342" t="s">
        <v>1404</v>
      </c>
      <c r="M162" s="342" t="s">
        <v>1792</v>
      </c>
      <c r="N162" s="343"/>
      <c r="O162" s="342" t="s">
        <v>1368</v>
      </c>
      <c r="P162" s="343"/>
      <c r="Q162" s="342">
        <v>4.0</v>
      </c>
      <c r="R162" s="343"/>
      <c r="S162" s="342" t="s">
        <v>1370</v>
      </c>
      <c r="T162" s="342">
        <v>73.0</v>
      </c>
      <c r="U162" s="342">
        <v>14.0</v>
      </c>
      <c r="V162" s="342">
        <v>28.0</v>
      </c>
      <c r="W162" s="341">
        <v>11.86547945</v>
      </c>
      <c r="X162" s="5">
        <v>1.862876712</v>
      </c>
      <c r="Y162" s="5">
        <v>4.025616438</v>
      </c>
      <c r="Z162" s="5">
        <v>1.634109589</v>
      </c>
      <c r="AA162" s="5">
        <v>0.7209589041</v>
      </c>
      <c r="AB162" s="5">
        <v>0.5406849315</v>
      </c>
      <c r="AC162" s="5">
        <v>0.4760066272</v>
      </c>
      <c r="AD162" s="5">
        <v>9.012191781</v>
      </c>
      <c r="AE162" s="5">
        <v>0.83096</v>
      </c>
      <c r="AF162" s="5">
        <v>1.712328767</v>
      </c>
      <c r="AG162" s="5">
        <v>0.9071232877</v>
      </c>
      <c r="AH162" s="5">
        <v>16.13916458</v>
      </c>
      <c r="AI162" s="5">
        <v>-0.6777545191</v>
      </c>
      <c r="AJ162" s="5">
        <v>0.2172667766</v>
      </c>
      <c r="AK162" s="5">
        <v>-0.7046621158</v>
      </c>
      <c r="AL162" s="5">
        <v>-0.9614792218</v>
      </c>
      <c r="AM162" s="5">
        <v>-0.6940880008</v>
      </c>
      <c r="AN162" s="5">
        <v>-0.2761406676</v>
      </c>
      <c r="AO162" s="5">
        <v>-0.1677757974</v>
      </c>
      <c r="AP162" s="5">
        <v>0.2133920509</v>
      </c>
      <c r="AQ162" s="5">
        <v>1.066308538</v>
      </c>
    </row>
    <row r="163">
      <c r="A163" s="342">
        <v>162.0</v>
      </c>
      <c r="B163" s="341">
        <v>61.0</v>
      </c>
      <c r="C163" s="341">
        <v>-2.0</v>
      </c>
      <c r="D163" s="341">
        <v>-0.3814156339</v>
      </c>
      <c r="E163" s="342">
        <v>7.904941129E-4</v>
      </c>
      <c r="F163" s="342">
        <v>-0.3222979918</v>
      </c>
      <c r="G163" s="342">
        <v>-0.05911764214</v>
      </c>
      <c r="H163" s="342">
        <v>-1.532605477</v>
      </c>
      <c r="I163" s="343"/>
      <c r="J163" s="342" t="s">
        <v>1793</v>
      </c>
      <c r="K163" s="342" t="s">
        <v>287</v>
      </c>
      <c r="L163" s="342" t="s">
        <v>1380</v>
      </c>
      <c r="M163" s="342" t="s">
        <v>1794</v>
      </c>
      <c r="N163" s="342" t="s">
        <v>1795</v>
      </c>
      <c r="O163" s="342" t="s">
        <v>1374</v>
      </c>
      <c r="P163" s="342" t="s">
        <v>1796</v>
      </c>
      <c r="Q163" s="342">
        <v>2.0</v>
      </c>
      <c r="R163" s="343"/>
      <c r="S163" s="342" t="s">
        <v>1434</v>
      </c>
      <c r="T163" s="342">
        <v>41.0</v>
      </c>
      <c r="U163" s="342">
        <v>16.0</v>
      </c>
      <c r="V163" s="342">
        <v>26.0</v>
      </c>
      <c r="W163" s="341">
        <v>12.63585366</v>
      </c>
      <c r="X163" s="5">
        <v>1.608292683</v>
      </c>
      <c r="Y163" s="5">
        <v>3.436341463</v>
      </c>
      <c r="Z163" s="5">
        <v>5.013658537</v>
      </c>
      <c r="AA163" s="5">
        <v>0.6668292683</v>
      </c>
      <c r="AB163" s="5">
        <v>0.2273170732</v>
      </c>
      <c r="AC163" s="5">
        <v>0.4446902134</v>
      </c>
      <c r="AD163" s="5">
        <v>10.36512195</v>
      </c>
      <c r="AE163" s="5">
        <v>0.8310364146</v>
      </c>
      <c r="AF163" s="5">
        <v>2.176829268</v>
      </c>
      <c r="AG163" s="5">
        <v>1.633658537</v>
      </c>
      <c r="AH163" s="5">
        <v>20.95950028</v>
      </c>
      <c r="AI163" s="5">
        <v>-0.5484181102</v>
      </c>
      <c r="AJ163" s="5">
        <v>-0.032678627</v>
      </c>
      <c r="AK163" s="5">
        <v>-0.9404572407</v>
      </c>
      <c r="AL163" s="5">
        <v>0.5993821486</v>
      </c>
      <c r="AM163" s="5">
        <v>-0.8649639565</v>
      </c>
      <c r="AN163" s="5">
        <v>-0.8490855468</v>
      </c>
      <c r="AO163" s="5">
        <v>-0.6879887622</v>
      </c>
      <c r="AP163" s="5">
        <v>0.2728850232</v>
      </c>
      <c r="AQ163" s="5">
        <v>0.1506431453</v>
      </c>
    </row>
    <row r="164">
      <c r="A164" s="342">
        <v>163.0</v>
      </c>
      <c r="B164" s="341">
        <v>73.0</v>
      </c>
      <c r="C164" s="341">
        <v>0.5</v>
      </c>
      <c r="D164" s="341">
        <v>-0.3907103206</v>
      </c>
      <c r="E164" s="342">
        <v>0.001088747542</v>
      </c>
      <c r="F164" s="342">
        <v>-0.3666869905</v>
      </c>
      <c r="G164" s="342">
        <v>-0.02402333008</v>
      </c>
      <c r="H164" s="342">
        <v>0.9475210764</v>
      </c>
      <c r="I164" s="343"/>
      <c r="J164" s="342" t="s">
        <v>1797</v>
      </c>
      <c r="K164" s="342" t="s">
        <v>291</v>
      </c>
      <c r="L164" s="342" t="s">
        <v>1380</v>
      </c>
      <c r="M164" s="342" t="s">
        <v>1798</v>
      </c>
      <c r="N164" s="343"/>
      <c r="O164" s="342" t="s">
        <v>1368</v>
      </c>
      <c r="P164" s="342" t="s">
        <v>1608</v>
      </c>
      <c r="Q164" s="342">
        <v>4.0</v>
      </c>
      <c r="R164" s="343"/>
      <c r="S164" s="342" t="s">
        <v>1370</v>
      </c>
      <c r="T164" s="342">
        <v>73.0</v>
      </c>
      <c r="U164" s="342">
        <v>15.0</v>
      </c>
      <c r="V164" s="342">
        <v>29.0</v>
      </c>
      <c r="W164" s="341">
        <v>13.64767123</v>
      </c>
      <c r="X164" s="5">
        <v>1.700410959</v>
      </c>
      <c r="Y164" s="5">
        <v>3.112054795</v>
      </c>
      <c r="Z164" s="5">
        <v>5.735890411</v>
      </c>
      <c r="AA164" s="5">
        <v>0.6102739726</v>
      </c>
      <c r="AB164" s="5">
        <v>0.2468493151</v>
      </c>
      <c r="AC164" s="5">
        <v>0.4200946529</v>
      </c>
      <c r="AD164" s="5">
        <v>11.83849315</v>
      </c>
      <c r="AE164" s="5">
        <v>0.8450011571</v>
      </c>
      <c r="AF164" s="5">
        <v>2.367671233</v>
      </c>
      <c r="AG164" s="5">
        <v>1.891643836</v>
      </c>
      <c r="AH164" s="5">
        <v>21.64523909</v>
      </c>
      <c r="AI164" s="5">
        <v>-0.3785463124</v>
      </c>
      <c r="AJ164" s="5">
        <v>0.05776121607</v>
      </c>
      <c r="AK164" s="5">
        <v>-1.070218759</v>
      </c>
      <c r="AL164" s="5">
        <v>0.9329485064</v>
      </c>
      <c r="AM164" s="5">
        <v>-1.043497214</v>
      </c>
      <c r="AN164" s="5">
        <v>-0.8133738499</v>
      </c>
      <c r="AO164" s="5">
        <v>-1.22976864</v>
      </c>
      <c r="AP164" s="5">
        <v>0.4190124882</v>
      </c>
      <c r="AQ164" s="5">
        <v>-0.1745003499</v>
      </c>
    </row>
    <row r="165">
      <c r="A165" s="342">
        <v>164.0</v>
      </c>
      <c r="B165" s="341">
        <v>53.0</v>
      </c>
      <c r="C165" s="341">
        <v>4.2</v>
      </c>
      <c r="D165" s="341">
        <v>-0.3982119776</v>
      </c>
      <c r="E165" s="342">
        <v>0.001973868808</v>
      </c>
      <c r="F165" s="342">
        <v>-0.2454817778</v>
      </c>
      <c r="G165" s="342">
        <v>-0.1527301998</v>
      </c>
      <c r="H165" s="342">
        <v>0.335541797</v>
      </c>
      <c r="I165" s="343"/>
      <c r="J165" s="342" t="s">
        <v>1799</v>
      </c>
      <c r="K165" s="342" t="s">
        <v>126</v>
      </c>
      <c r="L165" s="342" t="s">
        <v>1413</v>
      </c>
      <c r="M165" s="342" t="s">
        <v>1800</v>
      </c>
      <c r="N165" s="343"/>
      <c r="O165" s="342" t="s">
        <v>1368</v>
      </c>
      <c r="P165" s="342" t="s">
        <v>1437</v>
      </c>
      <c r="Q165" s="342">
        <v>3.0</v>
      </c>
      <c r="R165" s="343"/>
      <c r="S165" s="342" t="s">
        <v>1370</v>
      </c>
      <c r="T165" s="342">
        <v>73.0</v>
      </c>
      <c r="U165" s="342">
        <v>15.0</v>
      </c>
      <c r="V165" s="342">
        <v>31.0</v>
      </c>
      <c r="W165" s="341">
        <v>14.5839726</v>
      </c>
      <c r="X165" s="5">
        <v>2.41</v>
      </c>
      <c r="Y165" s="5">
        <v>3.587671233</v>
      </c>
      <c r="Z165" s="5">
        <v>1.435068493</v>
      </c>
      <c r="AA165" s="5">
        <v>0.8878082192</v>
      </c>
      <c r="AB165" s="5">
        <v>0.06328767123</v>
      </c>
      <c r="AC165" s="5">
        <v>0.4415175295</v>
      </c>
      <c r="AD165" s="5">
        <v>12.13219178</v>
      </c>
      <c r="AE165" s="5">
        <v>0.86</v>
      </c>
      <c r="AF165" s="5">
        <v>1.698630137</v>
      </c>
      <c r="AG165" s="5">
        <v>0.9784931507</v>
      </c>
      <c r="AH165" s="5">
        <v>19.24661205</v>
      </c>
      <c r="AI165" s="5">
        <v>-0.2213527619</v>
      </c>
      <c r="AJ165" s="5">
        <v>0.7544212528</v>
      </c>
      <c r="AK165" s="5">
        <v>-0.8799034697</v>
      </c>
      <c r="AL165" s="5">
        <v>-1.053407335</v>
      </c>
      <c r="AM165" s="5">
        <v>-0.1673795586</v>
      </c>
      <c r="AN165" s="5">
        <v>-1.148988052</v>
      </c>
      <c r="AO165" s="5">
        <v>-0.8625789003</v>
      </c>
      <c r="AP165" s="5">
        <v>0.3934930039</v>
      </c>
      <c r="AQ165" s="5">
        <v>0.976359821</v>
      </c>
    </row>
    <row r="166">
      <c r="A166" s="342">
        <v>165.0</v>
      </c>
      <c r="B166" s="341">
        <v>81.0</v>
      </c>
      <c r="C166" s="341">
        <v>-0.4</v>
      </c>
      <c r="D166" s="341">
        <v>-0.3995430488</v>
      </c>
      <c r="E166" s="342">
        <v>8.079389955E-4</v>
      </c>
      <c r="F166" s="342">
        <v>-0.2372553557</v>
      </c>
      <c r="G166" s="342">
        <v>-0.1622876932</v>
      </c>
      <c r="H166" s="342">
        <v>-0.03486671421</v>
      </c>
      <c r="I166" s="343"/>
      <c r="J166" s="342" t="s">
        <v>1801</v>
      </c>
      <c r="K166" s="342" t="s">
        <v>118</v>
      </c>
      <c r="L166" s="342" t="s">
        <v>1413</v>
      </c>
      <c r="M166" s="342" t="s">
        <v>1802</v>
      </c>
      <c r="N166" s="342" t="s">
        <v>1803</v>
      </c>
      <c r="O166" s="342" t="s">
        <v>1378</v>
      </c>
      <c r="P166" s="343"/>
      <c r="Q166" s="342">
        <v>2.0</v>
      </c>
      <c r="R166" s="343"/>
      <c r="S166" s="342" t="s">
        <v>1434</v>
      </c>
      <c r="T166" s="342">
        <v>77.0</v>
      </c>
      <c r="U166" s="342">
        <v>16.0</v>
      </c>
      <c r="V166" s="342">
        <v>27.0</v>
      </c>
      <c r="W166" s="341">
        <v>11.43285714</v>
      </c>
      <c r="X166" s="5">
        <v>2.325324675</v>
      </c>
      <c r="Y166" s="5">
        <v>3.037532468</v>
      </c>
      <c r="Z166" s="5">
        <v>1.856233766</v>
      </c>
      <c r="AA166" s="5">
        <v>0.7706493506</v>
      </c>
      <c r="AB166" s="5">
        <v>0.3375324675</v>
      </c>
      <c r="AC166" s="5">
        <v>0.4566430099</v>
      </c>
      <c r="AD166" s="5">
        <v>8.381038961</v>
      </c>
      <c r="AE166" s="5">
        <v>0.8669714109</v>
      </c>
      <c r="AF166" s="5">
        <v>1.676233766</v>
      </c>
      <c r="AG166" s="5">
        <v>0.9112987013</v>
      </c>
      <c r="AH166" s="5">
        <v>16.22093213</v>
      </c>
      <c r="AI166" s="5">
        <v>-0.7503865145</v>
      </c>
      <c r="AJ166" s="5">
        <v>0.6712887474</v>
      </c>
      <c r="AK166" s="5">
        <v>-1.100038457</v>
      </c>
      <c r="AL166" s="5">
        <v>-0.8588900737</v>
      </c>
      <c r="AM166" s="5">
        <v>-0.5372256387</v>
      </c>
      <c r="AN166" s="5">
        <v>-0.6475736682</v>
      </c>
      <c r="AO166" s="5">
        <v>-0.4048520784</v>
      </c>
      <c r="AP166" s="5">
        <v>0.4313332922</v>
      </c>
      <c r="AQ166" s="5">
        <v>1.06104619</v>
      </c>
    </row>
    <row r="167">
      <c r="A167" s="342">
        <v>166.0</v>
      </c>
      <c r="B167" s="341">
        <v>92.0</v>
      </c>
      <c r="C167" s="341">
        <v>1.0</v>
      </c>
      <c r="D167" s="341">
        <v>-0.4043260838</v>
      </c>
      <c r="E167" s="342">
        <v>-0.04404762222</v>
      </c>
      <c r="F167" s="342">
        <v>-0.262512241</v>
      </c>
      <c r="G167" s="342">
        <v>-0.1418138428</v>
      </c>
      <c r="H167" s="342">
        <v>1.285720152</v>
      </c>
      <c r="I167" s="343"/>
      <c r="J167" s="342" t="s">
        <v>1804</v>
      </c>
      <c r="K167" s="342" t="s">
        <v>1396</v>
      </c>
      <c r="L167" s="342" t="s">
        <v>1413</v>
      </c>
      <c r="M167" s="342" t="s">
        <v>1805</v>
      </c>
      <c r="N167" s="343"/>
      <c r="O167" s="342" t="s">
        <v>1378</v>
      </c>
      <c r="P167" s="342" t="s">
        <v>1587</v>
      </c>
      <c r="Q167" s="342">
        <v>4.0</v>
      </c>
      <c r="R167" s="343"/>
      <c r="S167" s="342" t="s">
        <v>1560</v>
      </c>
      <c r="T167" s="342">
        <v>77.0</v>
      </c>
      <c r="U167" s="342">
        <v>14.0</v>
      </c>
      <c r="V167" s="342">
        <v>23.0</v>
      </c>
      <c r="W167" s="341">
        <v>12.02805195</v>
      </c>
      <c r="X167" s="5">
        <v>2.535454545</v>
      </c>
      <c r="Y167" s="5">
        <v>3.018701299</v>
      </c>
      <c r="Z167" s="5">
        <v>2.06038961</v>
      </c>
      <c r="AA167" s="5">
        <v>0.8042857143</v>
      </c>
      <c r="AB167" s="5">
        <v>0.2875324675</v>
      </c>
      <c r="AC167" s="5">
        <v>0.4418891989</v>
      </c>
      <c r="AD167" s="5">
        <v>9.775324675</v>
      </c>
      <c r="AE167" s="5">
        <v>0.8729905673</v>
      </c>
      <c r="AF167" s="5">
        <v>0.9775324675</v>
      </c>
      <c r="AG167" s="5">
        <v>1.061298701</v>
      </c>
      <c r="AH167" s="5">
        <v>20.99896522</v>
      </c>
      <c r="AI167" s="5">
        <v>-0.650460585</v>
      </c>
      <c r="AJ167" s="5">
        <v>0.8775899648</v>
      </c>
      <c r="AK167" s="5">
        <v>-1.107573645</v>
      </c>
      <c r="AL167" s="5">
        <v>-0.7645996889</v>
      </c>
      <c r="AM167" s="5">
        <v>-0.4310426634</v>
      </c>
      <c r="AN167" s="5">
        <v>-0.7389909696</v>
      </c>
      <c r="AO167" s="5">
        <v>-0.6912360129</v>
      </c>
      <c r="AP167" s="5">
        <v>0.2717049293</v>
      </c>
      <c r="AQ167" s="5">
        <v>0.8719985017</v>
      </c>
    </row>
    <row r="168">
      <c r="A168" s="342">
        <v>167.0</v>
      </c>
      <c r="B168" s="341">
        <v>79.0</v>
      </c>
      <c r="C168" s="341">
        <v>1.2</v>
      </c>
      <c r="D168" s="341">
        <v>-0.4102171732</v>
      </c>
      <c r="E168" s="342">
        <v>0.007526290712</v>
      </c>
      <c r="F168" s="342">
        <v>-0.3173657641</v>
      </c>
      <c r="G168" s="342">
        <v>-0.09285140911</v>
      </c>
      <c r="H168" s="342">
        <v>0.5932172831</v>
      </c>
      <c r="I168" s="343"/>
      <c r="J168" s="342" t="s">
        <v>1806</v>
      </c>
      <c r="K168" s="342" t="s">
        <v>169</v>
      </c>
      <c r="L168" s="342" t="s">
        <v>1413</v>
      </c>
      <c r="M168" s="342" t="s">
        <v>1807</v>
      </c>
      <c r="N168" s="343"/>
      <c r="O168" s="342" t="s">
        <v>1368</v>
      </c>
      <c r="P168" s="343"/>
      <c r="Q168" s="342">
        <v>4.0</v>
      </c>
      <c r="R168" s="343"/>
      <c r="S168" s="342" t="s">
        <v>1434</v>
      </c>
      <c r="T168" s="342">
        <v>73.0</v>
      </c>
      <c r="U168" s="342">
        <v>15.0</v>
      </c>
      <c r="V168" s="342">
        <v>28.0</v>
      </c>
      <c r="W168" s="341">
        <v>10.93315068</v>
      </c>
      <c r="X168" s="5">
        <v>0.8743835616</v>
      </c>
      <c r="Y168" s="5">
        <v>3.904246575</v>
      </c>
      <c r="Z168" s="5">
        <v>2.829178082</v>
      </c>
      <c r="AA168" s="5">
        <v>1.017123288</v>
      </c>
      <c r="AB168" s="5">
        <v>0.2831506849</v>
      </c>
      <c r="AC168" s="5">
        <v>0.4849727217</v>
      </c>
      <c r="AD168" s="5">
        <v>8.486849315</v>
      </c>
      <c r="AE168" s="5">
        <v>0.7990055116</v>
      </c>
      <c r="AF168" s="5">
        <v>2.286575342</v>
      </c>
      <c r="AG168" s="5">
        <v>1.415616438</v>
      </c>
      <c r="AH168" s="5">
        <v>17.77222936</v>
      </c>
      <c r="AI168" s="5">
        <v>-0.8342811182</v>
      </c>
      <c r="AJ168" s="5">
        <v>-0.753215622</v>
      </c>
      <c r="AK168" s="5">
        <v>-0.7532275958</v>
      </c>
      <c r="AL168" s="5">
        <v>-0.4095309367</v>
      </c>
      <c r="AM168" s="5">
        <v>0.240841106</v>
      </c>
      <c r="AN168" s="5">
        <v>-0.7470023845</v>
      </c>
      <c r="AO168" s="5">
        <v>-0.04216137672</v>
      </c>
      <c r="AP168" s="5">
        <v>0.01684054223</v>
      </c>
      <c r="AQ168" s="5">
        <v>0.4254455087</v>
      </c>
    </row>
    <row r="169">
      <c r="A169" s="342">
        <v>168.0</v>
      </c>
      <c r="B169" s="341">
        <v>44.0</v>
      </c>
      <c r="C169" s="341">
        <v>-5.2</v>
      </c>
      <c r="D169" s="341">
        <v>-0.4127259298</v>
      </c>
      <c r="E169" s="342">
        <v>-7.320455702E-4</v>
      </c>
      <c r="F169" s="342">
        <v>-0.3874265791</v>
      </c>
      <c r="G169" s="342">
        <v>-0.02529935069</v>
      </c>
      <c r="H169" s="342">
        <v>0.609322001</v>
      </c>
      <c r="I169" s="343"/>
      <c r="J169" s="342" t="s">
        <v>1808</v>
      </c>
      <c r="K169" s="342" t="s">
        <v>126</v>
      </c>
      <c r="L169" s="342" t="s">
        <v>1366</v>
      </c>
      <c r="M169" s="342" t="s">
        <v>1809</v>
      </c>
      <c r="N169" s="343"/>
      <c r="O169" s="342" t="s">
        <v>1374</v>
      </c>
      <c r="P169" s="343"/>
      <c r="Q169" s="342">
        <v>3.0</v>
      </c>
      <c r="R169" s="343"/>
      <c r="S169" s="342" t="s">
        <v>1434</v>
      </c>
      <c r="T169" s="342">
        <v>68.0</v>
      </c>
      <c r="U169" s="342">
        <v>15.0</v>
      </c>
      <c r="V169" s="342">
        <v>21.0</v>
      </c>
      <c r="W169" s="341">
        <v>8.761176471</v>
      </c>
      <c r="X169" s="5">
        <v>0.5997058824</v>
      </c>
      <c r="Y169" s="5">
        <v>4.639705882</v>
      </c>
      <c r="Z169" s="5">
        <v>3.606764706</v>
      </c>
      <c r="AA169" s="5">
        <v>0.7070588235</v>
      </c>
      <c r="AB169" s="5">
        <v>0.3589705882</v>
      </c>
      <c r="AC169" s="5">
        <v>0.5456924367</v>
      </c>
      <c r="AD169" s="5">
        <v>5.788382353</v>
      </c>
      <c r="AE169" s="5">
        <v>0.8299688927</v>
      </c>
      <c r="AF169" s="5">
        <v>2.221911765</v>
      </c>
      <c r="AG169" s="5">
        <v>1.9</v>
      </c>
      <c r="AH169" s="5">
        <v>17.7669722</v>
      </c>
      <c r="AI169" s="5">
        <v>-1.198929029</v>
      </c>
      <c r="AJ169" s="5">
        <v>-1.022888561</v>
      </c>
      <c r="AK169" s="5">
        <v>-0.4589376183</v>
      </c>
      <c r="AL169" s="5">
        <v>-0.05039871466</v>
      </c>
      <c r="AM169" s="5">
        <v>-0.7379676523</v>
      </c>
      <c r="AN169" s="5">
        <v>-0.6083773654</v>
      </c>
      <c r="AO169" s="5">
        <v>0.5058227716</v>
      </c>
      <c r="AP169" s="5">
        <v>0.2698687304</v>
      </c>
      <c r="AQ169" s="5">
        <v>-0.1850317736</v>
      </c>
    </row>
    <row r="170">
      <c r="A170" s="342">
        <v>169.0</v>
      </c>
      <c r="B170" s="341">
        <v>5.0</v>
      </c>
      <c r="C170" s="341">
        <v>-0.6</v>
      </c>
      <c r="D170" s="341">
        <v>-0.4155253722</v>
      </c>
      <c r="E170" s="342">
        <v>9.62713303E-4</v>
      </c>
      <c r="F170" s="342">
        <v>-0.2148296301</v>
      </c>
      <c r="G170" s="342">
        <v>-0.2006957421</v>
      </c>
      <c r="H170" s="342">
        <v>0.7542644619</v>
      </c>
      <c r="I170" s="343"/>
      <c r="J170" s="342" t="s">
        <v>1810</v>
      </c>
      <c r="K170" s="342" t="s">
        <v>74</v>
      </c>
      <c r="L170" s="342" t="s">
        <v>1380</v>
      </c>
      <c r="M170" s="342" t="s">
        <v>1811</v>
      </c>
      <c r="N170" s="343"/>
      <c r="O170" s="342" t="s">
        <v>1374</v>
      </c>
      <c r="P170" s="342" t="s">
        <v>1812</v>
      </c>
      <c r="Q170" s="342">
        <v>4.0</v>
      </c>
      <c r="R170" s="343"/>
      <c r="S170" s="342" t="s">
        <v>1434</v>
      </c>
      <c r="T170" s="342">
        <v>68.0</v>
      </c>
      <c r="U170" s="342">
        <v>16.0</v>
      </c>
      <c r="V170" s="342">
        <v>21.0</v>
      </c>
      <c r="W170" s="341">
        <v>6.068382353</v>
      </c>
      <c r="X170" s="5">
        <v>0.7470588235</v>
      </c>
      <c r="Y170" s="5">
        <v>3.031911765</v>
      </c>
      <c r="Z170" s="5">
        <v>2.988529412</v>
      </c>
      <c r="AA170" s="5">
        <v>1.455441176</v>
      </c>
      <c r="AB170" s="5">
        <v>0.2998529412</v>
      </c>
      <c r="AC170" s="5">
        <v>0.4372374101</v>
      </c>
      <c r="AD170" s="5">
        <v>5.110294118</v>
      </c>
      <c r="AE170" s="5">
        <v>0.8339807222</v>
      </c>
      <c r="AF170" s="5">
        <v>1.022205882</v>
      </c>
      <c r="AG170" s="5">
        <v>0.6497058824</v>
      </c>
      <c r="AH170" s="5">
        <v>13.17118703</v>
      </c>
      <c r="AI170" s="5">
        <v>-1.651016233</v>
      </c>
      <c r="AJ170" s="5">
        <v>-0.878220451</v>
      </c>
      <c r="AK170" s="5">
        <v>-1.10228755</v>
      </c>
      <c r="AL170" s="5">
        <v>-0.3359337383</v>
      </c>
      <c r="AM170" s="5">
        <v>1.624519141</v>
      </c>
      <c r="AN170" s="5">
        <v>-0.7164648806</v>
      </c>
      <c r="AO170" s="5">
        <v>-0.4020942533</v>
      </c>
      <c r="AP170" s="5">
        <v>0.1372949874</v>
      </c>
      <c r="AQ170" s="5">
        <v>1.390736307</v>
      </c>
    </row>
    <row r="171">
      <c r="A171" s="342">
        <v>170.0</v>
      </c>
      <c r="B171" s="341">
        <v>80.0</v>
      </c>
      <c r="C171" s="341">
        <v>1.1</v>
      </c>
      <c r="D171" s="341">
        <v>-0.4441349261</v>
      </c>
      <c r="E171" s="342">
        <v>-8.729471E-4</v>
      </c>
      <c r="F171" s="342">
        <v>-0.2947234788</v>
      </c>
      <c r="G171" s="342">
        <v>-0.1494114473</v>
      </c>
      <c r="H171" s="342">
        <v>0.3516465149</v>
      </c>
      <c r="I171" s="343"/>
      <c r="J171" s="342" t="s">
        <v>1813</v>
      </c>
      <c r="K171" s="342" t="s">
        <v>291</v>
      </c>
      <c r="L171" s="342" t="s">
        <v>1366</v>
      </c>
      <c r="M171" s="342" t="s">
        <v>1814</v>
      </c>
      <c r="N171" s="343"/>
      <c r="O171" s="342" t="s">
        <v>1368</v>
      </c>
      <c r="P171" s="342" t="s">
        <v>1437</v>
      </c>
      <c r="Q171" s="342">
        <v>3.0</v>
      </c>
      <c r="R171" s="343"/>
      <c r="S171" s="342" t="s">
        <v>1434</v>
      </c>
      <c r="T171" s="342">
        <v>73.0</v>
      </c>
      <c r="U171" s="342">
        <v>15.0</v>
      </c>
      <c r="V171" s="342">
        <v>25.0</v>
      </c>
      <c r="W171" s="341">
        <v>10.57438356</v>
      </c>
      <c r="X171" s="5">
        <v>0.8934246575</v>
      </c>
      <c r="Y171" s="5">
        <v>5.733835616</v>
      </c>
      <c r="Z171" s="5">
        <v>1.367671233</v>
      </c>
      <c r="AA171" s="5">
        <v>0.5936986301</v>
      </c>
      <c r="AB171" s="5">
        <v>1.104657534</v>
      </c>
      <c r="AC171" s="5">
        <v>0.5183383369</v>
      </c>
      <c r="AD171" s="5">
        <v>7.574520548</v>
      </c>
      <c r="AE171" s="5">
        <v>0.7100154247</v>
      </c>
      <c r="AF171" s="5">
        <v>2.575479452</v>
      </c>
      <c r="AG171" s="5">
        <v>1.038630137</v>
      </c>
      <c r="AH171" s="5">
        <v>16.566325</v>
      </c>
      <c r="AI171" s="5">
        <v>-0.894513731</v>
      </c>
      <c r="AJ171" s="5">
        <v>-0.7345214627</v>
      </c>
      <c r="AK171" s="5">
        <v>-0.02112765129</v>
      </c>
      <c r="AL171" s="5">
        <v>-1.084535092</v>
      </c>
      <c r="AM171" s="5">
        <v>-1.095822108</v>
      </c>
      <c r="AN171" s="5">
        <v>0.7549964005</v>
      </c>
      <c r="AO171" s="5">
        <v>0.3478785463</v>
      </c>
      <c r="AP171" s="5">
        <v>-0.8254343098</v>
      </c>
      <c r="AQ171" s="5">
        <v>0.9005680995</v>
      </c>
    </row>
    <row r="172">
      <c r="A172" s="342">
        <v>171.0</v>
      </c>
      <c r="B172" s="341">
        <v>39.0</v>
      </c>
      <c r="C172" s="341">
        <v>0.6</v>
      </c>
      <c r="D172" s="341">
        <v>-0.446801516</v>
      </c>
      <c r="E172" s="342">
        <v>-0.003211523619</v>
      </c>
      <c r="F172" s="342">
        <v>-0.448671166</v>
      </c>
      <c r="G172" s="342">
        <v>0.001869650025</v>
      </c>
      <c r="H172" s="342">
        <v>-0.05097143209</v>
      </c>
      <c r="I172" s="343"/>
      <c r="J172" s="342" t="s">
        <v>1815</v>
      </c>
      <c r="K172" s="342" t="s">
        <v>148</v>
      </c>
      <c r="L172" s="342" t="s">
        <v>1413</v>
      </c>
      <c r="M172" s="342" t="s">
        <v>1816</v>
      </c>
      <c r="N172" s="343"/>
      <c r="O172" s="342" t="s">
        <v>1368</v>
      </c>
      <c r="P172" s="343"/>
      <c r="Q172" s="342">
        <v>3.0</v>
      </c>
      <c r="R172" s="343"/>
      <c r="S172" s="342" t="s">
        <v>1434</v>
      </c>
      <c r="T172" s="342">
        <v>57.0</v>
      </c>
      <c r="U172" s="342">
        <v>15.0</v>
      </c>
      <c r="V172" s="342">
        <v>28.0</v>
      </c>
      <c r="W172" s="341">
        <v>15.37947368</v>
      </c>
      <c r="X172" s="5">
        <v>1.58245614</v>
      </c>
      <c r="Y172" s="5">
        <v>3.181578947</v>
      </c>
      <c r="Z172" s="5">
        <v>4.302982456</v>
      </c>
      <c r="AA172" s="5">
        <v>0.5243859649</v>
      </c>
      <c r="AB172" s="5">
        <v>0.05929824561</v>
      </c>
      <c r="AC172" s="5">
        <v>0.4368494386</v>
      </c>
      <c r="AD172" s="5">
        <v>12.84315789</v>
      </c>
      <c r="AE172" s="5">
        <v>0.8720156788</v>
      </c>
      <c r="AF172" s="5">
        <v>2.954035088</v>
      </c>
      <c r="AG172" s="5">
        <v>2.121052632</v>
      </c>
      <c r="AH172" s="5">
        <v>24.77611529</v>
      </c>
      <c r="AI172" s="5">
        <v>-0.08779785799</v>
      </c>
      <c r="AJ172" s="5">
        <v>-0.05804441714</v>
      </c>
      <c r="AK172" s="5">
        <v>-1.042399054</v>
      </c>
      <c r="AL172" s="5">
        <v>0.2711528914</v>
      </c>
      <c r="AM172" s="5">
        <v>-1.314627717</v>
      </c>
      <c r="AN172" s="5">
        <v>-1.156282103</v>
      </c>
      <c r="AO172" s="5">
        <v>-1.004274961</v>
      </c>
      <c r="AP172" s="5">
        <v>0.8178610901</v>
      </c>
      <c r="AQ172" s="5">
        <v>-0.4636283662</v>
      </c>
    </row>
    <row r="173">
      <c r="A173" s="342">
        <v>172.0</v>
      </c>
      <c r="B173" s="341">
        <v>62.0</v>
      </c>
      <c r="C173" s="341">
        <v>-6.0</v>
      </c>
      <c r="D173" s="341">
        <v>-0.4479465072</v>
      </c>
      <c r="E173" s="342">
        <v>-0.005403385863</v>
      </c>
      <c r="F173" s="342">
        <v>-0.2512093087</v>
      </c>
      <c r="G173" s="342">
        <v>-0.1967371985</v>
      </c>
      <c r="H173" s="342">
        <v>0.335541797</v>
      </c>
      <c r="I173" s="343"/>
      <c r="J173" s="342" t="s">
        <v>1817</v>
      </c>
      <c r="K173" s="342" t="s">
        <v>63</v>
      </c>
      <c r="L173" s="342" t="s">
        <v>1404</v>
      </c>
      <c r="M173" s="342" t="s">
        <v>1818</v>
      </c>
      <c r="N173" s="342" t="s">
        <v>1819</v>
      </c>
      <c r="O173" s="342" t="s">
        <v>1368</v>
      </c>
      <c r="P173" s="343"/>
      <c r="Q173" s="342">
        <v>3.0</v>
      </c>
      <c r="R173" s="343"/>
      <c r="S173" s="342" t="s">
        <v>1370</v>
      </c>
      <c r="T173" s="342">
        <v>73.0</v>
      </c>
      <c r="U173" s="342">
        <v>13.0</v>
      </c>
      <c r="V173" s="342">
        <v>30.0</v>
      </c>
      <c r="W173" s="341">
        <v>14.13136986</v>
      </c>
      <c r="X173" s="5">
        <v>1.405890411</v>
      </c>
      <c r="Y173" s="5">
        <v>5.227534247</v>
      </c>
      <c r="Z173" s="5">
        <v>1.255342466</v>
      </c>
      <c r="AA173" s="5">
        <v>0.5068493151</v>
      </c>
      <c r="AB173" s="5">
        <v>0.4480821918</v>
      </c>
      <c r="AC173" s="5">
        <v>0.5170341683</v>
      </c>
      <c r="AD173" s="5">
        <v>10.96506849</v>
      </c>
      <c r="AE173" s="5">
        <v>0.7439741329</v>
      </c>
      <c r="AF173" s="5">
        <v>1.864109589</v>
      </c>
      <c r="AG173" s="5">
        <v>0.7036986301</v>
      </c>
      <c r="AH173" s="5">
        <v>17.92032601</v>
      </c>
      <c r="AI173" s="5">
        <v>-0.2973392273</v>
      </c>
      <c r="AJ173" s="5">
        <v>-0.2313930463</v>
      </c>
      <c r="AK173" s="5">
        <v>-0.2237213466</v>
      </c>
      <c r="AL173" s="5">
        <v>-1.136414688</v>
      </c>
      <c r="AM173" s="5">
        <v>-1.369987258</v>
      </c>
      <c r="AN173" s="5">
        <v>-0.445450519</v>
      </c>
      <c r="AO173" s="5">
        <v>0.4858362147</v>
      </c>
      <c r="AP173" s="5">
        <v>-0.365102187</v>
      </c>
      <c r="AQ173" s="5">
        <v>1.322688279</v>
      </c>
    </row>
    <row r="174">
      <c r="A174" s="342">
        <v>173.0</v>
      </c>
      <c r="B174" s="341">
        <v>37.0</v>
      </c>
      <c r="C174" s="341">
        <v>1.0</v>
      </c>
      <c r="D174" s="341">
        <v>-0.4483789943</v>
      </c>
      <c r="E174" s="342">
        <v>3.966718277E-4</v>
      </c>
      <c r="F174" s="342">
        <v>-0.3343872293</v>
      </c>
      <c r="G174" s="342">
        <v>-0.113991765</v>
      </c>
      <c r="H174" s="342">
        <v>-1.049463941</v>
      </c>
      <c r="I174" s="343"/>
      <c r="J174" s="342" t="s">
        <v>1820</v>
      </c>
      <c r="K174" s="342" t="s">
        <v>1365</v>
      </c>
      <c r="L174" s="342" t="s">
        <v>1404</v>
      </c>
      <c r="M174" s="342" t="s">
        <v>1821</v>
      </c>
      <c r="N174" s="343"/>
      <c r="O174" s="342" t="s">
        <v>1368</v>
      </c>
      <c r="P174" s="343"/>
      <c r="Q174" s="342">
        <v>4.0</v>
      </c>
      <c r="R174" s="343"/>
      <c r="S174" s="342" t="s">
        <v>1434</v>
      </c>
      <c r="T174" s="342">
        <v>73.0</v>
      </c>
      <c r="U174" s="342">
        <v>15.0</v>
      </c>
      <c r="V174" s="342">
        <v>27.0</v>
      </c>
      <c r="W174" s="341">
        <v>13.09657534</v>
      </c>
      <c r="X174" s="5">
        <v>1.703561644</v>
      </c>
      <c r="Y174" s="5">
        <v>4.781232877</v>
      </c>
      <c r="Z174" s="5">
        <v>2.240958904</v>
      </c>
      <c r="AA174" s="5">
        <v>0.6178082192</v>
      </c>
      <c r="AB174" s="5">
        <v>0.2815068493</v>
      </c>
      <c r="AC174" s="5">
        <v>0.4582896047</v>
      </c>
      <c r="AD174" s="5">
        <v>10.18109589</v>
      </c>
      <c r="AE174" s="5">
        <v>0.8119907183</v>
      </c>
      <c r="AF174" s="5">
        <v>2.538493151</v>
      </c>
      <c r="AG174" s="5">
        <v>1.294931507</v>
      </c>
      <c r="AH174" s="5">
        <v>20.2351123</v>
      </c>
      <c r="AI174" s="5">
        <v>-0.4710685734</v>
      </c>
      <c r="AJ174" s="5">
        <v>0.06085449423</v>
      </c>
      <c r="AK174" s="5">
        <v>-0.4023063735</v>
      </c>
      <c r="AL174" s="5">
        <v>-0.6812028689</v>
      </c>
      <c r="AM174" s="5">
        <v>-1.019713171</v>
      </c>
      <c r="AN174" s="5">
        <v>-0.7500078848</v>
      </c>
      <c r="AO174" s="5">
        <v>-0.4641970607</v>
      </c>
      <c r="AP174" s="5">
        <v>0.1406094836</v>
      </c>
      <c r="AQ174" s="5">
        <v>0.5775468905</v>
      </c>
    </row>
    <row r="175">
      <c r="A175" s="342">
        <v>174.0</v>
      </c>
      <c r="B175" s="341">
        <v>42.0</v>
      </c>
      <c r="C175" s="341">
        <v>-3.7</v>
      </c>
      <c r="D175" s="341">
        <v>-0.4518783934</v>
      </c>
      <c r="E175" s="342">
        <v>8.552566103E-4</v>
      </c>
      <c r="F175" s="342">
        <v>-0.3442693775</v>
      </c>
      <c r="G175" s="342">
        <v>-0.1076090159</v>
      </c>
      <c r="H175" s="342">
        <v>0.3838559506</v>
      </c>
      <c r="I175" s="343"/>
      <c r="J175" s="342" t="s">
        <v>1822</v>
      </c>
      <c r="K175" s="342" t="s">
        <v>287</v>
      </c>
      <c r="L175" s="342" t="s">
        <v>1404</v>
      </c>
      <c r="M175" s="342" t="s">
        <v>1823</v>
      </c>
      <c r="N175" s="343"/>
      <c r="O175" s="342" t="s">
        <v>1368</v>
      </c>
      <c r="P175" s="342" t="s">
        <v>1437</v>
      </c>
      <c r="Q175" s="342">
        <v>2.0</v>
      </c>
      <c r="R175" s="343"/>
      <c r="S175" s="342" t="s">
        <v>1560</v>
      </c>
      <c r="T175" s="342">
        <v>73.0</v>
      </c>
      <c r="U175" s="342">
        <v>16.0</v>
      </c>
      <c r="V175" s="342">
        <v>31.0</v>
      </c>
      <c r="W175" s="341">
        <v>9.973287671</v>
      </c>
      <c r="X175" s="5">
        <v>1.186027397</v>
      </c>
      <c r="Y175" s="5">
        <v>4.097123288</v>
      </c>
      <c r="Z175" s="5">
        <v>2.149315068</v>
      </c>
      <c r="AA175" s="5">
        <v>1.141780822</v>
      </c>
      <c r="AB175" s="5">
        <v>0.7387671233</v>
      </c>
      <c r="AC175" s="5">
        <v>0.4276560668</v>
      </c>
      <c r="AD175" s="5">
        <v>8.059863014</v>
      </c>
      <c r="AE175" s="5">
        <v>0.7199854159</v>
      </c>
      <c r="AF175" s="5">
        <v>2.63</v>
      </c>
      <c r="AG175" s="5">
        <v>1.343287671</v>
      </c>
      <c r="AH175" s="5">
        <v>14.32782794</v>
      </c>
      <c r="AI175" s="5">
        <v>-0.9954303806</v>
      </c>
      <c r="AJ175" s="5">
        <v>-0.4472500654</v>
      </c>
      <c r="AK175" s="5">
        <v>-0.6760490452</v>
      </c>
      <c r="AL175" s="5">
        <v>-0.7235290269</v>
      </c>
      <c r="AM175" s="5">
        <v>0.6343589076</v>
      </c>
      <c r="AN175" s="5">
        <v>0.08602212092</v>
      </c>
      <c r="AO175" s="5">
        <v>-0.7469772724</v>
      </c>
      <c r="AP175" s="5">
        <v>-0.7461723852</v>
      </c>
      <c r="AQ175" s="5">
        <v>0.51660275</v>
      </c>
    </row>
    <row r="176">
      <c r="A176" s="342">
        <v>175.0</v>
      </c>
      <c r="B176" s="341">
        <v>45.0</v>
      </c>
      <c r="C176" s="341">
        <v>-4.0</v>
      </c>
      <c r="D176" s="341">
        <v>-0.4610123626</v>
      </c>
      <c r="E176" s="342">
        <v>0.001136909162</v>
      </c>
      <c r="F176" s="342">
        <v>-0.3823330011</v>
      </c>
      <c r="G176" s="342">
        <v>-0.0786793615</v>
      </c>
      <c r="H176" s="343"/>
      <c r="I176" s="343"/>
      <c r="J176" s="342" t="s">
        <v>1824</v>
      </c>
      <c r="K176" s="342" t="s">
        <v>180</v>
      </c>
      <c r="L176" s="342" t="s">
        <v>1380</v>
      </c>
      <c r="M176" s="342" t="s">
        <v>1825</v>
      </c>
      <c r="N176" s="343"/>
      <c r="O176" s="342" t="s">
        <v>1368</v>
      </c>
      <c r="P176" s="343"/>
      <c r="Q176" s="342">
        <v>3.0</v>
      </c>
      <c r="R176" s="343"/>
      <c r="S176" s="342" t="s">
        <v>1434</v>
      </c>
      <c r="T176" s="342">
        <v>73.0</v>
      </c>
      <c r="U176" s="342">
        <v>16.0</v>
      </c>
      <c r="V176" s="342">
        <v>20.0</v>
      </c>
      <c r="W176" s="341">
        <v>8.668630137</v>
      </c>
      <c r="X176" s="5">
        <v>1.620684932</v>
      </c>
      <c r="Y176" s="5">
        <v>2.230410959</v>
      </c>
      <c r="Z176" s="5">
        <v>2.819589041</v>
      </c>
      <c r="AA176" s="5">
        <v>1.13630137</v>
      </c>
      <c r="AB176" s="5">
        <v>0.3787671233</v>
      </c>
      <c r="AC176" s="5">
        <v>0.4223179775</v>
      </c>
      <c r="AD176" s="5">
        <v>7.407260274</v>
      </c>
      <c r="AE176" s="5">
        <v>0.8220230474</v>
      </c>
      <c r="AF176" s="5">
        <v>0.9628767123</v>
      </c>
      <c r="AG176" s="5">
        <v>1.557123288</v>
      </c>
      <c r="AH176" s="5">
        <v>19.65965436</v>
      </c>
      <c r="AI176" s="5">
        <v>-1.214466427</v>
      </c>
      <c r="AJ176" s="5">
        <v>-0.02051217029</v>
      </c>
      <c r="AK176" s="5">
        <v>-1.423003668</v>
      </c>
      <c r="AL176" s="5">
        <v>-0.4139596827</v>
      </c>
      <c r="AM176" s="5">
        <v>0.6170614218</v>
      </c>
      <c r="AN176" s="5">
        <v>-0.5721824492</v>
      </c>
      <c r="AO176" s="5">
        <v>-0.7477068311</v>
      </c>
      <c r="AP176" s="5">
        <v>0.08667090565</v>
      </c>
      <c r="AQ176" s="5">
        <v>0.2471018909</v>
      </c>
    </row>
    <row r="177">
      <c r="A177" s="342">
        <v>176.0</v>
      </c>
      <c r="B177" s="341">
        <v>9.0</v>
      </c>
      <c r="C177" s="341">
        <v>0.2</v>
      </c>
      <c r="D177" s="341">
        <v>-0.4633329723</v>
      </c>
      <c r="E177" s="342">
        <v>-0.006337551459</v>
      </c>
      <c r="F177" s="342">
        <v>-0.3466340499</v>
      </c>
      <c r="G177" s="342">
        <v>-0.1166989224</v>
      </c>
      <c r="H177" s="342">
        <v>-0.1153903036</v>
      </c>
      <c r="I177" s="343"/>
      <c r="J177" s="342" t="s">
        <v>1826</v>
      </c>
      <c r="K177" s="342" t="s">
        <v>136</v>
      </c>
      <c r="L177" s="342" t="s">
        <v>1380</v>
      </c>
      <c r="M177" s="342" t="s">
        <v>1827</v>
      </c>
      <c r="N177" s="343"/>
      <c r="O177" s="342" t="s">
        <v>1368</v>
      </c>
      <c r="P177" s="342" t="s">
        <v>1501</v>
      </c>
      <c r="Q177" s="342">
        <v>2.0</v>
      </c>
      <c r="R177" s="343"/>
      <c r="S177" s="342" t="s">
        <v>1434</v>
      </c>
      <c r="T177" s="342">
        <v>71.0</v>
      </c>
      <c r="U177" s="342">
        <v>15.0</v>
      </c>
      <c r="V177" s="342">
        <v>24.0</v>
      </c>
      <c r="W177" s="341">
        <v>10.61028169</v>
      </c>
      <c r="X177" s="5">
        <v>1.353943662</v>
      </c>
      <c r="Y177" s="5">
        <v>3.192957746</v>
      </c>
      <c r="Z177" s="5">
        <v>3.45056338</v>
      </c>
      <c r="AA177" s="5">
        <v>1.03</v>
      </c>
      <c r="AB177" s="5">
        <v>0.1043661972</v>
      </c>
      <c r="AC177" s="5">
        <v>0.4500104564</v>
      </c>
      <c r="AD177" s="5">
        <v>8.755352113</v>
      </c>
      <c r="AE177" s="5">
        <v>0.786036036</v>
      </c>
      <c r="AF177" s="5">
        <v>1.750985915</v>
      </c>
      <c r="AG177" s="5">
        <v>1.287464789</v>
      </c>
      <c r="AH177" s="5">
        <v>18.99493453</v>
      </c>
      <c r="AI177" s="5">
        <v>-0.8884868742</v>
      </c>
      <c r="AJ177" s="5">
        <v>-0.2823933041</v>
      </c>
      <c r="AK177" s="5">
        <v>-1.03784589</v>
      </c>
      <c r="AL177" s="5">
        <v>-0.1225410683</v>
      </c>
      <c r="AM177" s="5">
        <v>0.2814901976</v>
      </c>
      <c r="AN177" s="5">
        <v>-1.073882293</v>
      </c>
      <c r="AO177" s="5">
        <v>-0.5113298318</v>
      </c>
      <c r="AP177" s="5">
        <v>-0.07167471465</v>
      </c>
      <c r="AQ177" s="5">
        <v>0.5869573291</v>
      </c>
    </row>
    <row r="178">
      <c r="A178" s="342">
        <v>177.0</v>
      </c>
      <c r="B178" s="341">
        <v>100.0</v>
      </c>
      <c r="C178" s="341">
        <v>0.0</v>
      </c>
      <c r="D178" s="341">
        <v>-0.4664978376</v>
      </c>
      <c r="E178" s="342">
        <v>0.1445124185</v>
      </c>
      <c r="F178" s="342">
        <v>-0.3905772742</v>
      </c>
      <c r="G178" s="342">
        <v>-0.07592056345</v>
      </c>
      <c r="H178" s="343"/>
      <c r="I178" s="343"/>
      <c r="J178" s="342" t="s">
        <v>1828</v>
      </c>
      <c r="K178" s="342" t="s">
        <v>173</v>
      </c>
      <c r="L178" s="342" t="s">
        <v>34</v>
      </c>
      <c r="M178" s="342" t="s">
        <v>1829</v>
      </c>
      <c r="N178" s="343"/>
      <c r="O178" s="342" t="s">
        <v>1374</v>
      </c>
      <c r="P178" s="343"/>
      <c r="Q178" s="342">
        <v>2.0</v>
      </c>
      <c r="R178" s="343"/>
      <c r="S178" s="342" t="s">
        <v>1370</v>
      </c>
      <c r="T178" s="342">
        <v>68.0</v>
      </c>
      <c r="U178" s="342">
        <v>15.0</v>
      </c>
      <c r="V178" s="342">
        <v>23.0</v>
      </c>
      <c r="W178" s="341">
        <v>11.82176471</v>
      </c>
      <c r="X178" s="5">
        <v>0.05029411765</v>
      </c>
      <c r="Y178" s="5">
        <v>8.145882353</v>
      </c>
      <c r="Z178" s="5">
        <v>0.9583823529</v>
      </c>
      <c r="AA178" s="5">
        <v>0.2875</v>
      </c>
      <c r="AB178" s="5">
        <v>1.245882353</v>
      </c>
      <c r="AC178" s="5">
        <v>0.5588993529</v>
      </c>
      <c r="AD178" s="5">
        <v>8.385441176</v>
      </c>
      <c r="AE178" s="5">
        <v>0.7150122764</v>
      </c>
      <c r="AF178" s="5">
        <v>3.354117647</v>
      </c>
      <c r="AG178" s="5">
        <v>1.581176471</v>
      </c>
      <c r="AH178" s="5">
        <v>21.60621823</v>
      </c>
      <c r="AI178" s="5">
        <v>-0.6850936904</v>
      </c>
      <c r="AJ178" s="5">
        <v>-1.562289817</v>
      </c>
      <c r="AK178" s="5">
        <v>0.9440395214</v>
      </c>
      <c r="AL178" s="5">
        <v>-1.273567183</v>
      </c>
      <c r="AM178" s="5">
        <v>-2.062427236</v>
      </c>
      <c r="AN178" s="5">
        <v>1.013204237</v>
      </c>
      <c r="AO178" s="5">
        <v>0.9062481487</v>
      </c>
      <c r="AP178" s="5">
        <v>-1.012096682</v>
      </c>
      <c r="AQ178" s="5">
        <v>0.2167872335</v>
      </c>
    </row>
    <row r="179">
      <c r="A179" s="342">
        <v>178.0</v>
      </c>
      <c r="B179" s="341">
        <v>84.0</v>
      </c>
      <c r="C179" s="341">
        <v>0.6</v>
      </c>
      <c r="D179" s="341">
        <v>-0.4700887049</v>
      </c>
      <c r="E179" s="342">
        <v>0.001001064846</v>
      </c>
      <c r="F179" s="342">
        <v>-0.4699332519</v>
      </c>
      <c r="G179" s="342">
        <v>-1.55452928E-4</v>
      </c>
      <c r="H179" s="343"/>
      <c r="I179" s="343"/>
      <c r="J179" s="342" t="s">
        <v>1830</v>
      </c>
      <c r="K179" s="342" t="s">
        <v>93</v>
      </c>
      <c r="L179" s="342" t="s">
        <v>1404</v>
      </c>
      <c r="M179" s="342" t="s">
        <v>1831</v>
      </c>
      <c r="N179" s="343"/>
      <c r="O179" s="342" t="s">
        <v>1368</v>
      </c>
      <c r="P179" s="342" t="s">
        <v>1719</v>
      </c>
      <c r="Q179" s="342">
        <v>2.0</v>
      </c>
      <c r="R179" s="343"/>
      <c r="S179" s="342" t="s">
        <v>1434</v>
      </c>
      <c r="T179" s="342">
        <v>73.0</v>
      </c>
      <c r="U179" s="342">
        <v>16.0</v>
      </c>
      <c r="V179" s="342">
        <v>30.0</v>
      </c>
      <c r="W179" s="341">
        <v>12.11739726</v>
      </c>
      <c r="X179" s="5">
        <v>1.839863014</v>
      </c>
      <c r="Y179" s="5">
        <v>5.062465753</v>
      </c>
      <c r="Z179" s="5">
        <v>1.624931507</v>
      </c>
      <c r="AA179" s="5">
        <v>0.9375342466</v>
      </c>
      <c r="AB179" s="5">
        <v>0.4375342466</v>
      </c>
      <c r="AC179" s="5">
        <v>0.4216554538</v>
      </c>
      <c r="AD179" s="5">
        <v>10.81191781</v>
      </c>
      <c r="AE179" s="5">
        <v>0.7150337838</v>
      </c>
      <c r="AF179" s="5">
        <v>1.621917808</v>
      </c>
      <c r="AG179" s="5">
        <v>2.125068493</v>
      </c>
      <c r="AH179" s="5">
        <v>19.3969671</v>
      </c>
      <c r="AI179" s="5">
        <v>-0.6354605996</v>
      </c>
      <c r="AJ179" s="5">
        <v>0.194672397</v>
      </c>
      <c r="AK179" s="5">
        <v>-0.289772592</v>
      </c>
      <c r="AL179" s="5">
        <v>-0.9657181644</v>
      </c>
      <c r="AM179" s="5">
        <v>-0.0104048751</v>
      </c>
      <c r="AN179" s="5">
        <v>-0.4647358127</v>
      </c>
      <c r="AO179" s="5">
        <v>-1.098117874</v>
      </c>
      <c r="AP179" s="5">
        <v>-0.4911721185</v>
      </c>
      <c r="AQ179" s="5">
        <v>-0.4686896285</v>
      </c>
    </row>
    <row r="180">
      <c r="A180" s="342">
        <v>179.0</v>
      </c>
      <c r="B180" s="341">
        <v>12.0</v>
      </c>
      <c r="C180" s="341">
        <v>0.0</v>
      </c>
      <c r="D180" s="341">
        <v>-0.4732442233</v>
      </c>
      <c r="E180" s="342">
        <v>-0.1132816214</v>
      </c>
      <c r="F180" s="342">
        <v>-0.2903531493</v>
      </c>
      <c r="G180" s="342">
        <v>-0.1828910741</v>
      </c>
      <c r="H180" s="342">
        <v>-0.6790554294</v>
      </c>
      <c r="I180" s="343"/>
      <c r="J180" s="342" t="s">
        <v>1832</v>
      </c>
      <c r="K180" s="342" t="s">
        <v>173</v>
      </c>
      <c r="L180" s="342" t="s">
        <v>1404</v>
      </c>
      <c r="M180" s="342" t="s">
        <v>1833</v>
      </c>
      <c r="N180" s="343"/>
      <c r="O180" s="342" t="s">
        <v>1374</v>
      </c>
      <c r="P180" s="343"/>
      <c r="Q180" s="342">
        <v>3.0</v>
      </c>
      <c r="R180" s="343"/>
      <c r="S180" s="342" t="s">
        <v>1434</v>
      </c>
      <c r="T180" s="342">
        <v>68.0</v>
      </c>
      <c r="U180" s="342">
        <v>15.0</v>
      </c>
      <c r="V180" s="342">
        <v>21.0</v>
      </c>
      <c r="W180" s="341">
        <v>8.978529412</v>
      </c>
      <c r="X180" s="5">
        <v>0.06470588235</v>
      </c>
      <c r="Y180" s="5">
        <v>5.3375</v>
      </c>
      <c r="Z180" s="5">
        <v>1.428529412</v>
      </c>
      <c r="AA180" s="5">
        <v>0.7139705882</v>
      </c>
      <c r="AB180" s="5">
        <v>0.8311764706</v>
      </c>
      <c r="AC180" s="5">
        <v>0.6084892805</v>
      </c>
      <c r="AD180" s="5">
        <v>6.475294118</v>
      </c>
      <c r="AE180" s="5">
        <v>0.6939863731</v>
      </c>
      <c r="AF180" s="5">
        <v>1.489264706</v>
      </c>
      <c r="AG180" s="5">
        <v>0.8226470588</v>
      </c>
      <c r="AH180" s="5">
        <v>16.44795561</v>
      </c>
      <c r="AI180" s="5">
        <v>-1.162438128</v>
      </c>
      <c r="AJ180" s="5">
        <v>-1.548140641</v>
      </c>
      <c r="AK180" s="5">
        <v>-0.1797191581</v>
      </c>
      <c r="AL180" s="5">
        <v>-1.056427442</v>
      </c>
      <c r="AM180" s="5">
        <v>-0.7161486546</v>
      </c>
      <c r="AN180" s="5">
        <v>0.254978384</v>
      </c>
      <c r="AO180" s="5">
        <v>1.188788463</v>
      </c>
      <c r="AP180" s="5">
        <v>-0.56684661</v>
      </c>
      <c r="AQ180" s="5">
        <v>1.172775443</v>
      </c>
    </row>
    <row r="181">
      <c r="A181" s="342">
        <v>180.0</v>
      </c>
      <c r="B181" s="341">
        <v>4.0</v>
      </c>
      <c r="C181" s="341">
        <v>0.9</v>
      </c>
      <c r="D181" s="341">
        <v>-0.47441811</v>
      </c>
      <c r="E181" s="342">
        <v>-0.001583974068</v>
      </c>
      <c r="F181" s="342">
        <v>-0.2897903166</v>
      </c>
      <c r="G181" s="342">
        <v>-0.1846277934</v>
      </c>
      <c r="H181" s="342">
        <v>0.609322001</v>
      </c>
      <c r="I181" s="343"/>
      <c r="J181" s="342" t="s">
        <v>1834</v>
      </c>
      <c r="K181" s="342" t="s">
        <v>89</v>
      </c>
      <c r="L181" s="342" t="s">
        <v>1366</v>
      </c>
      <c r="M181" s="342" t="s">
        <v>1835</v>
      </c>
      <c r="N181" s="343"/>
      <c r="O181" s="342" t="s">
        <v>1374</v>
      </c>
      <c r="P181" s="342" t="s">
        <v>1501</v>
      </c>
      <c r="Q181" s="342">
        <v>4.0</v>
      </c>
      <c r="R181" s="343"/>
      <c r="S181" s="342" t="s">
        <v>1434</v>
      </c>
      <c r="T181" s="342">
        <v>68.0</v>
      </c>
      <c r="U181" s="342">
        <v>14.0</v>
      </c>
      <c r="V181" s="342">
        <v>18.0</v>
      </c>
      <c r="W181" s="341">
        <v>7.695588235</v>
      </c>
      <c r="X181" s="5">
        <v>0.0</v>
      </c>
      <c r="Y181" s="5">
        <v>5.252941176</v>
      </c>
      <c r="Z181" s="5">
        <v>0.9675</v>
      </c>
      <c r="AA181" s="5">
        <v>0.6566176471</v>
      </c>
      <c r="AB181" s="5">
        <v>1.441617647</v>
      </c>
      <c r="AC181" s="5">
        <v>0.630990041</v>
      </c>
      <c r="AD181" s="5">
        <v>5.020588235</v>
      </c>
      <c r="AE181" s="5">
        <v>0.6769658808</v>
      </c>
      <c r="AF181" s="5">
        <v>2.008529412</v>
      </c>
      <c r="AG181" s="5">
        <v>0.8111764706</v>
      </c>
      <c r="AH181" s="5">
        <v>15.79683758</v>
      </c>
      <c r="AI181" s="5">
        <v>-1.377828263</v>
      </c>
      <c r="AJ181" s="5">
        <v>-1.611667555</v>
      </c>
      <c r="AK181" s="5">
        <v>-0.213554904</v>
      </c>
      <c r="AL181" s="5">
        <v>-1.269356152</v>
      </c>
      <c r="AM181" s="5">
        <v>-0.8971999121</v>
      </c>
      <c r="AN181" s="5">
        <v>1.371076084</v>
      </c>
      <c r="AO181" s="5">
        <v>1.092418763</v>
      </c>
      <c r="AP181" s="5">
        <v>-0.8892329406</v>
      </c>
      <c r="AQ181" s="5">
        <v>1.187232031</v>
      </c>
    </row>
    <row r="182">
      <c r="A182" s="342">
        <v>181.0</v>
      </c>
      <c r="B182" s="341">
        <v>7.0</v>
      </c>
      <c r="C182" s="341">
        <v>0.5</v>
      </c>
      <c r="D182" s="341">
        <v>-0.4874341333</v>
      </c>
      <c r="E182" s="342">
        <v>0.3747870921</v>
      </c>
      <c r="F182" s="342">
        <v>-0.3732847852</v>
      </c>
      <c r="G182" s="342">
        <v>-0.1141493481</v>
      </c>
      <c r="H182" s="342">
        <v>0.1905993361</v>
      </c>
      <c r="I182" s="343"/>
      <c r="J182" s="342" t="s">
        <v>1836</v>
      </c>
      <c r="K182" s="342" t="s">
        <v>259</v>
      </c>
      <c r="L182" s="342" t="s">
        <v>1404</v>
      </c>
      <c r="M182" s="342" t="s">
        <v>1837</v>
      </c>
      <c r="N182" s="343"/>
      <c r="O182" s="342" t="s">
        <v>1368</v>
      </c>
      <c r="P182" s="342" t="s">
        <v>1719</v>
      </c>
      <c r="Q182" s="342">
        <v>4.0</v>
      </c>
      <c r="R182" s="343"/>
      <c r="S182" s="342" t="s">
        <v>1560</v>
      </c>
      <c r="T182" s="342">
        <v>73.0</v>
      </c>
      <c r="U182" s="342">
        <v>13.0</v>
      </c>
      <c r="V182" s="342">
        <v>26.0</v>
      </c>
      <c r="W182" s="341">
        <v>9.245342466</v>
      </c>
      <c r="X182" s="5">
        <v>1.032876712</v>
      </c>
      <c r="Y182" s="5">
        <v>4.29</v>
      </c>
      <c r="Z182" s="5">
        <v>1.608767123</v>
      </c>
      <c r="AA182" s="5">
        <v>0.9130136986</v>
      </c>
      <c r="AB182" s="5">
        <v>0.4993150685</v>
      </c>
      <c r="AC182" s="5">
        <v>0.4808047284</v>
      </c>
      <c r="AD182" s="5">
        <v>7.346986301</v>
      </c>
      <c r="AE182" s="5">
        <v>0.7809994406</v>
      </c>
      <c r="AF182" s="5">
        <v>1.469315068</v>
      </c>
      <c r="AG182" s="5">
        <v>1.324794521</v>
      </c>
      <c r="AH182" s="5">
        <v>15.43264759</v>
      </c>
      <c r="AI182" s="5">
        <v>-1.117643479</v>
      </c>
      <c r="AJ182" s="5">
        <v>-0.5976102818</v>
      </c>
      <c r="AK182" s="5">
        <v>-0.5988704946</v>
      </c>
      <c r="AL182" s="5">
        <v>-0.9731837648</v>
      </c>
      <c r="AM182" s="5">
        <v>-0.087811124</v>
      </c>
      <c r="AN182" s="5">
        <v>-0.3517790924</v>
      </c>
      <c r="AO182" s="5">
        <v>-0.0845612662</v>
      </c>
      <c r="AP182" s="5">
        <v>-0.08801356339</v>
      </c>
      <c r="AQ182" s="5">
        <v>0.5399099992</v>
      </c>
    </row>
    <row r="183">
      <c r="A183" s="342">
        <v>182.0</v>
      </c>
      <c r="B183" s="347"/>
      <c r="C183" s="347"/>
      <c r="D183" s="341">
        <v>-0.4938444378</v>
      </c>
      <c r="E183" s="342">
        <v>0.05161338043</v>
      </c>
      <c r="F183" s="342">
        <v>-0.4505351295</v>
      </c>
      <c r="G183" s="342">
        <v>-0.04330930826</v>
      </c>
      <c r="H183" s="342">
        <v>0.5126936937</v>
      </c>
      <c r="I183" s="343"/>
      <c r="J183" s="342" t="s">
        <v>1838</v>
      </c>
      <c r="K183" s="342" t="s">
        <v>173</v>
      </c>
      <c r="L183" s="342" t="s">
        <v>1380</v>
      </c>
      <c r="M183" s="342" t="s">
        <v>1839</v>
      </c>
      <c r="N183" s="342" t="s">
        <v>1840</v>
      </c>
      <c r="O183" s="342" t="s">
        <v>1368</v>
      </c>
      <c r="P183" s="342" t="s">
        <v>1399</v>
      </c>
      <c r="Q183" s="342">
        <v>2.0</v>
      </c>
      <c r="R183" s="343"/>
      <c r="S183" s="342" t="s">
        <v>1434</v>
      </c>
      <c r="T183" s="342">
        <v>73.0</v>
      </c>
      <c r="U183" s="342">
        <v>15.0</v>
      </c>
      <c r="V183" s="342">
        <v>19.0</v>
      </c>
      <c r="W183" s="341">
        <v>7.461369863</v>
      </c>
      <c r="X183" s="5">
        <v>0.7536986301</v>
      </c>
      <c r="Y183" s="5">
        <v>2.273013699</v>
      </c>
      <c r="Z183" s="5">
        <v>3.364520548</v>
      </c>
      <c r="AA183" s="5">
        <v>1.227123288</v>
      </c>
      <c r="AB183" s="5">
        <v>0.3269863014</v>
      </c>
      <c r="AC183" s="5">
        <v>0.4687966428</v>
      </c>
      <c r="AD183" s="5">
        <v>6.332739726</v>
      </c>
      <c r="AE183" s="5">
        <v>0.7600378532</v>
      </c>
      <c r="AF183" s="5">
        <v>1.013287671</v>
      </c>
      <c r="AG183" s="5">
        <v>1.835753425</v>
      </c>
      <c r="AH183" s="5">
        <v>19.69050011</v>
      </c>
      <c r="AI183" s="5">
        <v>-1.417150664</v>
      </c>
      <c r="AJ183" s="5">
        <v>-0.8717016244</v>
      </c>
      <c r="AK183" s="5">
        <v>-1.405956417</v>
      </c>
      <c r="AL183" s="5">
        <v>-0.1622803753</v>
      </c>
      <c r="AM183" s="5">
        <v>0.9037672488</v>
      </c>
      <c r="AN183" s="5">
        <v>-0.6668557093</v>
      </c>
      <c r="AO183" s="5">
        <v>-0.1904475531</v>
      </c>
      <c r="AP183" s="5">
        <v>-0.1401304079</v>
      </c>
      <c r="AQ183" s="5">
        <v>-0.1040606635</v>
      </c>
    </row>
    <row r="184">
      <c r="A184" s="342">
        <v>183.0</v>
      </c>
      <c r="B184" s="347"/>
      <c r="C184" s="347"/>
      <c r="D184" s="341">
        <v>-0.4989839187</v>
      </c>
      <c r="E184" s="342">
        <v>-5.074445632E-4</v>
      </c>
      <c r="F184" s="342">
        <v>-0.303059724</v>
      </c>
      <c r="G184" s="342">
        <v>-0.1959241946</v>
      </c>
      <c r="H184" s="342">
        <v>0.9636257943</v>
      </c>
      <c r="I184" s="343"/>
      <c r="J184" s="342" t="s">
        <v>1841</v>
      </c>
      <c r="K184" s="342" t="s">
        <v>118</v>
      </c>
      <c r="L184" s="342" t="s">
        <v>1413</v>
      </c>
      <c r="M184" s="342" t="s">
        <v>1842</v>
      </c>
      <c r="N184" s="343"/>
      <c r="O184" s="342" t="s">
        <v>1368</v>
      </c>
      <c r="P184" s="342" t="s">
        <v>1399</v>
      </c>
      <c r="Q184" s="342">
        <v>4.0</v>
      </c>
      <c r="R184" s="343"/>
      <c r="S184" s="342" t="s">
        <v>1434</v>
      </c>
      <c r="T184" s="342">
        <v>73.0</v>
      </c>
      <c r="U184" s="342">
        <v>16.0</v>
      </c>
      <c r="V184" s="342">
        <v>24.0</v>
      </c>
      <c r="W184" s="341">
        <v>8.216027397</v>
      </c>
      <c r="X184" s="5">
        <v>2.054520548</v>
      </c>
      <c r="Y184" s="5">
        <v>4.8</v>
      </c>
      <c r="Z184" s="5">
        <v>2.4</v>
      </c>
      <c r="AA184" s="5">
        <v>0.7076712329</v>
      </c>
      <c r="AB184" s="5">
        <v>0.4965753425</v>
      </c>
      <c r="AC184" s="5">
        <v>0.408165628</v>
      </c>
      <c r="AD184" s="5">
        <v>7.099589041</v>
      </c>
      <c r="AE184" s="5">
        <v>0.7230644288</v>
      </c>
      <c r="AF184" s="5">
        <v>0.5060273973</v>
      </c>
      <c r="AG184" s="5">
        <v>0.75</v>
      </c>
      <c r="AH184" s="5">
        <v>14.68678356</v>
      </c>
      <c r="AI184" s="5">
        <v>-1.290452892</v>
      </c>
      <c r="AJ184" s="5">
        <v>0.4054187827</v>
      </c>
      <c r="AK184" s="5">
        <v>-0.3947968129</v>
      </c>
      <c r="AL184" s="5">
        <v>-0.6077489534</v>
      </c>
      <c r="AM184" s="5">
        <v>-0.7360344039</v>
      </c>
      <c r="AN184" s="5">
        <v>-0.3567882596</v>
      </c>
      <c r="AO184" s="5">
        <v>-0.8706871885</v>
      </c>
      <c r="AP184" s="5">
        <v>-0.1407816218</v>
      </c>
      <c r="AQ184" s="5">
        <v>1.264333833</v>
      </c>
    </row>
    <row r="185">
      <c r="A185" s="342">
        <v>184.0</v>
      </c>
      <c r="B185" s="341">
        <v>14.0</v>
      </c>
      <c r="C185" s="341">
        <v>2.3</v>
      </c>
      <c r="D185" s="341">
        <v>-0.5099113454</v>
      </c>
      <c r="E185" s="342">
        <v>1.962624524E-5</v>
      </c>
      <c r="F185" s="342">
        <v>-0.3326871065</v>
      </c>
      <c r="G185" s="342">
        <v>-0.1772242389</v>
      </c>
      <c r="H185" s="342">
        <v>1.30182487</v>
      </c>
      <c r="I185" s="343"/>
      <c r="J185" s="342" t="s">
        <v>1843</v>
      </c>
      <c r="K185" s="342" t="s">
        <v>98</v>
      </c>
      <c r="L185" s="342" t="s">
        <v>1380</v>
      </c>
      <c r="M185" s="342" t="s">
        <v>1844</v>
      </c>
      <c r="N185" s="343"/>
      <c r="O185" s="342" t="s">
        <v>1378</v>
      </c>
      <c r="P185" s="343"/>
      <c r="Q185" s="342">
        <v>4.0</v>
      </c>
      <c r="R185" s="343"/>
      <c r="S185" s="342" t="s">
        <v>1434</v>
      </c>
      <c r="T185" s="342">
        <v>77.0</v>
      </c>
      <c r="U185" s="342">
        <v>13.0</v>
      </c>
      <c r="V185" s="342">
        <v>23.0</v>
      </c>
      <c r="W185" s="341">
        <v>11.11766234</v>
      </c>
      <c r="X185" s="5">
        <v>1.834415584</v>
      </c>
      <c r="Y185" s="5">
        <v>3.099220779</v>
      </c>
      <c r="Z185" s="5">
        <v>3.662727273</v>
      </c>
      <c r="AA185" s="5">
        <v>0.5123376623</v>
      </c>
      <c r="AB185" s="5">
        <v>0.04714285714</v>
      </c>
      <c r="AC185" s="5">
        <v>0.4891643132</v>
      </c>
      <c r="AD185" s="5">
        <v>8.875194805</v>
      </c>
      <c r="AE185" s="5">
        <v>0.8570634038</v>
      </c>
      <c r="AF185" s="5">
        <v>0.7005194805</v>
      </c>
      <c r="AG185" s="5">
        <v>0.8922077922</v>
      </c>
      <c r="AH185" s="5">
        <v>19.39666014</v>
      </c>
      <c r="AI185" s="5">
        <v>-0.803303868</v>
      </c>
      <c r="AJ185" s="5">
        <v>0.1893242222</v>
      </c>
      <c r="AK185" s="5">
        <v>-1.07535422</v>
      </c>
      <c r="AL185" s="5">
        <v>-0.02455212681</v>
      </c>
      <c r="AM185" s="5">
        <v>-1.352661692</v>
      </c>
      <c r="AN185" s="5">
        <v>-1.178506359</v>
      </c>
      <c r="AO185" s="5">
        <v>0.01322052429</v>
      </c>
      <c r="AP185" s="5">
        <v>0.1525427556</v>
      </c>
      <c r="AQ185" s="5">
        <v>1.085106804</v>
      </c>
    </row>
    <row r="186">
      <c r="A186" s="342">
        <v>185.0</v>
      </c>
      <c r="B186" s="341">
        <v>5.0</v>
      </c>
      <c r="C186" s="341">
        <v>-0.6</v>
      </c>
      <c r="D186" s="341">
        <v>-0.5121350099</v>
      </c>
      <c r="E186" s="342">
        <v>-1.163625787E-4</v>
      </c>
      <c r="F186" s="342">
        <v>-0.2711749547</v>
      </c>
      <c r="G186" s="342">
        <v>-0.2409600552</v>
      </c>
      <c r="H186" s="342">
        <v>0.6415314367</v>
      </c>
      <c r="I186" s="343"/>
      <c r="J186" s="342" t="s">
        <v>1845</v>
      </c>
      <c r="K186" s="342" t="s">
        <v>98</v>
      </c>
      <c r="L186" s="342" t="s">
        <v>1404</v>
      </c>
      <c r="M186" s="342" t="s">
        <v>1846</v>
      </c>
      <c r="N186" s="343"/>
      <c r="O186" s="342" t="s">
        <v>1378</v>
      </c>
      <c r="P186" s="342" t="s">
        <v>1399</v>
      </c>
      <c r="Q186" s="342">
        <v>4.0</v>
      </c>
      <c r="R186" s="343"/>
      <c r="S186" s="342" t="s">
        <v>1434</v>
      </c>
      <c r="T186" s="342">
        <v>77.0</v>
      </c>
      <c r="U186" s="342">
        <v>13.0</v>
      </c>
      <c r="V186" s="342">
        <v>24.0</v>
      </c>
      <c r="W186" s="341">
        <v>10.31064935</v>
      </c>
      <c r="X186" s="5">
        <v>2.681428571</v>
      </c>
      <c r="Y186" s="5">
        <v>3.871038961</v>
      </c>
      <c r="Z186" s="5">
        <v>1.322987013</v>
      </c>
      <c r="AA186" s="5">
        <v>0.544025974</v>
      </c>
      <c r="AB186" s="5">
        <v>0.3897402597</v>
      </c>
      <c r="AC186" s="5">
        <v>0.4414773256</v>
      </c>
      <c r="AD186" s="5">
        <v>8.379480519</v>
      </c>
      <c r="AE186" s="5">
        <v>0.9028484232</v>
      </c>
      <c r="AF186" s="5">
        <v>0.2553246753</v>
      </c>
      <c r="AG186" s="5">
        <v>0.4388311688</v>
      </c>
      <c r="AH186" s="5">
        <v>16.47610609</v>
      </c>
      <c r="AI186" s="5">
        <v>-0.93879148</v>
      </c>
      <c r="AJ186" s="5">
        <v>1.020904284</v>
      </c>
      <c r="AK186" s="5">
        <v>-0.7665154392</v>
      </c>
      <c r="AL186" s="5">
        <v>-1.10517272</v>
      </c>
      <c r="AM186" s="5">
        <v>-1.25262831</v>
      </c>
      <c r="AN186" s="5">
        <v>-0.5521197587</v>
      </c>
      <c r="AO186" s="5">
        <v>-0.5991209489</v>
      </c>
      <c r="AP186" s="5">
        <v>0.09636429348</v>
      </c>
      <c r="AQ186" s="5">
        <v>1.656505487</v>
      </c>
    </row>
    <row r="187">
      <c r="A187" s="342">
        <v>186.0</v>
      </c>
      <c r="B187" s="347"/>
      <c r="C187" s="347"/>
      <c r="D187" s="341">
        <v>-0.5145569692</v>
      </c>
      <c r="E187" s="342">
        <v>0.03843330002</v>
      </c>
      <c r="F187" s="342">
        <v>-0.405557152</v>
      </c>
      <c r="G187" s="342">
        <v>-0.1089998172</v>
      </c>
      <c r="H187" s="342">
        <v>-0.4374846612</v>
      </c>
      <c r="I187" s="343"/>
      <c r="J187" s="342" t="s">
        <v>1847</v>
      </c>
      <c r="K187" s="342" t="s">
        <v>67</v>
      </c>
      <c r="L187" s="342" t="s">
        <v>1380</v>
      </c>
      <c r="M187" s="342" t="s">
        <v>1848</v>
      </c>
      <c r="N187" s="343"/>
      <c r="O187" s="342" t="s">
        <v>1374</v>
      </c>
      <c r="P187" s="342" t="s">
        <v>1812</v>
      </c>
      <c r="Q187" s="342">
        <v>4.0</v>
      </c>
      <c r="R187" s="343"/>
      <c r="S187" s="342" t="s">
        <v>1434</v>
      </c>
      <c r="T187" s="342">
        <v>68.0</v>
      </c>
      <c r="U187" s="342">
        <v>15.0</v>
      </c>
      <c r="V187" s="342">
        <v>27.0</v>
      </c>
      <c r="W187" s="341">
        <v>6.032794118</v>
      </c>
      <c r="X187" s="5">
        <v>1.206617647</v>
      </c>
      <c r="Y187" s="5">
        <v>3.252352941</v>
      </c>
      <c r="Z187" s="5">
        <v>4.1225</v>
      </c>
      <c r="AA187" s="5">
        <v>0.8763235294</v>
      </c>
      <c r="AB187" s="5">
        <v>0.3322058824</v>
      </c>
      <c r="AC187" s="5">
        <v>0.4196100074</v>
      </c>
      <c r="AD187" s="5">
        <v>4.796470588</v>
      </c>
      <c r="AE187" s="5">
        <v>0.8439485511</v>
      </c>
      <c r="AF187" s="5">
        <v>0.9489705882</v>
      </c>
      <c r="AG187" s="5">
        <v>1.383088235</v>
      </c>
      <c r="AH187" s="5">
        <v>10.74296439</v>
      </c>
      <c r="AI187" s="5">
        <v>-1.656991062</v>
      </c>
      <c r="AJ187" s="5">
        <v>-0.4270349784</v>
      </c>
      <c r="AK187" s="5">
        <v>-1.014079231</v>
      </c>
      <c r="AL187" s="5">
        <v>0.1877961778</v>
      </c>
      <c r="AM187" s="5">
        <v>-0.2036343257</v>
      </c>
      <c r="AN187" s="5">
        <v>-0.6573125091</v>
      </c>
      <c r="AO187" s="5">
        <v>-0.5072651875</v>
      </c>
      <c r="AP187" s="5">
        <v>0.1620653627</v>
      </c>
      <c r="AQ187" s="5">
        <v>0.4664413859</v>
      </c>
    </row>
    <row r="188">
      <c r="A188" s="342">
        <v>187.0</v>
      </c>
      <c r="B188" s="341">
        <v>27.0</v>
      </c>
      <c r="C188" s="341">
        <v>0.8</v>
      </c>
      <c r="D188" s="341">
        <v>-0.5188425479</v>
      </c>
      <c r="E188" s="342">
        <v>0.03717674423</v>
      </c>
      <c r="F188" s="342">
        <v>-0.3677867273</v>
      </c>
      <c r="G188" s="342">
        <v>-0.1510558205</v>
      </c>
      <c r="H188" s="342">
        <v>0.5932172831</v>
      </c>
      <c r="I188" s="343"/>
      <c r="J188" s="342" t="s">
        <v>1849</v>
      </c>
      <c r="K188" s="342" t="s">
        <v>102</v>
      </c>
      <c r="L188" s="342" t="s">
        <v>1413</v>
      </c>
      <c r="M188" s="342" t="s">
        <v>1850</v>
      </c>
      <c r="N188" s="343"/>
      <c r="O188" s="342" t="s">
        <v>1368</v>
      </c>
      <c r="P188" s="342" t="s">
        <v>1399</v>
      </c>
      <c r="Q188" s="342">
        <v>4.0</v>
      </c>
      <c r="R188" s="343"/>
      <c r="S188" s="342" t="s">
        <v>1560</v>
      </c>
      <c r="T188" s="342">
        <v>73.0</v>
      </c>
      <c r="U188" s="342">
        <v>16.0</v>
      </c>
      <c r="V188" s="342">
        <v>28.0</v>
      </c>
      <c r="W188" s="341">
        <v>11.33246575</v>
      </c>
      <c r="X188" s="5">
        <v>1.172191781</v>
      </c>
      <c r="Y188" s="5">
        <v>4.230273973</v>
      </c>
      <c r="Z188" s="5">
        <v>2.286712329</v>
      </c>
      <c r="AA188" s="5">
        <v>0.5839726027</v>
      </c>
      <c r="AB188" s="5">
        <v>0.1691780822</v>
      </c>
      <c r="AC188" s="5">
        <v>0.5102572821</v>
      </c>
      <c r="AD188" s="5">
        <v>8.460410959</v>
      </c>
      <c r="AE188" s="5">
        <v>0.8199882249</v>
      </c>
      <c r="AF188" s="5">
        <v>1.861369863</v>
      </c>
      <c r="AG188" s="5">
        <v>1.086164384</v>
      </c>
      <c r="AH188" s="5">
        <v>16.46710717</v>
      </c>
      <c r="AI188" s="5">
        <v>-0.7672410012</v>
      </c>
      <c r="AJ188" s="5">
        <v>-0.4608335912</v>
      </c>
      <c r="AK188" s="5">
        <v>-0.6227695344</v>
      </c>
      <c r="AL188" s="5">
        <v>-0.6600714238</v>
      </c>
      <c r="AM188" s="5">
        <v>-1.126525146</v>
      </c>
      <c r="AN188" s="5">
        <v>-0.95538374</v>
      </c>
      <c r="AO188" s="5">
        <v>0.2850827146</v>
      </c>
      <c r="AP188" s="5">
        <v>0.1570013387</v>
      </c>
      <c r="AQ188" s="5">
        <v>0.8406598368</v>
      </c>
    </row>
    <row r="189">
      <c r="A189" s="342">
        <v>188.0</v>
      </c>
      <c r="B189" s="341">
        <v>12.0</v>
      </c>
      <c r="C189" s="341">
        <v>-2.7</v>
      </c>
      <c r="D189" s="341">
        <v>-0.5199723023</v>
      </c>
      <c r="E189" s="342">
        <v>0.03721534045</v>
      </c>
      <c r="F189" s="342">
        <v>-0.2970084626</v>
      </c>
      <c r="G189" s="342">
        <v>-0.2229638397</v>
      </c>
      <c r="H189" s="342">
        <v>0.7703691797</v>
      </c>
      <c r="I189" s="343"/>
      <c r="J189" s="342" t="s">
        <v>1851</v>
      </c>
      <c r="K189" s="342" t="s">
        <v>1421</v>
      </c>
      <c r="L189" s="342" t="s">
        <v>1380</v>
      </c>
      <c r="M189" s="342" t="s">
        <v>1852</v>
      </c>
      <c r="N189" s="343"/>
      <c r="O189" s="342" t="s">
        <v>1368</v>
      </c>
      <c r="P189" s="343"/>
      <c r="Q189" s="342">
        <v>3.0</v>
      </c>
      <c r="R189" s="343"/>
      <c r="S189" s="342" t="s">
        <v>1434</v>
      </c>
      <c r="T189" s="342">
        <v>73.0</v>
      </c>
      <c r="U189" s="342">
        <v>15.0</v>
      </c>
      <c r="V189" s="342">
        <v>26.0</v>
      </c>
      <c r="W189" s="341">
        <v>10.69945205</v>
      </c>
      <c r="X189" s="5">
        <v>2.144383562</v>
      </c>
      <c r="Y189" s="5">
        <v>1.976027397</v>
      </c>
      <c r="Z189" s="5">
        <v>2.258767123</v>
      </c>
      <c r="AA189" s="5">
        <v>0.9830136986</v>
      </c>
      <c r="AB189" s="5">
        <v>0.1564383562</v>
      </c>
      <c r="AC189" s="5">
        <v>0.4227665662</v>
      </c>
      <c r="AD189" s="5">
        <v>9.048356164</v>
      </c>
      <c r="AE189" s="5">
        <v>0.8399491094</v>
      </c>
      <c r="AF189" s="5">
        <v>1.076712329</v>
      </c>
      <c r="AG189" s="5">
        <v>0.5735616438</v>
      </c>
      <c r="AH189" s="5">
        <v>17.32919468</v>
      </c>
      <c r="AI189" s="5">
        <v>-0.8735162604</v>
      </c>
      <c r="AJ189" s="5">
        <v>0.4936444553</v>
      </c>
      <c r="AK189" s="5">
        <v>-1.524793845</v>
      </c>
      <c r="AL189" s="5">
        <v>-0.6729780549</v>
      </c>
      <c r="AM189" s="5">
        <v>0.1331642569</v>
      </c>
      <c r="AN189" s="5">
        <v>-0.9786763675</v>
      </c>
      <c r="AO189" s="5">
        <v>-0.9051226082</v>
      </c>
      <c r="AP189" s="5">
        <v>0.1685000048</v>
      </c>
      <c r="AQ189" s="5">
        <v>1.486702255</v>
      </c>
    </row>
    <row r="190">
      <c r="A190" s="342">
        <v>189.0</v>
      </c>
      <c r="B190" s="341">
        <v>6.0</v>
      </c>
      <c r="C190" s="341">
        <v>-2.0</v>
      </c>
      <c r="D190" s="341">
        <v>-0.5238630286</v>
      </c>
      <c r="E190" s="342">
        <v>-0.002147052586</v>
      </c>
      <c r="F190" s="342">
        <v>-0.2791069854</v>
      </c>
      <c r="G190" s="342">
        <v>-0.2447560432</v>
      </c>
      <c r="H190" s="342">
        <v>0.3999606685</v>
      </c>
      <c r="I190" s="343"/>
      <c r="J190" s="342" t="s">
        <v>1853</v>
      </c>
      <c r="K190" s="342" t="s">
        <v>98</v>
      </c>
      <c r="L190" s="342" t="s">
        <v>34</v>
      </c>
      <c r="M190" s="342" t="s">
        <v>1854</v>
      </c>
      <c r="N190" s="343"/>
      <c r="O190" s="342" t="s">
        <v>1374</v>
      </c>
      <c r="P190" s="342" t="s">
        <v>1812</v>
      </c>
      <c r="Q190" s="342">
        <v>3.0</v>
      </c>
      <c r="R190" s="343"/>
      <c r="S190" s="342" t="s">
        <v>1434</v>
      </c>
      <c r="T190" s="342">
        <v>68.0</v>
      </c>
      <c r="U190" s="342">
        <v>13.0</v>
      </c>
      <c r="V190" s="342">
        <v>19.0</v>
      </c>
      <c r="W190" s="341">
        <v>6.690735294</v>
      </c>
      <c r="X190" s="5">
        <v>0.02191176471</v>
      </c>
      <c r="Y190" s="5">
        <v>4.732647059</v>
      </c>
      <c r="Z190" s="5">
        <v>1.377647059</v>
      </c>
      <c r="AA190" s="5">
        <v>0.4267647059</v>
      </c>
      <c r="AB190" s="5">
        <v>1.047352941</v>
      </c>
      <c r="AC190" s="5">
        <v>0.6737864735</v>
      </c>
      <c r="AD190" s="5">
        <v>4.344411765</v>
      </c>
      <c r="AE190" s="5">
        <v>0.852</v>
      </c>
      <c r="AF190" s="5">
        <v>0.9558823529</v>
      </c>
      <c r="AG190" s="5">
        <v>0.4210294118</v>
      </c>
      <c r="AH190" s="5">
        <v>12.08548005</v>
      </c>
      <c r="AI190" s="5">
        <v>-1.546530784</v>
      </c>
      <c r="AJ190" s="5">
        <v>-1.590155032</v>
      </c>
      <c r="AK190" s="5">
        <v>-0.4217477201</v>
      </c>
      <c r="AL190" s="5">
        <v>-1.079927708</v>
      </c>
      <c r="AM190" s="5">
        <v>-1.622797644</v>
      </c>
      <c r="AN190" s="5">
        <v>0.6502237754</v>
      </c>
      <c r="AO190" s="5">
        <v>1.22838801</v>
      </c>
      <c r="AP190" s="5">
        <v>0.1916428745</v>
      </c>
      <c r="AQ190" s="5">
        <v>1.67894136</v>
      </c>
    </row>
    <row r="191">
      <c r="A191" s="342">
        <v>190.0</v>
      </c>
      <c r="B191" s="347"/>
      <c r="C191" s="347"/>
      <c r="D191" s="341">
        <v>-0.5241239993</v>
      </c>
      <c r="E191" s="342">
        <v>2.61489189E-4</v>
      </c>
      <c r="F191" s="342">
        <v>-0.358479511</v>
      </c>
      <c r="G191" s="342">
        <v>-0.1656444883</v>
      </c>
      <c r="H191" s="342">
        <v>0.3033323613</v>
      </c>
      <c r="I191" s="343"/>
      <c r="J191" s="342" t="s">
        <v>1855</v>
      </c>
      <c r="K191" s="342" t="s">
        <v>102</v>
      </c>
      <c r="L191" s="342" t="s">
        <v>1380</v>
      </c>
      <c r="M191" s="342" t="s">
        <v>1856</v>
      </c>
      <c r="N191" s="343"/>
      <c r="O191" s="342" t="s">
        <v>1374</v>
      </c>
      <c r="P191" s="342" t="s">
        <v>1416</v>
      </c>
      <c r="Q191" s="342">
        <v>4.0</v>
      </c>
      <c r="R191" s="343"/>
      <c r="S191" s="342" t="s">
        <v>1434</v>
      </c>
      <c r="T191" s="342">
        <v>68.0</v>
      </c>
      <c r="U191" s="342">
        <v>16.0</v>
      </c>
      <c r="V191" s="342">
        <v>21.0</v>
      </c>
      <c r="W191" s="341">
        <v>6.855</v>
      </c>
      <c r="X191" s="5">
        <v>0.5558823529</v>
      </c>
      <c r="Y191" s="5">
        <v>3.087058824</v>
      </c>
      <c r="Z191" s="5">
        <v>3.172794118</v>
      </c>
      <c r="AA191" s="5">
        <v>1.134705882</v>
      </c>
      <c r="AB191" s="5">
        <v>0.3429411765</v>
      </c>
      <c r="AC191" s="5">
        <v>0.4780382646</v>
      </c>
      <c r="AD191" s="5">
        <v>6.003088235</v>
      </c>
      <c r="AE191" s="5">
        <v>0.7420549815</v>
      </c>
      <c r="AF191" s="5">
        <v>0.7542647059</v>
      </c>
      <c r="AG191" s="5">
        <v>0.9861764706</v>
      </c>
      <c r="AH191" s="5">
        <v>15.50748261</v>
      </c>
      <c r="AI191" s="5">
        <v>-1.518952749</v>
      </c>
      <c r="AJ191" s="5">
        <v>-1.065913608</v>
      </c>
      <c r="AK191" s="5">
        <v>-1.080220759</v>
      </c>
      <c r="AL191" s="5">
        <v>-0.2508301739</v>
      </c>
      <c r="AM191" s="5">
        <v>0.612024801</v>
      </c>
      <c r="AN191" s="5">
        <v>-0.6376846767</v>
      </c>
      <c r="AO191" s="5">
        <v>-0.09616935368</v>
      </c>
      <c r="AP191" s="5">
        <v>-0.1552454756</v>
      </c>
      <c r="AQ191" s="5">
        <v>0.9666763952</v>
      </c>
    </row>
    <row r="192">
      <c r="A192" s="342">
        <v>191.0</v>
      </c>
      <c r="B192" s="341">
        <v>14.0</v>
      </c>
      <c r="C192" s="341">
        <v>-0.4</v>
      </c>
      <c r="D192" s="341">
        <v>-0.5332558915</v>
      </c>
      <c r="E192" s="342">
        <v>3.465601626E-4</v>
      </c>
      <c r="F192" s="342">
        <v>-0.4026138554</v>
      </c>
      <c r="G192" s="342">
        <v>-0.1306420362</v>
      </c>
      <c r="H192" s="342">
        <v>0.6576361546</v>
      </c>
      <c r="I192" s="343"/>
      <c r="J192" s="342" t="s">
        <v>1857</v>
      </c>
      <c r="K192" s="342" t="s">
        <v>287</v>
      </c>
      <c r="L192" s="342" t="s">
        <v>1413</v>
      </c>
      <c r="M192" s="342" t="s">
        <v>1858</v>
      </c>
      <c r="N192" s="343"/>
      <c r="O192" s="342" t="s">
        <v>1378</v>
      </c>
      <c r="P192" s="342" t="s">
        <v>1501</v>
      </c>
      <c r="Q192" s="342">
        <v>4.0</v>
      </c>
      <c r="R192" s="343"/>
      <c r="S192" s="342" t="s">
        <v>1434</v>
      </c>
      <c r="T192" s="342">
        <v>77.0</v>
      </c>
      <c r="U192" s="342">
        <v>16.0</v>
      </c>
      <c r="V192" s="342">
        <v>27.0</v>
      </c>
      <c r="W192" s="341">
        <v>12.64012987</v>
      </c>
      <c r="X192" s="5">
        <v>2.248311688</v>
      </c>
      <c r="Y192" s="5">
        <v>2.983506494</v>
      </c>
      <c r="Z192" s="5">
        <v>1.942857143</v>
      </c>
      <c r="AA192" s="5">
        <v>0.5153246753</v>
      </c>
      <c r="AB192" s="5">
        <v>0.1780519481</v>
      </c>
      <c r="AC192" s="5">
        <v>0.4888235212</v>
      </c>
      <c r="AD192" s="5">
        <v>9.35987013</v>
      </c>
      <c r="AE192" s="5">
        <v>0.7800359125</v>
      </c>
      <c r="AF192" s="5">
        <v>1.591168831</v>
      </c>
      <c r="AG192" s="5">
        <v>1.243376623</v>
      </c>
      <c r="AH192" s="5">
        <v>17.60789933</v>
      </c>
      <c r="AI192" s="5">
        <v>-0.5477001866</v>
      </c>
      <c r="AJ192" s="5">
        <v>0.5956789687</v>
      </c>
      <c r="AK192" s="5">
        <v>-1.121656652</v>
      </c>
      <c r="AL192" s="5">
        <v>-0.8188826394</v>
      </c>
      <c r="AM192" s="5">
        <v>-1.343232316</v>
      </c>
      <c r="AN192" s="5">
        <v>-0.9391592426</v>
      </c>
      <c r="AO192" s="5">
        <v>0.009565560608</v>
      </c>
      <c r="AP192" s="5">
        <v>-0.1006606255</v>
      </c>
      <c r="AQ192" s="5">
        <v>0.6425224339</v>
      </c>
    </row>
    <row r="193">
      <c r="A193" s="342">
        <v>192.0</v>
      </c>
      <c r="B193" s="341">
        <v>18.0</v>
      </c>
      <c r="C193" s="341">
        <v>0.5</v>
      </c>
      <c r="D193" s="341">
        <v>-0.5334167878</v>
      </c>
      <c r="E193" s="342">
        <v>-0.08074399907</v>
      </c>
      <c r="F193" s="342">
        <v>-0.352736235</v>
      </c>
      <c r="G193" s="342">
        <v>-0.1806805528</v>
      </c>
      <c r="H193" s="342">
        <v>-0.2603327645</v>
      </c>
      <c r="I193" s="343"/>
      <c r="J193" s="342" t="s">
        <v>1859</v>
      </c>
      <c r="K193" s="342" t="s">
        <v>243</v>
      </c>
      <c r="L193" s="342" t="s">
        <v>1366</v>
      </c>
      <c r="M193" s="342" t="s">
        <v>1860</v>
      </c>
      <c r="N193" s="342" t="s">
        <v>1861</v>
      </c>
      <c r="O193" s="342" t="s">
        <v>1374</v>
      </c>
      <c r="P193" s="342" t="s">
        <v>1862</v>
      </c>
      <c r="Q193" s="342">
        <v>3.0</v>
      </c>
      <c r="R193" s="343"/>
      <c r="S193" s="342" t="s">
        <v>1434</v>
      </c>
      <c r="T193" s="342">
        <v>68.0</v>
      </c>
      <c r="U193" s="342">
        <v>13.0</v>
      </c>
      <c r="V193" s="342">
        <v>21.0</v>
      </c>
      <c r="W193" s="341">
        <v>10.86161765</v>
      </c>
      <c r="X193" s="5">
        <v>1.010588235</v>
      </c>
      <c r="Y193" s="5">
        <v>6.302647059</v>
      </c>
      <c r="Z193" s="5">
        <v>0.9432352941</v>
      </c>
      <c r="AA193" s="5">
        <v>0.3538235294</v>
      </c>
      <c r="AB193" s="5">
        <v>0.8145588235</v>
      </c>
      <c r="AC193" s="5">
        <v>0.5243456864</v>
      </c>
      <c r="AD193" s="5">
        <v>7.888823529</v>
      </c>
      <c r="AE193" s="5">
        <v>0.73</v>
      </c>
      <c r="AF193" s="5">
        <v>2.161764706</v>
      </c>
      <c r="AG193" s="5">
        <v>0.8861764706</v>
      </c>
      <c r="AH193" s="5">
        <v>20.37916748</v>
      </c>
      <c r="AI193" s="5">
        <v>-0.8462906405</v>
      </c>
      <c r="AJ193" s="5">
        <v>-0.6194926536</v>
      </c>
      <c r="AK193" s="5">
        <v>0.2064791042</v>
      </c>
      <c r="AL193" s="5">
        <v>-1.280562927</v>
      </c>
      <c r="AM193" s="5">
        <v>-1.853057705</v>
      </c>
      <c r="AN193" s="5">
        <v>0.224595575</v>
      </c>
      <c r="AO193" s="5">
        <v>0.4351687066</v>
      </c>
      <c r="AP193" s="5">
        <v>-0.5341737627</v>
      </c>
      <c r="AQ193" s="5">
        <v>1.092708187</v>
      </c>
    </row>
    <row r="194">
      <c r="A194" s="342">
        <v>193.0</v>
      </c>
      <c r="B194" s="341">
        <v>19.0</v>
      </c>
      <c r="C194" s="341">
        <v>-2.3</v>
      </c>
      <c r="D194" s="341">
        <v>-0.5421585665</v>
      </c>
      <c r="E194" s="342">
        <v>-4.595778564E-4</v>
      </c>
      <c r="F194" s="342">
        <v>-0.4015432598</v>
      </c>
      <c r="G194" s="342">
        <v>-0.1406153067</v>
      </c>
      <c r="H194" s="342">
        <v>0.1583899003</v>
      </c>
      <c r="I194" s="343"/>
      <c r="J194" s="342" t="s">
        <v>1863</v>
      </c>
      <c r="K194" s="342" t="s">
        <v>1365</v>
      </c>
      <c r="L194" s="342" t="s">
        <v>1380</v>
      </c>
      <c r="M194" s="342" t="s">
        <v>1864</v>
      </c>
      <c r="N194" s="343"/>
      <c r="O194" s="342" t="s">
        <v>1378</v>
      </c>
      <c r="P194" s="342" t="s">
        <v>1551</v>
      </c>
      <c r="Q194" s="342">
        <v>4.0</v>
      </c>
      <c r="R194" s="343"/>
      <c r="S194" s="342" t="s">
        <v>1434</v>
      </c>
      <c r="T194" s="342">
        <v>77.0</v>
      </c>
      <c r="U194" s="342">
        <v>15.0</v>
      </c>
      <c r="V194" s="342">
        <v>22.0</v>
      </c>
      <c r="W194" s="341">
        <v>7.865584416</v>
      </c>
      <c r="X194" s="5">
        <v>0.7527272727</v>
      </c>
      <c r="Y194" s="5">
        <v>3.162467532</v>
      </c>
      <c r="Z194" s="5">
        <v>4.674935065</v>
      </c>
      <c r="AA194" s="5">
        <v>0.7392207792</v>
      </c>
      <c r="AB194" s="5">
        <v>0.09480519481</v>
      </c>
      <c r="AC194" s="5">
        <v>0.4952052404</v>
      </c>
      <c r="AD194" s="5">
        <v>6.324545455</v>
      </c>
      <c r="AE194" s="5">
        <v>0.8389373717</v>
      </c>
      <c r="AF194" s="5">
        <v>1.011948052</v>
      </c>
      <c r="AG194" s="5">
        <v>1.179220779</v>
      </c>
      <c r="AH194" s="5">
        <v>15.67590061</v>
      </c>
      <c r="AI194" s="5">
        <v>-1.349287983</v>
      </c>
      <c r="AJ194" s="5">
        <v>-0.8726552833</v>
      </c>
      <c r="AK194" s="5">
        <v>-1.050046381</v>
      </c>
      <c r="AL194" s="5">
        <v>0.4429410406</v>
      </c>
      <c r="AM194" s="5">
        <v>-0.636439075</v>
      </c>
      <c r="AN194" s="5">
        <v>-1.091363113</v>
      </c>
      <c r="AO194" s="5">
        <v>0.0652118922</v>
      </c>
      <c r="AP194" s="5">
        <v>0.154370371</v>
      </c>
      <c r="AQ194" s="5">
        <v>0.7233791939</v>
      </c>
    </row>
    <row r="195">
      <c r="A195" s="342">
        <v>194.0</v>
      </c>
      <c r="B195" s="341">
        <v>6.0</v>
      </c>
      <c r="C195" s="341">
        <v>-3.3</v>
      </c>
      <c r="D195" s="341">
        <v>-0.5436109967</v>
      </c>
      <c r="E195" s="342">
        <v>0.009525702111</v>
      </c>
      <c r="F195" s="342">
        <v>-0.3678770474</v>
      </c>
      <c r="G195" s="342">
        <v>-0.1757339493</v>
      </c>
      <c r="H195" s="342">
        <v>0.4160653864</v>
      </c>
      <c r="I195" s="343"/>
      <c r="J195" s="342" t="s">
        <v>1865</v>
      </c>
      <c r="K195" s="342" t="s">
        <v>169</v>
      </c>
      <c r="L195" s="342" t="s">
        <v>1404</v>
      </c>
      <c r="M195" s="342" t="s">
        <v>1866</v>
      </c>
      <c r="N195" s="343"/>
      <c r="O195" s="342" t="s">
        <v>1368</v>
      </c>
      <c r="P195" s="343"/>
      <c r="Q195" s="342">
        <v>2.0</v>
      </c>
      <c r="R195" s="343"/>
      <c r="S195" s="342" t="s">
        <v>1560</v>
      </c>
      <c r="T195" s="342">
        <v>73.0</v>
      </c>
      <c r="U195" s="342">
        <v>15.0</v>
      </c>
      <c r="V195" s="342">
        <v>23.0</v>
      </c>
      <c r="W195" s="341">
        <v>9.088630137</v>
      </c>
      <c r="X195" s="5">
        <v>1.663972603</v>
      </c>
      <c r="Y195" s="5">
        <v>4.694383562</v>
      </c>
      <c r="Z195" s="5">
        <v>2.249589041</v>
      </c>
      <c r="AA195" s="5">
        <v>0.6689041096</v>
      </c>
      <c r="AB195" s="5">
        <v>0.32</v>
      </c>
      <c r="AC195" s="5">
        <v>0.445809156</v>
      </c>
      <c r="AD195" s="5">
        <v>7.48369863</v>
      </c>
      <c r="AE195" s="5">
        <v>0.773021684</v>
      </c>
      <c r="AF195" s="5">
        <v>0.9728767123</v>
      </c>
      <c r="AG195" s="5">
        <v>0.9295890411</v>
      </c>
      <c r="AH195" s="5">
        <v>17.53571486</v>
      </c>
      <c r="AI195" s="5">
        <v>-1.143953563</v>
      </c>
      <c r="AJ195" s="5">
        <v>0.02198678175</v>
      </c>
      <c r="AK195" s="5">
        <v>-0.437058647</v>
      </c>
      <c r="AL195" s="5">
        <v>-0.6772169975</v>
      </c>
      <c r="AM195" s="5">
        <v>-0.8584141158</v>
      </c>
      <c r="AN195" s="5">
        <v>-0.6796290856</v>
      </c>
      <c r="AO195" s="5">
        <v>-0.4864782504</v>
      </c>
      <c r="AP195" s="5">
        <v>-0.08812409621</v>
      </c>
      <c r="AQ195" s="5">
        <v>1.037994547</v>
      </c>
    </row>
    <row r="196">
      <c r="A196" s="342">
        <v>195.0</v>
      </c>
      <c r="B196" s="341">
        <v>19.0</v>
      </c>
      <c r="C196" s="341">
        <v>1.7</v>
      </c>
      <c r="D196" s="341">
        <v>-0.5445585269</v>
      </c>
      <c r="E196" s="342">
        <v>0.00123563546</v>
      </c>
      <c r="F196" s="342">
        <v>-0.4530622575</v>
      </c>
      <c r="G196" s="342">
        <v>-0.09149626944</v>
      </c>
      <c r="H196" s="342">
        <v>-1.226615837</v>
      </c>
      <c r="I196" s="343"/>
      <c r="J196" s="342" t="s">
        <v>1867</v>
      </c>
      <c r="K196" s="342" t="s">
        <v>291</v>
      </c>
      <c r="L196" s="342" t="s">
        <v>1404</v>
      </c>
      <c r="M196" s="342" t="s">
        <v>1868</v>
      </c>
      <c r="N196" s="342" t="s">
        <v>1869</v>
      </c>
      <c r="O196" s="342" t="s">
        <v>1374</v>
      </c>
      <c r="P196" s="342" t="s">
        <v>1796</v>
      </c>
      <c r="Q196" s="342">
        <v>3.0</v>
      </c>
      <c r="R196" s="343"/>
      <c r="S196" s="342" t="s">
        <v>1434</v>
      </c>
      <c r="T196" s="342">
        <v>53.0</v>
      </c>
      <c r="U196" s="342">
        <v>15.0</v>
      </c>
      <c r="V196" s="342">
        <v>26.0</v>
      </c>
      <c r="W196" s="341">
        <v>15.81622642</v>
      </c>
      <c r="X196" s="5">
        <v>2.423018868</v>
      </c>
      <c r="Y196" s="5">
        <v>2.954339623</v>
      </c>
      <c r="Z196" s="5">
        <v>1.477169811</v>
      </c>
      <c r="AA196" s="5">
        <v>0.5077358491</v>
      </c>
      <c r="AB196" s="5">
        <v>0.1073584906</v>
      </c>
      <c r="AC196" s="5">
        <v>0.4501109645</v>
      </c>
      <c r="AD196" s="5">
        <v>12.58264151</v>
      </c>
      <c r="AE196" s="5">
        <v>0.8209626631</v>
      </c>
      <c r="AF196" s="5">
        <v>2.516603774</v>
      </c>
      <c r="AG196" s="5">
        <v>1.531886792</v>
      </c>
      <c r="AH196" s="5">
        <v>24.87810499</v>
      </c>
      <c r="AI196" s="5">
        <v>-0.01447241526</v>
      </c>
      <c r="AJ196" s="5">
        <v>0.7672029116</v>
      </c>
      <c r="AK196" s="5">
        <v>-1.133327614</v>
      </c>
      <c r="AL196" s="5">
        <v>-1.033962633</v>
      </c>
      <c r="AM196" s="5">
        <v>-1.367188655</v>
      </c>
      <c r="AN196" s="5">
        <v>-1.068411345</v>
      </c>
      <c r="AO196" s="5">
        <v>-0.7289056789</v>
      </c>
      <c r="AP196" s="5">
        <v>0.2225972142</v>
      </c>
      <c r="AQ196" s="5">
        <v>0.278907898</v>
      </c>
    </row>
    <row r="197">
      <c r="A197" s="342">
        <v>196.0</v>
      </c>
      <c r="B197" s="341">
        <v>42.0</v>
      </c>
      <c r="C197" s="341">
        <v>-1.0</v>
      </c>
      <c r="D197" s="341">
        <v>-0.5460180167</v>
      </c>
      <c r="E197" s="342">
        <v>-0.004258951562</v>
      </c>
      <c r="F197" s="342">
        <v>-0.4139263273</v>
      </c>
      <c r="G197" s="342">
        <v>-0.1320916894</v>
      </c>
      <c r="H197" s="342">
        <v>0.5287984116</v>
      </c>
      <c r="I197" s="343"/>
      <c r="J197" s="342" t="s">
        <v>1870</v>
      </c>
      <c r="K197" s="342" t="s">
        <v>159</v>
      </c>
      <c r="L197" s="342" t="s">
        <v>1404</v>
      </c>
      <c r="M197" s="342" t="s">
        <v>1871</v>
      </c>
      <c r="N197" s="343"/>
      <c r="O197" s="342" t="s">
        <v>1368</v>
      </c>
      <c r="P197" s="343"/>
      <c r="Q197" s="342">
        <v>4.0</v>
      </c>
      <c r="R197" s="343"/>
      <c r="S197" s="342" t="s">
        <v>1370</v>
      </c>
      <c r="T197" s="342">
        <v>73.0</v>
      </c>
      <c r="U197" s="342">
        <v>14.0</v>
      </c>
      <c r="V197" s="342">
        <v>29.0</v>
      </c>
      <c r="W197" s="341">
        <v>9.067123288</v>
      </c>
      <c r="X197" s="5">
        <v>1.049863014</v>
      </c>
      <c r="Y197" s="5">
        <v>3.315616438</v>
      </c>
      <c r="Z197" s="5">
        <v>1.422328767</v>
      </c>
      <c r="AA197" s="5">
        <v>0.8291780822</v>
      </c>
      <c r="AB197" s="5">
        <v>0.7697260274</v>
      </c>
      <c r="AC197" s="5">
        <v>0.4829948083</v>
      </c>
      <c r="AD197" s="5">
        <v>7.519863014</v>
      </c>
      <c r="AE197" s="5">
        <v>0.7149544863</v>
      </c>
      <c r="AF197" s="5">
        <v>1.053424658</v>
      </c>
      <c r="AG197" s="5">
        <v>1.243150685</v>
      </c>
      <c r="AH197" s="5">
        <v>14.13051196</v>
      </c>
      <c r="AI197" s="5">
        <v>-1.1475643</v>
      </c>
      <c r="AJ197" s="5">
        <v>-0.5809334778</v>
      </c>
      <c r="AK197" s="5">
        <v>-0.9887646924</v>
      </c>
      <c r="AL197" s="5">
        <v>-1.05929124</v>
      </c>
      <c r="AM197" s="5">
        <v>-0.3524626565</v>
      </c>
      <c r="AN197" s="5">
        <v>0.1426257103</v>
      </c>
      <c r="AO197" s="5">
        <v>-0.06114913644</v>
      </c>
      <c r="AP197" s="5">
        <v>-0.3206043406</v>
      </c>
      <c r="AQ197" s="5">
        <v>0.6428071882</v>
      </c>
    </row>
    <row r="198">
      <c r="A198" s="342">
        <v>197.0</v>
      </c>
      <c r="B198" s="341">
        <v>14.0</v>
      </c>
      <c r="C198" s="341">
        <v>-0.4</v>
      </c>
      <c r="D198" s="341">
        <v>-0.5474122623</v>
      </c>
      <c r="E198" s="342">
        <v>0.006242561288</v>
      </c>
      <c r="F198" s="342">
        <v>-0.3954456138</v>
      </c>
      <c r="G198" s="342">
        <v>-0.1519666485</v>
      </c>
      <c r="H198" s="342">
        <v>0.2872276434</v>
      </c>
      <c r="I198" s="343"/>
      <c r="J198" s="342" t="s">
        <v>1872</v>
      </c>
      <c r="K198" s="342" t="s">
        <v>1421</v>
      </c>
      <c r="L198" s="342" t="s">
        <v>1366</v>
      </c>
      <c r="M198" s="342" t="s">
        <v>1873</v>
      </c>
      <c r="N198" s="342" t="s">
        <v>1874</v>
      </c>
      <c r="O198" s="342" t="s">
        <v>1368</v>
      </c>
      <c r="P198" s="342" t="s">
        <v>1812</v>
      </c>
      <c r="Q198" s="342">
        <v>5.0</v>
      </c>
      <c r="R198" s="343"/>
      <c r="S198" s="342" t="s">
        <v>1434</v>
      </c>
      <c r="T198" s="342">
        <v>73.0</v>
      </c>
      <c r="U198" s="342">
        <v>15.0</v>
      </c>
      <c r="V198" s="342">
        <v>23.0</v>
      </c>
      <c r="W198" s="341">
        <v>7.831643836</v>
      </c>
      <c r="X198" s="5">
        <v>0.2912328767</v>
      </c>
      <c r="Y198" s="5">
        <v>7.083972603</v>
      </c>
      <c r="Z198" s="5">
        <v>1.012054795</v>
      </c>
      <c r="AA198" s="5">
        <v>0.5997260274</v>
      </c>
      <c r="AB198" s="5">
        <v>1.012054795</v>
      </c>
      <c r="AC198" s="5">
        <v>0.518197982</v>
      </c>
      <c r="AD198" s="5">
        <v>6.394657534</v>
      </c>
      <c r="AE198" s="5">
        <v>0.6490408024</v>
      </c>
      <c r="AF198" s="5">
        <v>1.406712329</v>
      </c>
      <c r="AG198" s="5">
        <v>1.102328767</v>
      </c>
      <c r="AH198" s="5">
        <v>15.74807616</v>
      </c>
      <c r="AI198" s="5">
        <v>-1.354986192</v>
      </c>
      <c r="AJ198" s="5">
        <v>-1.325741061</v>
      </c>
      <c r="AK198" s="5">
        <v>0.519122203</v>
      </c>
      <c r="AL198" s="5">
        <v>-1.248778301</v>
      </c>
      <c r="AM198" s="5">
        <v>-1.076794874</v>
      </c>
      <c r="AN198" s="5">
        <v>0.5856865491</v>
      </c>
      <c r="AO198" s="5">
        <v>0.2908884641</v>
      </c>
      <c r="AP198" s="5">
        <v>-0.7686948872</v>
      </c>
      <c r="AQ198" s="5">
        <v>0.8202875746</v>
      </c>
    </row>
    <row r="199">
      <c r="A199" s="342">
        <v>198.0</v>
      </c>
      <c r="B199" s="341">
        <v>7.0</v>
      </c>
      <c r="C199" s="341">
        <v>-0.8</v>
      </c>
      <c r="D199" s="341">
        <v>-0.5480851742</v>
      </c>
      <c r="E199" s="342">
        <v>6.314376789E-4</v>
      </c>
      <c r="F199" s="342">
        <v>-0.4249414133</v>
      </c>
      <c r="G199" s="342">
        <v>-0.123143761</v>
      </c>
      <c r="H199" s="342">
        <v>-0.324751636</v>
      </c>
      <c r="I199" s="343"/>
      <c r="J199" s="342" t="s">
        <v>1875</v>
      </c>
      <c r="K199" s="342" t="s">
        <v>93</v>
      </c>
      <c r="L199" s="342" t="s">
        <v>1404</v>
      </c>
      <c r="M199" s="342" t="s">
        <v>1876</v>
      </c>
      <c r="N199" s="343"/>
      <c r="O199" s="342" t="s">
        <v>1374</v>
      </c>
      <c r="P199" s="342" t="s">
        <v>1877</v>
      </c>
      <c r="Q199" s="342">
        <v>5.0</v>
      </c>
      <c r="R199" s="343"/>
      <c r="S199" s="342" t="s">
        <v>1560</v>
      </c>
      <c r="T199" s="342">
        <v>61.0</v>
      </c>
      <c r="U199" s="342">
        <v>16.0</v>
      </c>
      <c r="V199" s="342">
        <v>27.0</v>
      </c>
      <c r="W199" s="341">
        <v>13.77540984</v>
      </c>
      <c r="X199" s="5">
        <v>1.90852459</v>
      </c>
      <c r="Y199" s="5">
        <v>3.487540984</v>
      </c>
      <c r="Z199" s="5">
        <v>1.518688525</v>
      </c>
      <c r="AA199" s="5">
        <v>0.551147541</v>
      </c>
      <c r="AB199" s="5">
        <v>0.2280327869</v>
      </c>
      <c r="AC199" s="5">
        <v>0.4539943879</v>
      </c>
      <c r="AD199" s="5">
        <v>10.5742623</v>
      </c>
      <c r="AE199" s="5">
        <v>0.8239923682</v>
      </c>
      <c r="AF199" s="5">
        <v>2.749508197</v>
      </c>
      <c r="AG199" s="5">
        <v>1.308688525</v>
      </c>
      <c r="AH199" s="5">
        <v>20.67135659</v>
      </c>
      <c r="AI199" s="5">
        <v>-0.357100563</v>
      </c>
      <c r="AJ199" s="5">
        <v>0.2620829313</v>
      </c>
      <c r="AK199" s="5">
        <v>-0.9199700357</v>
      </c>
      <c r="AL199" s="5">
        <v>-1.01478701</v>
      </c>
      <c r="AM199" s="5">
        <v>-1.23014701</v>
      </c>
      <c r="AN199" s="5">
        <v>-0.8477769744</v>
      </c>
      <c r="AO199" s="5">
        <v>-0.5512269583</v>
      </c>
      <c r="AP199" s="5">
        <v>0.2742442267</v>
      </c>
      <c r="AQ199" s="5">
        <v>0.5602086745</v>
      </c>
    </row>
    <row r="200">
      <c r="A200" s="342">
        <v>199.0</v>
      </c>
      <c r="B200" s="347"/>
      <c r="C200" s="347"/>
      <c r="D200" s="341">
        <v>-0.5511313803</v>
      </c>
      <c r="E200" s="342">
        <v>5.897885356E-5</v>
      </c>
      <c r="F200" s="342">
        <v>-0.3980417284</v>
      </c>
      <c r="G200" s="342">
        <v>-0.153089652</v>
      </c>
      <c r="H200" s="342">
        <v>0.4804842579</v>
      </c>
      <c r="I200" s="343"/>
      <c r="J200" s="342" t="s">
        <v>1878</v>
      </c>
      <c r="K200" s="342" t="s">
        <v>74</v>
      </c>
      <c r="L200" s="342" t="s">
        <v>1404</v>
      </c>
      <c r="M200" s="342" t="s">
        <v>1879</v>
      </c>
      <c r="N200" s="343"/>
      <c r="O200" s="342" t="s">
        <v>1368</v>
      </c>
      <c r="P200" s="342" t="s">
        <v>1642</v>
      </c>
      <c r="Q200" s="342">
        <v>4.0</v>
      </c>
      <c r="R200" s="343"/>
      <c r="S200" s="342" t="s">
        <v>1434</v>
      </c>
      <c r="T200" s="342">
        <v>73.0</v>
      </c>
      <c r="U200" s="342">
        <v>16.0</v>
      </c>
      <c r="V200" s="342">
        <v>28.0</v>
      </c>
      <c r="W200" s="341">
        <v>9.083561644</v>
      </c>
      <c r="X200" s="5">
        <v>1.741643836</v>
      </c>
      <c r="Y200" s="5">
        <v>3.580547945</v>
      </c>
      <c r="Z200" s="5">
        <v>1.591506849</v>
      </c>
      <c r="AA200" s="5">
        <v>0.8084931507</v>
      </c>
      <c r="AB200" s="5">
        <v>0.4552054795</v>
      </c>
      <c r="AC200" s="5">
        <v>0.4406308493</v>
      </c>
      <c r="AD200" s="5">
        <v>7.391643836</v>
      </c>
      <c r="AE200" s="5">
        <v>0.7699363057</v>
      </c>
      <c r="AF200" s="5">
        <v>1.075342466</v>
      </c>
      <c r="AG200" s="5">
        <v>1.097260274</v>
      </c>
      <c r="AH200" s="5">
        <v>14.256674</v>
      </c>
      <c r="AI200" s="5">
        <v>-1.144804501</v>
      </c>
      <c r="AJ200" s="5">
        <v>0.0982428128</v>
      </c>
      <c r="AK200" s="5">
        <v>-0.8827538139</v>
      </c>
      <c r="AL200" s="5">
        <v>-0.9811555076</v>
      </c>
      <c r="AM200" s="5">
        <v>-0.4177606654</v>
      </c>
      <c r="AN200" s="5">
        <v>-0.4324266843</v>
      </c>
      <c r="AO200" s="5">
        <v>-0.5391423336</v>
      </c>
      <c r="AP200" s="5">
        <v>-0.1092503501</v>
      </c>
      <c r="AQ200" s="5">
        <v>0.8266754873</v>
      </c>
    </row>
    <row r="201">
      <c r="A201" s="342">
        <v>200.0</v>
      </c>
      <c r="B201" s="341">
        <v>72.0</v>
      </c>
      <c r="C201" s="341">
        <v>8.6</v>
      </c>
      <c r="D201" s="341">
        <v>-0.5531933078</v>
      </c>
      <c r="E201" s="342">
        <v>-0.001987510047</v>
      </c>
      <c r="F201" s="342">
        <v>-0.4021939937</v>
      </c>
      <c r="G201" s="342">
        <v>-0.1509993142</v>
      </c>
      <c r="H201" s="343"/>
      <c r="I201" s="343"/>
      <c r="J201" s="342" t="s">
        <v>1880</v>
      </c>
      <c r="K201" s="342" t="s">
        <v>259</v>
      </c>
      <c r="L201" s="342" t="s">
        <v>34</v>
      </c>
      <c r="M201" s="342" t="s">
        <v>1881</v>
      </c>
      <c r="N201" s="343"/>
      <c r="O201" s="342" t="s">
        <v>1374</v>
      </c>
      <c r="P201" s="343"/>
      <c r="Q201" s="342">
        <v>2.0</v>
      </c>
      <c r="R201" s="343"/>
      <c r="S201" s="342" t="s">
        <v>1434</v>
      </c>
      <c r="T201" s="342">
        <v>68.0</v>
      </c>
      <c r="U201" s="342">
        <v>13.0</v>
      </c>
      <c r="V201" s="342">
        <v>20.0</v>
      </c>
      <c r="W201" s="341">
        <v>7.622205882</v>
      </c>
      <c r="X201" s="5">
        <v>0.09955882353</v>
      </c>
      <c r="Y201" s="5">
        <v>7.0125</v>
      </c>
      <c r="Z201" s="5">
        <v>0.9486764706</v>
      </c>
      <c r="AA201" s="5">
        <v>0.4125</v>
      </c>
      <c r="AB201" s="5">
        <v>1.65</v>
      </c>
      <c r="AC201" s="5">
        <v>0.5475498694</v>
      </c>
      <c r="AD201" s="5">
        <v>6.023088235</v>
      </c>
      <c r="AE201" s="5">
        <v>0.5699556842</v>
      </c>
      <c r="AF201" s="5">
        <v>1.626029412</v>
      </c>
      <c r="AG201" s="5">
        <v>1.113823529</v>
      </c>
      <c r="AH201" s="5">
        <v>16.90629812</v>
      </c>
      <c r="AI201" s="5">
        <v>-1.390148263</v>
      </c>
      <c r="AJ201" s="5">
        <v>-1.513922735</v>
      </c>
      <c r="AK201" s="5">
        <v>0.4905228359</v>
      </c>
      <c r="AL201" s="5">
        <v>-1.278049892</v>
      </c>
      <c r="AM201" s="5">
        <v>-1.667828341</v>
      </c>
      <c r="AN201" s="5">
        <v>1.752071132</v>
      </c>
      <c r="AO201" s="5">
        <v>0.5438136847</v>
      </c>
      <c r="AP201" s="5">
        <v>-1.362004884</v>
      </c>
      <c r="AQ201" s="5">
        <v>0.8058005197</v>
      </c>
    </row>
    <row r="202">
      <c r="A202" s="342">
        <v>201.0</v>
      </c>
      <c r="B202" s="341">
        <v>46.0</v>
      </c>
      <c r="C202" s="341">
        <v>-4.1</v>
      </c>
      <c r="D202" s="341">
        <v>-0.5559486038</v>
      </c>
      <c r="E202" s="342">
        <v>-0.008098900153</v>
      </c>
      <c r="F202" s="342">
        <v>-0.3903727449</v>
      </c>
      <c r="G202" s="342">
        <v>-0.1655758589</v>
      </c>
      <c r="H202" s="342">
        <v>-1.387663016</v>
      </c>
      <c r="I202" s="343"/>
      <c r="J202" s="342" t="s">
        <v>1882</v>
      </c>
      <c r="K202" s="342" t="s">
        <v>136</v>
      </c>
      <c r="L202" s="342" t="s">
        <v>34</v>
      </c>
      <c r="M202" s="342" t="s">
        <v>1883</v>
      </c>
      <c r="N202" s="343"/>
      <c r="O202" s="342" t="s">
        <v>1368</v>
      </c>
      <c r="P202" s="343"/>
      <c r="Q202" s="342">
        <v>5.0</v>
      </c>
      <c r="R202" s="343"/>
      <c r="S202" s="342" t="s">
        <v>1434</v>
      </c>
      <c r="T202" s="342">
        <v>73.0</v>
      </c>
      <c r="U202" s="342">
        <v>15.0</v>
      </c>
      <c r="V202" s="342">
        <v>22.0</v>
      </c>
      <c r="W202" s="341">
        <v>9.052739726</v>
      </c>
      <c r="X202" s="5">
        <v>0.0</v>
      </c>
      <c r="Y202" s="5">
        <v>7.175616438</v>
      </c>
      <c r="Z202" s="5">
        <v>0.5990410959</v>
      </c>
      <c r="AA202" s="5">
        <v>0.2726027397</v>
      </c>
      <c r="AB202" s="5">
        <v>0.8026027397</v>
      </c>
      <c r="AC202" s="5">
        <v>0.6760096735</v>
      </c>
      <c r="AD202" s="5">
        <v>5.664383562</v>
      </c>
      <c r="AE202" s="5">
        <v>0.7239687055</v>
      </c>
      <c r="AF202" s="5">
        <v>1.926027397</v>
      </c>
      <c r="AG202" s="5">
        <v>1.011917808</v>
      </c>
      <c r="AH202" s="5">
        <v>14.41798747</v>
      </c>
      <c r="AI202" s="5">
        <v>-1.149979124</v>
      </c>
      <c r="AJ202" s="5">
        <v>-1.611667555</v>
      </c>
      <c r="AK202" s="5">
        <v>0.5557929774</v>
      </c>
      <c r="AL202" s="5">
        <v>-1.439530717</v>
      </c>
      <c r="AM202" s="5">
        <v>-2.109454775</v>
      </c>
      <c r="AN202" s="5">
        <v>0.2027357167</v>
      </c>
      <c r="AO202" s="5">
        <v>1.623658221</v>
      </c>
      <c r="AP202" s="5">
        <v>-0.5191435743</v>
      </c>
      <c r="AQ202" s="5">
        <v>0.9342341261</v>
      </c>
    </row>
    <row r="203">
      <c r="A203" s="342">
        <v>202.0</v>
      </c>
      <c r="B203" s="341">
        <v>15.0</v>
      </c>
      <c r="C203" s="341">
        <v>2.1</v>
      </c>
      <c r="D203" s="341">
        <v>-0.5590519953</v>
      </c>
      <c r="E203" s="342">
        <v>-0.1109107963</v>
      </c>
      <c r="F203" s="342">
        <v>-0.3886616945</v>
      </c>
      <c r="G203" s="342">
        <v>-0.1703903008</v>
      </c>
      <c r="H203" s="342">
        <v>-0.2442280466</v>
      </c>
      <c r="I203" s="343"/>
      <c r="J203" s="342" t="s">
        <v>1884</v>
      </c>
      <c r="K203" s="342" t="s">
        <v>243</v>
      </c>
      <c r="L203" s="342" t="s">
        <v>1404</v>
      </c>
      <c r="M203" s="342" t="s">
        <v>1885</v>
      </c>
      <c r="N203" s="342" t="s">
        <v>1886</v>
      </c>
      <c r="O203" s="342" t="s">
        <v>1374</v>
      </c>
      <c r="P203" s="342" t="s">
        <v>1399</v>
      </c>
      <c r="Q203" s="342">
        <v>5.0</v>
      </c>
      <c r="R203" s="343"/>
      <c r="S203" s="342" t="s">
        <v>1560</v>
      </c>
      <c r="T203" s="342">
        <v>62.0</v>
      </c>
      <c r="U203" s="342">
        <v>13.0</v>
      </c>
      <c r="V203" s="342">
        <v>24.0</v>
      </c>
      <c r="W203" s="341">
        <v>9.007580645</v>
      </c>
      <c r="X203" s="5">
        <v>1.133225806</v>
      </c>
      <c r="Y203" s="5">
        <v>3.724032258</v>
      </c>
      <c r="Z203" s="5">
        <v>1.078064516</v>
      </c>
      <c r="AA203" s="5">
        <v>0.7738709677</v>
      </c>
      <c r="AB203" s="5">
        <v>0.6917741935</v>
      </c>
      <c r="AC203" s="5">
        <v>0.4618176899</v>
      </c>
      <c r="AD203" s="5">
        <v>7.153709677</v>
      </c>
      <c r="AE203" s="5">
        <v>0.8049805288</v>
      </c>
      <c r="AF203" s="5">
        <v>1.573870968</v>
      </c>
      <c r="AG203" s="5">
        <v>0.98</v>
      </c>
      <c r="AH203" s="5">
        <v>16.18179689</v>
      </c>
      <c r="AI203" s="5">
        <v>-1.157560781</v>
      </c>
      <c r="AJ203" s="5">
        <v>-0.4990895895</v>
      </c>
      <c r="AK203" s="5">
        <v>-0.825339359</v>
      </c>
      <c r="AL203" s="5">
        <v>-1.218291385</v>
      </c>
      <c r="AM203" s="5">
        <v>-0.5270556663</v>
      </c>
      <c r="AN203" s="5">
        <v>1.027844836E-4</v>
      </c>
      <c r="AO203" s="5">
        <v>-0.2902975434</v>
      </c>
      <c r="AP203" s="5">
        <v>0.04511557698</v>
      </c>
      <c r="AQ203" s="5">
        <v>0.9744607118</v>
      </c>
    </row>
    <row r="204">
      <c r="A204" s="342">
        <v>203.0</v>
      </c>
      <c r="B204" s="347"/>
      <c r="C204" s="347"/>
      <c r="D204" s="341">
        <v>-0.5590603847</v>
      </c>
      <c r="E204" s="342">
        <v>0.08250608005</v>
      </c>
      <c r="F204" s="342">
        <v>-0.3519338577</v>
      </c>
      <c r="G204" s="342">
        <v>-0.2071265269</v>
      </c>
      <c r="H204" s="342">
        <v>1.237405998</v>
      </c>
      <c r="I204" s="343"/>
      <c r="J204" s="342" t="s">
        <v>1887</v>
      </c>
      <c r="K204" s="342" t="s">
        <v>45</v>
      </c>
      <c r="L204" s="342" t="s">
        <v>1380</v>
      </c>
      <c r="M204" s="342" t="s">
        <v>1888</v>
      </c>
      <c r="N204" s="343"/>
      <c r="O204" s="342" t="s">
        <v>1368</v>
      </c>
      <c r="P204" s="342" t="s">
        <v>1399</v>
      </c>
      <c r="Q204" s="342">
        <v>4.0</v>
      </c>
      <c r="R204" s="343"/>
      <c r="S204" s="342" t="s">
        <v>1434</v>
      </c>
      <c r="T204" s="342">
        <v>73.0</v>
      </c>
      <c r="U204" s="342">
        <v>16.0</v>
      </c>
      <c r="V204" s="342">
        <v>23.0</v>
      </c>
      <c r="W204" s="341">
        <v>9.541917808</v>
      </c>
      <c r="X204" s="5">
        <v>2.118493151</v>
      </c>
      <c r="Y204" s="5">
        <v>2.855342466</v>
      </c>
      <c r="Z204" s="5">
        <v>1.643150685</v>
      </c>
      <c r="AA204" s="5">
        <v>0.6928767123</v>
      </c>
      <c r="AB204" s="5">
        <v>0.2864383562</v>
      </c>
      <c r="AC204" s="5">
        <v>0.4481205772</v>
      </c>
      <c r="AD204" s="5">
        <v>7.452739726</v>
      </c>
      <c r="AE204" s="5">
        <v>0.8739942066</v>
      </c>
      <c r="AF204" s="5">
        <v>0.8512328767</v>
      </c>
      <c r="AG204" s="5">
        <v>0.7176712329</v>
      </c>
      <c r="AH204" s="5">
        <v>16.19262072</v>
      </c>
      <c r="AI204" s="5">
        <v>-1.067852106</v>
      </c>
      <c r="AJ204" s="5">
        <v>0.4682257782</v>
      </c>
      <c r="AK204" s="5">
        <v>-1.172940779</v>
      </c>
      <c r="AL204" s="5">
        <v>-0.9573035471</v>
      </c>
      <c r="AM204" s="5">
        <v>-0.7827376155</v>
      </c>
      <c r="AN204" s="5">
        <v>-0.7409913838</v>
      </c>
      <c r="AO204" s="5">
        <v>-0.4581596127</v>
      </c>
      <c r="AP204" s="5">
        <v>0.2392761882</v>
      </c>
      <c r="AQ204" s="5">
        <v>1.305078358</v>
      </c>
    </row>
    <row r="205">
      <c r="A205" s="342">
        <v>204.0</v>
      </c>
      <c r="B205" s="347"/>
      <c r="C205" s="347"/>
      <c r="D205" s="341">
        <v>-0.5634492878</v>
      </c>
      <c r="E205" s="342">
        <v>0.08767311498</v>
      </c>
      <c r="F205" s="342">
        <v>-0.3757867535</v>
      </c>
      <c r="G205" s="342">
        <v>-0.1876625343</v>
      </c>
      <c r="H205" s="342">
        <v>0.09397102882</v>
      </c>
      <c r="I205" s="343"/>
      <c r="J205" s="342" t="s">
        <v>1889</v>
      </c>
      <c r="K205" s="342" t="s">
        <v>144</v>
      </c>
      <c r="L205" s="342" t="s">
        <v>1380</v>
      </c>
      <c r="M205" s="342" t="s">
        <v>1890</v>
      </c>
      <c r="N205" s="342" t="s">
        <v>1891</v>
      </c>
      <c r="O205" s="342" t="s">
        <v>1374</v>
      </c>
      <c r="P205" s="343"/>
      <c r="Q205" s="342">
        <v>3.0</v>
      </c>
      <c r="R205" s="343"/>
      <c r="S205" s="342" t="s">
        <v>1434</v>
      </c>
      <c r="T205" s="342">
        <v>68.0</v>
      </c>
      <c r="U205" s="342">
        <v>16.0</v>
      </c>
      <c r="V205" s="342">
        <v>24.0</v>
      </c>
      <c r="W205" s="341">
        <v>9.715147059</v>
      </c>
      <c r="X205" s="5">
        <v>1.897058824</v>
      </c>
      <c r="Y205" s="5">
        <v>3.03</v>
      </c>
      <c r="Z205" s="5">
        <v>2.171470588</v>
      </c>
      <c r="AA205" s="5">
        <v>0.7547058824</v>
      </c>
      <c r="AB205" s="5">
        <v>0.3542647059</v>
      </c>
      <c r="AC205" s="5">
        <v>0.4446801244</v>
      </c>
      <c r="AD205" s="5">
        <v>8.181029412</v>
      </c>
      <c r="AE205" s="5">
        <v>0.7409565916</v>
      </c>
      <c r="AF205" s="5">
        <v>0.7317647059</v>
      </c>
      <c r="AG205" s="5">
        <v>0.8601470588</v>
      </c>
      <c r="AH205" s="5">
        <v>16.84789608</v>
      </c>
      <c r="AI205" s="5">
        <v>-1.038769033</v>
      </c>
      <c r="AJ205" s="5">
        <v>0.2508260757</v>
      </c>
      <c r="AK205" s="5">
        <v>-1.103052532</v>
      </c>
      <c r="AL205" s="5">
        <v>-0.7132963907</v>
      </c>
      <c r="AM205" s="5">
        <v>-0.5875558384</v>
      </c>
      <c r="AN205" s="5">
        <v>-0.6169813467</v>
      </c>
      <c r="AO205" s="5">
        <v>-0.5450786731</v>
      </c>
      <c r="AP205" s="5">
        <v>-0.1536865647</v>
      </c>
      <c r="AQ205" s="5">
        <v>1.125513521</v>
      </c>
    </row>
    <row r="206">
      <c r="A206" s="342">
        <v>205.0</v>
      </c>
      <c r="B206" s="347"/>
      <c r="C206" s="347"/>
      <c r="D206" s="341">
        <v>-0.565509947</v>
      </c>
      <c r="E206" s="342">
        <v>-0.004684057261</v>
      </c>
      <c r="F206" s="342">
        <v>-0.3542209925</v>
      </c>
      <c r="G206" s="342">
        <v>-0.2112889545</v>
      </c>
      <c r="H206" s="342">
        <v>1.30182487</v>
      </c>
      <c r="I206" s="343"/>
      <c r="J206" s="342" t="s">
        <v>1892</v>
      </c>
      <c r="K206" s="342" t="s">
        <v>222</v>
      </c>
      <c r="L206" s="342" t="s">
        <v>1366</v>
      </c>
      <c r="M206" s="342" t="s">
        <v>1893</v>
      </c>
      <c r="N206" s="343"/>
      <c r="O206" s="342" t="s">
        <v>1368</v>
      </c>
      <c r="P206" s="342" t="s">
        <v>1423</v>
      </c>
      <c r="Q206" s="342">
        <v>4.0</v>
      </c>
      <c r="R206" s="343"/>
      <c r="S206" s="342" t="s">
        <v>1434</v>
      </c>
      <c r="T206" s="342">
        <v>62.0</v>
      </c>
      <c r="U206" s="342">
        <v>15.0</v>
      </c>
      <c r="V206" s="342">
        <v>16.0</v>
      </c>
      <c r="W206" s="341">
        <v>6.011774194</v>
      </c>
      <c r="X206" s="5">
        <v>0.1793548387</v>
      </c>
      <c r="Y206" s="5">
        <v>5.148064516</v>
      </c>
      <c r="Z206" s="5">
        <v>1.055967742</v>
      </c>
      <c r="AA206" s="5">
        <v>0.7919354839</v>
      </c>
      <c r="AB206" s="5">
        <v>0.9569354839</v>
      </c>
      <c r="AC206" s="5">
        <v>0.5500412996</v>
      </c>
      <c r="AD206" s="5">
        <v>4.686451613</v>
      </c>
      <c r="AE206" s="5">
        <v>0.6879200131</v>
      </c>
      <c r="AF206" s="5">
        <v>0.9840322581</v>
      </c>
      <c r="AG206" s="5">
        <v>0.6930645161</v>
      </c>
      <c r="AH206" s="5">
        <v>15.88235384</v>
      </c>
      <c r="AI206" s="5">
        <v>-1.660520051</v>
      </c>
      <c r="AJ206" s="5">
        <v>-1.435580636</v>
      </c>
      <c r="AK206" s="5">
        <v>-0.2555207201</v>
      </c>
      <c r="AL206" s="5">
        <v>-1.228496889</v>
      </c>
      <c r="AM206" s="5">
        <v>-0.4700297616</v>
      </c>
      <c r="AN206" s="5">
        <v>0.4849093764</v>
      </c>
      <c r="AO206" s="5">
        <v>0.4389506474</v>
      </c>
      <c r="AP206" s="5">
        <v>-0.3977915431</v>
      </c>
      <c r="AQ206" s="5">
        <v>1.336090644</v>
      </c>
    </row>
    <row r="207">
      <c r="A207" s="342">
        <v>206.0</v>
      </c>
      <c r="B207" s="341">
        <v>1.0</v>
      </c>
      <c r="C207" s="341">
        <v>-0.1</v>
      </c>
      <c r="D207" s="341">
        <v>-0.579039506</v>
      </c>
      <c r="E207" s="342">
        <v>-0.002321229728</v>
      </c>
      <c r="F207" s="342">
        <v>-0.4579200481</v>
      </c>
      <c r="G207" s="342">
        <v>-0.1211194579</v>
      </c>
      <c r="H207" s="342">
        <v>0.04565687519</v>
      </c>
      <c r="I207" s="343"/>
      <c r="J207" s="342" t="s">
        <v>1894</v>
      </c>
      <c r="K207" s="342" t="s">
        <v>291</v>
      </c>
      <c r="L207" s="342" t="s">
        <v>34</v>
      </c>
      <c r="M207" s="342" t="s">
        <v>1895</v>
      </c>
      <c r="N207" s="342" t="s">
        <v>1896</v>
      </c>
      <c r="O207" s="342" t="s">
        <v>1368</v>
      </c>
      <c r="P207" s="342" t="s">
        <v>1501</v>
      </c>
      <c r="Q207" s="342">
        <v>3.0</v>
      </c>
      <c r="R207" s="343"/>
      <c r="S207" s="342" t="s">
        <v>1434</v>
      </c>
      <c r="T207" s="342">
        <v>61.0</v>
      </c>
      <c r="U207" s="342">
        <v>15.0</v>
      </c>
      <c r="V207" s="342">
        <v>18.0</v>
      </c>
      <c r="W207" s="341">
        <v>7.909016393</v>
      </c>
      <c r="X207" s="5">
        <v>0.09409836066</v>
      </c>
      <c r="Y207" s="5">
        <v>7.53704918</v>
      </c>
      <c r="Z207" s="5">
        <v>1.590819672</v>
      </c>
      <c r="AA207" s="5">
        <v>0.5040983607</v>
      </c>
      <c r="AB207" s="5">
        <v>0.896557377</v>
      </c>
      <c r="AC207" s="5">
        <v>0.5707138842</v>
      </c>
      <c r="AD207" s="5">
        <v>5.832786885</v>
      </c>
      <c r="AE207" s="5">
        <v>0.6199718953</v>
      </c>
      <c r="AF207" s="5">
        <v>1.866557377</v>
      </c>
      <c r="AG207" s="5">
        <v>1.347704918</v>
      </c>
      <c r="AH207" s="5">
        <v>18.89024564</v>
      </c>
      <c r="AI207" s="5">
        <v>-1.341996285</v>
      </c>
      <c r="AJ207" s="5">
        <v>-1.519283706</v>
      </c>
      <c r="AK207" s="5">
        <v>0.7004182918</v>
      </c>
      <c r="AL207" s="5">
        <v>-0.9814728837</v>
      </c>
      <c r="AM207" s="5">
        <v>-1.378671447</v>
      </c>
      <c r="AN207" s="5">
        <v>0.3745173046</v>
      </c>
      <c r="AO207" s="5">
        <v>0.7329647105</v>
      </c>
      <c r="AP207" s="5">
        <v>-1.218792033</v>
      </c>
      <c r="AQ207" s="5">
        <v>0.5110356147</v>
      </c>
    </row>
    <row r="208">
      <c r="A208" s="342">
        <v>207.0</v>
      </c>
      <c r="B208" s="347"/>
      <c r="C208" s="347"/>
      <c r="D208" s="341">
        <v>-0.5831431469</v>
      </c>
      <c r="E208" s="342">
        <v>-0.01569886555</v>
      </c>
      <c r="F208" s="342">
        <v>-0.4160833639</v>
      </c>
      <c r="G208" s="342">
        <v>-0.1670597829</v>
      </c>
      <c r="H208" s="342">
        <v>0.3999606685</v>
      </c>
      <c r="I208" s="343"/>
      <c r="J208" s="342" t="s">
        <v>1897</v>
      </c>
      <c r="K208" s="342" t="s">
        <v>222</v>
      </c>
      <c r="L208" s="342" t="s">
        <v>1404</v>
      </c>
      <c r="M208" s="342" t="s">
        <v>1898</v>
      </c>
      <c r="N208" s="343"/>
      <c r="O208" s="342" t="s">
        <v>1368</v>
      </c>
      <c r="P208" s="342" t="s">
        <v>1899</v>
      </c>
      <c r="Q208" s="342">
        <v>3.0</v>
      </c>
      <c r="R208" s="343"/>
      <c r="S208" s="342" t="s">
        <v>1560</v>
      </c>
      <c r="T208" s="342">
        <v>69.0</v>
      </c>
      <c r="U208" s="342">
        <v>15.0</v>
      </c>
      <c r="V208" s="342">
        <v>26.0</v>
      </c>
      <c r="W208" s="341">
        <v>10.11057971</v>
      </c>
      <c r="X208" s="5">
        <v>1.834347826</v>
      </c>
      <c r="Y208" s="5">
        <v>3.700144928</v>
      </c>
      <c r="Z208" s="5">
        <v>1.527826087</v>
      </c>
      <c r="AA208" s="5">
        <v>0.6389855072</v>
      </c>
      <c r="AB208" s="5">
        <v>0.2694202899</v>
      </c>
      <c r="AC208" s="5">
        <v>0.4488975818</v>
      </c>
      <c r="AD208" s="5">
        <v>8.150724638</v>
      </c>
      <c r="AE208" s="5">
        <v>0.83997968</v>
      </c>
      <c r="AF208" s="5">
        <v>1.14115942</v>
      </c>
      <c r="AG208" s="5">
        <v>1.022898551</v>
      </c>
      <c r="AH208" s="5">
        <v>16.26983505</v>
      </c>
      <c r="AI208" s="5">
        <v>-0.9723807261</v>
      </c>
      <c r="AJ208" s="5">
        <v>0.1892576984</v>
      </c>
      <c r="AK208" s="5">
        <v>-0.8348977423</v>
      </c>
      <c r="AL208" s="5">
        <v>-1.010566782</v>
      </c>
      <c r="AM208" s="5">
        <v>-0.9528608951</v>
      </c>
      <c r="AN208" s="5">
        <v>-0.7721062978</v>
      </c>
      <c r="AO208" s="5">
        <v>-0.4905238465</v>
      </c>
      <c r="AP208" s="5">
        <v>0.1789334167</v>
      </c>
      <c r="AQ208" s="5">
        <v>0.9203948996</v>
      </c>
    </row>
    <row r="209">
      <c r="A209" s="342">
        <v>208.0</v>
      </c>
      <c r="B209" s="341">
        <v>2.0</v>
      </c>
      <c r="C209" s="341">
        <v>-0.2</v>
      </c>
      <c r="D209" s="341">
        <v>-0.5836847342</v>
      </c>
      <c r="E209" s="342">
        <v>-0.001737090363</v>
      </c>
      <c r="F209" s="342">
        <v>-0.3723259006</v>
      </c>
      <c r="G209" s="342">
        <v>-0.2113588336</v>
      </c>
      <c r="H209" s="342">
        <v>1.30182487</v>
      </c>
      <c r="I209" s="343"/>
      <c r="J209" s="342" t="s">
        <v>1900</v>
      </c>
      <c r="K209" s="342" t="s">
        <v>45</v>
      </c>
      <c r="L209" s="342" t="s">
        <v>1413</v>
      </c>
      <c r="M209" s="342" t="s">
        <v>1901</v>
      </c>
      <c r="N209" s="343"/>
      <c r="O209" s="342" t="s">
        <v>1368</v>
      </c>
      <c r="P209" s="343"/>
      <c r="Q209" s="342">
        <v>4.0</v>
      </c>
      <c r="R209" s="343"/>
      <c r="S209" s="342" t="s">
        <v>1434</v>
      </c>
      <c r="T209" s="342">
        <v>73.0</v>
      </c>
      <c r="U209" s="342">
        <v>16.0</v>
      </c>
      <c r="V209" s="342">
        <v>21.0</v>
      </c>
      <c r="W209" s="341">
        <v>6.747260274</v>
      </c>
      <c r="X209" s="5">
        <v>1.130547945</v>
      </c>
      <c r="Y209" s="5">
        <v>2.386164384</v>
      </c>
      <c r="Z209" s="5">
        <v>1.944246575</v>
      </c>
      <c r="AA209" s="5">
        <v>1.060547945</v>
      </c>
      <c r="AB209" s="5">
        <v>0.3976712329</v>
      </c>
      <c r="AC209" s="5">
        <v>0.4621243561</v>
      </c>
      <c r="AD209" s="5">
        <v>5.611369863</v>
      </c>
      <c r="AE209" s="5">
        <v>0.7669026117</v>
      </c>
      <c r="AF209" s="5">
        <v>0.5612328767</v>
      </c>
      <c r="AG209" s="5">
        <v>0.7069863014</v>
      </c>
      <c r="AH209" s="5">
        <v>13.62606544</v>
      </c>
      <c r="AI209" s="5">
        <v>-1.537040931</v>
      </c>
      <c r="AJ209" s="5">
        <v>-0.501718659</v>
      </c>
      <c r="AK209" s="5">
        <v>-1.360679796</v>
      </c>
      <c r="AL209" s="5">
        <v>-0.8182409232</v>
      </c>
      <c r="AM209" s="5">
        <v>0.3779236808</v>
      </c>
      <c r="AN209" s="5">
        <v>-0.5376191955</v>
      </c>
      <c r="AO209" s="5">
        <v>-0.2270562204</v>
      </c>
      <c r="AP209" s="5">
        <v>-0.06504582925</v>
      </c>
      <c r="AQ209" s="5">
        <v>1.318544768</v>
      </c>
    </row>
    <row r="210">
      <c r="A210" s="342">
        <v>209.0</v>
      </c>
      <c r="B210" s="341">
        <v>6.0</v>
      </c>
      <c r="C210" s="341">
        <v>-0.7</v>
      </c>
      <c r="D210" s="341">
        <v>-0.5861330602</v>
      </c>
      <c r="E210" s="342">
        <v>-0.1052444298</v>
      </c>
      <c r="F210" s="342">
        <v>-0.3993303711</v>
      </c>
      <c r="G210" s="342">
        <v>-0.186802689</v>
      </c>
      <c r="H210" s="342">
        <v>1.30182487</v>
      </c>
      <c r="I210" s="343"/>
      <c r="J210" s="342" t="s">
        <v>1902</v>
      </c>
      <c r="K210" s="342" t="s">
        <v>40</v>
      </c>
      <c r="L210" s="342" t="s">
        <v>1413</v>
      </c>
      <c r="M210" s="342" t="s">
        <v>1903</v>
      </c>
      <c r="N210" s="343"/>
      <c r="O210" s="342" t="s">
        <v>1378</v>
      </c>
      <c r="P210" s="342" t="s">
        <v>1719</v>
      </c>
      <c r="Q210" s="342">
        <v>3.0</v>
      </c>
      <c r="R210" s="343"/>
      <c r="S210" s="342" t="s">
        <v>1560</v>
      </c>
      <c r="T210" s="342">
        <v>77.0</v>
      </c>
      <c r="U210" s="342">
        <v>16.0</v>
      </c>
      <c r="V210" s="342">
        <v>28.0</v>
      </c>
      <c r="W210" s="341">
        <v>8.766883117</v>
      </c>
      <c r="X210" s="5">
        <v>1.088831169</v>
      </c>
      <c r="Y210" s="5">
        <v>4.23038961</v>
      </c>
      <c r="Z210" s="5">
        <v>1.829350649</v>
      </c>
      <c r="AA210" s="5">
        <v>0.8515584416</v>
      </c>
      <c r="AB210" s="5">
        <v>0.5493506494</v>
      </c>
      <c r="AC210" s="5">
        <v>0.4662510904</v>
      </c>
      <c r="AD210" s="5">
        <v>7.145974026</v>
      </c>
      <c r="AE210" s="5">
        <v>0.6759844223</v>
      </c>
      <c r="AF210" s="5">
        <v>1.500649351</v>
      </c>
      <c r="AG210" s="5">
        <v>0.8842857143</v>
      </c>
      <c r="AH210" s="5">
        <v>13.64556956</v>
      </c>
      <c r="AI210" s="5">
        <v>-1.197970953</v>
      </c>
      <c r="AJ210" s="5">
        <v>-0.5426753385</v>
      </c>
      <c r="AK210" s="5">
        <v>-0.6227232626</v>
      </c>
      <c r="AL210" s="5">
        <v>-0.871306174</v>
      </c>
      <c r="AM210" s="5">
        <v>-0.281812536</v>
      </c>
      <c r="AN210" s="5">
        <v>-0.2602967368</v>
      </c>
      <c r="AO210" s="5">
        <v>-0.2415443147</v>
      </c>
      <c r="AP210" s="5">
        <v>-0.6707351657</v>
      </c>
      <c r="AQ210" s="5">
        <v>1.095091141</v>
      </c>
    </row>
    <row r="211">
      <c r="A211" s="342">
        <v>210.0</v>
      </c>
      <c r="B211" s="341">
        <v>6.0</v>
      </c>
      <c r="C211" s="341">
        <v>0.6</v>
      </c>
      <c r="D211" s="341">
        <v>-0.5912226403</v>
      </c>
      <c r="E211" s="342">
        <v>0.03340632714</v>
      </c>
      <c r="F211" s="342">
        <v>-0.4453022311</v>
      </c>
      <c r="G211" s="342">
        <v>-0.1459204093</v>
      </c>
      <c r="H211" s="342">
        <v>0.1100757467</v>
      </c>
      <c r="I211" s="343"/>
      <c r="J211" s="342" t="s">
        <v>1904</v>
      </c>
      <c r="K211" s="342" t="s">
        <v>136</v>
      </c>
      <c r="L211" s="342" t="s">
        <v>1404</v>
      </c>
      <c r="M211" s="342" t="s">
        <v>1905</v>
      </c>
      <c r="N211" s="343"/>
      <c r="O211" s="342" t="s">
        <v>1378</v>
      </c>
      <c r="P211" s="343"/>
      <c r="Q211" s="342">
        <v>4.0</v>
      </c>
      <c r="R211" s="343"/>
      <c r="S211" s="342" t="s">
        <v>1434</v>
      </c>
      <c r="T211" s="342">
        <v>75.0</v>
      </c>
      <c r="U211" s="342">
        <v>15.0</v>
      </c>
      <c r="V211" s="342">
        <v>25.0</v>
      </c>
      <c r="W211" s="341">
        <v>9.609866667</v>
      </c>
      <c r="X211" s="5">
        <v>1.282</v>
      </c>
      <c r="Y211" s="5">
        <v>4.345333333</v>
      </c>
      <c r="Z211" s="5">
        <v>2.038533333</v>
      </c>
      <c r="AA211" s="5">
        <v>0.5184</v>
      </c>
      <c r="AB211" s="5">
        <v>0.4388</v>
      </c>
      <c r="AC211" s="5">
        <v>0.4856819137</v>
      </c>
      <c r="AD211" s="5">
        <v>7.296133333</v>
      </c>
      <c r="AE211" s="5">
        <v>0.7729689317</v>
      </c>
      <c r="AF211" s="5">
        <v>1.605066667</v>
      </c>
      <c r="AG211" s="5">
        <v>1.180266667</v>
      </c>
      <c r="AH211" s="5">
        <v>15.48530686</v>
      </c>
      <c r="AI211" s="5">
        <v>-1.056444323</v>
      </c>
      <c r="AJ211" s="5">
        <v>-0.353026123</v>
      </c>
      <c r="AK211" s="5">
        <v>-0.576729167</v>
      </c>
      <c r="AL211" s="5">
        <v>-0.7746941184</v>
      </c>
      <c r="AM211" s="5">
        <v>-1.333524158</v>
      </c>
      <c r="AN211" s="5">
        <v>-0.4624215775</v>
      </c>
      <c r="AO211" s="5">
        <v>-0.02962048021</v>
      </c>
      <c r="AP211" s="5">
        <v>-0.1433211755</v>
      </c>
      <c r="AQ211" s="5">
        <v>0.7220610432</v>
      </c>
    </row>
    <row r="212">
      <c r="A212" s="342">
        <v>211.0</v>
      </c>
      <c r="B212" s="341">
        <v>1.0</v>
      </c>
      <c r="C212" s="341">
        <v>0.0</v>
      </c>
      <c r="D212" s="341">
        <v>-0.5942169086</v>
      </c>
      <c r="E212" s="342">
        <v>-0.04605383012</v>
      </c>
      <c r="F212" s="342">
        <v>-0.4170035912</v>
      </c>
      <c r="G212" s="342">
        <v>-0.1772133174</v>
      </c>
      <c r="H212" s="342">
        <v>0.8025786155</v>
      </c>
      <c r="I212" s="343"/>
      <c r="J212" s="342" t="s">
        <v>1906</v>
      </c>
      <c r="K212" s="342" t="s">
        <v>1396</v>
      </c>
      <c r="L212" s="342" t="s">
        <v>1404</v>
      </c>
      <c r="M212" s="342" t="s">
        <v>1907</v>
      </c>
      <c r="N212" s="343"/>
      <c r="O212" s="342" t="s">
        <v>1368</v>
      </c>
      <c r="P212" s="342" t="s">
        <v>1416</v>
      </c>
      <c r="Q212" s="342">
        <v>5.0</v>
      </c>
      <c r="R212" s="343"/>
      <c r="S212" s="342" t="s">
        <v>1434</v>
      </c>
      <c r="T212" s="342">
        <v>73.0</v>
      </c>
      <c r="U212" s="342">
        <v>14.0</v>
      </c>
      <c r="V212" s="342">
        <v>21.0</v>
      </c>
      <c r="W212" s="341">
        <v>6.162328767</v>
      </c>
      <c r="X212" s="5">
        <v>0.2063013699</v>
      </c>
      <c r="Y212" s="5">
        <v>3.718767123</v>
      </c>
      <c r="Z212" s="5">
        <v>3.5</v>
      </c>
      <c r="AA212" s="5">
        <v>0.9246575342</v>
      </c>
      <c r="AB212" s="5">
        <v>0.5228767123</v>
      </c>
      <c r="AC212" s="5">
        <v>0.4789795185</v>
      </c>
      <c r="AD212" s="5">
        <v>5.337260274</v>
      </c>
      <c r="AE212" s="5">
        <v>0.7180354643</v>
      </c>
      <c r="AF212" s="5">
        <v>1.174246575</v>
      </c>
      <c r="AG212" s="5">
        <v>0.9591780822</v>
      </c>
      <c r="AH212" s="5">
        <v>13.90764041</v>
      </c>
      <c r="AI212" s="5">
        <v>-1.635243779</v>
      </c>
      <c r="AJ212" s="5">
        <v>-1.409125081</v>
      </c>
      <c r="AK212" s="5">
        <v>-0.8274461736</v>
      </c>
      <c r="AL212" s="5">
        <v>-0.0997085213</v>
      </c>
      <c r="AM212" s="5">
        <v>-0.0510539667</v>
      </c>
      <c r="AN212" s="5">
        <v>-0.3087002545</v>
      </c>
      <c r="AO212" s="5">
        <v>-0.07883790804</v>
      </c>
      <c r="AP212" s="5">
        <v>-0.3436195845</v>
      </c>
      <c r="AQ212" s="5">
        <v>1.000702948</v>
      </c>
    </row>
    <row r="213">
      <c r="A213" s="342">
        <v>212.0</v>
      </c>
      <c r="B213" s="347"/>
      <c r="C213" s="347"/>
      <c r="D213" s="341">
        <v>-0.6028914624</v>
      </c>
      <c r="E213" s="342">
        <v>0.1277488599</v>
      </c>
      <c r="F213" s="342">
        <v>-0.4256542688</v>
      </c>
      <c r="G213" s="342">
        <v>-0.1772371936</v>
      </c>
      <c r="H213" s="342">
        <v>1.237405998</v>
      </c>
      <c r="I213" s="343"/>
      <c r="J213" s="342" t="s">
        <v>1908</v>
      </c>
      <c r="K213" s="342" t="s">
        <v>45</v>
      </c>
      <c r="L213" s="342" t="s">
        <v>1413</v>
      </c>
      <c r="M213" s="342" t="s">
        <v>1909</v>
      </c>
      <c r="N213" s="343"/>
      <c r="O213" s="342" t="s">
        <v>1368</v>
      </c>
      <c r="P213" s="342" t="s">
        <v>1399</v>
      </c>
      <c r="Q213" s="342">
        <v>4.0</v>
      </c>
      <c r="R213" s="343"/>
      <c r="S213" s="342" t="s">
        <v>1434</v>
      </c>
      <c r="T213" s="342">
        <v>73.0</v>
      </c>
      <c r="U213" s="342">
        <v>16.0</v>
      </c>
      <c r="V213" s="342">
        <v>22.0</v>
      </c>
      <c r="W213" s="341">
        <v>9.215753425</v>
      </c>
      <c r="X213" s="5">
        <v>0.8015068493</v>
      </c>
      <c r="Y213" s="5">
        <v>2.916438356</v>
      </c>
      <c r="Z213" s="5">
        <v>1.58109589</v>
      </c>
      <c r="AA213" s="5">
        <v>0.8332876712</v>
      </c>
      <c r="AB213" s="5">
        <v>0.3216438356</v>
      </c>
      <c r="AC213" s="5">
        <v>0.5176979247</v>
      </c>
      <c r="AD213" s="5">
        <v>7.128767123</v>
      </c>
      <c r="AE213" s="5">
        <v>0.7880054331</v>
      </c>
      <c r="AF213" s="5">
        <v>1.31109589</v>
      </c>
      <c r="AG213" s="5">
        <v>0.965890411</v>
      </c>
      <c r="AH213" s="5">
        <v>17.17943264</v>
      </c>
      <c r="AI213" s="5">
        <v>-1.122611117</v>
      </c>
      <c r="AJ213" s="5">
        <v>-0.8247644907</v>
      </c>
      <c r="AK213" s="5">
        <v>-1.148493596</v>
      </c>
      <c r="AL213" s="5">
        <v>-0.9859638603</v>
      </c>
      <c r="AM213" s="5">
        <v>-0.3394895422</v>
      </c>
      <c r="AN213" s="5">
        <v>-0.6766235853</v>
      </c>
      <c r="AO213" s="5">
        <v>0.3198844705</v>
      </c>
      <c r="AP213" s="5">
        <v>-0.04506997782</v>
      </c>
      <c r="AQ213" s="5">
        <v>0.9922432797</v>
      </c>
    </row>
    <row r="214">
      <c r="A214" s="342">
        <v>213.0</v>
      </c>
      <c r="B214" s="347"/>
      <c r="C214" s="347"/>
      <c r="D214" s="341">
        <v>-0.6087473729</v>
      </c>
      <c r="E214" s="342">
        <v>-1.538002453E-4</v>
      </c>
      <c r="F214" s="342">
        <v>-0.4834481307</v>
      </c>
      <c r="G214" s="342">
        <v>-0.1252992422</v>
      </c>
      <c r="H214" s="342">
        <v>0.9797305122</v>
      </c>
      <c r="I214" s="343"/>
      <c r="J214" s="342" t="s">
        <v>1910</v>
      </c>
      <c r="K214" s="342" t="s">
        <v>236</v>
      </c>
      <c r="L214" s="342" t="s">
        <v>1380</v>
      </c>
      <c r="M214" s="342" t="s">
        <v>1911</v>
      </c>
      <c r="N214" s="343"/>
      <c r="O214" s="342" t="s">
        <v>1378</v>
      </c>
      <c r="P214" s="343"/>
      <c r="Q214" s="342">
        <v>2.0</v>
      </c>
      <c r="R214" s="343"/>
      <c r="S214" s="342" t="s">
        <v>1434</v>
      </c>
      <c r="T214" s="342">
        <v>77.0</v>
      </c>
      <c r="U214" s="342">
        <v>13.0</v>
      </c>
      <c r="V214" s="342">
        <v>20.0</v>
      </c>
      <c r="W214" s="341">
        <v>10.04402597</v>
      </c>
      <c r="X214" s="5">
        <v>1.251948052</v>
      </c>
      <c r="Y214" s="5">
        <v>3.394935065</v>
      </c>
      <c r="Z214" s="5">
        <v>2.748311688</v>
      </c>
      <c r="AA214" s="5">
        <v>0.6062337662</v>
      </c>
      <c r="AB214" s="5">
        <v>0.4068831169</v>
      </c>
      <c r="AC214" s="5">
        <v>0.4364700333</v>
      </c>
      <c r="AD214" s="5">
        <v>8.810649351</v>
      </c>
      <c r="AE214" s="5">
        <v>0.833038522</v>
      </c>
      <c r="AF214" s="5">
        <v>1.321558442</v>
      </c>
      <c r="AG214" s="5">
        <v>1.341428571</v>
      </c>
      <c r="AH214" s="5">
        <v>23.91311339</v>
      </c>
      <c r="AI214" s="5">
        <v>-0.9835542846</v>
      </c>
      <c r="AJ214" s="5">
        <v>-0.3825305121</v>
      </c>
      <c r="AK214" s="5">
        <v>-0.9570257823</v>
      </c>
      <c r="AL214" s="5">
        <v>-0.4468794801</v>
      </c>
      <c r="AM214" s="5">
        <v>-1.056251301</v>
      </c>
      <c r="AN214" s="5">
        <v>-0.520776684</v>
      </c>
      <c r="AO214" s="5">
        <v>-0.696944974</v>
      </c>
      <c r="AP214" s="5">
        <v>0.1739840356</v>
      </c>
      <c r="AQ214" s="5">
        <v>0.5189458068</v>
      </c>
    </row>
    <row r="215">
      <c r="A215" s="342">
        <v>214.0</v>
      </c>
      <c r="B215" s="341">
        <v>58.0</v>
      </c>
      <c r="C215" s="341">
        <v>3.7</v>
      </c>
      <c r="D215" s="341">
        <v>-0.6114192955</v>
      </c>
      <c r="E215" s="342">
        <v>-0.02621898629</v>
      </c>
      <c r="F215" s="342">
        <v>-0.4809780484</v>
      </c>
      <c r="G215" s="342">
        <v>-0.1304412471</v>
      </c>
      <c r="H215" s="342">
        <v>-0.01876199633</v>
      </c>
      <c r="I215" s="343"/>
      <c r="J215" s="342" t="s">
        <v>1912</v>
      </c>
      <c r="K215" s="342" t="s">
        <v>243</v>
      </c>
      <c r="L215" s="342" t="s">
        <v>1380</v>
      </c>
      <c r="M215" s="342" t="s">
        <v>1913</v>
      </c>
      <c r="N215" s="343"/>
      <c r="O215" s="342" t="s">
        <v>1374</v>
      </c>
      <c r="P215" s="342" t="s">
        <v>1551</v>
      </c>
      <c r="Q215" s="342">
        <v>1.0</v>
      </c>
      <c r="R215" s="343"/>
      <c r="S215" s="342" t="s">
        <v>1434</v>
      </c>
      <c r="T215" s="342">
        <v>41.0</v>
      </c>
      <c r="U215" s="342">
        <v>13.0</v>
      </c>
      <c r="V215" s="342">
        <v>19.0</v>
      </c>
      <c r="W215" s="341">
        <v>6.824390244</v>
      </c>
      <c r="X215" s="5">
        <v>1.583658537</v>
      </c>
      <c r="Y215" s="5">
        <v>2.909268293</v>
      </c>
      <c r="Z215" s="5">
        <v>2.715365854</v>
      </c>
      <c r="AA215" s="5">
        <v>0.8475609756</v>
      </c>
      <c r="AB215" s="5">
        <v>0.3490243902</v>
      </c>
      <c r="AC215" s="5">
        <v>0.4132103201</v>
      </c>
      <c r="AD215" s="5">
        <v>5.974634146</v>
      </c>
      <c r="AE215" s="5">
        <v>0.7407628129</v>
      </c>
      <c r="AF215" s="5">
        <v>0.4092682927</v>
      </c>
      <c r="AG215" s="5">
        <v>1.306829268</v>
      </c>
      <c r="AH215" s="5">
        <v>17.27979333</v>
      </c>
      <c r="AI215" s="5">
        <v>-1.524091753</v>
      </c>
      <c r="AJ215" s="5">
        <v>-0.05686392906</v>
      </c>
      <c r="AK215" s="5">
        <v>-1.151362657</v>
      </c>
      <c r="AL215" s="5">
        <v>-0.4620956765</v>
      </c>
      <c r="AM215" s="5">
        <v>-0.2944317012</v>
      </c>
      <c r="AN215" s="5">
        <v>-0.626562457</v>
      </c>
      <c r="AO215" s="5">
        <v>-0.6880848282</v>
      </c>
      <c r="AP215" s="5">
        <v>-0.08786136213</v>
      </c>
      <c r="AQ215" s="5">
        <v>0.5625519285</v>
      </c>
    </row>
    <row r="216">
      <c r="A216" s="342">
        <v>215.0</v>
      </c>
      <c r="B216" s="347"/>
      <c r="C216" s="347"/>
      <c r="D216" s="341">
        <v>-0.6135864371</v>
      </c>
      <c r="E216" s="342">
        <v>0.001409795498</v>
      </c>
      <c r="F216" s="342">
        <v>-0.3944877602</v>
      </c>
      <c r="G216" s="342">
        <v>-0.2190986768</v>
      </c>
      <c r="H216" s="342">
        <v>-1.43597717</v>
      </c>
      <c r="I216" s="343"/>
      <c r="J216" s="342" t="s">
        <v>1914</v>
      </c>
      <c r="K216" s="342" t="s">
        <v>1396</v>
      </c>
      <c r="L216" s="342" t="s">
        <v>1380</v>
      </c>
      <c r="M216" s="342" t="s">
        <v>1915</v>
      </c>
      <c r="N216" s="343"/>
      <c r="O216" s="342" t="s">
        <v>1374</v>
      </c>
      <c r="P216" s="342" t="s">
        <v>1551</v>
      </c>
      <c r="Q216" s="342">
        <v>4.0</v>
      </c>
      <c r="R216" s="343"/>
      <c r="S216" s="342" t="s">
        <v>1434</v>
      </c>
      <c r="T216" s="342">
        <v>68.0</v>
      </c>
      <c r="U216" s="342">
        <v>14.0</v>
      </c>
      <c r="V216" s="342">
        <v>18.0</v>
      </c>
      <c r="W216" s="341">
        <v>5.900735294</v>
      </c>
      <c r="X216" s="5">
        <v>0.5298529412</v>
      </c>
      <c r="Y216" s="5">
        <v>3.225</v>
      </c>
      <c r="Z216" s="5">
        <v>1.195294118</v>
      </c>
      <c r="AA216" s="5">
        <v>1.123382353</v>
      </c>
      <c r="AB216" s="5">
        <v>0.3752941176</v>
      </c>
      <c r="AC216" s="5">
        <v>0.5452675558</v>
      </c>
      <c r="AD216" s="5">
        <v>4.575735294</v>
      </c>
      <c r="AE216" s="5">
        <v>0.6420426376</v>
      </c>
      <c r="AF216" s="5">
        <v>0.5932352941</v>
      </c>
      <c r="AG216" s="5">
        <v>0.6754411765</v>
      </c>
      <c r="AH216" s="5">
        <v>13.12743902</v>
      </c>
      <c r="AI216" s="5">
        <v>-1.679162124</v>
      </c>
      <c r="AJ216" s="5">
        <v>-1.091468753</v>
      </c>
      <c r="AK216" s="5">
        <v>-1.025024359</v>
      </c>
      <c r="AL216" s="5">
        <v>-1.164148314</v>
      </c>
      <c r="AM216" s="5">
        <v>0.5762787835</v>
      </c>
      <c r="AN216" s="5">
        <v>-0.5785323052</v>
      </c>
      <c r="AO216" s="5">
        <v>0.3949589744</v>
      </c>
      <c r="AP216" s="5">
        <v>-0.3415933986</v>
      </c>
      <c r="AQ216" s="5">
        <v>1.358301654</v>
      </c>
    </row>
    <row r="217">
      <c r="A217" s="342">
        <v>216.0</v>
      </c>
      <c r="B217" s="341">
        <v>25.0</v>
      </c>
      <c r="C217" s="341">
        <v>2.3</v>
      </c>
      <c r="D217" s="341">
        <v>-0.6143877006</v>
      </c>
      <c r="E217" s="342">
        <v>4.878327073E-4</v>
      </c>
      <c r="F217" s="342">
        <v>-0.4959430543</v>
      </c>
      <c r="G217" s="342">
        <v>-0.1184446463</v>
      </c>
      <c r="H217" s="342">
        <v>-0.2925422003</v>
      </c>
      <c r="I217" s="343"/>
      <c r="J217" s="342" t="s">
        <v>1916</v>
      </c>
      <c r="K217" s="342" t="s">
        <v>89</v>
      </c>
      <c r="L217" s="342" t="s">
        <v>1413</v>
      </c>
      <c r="M217" s="342" t="s">
        <v>1917</v>
      </c>
      <c r="N217" s="343"/>
      <c r="O217" s="342" t="s">
        <v>1374</v>
      </c>
      <c r="P217" s="343"/>
      <c r="Q217" s="342">
        <v>4.0</v>
      </c>
      <c r="R217" s="343"/>
      <c r="S217" s="342" t="s">
        <v>1434</v>
      </c>
      <c r="T217" s="342">
        <v>68.0</v>
      </c>
      <c r="U217" s="342">
        <v>14.0</v>
      </c>
      <c r="V217" s="342">
        <v>25.0</v>
      </c>
      <c r="W217" s="341">
        <v>14.355</v>
      </c>
      <c r="X217" s="5">
        <v>1.233676471</v>
      </c>
      <c r="Y217" s="5">
        <v>3.755147059</v>
      </c>
      <c r="Z217" s="5">
        <v>1.663088235</v>
      </c>
      <c r="AA217" s="5">
        <v>0.5335294118</v>
      </c>
      <c r="AB217" s="5">
        <v>0.2152941176</v>
      </c>
      <c r="AC217" s="5">
        <v>0.4521189258</v>
      </c>
      <c r="AD217" s="5">
        <v>10.83720588</v>
      </c>
      <c r="AE217" s="5">
        <v>0.814018018</v>
      </c>
      <c r="AF217" s="5">
        <v>4.080882353</v>
      </c>
      <c r="AG217" s="5">
        <v>1.394852941</v>
      </c>
      <c r="AH217" s="5">
        <v>23.75789644</v>
      </c>
      <c r="AI217" s="5">
        <v>-0.2597944619</v>
      </c>
      <c r="AJ217" s="5">
        <v>-0.4004691778</v>
      </c>
      <c r="AK217" s="5">
        <v>-0.8128889434</v>
      </c>
      <c r="AL217" s="5">
        <v>-0.948095291</v>
      </c>
      <c r="AM217" s="5">
        <v>-1.285763765</v>
      </c>
      <c r="AN217" s="5">
        <v>-0.8710676697</v>
      </c>
      <c r="AO217" s="5">
        <v>-0.5957881621</v>
      </c>
      <c r="AP217" s="5">
        <v>0.2587658659</v>
      </c>
      <c r="AQ217" s="5">
        <v>0.4516141163</v>
      </c>
    </row>
    <row r="218">
      <c r="A218" s="342">
        <v>217.0</v>
      </c>
      <c r="B218" s="341">
        <v>2.0</v>
      </c>
      <c r="C218" s="341">
        <v>-0.2</v>
      </c>
      <c r="D218" s="341">
        <v>-0.6184680733</v>
      </c>
      <c r="E218" s="342">
        <v>-0.001374575616</v>
      </c>
      <c r="F218" s="342">
        <v>-0.493289056</v>
      </c>
      <c r="G218" s="342">
        <v>-0.1251790172</v>
      </c>
      <c r="H218" s="342">
        <v>0.1744946182</v>
      </c>
      <c r="I218" s="343"/>
      <c r="J218" s="342" t="s">
        <v>1918</v>
      </c>
      <c r="K218" s="342" t="s">
        <v>1365</v>
      </c>
      <c r="L218" s="342" t="s">
        <v>1366</v>
      </c>
      <c r="M218" s="342" t="s">
        <v>1919</v>
      </c>
      <c r="N218" s="343"/>
      <c r="O218" s="342" t="s">
        <v>1374</v>
      </c>
      <c r="P218" s="343"/>
      <c r="Q218" s="342">
        <v>4.0</v>
      </c>
      <c r="R218" s="343"/>
      <c r="S218" s="342" t="s">
        <v>1434</v>
      </c>
      <c r="T218" s="342">
        <v>68.0</v>
      </c>
      <c r="U218" s="342">
        <v>15.0</v>
      </c>
      <c r="V218" s="342">
        <v>18.0</v>
      </c>
      <c r="W218" s="341">
        <v>9.335147059</v>
      </c>
      <c r="X218" s="5">
        <v>0.6720588235</v>
      </c>
      <c r="Y218" s="5">
        <v>4.725</v>
      </c>
      <c r="Z218" s="5">
        <v>2.0625</v>
      </c>
      <c r="AA218" s="5">
        <v>0.4125</v>
      </c>
      <c r="AB218" s="5">
        <v>0.75</v>
      </c>
      <c r="AC218" s="5">
        <v>0.4972486243</v>
      </c>
      <c r="AD218" s="5">
        <v>7.349264706</v>
      </c>
      <c r="AE218" s="5">
        <v>0.7600066023</v>
      </c>
      <c r="AF218" s="5">
        <v>1.781911765</v>
      </c>
      <c r="AG218" s="5">
        <v>1.35</v>
      </c>
      <c r="AH218" s="5">
        <v>22.85749649</v>
      </c>
      <c r="AI218" s="5">
        <v>-1.102566386</v>
      </c>
      <c r="AJ218" s="5">
        <v>-0.9518539201</v>
      </c>
      <c r="AK218" s="5">
        <v>-0.4248076484</v>
      </c>
      <c r="AL218" s="5">
        <v>-0.763624995</v>
      </c>
      <c r="AM218" s="5">
        <v>-1.667828341</v>
      </c>
      <c r="AN218" s="5">
        <v>0.1065597064</v>
      </c>
      <c r="AO218" s="5">
        <v>0.100230334</v>
      </c>
      <c r="AP218" s="5">
        <v>-0.2438533356</v>
      </c>
      <c r="AQ218" s="5">
        <v>0.5081430818</v>
      </c>
    </row>
    <row r="219">
      <c r="A219" s="342">
        <v>218.0</v>
      </c>
      <c r="B219" s="347"/>
      <c r="C219" s="347"/>
      <c r="D219" s="341">
        <v>-0.6292370309</v>
      </c>
      <c r="E219" s="342">
        <v>-3.668734884E-4</v>
      </c>
      <c r="F219" s="342">
        <v>-0.4552494526</v>
      </c>
      <c r="G219" s="342">
        <v>-0.1739875783</v>
      </c>
      <c r="H219" s="342">
        <v>-0.4696940969</v>
      </c>
      <c r="I219" s="343"/>
      <c r="J219" s="342" t="s">
        <v>1920</v>
      </c>
      <c r="K219" s="342" t="s">
        <v>57</v>
      </c>
      <c r="L219" s="342" t="s">
        <v>1413</v>
      </c>
      <c r="M219" s="342" t="s">
        <v>1921</v>
      </c>
      <c r="N219" s="343"/>
      <c r="O219" s="342" t="s">
        <v>1368</v>
      </c>
      <c r="P219" s="342" t="s">
        <v>1416</v>
      </c>
      <c r="Q219" s="342">
        <v>4.0</v>
      </c>
      <c r="R219" s="343"/>
      <c r="S219" s="342" t="s">
        <v>1434</v>
      </c>
      <c r="T219" s="342">
        <v>73.0</v>
      </c>
      <c r="U219" s="342">
        <v>13.0</v>
      </c>
      <c r="V219" s="342">
        <v>24.0</v>
      </c>
      <c r="W219" s="341">
        <v>7.849863014</v>
      </c>
      <c r="X219" s="5">
        <v>0.9264383562</v>
      </c>
      <c r="Y219" s="5">
        <v>4.242054795</v>
      </c>
      <c r="Z219" s="5">
        <v>2.171506849</v>
      </c>
      <c r="AA219" s="5">
        <v>0.8584931507</v>
      </c>
      <c r="AB219" s="5">
        <v>0.1960273973</v>
      </c>
      <c r="AC219" s="5">
        <v>0.4497436818</v>
      </c>
      <c r="AD219" s="5">
        <v>6.867534247</v>
      </c>
      <c r="AE219" s="5">
        <v>0.7760364724</v>
      </c>
      <c r="AF219" s="5">
        <v>0.9615068493</v>
      </c>
      <c r="AG219" s="5">
        <v>1.01</v>
      </c>
      <c r="AH219" s="5">
        <v>14.84085602</v>
      </c>
      <c r="AI219" s="5">
        <v>-1.351927415</v>
      </c>
      <c r="AJ219" s="5">
        <v>-0.7021092873</v>
      </c>
      <c r="AK219" s="5">
        <v>-0.6180555036</v>
      </c>
      <c r="AL219" s="5">
        <v>-0.7132796434</v>
      </c>
      <c r="AM219" s="5">
        <v>-0.2599211076</v>
      </c>
      <c r="AN219" s="5">
        <v>-0.9062939014</v>
      </c>
      <c r="AO219" s="5">
        <v>-0.4058579446</v>
      </c>
      <c r="AP219" s="5">
        <v>-0.07645144482</v>
      </c>
      <c r="AQ219" s="5">
        <v>0.9366511742</v>
      </c>
    </row>
    <row r="220">
      <c r="A220" s="342">
        <v>219.0</v>
      </c>
      <c r="B220" s="347"/>
      <c r="C220" s="347"/>
      <c r="D220" s="341">
        <v>-0.6298500617</v>
      </c>
      <c r="E220" s="342">
        <v>0.08058279304</v>
      </c>
      <c r="F220" s="342">
        <v>-0.3755829588</v>
      </c>
      <c r="G220" s="342">
        <v>-0.2542671029</v>
      </c>
      <c r="H220" s="342">
        <v>-0.9367309154</v>
      </c>
      <c r="I220" s="343"/>
      <c r="J220" s="342" t="s">
        <v>1922</v>
      </c>
      <c r="K220" s="342" t="s">
        <v>110</v>
      </c>
      <c r="L220" s="342" t="s">
        <v>1404</v>
      </c>
      <c r="M220" s="342" t="s">
        <v>1923</v>
      </c>
      <c r="N220" s="343"/>
      <c r="O220" s="342" t="s">
        <v>1374</v>
      </c>
      <c r="P220" s="343"/>
      <c r="Q220" s="342">
        <v>4.0</v>
      </c>
      <c r="R220" s="343"/>
      <c r="S220" s="342" t="s">
        <v>1434</v>
      </c>
      <c r="T220" s="342">
        <v>68.0</v>
      </c>
      <c r="U220" s="342">
        <v>16.0</v>
      </c>
      <c r="V220" s="342">
        <v>23.0</v>
      </c>
      <c r="W220" s="341">
        <v>6.077794118</v>
      </c>
      <c r="X220" s="5">
        <v>1.624852941</v>
      </c>
      <c r="Y220" s="5">
        <v>4.301029412</v>
      </c>
      <c r="Z220" s="5">
        <v>1.008970588</v>
      </c>
      <c r="AA220" s="5">
        <v>0.8408823529</v>
      </c>
      <c r="AB220" s="5">
        <v>0.4851470588</v>
      </c>
      <c r="AC220" s="5">
        <v>0.3968508997</v>
      </c>
      <c r="AD220" s="5">
        <v>5.034117647</v>
      </c>
      <c r="AE220" s="5">
        <v>0.741889313</v>
      </c>
      <c r="AF220" s="5">
        <v>0.6164705882</v>
      </c>
      <c r="AG220" s="5">
        <v>0.4372058824</v>
      </c>
      <c r="AH220" s="5">
        <v>10.78758691</v>
      </c>
      <c r="AI220" s="5">
        <v>-1.649436113</v>
      </c>
      <c r="AJ220" s="5">
        <v>-0.01642010347</v>
      </c>
      <c r="AK220" s="5">
        <v>-0.5944571364</v>
      </c>
      <c r="AL220" s="5">
        <v>-1.250202756</v>
      </c>
      <c r="AM220" s="5">
        <v>-0.3155147182</v>
      </c>
      <c r="AN220" s="5">
        <v>-0.3776831166</v>
      </c>
      <c r="AO220" s="5">
        <v>-0.7071569389</v>
      </c>
      <c r="AP220" s="5">
        <v>-0.127929611</v>
      </c>
      <c r="AQ220" s="5">
        <v>1.658553865</v>
      </c>
    </row>
    <row r="221">
      <c r="A221" s="342">
        <v>220.0</v>
      </c>
      <c r="B221" s="341">
        <v>12.0</v>
      </c>
      <c r="C221" s="341">
        <v>-1.4</v>
      </c>
      <c r="D221" s="341">
        <v>-0.6323081581</v>
      </c>
      <c r="E221" s="342">
        <v>0.03685014846</v>
      </c>
      <c r="F221" s="342">
        <v>-0.4309122417</v>
      </c>
      <c r="G221" s="342">
        <v>-0.2013959164</v>
      </c>
      <c r="H221" s="342">
        <v>-0.1475997394</v>
      </c>
      <c r="I221" s="343"/>
      <c r="J221" s="342" t="s">
        <v>1924</v>
      </c>
      <c r="K221" s="342" t="s">
        <v>102</v>
      </c>
      <c r="L221" s="342" t="s">
        <v>1404</v>
      </c>
      <c r="M221" s="342" t="s">
        <v>1925</v>
      </c>
      <c r="N221" s="343"/>
      <c r="O221" s="342" t="s">
        <v>1368</v>
      </c>
      <c r="P221" s="342" t="s">
        <v>1416</v>
      </c>
      <c r="Q221" s="342">
        <v>4.0</v>
      </c>
      <c r="R221" s="343"/>
      <c r="S221" s="342" t="s">
        <v>1560</v>
      </c>
      <c r="T221" s="342">
        <v>73.0</v>
      </c>
      <c r="U221" s="342">
        <v>16.0</v>
      </c>
      <c r="V221" s="342">
        <v>25.0</v>
      </c>
      <c r="W221" s="341">
        <v>9.105205479</v>
      </c>
      <c r="X221" s="5">
        <v>0.964109589</v>
      </c>
      <c r="Y221" s="5">
        <v>3.828082192</v>
      </c>
      <c r="Z221" s="5">
        <v>0.9187671233</v>
      </c>
      <c r="AA221" s="5">
        <v>0.7275342466</v>
      </c>
      <c r="AB221" s="5">
        <v>0.8167123288</v>
      </c>
      <c r="AC221" s="5">
        <v>0.4751481172</v>
      </c>
      <c r="AD221" s="5">
        <v>6.890136986</v>
      </c>
      <c r="AE221" s="5">
        <v>0.7240134445</v>
      </c>
      <c r="AF221" s="5">
        <v>2.200821918</v>
      </c>
      <c r="AG221" s="5">
        <v>0.8167123288</v>
      </c>
      <c r="AH221" s="5">
        <v>15.43554086</v>
      </c>
      <c r="AI221" s="5">
        <v>-1.141170765</v>
      </c>
      <c r="AJ221" s="5">
        <v>-0.6651244398</v>
      </c>
      <c r="AK221" s="5">
        <v>-0.783704353</v>
      </c>
      <c r="AL221" s="5">
        <v>-1.291863672</v>
      </c>
      <c r="AM221" s="5">
        <v>-0.6733310179</v>
      </c>
      <c r="AN221" s="5">
        <v>0.2285329278</v>
      </c>
      <c r="AO221" s="5">
        <v>-0.1394773341</v>
      </c>
      <c r="AP221" s="5">
        <v>-0.5923266101</v>
      </c>
      <c r="AQ221" s="5">
        <v>1.18025509</v>
      </c>
    </row>
    <row r="222">
      <c r="A222" s="342">
        <v>221.0</v>
      </c>
      <c r="B222" s="347"/>
      <c r="C222" s="347"/>
      <c r="D222" s="341">
        <v>-0.6332936191</v>
      </c>
      <c r="E222" s="342">
        <v>-9.853111941E-5</v>
      </c>
      <c r="F222" s="342">
        <v>-0.6208358948</v>
      </c>
      <c r="G222" s="342">
        <v>-0.01245772426</v>
      </c>
      <c r="H222" s="343"/>
      <c r="I222" s="343"/>
      <c r="J222" s="342" t="s">
        <v>1926</v>
      </c>
      <c r="K222" s="342" t="s">
        <v>287</v>
      </c>
      <c r="L222" s="342" t="s">
        <v>1380</v>
      </c>
      <c r="M222" s="342" t="s">
        <v>1927</v>
      </c>
      <c r="N222" s="343"/>
      <c r="O222" s="342" t="s">
        <v>1368</v>
      </c>
      <c r="P222" s="343"/>
      <c r="Q222" s="342">
        <v>2.0</v>
      </c>
      <c r="R222" s="343"/>
      <c r="S222" s="342" t="s">
        <v>1434</v>
      </c>
      <c r="T222" s="342">
        <v>73.0</v>
      </c>
      <c r="U222" s="342">
        <v>16.0</v>
      </c>
      <c r="V222" s="342">
        <v>25.0</v>
      </c>
      <c r="W222" s="341">
        <v>9.654520548</v>
      </c>
      <c r="X222" s="5">
        <v>1.670273973</v>
      </c>
      <c r="Y222" s="5">
        <v>3.737534247</v>
      </c>
      <c r="Z222" s="5">
        <v>4.170821918</v>
      </c>
      <c r="AA222" s="5">
        <v>0.65</v>
      </c>
      <c r="AB222" s="5">
        <v>0.2167123288</v>
      </c>
      <c r="AC222" s="5">
        <v>0.3813473843</v>
      </c>
      <c r="AD222" s="5">
        <v>9.099315068</v>
      </c>
      <c r="AE222" s="5">
        <v>0.764977421</v>
      </c>
      <c r="AF222" s="5">
        <v>1.365068493</v>
      </c>
      <c r="AG222" s="5">
        <v>2.166712329</v>
      </c>
      <c r="AH222" s="5">
        <v>19.96420917</v>
      </c>
      <c r="AI222" s="5">
        <v>-1.048947483</v>
      </c>
      <c r="AJ222" s="5">
        <v>0.02817333807</v>
      </c>
      <c r="AK222" s="5">
        <v>-0.8199366129</v>
      </c>
      <c r="AL222" s="5">
        <v>0.2101138941</v>
      </c>
      <c r="AM222" s="5">
        <v>-0.9180904418</v>
      </c>
      <c r="AN222" s="5">
        <v>-0.8684746891</v>
      </c>
      <c r="AO222" s="5">
        <v>-1.486534996</v>
      </c>
      <c r="AP222" s="5">
        <v>-0.1626519624</v>
      </c>
      <c r="AQ222" s="5">
        <v>-0.5211741007</v>
      </c>
    </row>
    <row r="223">
      <c r="A223" s="342">
        <v>222.0</v>
      </c>
      <c r="B223" s="341">
        <v>1.0</v>
      </c>
      <c r="C223" s="341">
        <v>-0.1</v>
      </c>
      <c r="D223" s="341">
        <v>-0.6353403016</v>
      </c>
      <c r="E223" s="342">
        <v>-8.066049698E-4</v>
      </c>
      <c r="F223" s="342">
        <v>-0.4111442797</v>
      </c>
      <c r="G223" s="342">
        <v>-0.2241960219</v>
      </c>
      <c r="H223" s="343"/>
      <c r="I223" s="343"/>
      <c r="J223" s="342" t="s">
        <v>1928</v>
      </c>
      <c r="K223" s="342" t="s">
        <v>118</v>
      </c>
      <c r="L223" s="342" t="s">
        <v>1413</v>
      </c>
      <c r="M223" s="342" t="s">
        <v>1929</v>
      </c>
      <c r="N223" s="343"/>
      <c r="O223" s="342" t="s">
        <v>1368</v>
      </c>
      <c r="P223" s="343"/>
      <c r="Q223" s="342">
        <v>3.0</v>
      </c>
      <c r="R223" s="343"/>
      <c r="S223" s="342" t="s">
        <v>1434</v>
      </c>
      <c r="T223" s="342">
        <v>73.0</v>
      </c>
      <c r="U223" s="342">
        <v>16.0</v>
      </c>
      <c r="V223" s="342">
        <v>21.0</v>
      </c>
      <c r="W223" s="341">
        <v>6.812191781</v>
      </c>
      <c r="X223" s="5">
        <v>1.06109589</v>
      </c>
      <c r="Y223" s="5">
        <v>4.418767123</v>
      </c>
      <c r="Z223" s="5">
        <v>0.6563013699</v>
      </c>
      <c r="AA223" s="5">
        <v>0.8750684932</v>
      </c>
      <c r="AB223" s="5">
        <v>1.312465753</v>
      </c>
      <c r="AC223" s="5">
        <v>0.4184782609</v>
      </c>
      <c r="AD223" s="5">
        <v>6.124931507</v>
      </c>
      <c r="AE223" s="5">
        <v>0.5100078274</v>
      </c>
      <c r="AF223" s="5">
        <v>1.225068493</v>
      </c>
      <c r="AG223" s="5">
        <v>0.6563013699</v>
      </c>
      <c r="AH223" s="5">
        <v>15.22128096</v>
      </c>
      <c r="AI223" s="5">
        <v>-1.526139725</v>
      </c>
      <c r="AJ223" s="5">
        <v>-0.5699052687</v>
      </c>
      <c r="AK223" s="5">
        <v>-0.5473450418</v>
      </c>
      <c r="AL223" s="5">
        <v>-1.413084777</v>
      </c>
      <c r="AM223" s="5">
        <v>-0.2075962131</v>
      </c>
      <c r="AN223" s="5">
        <v>1.134941733</v>
      </c>
      <c r="AO223" s="5">
        <v>-0.6558198029</v>
      </c>
      <c r="AP223" s="5">
        <v>-1.297773317</v>
      </c>
      <c r="AQ223" s="5">
        <v>1.382423896</v>
      </c>
    </row>
    <row r="224">
      <c r="A224" s="342">
        <v>223.0</v>
      </c>
      <c r="B224" s="347"/>
      <c r="C224" s="347"/>
      <c r="D224" s="341">
        <v>-0.6368731476</v>
      </c>
      <c r="E224" s="342">
        <v>-0.04358378768</v>
      </c>
      <c r="F224" s="342">
        <v>-0.4275270367</v>
      </c>
      <c r="G224" s="342">
        <v>-0.2093461109</v>
      </c>
      <c r="H224" s="342">
        <v>1.269615434</v>
      </c>
      <c r="I224" s="343"/>
      <c r="J224" s="342" t="s">
        <v>1930</v>
      </c>
      <c r="K224" s="342" t="s">
        <v>40</v>
      </c>
      <c r="L224" s="342" t="s">
        <v>1380</v>
      </c>
      <c r="M224" s="342" t="s">
        <v>1931</v>
      </c>
      <c r="N224" s="342" t="s">
        <v>1932</v>
      </c>
      <c r="O224" s="342" t="s">
        <v>1368</v>
      </c>
      <c r="P224" s="343"/>
      <c r="Q224" s="342">
        <v>4.0</v>
      </c>
      <c r="R224" s="343"/>
      <c r="S224" s="342" t="s">
        <v>1434</v>
      </c>
      <c r="T224" s="342">
        <v>73.0</v>
      </c>
      <c r="U224" s="342">
        <v>16.0</v>
      </c>
      <c r="V224" s="342">
        <v>22.0</v>
      </c>
      <c r="W224" s="341">
        <v>7.881369863</v>
      </c>
      <c r="X224" s="5">
        <v>0.495890411</v>
      </c>
      <c r="Y224" s="5">
        <v>3.95260274</v>
      </c>
      <c r="Z224" s="5">
        <v>1.359315068</v>
      </c>
      <c r="AA224" s="5">
        <v>0.5390410959</v>
      </c>
      <c r="AB224" s="5">
        <v>1.279589041</v>
      </c>
      <c r="AC224" s="5">
        <v>0.4973371129</v>
      </c>
      <c r="AD224" s="5">
        <v>6.37890411</v>
      </c>
      <c r="AE224" s="5">
        <v>0.6750199947</v>
      </c>
      <c r="AF224" s="5">
        <v>1.541506849</v>
      </c>
      <c r="AG224" s="5">
        <v>0.7635616438</v>
      </c>
      <c r="AH224" s="5">
        <v>15.62885663</v>
      </c>
      <c r="AI224" s="5">
        <v>-1.3466378</v>
      </c>
      <c r="AJ224" s="5">
        <v>-1.124812472</v>
      </c>
      <c r="AK224" s="5">
        <v>-0.7338781439</v>
      </c>
      <c r="AL224" s="5">
        <v>-1.088394428</v>
      </c>
      <c r="AM224" s="5">
        <v>-1.268364529</v>
      </c>
      <c r="AN224" s="5">
        <v>1.074831726</v>
      </c>
      <c r="AO224" s="5">
        <v>0.08664801981</v>
      </c>
      <c r="AP224" s="5">
        <v>-0.6943775543</v>
      </c>
      <c r="AQ224" s="5">
        <v>1.24724185</v>
      </c>
    </row>
    <row r="225">
      <c r="A225" s="342">
        <v>224.0</v>
      </c>
      <c r="B225" s="347"/>
      <c r="C225" s="347"/>
      <c r="D225" s="341">
        <v>-0.6417327967</v>
      </c>
      <c r="E225" s="342">
        <v>2.954920008E-5</v>
      </c>
      <c r="F225" s="342">
        <v>-0.4824608622</v>
      </c>
      <c r="G225" s="342">
        <v>-0.1592719345</v>
      </c>
      <c r="H225" s="342">
        <v>-0.05097143209</v>
      </c>
      <c r="I225" s="343"/>
      <c r="J225" s="342" t="s">
        <v>1933</v>
      </c>
      <c r="K225" s="342" t="s">
        <v>93</v>
      </c>
      <c r="L225" s="342" t="s">
        <v>1380</v>
      </c>
      <c r="M225" s="342" t="s">
        <v>1934</v>
      </c>
      <c r="N225" s="343"/>
      <c r="O225" s="342" t="s">
        <v>1374</v>
      </c>
      <c r="P225" s="342" t="s">
        <v>1437</v>
      </c>
      <c r="Q225" s="342">
        <v>3.0</v>
      </c>
      <c r="R225" s="343"/>
      <c r="S225" s="342" t="s">
        <v>1434</v>
      </c>
      <c r="T225" s="342">
        <v>68.0</v>
      </c>
      <c r="U225" s="342">
        <v>16.0</v>
      </c>
      <c r="V225" s="342">
        <v>20.0</v>
      </c>
      <c r="W225" s="341">
        <v>9.903970588</v>
      </c>
      <c r="X225" s="5">
        <v>1.357941176</v>
      </c>
      <c r="Y225" s="5">
        <v>2.656176471</v>
      </c>
      <c r="Z225" s="5">
        <v>3.166617647</v>
      </c>
      <c r="AA225" s="5">
        <v>0.6467647059</v>
      </c>
      <c r="AB225" s="5">
        <v>0.3461764706</v>
      </c>
      <c r="AC225" s="5">
        <v>0.4354228587</v>
      </c>
      <c r="AD225" s="5">
        <v>8.708235294</v>
      </c>
      <c r="AE225" s="5">
        <v>0.7800023835</v>
      </c>
      <c r="AF225" s="5">
        <v>1.233970588</v>
      </c>
      <c r="AG225" s="5">
        <v>1.125</v>
      </c>
      <c r="AH225" s="5">
        <v>22.11617329</v>
      </c>
      <c r="AI225" s="5">
        <v>-1.007067871</v>
      </c>
      <c r="AJ225" s="5">
        <v>-0.278468626</v>
      </c>
      <c r="AK225" s="5">
        <v>-1.252635951</v>
      </c>
      <c r="AL225" s="5">
        <v>-0.2536828073</v>
      </c>
      <c r="AM225" s="5">
        <v>-0.9283035897</v>
      </c>
      <c r="AN225" s="5">
        <v>-0.6317694396</v>
      </c>
      <c r="AO225" s="5">
        <v>-0.7028960456</v>
      </c>
      <c r="AP225" s="5">
        <v>-0.07903804282</v>
      </c>
      <c r="AQ225" s="5">
        <v>0.7917146135</v>
      </c>
    </row>
    <row r="226">
      <c r="A226" s="342">
        <v>225.0</v>
      </c>
      <c r="B226" s="341">
        <v>7.0</v>
      </c>
      <c r="C226" s="341">
        <v>-0.8</v>
      </c>
      <c r="D226" s="341">
        <v>-0.6426010061</v>
      </c>
      <c r="E226" s="342">
        <v>-0.002160811764</v>
      </c>
      <c r="F226" s="342">
        <v>-0.4348998236</v>
      </c>
      <c r="G226" s="342">
        <v>-0.2077011825</v>
      </c>
      <c r="H226" s="342">
        <v>0.1744946182</v>
      </c>
      <c r="I226" s="343"/>
      <c r="J226" s="342" t="s">
        <v>1935</v>
      </c>
      <c r="K226" s="342" t="s">
        <v>1471</v>
      </c>
      <c r="L226" s="342" t="s">
        <v>34</v>
      </c>
      <c r="M226" s="342" t="s">
        <v>1936</v>
      </c>
      <c r="N226" s="343"/>
      <c r="O226" s="342" t="s">
        <v>1374</v>
      </c>
      <c r="P226" s="342" t="s">
        <v>1642</v>
      </c>
      <c r="Q226" s="342">
        <v>2.0</v>
      </c>
      <c r="R226" s="343"/>
      <c r="S226" s="342" t="s">
        <v>1434</v>
      </c>
      <c r="T226" s="342">
        <v>68.0</v>
      </c>
      <c r="U226" s="342">
        <v>16.0</v>
      </c>
      <c r="V226" s="342">
        <v>19.0</v>
      </c>
      <c r="W226" s="341">
        <v>6.345294118</v>
      </c>
      <c r="X226" s="5">
        <v>0.5413235294</v>
      </c>
      <c r="Y226" s="5">
        <v>5.094411765</v>
      </c>
      <c r="Z226" s="5">
        <v>1.127352941</v>
      </c>
      <c r="AA226" s="5">
        <v>0.4354411765</v>
      </c>
      <c r="AB226" s="5">
        <v>0.9404411765</v>
      </c>
      <c r="AC226" s="5">
        <v>0.5256895147</v>
      </c>
      <c r="AD226" s="5">
        <v>5.054705882</v>
      </c>
      <c r="AE226" s="5">
        <v>0.7449093757</v>
      </c>
      <c r="AF226" s="5">
        <v>0.6572058824</v>
      </c>
      <c r="AG226" s="5">
        <v>0.7798529412</v>
      </c>
      <c r="AH226" s="5">
        <v>14.17512334</v>
      </c>
      <c r="AI226" s="5">
        <v>-1.604526134</v>
      </c>
      <c r="AJ226" s="5">
        <v>-1.080207163</v>
      </c>
      <c r="AK226" s="5">
        <v>-0.2769895721</v>
      </c>
      <c r="AL226" s="5">
        <v>-1.195527282</v>
      </c>
      <c r="AM226" s="5">
        <v>-1.595407838</v>
      </c>
      <c r="AN226" s="5">
        <v>0.454752075</v>
      </c>
      <c r="AO226" s="5">
        <v>0.2859223546</v>
      </c>
      <c r="AP226" s="5">
        <v>-0.1288244887</v>
      </c>
      <c r="AQ226" s="5">
        <v>1.226709636</v>
      </c>
    </row>
    <row r="227">
      <c r="A227" s="342">
        <v>226.0</v>
      </c>
      <c r="B227" s="341">
        <v>1.0</v>
      </c>
      <c r="C227" s="341">
        <v>-0.1</v>
      </c>
      <c r="D227" s="341">
        <v>-0.6450816032</v>
      </c>
      <c r="E227" s="342">
        <v>-0.04326687488</v>
      </c>
      <c r="F227" s="342">
        <v>-0.5936148672</v>
      </c>
      <c r="G227" s="342">
        <v>-0.05146673604</v>
      </c>
      <c r="H227" s="343"/>
      <c r="I227" s="343"/>
      <c r="J227" s="342" t="s">
        <v>1937</v>
      </c>
      <c r="K227" s="342" t="s">
        <v>222</v>
      </c>
      <c r="L227" s="342" t="s">
        <v>1404</v>
      </c>
      <c r="M227" s="342" t="s">
        <v>1938</v>
      </c>
      <c r="N227" s="343"/>
      <c r="O227" s="342" t="s">
        <v>1374</v>
      </c>
      <c r="P227" s="343"/>
      <c r="Q227" s="342">
        <v>2.0</v>
      </c>
      <c r="R227" s="343"/>
      <c r="S227" s="342" t="s">
        <v>1434</v>
      </c>
      <c r="T227" s="342">
        <v>68.0</v>
      </c>
      <c r="U227" s="342">
        <v>15.0</v>
      </c>
      <c r="V227" s="342">
        <v>23.0</v>
      </c>
      <c r="W227" s="341">
        <v>8.642794118</v>
      </c>
      <c r="X227" s="5">
        <v>0.5645588235</v>
      </c>
      <c r="Y227" s="5">
        <v>3.984705882</v>
      </c>
      <c r="Z227" s="5">
        <v>1.755147059</v>
      </c>
      <c r="AA227" s="5">
        <v>1.138529412</v>
      </c>
      <c r="AB227" s="5">
        <v>0.2845588235</v>
      </c>
      <c r="AC227" s="5">
        <v>0.4254963096</v>
      </c>
      <c r="AD227" s="5">
        <v>8.348382353</v>
      </c>
      <c r="AE227" s="5">
        <v>0.7289740203</v>
      </c>
      <c r="AF227" s="5">
        <v>1.335882353</v>
      </c>
      <c r="AG227" s="5">
        <v>1.8975</v>
      </c>
      <c r="AH227" s="5">
        <v>20.59303689</v>
      </c>
      <c r="AI227" s="5">
        <v>-1.218803978</v>
      </c>
      <c r="AJ227" s="5">
        <v>-1.057395226</v>
      </c>
      <c r="AK227" s="5">
        <v>-0.7210322487</v>
      </c>
      <c r="AL227" s="5">
        <v>-0.9055774687</v>
      </c>
      <c r="AM227" s="5">
        <v>0.6240948848</v>
      </c>
      <c r="AN227" s="5">
        <v>-0.7444278198</v>
      </c>
      <c r="AO227" s="5">
        <v>-0.8009621145</v>
      </c>
      <c r="AP227" s="5">
        <v>-0.3365488544</v>
      </c>
      <c r="AQ227" s="5">
        <v>-0.1818809788</v>
      </c>
    </row>
    <row r="228">
      <c r="A228" s="342">
        <v>227.0</v>
      </c>
      <c r="B228" s="341">
        <v>11.0</v>
      </c>
      <c r="C228" s="341">
        <v>0.1</v>
      </c>
      <c r="D228" s="341">
        <v>-0.6471453473</v>
      </c>
      <c r="E228" s="342">
        <v>0.0738939229</v>
      </c>
      <c r="F228" s="342">
        <v>-0.4647222124</v>
      </c>
      <c r="G228" s="342">
        <v>-0.1824231349</v>
      </c>
      <c r="H228" s="342">
        <v>0.1744946182</v>
      </c>
      <c r="I228" s="343"/>
      <c r="J228" s="342" t="s">
        <v>1939</v>
      </c>
      <c r="K228" s="342" t="s">
        <v>40</v>
      </c>
      <c r="L228" s="342" t="s">
        <v>1413</v>
      </c>
      <c r="M228" s="342" t="s">
        <v>1940</v>
      </c>
      <c r="N228" s="343"/>
      <c r="O228" s="342" t="s">
        <v>1374</v>
      </c>
      <c r="P228" s="342" t="s">
        <v>1719</v>
      </c>
      <c r="Q228" s="342">
        <v>2.0</v>
      </c>
      <c r="R228" s="343"/>
      <c r="S228" s="342" t="s">
        <v>1434</v>
      </c>
      <c r="T228" s="342">
        <v>68.0</v>
      </c>
      <c r="U228" s="342">
        <v>16.0</v>
      </c>
      <c r="V228" s="342">
        <v>25.0</v>
      </c>
      <c r="W228" s="341">
        <v>10.68279412</v>
      </c>
      <c r="X228" s="5">
        <v>1.9625</v>
      </c>
      <c r="Y228" s="5">
        <v>2.858382353</v>
      </c>
      <c r="Z228" s="5">
        <v>2.222794118</v>
      </c>
      <c r="AA228" s="5">
        <v>0.7561764706</v>
      </c>
      <c r="AB228" s="5">
        <v>0.2822058824</v>
      </c>
      <c r="AC228" s="5">
        <v>0.4183946001</v>
      </c>
      <c r="AD228" s="5">
        <v>9.085147059</v>
      </c>
      <c r="AE228" s="5">
        <v>0.7181861124</v>
      </c>
      <c r="AF228" s="5">
        <v>1.556617647</v>
      </c>
      <c r="AG228" s="5">
        <v>0.9639705882</v>
      </c>
      <c r="AH228" s="5">
        <v>18.87667227</v>
      </c>
      <c r="AI228" s="5">
        <v>-0.8763129244</v>
      </c>
      <c r="AJ228" s="5">
        <v>0.315074887</v>
      </c>
      <c r="AK228" s="5">
        <v>-1.171724385</v>
      </c>
      <c r="AL228" s="5">
        <v>-0.6895923652</v>
      </c>
      <c r="AM228" s="5">
        <v>-0.5829134984</v>
      </c>
      <c r="AN228" s="5">
        <v>-0.7487298105</v>
      </c>
      <c r="AO228" s="5">
        <v>-0.9695087024</v>
      </c>
      <c r="AP228" s="5">
        <v>-0.4534559792</v>
      </c>
      <c r="AQ228" s="5">
        <v>0.9946628666</v>
      </c>
    </row>
    <row r="229">
      <c r="A229" s="342">
        <v>228.0</v>
      </c>
      <c r="B229" s="341">
        <v>17.0</v>
      </c>
      <c r="C229" s="341">
        <v>-0.6</v>
      </c>
      <c r="D229" s="341">
        <v>-0.6519097754</v>
      </c>
      <c r="E229" s="342">
        <v>-0.02335497779</v>
      </c>
      <c r="F229" s="342">
        <v>-0.5123684922</v>
      </c>
      <c r="G229" s="342">
        <v>-0.1395412831</v>
      </c>
      <c r="H229" s="343"/>
      <c r="I229" s="343"/>
      <c r="J229" s="342" t="s">
        <v>1941</v>
      </c>
      <c r="K229" s="342" t="s">
        <v>243</v>
      </c>
      <c r="L229" s="342" t="s">
        <v>1404</v>
      </c>
      <c r="M229" s="342" t="s">
        <v>1942</v>
      </c>
      <c r="N229" s="342" t="s">
        <v>1943</v>
      </c>
      <c r="O229" s="342" t="s">
        <v>1368</v>
      </c>
      <c r="P229" s="343"/>
      <c r="Q229" s="342">
        <v>3.0</v>
      </c>
      <c r="R229" s="343"/>
      <c r="S229" s="342" t="s">
        <v>1434</v>
      </c>
      <c r="T229" s="342">
        <v>73.0</v>
      </c>
      <c r="U229" s="342">
        <v>13.0</v>
      </c>
      <c r="V229" s="342">
        <v>24.0</v>
      </c>
      <c r="W229" s="341">
        <v>8.508767123</v>
      </c>
      <c r="X229" s="5">
        <v>0.78</v>
      </c>
      <c r="Y229" s="5">
        <v>4.41</v>
      </c>
      <c r="Z229" s="5">
        <v>1.126986301</v>
      </c>
      <c r="AA229" s="5">
        <v>0.6369863014</v>
      </c>
      <c r="AB229" s="5">
        <v>1.029041096</v>
      </c>
      <c r="AC229" s="5">
        <v>0.4412859191</v>
      </c>
      <c r="AD229" s="5">
        <v>7.546438356</v>
      </c>
      <c r="AE229" s="5">
        <v>0.7079967323</v>
      </c>
      <c r="AF229" s="5">
        <v>1.509178082</v>
      </c>
      <c r="AG229" s="5">
        <v>1.273972603</v>
      </c>
      <c r="AH229" s="5">
        <v>17.38859396</v>
      </c>
      <c r="AI229" s="5">
        <v>-1.241305472</v>
      </c>
      <c r="AJ229" s="5">
        <v>-0.8458794763</v>
      </c>
      <c r="AK229" s="5">
        <v>-0.5508531577</v>
      </c>
      <c r="AL229" s="5">
        <v>-1.195696617</v>
      </c>
      <c r="AM229" s="5">
        <v>-0.9591719705</v>
      </c>
      <c r="AN229" s="5">
        <v>0.6167433858</v>
      </c>
      <c r="AO229" s="5">
        <v>-0.5426808496</v>
      </c>
      <c r="AP229" s="5">
        <v>-0.496434046</v>
      </c>
      <c r="AQ229" s="5">
        <v>0.6039617729</v>
      </c>
    </row>
    <row r="230">
      <c r="A230" s="342">
        <v>229.0</v>
      </c>
      <c r="B230" s="341">
        <v>1.0</v>
      </c>
      <c r="C230" s="341">
        <v>-0.1</v>
      </c>
      <c r="D230" s="341">
        <v>-0.6565346362</v>
      </c>
      <c r="E230" s="342">
        <v>-0.04330508564</v>
      </c>
      <c r="F230" s="342">
        <v>-0.4815733336</v>
      </c>
      <c r="G230" s="342">
        <v>-0.1749613026</v>
      </c>
      <c r="H230" s="342">
        <v>-0.00265727845</v>
      </c>
      <c r="I230" s="343"/>
      <c r="J230" s="342" t="s">
        <v>1944</v>
      </c>
      <c r="K230" s="342" t="s">
        <v>136</v>
      </c>
      <c r="L230" s="342" t="s">
        <v>1413</v>
      </c>
      <c r="M230" s="342" t="s">
        <v>1945</v>
      </c>
      <c r="N230" s="343"/>
      <c r="O230" s="342" t="s">
        <v>1374</v>
      </c>
      <c r="P230" s="342" t="s">
        <v>1423</v>
      </c>
      <c r="Q230" s="342">
        <v>3.0</v>
      </c>
      <c r="R230" s="343"/>
      <c r="S230" s="342" t="s">
        <v>1560</v>
      </c>
      <c r="T230" s="342">
        <v>68.0</v>
      </c>
      <c r="U230" s="342">
        <v>15.0</v>
      </c>
      <c r="V230" s="342">
        <v>24.0</v>
      </c>
      <c r="W230" s="341">
        <v>8.996176471</v>
      </c>
      <c r="X230" s="5">
        <v>1.280147059</v>
      </c>
      <c r="Y230" s="5">
        <v>3.038529412</v>
      </c>
      <c r="Z230" s="5">
        <v>2.055588235</v>
      </c>
      <c r="AA230" s="5">
        <v>0.7277941176</v>
      </c>
      <c r="AB230" s="5">
        <v>0.1023529412</v>
      </c>
      <c r="AC230" s="5">
        <v>0.5038781163</v>
      </c>
      <c r="AD230" s="5">
        <v>6.901470588</v>
      </c>
      <c r="AE230" s="5">
        <v>0.7239787353</v>
      </c>
      <c r="AF230" s="5">
        <v>1.051176471</v>
      </c>
      <c r="AG230" s="5">
        <v>1.024705882</v>
      </c>
      <c r="AH230" s="5">
        <v>14.7358736</v>
      </c>
      <c r="AI230" s="5">
        <v>-1.159475403</v>
      </c>
      <c r="AJ230" s="5">
        <v>-0.3548453028</v>
      </c>
      <c r="AK230" s="5">
        <v>-1.099639535</v>
      </c>
      <c r="AL230" s="5">
        <v>-0.7668172277</v>
      </c>
      <c r="AM230" s="5">
        <v>-0.6725106592</v>
      </c>
      <c r="AN230" s="5">
        <v>-1.077563221</v>
      </c>
      <c r="AO230" s="5">
        <v>0.1635338967</v>
      </c>
      <c r="AP230" s="5">
        <v>-0.2849596381</v>
      </c>
      <c r="AQ230" s="5">
        <v>0.9181170872</v>
      </c>
    </row>
    <row r="231">
      <c r="A231" s="342">
        <v>230.0</v>
      </c>
      <c r="B231" s="341">
        <v>2.0</v>
      </c>
      <c r="C231" s="341">
        <v>-0.2</v>
      </c>
      <c r="D231" s="341">
        <v>-0.666416922</v>
      </c>
      <c r="E231" s="342">
        <v>-7.481471435E-4</v>
      </c>
      <c r="F231" s="342">
        <v>-0.448543772</v>
      </c>
      <c r="G231" s="342">
        <v>-0.21787315</v>
      </c>
      <c r="H231" s="342">
        <v>0.07786631094</v>
      </c>
      <c r="I231" s="343"/>
      <c r="J231" s="342" t="s">
        <v>1946</v>
      </c>
      <c r="K231" s="342" t="s">
        <v>259</v>
      </c>
      <c r="L231" s="342" t="s">
        <v>34</v>
      </c>
      <c r="M231" s="342" t="s">
        <v>1947</v>
      </c>
      <c r="N231" s="342" t="s">
        <v>1948</v>
      </c>
      <c r="O231" s="342" t="s">
        <v>1374</v>
      </c>
      <c r="P231" s="343"/>
      <c r="Q231" s="342">
        <v>1.0</v>
      </c>
      <c r="R231" s="343"/>
      <c r="S231" s="342" t="s">
        <v>1434</v>
      </c>
      <c r="T231" s="342">
        <v>36.0</v>
      </c>
      <c r="U231" s="342">
        <v>13.0</v>
      </c>
      <c r="V231" s="342">
        <v>16.0</v>
      </c>
      <c r="W231" s="341">
        <v>4.931666667</v>
      </c>
      <c r="X231" s="5">
        <v>0.0</v>
      </c>
      <c r="Y231" s="5">
        <v>5.28</v>
      </c>
      <c r="Z231" s="5">
        <v>0.8911111111</v>
      </c>
      <c r="AA231" s="5">
        <v>0.4747222222</v>
      </c>
      <c r="AB231" s="5">
        <v>0.9238888889</v>
      </c>
      <c r="AC231" s="5">
        <v>0.7</v>
      </c>
      <c r="AD231" s="5">
        <v>3.2</v>
      </c>
      <c r="AE231" s="5">
        <v>0.6580331849</v>
      </c>
      <c r="AF231" s="5">
        <v>0.6863888889</v>
      </c>
      <c r="AG231" s="5">
        <v>0.7261111111</v>
      </c>
      <c r="AH231" s="5">
        <v>11.37903954</v>
      </c>
      <c r="AI231" s="5">
        <v>-1.841856896</v>
      </c>
      <c r="AJ231" s="5">
        <v>-1.611667555</v>
      </c>
      <c r="AK231" s="5">
        <v>-0.2027274653</v>
      </c>
      <c r="AL231" s="5">
        <v>-1.304636738</v>
      </c>
      <c r="AM231" s="5">
        <v>-1.471405781</v>
      </c>
      <c r="AN231" s="5">
        <v>0.4244887658</v>
      </c>
      <c r="AO231" s="5">
        <v>1.030668317</v>
      </c>
      <c r="AP231" s="5">
        <v>-0.3541980228</v>
      </c>
      <c r="AQ231" s="5">
        <v>1.294441428</v>
      </c>
    </row>
    <row r="232">
      <c r="A232" s="342">
        <v>231.0</v>
      </c>
      <c r="B232" s="341">
        <v>14.0</v>
      </c>
      <c r="C232" s="341">
        <v>-0.4</v>
      </c>
      <c r="D232" s="341">
        <v>-0.6696553932</v>
      </c>
      <c r="E232" s="342">
        <v>-5.043231977E-6</v>
      </c>
      <c r="F232" s="342">
        <v>-0.4478750536</v>
      </c>
      <c r="G232" s="342">
        <v>-0.2217803396</v>
      </c>
      <c r="H232" s="342">
        <v>1.30182487</v>
      </c>
      <c r="I232" s="343"/>
      <c r="J232" s="342" t="s">
        <v>1949</v>
      </c>
      <c r="K232" s="342" t="s">
        <v>1365</v>
      </c>
      <c r="L232" s="342" t="s">
        <v>1404</v>
      </c>
      <c r="M232" s="342" t="s">
        <v>1950</v>
      </c>
      <c r="N232" s="343"/>
      <c r="O232" s="342" t="s">
        <v>1378</v>
      </c>
      <c r="P232" s="342" t="s">
        <v>1423</v>
      </c>
      <c r="Q232" s="342">
        <v>5.0</v>
      </c>
      <c r="R232" s="343"/>
      <c r="S232" s="342" t="s">
        <v>1370</v>
      </c>
      <c r="T232" s="342">
        <v>77.0</v>
      </c>
      <c r="U232" s="342">
        <v>15.0</v>
      </c>
      <c r="V232" s="342">
        <v>28.0</v>
      </c>
      <c r="W232" s="341">
        <v>11.44194805</v>
      </c>
      <c r="X232" s="5">
        <v>1.558181818</v>
      </c>
      <c r="Y232" s="5">
        <v>3.441688312</v>
      </c>
      <c r="Z232" s="5">
        <v>1.160909091</v>
      </c>
      <c r="AA232" s="5">
        <v>0.5822077922</v>
      </c>
      <c r="AB232" s="5">
        <v>0.1168831169</v>
      </c>
      <c r="AC232" s="5">
        <v>0.4588898783</v>
      </c>
      <c r="AD232" s="5">
        <v>8.750649351</v>
      </c>
      <c r="AE232" s="5">
        <v>0.8170103093</v>
      </c>
      <c r="AF232" s="5">
        <v>2.267532468</v>
      </c>
      <c r="AG232" s="5">
        <v>0.7007792208</v>
      </c>
      <c r="AH232" s="5">
        <v>16.19064101</v>
      </c>
      <c r="AI232" s="5">
        <v>-0.748860262</v>
      </c>
      <c r="AJ232" s="5">
        <v>-0.08187645117</v>
      </c>
      <c r="AK232" s="5">
        <v>-0.9383177289</v>
      </c>
      <c r="AL232" s="5">
        <v>-1.180029209</v>
      </c>
      <c r="AM232" s="5">
        <v>-1.132096284</v>
      </c>
      <c r="AN232" s="5">
        <v>-1.050997032</v>
      </c>
      <c r="AO232" s="5">
        <v>-0.3922335484</v>
      </c>
      <c r="AP232" s="5">
        <v>0.1671673695</v>
      </c>
      <c r="AQ232" s="5">
        <v>1.326367663</v>
      </c>
    </row>
    <row r="233">
      <c r="A233" s="342">
        <v>232.0</v>
      </c>
      <c r="B233" s="347"/>
      <c r="C233" s="347"/>
      <c r="D233" s="341">
        <v>-0.6731524877</v>
      </c>
      <c r="E233" s="342">
        <v>-0.00419056999</v>
      </c>
      <c r="F233" s="342">
        <v>-0.5508555665</v>
      </c>
      <c r="G233" s="342">
        <v>-0.1222969212</v>
      </c>
      <c r="H233" s="342">
        <v>0.1905993361</v>
      </c>
      <c r="I233" s="343"/>
      <c r="J233" s="342" t="s">
        <v>1951</v>
      </c>
      <c r="K233" s="342" t="s">
        <v>148</v>
      </c>
      <c r="L233" s="342" t="s">
        <v>1404</v>
      </c>
      <c r="M233" s="342" t="s">
        <v>1952</v>
      </c>
      <c r="N233" s="343"/>
      <c r="O233" s="342" t="s">
        <v>1374</v>
      </c>
      <c r="P233" s="343"/>
      <c r="Q233" s="342">
        <v>2.0</v>
      </c>
      <c r="R233" s="343"/>
      <c r="S233" s="342" t="s">
        <v>1434</v>
      </c>
      <c r="T233" s="342">
        <v>68.0</v>
      </c>
      <c r="U233" s="342">
        <v>15.0</v>
      </c>
      <c r="V233" s="342">
        <v>21.0</v>
      </c>
      <c r="W233" s="341">
        <v>10.30985294</v>
      </c>
      <c r="X233" s="5">
        <v>1.525</v>
      </c>
      <c r="Y233" s="5">
        <v>3.535</v>
      </c>
      <c r="Z233" s="5">
        <v>1.858970588</v>
      </c>
      <c r="AA233" s="5">
        <v>0.4927941176</v>
      </c>
      <c r="AB233" s="5">
        <v>0.2288235294</v>
      </c>
      <c r="AC233" s="5">
        <v>0.4211694143</v>
      </c>
      <c r="AD233" s="5">
        <v>8.483382353</v>
      </c>
      <c r="AE233" s="5">
        <v>0.8781121967</v>
      </c>
      <c r="AF233" s="5">
        <v>1.866470588</v>
      </c>
      <c r="AG233" s="5">
        <v>1.413970588</v>
      </c>
      <c r="AH233" s="5">
        <v>21.77123287</v>
      </c>
      <c r="AI233" s="5">
        <v>-0.9389251874</v>
      </c>
      <c r="AJ233" s="5">
        <v>-0.114453683</v>
      </c>
      <c r="AK233" s="5">
        <v>-0.9009795725</v>
      </c>
      <c r="AL233" s="5">
        <v>-0.8576260589</v>
      </c>
      <c r="AM233" s="5">
        <v>-1.414356581</v>
      </c>
      <c r="AN233" s="5">
        <v>-0.8463312235</v>
      </c>
      <c r="AO233" s="5">
        <v>-0.8699009536</v>
      </c>
      <c r="AP233" s="5">
        <v>0.5573533583</v>
      </c>
      <c r="AQ233" s="5">
        <v>0.4275198031</v>
      </c>
    </row>
    <row r="234">
      <c r="A234" s="342">
        <v>233.0</v>
      </c>
      <c r="B234" s="341">
        <v>5.0</v>
      </c>
      <c r="C234" s="341">
        <v>-0.6</v>
      </c>
      <c r="D234" s="341">
        <v>-0.6828823037</v>
      </c>
      <c r="E234" s="342">
        <v>-4.667686076E-4</v>
      </c>
      <c r="F234" s="342">
        <v>-0.5182162553</v>
      </c>
      <c r="G234" s="342">
        <v>-0.1646660484</v>
      </c>
      <c r="H234" s="342">
        <v>-1.049463941</v>
      </c>
      <c r="I234" s="343"/>
      <c r="J234" s="342" t="s">
        <v>1953</v>
      </c>
      <c r="K234" s="342" t="s">
        <v>126</v>
      </c>
      <c r="L234" s="342" t="s">
        <v>1380</v>
      </c>
      <c r="M234" s="342" t="s">
        <v>1954</v>
      </c>
      <c r="N234" s="342" t="s">
        <v>1955</v>
      </c>
      <c r="O234" s="342" t="s">
        <v>1368</v>
      </c>
      <c r="P234" s="342" t="s">
        <v>1551</v>
      </c>
      <c r="Q234" s="342">
        <v>3.0</v>
      </c>
      <c r="R234" s="343"/>
      <c r="S234" s="342" t="s">
        <v>1434</v>
      </c>
      <c r="T234" s="342">
        <v>69.0</v>
      </c>
      <c r="U234" s="342">
        <v>15.0</v>
      </c>
      <c r="V234" s="342">
        <v>23.0</v>
      </c>
      <c r="W234" s="341">
        <v>8.543478261</v>
      </c>
      <c r="X234" s="5">
        <v>0.5657971014</v>
      </c>
      <c r="Y234" s="5">
        <v>2.903768116</v>
      </c>
      <c r="Z234" s="5">
        <v>2.177826087</v>
      </c>
      <c r="AA234" s="5">
        <v>0.7188405797</v>
      </c>
      <c r="AB234" s="5">
        <v>0.292173913</v>
      </c>
      <c r="AC234" s="5">
        <v>0.4988607513</v>
      </c>
      <c r="AD234" s="5">
        <v>6.678695652</v>
      </c>
      <c r="AE234" s="5">
        <v>0.8</v>
      </c>
      <c r="AF234" s="5">
        <v>1.642753623</v>
      </c>
      <c r="AG234" s="5">
        <v>1.119130435</v>
      </c>
      <c r="AH234" s="5">
        <v>15.94986884</v>
      </c>
      <c r="AI234" s="5">
        <v>-1.235477896</v>
      </c>
      <c r="AJ234" s="5">
        <v>-1.05617951</v>
      </c>
      <c r="AK234" s="5">
        <v>-1.153563523</v>
      </c>
      <c r="AL234" s="5">
        <v>-0.7103610723</v>
      </c>
      <c r="AM234" s="5">
        <v>-0.7007751086</v>
      </c>
      <c r="AN234" s="5">
        <v>-0.7305048012</v>
      </c>
      <c r="AO234" s="5">
        <v>0.1067133981</v>
      </c>
      <c r="AP234" s="5">
        <v>0.01709008338</v>
      </c>
      <c r="AQ234" s="5">
        <v>0.7991121317</v>
      </c>
    </row>
    <row r="235">
      <c r="A235" s="342">
        <v>234.0</v>
      </c>
      <c r="B235" s="347"/>
      <c r="C235" s="347"/>
      <c r="D235" s="341">
        <v>-0.6836864545</v>
      </c>
      <c r="E235" s="342">
        <v>-8.441940579E-4</v>
      </c>
      <c r="F235" s="342">
        <v>-0.4789368242</v>
      </c>
      <c r="G235" s="342">
        <v>-0.2047496304</v>
      </c>
      <c r="H235" s="342">
        <v>0.5126936937</v>
      </c>
      <c r="I235" s="343"/>
      <c r="J235" s="342" t="s">
        <v>1956</v>
      </c>
      <c r="K235" s="342" t="s">
        <v>89</v>
      </c>
      <c r="L235" s="342" t="s">
        <v>1404</v>
      </c>
      <c r="M235" s="342" t="s">
        <v>1957</v>
      </c>
      <c r="N235" s="343"/>
      <c r="O235" s="342" t="s">
        <v>1374</v>
      </c>
      <c r="P235" s="343"/>
      <c r="Q235" s="342">
        <v>1.0</v>
      </c>
      <c r="R235" s="343"/>
      <c r="S235" s="342" t="s">
        <v>1434</v>
      </c>
      <c r="T235" s="342">
        <v>68.0</v>
      </c>
      <c r="U235" s="342">
        <v>14.0</v>
      </c>
      <c r="V235" s="342">
        <v>18.0</v>
      </c>
      <c r="W235" s="341">
        <v>7.0025</v>
      </c>
      <c r="X235" s="5">
        <v>1.174558824</v>
      </c>
      <c r="Y235" s="5">
        <v>3.514852941</v>
      </c>
      <c r="Z235" s="5">
        <v>1.832352941</v>
      </c>
      <c r="AA235" s="5">
        <v>0.6880882353</v>
      </c>
      <c r="AB235" s="5">
        <v>0.5486764706</v>
      </c>
      <c r="AC235" s="5">
        <v>0.416664708</v>
      </c>
      <c r="AD235" s="5">
        <v>6.256617647</v>
      </c>
      <c r="AE235" s="5">
        <v>0.8009205984</v>
      </c>
      <c r="AF235" s="5">
        <v>0.7667647059</v>
      </c>
      <c r="AG235" s="5">
        <v>0.8335294118</v>
      </c>
      <c r="AH235" s="5">
        <v>17.47168111</v>
      </c>
      <c r="AI235" s="5">
        <v>-1.494189303</v>
      </c>
      <c r="AJ235" s="5">
        <v>-0.458509677</v>
      </c>
      <c r="AK235" s="5">
        <v>-0.9090413068</v>
      </c>
      <c r="AL235" s="5">
        <v>-0.8699195507</v>
      </c>
      <c r="AM235" s="5">
        <v>-0.7978538375</v>
      </c>
      <c r="AN235" s="5">
        <v>-0.2615293689</v>
      </c>
      <c r="AO235" s="5">
        <v>-0.6870750004</v>
      </c>
      <c r="AP235" s="5">
        <v>0.008626407545</v>
      </c>
      <c r="AQ235" s="5">
        <v>1.159060219</v>
      </c>
    </row>
    <row r="236">
      <c r="A236" s="342">
        <v>235.0</v>
      </c>
      <c r="B236" s="347"/>
      <c r="C236" s="347"/>
      <c r="D236" s="341">
        <v>-0.6843281646</v>
      </c>
      <c r="E236" s="342">
        <v>-0.002315244203</v>
      </c>
      <c r="F236" s="342">
        <v>-0.4348382112</v>
      </c>
      <c r="G236" s="342">
        <v>-0.2494899534</v>
      </c>
      <c r="H236" s="342">
        <v>0.2872276434</v>
      </c>
      <c r="I236" s="343"/>
      <c r="J236" s="342" t="s">
        <v>1958</v>
      </c>
      <c r="K236" s="342" t="s">
        <v>98</v>
      </c>
      <c r="L236" s="342" t="s">
        <v>34</v>
      </c>
      <c r="M236" s="342" t="s">
        <v>1959</v>
      </c>
      <c r="N236" s="343"/>
      <c r="O236" s="342" t="s">
        <v>1374</v>
      </c>
      <c r="P236" s="342" t="s">
        <v>1399</v>
      </c>
      <c r="Q236" s="342">
        <v>1.0</v>
      </c>
      <c r="R236" s="343"/>
      <c r="S236" s="342" t="s">
        <v>1960</v>
      </c>
      <c r="T236" s="342">
        <v>44.0</v>
      </c>
      <c r="U236" s="342">
        <v>13.0</v>
      </c>
      <c r="V236" s="342">
        <v>14.0</v>
      </c>
      <c r="W236" s="341">
        <v>6.373181818</v>
      </c>
      <c r="X236" s="5">
        <v>0.0</v>
      </c>
      <c r="Y236" s="5">
        <v>4.859090909</v>
      </c>
      <c r="Z236" s="5">
        <v>0.8922727273</v>
      </c>
      <c r="AA236" s="5">
        <v>0.4572727273</v>
      </c>
      <c r="AB236" s="5">
        <v>0.9147727273</v>
      </c>
      <c r="AC236" s="5">
        <v>0.6439855447</v>
      </c>
      <c r="AD236" s="5">
        <v>4.402272727</v>
      </c>
      <c r="AE236" s="5">
        <v>0.6656626506</v>
      </c>
      <c r="AF236" s="5">
        <v>1.056363636</v>
      </c>
      <c r="AG236" s="5">
        <v>0.5145454545</v>
      </c>
      <c r="AH236" s="5">
        <v>17.02030653</v>
      </c>
      <c r="AI236" s="5">
        <v>-1.59984413</v>
      </c>
      <c r="AJ236" s="5">
        <v>-1.611667555</v>
      </c>
      <c r="AK236" s="5">
        <v>-0.3711519121</v>
      </c>
      <c r="AL236" s="5">
        <v>-1.30410024</v>
      </c>
      <c r="AM236" s="5">
        <v>-1.526490192</v>
      </c>
      <c r="AN236" s="5">
        <v>0.4078212679</v>
      </c>
      <c r="AO236" s="5">
        <v>1.044240752</v>
      </c>
      <c r="AP236" s="5">
        <v>-0.5134333079</v>
      </c>
      <c r="AQ236" s="5">
        <v>1.561081416</v>
      </c>
    </row>
    <row r="237">
      <c r="A237" s="342">
        <v>236.0</v>
      </c>
      <c r="B237" s="347"/>
      <c r="C237" s="347"/>
      <c r="D237" s="341">
        <v>-0.6854047571</v>
      </c>
      <c r="E237" s="342">
        <v>-0.002257509337</v>
      </c>
      <c r="F237" s="342">
        <v>-0.4809745632</v>
      </c>
      <c r="G237" s="342">
        <v>-0.204430194</v>
      </c>
      <c r="H237" s="342">
        <v>-0.1637044572</v>
      </c>
      <c r="I237" s="343"/>
      <c r="J237" s="342" t="s">
        <v>1961</v>
      </c>
      <c r="K237" s="342" t="s">
        <v>63</v>
      </c>
      <c r="L237" s="342" t="s">
        <v>1404</v>
      </c>
      <c r="M237" s="342" t="s">
        <v>1962</v>
      </c>
      <c r="N237" s="342" t="s">
        <v>1963</v>
      </c>
      <c r="O237" s="342" t="s">
        <v>1374</v>
      </c>
      <c r="P237" s="343"/>
      <c r="Q237" s="342">
        <v>3.0</v>
      </c>
      <c r="R237" s="343"/>
      <c r="S237" s="342" t="s">
        <v>1434</v>
      </c>
      <c r="T237" s="342">
        <v>46.0</v>
      </c>
      <c r="U237" s="342">
        <v>13.0</v>
      </c>
      <c r="V237" s="342">
        <v>18.0</v>
      </c>
      <c r="W237" s="341">
        <v>5.075869565</v>
      </c>
      <c r="X237" s="5">
        <v>0.2439130435</v>
      </c>
      <c r="Y237" s="5">
        <v>4.743043478</v>
      </c>
      <c r="Z237" s="5">
        <v>1.373695652</v>
      </c>
      <c r="AA237" s="5">
        <v>1.032826087</v>
      </c>
      <c r="AB237" s="5">
        <v>0.19</v>
      </c>
      <c r="AC237" s="5">
        <v>0.5336433574</v>
      </c>
      <c r="AD237" s="5">
        <v>3.786521739</v>
      </c>
      <c r="AE237" s="5">
        <v>0.6959433601</v>
      </c>
      <c r="AF237" s="5">
        <v>1.136086957</v>
      </c>
      <c r="AG237" s="5">
        <v>0.837173913</v>
      </c>
      <c r="AH237" s="5">
        <v>12.25295542</v>
      </c>
      <c r="AI237" s="5">
        <v>-1.817646993</v>
      </c>
      <c r="AJ237" s="5">
        <v>-1.372198708</v>
      </c>
      <c r="AK237" s="5">
        <v>-0.4175876503</v>
      </c>
      <c r="AL237" s="5">
        <v>-1.081752685</v>
      </c>
      <c r="AM237" s="5">
        <v>0.2904115639</v>
      </c>
      <c r="AN237" s="5">
        <v>-0.9173140693</v>
      </c>
      <c r="AO237" s="5">
        <v>0.2579425826</v>
      </c>
      <c r="AP237" s="5">
        <v>-0.4250920985</v>
      </c>
      <c r="AQ237" s="5">
        <v>1.154466988</v>
      </c>
    </row>
    <row r="238">
      <c r="A238" s="342">
        <v>237.0</v>
      </c>
      <c r="B238" s="347"/>
      <c r="C238" s="347"/>
      <c r="D238" s="341">
        <v>-0.6872151001</v>
      </c>
      <c r="E238" s="342">
        <v>0.06506444025</v>
      </c>
      <c r="F238" s="342">
        <v>-0.4626264296</v>
      </c>
      <c r="G238" s="342">
        <v>-0.2245886705</v>
      </c>
      <c r="H238" s="342">
        <v>0.4804842579</v>
      </c>
      <c r="I238" s="343"/>
      <c r="J238" s="342" t="s">
        <v>1964</v>
      </c>
      <c r="K238" s="342" t="s">
        <v>110</v>
      </c>
      <c r="L238" s="342" t="s">
        <v>1380</v>
      </c>
      <c r="M238" s="342" t="s">
        <v>1965</v>
      </c>
      <c r="N238" s="343"/>
      <c r="O238" s="342" t="s">
        <v>1368</v>
      </c>
      <c r="P238" s="342" t="s">
        <v>1399</v>
      </c>
      <c r="Q238" s="342">
        <v>5.0</v>
      </c>
      <c r="R238" s="343"/>
      <c r="S238" s="342" t="s">
        <v>1434</v>
      </c>
      <c r="T238" s="342">
        <v>73.0</v>
      </c>
      <c r="U238" s="342">
        <v>16.0</v>
      </c>
      <c r="V238" s="342">
        <v>27.0</v>
      </c>
      <c r="W238" s="341">
        <v>9.274109589</v>
      </c>
      <c r="X238" s="5">
        <v>1.243150685</v>
      </c>
      <c r="Y238" s="5">
        <v>2.753972603</v>
      </c>
      <c r="Z238" s="5">
        <v>1.763287671</v>
      </c>
      <c r="AA238" s="5">
        <v>0.8032876712</v>
      </c>
      <c r="AB238" s="5">
        <v>0.3442465753</v>
      </c>
      <c r="AC238" s="5">
        <v>0.4824420072</v>
      </c>
      <c r="AD238" s="5">
        <v>7.056849315</v>
      </c>
      <c r="AE238" s="5">
        <v>0.683996626</v>
      </c>
      <c r="AF238" s="5">
        <v>1.786438356</v>
      </c>
      <c r="AG238" s="5">
        <v>0.6946575342</v>
      </c>
      <c r="AH238" s="5">
        <v>13.66201553</v>
      </c>
      <c r="AI238" s="5">
        <v>-1.112813831</v>
      </c>
      <c r="AJ238" s="5">
        <v>-0.3911675875</v>
      </c>
      <c r="AK238" s="5">
        <v>-1.21350337</v>
      </c>
      <c r="AL238" s="5">
        <v>-0.9018176867</v>
      </c>
      <c r="AM238" s="5">
        <v>-0.4341932769</v>
      </c>
      <c r="AN238" s="5">
        <v>-0.6352979559</v>
      </c>
      <c r="AO238" s="5">
        <v>-0.06391486575</v>
      </c>
      <c r="AP238" s="5">
        <v>-0.7450122277</v>
      </c>
      <c r="AQ238" s="5">
        <v>1.334082934</v>
      </c>
    </row>
    <row r="239">
      <c r="A239" s="342">
        <v>238.0</v>
      </c>
      <c r="B239" s="347"/>
      <c r="C239" s="347"/>
      <c r="D239" s="341">
        <v>-0.687631565</v>
      </c>
      <c r="E239" s="342">
        <v>1.319654849E-4</v>
      </c>
      <c r="F239" s="342">
        <v>-0.453558314</v>
      </c>
      <c r="G239" s="342">
        <v>-0.234073251</v>
      </c>
      <c r="H239" s="342">
        <v>-1.194406401</v>
      </c>
      <c r="I239" s="343"/>
      <c r="J239" s="342" t="s">
        <v>1966</v>
      </c>
      <c r="K239" s="342" t="s">
        <v>57</v>
      </c>
      <c r="L239" s="342" t="s">
        <v>1380</v>
      </c>
      <c r="M239" s="342" t="s">
        <v>1967</v>
      </c>
      <c r="N239" s="343"/>
      <c r="O239" s="342" t="s">
        <v>1374</v>
      </c>
      <c r="P239" s="342" t="s">
        <v>1968</v>
      </c>
      <c r="Q239" s="342">
        <v>1.0</v>
      </c>
      <c r="R239" s="343"/>
      <c r="S239" s="342" t="s">
        <v>1434</v>
      </c>
      <c r="T239" s="342">
        <v>62.0</v>
      </c>
      <c r="U239" s="342">
        <v>13.0</v>
      </c>
      <c r="V239" s="342">
        <v>23.0</v>
      </c>
      <c r="W239" s="341">
        <v>8.60483871</v>
      </c>
      <c r="X239" s="5">
        <v>1.889516129</v>
      </c>
      <c r="Y239" s="5">
        <v>2.758548387</v>
      </c>
      <c r="Z239" s="5">
        <v>1.451935484</v>
      </c>
      <c r="AA239" s="5">
        <v>0.8227419355</v>
      </c>
      <c r="AB239" s="5">
        <v>0.1929032258</v>
      </c>
      <c r="AC239" s="5">
        <v>0.4076559063</v>
      </c>
      <c r="AD239" s="5">
        <v>7.25983871</v>
      </c>
      <c r="AE239" s="5">
        <v>0.7760138321</v>
      </c>
      <c r="AF239" s="5">
        <v>1.026129032</v>
      </c>
      <c r="AG239" s="5">
        <v>0.6272580645</v>
      </c>
      <c r="AH239" s="5">
        <v>15.55699886</v>
      </c>
      <c r="AI239" s="5">
        <v>-1.225176227</v>
      </c>
      <c r="AJ239" s="5">
        <v>0.2434208122</v>
      </c>
      <c r="AK239" s="5">
        <v>-1.211672395</v>
      </c>
      <c r="AL239" s="5">
        <v>-1.045617232</v>
      </c>
      <c r="AM239" s="5">
        <v>-0.3727802276</v>
      </c>
      <c r="AN239" s="5">
        <v>-0.9120059679</v>
      </c>
      <c r="AO239" s="5">
        <v>-0.8957920504</v>
      </c>
      <c r="AP239" s="5">
        <v>-0.08142923234</v>
      </c>
      <c r="AQ239" s="5">
        <v>1.419027694</v>
      </c>
    </row>
    <row r="240">
      <c r="A240" s="342">
        <v>239.0</v>
      </c>
      <c r="B240" s="341">
        <v>1.0</v>
      </c>
      <c r="C240" s="341">
        <v>-0.1</v>
      </c>
      <c r="D240" s="341">
        <v>-0.6896367604</v>
      </c>
      <c r="E240" s="342">
        <v>0.1204873127</v>
      </c>
      <c r="F240" s="342">
        <v>-0.449835521</v>
      </c>
      <c r="G240" s="342">
        <v>-0.2398012394</v>
      </c>
      <c r="H240" s="342">
        <v>0.1905993361</v>
      </c>
      <c r="I240" s="343"/>
      <c r="J240" s="342" t="s">
        <v>1969</v>
      </c>
      <c r="K240" s="342" t="s">
        <v>159</v>
      </c>
      <c r="L240" s="342" t="s">
        <v>1404</v>
      </c>
      <c r="M240" s="342" t="s">
        <v>1970</v>
      </c>
      <c r="N240" s="343"/>
      <c r="O240" s="342" t="s">
        <v>1368</v>
      </c>
      <c r="P240" s="343"/>
      <c r="Q240" s="342">
        <v>3.0</v>
      </c>
      <c r="R240" s="343"/>
      <c r="S240" s="342" t="s">
        <v>1434</v>
      </c>
      <c r="T240" s="342">
        <v>73.0</v>
      </c>
      <c r="U240" s="342">
        <v>14.0</v>
      </c>
      <c r="V240" s="342">
        <v>16.0</v>
      </c>
      <c r="W240" s="341">
        <v>6.522054795</v>
      </c>
      <c r="X240" s="5">
        <v>0.4575342466</v>
      </c>
      <c r="Y240" s="5">
        <v>2.743972603</v>
      </c>
      <c r="Z240" s="5">
        <v>1.47</v>
      </c>
      <c r="AA240" s="5">
        <v>0.8167123288</v>
      </c>
      <c r="AB240" s="5">
        <v>0.718630137</v>
      </c>
      <c r="AC240" s="5">
        <v>0.4726937456</v>
      </c>
      <c r="AD240" s="5">
        <v>5.423013699</v>
      </c>
      <c r="AE240" s="5">
        <v>0.7859685383</v>
      </c>
      <c r="AF240" s="5">
        <v>1.193013699</v>
      </c>
      <c r="AG240" s="5">
        <v>0.5879452055</v>
      </c>
      <c r="AH240" s="5">
        <v>18.14271827</v>
      </c>
      <c r="AI240" s="5">
        <v>-1.574850178</v>
      </c>
      <c r="AJ240" s="5">
        <v>-1.162469771</v>
      </c>
      <c r="AK240" s="5">
        <v>-1.217504814</v>
      </c>
      <c r="AL240" s="5">
        <v>-1.037274046</v>
      </c>
      <c r="AM240" s="5">
        <v>-0.3918144367</v>
      </c>
      <c r="AN240" s="5">
        <v>0.049204742</v>
      </c>
      <c r="AO240" s="5">
        <v>-0.1320871804</v>
      </c>
      <c r="AP240" s="5">
        <v>-0.05029839911</v>
      </c>
      <c r="AQ240" s="5">
        <v>1.468574394</v>
      </c>
    </row>
    <row r="241">
      <c r="A241" s="342">
        <v>240.0</v>
      </c>
      <c r="B241" s="341">
        <v>5.0</v>
      </c>
      <c r="C241" s="341">
        <v>-1.9</v>
      </c>
      <c r="D241" s="341">
        <v>-0.6979063515</v>
      </c>
      <c r="E241" s="342">
        <v>-0.001301983541</v>
      </c>
      <c r="F241" s="342">
        <v>-0.5193005672</v>
      </c>
      <c r="G241" s="342">
        <v>-0.1786057842</v>
      </c>
      <c r="H241" s="342">
        <v>1.269615434</v>
      </c>
      <c r="I241" s="343"/>
      <c r="J241" s="342" t="s">
        <v>1971</v>
      </c>
      <c r="K241" s="342" t="s">
        <v>236</v>
      </c>
      <c r="L241" s="342" t="s">
        <v>34</v>
      </c>
      <c r="M241" s="342" t="s">
        <v>1972</v>
      </c>
      <c r="N241" s="343"/>
      <c r="O241" s="342" t="s">
        <v>1368</v>
      </c>
      <c r="P241" s="342" t="s">
        <v>1399</v>
      </c>
      <c r="Q241" s="342">
        <v>4.0</v>
      </c>
      <c r="R241" s="343"/>
      <c r="S241" s="342" t="s">
        <v>1434</v>
      </c>
      <c r="T241" s="342">
        <v>73.0</v>
      </c>
      <c r="U241" s="342">
        <v>13.0</v>
      </c>
      <c r="V241" s="342">
        <v>16.0</v>
      </c>
      <c r="W241" s="341">
        <v>9.274109589</v>
      </c>
      <c r="X241" s="5">
        <v>0.4224657534</v>
      </c>
      <c r="Y241" s="5">
        <v>3.976986301</v>
      </c>
      <c r="Z241" s="5">
        <v>1.084794521</v>
      </c>
      <c r="AA241" s="5">
        <v>0.4553424658</v>
      </c>
      <c r="AB241" s="5">
        <v>0.1932876712</v>
      </c>
      <c r="AC241" s="5">
        <v>0.5902420725</v>
      </c>
      <c r="AD241" s="5">
        <v>6.207808219</v>
      </c>
      <c r="AE241" s="5">
        <v>0.8180213314</v>
      </c>
      <c r="AF241" s="5">
        <v>1.862328767</v>
      </c>
      <c r="AG241" s="5">
        <v>1.031506849</v>
      </c>
      <c r="AH241" s="5">
        <v>22.44240163</v>
      </c>
      <c r="AI241" s="5">
        <v>-1.112813831</v>
      </c>
      <c r="AJ241" s="5">
        <v>-1.196899302</v>
      </c>
      <c r="AK241" s="5">
        <v>-0.7241211964</v>
      </c>
      <c r="AL241" s="5">
        <v>-1.215183099</v>
      </c>
      <c r="AM241" s="5">
        <v>-1.532583624</v>
      </c>
      <c r="AN241" s="5">
        <v>-0.9113030686</v>
      </c>
      <c r="AO241" s="5">
        <v>0.9660720375</v>
      </c>
      <c r="AP241" s="5">
        <v>0.1435812716</v>
      </c>
      <c r="AQ241" s="5">
        <v>0.9095457066</v>
      </c>
    </row>
    <row r="242">
      <c r="A242" s="342">
        <v>241.0</v>
      </c>
      <c r="B242" s="347"/>
      <c r="C242" s="347"/>
      <c r="D242" s="341">
        <v>-0.7009356556</v>
      </c>
      <c r="E242" s="342">
        <v>-0.01033761253</v>
      </c>
      <c r="F242" s="342">
        <v>-0.5207463922</v>
      </c>
      <c r="G242" s="342">
        <v>-0.1801892635</v>
      </c>
      <c r="H242" s="342">
        <v>0.01344743943</v>
      </c>
      <c r="I242" s="343"/>
      <c r="J242" s="342" t="s">
        <v>1973</v>
      </c>
      <c r="K242" s="342" t="s">
        <v>169</v>
      </c>
      <c r="L242" s="342" t="s">
        <v>1413</v>
      </c>
      <c r="M242" s="342" t="s">
        <v>1974</v>
      </c>
      <c r="N242" s="343"/>
      <c r="O242" s="342" t="s">
        <v>1368</v>
      </c>
      <c r="P242" s="343"/>
      <c r="Q242" s="342">
        <v>4.0</v>
      </c>
      <c r="R242" s="343"/>
      <c r="S242" s="342" t="s">
        <v>1434</v>
      </c>
      <c r="T242" s="342">
        <v>73.0</v>
      </c>
      <c r="U242" s="342">
        <v>15.0</v>
      </c>
      <c r="V242" s="342">
        <v>23.0</v>
      </c>
      <c r="W242" s="341">
        <v>8.728493151</v>
      </c>
      <c r="X242" s="5">
        <v>2.018219178</v>
      </c>
      <c r="Y242" s="5">
        <v>1.998630137</v>
      </c>
      <c r="Z242" s="5">
        <v>1.905616438</v>
      </c>
      <c r="AA242" s="5">
        <v>0.5805479452</v>
      </c>
      <c r="AB242" s="5">
        <v>0.1906849315</v>
      </c>
      <c r="AC242" s="5">
        <v>0.4190727347</v>
      </c>
      <c r="AD242" s="5">
        <v>7.064520548</v>
      </c>
      <c r="AE242" s="5">
        <v>0.9179413639</v>
      </c>
      <c r="AF242" s="5">
        <v>0.8597260274</v>
      </c>
      <c r="AG242" s="5">
        <v>1.02260274</v>
      </c>
      <c r="AH242" s="5">
        <v>16.79006387</v>
      </c>
      <c r="AI242" s="5">
        <v>-1.204416159</v>
      </c>
      <c r="AJ242" s="5">
        <v>0.3697788387</v>
      </c>
      <c r="AK242" s="5">
        <v>-1.515749483</v>
      </c>
      <c r="AL242" s="5">
        <v>-0.8360824427</v>
      </c>
      <c r="AM242" s="5">
        <v>-1.137336074</v>
      </c>
      <c r="AN242" s="5">
        <v>-0.9160617775</v>
      </c>
      <c r="AO242" s="5">
        <v>-0.7485949823</v>
      </c>
      <c r="AP242" s="5">
        <v>0.380976835</v>
      </c>
      <c r="AQ242" s="5">
        <v>0.9207677155</v>
      </c>
    </row>
    <row r="243">
      <c r="A243" s="342">
        <v>242.0</v>
      </c>
      <c r="B243" s="341">
        <v>5.0</v>
      </c>
      <c r="C243" s="341">
        <v>0.8</v>
      </c>
      <c r="D243" s="341">
        <v>-0.7026441201</v>
      </c>
      <c r="E243" s="342">
        <v>5.563977054E-4</v>
      </c>
      <c r="F243" s="342">
        <v>-0.5028135453</v>
      </c>
      <c r="G243" s="342">
        <v>-0.1998305749</v>
      </c>
      <c r="H243" s="342">
        <v>1.140777691</v>
      </c>
      <c r="I243" s="343"/>
      <c r="J243" s="342" t="s">
        <v>1975</v>
      </c>
      <c r="K243" s="342" t="s">
        <v>180</v>
      </c>
      <c r="L243" s="342" t="s">
        <v>1380</v>
      </c>
      <c r="M243" s="342" t="s">
        <v>1976</v>
      </c>
      <c r="N243" s="343"/>
      <c r="O243" s="342" t="s">
        <v>1368</v>
      </c>
      <c r="P243" s="343"/>
      <c r="Q243" s="342">
        <v>5.0</v>
      </c>
      <c r="R243" s="343"/>
      <c r="S243" s="342" t="s">
        <v>1370</v>
      </c>
      <c r="T243" s="342">
        <v>73.0</v>
      </c>
      <c r="U243" s="342">
        <v>16.0</v>
      </c>
      <c r="V243" s="342">
        <v>28.0</v>
      </c>
      <c r="W243" s="341">
        <v>10.7169863</v>
      </c>
      <c r="X243" s="5">
        <v>1.703561644</v>
      </c>
      <c r="Y243" s="5">
        <v>2.945890411</v>
      </c>
      <c r="Z243" s="5">
        <v>1.413972603</v>
      </c>
      <c r="AA243" s="5">
        <v>0.754109589</v>
      </c>
      <c r="AB243" s="5">
        <v>0.178630137</v>
      </c>
      <c r="AC243" s="5">
        <v>0.4008342493</v>
      </c>
      <c r="AD243" s="5">
        <v>9.720821918</v>
      </c>
      <c r="AE243" s="5">
        <v>0.837012682</v>
      </c>
      <c r="AF243" s="5">
        <v>1.458219178</v>
      </c>
      <c r="AG243" s="5">
        <v>0.8836986301</v>
      </c>
      <c r="AH243" s="5">
        <v>16.82193108</v>
      </c>
      <c r="AI243" s="5">
        <v>-0.8705724748</v>
      </c>
      <c r="AJ243" s="5">
        <v>0.06085449423</v>
      </c>
      <c r="AK243" s="5">
        <v>-1.136708519</v>
      </c>
      <c r="AL243" s="5">
        <v>-1.063150576</v>
      </c>
      <c r="AM243" s="5">
        <v>-0.5894382118</v>
      </c>
      <c r="AN243" s="5">
        <v>-0.9381021131</v>
      </c>
      <c r="AO243" s="5">
        <v>-1.297752408</v>
      </c>
      <c r="AP243" s="5">
        <v>0.2137168473</v>
      </c>
      <c r="AQ243" s="5">
        <v>1.095831054</v>
      </c>
    </row>
    <row r="244">
      <c r="A244" s="342">
        <v>243.0</v>
      </c>
      <c r="B244" s="341">
        <v>1.0</v>
      </c>
      <c r="C244" s="341">
        <v>-0.1</v>
      </c>
      <c r="D244" s="341">
        <v>-0.7045864807</v>
      </c>
      <c r="E244" s="342">
        <v>-0.001215846813</v>
      </c>
      <c r="F244" s="342">
        <v>-0.5580425556</v>
      </c>
      <c r="G244" s="342">
        <v>-0.1465439251</v>
      </c>
      <c r="H244" s="342">
        <v>0.7059503082</v>
      </c>
      <c r="I244" s="343"/>
      <c r="J244" s="342" t="s">
        <v>1977</v>
      </c>
      <c r="K244" s="342" t="s">
        <v>40</v>
      </c>
      <c r="L244" s="342" t="s">
        <v>1366</v>
      </c>
      <c r="M244" s="342" t="s">
        <v>1978</v>
      </c>
      <c r="N244" s="343"/>
      <c r="O244" s="342" t="s">
        <v>1374</v>
      </c>
      <c r="P244" s="342" t="s">
        <v>1746</v>
      </c>
      <c r="Q244" s="342">
        <v>4.0</v>
      </c>
      <c r="R244" s="343"/>
      <c r="S244" s="342" t="s">
        <v>1434</v>
      </c>
      <c r="T244" s="342">
        <v>59.0</v>
      </c>
      <c r="U244" s="342">
        <v>16.0</v>
      </c>
      <c r="V244" s="342">
        <v>20.0</v>
      </c>
      <c r="W244" s="341">
        <v>7.574915254</v>
      </c>
      <c r="X244" s="5">
        <v>1.094237288</v>
      </c>
      <c r="Y244" s="5">
        <v>4.042542373</v>
      </c>
      <c r="Z244" s="5">
        <v>2.368305085</v>
      </c>
      <c r="AA244" s="5">
        <v>0.5455932203</v>
      </c>
      <c r="AB244" s="5">
        <v>0.1606779661</v>
      </c>
      <c r="AC244" s="5">
        <v>0.4542930195</v>
      </c>
      <c r="AD244" s="5">
        <v>6.164915254</v>
      </c>
      <c r="AE244" s="5">
        <v>0.8389391979</v>
      </c>
      <c r="AF244" s="5">
        <v>1.048135593</v>
      </c>
      <c r="AG244" s="5">
        <v>1.265762712</v>
      </c>
      <c r="AH244" s="5">
        <v>17.34809971</v>
      </c>
      <c r="AI244" s="5">
        <v>-1.398087781</v>
      </c>
      <c r="AJ244" s="5">
        <v>-0.5373677209</v>
      </c>
      <c r="AK244" s="5">
        <v>-0.6978892967</v>
      </c>
      <c r="AL244" s="5">
        <v>-0.6223874065</v>
      </c>
      <c r="AM244" s="5">
        <v>-1.24768084</v>
      </c>
      <c r="AN244" s="5">
        <v>-0.9709248935</v>
      </c>
      <c r="AO244" s="5">
        <v>-0.3223826032</v>
      </c>
      <c r="AP244" s="5">
        <v>0.1600286964</v>
      </c>
      <c r="AQ244" s="5">
        <v>0.6143088455</v>
      </c>
    </row>
    <row r="245">
      <c r="A245" s="342">
        <v>244.0</v>
      </c>
      <c r="B245" s="341">
        <v>2.0</v>
      </c>
      <c r="C245" s="341">
        <v>-0.2</v>
      </c>
      <c r="D245" s="341">
        <v>-0.7114744316</v>
      </c>
      <c r="E245" s="342">
        <v>4.51153434E-4</v>
      </c>
      <c r="F245" s="342">
        <v>-0.5335183152</v>
      </c>
      <c r="G245" s="342">
        <v>-0.1779561164</v>
      </c>
      <c r="H245" s="342">
        <v>0.738159744</v>
      </c>
      <c r="I245" s="343"/>
      <c r="J245" s="342" t="s">
        <v>1979</v>
      </c>
      <c r="K245" s="342" t="s">
        <v>180</v>
      </c>
      <c r="L245" s="342" t="s">
        <v>1404</v>
      </c>
      <c r="M245" s="342" t="s">
        <v>1980</v>
      </c>
      <c r="N245" s="343"/>
      <c r="O245" s="342" t="s">
        <v>1374</v>
      </c>
      <c r="P245" s="343"/>
      <c r="Q245" s="342">
        <v>2.0</v>
      </c>
      <c r="R245" s="343"/>
      <c r="S245" s="342" t="s">
        <v>1434</v>
      </c>
      <c r="T245" s="342">
        <v>68.0</v>
      </c>
      <c r="U245" s="342">
        <v>16.0</v>
      </c>
      <c r="V245" s="342">
        <v>20.0</v>
      </c>
      <c r="W245" s="341">
        <v>12.60455882</v>
      </c>
      <c r="X245" s="5">
        <v>1.704264706</v>
      </c>
      <c r="Y245" s="5">
        <v>3.198382353</v>
      </c>
      <c r="Z245" s="5">
        <v>0.8416176471</v>
      </c>
      <c r="AA245" s="5">
        <v>0.6798529412</v>
      </c>
      <c r="AB245" s="5">
        <v>0.3766176471</v>
      </c>
      <c r="AC245" s="5">
        <v>0.4587010602</v>
      </c>
      <c r="AD245" s="5">
        <v>9.931176471</v>
      </c>
      <c r="AE245" s="5">
        <v>0.69297796</v>
      </c>
      <c r="AF245" s="5">
        <v>2.582205882</v>
      </c>
      <c r="AG245" s="5">
        <v>1.046911765</v>
      </c>
      <c r="AH245" s="5">
        <v>25.36865043</v>
      </c>
      <c r="AI245" s="5">
        <v>-0.5536721303</v>
      </c>
      <c r="AJ245" s="5">
        <v>0.06154474619</v>
      </c>
      <c r="AK245" s="5">
        <v>-1.035675264</v>
      </c>
      <c r="AL245" s="5">
        <v>-1.327495539</v>
      </c>
      <c r="AM245" s="5">
        <v>-0.8238509411</v>
      </c>
      <c r="AN245" s="5">
        <v>-0.5761124355</v>
      </c>
      <c r="AO245" s="5">
        <v>-0.4467784654</v>
      </c>
      <c r="AP245" s="5">
        <v>-0.9897554237</v>
      </c>
      <c r="AQ245" s="5">
        <v>0.8901306157</v>
      </c>
    </row>
    <row r="246">
      <c r="A246" s="342">
        <v>245.0</v>
      </c>
      <c r="B246" s="347"/>
      <c r="C246" s="347"/>
      <c r="D246" s="341">
        <v>-0.7132088451</v>
      </c>
      <c r="E246" s="342">
        <v>-0.09106476099</v>
      </c>
      <c r="F246" s="342">
        <v>-0.4699435903</v>
      </c>
      <c r="G246" s="342">
        <v>-0.2432652548</v>
      </c>
      <c r="H246" s="342">
        <v>-0.3569610718</v>
      </c>
      <c r="I246" s="343"/>
      <c r="J246" s="342" t="s">
        <v>1981</v>
      </c>
      <c r="K246" s="342" t="s">
        <v>98</v>
      </c>
      <c r="L246" s="342" t="s">
        <v>1366</v>
      </c>
      <c r="M246" s="342" t="s">
        <v>1982</v>
      </c>
      <c r="N246" s="343"/>
      <c r="O246" s="342" t="s">
        <v>1374</v>
      </c>
      <c r="P246" s="342" t="s">
        <v>1399</v>
      </c>
      <c r="Q246" s="342">
        <v>2.0</v>
      </c>
      <c r="R246" s="343"/>
      <c r="S246" s="342" t="s">
        <v>1434</v>
      </c>
      <c r="T246" s="342">
        <v>68.0</v>
      </c>
      <c r="U246" s="342">
        <v>13.0</v>
      </c>
      <c r="V246" s="342">
        <v>19.0</v>
      </c>
      <c r="W246" s="341">
        <v>5.938970588</v>
      </c>
      <c r="X246" s="5">
        <v>0.4273529412</v>
      </c>
      <c r="Y246" s="5">
        <v>3.879117647</v>
      </c>
      <c r="Z246" s="5">
        <v>1.512941176</v>
      </c>
      <c r="AA246" s="5">
        <v>0.7758823529</v>
      </c>
      <c r="AB246" s="5">
        <v>0.6927941176</v>
      </c>
      <c r="AC246" s="5">
        <v>0.4988223805</v>
      </c>
      <c r="AD246" s="5">
        <v>5.12</v>
      </c>
      <c r="AE246" s="5">
        <v>0.5630769231</v>
      </c>
      <c r="AF246" s="5">
        <v>0.7169117647</v>
      </c>
      <c r="AG246" s="5">
        <v>0.5819117647</v>
      </c>
      <c r="AH246" s="5">
        <v>14.02278952</v>
      </c>
      <c r="AI246" s="5">
        <v>-1.672742886</v>
      </c>
      <c r="AJ246" s="5">
        <v>-1.192101161</v>
      </c>
      <c r="AK246" s="5">
        <v>-0.7632827976</v>
      </c>
      <c r="AL246" s="5">
        <v>-1.017441452</v>
      </c>
      <c r="AM246" s="5">
        <v>-0.5207061433</v>
      </c>
      <c r="AN246" s="5">
        <v>0.001967558658</v>
      </c>
      <c r="AO246" s="5">
        <v>0.07936620185</v>
      </c>
      <c r="AP246" s="5">
        <v>-0.6207300824</v>
      </c>
      <c r="AQ246" s="5">
        <v>1.476178448</v>
      </c>
    </row>
    <row r="247">
      <c r="A247" s="342">
        <v>246.0</v>
      </c>
      <c r="B247" s="347"/>
      <c r="C247" s="347"/>
      <c r="D247" s="341">
        <v>-0.7234672947</v>
      </c>
      <c r="E247" s="342">
        <v>0.03212910495</v>
      </c>
      <c r="F247" s="342">
        <v>-0.5536722093</v>
      </c>
      <c r="G247" s="342">
        <v>-0.1697950855</v>
      </c>
      <c r="H247" s="342">
        <v>-2.901506497</v>
      </c>
      <c r="I247" s="343"/>
      <c r="J247" s="342" t="s">
        <v>1983</v>
      </c>
      <c r="K247" s="342" t="s">
        <v>67</v>
      </c>
      <c r="L247" s="342" t="s">
        <v>1380</v>
      </c>
      <c r="M247" s="342" t="s">
        <v>1984</v>
      </c>
      <c r="N247" s="343"/>
      <c r="O247" s="342" t="s">
        <v>1374</v>
      </c>
      <c r="P247" s="342" t="s">
        <v>1746</v>
      </c>
      <c r="Q247" s="342">
        <v>3.0</v>
      </c>
      <c r="R247" s="343"/>
      <c r="S247" s="342" t="s">
        <v>1434</v>
      </c>
      <c r="T247" s="342">
        <v>68.0</v>
      </c>
      <c r="U247" s="342">
        <v>15.0</v>
      </c>
      <c r="V247" s="342">
        <v>26.0</v>
      </c>
      <c r="W247" s="341">
        <v>8.140441176</v>
      </c>
      <c r="X247" s="5">
        <v>1.685882353</v>
      </c>
      <c r="Y247" s="5">
        <v>1.645588235</v>
      </c>
      <c r="Z247" s="5">
        <v>2.123382353</v>
      </c>
      <c r="AA247" s="5">
        <v>0.6370588235</v>
      </c>
      <c r="AB247" s="5">
        <v>0.3701470588</v>
      </c>
      <c r="AC247" s="5">
        <v>0.4312099996</v>
      </c>
      <c r="AD247" s="5">
        <v>6.847352941</v>
      </c>
      <c r="AE247" s="5">
        <v>0.8020184668</v>
      </c>
      <c r="AF247" s="5">
        <v>0.6848529412</v>
      </c>
      <c r="AG247" s="5">
        <v>1.114705882</v>
      </c>
      <c r="AH247" s="5">
        <v>13.97396221</v>
      </c>
      <c r="AI247" s="5">
        <v>-1.303142894</v>
      </c>
      <c r="AJ247" s="5">
        <v>0.04349732729</v>
      </c>
      <c r="AK247" s="5">
        <v>-1.657017249</v>
      </c>
      <c r="AL247" s="5">
        <v>-0.7355061797</v>
      </c>
      <c r="AM247" s="5">
        <v>-0.9589430332</v>
      </c>
      <c r="AN247" s="5">
        <v>-0.5879429098</v>
      </c>
      <c r="AO247" s="5">
        <v>-0.5987687493</v>
      </c>
      <c r="AP247" s="5">
        <v>0.01008533043</v>
      </c>
      <c r="AQ247" s="5">
        <v>0.8046884745</v>
      </c>
    </row>
    <row r="248">
      <c r="A248" s="342">
        <v>247.0</v>
      </c>
      <c r="B248" s="341">
        <v>2.0</v>
      </c>
      <c r="C248" s="341">
        <v>1.1</v>
      </c>
      <c r="D248" s="341">
        <v>-0.7275573661</v>
      </c>
      <c r="E248" s="342">
        <v>0.07740439861</v>
      </c>
      <c r="F248" s="342">
        <v>-0.5237496305</v>
      </c>
      <c r="G248" s="342">
        <v>-0.2038077356</v>
      </c>
      <c r="H248" s="342">
        <v>-0.3891705075</v>
      </c>
      <c r="I248" s="343"/>
      <c r="J248" s="342" t="s">
        <v>1985</v>
      </c>
      <c r="K248" s="342" t="s">
        <v>173</v>
      </c>
      <c r="L248" s="342" t="s">
        <v>1366</v>
      </c>
      <c r="M248" s="342" t="s">
        <v>1986</v>
      </c>
      <c r="N248" s="343"/>
      <c r="O248" s="342" t="s">
        <v>1378</v>
      </c>
      <c r="P248" s="342" t="s">
        <v>1501</v>
      </c>
      <c r="Q248" s="342">
        <v>4.0</v>
      </c>
      <c r="R248" s="343"/>
      <c r="S248" s="342" t="s">
        <v>1434</v>
      </c>
      <c r="T248" s="342">
        <v>77.0</v>
      </c>
      <c r="U248" s="342">
        <v>15.0</v>
      </c>
      <c r="V248" s="342">
        <v>21.0</v>
      </c>
      <c r="W248" s="341">
        <v>7.151688312</v>
      </c>
      <c r="X248" s="5">
        <v>1.213376623</v>
      </c>
      <c r="Y248" s="5">
        <v>4.55</v>
      </c>
      <c r="Z248" s="5">
        <v>1.312467532</v>
      </c>
      <c r="AA248" s="5">
        <v>0.5457142857</v>
      </c>
      <c r="AB248" s="5">
        <v>0.6124675325</v>
      </c>
      <c r="AC248" s="5">
        <v>0.4389374106</v>
      </c>
      <c r="AD248" s="5">
        <v>6.081688312</v>
      </c>
      <c r="AE248" s="5">
        <v>0.6570330296</v>
      </c>
      <c r="AF248" s="5">
        <v>0.9122077922</v>
      </c>
      <c r="AG248" s="5">
        <v>0.8750649351</v>
      </c>
      <c r="AH248" s="5">
        <v>15.21725085</v>
      </c>
      <c r="AI248" s="5">
        <v>-1.469142409</v>
      </c>
      <c r="AJ248" s="5">
        <v>-0.4203991534</v>
      </c>
      <c r="AK248" s="5">
        <v>-0.4948329314</v>
      </c>
      <c r="AL248" s="5">
        <v>-1.110031194</v>
      </c>
      <c r="AM248" s="5">
        <v>-1.247298662</v>
      </c>
      <c r="AN248" s="5">
        <v>-0.1448972343</v>
      </c>
      <c r="AO248" s="5">
        <v>-0.4609712426</v>
      </c>
      <c r="AP248" s="5">
        <v>-0.4728861013</v>
      </c>
      <c r="AQ248" s="5">
        <v>1.106712254</v>
      </c>
    </row>
    <row r="249">
      <c r="A249" s="342">
        <v>248.0</v>
      </c>
      <c r="B249" s="347"/>
      <c r="C249" s="347"/>
      <c r="D249" s="341">
        <v>-0.727862884</v>
      </c>
      <c r="E249" s="342">
        <v>-0.001576428399</v>
      </c>
      <c r="F249" s="342">
        <v>-0.4808345504</v>
      </c>
      <c r="G249" s="342">
        <v>-0.2470283336</v>
      </c>
      <c r="H249" s="342">
        <v>0.2228087719</v>
      </c>
      <c r="I249" s="343"/>
      <c r="J249" s="342" t="s">
        <v>1987</v>
      </c>
      <c r="K249" s="342" t="s">
        <v>93</v>
      </c>
      <c r="L249" s="342" t="s">
        <v>1366</v>
      </c>
      <c r="M249" s="342" t="s">
        <v>1988</v>
      </c>
      <c r="N249" s="343"/>
      <c r="O249" s="342" t="s">
        <v>1374</v>
      </c>
      <c r="P249" s="342" t="s">
        <v>1989</v>
      </c>
      <c r="Q249" s="342">
        <v>4.0</v>
      </c>
      <c r="R249" s="343"/>
      <c r="S249" s="342" t="s">
        <v>1434</v>
      </c>
      <c r="T249" s="342">
        <v>57.0</v>
      </c>
      <c r="U249" s="342">
        <v>16.0</v>
      </c>
      <c r="V249" s="342">
        <v>17.0</v>
      </c>
      <c r="W249" s="341">
        <v>4.757368421</v>
      </c>
      <c r="X249" s="5">
        <v>0.2954385965</v>
      </c>
      <c r="Y249" s="5">
        <v>3.895789474</v>
      </c>
      <c r="Z249" s="5">
        <v>1.558421053</v>
      </c>
      <c r="AA249" s="5">
        <v>0.779122807</v>
      </c>
      <c r="AB249" s="5">
        <v>0.3233333333</v>
      </c>
      <c r="AC249" s="5">
        <v>0.569119928</v>
      </c>
      <c r="AD249" s="5">
        <v>3.506491228</v>
      </c>
      <c r="AE249" s="5">
        <v>0.7458993606</v>
      </c>
      <c r="AF249" s="5">
        <v>0.6310526316</v>
      </c>
      <c r="AG249" s="5">
        <v>0.5666666667</v>
      </c>
      <c r="AH249" s="5">
        <v>10.90999833</v>
      </c>
      <c r="AI249" s="5">
        <v>-1.87111944</v>
      </c>
      <c r="AJ249" s="5">
        <v>-1.321611972</v>
      </c>
      <c r="AK249" s="5">
        <v>-0.7566116583</v>
      </c>
      <c r="AL249" s="5">
        <v>-0.9964363462</v>
      </c>
      <c r="AM249" s="5">
        <v>-0.5104767065</v>
      </c>
      <c r="AN249" s="5">
        <v>-0.6735345989</v>
      </c>
      <c r="AO249" s="5">
        <v>0.4284283973</v>
      </c>
      <c r="AP249" s="5">
        <v>-0.1215407472</v>
      </c>
      <c r="AQ249" s="5">
        <v>1.495392118</v>
      </c>
    </row>
    <row r="250">
      <c r="A250" s="342">
        <v>249.0</v>
      </c>
      <c r="B250" s="341">
        <v>5.0</v>
      </c>
      <c r="C250" s="341">
        <v>-1.9</v>
      </c>
      <c r="D250" s="341">
        <v>-0.7291466213</v>
      </c>
      <c r="E250" s="342">
        <v>-0.001079691129</v>
      </c>
      <c r="F250" s="342">
        <v>-0.5120463936</v>
      </c>
      <c r="G250" s="342">
        <v>-0.2171002277</v>
      </c>
      <c r="H250" s="342">
        <v>0.1583899003</v>
      </c>
      <c r="I250" s="343"/>
      <c r="J250" s="342" t="s">
        <v>1990</v>
      </c>
      <c r="K250" s="342" t="s">
        <v>291</v>
      </c>
      <c r="L250" s="342" t="s">
        <v>1404</v>
      </c>
      <c r="M250" s="342" t="s">
        <v>1991</v>
      </c>
      <c r="N250" s="342" t="s">
        <v>1992</v>
      </c>
      <c r="O250" s="342" t="s">
        <v>1368</v>
      </c>
      <c r="P250" s="342" t="s">
        <v>1488</v>
      </c>
      <c r="Q250" s="342">
        <v>5.0</v>
      </c>
      <c r="R250" s="343"/>
      <c r="S250" s="342" t="s">
        <v>1434</v>
      </c>
      <c r="T250" s="342">
        <v>57.0</v>
      </c>
      <c r="U250" s="342">
        <v>15.0</v>
      </c>
      <c r="V250" s="342">
        <v>23.0</v>
      </c>
      <c r="W250" s="341">
        <v>6.371754386</v>
      </c>
      <c r="X250" s="5">
        <v>1.106140351</v>
      </c>
      <c r="Y250" s="5">
        <v>3.823333333</v>
      </c>
      <c r="Z250" s="5">
        <v>1.393684211</v>
      </c>
      <c r="AA250" s="5">
        <v>0.7140350877</v>
      </c>
      <c r="AB250" s="5">
        <v>0.489122807</v>
      </c>
      <c r="AC250" s="5">
        <v>0.4216694272</v>
      </c>
      <c r="AD250" s="5">
        <v>5.613859649</v>
      </c>
      <c r="AE250" s="5">
        <v>0.7278846154</v>
      </c>
      <c r="AF250" s="5">
        <v>0.7298245614</v>
      </c>
      <c r="AG250" s="5">
        <v>0.7814035088</v>
      </c>
      <c r="AH250" s="5">
        <v>12.40884824</v>
      </c>
      <c r="AI250" s="5">
        <v>-1.600083778</v>
      </c>
      <c r="AJ250" s="5">
        <v>-0.5256815369</v>
      </c>
      <c r="AK250" s="5">
        <v>-0.7856045825</v>
      </c>
      <c r="AL250" s="5">
        <v>-1.07252087</v>
      </c>
      <c r="AM250" s="5">
        <v>-0.7159450432</v>
      </c>
      <c r="AN250" s="5">
        <v>-0.3704140732</v>
      </c>
      <c r="AO250" s="5">
        <v>-0.5744663031</v>
      </c>
      <c r="AP250" s="5">
        <v>-0.1884567832</v>
      </c>
      <c r="AQ250" s="5">
        <v>1.224755428</v>
      </c>
    </row>
    <row r="251">
      <c r="A251" s="342">
        <v>250.0</v>
      </c>
      <c r="B251" s="341">
        <v>1.0</v>
      </c>
      <c r="C251" s="341">
        <v>-0.1</v>
      </c>
      <c r="D251" s="341">
        <v>-0.7291829928</v>
      </c>
      <c r="E251" s="342">
        <v>-0.004795568369</v>
      </c>
      <c r="F251" s="342">
        <v>-0.5455997792</v>
      </c>
      <c r="G251" s="342">
        <v>-0.1835832135</v>
      </c>
      <c r="H251" s="342">
        <v>1.30182487</v>
      </c>
      <c r="I251" s="343"/>
      <c r="J251" s="342" t="s">
        <v>1993</v>
      </c>
      <c r="K251" s="342" t="s">
        <v>159</v>
      </c>
      <c r="L251" s="342" t="s">
        <v>1413</v>
      </c>
      <c r="M251" s="342" t="s">
        <v>1994</v>
      </c>
      <c r="N251" s="343"/>
      <c r="O251" s="342" t="s">
        <v>1378</v>
      </c>
      <c r="P251" s="342" t="s">
        <v>1551</v>
      </c>
      <c r="Q251" s="342">
        <v>4.0</v>
      </c>
      <c r="R251" s="343"/>
      <c r="S251" s="342" t="s">
        <v>1434</v>
      </c>
      <c r="T251" s="342">
        <v>77.0</v>
      </c>
      <c r="U251" s="342">
        <v>14.0</v>
      </c>
      <c r="V251" s="342">
        <v>20.0</v>
      </c>
      <c r="W251" s="341">
        <v>6.888831169</v>
      </c>
      <c r="X251" s="5">
        <v>1.327142857</v>
      </c>
      <c r="Y251" s="5">
        <v>1.796623377</v>
      </c>
      <c r="Z251" s="5">
        <v>2.45</v>
      </c>
      <c r="AA251" s="5">
        <v>0.6122077922</v>
      </c>
      <c r="AB251" s="5">
        <v>0.4084415584</v>
      </c>
      <c r="AC251" s="5">
        <v>0.4420018709</v>
      </c>
      <c r="AD251" s="5">
        <v>5.553246753</v>
      </c>
      <c r="AE251" s="5">
        <v>0.8400200602</v>
      </c>
      <c r="AF251" s="5">
        <v>0.7768831169</v>
      </c>
      <c r="AG251" s="5">
        <v>1.020779221</v>
      </c>
      <c r="AH251" s="5">
        <v>15.35796935</v>
      </c>
      <c r="AI251" s="5">
        <v>-1.513272909</v>
      </c>
      <c r="AJ251" s="5">
        <v>-0.3087057872</v>
      </c>
      <c r="AK251" s="5">
        <v>-1.596581372</v>
      </c>
      <c r="AL251" s="5">
        <v>-0.5846562065</v>
      </c>
      <c r="AM251" s="5">
        <v>-1.037392549</v>
      </c>
      <c r="AN251" s="5">
        <v>-0.5179273135</v>
      </c>
      <c r="AO251" s="5">
        <v>-0.395689596</v>
      </c>
      <c r="AP251" s="5">
        <v>0.1207617917</v>
      </c>
      <c r="AQ251" s="5">
        <v>0.9230659291</v>
      </c>
    </row>
    <row r="252">
      <c r="A252" s="342">
        <v>251.0</v>
      </c>
      <c r="B252" s="347"/>
      <c r="C252" s="347"/>
      <c r="D252" s="341">
        <v>-0.7313203667</v>
      </c>
      <c r="E252" s="342">
        <v>-1.468891544E-4</v>
      </c>
      <c r="F252" s="342">
        <v>-0.5779100121</v>
      </c>
      <c r="G252" s="342">
        <v>-0.1534103546</v>
      </c>
      <c r="H252" s="342">
        <v>-0.2281233288</v>
      </c>
      <c r="I252" s="343"/>
      <c r="J252" s="342" t="s">
        <v>1995</v>
      </c>
      <c r="K252" s="342" t="s">
        <v>291</v>
      </c>
      <c r="L252" s="342" t="s">
        <v>1404</v>
      </c>
      <c r="M252" s="342" t="s">
        <v>1996</v>
      </c>
      <c r="N252" s="343"/>
      <c r="O252" s="342" t="s">
        <v>1374</v>
      </c>
      <c r="P252" s="342" t="s">
        <v>1968</v>
      </c>
      <c r="Q252" s="342">
        <v>1.0</v>
      </c>
      <c r="R252" s="343"/>
      <c r="S252" s="342" t="s">
        <v>1434</v>
      </c>
      <c r="T252" s="342">
        <v>68.0</v>
      </c>
      <c r="U252" s="342">
        <v>15.0</v>
      </c>
      <c r="V252" s="342">
        <v>22.0</v>
      </c>
      <c r="W252" s="341">
        <v>9.384411765</v>
      </c>
      <c r="X252" s="5">
        <v>1.28</v>
      </c>
      <c r="Y252" s="5">
        <v>3.240441176</v>
      </c>
      <c r="Z252" s="5">
        <v>1.851617647</v>
      </c>
      <c r="AA252" s="5">
        <v>0.6944117647</v>
      </c>
      <c r="AB252" s="5">
        <v>0.1830882353</v>
      </c>
      <c r="AC252" s="5">
        <v>0.4161729012</v>
      </c>
      <c r="AD252" s="5">
        <v>8.24</v>
      </c>
      <c r="AE252" s="5">
        <v>0.813989239</v>
      </c>
      <c r="AF252" s="5">
        <v>1.530588235</v>
      </c>
      <c r="AG252" s="5">
        <v>1.237941176</v>
      </c>
      <c r="AH252" s="5">
        <v>19.6077122</v>
      </c>
      <c r="AI252" s="5">
        <v>-1.094295444</v>
      </c>
      <c r="AJ252" s="5">
        <v>-0.3549896821</v>
      </c>
      <c r="AK252" s="5">
        <v>-1.018845658</v>
      </c>
      <c r="AL252" s="5">
        <v>-0.8610220511</v>
      </c>
      <c r="AM252" s="5">
        <v>-0.7778917757</v>
      </c>
      <c r="AN252" s="5">
        <v>-0.9299511668</v>
      </c>
      <c r="AO252" s="5">
        <v>-0.9081699862</v>
      </c>
      <c r="AP252" s="5">
        <v>0.0946028305</v>
      </c>
      <c r="AQ252" s="5">
        <v>0.649372825</v>
      </c>
    </row>
    <row r="253">
      <c r="A253" s="342">
        <v>252.0</v>
      </c>
      <c r="B253" s="347"/>
      <c r="C253" s="347"/>
      <c r="D253" s="341">
        <v>-0.7391302809</v>
      </c>
      <c r="E253" s="342">
        <v>-0.008094126079</v>
      </c>
      <c r="F253" s="342">
        <v>-0.5308561845</v>
      </c>
      <c r="G253" s="342">
        <v>-0.2082740965</v>
      </c>
      <c r="H253" s="342">
        <v>-1.468186605</v>
      </c>
      <c r="I253" s="343"/>
      <c r="J253" s="342" t="s">
        <v>1997</v>
      </c>
      <c r="K253" s="342" t="s">
        <v>169</v>
      </c>
      <c r="L253" s="342" t="s">
        <v>1380</v>
      </c>
      <c r="M253" s="342" t="s">
        <v>1998</v>
      </c>
      <c r="N253" s="342" t="s">
        <v>1891</v>
      </c>
      <c r="O253" s="342" t="s">
        <v>1374</v>
      </c>
      <c r="P253" s="342" t="s">
        <v>1551</v>
      </c>
      <c r="Q253" s="342">
        <v>4.0</v>
      </c>
      <c r="R253" s="343"/>
      <c r="S253" s="342" t="s">
        <v>1434</v>
      </c>
      <c r="T253" s="342">
        <v>68.0</v>
      </c>
      <c r="U253" s="342">
        <v>15.0</v>
      </c>
      <c r="V253" s="342">
        <v>22.0</v>
      </c>
      <c r="W253" s="341">
        <v>7.872352941</v>
      </c>
      <c r="X253" s="5">
        <v>1.335735294</v>
      </c>
      <c r="Y253" s="5">
        <v>2.400735294</v>
      </c>
      <c r="Z253" s="5">
        <v>2.0425</v>
      </c>
      <c r="AA253" s="5">
        <v>0.6119117647</v>
      </c>
      <c r="AB253" s="5">
        <v>0.2695588235</v>
      </c>
      <c r="AC253" s="5">
        <v>0.4353020543</v>
      </c>
      <c r="AD253" s="5">
        <v>6.757647059</v>
      </c>
      <c r="AE253" s="5">
        <v>0.8789317507</v>
      </c>
      <c r="AF253" s="5">
        <v>0.7433823529</v>
      </c>
      <c r="AG253" s="5">
        <v>0.8523529412</v>
      </c>
      <c r="AH253" s="5">
        <v>16.45777373</v>
      </c>
      <c r="AI253" s="5">
        <v>-1.348151631</v>
      </c>
      <c r="AJ253" s="5">
        <v>-0.300269908</v>
      </c>
      <c r="AK253" s="5">
        <v>-1.354849327</v>
      </c>
      <c r="AL253" s="5">
        <v>-0.7728620938</v>
      </c>
      <c r="AM253" s="5">
        <v>-1.038327046</v>
      </c>
      <c r="AN253" s="5">
        <v>-0.7718530103</v>
      </c>
      <c r="AO253" s="5">
        <v>-0.5487557987</v>
      </c>
      <c r="AP253" s="5">
        <v>0.2220265667</v>
      </c>
      <c r="AQ253" s="5">
        <v>1.135336587</v>
      </c>
    </row>
    <row r="254">
      <c r="A254" s="342">
        <v>253.0</v>
      </c>
      <c r="B254" s="347"/>
      <c r="C254" s="347"/>
      <c r="D254" s="341">
        <v>-0.7391507799</v>
      </c>
      <c r="E254" s="342">
        <v>-9.520396423E-4</v>
      </c>
      <c r="F254" s="342">
        <v>-0.4843052468</v>
      </c>
      <c r="G254" s="342">
        <v>-0.2548455331</v>
      </c>
      <c r="H254" s="342">
        <v>1.108568255</v>
      </c>
      <c r="I254" s="343"/>
      <c r="J254" s="342" t="s">
        <v>1999</v>
      </c>
      <c r="K254" s="342" t="s">
        <v>1471</v>
      </c>
      <c r="L254" s="342" t="s">
        <v>1380</v>
      </c>
      <c r="M254" s="342" t="s">
        <v>2000</v>
      </c>
      <c r="N254" s="343"/>
      <c r="O254" s="342" t="s">
        <v>1378</v>
      </c>
      <c r="P254" s="343"/>
      <c r="Q254" s="343"/>
      <c r="R254" s="343"/>
      <c r="S254" s="342" t="s">
        <v>1960</v>
      </c>
      <c r="T254" s="342">
        <v>50.0</v>
      </c>
      <c r="U254" s="342">
        <v>16.0</v>
      </c>
      <c r="V254" s="342">
        <v>18.0</v>
      </c>
      <c r="W254" s="341">
        <v>5.3758</v>
      </c>
      <c r="X254" s="5">
        <v>0.4928</v>
      </c>
      <c r="Y254" s="5">
        <v>3.1556</v>
      </c>
      <c r="Z254" s="5">
        <v>0.6682</v>
      </c>
      <c r="AA254" s="5">
        <v>0.891</v>
      </c>
      <c r="AB254" s="5">
        <v>0.4084</v>
      </c>
      <c r="AC254" s="5">
        <v>0.5261300782</v>
      </c>
      <c r="AD254" s="5">
        <v>4.1944</v>
      </c>
      <c r="AE254" s="5">
        <v>0.7460267006</v>
      </c>
      <c r="AF254" s="5">
        <v>0.6292</v>
      </c>
      <c r="AG254" s="5">
        <v>0.5198</v>
      </c>
      <c r="AH254" s="5">
        <v>12.19505313</v>
      </c>
      <c r="AI254" s="5">
        <v>-1.767292341</v>
      </c>
      <c r="AJ254" s="5">
        <v>-1.127846574</v>
      </c>
      <c r="AK254" s="5">
        <v>-1.052794386</v>
      </c>
      <c r="AL254" s="5">
        <v>-1.407589335</v>
      </c>
      <c r="AM254" s="5">
        <v>-0.1573037731</v>
      </c>
      <c r="AN254" s="5">
        <v>-0.5180032967</v>
      </c>
      <c r="AO254" s="5">
        <v>0.238522794</v>
      </c>
      <c r="AP254" s="5">
        <v>-0.1208993273</v>
      </c>
      <c r="AQ254" s="5">
        <v>1.554459018</v>
      </c>
    </row>
    <row r="255">
      <c r="A255" s="342">
        <v>254.0</v>
      </c>
      <c r="B255" s="347"/>
      <c r="C255" s="347"/>
      <c r="D255" s="341">
        <v>-0.7408140968</v>
      </c>
      <c r="E255" s="342">
        <v>-8.990646393E-4</v>
      </c>
      <c r="F255" s="342">
        <v>-0.5296830984</v>
      </c>
      <c r="G255" s="342">
        <v>-0.2111309984</v>
      </c>
      <c r="H255" s="342">
        <v>1.172987127</v>
      </c>
      <c r="I255" s="343"/>
      <c r="J255" s="342" t="s">
        <v>2001</v>
      </c>
      <c r="K255" s="342" t="s">
        <v>1365</v>
      </c>
      <c r="L255" s="342" t="s">
        <v>1404</v>
      </c>
      <c r="M255" s="342" t="s">
        <v>2002</v>
      </c>
      <c r="N255" s="343"/>
      <c r="O255" s="342" t="s">
        <v>1368</v>
      </c>
      <c r="P255" s="342" t="s">
        <v>1719</v>
      </c>
      <c r="Q255" s="342">
        <v>2.0</v>
      </c>
      <c r="R255" s="343"/>
      <c r="S255" s="342" t="s">
        <v>1560</v>
      </c>
      <c r="T255" s="342">
        <v>73.0</v>
      </c>
      <c r="U255" s="342">
        <v>15.0</v>
      </c>
      <c r="V255" s="342">
        <v>20.0</v>
      </c>
      <c r="W255" s="341">
        <v>7.77260274</v>
      </c>
      <c r="X255" s="5">
        <v>1.368356164</v>
      </c>
      <c r="Y255" s="5">
        <v>2.666712329</v>
      </c>
      <c r="Z255" s="5">
        <v>1.416712329</v>
      </c>
      <c r="AA255" s="5">
        <v>0.561369863</v>
      </c>
      <c r="AB255" s="5">
        <v>0.5116438356</v>
      </c>
      <c r="AC255" s="5">
        <v>0.4226782942</v>
      </c>
      <c r="AD255" s="5">
        <v>6.000547945</v>
      </c>
      <c r="AE255" s="5">
        <v>0.8220023677</v>
      </c>
      <c r="AF255" s="5">
        <v>1.62</v>
      </c>
      <c r="AG255" s="5">
        <v>0.8332876712</v>
      </c>
      <c r="AH255" s="5">
        <v>16.37060739</v>
      </c>
      <c r="AI255" s="5">
        <v>-1.36489847</v>
      </c>
      <c r="AJ255" s="5">
        <v>-0.2682434034</v>
      </c>
      <c r="AK255" s="5">
        <v>-1.248420086</v>
      </c>
      <c r="AL255" s="5">
        <v>-1.06188522</v>
      </c>
      <c r="AM255" s="5">
        <v>-1.197877274</v>
      </c>
      <c r="AN255" s="5">
        <v>-0.32923784</v>
      </c>
      <c r="AO255" s="5">
        <v>-0.6041461148</v>
      </c>
      <c r="AP255" s="5">
        <v>0.1481956341</v>
      </c>
      <c r="AQ255" s="5">
        <v>1.159364889</v>
      </c>
    </row>
    <row r="256">
      <c r="A256" s="342">
        <v>255.0</v>
      </c>
      <c r="B256" s="341">
        <v>5.0</v>
      </c>
      <c r="C256" s="341">
        <v>-0.6</v>
      </c>
      <c r="D256" s="341">
        <v>-0.7414864065</v>
      </c>
      <c r="E256" s="342">
        <v>-0.002261198008</v>
      </c>
      <c r="F256" s="342">
        <v>-0.5219124398</v>
      </c>
      <c r="G256" s="342">
        <v>-0.2195739667</v>
      </c>
      <c r="H256" s="342">
        <v>-0.1314950215</v>
      </c>
      <c r="I256" s="343"/>
      <c r="J256" s="342" t="s">
        <v>2003</v>
      </c>
      <c r="K256" s="342" t="s">
        <v>287</v>
      </c>
      <c r="L256" s="342" t="s">
        <v>1404</v>
      </c>
      <c r="M256" s="342" t="s">
        <v>2004</v>
      </c>
      <c r="N256" s="343"/>
      <c r="O256" s="342" t="s">
        <v>1374</v>
      </c>
      <c r="P256" s="342" t="s">
        <v>1551</v>
      </c>
      <c r="Q256" s="342">
        <v>4.0</v>
      </c>
      <c r="R256" s="343"/>
      <c r="S256" s="342" t="s">
        <v>1434</v>
      </c>
      <c r="T256" s="342">
        <v>68.0</v>
      </c>
      <c r="U256" s="342">
        <v>16.0</v>
      </c>
      <c r="V256" s="342">
        <v>17.0</v>
      </c>
      <c r="W256" s="341">
        <v>8.063676471</v>
      </c>
      <c r="X256" s="5">
        <v>0.1485294118</v>
      </c>
      <c r="Y256" s="5">
        <v>5.414558824</v>
      </c>
      <c r="Z256" s="5">
        <v>0.7366176471</v>
      </c>
      <c r="AA256" s="5">
        <v>0.325</v>
      </c>
      <c r="AB256" s="5">
        <v>0.5892647059</v>
      </c>
      <c r="AC256" s="5">
        <v>0.5689190538</v>
      </c>
      <c r="AD256" s="5">
        <v>5.893529412</v>
      </c>
      <c r="AE256" s="5">
        <v>0.7599815157</v>
      </c>
      <c r="AF256" s="5">
        <v>1.591176471</v>
      </c>
      <c r="AG256" s="5">
        <v>0.7735294118</v>
      </c>
      <c r="AH256" s="5">
        <v>18.22702808</v>
      </c>
      <c r="AI256" s="5">
        <v>-1.31603075</v>
      </c>
      <c r="AJ256" s="5">
        <v>-1.465844411</v>
      </c>
      <c r="AK256" s="5">
        <v>-0.1488844957</v>
      </c>
      <c r="AL256" s="5">
        <v>-1.375990307</v>
      </c>
      <c r="AM256" s="5">
        <v>-1.944047568</v>
      </c>
      <c r="AN256" s="5">
        <v>-0.1873200301</v>
      </c>
      <c r="AO256" s="5">
        <v>0.7245167472</v>
      </c>
      <c r="AP256" s="5">
        <v>-0.2182904382</v>
      </c>
      <c r="AQ256" s="5">
        <v>1.234679294</v>
      </c>
    </row>
    <row r="257">
      <c r="A257" s="342">
        <v>256.0</v>
      </c>
      <c r="B257" s="347"/>
      <c r="C257" s="347"/>
      <c r="D257" s="341">
        <v>-0.7433176342</v>
      </c>
      <c r="E257" s="342">
        <v>-0.004276116927</v>
      </c>
      <c r="F257" s="342">
        <v>-0.5154111528</v>
      </c>
      <c r="G257" s="342">
        <v>-0.2279064814</v>
      </c>
      <c r="H257" s="342">
        <v>0.8831022049</v>
      </c>
      <c r="I257" s="343"/>
      <c r="J257" s="342" t="s">
        <v>2005</v>
      </c>
      <c r="K257" s="342" t="s">
        <v>148</v>
      </c>
      <c r="L257" s="342" t="s">
        <v>34</v>
      </c>
      <c r="M257" s="342" t="s">
        <v>2006</v>
      </c>
      <c r="N257" s="343"/>
      <c r="O257" s="342" t="s">
        <v>1368</v>
      </c>
      <c r="P257" s="342" t="s">
        <v>1416</v>
      </c>
      <c r="Q257" s="342">
        <v>4.0</v>
      </c>
      <c r="R257" s="343"/>
      <c r="S257" s="342" t="s">
        <v>1434</v>
      </c>
      <c r="T257" s="342">
        <v>73.0</v>
      </c>
      <c r="U257" s="342">
        <v>15.0</v>
      </c>
      <c r="V257" s="342">
        <v>17.0</v>
      </c>
      <c r="W257" s="341">
        <v>4.770821918</v>
      </c>
      <c r="X257" s="5">
        <v>0.004931506849</v>
      </c>
      <c r="Y257" s="5">
        <v>5.22260274</v>
      </c>
      <c r="Z257" s="5">
        <v>0.977260274</v>
      </c>
      <c r="AA257" s="5">
        <v>0.4310958904</v>
      </c>
      <c r="AB257" s="5">
        <v>0.8920547945</v>
      </c>
      <c r="AC257" s="5">
        <v>0.5785358069</v>
      </c>
      <c r="AD257" s="5">
        <v>3.433561644</v>
      </c>
      <c r="AE257" s="5">
        <v>0.74494917</v>
      </c>
      <c r="AF257" s="5">
        <v>1.064520548</v>
      </c>
      <c r="AG257" s="5">
        <v>0.7154794521</v>
      </c>
      <c r="AH257" s="5">
        <v>11.58552358</v>
      </c>
      <c r="AI257" s="5">
        <v>-1.868860763</v>
      </c>
      <c r="AJ257" s="5">
        <v>-1.606825903</v>
      </c>
      <c r="AK257" s="5">
        <v>-0.2256946618</v>
      </c>
      <c r="AL257" s="5">
        <v>-1.264848322</v>
      </c>
      <c r="AM257" s="5">
        <v>-1.609124999</v>
      </c>
      <c r="AN257" s="5">
        <v>0.3662850258</v>
      </c>
      <c r="AO257" s="5">
        <v>0.4687686938</v>
      </c>
      <c r="AP257" s="5">
        <v>-0.206240145</v>
      </c>
      <c r="AQ257" s="5">
        <v>1.307840698</v>
      </c>
    </row>
    <row r="258">
      <c r="A258" s="342">
        <v>257.0</v>
      </c>
      <c r="B258" s="347"/>
      <c r="C258" s="347"/>
      <c r="D258" s="341">
        <v>-0.7469867125</v>
      </c>
      <c r="E258" s="342">
        <v>5.091879341E-6</v>
      </c>
      <c r="F258" s="342">
        <v>-0.5005063295</v>
      </c>
      <c r="G258" s="342">
        <v>-0.2464803831</v>
      </c>
      <c r="H258" s="342">
        <v>0.2872276434</v>
      </c>
      <c r="I258" s="343"/>
      <c r="J258" s="342" t="s">
        <v>2007</v>
      </c>
      <c r="K258" s="342" t="s">
        <v>89</v>
      </c>
      <c r="L258" s="342" t="s">
        <v>1380</v>
      </c>
      <c r="M258" s="342" t="s">
        <v>2008</v>
      </c>
      <c r="N258" s="343"/>
      <c r="O258" s="342" t="s">
        <v>1368</v>
      </c>
      <c r="P258" s="343"/>
      <c r="Q258" s="342">
        <v>3.0</v>
      </c>
      <c r="R258" s="343"/>
      <c r="S258" s="342" t="s">
        <v>1434</v>
      </c>
      <c r="T258" s="342">
        <v>73.0</v>
      </c>
      <c r="U258" s="342">
        <v>14.0</v>
      </c>
      <c r="V258" s="342">
        <v>21.0</v>
      </c>
      <c r="W258" s="341">
        <v>7.377808219</v>
      </c>
      <c r="X258" s="5">
        <v>1.523150685</v>
      </c>
      <c r="Y258" s="5">
        <v>2.298219178</v>
      </c>
      <c r="Z258" s="5">
        <v>1.470273973</v>
      </c>
      <c r="AA258" s="5">
        <v>0.8828767123</v>
      </c>
      <c r="AB258" s="5">
        <v>0.04424657534</v>
      </c>
      <c r="AC258" s="5">
        <v>0.4119904284</v>
      </c>
      <c r="AD258" s="5">
        <v>6.354383562</v>
      </c>
      <c r="AE258" s="5">
        <v>0.8400595127</v>
      </c>
      <c r="AF258" s="5">
        <v>0.7365753425</v>
      </c>
      <c r="AG258" s="5">
        <v>0.5857534247</v>
      </c>
      <c r="AH258" s="5">
        <v>14.64648675</v>
      </c>
      <c r="AI258" s="5">
        <v>-1.431179642</v>
      </c>
      <c r="AJ258" s="5">
        <v>-0.1162693028</v>
      </c>
      <c r="AK258" s="5">
        <v>-1.395870584</v>
      </c>
      <c r="AL258" s="5">
        <v>-1.03714751</v>
      </c>
      <c r="AM258" s="5">
        <v>-0.1829472958</v>
      </c>
      <c r="AN258" s="5">
        <v>-1.183801764</v>
      </c>
      <c r="AO258" s="5">
        <v>-0.743090933</v>
      </c>
      <c r="AP258" s="5">
        <v>0.114413332</v>
      </c>
      <c r="AQ258" s="5">
        <v>1.471336735</v>
      </c>
    </row>
    <row r="259">
      <c r="A259" s="342">
        <v>258.0</v>
      </c>
      <c r="B259" s="347"/>
      <c r="C259" s="347"/>
      <c r="D259" s="341">
        <v>-0.7472248204</v>
      </c>
      <c r="E259" s="342">
        <v>-0.002452844193</v>
      </c>
      <c r="F259" s="342">
        <v>-0.5087468797</v>
      </c>
      <c r="G259" s="342">
        <v>-0.2384779407</v>
      </c>
      <c r="H259" s="342">
        <v>-1.081673376</v>
      </c>
      <c r="I259" s="343"/>
      <c r="J259" s="342" t="s">
        <v>2009</v>
      </c>
      <c r="K259" s="342" t="s">
        <v>102</v>
      </c>
      <c r="L259" s="342" t="s">
        <v>34</v>
      </c>
      <c r="M259" s="342" t="s">
        <v>2010</v>
      </c>
      <c r="N259" s="342" t="s">
        <v>2011</v>
      </c>
      <c r="O259" s="342" t="s">
        <v>1374</v>
      </c>
      <c r="P259" s="342" t="s">
        <v>1642</v>
      </c>
      <c r="Q259" s="342">
        <v>4.0</v>
      </c>
      <c r="R259" s="343"/>
      <c r="S259" s="342" t="s">
        <v>1434</v>
      </c>
      <c r="T259" s="342">
        <v>68.0</v>
      </c>
      <c r="U259" s="342">
        <v>16.0</v>
      </c>
      <c r="V259" s="342">
        <v>15.0</v>
      </c>
      <c r="W259" s="341">
        <v>6.155735294</v>
      </c>
      <c r="X259" s="5">
        <v>0.7216176471</v>
      </c>
      <c r="Y259" s="5">
        <v>4.624411765</v>
      </c>
      <c r="Z259" s="5">
        <v>0.875</v>
      </c>
      <c r="AA259" s="5">
        <v>0.3369117647</v>
      </c>
      <c r="AB259" s="5">
        <v>1.041323529</v>
      </c>
      <c r="AC259" s="5">
        <v>0.4910166656</v>
      </c>
      <c r="AD259" s="5">
        <v>4.747352941</v>
      </c>
      <c r="AE259" s="5">
        <v>0.6970260223</v>
      </c>
      <c r="AF259" s="5">
        <v>1.107647059</v>
      </c>
      <c r="AG259" s="5">
        <v>0.6430882353</v>
      </c>
      <c r="AH259" s="5">
        <v>17.43033748</v>
      </c>
      <c r="AI259" s="5">
        <v>-1.636350742</v>
      </c>
      <c r="AJ259" s="5">
        <v>-0.9031980788</v>
      </c>
      <c r="AK259" s="5">
        <v>-0.4650574749</v>
      </c>
      <c r="AL259" s="5">
        <v>-1.312077734</v>
      </c>
      <c r="AM259" s="5">
        <v>-1.906444614</v>
      </c>
      <c r="AN259" s="5">
        <v>0.6391999243</v>
      </c>
      <c r="AO259" s="5">
        <v>0.01625189165</v>
      </c>
      <c r="AP259" s="5">
        <v>-0.4101217352</v>
      </c>
      <c r="AQ259" s="5">
        <v>1.399076646</v>
      </c>
    </row>
    <row r="260">
      <c r="A260" s="342">
        <v>259.0</v>
      </c>
      <c r="B260" s="341">
        <v>1.0</v>
      </c>
      <c r="C260" s="341">
        <v>-0.1</v>
      </c>
      <c r="D260" s="341">
        <v>-0.7548110107</v>
      </c>
      <c r="E260" s="342">
        <v>-0.2018112783</v>
      </c>
      <c r="F260" s="342">
        <v>-0.4814958985</v>
      </c>
      <c r="G260" s="342">
        <v>-0.2733151122</v>
      </c>
      <c r="H260" s="342">
        <v>-1.419872452</v>
      </c>
      <c r="I260" s="343"/>
      <c r="J260" s="342" t="s">
        <v>2012</v>
      </c>
      <c r="K260" s="342" t="s">
        <v>259</v>
      </c>
      <c r="L260" s="342" t="s">
        <v>1413</v>
      </c>
      <c r="M260" s="342" t="s">
        <v>2013</v>
      </c>
      <c r="N260" s="342" t="s">
        <v>2014</v>
      </c>
      <c r="O260" s="342" t="s">
        <v>1374</v>
      </c>
      <c r="P260" s="342" t="s">
        <v>1410</v>
      </c>
      <c r="Q260" s="342">
        <v>4.0</v>
      </c>
      <c r="R260" s="343"/>
      <c r="S260" s="342" t="s">
        <v>1434</v>
      </c>
      <c r="T260" s="342">
        <v>60.0</v>
      </c>
      <c r="U260" s="342">
        <v>13.0</v>
      </c>
      <c r="V260" s="342">
        <v>16.0</v>
      </c>
      <c r="W260" s="341">
        <v>3.458666667</v>
      </c>
      <c r="X260" s="5">
        <v>0.7516666667</v>
      </c>
      <c r="Y260" s="5">
        <v>1.617</v>
      </c>
      <c r="Z260" s="5">
        <v>0.9056666667</v>
      </c>
      <c r="AA260" s="5">
        <v>1.1955</v>
      </c>
      <c r="AB260" s="5">
        <v>0.5015</v>
      </c>
      <c r="AC260" s="5">
        <v>0.387022861</v>
      </c>
      <c r="AD260" s="5">
        <v>3.2005</v>
      </c>
      <c r="AE260" s="5">
        <v>0.7432578209</v>
      </c>
      <c r="AF260" s="5">
        <v>0.309</v>
      </c>
      <c r="AG260" s="5">
        <v>0.4003333333</v>
      </c>
      <c r="AH260" s="5">
        <v>10.0567384</v>
      </c>
      <c r="AI260" s="5">
        <v>-2.089155584</v>
      </c>
      <c r="AJ260" s="5">
        <v>-0.8736965647</v>
      </c>
      <c r="AK260" s="5">
        <v>-1.668456674</v>
      </c>
      <c r="AL260" s="5">
        <v>-1.297914183</v>
      </c>
      <c r="AM260" s="5">
        <v>0.8039391339</v>
      </c>
      <c r="AN260" s="5">
        <v>-0.3477842815</v>
      </c>
      <c r="AO260" s="5">
        <v>-0.5010289551</v>
      </c>
      <c r="AP260" s="5">
        <v>-0.06439097765</v>
      </c>
      <c r="AQ260" s="5">
        <v>1.705024999</v>
      </c>
    </row>
    <row r="261">
      <c r="A261" s="342">
        <v>260.0</v>
      </c>
      <c r="B261" s="347"/>
      <c r="C261" s="347"/>
      <c r="D261" s="341">
        <v>-0.7585341016</v>
      </c>
      <c r="E261" s="342">
        <v>-7.531766315E-4</v>
      </c>
      <c r="F261" s="342">
        <v>-0.5477745302</v>
      </c>
      <c r="G261" s="342">
        <v>-0.2107595714</v>
      </c>
      <c r="H261" s="342">
        <v>1.30182487</v>
      </c>
      <c r="I261" s="343"/>
      <c r="J261" s="342" t="s">
        <v>2015</v>
      </c>
      <c r="K261" s="342" t="s">
        <v>110</v>
      </c>
      <c r="L261" s="342" t="s">
        <v>1404</v>
      </c>
      <c r="M261" s="342" t="s">
        <v>2016</v>
      </c>
      <c r="N261" s="343"/>
      <c r="O261" s="342" t="s">
        <v>1378</v>
      </c>
      <c r="P261" s="343"/>
      <c r="Q261" s="342">
        <v>5.0</v>
      </c>
      <c r="R261" s="343"/>
      <c r="S261" s="342" t="s">
        <v>1434</v>
      </c>
      <c r="T261" s="342">
        <v>77.0</v>
      </c>
      <c r="U261" s="342">
        <v>16.0</v>
      </c>
      <c r="V261" s="342">
        <v>20.0</v>
      </c>
      <c r="W261" s="341">
        <v>9.572467532</v>
      </c>
      <c r="X261" s="5">
        <v>2.019350649</v>
      </c>
      <c r="Y261" s="5">
        <v>2.55</v>
      </c>
      <c r="Z261" s="5">
        <v>1.051428571</v>
      </c>
      <c r="AA261" s="5">
        <v>0.3753246753</v>
      </c>
      <c r="AB261" s="5">
        <v>0.2149350649</v>
      </c>
      <c r="AC261" s="5">
        <v>0.460039934</v>
      </c>
      <c r="AD261" s="5">
        <v>7.47987013</v>
      </c>
      <c r="AE261" s="5">
        <v>0.8419423171</v>
      </c>
      <c r="AF261" s="5">
        <v>0.797012987</v>
      </c>
      <c r="AG261" s="5">
        <v>0.85</v>
      </c>
      <c r="AH261" s="5">
        <v>18.75267992</v>
      </c>
      <c r="AI261" s="5">
        <v>-1.062723181</v>
      </c>
      <c r="AJ261" s="5">
        <v>0.3708896941</v>
      </c>
      <c r="AK261" s="5">
        <v>-1.295121879</v>
      </c>
      <c r="AL261" s="5">
        <v>-1.230593327</v>
      </c>
      <c r="AM261" s="5">
        <v>-1.785183078</v>
      </c>
      <c r="AN261" s="5">
        <v>-0.8717241423</v>
      </c>
      <c r="AO261" s="5">
        <v>-0.3234502442</v>
      </c>
      <c r="AP261" s="5">
        <v>0.1296333446</v>
      </c>
      <c r="AQ261" s="5">
        <v>1.138302041</v>
      </c>
    </row>
    <row r="262">
      <c r="A262" s="342">
        <v>261.0</v>
      </c>
      <c r="B262" s="347"/>
      <c r="C262" s="347"/>
      <c r="D262" s="341">
        <v>-0.7671254018</v>
      </c>
      <c r="E262" s="342">
        <v>-3.270614325E-4</v>
      </c>
      <c r="F262" s="342">
        <v>-0.5198463878</v>
      </c>
      <c r="G262" s="342">
        <v>-0.247279014</v>
      </c>
      <c r="H262" s="342">
        <v>-0.4857988148</v>
      </c>
      <c r="I262" s="343"/>
      <c r="J262" s="342" t="s">
        <v>2017</v>
      </c>
      <c r="K262" s="342" t="s">
        <v>1471</v>
      </c>
      <c r="L262" s="342" t="s">
        <v>1380</v>
      </c>
      <c r="M262" s="342" t="s">
        <v>2018</v>
      </c>
      <c r="N262" s="343"/>
      <c r="O262" s="342" t="s">
        <v>1374</v>
      </c>
      <c r="P262" s="342" t="s">
        <v>1399</v>
      </c>
      <c r="Q262" s="342">
        <v>4.0</v>
      </c>
      <c r="R262" s="343"/>
      <c r="S262" s="342" t="s">
        <v>1434</v>
      </c>
      <c r="T262" s="342">
        <v>68.0</v>
      </c>
      <c r="U262" s="342">
        <v>16.0</v>
      </c>
      <c r="V262" s="342">
        <v>17.0</v>
      </c>
      <c r="W262" s="341">
        <v>5.638970588</v>
      </c>
      <c r="X262" s="5">
        <v>1.127647059</v>
      </c>
      <c r="Y262" s="5">
        <v>2.208970588</v>
      </c>
      <c r="Z262" s="5">
        <v>1.858382353</v>
      </c>
      <c r="AA262" s="5">
        <v>0.9666176471</v>
      </c>
      <c r="AB262" s="5">
        <v>0.2123529412</v>
      </c>
      <c r="AC262" s="5">
        <v>0.4024933998</v>
      </c>
      <c r="AD262" s="5">
        <v>5.013235294</v>
      </c>
      <c r="AE262" s="5">
        <v>0.7299187726</v>
      </c>
      <c r="AF262" s="5">
        <v>0.6517647059</v>
      </c>
      <c r="AG262" s="5">
        <v>0.5960294118</v>
      </c>
      <c r="AH262" s="5">
        <v>15.25372954</v>
      </c>
      <c r="AI262" s="5">
        <v>-1.723109217</v>
      </c>
      <c r="AJ262" s="5">
        <v>-0.50456669</v>
      </c>
      <c r="AK262" s="5">
        <v>-1.431582914</v>
      </c>
      <c r="AL262" s="5">
        <v>-0.8578977383</v>
      </c>
      <c r="AM262" s="5">
        <v>0.08140534634</v>
      </c>
      <c r="AN262" s="5">
        <v>-0.876445158</v>
      </c>
      <c r="AO262" s="5">
        <v>-0.6610024268</v>
      </c>
      <c r="AP262" s="5">
        <v>-0.1638044162</v>
      </c>
      <c r="AQ262" s="5">
        <v>1.458385724</v>
      </c>
    </row>
    <row r="263">
      <c r="A263" s="342">
        <v>262.0</v>
      </c>
      <c r="B263" s="347"/>
      <c r="C263" s="347"/>
      <c r="D263" s="341">
        <v>-0.768899929</v>
      </c>
      <c r="E263" s="342">
        <v>-0.002721238673</v>
      </c>
      <c r="F263" s="342">
        <v>-0.5792983362</v>
      </c>
      <c r="G263" s="342">
        <v>-0.1896015927</v>
      </c>
      <c r="H263" s="342">
        <v>0.5771125652</v>
      </c>
      <c r="I263" s="343"/>
      <c r="J263" s="342" t="s">
        <v>2019</v>
      </c>
      <c r="K263" s="342" t="s">
        <v>118</v>
      </c>
      <c r="L263" s="342" t="s">
        <v>34</v>
      </c>
      <c r="M263" s="342" t="s">
        <v>2020</v>
      </c>
      <c r="N263" s="343"/>
      <c r="O263" s="342" t="s">
        <v>1368</v>
      </c>
      <c r="P263" s="342" t="s">
        <v>1642</v>
      </c>
      <c r="Q263" s="342">
        <v>5.0</v>
      </c>
      <c r="R263" s="343"/>
      <c r="S263" s="342" t="s">
        <v>1434</v>
      </c>
      <c r="T263" s="342">
        <v>73.0</v>
      </c>
      <c r="U263" s="342">
        <v>16.0</v>
      </c>
      <c r="V263" s="342">
        <v>18.0</v>
      </c>
      <c r="W263" s="341">
        <v>6.822465753</v>
      </c>
      <c r="X263" s="5">
        <v>0.04465753425</v>
      </c>
      <c r="Y263" s="5">
        <v>6.15</v>
      </c>
      <c r="Z263" s="5">
        <v>1.640821918</v>
      </c>
      <c r="AA263" s="5">
        <v>0.3773972603</v>
      </c>
      <c r="AB263" s="5">
        <v>0.4483561644</v>
      </c>
      <c r="AC263" s="5">
        <v>0.5695693545</v>
      </c>
      <c r="AD263" s="5">
        <v>4.462876712</v>
      </c>
      <c r="AE263" s="5">
        <v>0.7299881936</v>
      </c>
      <c r="AF263" s="5">
        <v>2.320547945</v>
      </c>
      <c r="AG263" s="5">
        <v>1.009315068</v>
      </c>
      <c r="AH263" s="5">
        <v>15.75187605</v>
      </c>
      <c r="AI263" s="5">
        <v>-1.524414851</v>
      </c>
      <c r="AJ263" s="5">
        <v>-1.5678237</v>
      </c>
      <c r="AK263" s="5">
        <v>0.1453982271</v>
      </c>
      <c r="AL263" s="5">
        <v>-0.9583790997</v>
      </c>
      <c r="AM263" s="5">
        <v>-1.77864036</v>
      </c>
      <c r="AN263" s="5">
        <v>-0.4449496023</v>
      </c>
      <c r="AO263" s="5">
        <v>0.5508512215</v>
      </c>
      <c r="AP263" s="5">
        <v>-0.5732412678</v>
      </c>
      <c r="AQ263" s="5">
        <v>0.9375144057</v>
      </c>
    </row>
    <row r="264">
      <c r="A264" s="342">
        <v>263.0</v>
      </c>
      <c r="B264" s="347"/>
      <c r="C264" s="347"/>
      <c r="D264" s="341">
        <v>-0.7757599789</v>
      </c>
      <c r="E264" s="342">
        <v>-0.002615278479</v>
      </c>
      <c r="F264" s="342">
        <v>-0.541614338</v>
      </c>
      <c r="G264" s="342">
        <v>-0.2341456408</v>
      </c>
      <c r="H264" s="342">
        <v>0.6737408725</v>
      </c>
      <c r="I264" s="343"/>
      <c r="J264" s="342" t="s">
        <v>2021</v>
      </c>
      <c r="K264" s="342" t="s">
        <v>236</v>
      </c>
      <c r="L264" s="342" t="s">
        <v>34</v>
      </c>
      <c r="M264" s="342" t="s">
        <v>2022</v>
      </c>
      <c r="N264" s="343"/>
      <c r="O264" s="342" t="s">
        <v>1368</v>
      </c>
      <c r="P264" s="342" t="s">
        <v>1399</v>
      </c>
      <c r="Q264" s="342">
        <v>4.0</v>
      </c>
      <c r="R264" s="343"/>
      <c r="S264" s="342" t="s">
        <v>1434</v>
      </c>
      <c r="T264" s="342">
        <v>57.0</v>
      </c>
      <c r="U264" s="342">
        <v>13.0</v>
      </c>
      <c r="V264" s="342">
        <v>15.0</v>
      </c>
      <c r="W264" s="341">
        <v>4.935263158</v>
      </c>
      <c r="X264" s="5">
        <v>0.08070175439</v>
      </c>
      <c r="Y264" s="5">
        <v>4.243684211</v>
      </c>
      <c r="Z264" s="5">
        <v>1.18754386</v>
      </c>
      <c r="AA264" s="5">
        <v>0.4554385965</v>
      </c>
      <c r="AB264" s="5">
        <v>1.06</v>
      </c>
      <c r="AC264" s="5">
        <v>0.5854230749</v>
      </c>
      <c r="AD264" s="5">
        <v>3.365087719</v>
      </c>
      <c r="AE264" s="5">
        <v>0.6629785069</v>
      </c>
      <c r="AF264" s="5">
        <v>1.379473684</v>
      </c>
      <c r="AG264" s="5">
        <v>0.6966666667</v>
      </c>
      <c r="AH264" s="5">
        <v>13.86848477</v>
      </c>
      <c r="AI264" s="5">
        <v>-1.841253089</v>
      </c>
      <c r="AJ264" s="5">
        <v>-1.53243622</v>
      </c>
      <c r="AK264" s="5">
        <v>-0.6174035018</v>
      </c>
      <c r="AL264" s="5">
        <v>-1.167727809</v>
      </c>
      <c r="AM264" s="5">
        <v>-1.53228016</v>
      </c>
      <c r="AN264" s="5">
        <v>0.6733469751</v>
      </c>
      <c r="AO264" s="5">
        <v>0.494680374</v>
      </c>
      <c r="AP264" s="5">
        <v>-0.6830063997</v>
      </c>
      <c r="AQ264" s="5">
        <v>1.331550789</v>
      </c>
    </row>
    <row r="265">
      <c r="A265" s="342">
        <v>264.0</v>
      </c>
      <c r="B265" s="341">
        <v>15.0</v>
      </c>
      <c r="C265" s="341">
        <v>2.1</v>
      </c>
      <c r="D265" s="341">
        <v>-0.7770356668</v>
      </c>
      <c r="E265" s="342">
        <v>-0.009210923247</v>
      </c>
      <c r="F265" s="342">
        <v>-0.5595662507</v>
      </c>
      <c r="G265" s="342">
        <v>-0.2174694161</v>
      </c>
      <c r="H265" s="342">
        <v>-0.3408563539</v>
      </c>
      <c r="I265" s="343"/>
      <c r="J265" s="342" t="s">
        <v>2023</v>
      </c>
      <c r="K265" s="342" t="s">
        <v>222</v>
      </c>
      <c r="L265" s="342" t="s">
        <v>34</v>
      </c>
      <c r="M265" s="342" t="s">
        <v>2024</v>
      </c>
      <c r="N265" s="343"/>
      <c r="O265" s="342" t="s">
        <v>1374</v>
      </c>
      <c r="P265" s="343"/>
      <c r="Q265" s="342">
        <v>4.0</v>
      </c>
      <c r="R265" s="343"/>
      <c r="S265" s="342" t="s">
        <v>1434</v>
      </c>
      <c r="T265" s="342">
        <v>68.0</v>
      </c>
      <c r="U265" s="342">
        <v>15.0</v>
      </c>
      <c r="V265" s="342">
        <v>22.0</v>
      </c>
      <c r="W265" s="341">
        <v>6.189411765</v>
      </c>
      <c r="X265" s="5">
        <v>0.8367647059</v>
      </c>
      <c r="Y265" s="5">
        <v>5.445</v>
      </c>
      <c r="Z265" s="5">
        <v>0.9529411765</v>
      </c>
      <c r="AA265" s="5">
        <v>0.2594117647</v>
      </c>
      <c r="AB265" s="5">
        <v>0.6085294118</v>
      </c>
      <c r="AC265" s="5">
        <v>0.4967752084</v>
      </c>
      <c r="AD265" s="5">
        <v>4.674264706</v>
      </c>
      <c r="AE265" s="5">
        <v>0.7580239144</v>
      </c>
      <c r="AF265" s="5">
        <v>0.9347058824</v>
      </c>
      <c r="AG265" s="5">
        <v>0.8167647059</v>
      </c>
      <c r="AH265" s="5">
        <v>11.72927602</v>
      </c>
      <c r="AI265" s="5">
        <v>-1.630696875</v>
      </c>
      <c r="AJ265" s="5">
        <v>-0.7901490468</v>
      </c>
      <c r="AK265" s="5">
        <v>-0.1367036271</v>
      </c>
      <c r="AL265" s="5">
        <v>-1.276080217</v>
      </c>
      <c r="AM265" s="5">
        <v>-2.151095929</v>
      </c>
      <c r="AN265" s="5">
        <v>-0.1520974816</v>
      </c>
      <c r="AO265" s="5">
        <v>0.05702411235</v>
      </c>
      <c r="AP265" s="5">
        <v>-0.1364862712</v>
      </c>
      <c r="AQ265" s="5">
        <v>1.180189078</v>
      </c>
    </row>
    <row r="266">
      <c r="A266" s="342">
        <v>265.0</v>
      </c>
      <c r="B266" s="347"/>
      <c r="C266" s="347"/>
      <c r="D266" s="341">
        <v>-0.7772477922</v>
      </c>
      <c r="E266" s="342">
        <v>0.0599303941</v>
      </c>
      <c r="F266" s="342">
        <v>-0.6283839639</v>
      </c>
      <c r="G266" s="342">
        <v>-0.1488638284</v>
      </c>
      <c r="H266" s="343"/>
      <c r="I266" s="343"/>
      <c r="J266" s="342" t="s">
        <v>2025</v>
      </c>
      <c r="K266" s="342" t="s">
        <v>136</v>
      </c>
      <c r="L266" s="342" t="s">
        <v>1404</v>
      </c>
      <c r="M266" s="342" t="s">
        <v>2026</v>
      </c>
      <c r="N266" s="343"/>
      <c r="O266" s="342" t="s">
        <v>1368</v>
      </c>
      <c r="P266" s="343"/>
      <c r="Q266" s="342">
        <v>4.0</v>
      </c>
      <c r="R266" s="343"/>
      <c r="S266" s="342" t="s">
        <v>1434</v>
      </c>
      <c r="T266" s="342">
        <v>73.0</v>
      </c>
      <c r="U266" s="342">
        <v>15.0</v>
      </c>
      <c r="V266" s="342">
        <v>21.0</v>
      </c>
      <c r="W266" s="341">
        <v>8.039726027</v>
      </c>
      <c r="X266" s="5">
        <v>1.169726027</v>
      </c>
      <c r="Y266" s="5">
        <v>3.965479452</v>
      </c>
      <c r="Z266" s="5">
        <v>0.9012328767</v>
      </c>
      <c r="AA266" s="5">
        <v>0.7660273973</v>
      </c>
      <c r="AB266" s="5">
        <v>0.1802739726</v>
      </c>
      <c r="AC266" s="5">
        <v>0.4255870603</v>
      </c>
      <c r="AD266" s="5">
        <v>7.029452055</v>
      </c>
      <c r="AE266" s="5">
        <v>0.7419761577</v>
      </c>
      <c r="AF266" s="5">
        <v>1.195068493</v>
      </c>
      <c r="AG266" s="5">
        <v>1.306849315</v>
      </c>
      <c r="AH266" s="5">
        <v>17.79146318</v>
      </c>
      <c r="AI266" s="5">
        <v>-1.320051736</v>
      </c>
      <c r="AJ266" s="5">
        <v>-0.4632544176</v>
      </c>
      <c r="AK266" s="5">
        <v>-0.7287255986</v>
      </c>
      <c r="AL266" s="5">
        <v>-1.299961951</v>
      </c>
      <c r="AM266" s="5">
        <v>-0.5518161802</v>
      </c>
      <c r="AN266" s="5">
        <v>-0.9350966128</v>
      </c>
      <c r="AO266" s="5">
        <v>-0.6748952335</v>
      </c>
      <c r="AP266" s="5">
        <v>-0.2441806084</v>
      </c>
      <c r="AQ266" s="5">
        <v>0.5625266632</v>
      </c>
    </row>
    <row r="267">
      <c r="A267" s="342">
        <v>266.0</v>
      </c>
      <c r="B267" s="347"/>
      <c r="C267" s="347"/>
      <c r="D267" s="341">
        <v>-0.7773499614</v>
      </c>
      <c r="E267" s="342">
        <v>-0.002817807972</v>
      </c>
      <c r="F267" s="342">
        <v>-0.5539574569</v>
      </c>
      <c r="G267" s="342">
        <v>-0.2233925045</v>
      </c>
      <c r="H267" s="342">
        <v>-1.709757374</v>
      </c>
      <c r="I267" s="343"/>
      <c r="J267" s="342" t="s">
        <v>2027</v>
      </c>
      <c r="K267" s="342" t="s">
        <v>136</v>
      </c>
      <c r="L267" s="342" t="s">
        <v>1404</v>
      </c>
      <c r="M267" s="342" t="s">
        <v>2028</v>
      </c>
      <c r="N267" s="342" t="s">
        <v>2029</v>
      </c>
      <c r="O267" s="342" t="s">
        <v>1374</v>
      </c>
      <c r="P267" s="343"/>
      <c r="Q267" s="342">
        <v>4.0</v>
      </c>
      <c r="R267" s="343"/>
      <c r="S267" s="342" t="s">
        <v>1434</v>
      </c>
      <c r="T267" s="342">
        <v>53.0</v>
      </c>
      <c r="U267" s="342">
        <v>15.0</v>
      </c>
      <c r="V267" s="342">
        <v>19.0</v>
      </c>
      <c r="W267" s="341">
        <v>6.427169811</v>
      </c>
      <c r="X267" s="5">
        <v>0.7503773585</v>
      </c>
      <c r="Y267" s="5">
        <v>2.77245283</v>
      </c>
      <c r="Z267" s="5">
        <v>1.916226415</v>
      </c>
      <c r="AA267" s="5">
        <v>0.8741509434</v>
      </c>
      <c r="AB267" s="5">
        <v>0.3730188679</v>
      </c>
      <c r="AC267" s="5">
        <v>0.4355778009</v>
      </c>
      <c r="AD267" s="5">
        <v>5.993773585</v>
      </c>
      <c r="AE267" s="5">
        <v>0.6330010493</v>
      </c>
      <c r="AF267" s="5">
        <v>0.719245283</v>
      </c>
      <c r="AG267" s="5">
        <v>0.7747169811</v>
      </c>
      <c r="AH267" s="5">
        <v>15.7208665</v>
      </c>
      <c r="AI267" s="5">
        <v>-1.590780206</v>
      </c>
      <c r="AJ267" s="5">
        <v>-0.8749623811</v>
      </c>
      <c r="AK267" s="5">
        <v>-1.206108609</v>
      </c>
      <c r="AL267" s="5">
        <v>-0.8311821726</v>
      </c>
      <c r="AM267" s="5">
        <v>-0.210492726</v>
      </c>
      <c r="AN267" s="5">
        <v>-0.582692249</v>
      </c>
      <c r="AO267" s="5">
        <v>-0.4852350814</v>
      </c>
      <c r="AP267" s="5">
        <v>-0.4373462665</v>
      </c>
      <c r="AQ267" s="5">
        <v>1.233182579</v>
      </c>
    </row>
    <row r="268">
      <c r="A268" s="342">
        <v>267.0</v>
      </c>
      <c r="B268" s="341">
        <v>2.0</v>
      </c>
      <c r="C268" s="341">
        <v>-0.2</v>
      </c>
      <c r="D268" s="341">
        <v>-0.78789885</v>
      </c>
      <c r="E268" s="342">
        <v>-0.01197156805</v>
      </c>
      <c r="F268" s="342">
        <v>-0.5345575195</v>
      </c>
      <c r="G268" s="342">
        <v>-0.2533413305</v>
      </c>
      <c r="H268" s="342">
        <v>0.6415314367</v>
      </c>
      <c r="I268" s="343"/>
      <c r="J268" s="342" t="s">
        <v>2030</v>
      </c>
      <c r="K268" s="342" t="s">
        <v>222</v>
      </c>
      <c r="L268" s="342" t="s">
        <v>1413</v>
      </c>
      <c r="M268" s="342" t="s">
        <v>2031</v>
      </c>
      <c r="N268" s="343"/>
      <c r="O268" s="342" t="s">
        <v>1378</v>
      </c>
      <c r="P268" s="342" t="s">
        <v>1706</v>
      </c>
      <c r="Q268" s="342">
        <v>2.0</v>
      </c>
      <c r="R268" s="343"/>
      <c r="S268" s="342" t="s">
        <v>1434</v>
      </c>
      <c r="T268" s="342">
        <v>77.0</v>
      </c>
      <c r="U268" s="342">
        <v>15.0</v>
      </c>
      <c r="V268" s="342">
        <v>23.0</v>
      </c>
      <c r="W268" s="341">
        <v>8.724675325</v>
      </c>
      <c r="X268" s="5">
        <v>2.101298701</v>
      </c>
      <c r="Y268" s="5">
        <v>2.656493506</v>
      </c>
      <c r="Z268" s="5">
        <v>1.185974026</v>
      </c>
      <c r="AA268" s="5">
        <v>0.6022077922</v>
      </c>
      <c r="AB268" s="5">
        <v>0.09636363636</v>
      </c>
      <c r="AC268" s="5">
        <v>0.4064440735</v>
      </c>
      <c r="AD268" s="5">
        <v>7.779220779</v>
      </c>
      <c r="AE268" s="5">
        <v>0.8011107254</v>
      </c>
      <c r="AF268" s="5">
        <v>0.3741558442</v>
      </c>
      <c r="AG268" s="5">
        <v>0.5692207792</v>
      </c>
      <c r="AH268" s="5">
        <v>16.18195475</v>
      </c>
      <c r="AI268" s="5">
        <v>-1.205057125</v>
      </c>
      <c r="AJ268" s="5">
        <v>0.4513446188</v>
      </c>
      <c r="AK268" s="5">
        <v>-1.252509091</v>
      </c>
      <c r="AL268" s="5">
        <v>-1.168452845</v>
      </c>
      <c r="AM268" s="5">
        <v>-1.068960461</v>
      </c>
      <c r="AN268" s="5">
        <v>-1.088513743</v>
      </c>
      <c r="AO268" s="5">
        <v>-0.973638892</v>
      </c>
      <c r="AP268" s="5">
        <v>0.002596737691</v>
      </c>
      <c r="AQ268" s="5">
        <v>1.492173124</v>
      </c>
    </row>
    <row r="269">
      <c r="A269" s="342">
        <v>268.0</v>
      </c>
      <c r="B269" s="347"/>
      <c r="C269" s="347"/>
      <c r="D269" s="341">
        <v>-0.795325474</v>
      </c>
      <c r="E269" s="342">
        <v>-0.003655134532</v>
      </c>
      <c r="F269" s="342">
        <v>-0.603420746</v>
      </c>
      <c r="G269" s="342">
        <v>-0.191904728</v>
      </c>
      <c r="H269" s="342">
        <v>0.8992069228</v>
      </c>
      <c r="I269" s="343"/>
      <c r="J269" s="342" t="s">
        <v>2032</v>
      </c>
      <c r="K269" s="342" t="s">
        <v>1421</v>
      </c>
      <c r="L269" s="342" t="s">
        <v>1380</v>
      </c>
      <c r="M269" s="342" t="s">
        <v>2033</v>
      </c>
      <c r="N269" s="343"/>
      <c r="O269" s="342" t="s">
        <v>1368</v>
      </c>
      <c r="P269" s="342" t="s">
        <v>1642</v>
      </c>
      <c r="Q269" s="342">
        <v>2.0</v>
      </c>
      <c r="R269" s="343"/>
      <c r="S269" s="342" t="s">
        <v>1434</v>
      </c>
      <c r="T269" s="342">
        <v>73.0</v>
      </c>
      <c r="U269" s="342">
        <v>15.0</v>
      </c>
      <c r="V269" s="342">
        <v>18.0</v>
      </c>
      <c r="W269" s="341">
        <v>7.257945205</v>
      </c>
      <c r="X269" s="5">
        <v>1.418493151</v>
      </c>
      <c r="Y269" s="5">
        <v>1.8</v>
      </c>
      <c r="Z269" s="5">
        <v>2.929452055</v>
      </c>
      <c r="AA269" s="5">
        <v>0.5694520548</v>
      </c>
      <c r="AB269" s="5">
        <v>0.1449315068</v>
      </c>
      <c r="AC269" s="5">
        <v>0.4184613389</v>
      </c>
      <c r="AD269" s="5">
        <v>6.335342466</v>
      </c>
      <c r="AE269" s="5">
        <v>0.848</v>
      </c>
      <c r="AF269" s="5">
        <v>0.6335616438</v>
      </c>
      <c r="AG269" s="5">
        <v>1.013835616</v>
      </c>
      <c r="AH269" s="5">
        <v>18.91261531</v>
      </c>
      <c r="AI269" s="5">
        <v>-1.451303176</v>
      </c>
      <c r="AJ269" s="5">
        <v>-0.2190199336</v>
      </c>
      <c r="AK269" s="5">
        <v>-1.595230235</v>
      </c>
      <c r="AL269" s="5">
        <v>-0.3632189073</v>
      </c>
      <c r="AM269" s="5">
        <v>-1.172363483</v>
      </c>
      <c r="AN269" s="5">
        <v>-0.9997148697</v>
      </c>
      <c r="AO269" s="5">
        <v>-0.6781980158</v>
      </c>
      <c r="AP269" s="5">
        <v>0.1164448289</v>
      </c>
      <c r="AQ269" s="5">
        <v>0.9318170781</v>
      </c>
    </row>
    <row r="270">
      <c r="A270" s="342">
        <v>269.0</v>
      </c>
      <c r="B270" s="347"/>
      <c r="C270" s="347"/>
      <c r="D270" s="341">
        <v>-0.8060298791</v>
      </c>
      <c r="E270" s="342">
        <v>-0.008003020774</v>
      </c>
      <c r="F270" s="342">
        <v>-0.5983017616</v>
      </c>
      <c r="G270" s="342">
        <v>-0.2077281175</v>
      </c>
      <c r="H270" s="342">
        <v>-2.031851731</v>
      </c>
      <c r="I270" s="343"/>
      <c r="J270" s="342" t="s">
        <v>2034</v>
      </c>
      <c r="K270" s="342" t="s">
        <v>169</v>
      </c>
      <c r="L270" s="342" t="s">
        <v>1404</v>
      </c>
      <c r="M270" s="342" t="s">
        <v>2035</v>
      </c>
      <c r="N270" s="343"/>
      <c r="O270" s="342" t="s">
        <v>1374</v>
      </c>
      <c r="P270" s="342" t="s">
        <v>1399</v>
      </c>
      <c r="Q270" s="342">
        <v>5.0</v>
      </c>
      <c r="R270" s="343"/>
      <c r="S270" s="342" t="s">
        <v>1434</v>
      </c>
      <c r="T270" s="342">
        <v>45.0</v>
      </c>
      <c r="U270" s="342">
        <v>15.0</v>
      </c>
      <c r="V270" s="342">
        <v>15.0</v>
      </c>
      <c r="W270" s="341">
        <v>7.061777778</v>
      </c>
      <c r="X270" s="5">
        <v>1.347333333</v>
      </c>
      <c r="Y270" s="5">
        <v>5.456222222</v>
      </c>
      <c r="Z270" s="5">
        <v>1.636888889</v>
      </c>
      <c r="AA270" s="5">
        <v>0.2688888889</v>
      </c>
      <c r="AB270" s="5">
        <v>0.1528888889</v>
      </c>
      <c r="AC270" s="5">
        <v>0.424567056</v>
      </c>
      <c r="AD270" s="5">
        <v>5.517777778</v>
      </c>
      <c r="AE270" s="5">
        <v>0.811033275</v>
      </c>
      <c r="AF270" s="5">
        <v>1.268888889</v>
      </c>
      <c r="AG270" s="5">
        <v>0.9093333333</v>
      </c>
      <c r="AH270" s="5">
        <v>21.24388599</v>
      </c>
      <c r="AI270" s="5">
        <v>-1.484237289</v>
      </c>
      <c r="AJ270" s="5">
        <v>-0.2888831898</v>
      </c>
      <c r="AK270" s="5">
        <v>-0.1322131169</v>
      </c>
      <c r="AL270" s="5">
        <v>-0.9601955885</v>
      </c>
      <c r="AM270" s="5">
        <v>-2.121178627</v>
      </c>
      <c r="AN270" s="5">
        <v>-0.9851660219</v>
      </c>
      <c r="AO270" s="5">
        <v>-0.5403403636</v>
      </c>
      <c r="AP270" s="5">
        <v>0.06397516341</v>
      </c>
      <c r="AQ270" s="5">
        <v>1.063523178</v>
      </c>
    </row>
    <row r="271">
      <c r="A271" s="342">
        <v>270.0</v>
      </c>
      <c r="B271" s="341">
        <v>2.0</v>
      </c>
      <c r="C271" s="341">
        <v>-0.2</v>
      </c>
      <c r="D271" s="341">
        <v>-0.8072874693</v>
      </c>
      <c r="E271" s="342">
        <v>-0.003118779003</v>
      </c>
      <c r="F271" s="342">
        <v>-0.5845694809</v>
      </c>
      <c r="G271" s="342">
        <v>-0.2227179884</v>
      </c>
      <c r="H271" s="342">
        <v>0.9153116407</v>
      </c>
      <c r="I271" s="343"/>
      <c r="J271" s="342" t="s">
        <v>2036</v>
      </c>
      <c r="K271" s="342" t="s">
        <v>63</v>
      </c>
      <c r="L271" s="342" t="s">
        <v>1380</v>
      </c>
      <c r="M271" s="342" t="s">
        <v>2037</v>
      </c>
      <c r="N271" s="343"/>
      <c r="O271" s="342" t="s">
        <v>1368</v>
      </c>
      <c r="P271" s="342" t="s">
        <v>1399</v>
      </c>
      <c r="Q271" s="342">
        <v>1.0</v>
      </c>
      <c r="R271" s="343"/>
      <c r="S271" s="342" t="s">
        <v>1434</v>
      </c>
      <c r="T271" s="342">
        <v>73.0</v>
      </c>
      <c r="U271" s="342">
        <v>13.0</v>
      </c>
      <c r="V271" s="342">
        <v>21.0</v>
      </c>
      <c r="W271" s="341">
        <v>7.474794521</v>
      </c>
      <c r="X271" s="5">
        <v>1.160410959</v>
      </c>
      <c r="Y271" s="5">
        <v>3.079178082</v>
      </c>
      <c r="Z271" s="5">
        <v>1.313013699</v>
      </c>
      <c r="AA271" s="5">
        <v>0.4908219178</v>
      </c>
      <c r="AB271" s="5">
        <v>0.3569863014</v>
      </c>
      <c r="AC271" s="5">
        <v>0.443426022</v>
      </c>
      <c r="AD271" s="5">
        <v>6.202328767</v>
      </c>
      <c r="AE271" s="5">
        <v>0.8200138026</v>
      </c>
      <c r="AF271" s="5">
        <v>0.9924657534</v>
      </c>
      <c r="AG271" s="5">
        <v>0.8032876712</v>
      </c>
      <c r="AH271" s="5">
        <v>15.25556548</v>
      </c>
      <c r="AI271" s="5">
        <v>-1.414896828</v>
      </c>
      <c r="AJ271" s="5">
        <v>-0.4723997617</v>
      </c>
      <c r="AK271" s="5">
        <v>-1.083374194</v>
      </c>
      <c r="AL271" s="5">
        <v>-1.109778944</v>
      </c>
      <c r="AM271" s="5">
        <v>-1.420582404</v>
      </c>
      <c r="AN271" s="5">
        <v>-0.6120053284</v>
      </c>
      <c r="AO271" s="5">
        <v>-0.4273582787</v>
      </c>
      <c r="AP271" s="5">
        <v>0.08209598522</v>
      </c>
      <c r="AQ271" s="5">
        <v>1.197174426</v>
      </c>
    </row>
    <row r="272">
      <c r="A272" s="342">
        <v>271.0</v>
      </c>
      <c r="B272" s="341">
        <v>4.0</v>
      </c>
      <c r="C272" s="341">
        <v>-0.4</v>
      </c>
      <c r="D272" s="341">
        <v>-0.8091489189</v>
      </c>
      <c r="E272" s="342">
        <v>-0.002916325253</v>
      </c>
      <c r="F272" s="342">
        <v>-0.6269574373</v>
      </c>
      <c r="G272" s="342">
        <v>-0.1821914817</v>
      </c>
      <c r="H272" s="342">
        <v>-0.03486671421</v>
      </c>
      <c r="I272" s="343"/>
      <c r="J272" s="342" t="s">
        <v>2038</v>
      </c>
      <c r="K272" s="342" t="s">
        <v>180</v>
      </c>
      <c r="L272" s="342" t="s">
        <v>34</v>
      </c>
      <c r="M272" s="342" t="s">
        <v>2039</v>
      </c>
      <c r="N272" s="343"/>
      <c r="O272" s="342" t="s">
        <v>1374</v>
      </c>
      <c r="P272" s="342" t="s">
        <v>1551</v>
      </c>
      <c r="Q272" s="342">
        <v>4.0</v>
      </c>
      <c r="R272" s="343"/>
      <c r="S272" s="342" t="s">
        <v>1434</v>
      </c>
      <c r="T272" s="342">
        <v>60.0</v>
      </c>
      <c r="U272" s="342">
        <v>16.0</v>
      </c>
      <c r="V272" s="342">
        <v>20.0</v>
      </c>
      <c r="W272" s="341">
        <v>5.395333333</v>
      </c>
      <c r="X272" s="5">
        <v>0.0</v>
      </c>
      <c r="Y272" s="5">
        <v>7.3645</v>
      </c>
      <c r="Z272" s="5">
        <v>1.599166667</v>
      </c>
      <c r="AA272" s="5">
        <v>0.6118333333</v>
      </c>
      <c r="AB272" s="5">
        <v>0.6733333333</v>
      </c>
      <c r="AC272" s="5">
        <v>0.5839862247</v>
      </c>
      <c r="AD272" s="5">
        <v>3.871666667</v>
      </c>
      <c r="AE272" s="5">
        <v>0.469955157</v>
      </c>
      <c r="AF272" s="5">
        <v>1.858333333</v>
      </c>
      <c r="AG272" s="5">
        <v>1.094166667</v>
      </c>
      <c r="AH272" s="5">
        <v>12.11131377</v>
      </c>
      <c r="AI272" s="5">
        <v>-1.764012933</v>
      </c>
      <c r="AJ272" s="5">
        <v>-1.611667555</v>
      </c>
      <c r="AK272" s="5">
        <v>0.6313736908</v>
      </c>
      <c r="AL272" s="5">
        <v>-0.9776177831</v>
      </c>
      <c r="AM272" s="5">
        <v>-1.038574638</v>
      </c>
      <c r="AN272" s="5">
        <v>-0.03361348904</v>
      </c>
      <c r="AO272" s="5">
        <v>0.5620233588</v>
      </c>
      <c r="AP272" s="5">
        <v>-2.241102003</v>
      </c>
      <c r="AQ272" s="5">
        <v>0.830574416</v>
      </c>
    </row>
    <row r="273">
      <c r="A273" s="342">
        <v>272.0</v>
      </c>
      <c r="B273" s="347"/>
      <c r="C273" s="347"/>
      <c r="D273" s="341">
        <v>-0.8125433553</v>
      </c>
      <c r="E273" s="342">
        <v>-0.0515639064</v>
      </c>
      <c r="F273" s="342">
        <v>-0.6896682033</v>
      </c>
      <c r="G273" s="342">
        <v>-0.122875152</v>
      </c>
      <c r="H273" s="342">
        <v>0.7864738976</v>
      </c>
      <c r="I273" s="343"/>
      <c r="J273" s="342" t="s">
        <v>2040</v>
      </c>
      <c r="K273" s="342" t="s">
        <v>136</v>
      </c>
      <c r="L273" s="342" t="s">
        <v>1380</v>
      </c>
      <c r="M273" s="342" t="s">
        <v>2041</v>
      </c>
      <c r="N273" s="343"/>
      <c r="O273" s="342" t="s">
        <v>1368</v>
      </c>
      <c r="P273" s="343"/>
      <c r="Q273" s="342">
        <v>3.0</v>
      </c>
      <c r="R273" s="343"/>
      <c r="S273" s="342" t="s">
        <v>1434</v>
      </c>
      <c r="T273" s="342">
        <v>68.0</v>
      </c>
      <c r="U273" s="342">
        <v>15.0</v>
      </c>
      <c r="V273" s="342">
        <v>17.0</v>
      </c>
      <c r="W273" s="341">
        <v>7.56</v>
      </c>
      <c r="X273" s="5">
        <v>0.8729411765</v>
      </c>
      <c r="Y273" s="5">
        <v>1.386176471</v>
      </c>
      <c r="Z273" s="5">
        <v>4.012647059</v>
      </c>
      <c r="AA273" s="5">
        <v>0.4594117647</v>
      </c>
      <c r="AB273" s="5">
        <v>0.1116176471</v>
      </c>
      <c r="AC273" s="5">
        <v>0.4610221748</v>
      </c>
      <c r="AD273" s="5">
        <v>6.200735294</v>
      </c>
      <c r="AE273" s="5">
        <v>0.8249718504</v>
      </c>
      <c r="AF273" s="5">
        <v>1.175441176</v>
      </c>
      <c r="AG273" s="5">
        <v>1.520441176</v>
      </c>
      <c r="AH273" s="5">
        <v>20.43079063</v>
      </c>
      <c r="AI273" s="5">
        <v>-1.40059187</v>
      </c>
      <c r="AJ273" s="5">
        <v>-0.7546317264</v>
      </c>
      <c r="AK273" s="5">
        <v>-1.760819433</v>
      </c>
      <c r="AL273" s="5">
        <v>0.1370600544</v>
      </c>
      <c r="AM273" s="5">
        <v>-1.519737697</v>
      </c>
      <c r="AN273" s="5">
        <v>-1.060624133</v>
      </c>
      <c r="AO273" s="5">
        <v>-0.2603919046</v>
      </c>
      <c r="AP273" s="5">
        <v>0.1193898679</v>
      </c>
      <c r="AQ273" s="5">
        <v>0.293333013</v>
      </c>
    </row>
    <row r="274">
      <c r="A274" s="342">
        <v>273.0</v>
      </c>
      <c r="B274" s="341">
        <v>5.0</v>
      </c>
      <c r="C274" s="341">
        <v>-0.6</v>
      </c>
      <c r="D274" s="341">
        <v>-0.8181689225</v>
      </c>
      <c r="E274" s="342">
        <v>-0.002197427137</v>
      </c>
      <c r="F274" s="342">
        <v>-0.5787947345</v>
      </c>
      <c r="G274" s="342">
        <v>-0.239374188</v>
      </c>
      <c r="H274" s="343"/>
      <c r="I274" s="343"/>
      <c r="J274" s="342" t="s">
        <v>2042</v>
      </c>
      <c r="K274" s="342" t="s">
        <v>1471</v>
      </c>
      <c r="L274" s="342" t="s">
        <v>1366</v>
      </c>
      <c r="M274" s="342" t="s">
        <v>2043</v>
      </c>
      <c r="N274" s="343"/>
      <c r="O274" s="342" t="s">
        <v>1368</v>
      </c>
      <c r="P274" s="343"/>
      <c r="Q274" s="342">
        <v>1.0</v>
      </c>
      <c r="R274" s="343"/>
      <c r="S274" s="342" t="s">
        <v>1960</v>
      </c>
      <c r="T274" s="342">
        <v>47.0</v>
      </c>
      <c r="U274" s="342">
        <v>16.0</v>
      </c>
      <c r="V274" s="342">
        <v>14.0</v>
      </c>
      <c r="W274" s="341">
        <v>5.894042553</v>
      </c>
      <c r="X274" s="5">
        <v>0.2636170213</v>
      </c>
      <c r="Y274" s="5">
        <v>3.724893617</v>
      </c>
      <c r="Z274" s="5">
        <v>0.4908510638</v>
      </c>
      <c r="AA274" s="5">
        <v>0.4331914894</v>
      </c>
      <c r="AB274" s="5">
        <v>0.8085106383</v>
      </c>
      <c r="AC274" s="5">
        <v>0.5579757463</v>
      </c>
      <c r="AD274" s="5">
        <v>4.561702128</v>
      </c>
      <c r="AE274" s="5">
        <v>0.6960219479</v>
      </c>
      <c r="AF274" s="5">
        <v>0.7755319149</v>
      </c>
      <c r="AG274" s="5">
        <v>0.6929787234</v>
      </c>
      <c r="AH274" s="5">
        <v>17.57954055</v>
      </c>
      <c r="AI274" s="5">
        <v>-1.680285753</v>
      </c>
      <c r="AJ274" s="5">
        <v>-1.352853745</v>
      </c>
      <c r="AK274" s="5">
        <v>-0.824994691</v>
      </c>
      <c r="AL274" s="5">
        <v>-1.489498817</v>
      </c>
      <c r="AM274" s="5">
        <v>-1.602509631</v>
      </c>
      <c r="AN274" s="5">
        <v>0.2135373996</v>
      </c>
      <c r="AO274" s="5">
        <v>0.4823737204</v>
      </c>
      <c r="AP274" s="5">
        <v>-0.2911198631</v>
      </c>
      <c r="AQ274" s="5">
        <v>1.33619877</v>
      </c>
    </row>
    <row r="275">
      <c r="A275" s="342">
        <v>274.0</v>
      </c>
      <c r="B275" s="347"/>
      <c r="C275" s="347"/>
      <c r="D275" s="341">
        <v>-0.8224155868</v>
      </c>
      <c r="E275" s="342">
        <v>-7.512753667E-4</v>
      </c>
      <c r="F275" s="342">
        <v>-0.6190219951</v>
      </c>
      <c r="G275" s="342">
        <v>-0.2033935917</v>
      </c>
      <c r="H275" s="343"/>
      <c r="I275" s="343"/>
      <c r="J275" s="342" t="s">
        <v>2044</v>
      </c>
      <c r="K275" s="342" t="s">
        <v>287</v>
      </c>
      <c r="L275" s="342" t="s">
        <v>1380</v>
      </c>
      <c r="M275" s="342" t="s">
        <v>2045</v>
      </c>
      <c r="N275" s="343"/>
      <c r="O275" s="342" t="s">
        <v>1368</v>
      </c>
      <c r="P275" s="343"/>
      <c r="Q275" s="342">
        <v>2.0</v>
      </c>
      <c r="R275" s="343"/>
      <c r="S275" s="342" t="s">
        <v>1434</v>
      </c>
      <c r="T275" s="342">
        <v>73.0</v>
      </c>
      <c r="U275" s="342">
        <v>16.0</v>
      </c>
      <c r="V275" s="342">
        <v>20.0</v>
      </c>
      <c r="W275" s="341">
        <v>6.775205479</v>
      </c>
      <c r="X275" s="5">
        <v>1.680684932</v>
      </c>
      <c r="Y275" s="5">
        <v>2.6</v>
      </c>
      <c r="Z275" s="5">
        <v>1.603287671</v>
      </c>
      <c r="AA275" s="5">
        <v>0.65</v>
      </c>
      <c r="AB275" s="5">
        <v>0.26</v>
      </c>
      <c r="AC275" s="5">
        <v>0.3781613124</v>
      </c>
      <c r="AD275" s="5">
        <v>6.413150685</v>
      </c>
      <c r="AE275" s="5">
        <v>0.7612131568</v>
      </c>
      <c r="AF275" s="5">
        <v>0.3206849315</v>
      </c>
      <c r="AG275" s="5">
        <v>0.9532876712</v>
      </c>
      <c r="AH275" s="5">
        <v>15.78815402</v>
      </c>
      <c r="AI275" s="5">
        <v>-1.532349273</v>
      </c>
      <c r="AJ275" s="5">
        <v>0.03839460501</v>
      </c>
      <c r="AK275" s="5">
        <v>-1.275114656</v>
      </c>
      <c r="AL275" s="5">
        <v>-0.9757144768</v>
      </c>
      <c r="AM275" s="5">
        <v>-0.9180904418</v>
      </c>
      <c r="AN275" s="5">
        <v>-0.7893298473</v>
      </c>
      <c r="AO275" s="5">
        <v>-1.081658722</v>
      </c>
      <c r="AP275" s="5">
        <v>-0.045461883</v>
      </c>
      <c r="AQ275" s="5">
        <v>1.008126738</v>
      </c>
    </row>
    <row r="276">
      <c r="A276" s="342">
        <v>275.0</v>
      </c>
      <c r="B276" s="347"/>
      <c r="C276" s="347"/>
      <c r="D276" s="341">
        <v>-0.8242644415</v>
      </c>
      <c r="E276" s="342">
        <v>-0.0018143337</v>
      </c>
      <c r="F276" s="342">
        <v>-0.6616017752</v>
      </c>
      <c r="G276" s="342">
        <v>-0.1626626663</v>
      </c>
      <c r="H276" s="342">
        <v>0.99583523</v>
      </c>
      <c r="I276" s="343"/>
      <c r="J276" s="342" t="s">
        <v>2046</v>
      </c>
      <c r="K276" s="342" t="s">
        <v>291</v>
      </c>
      <c r="L276" s="342" t="s">
        <v>1404</v>
      </c>
      <c r="M276" s="342" t="s">
        <v>2047</v>
      </c>
      <c r="N276" s="342" t="s">
        <v>2048</v>
      </c>
      <c r="O276" s="342" t="s">
        <v>1368</v>
      </c>
      <c r="P276" s="342" t="s">
        <v>1812</v>
      </c>
      <c r="Q276" s="342">
        <v>4.0</v>
      </c>
      <c r="R276" s="343"/>
      <c r="S276" s="342" t="s">
        <v>1434</v>
      </c>
      <c r="T276" s="342">
        <v>73.0</v>
      </c>
      <c r="U276" s="342">
        <v>15.0</v>
      </c>
      <c r="V276" s="342">
        <v>16.0</v>
      </c>
      <c r="W276" s="341">
        <v>7.12109589</v>
      </c>
      <c r="X276" s="5">
        <v>0.4187671233</v>
      </c>
      <c r="Y276" s="5">
        <v>3.501369863</v>
      </c>
      <c r="Z276" s="5">
        <v>1.645753425</v>
      </c>
      <c r="AA276" s="5">
        <v>0.4405479452</v>
      </c>
      <c r="AB276" s="5">
        <v>0.3689041096</v>
      </c>
      <c r="AC276" s="5">
        <v>0.5259584137</v>
      </c>
      <c r="AD276" s="5">
        <v>5.184794521</v>
      </c>
      <c r="AE276" s="5">
        <v>0.7679925839</v>
      </c>
      <c r="AF276" s="5">
        <v>1.625479452</v>
      </c>
      <c r="AG276" s="5">
        <v>1.245616438</v>
      </c>
      <c r="AH276" s="5">
        <v>18.97770601</v>
      </c>
      <c r="AI276" s="5">
        <v>-1.474278503</v>
      </c>
      <c r="AJ276" s="5">
        <v>-1.200530541</v>
      </c>
      <c r="AK276" s="5">
        <v>-0.914436486</v>
      </c>
      <c r="AL276" s="5">
        <v>-0.9561014589</v>
      </c>
      <c r="AM276" s="5">
        <v>-1.579286836</v>
      </c>
      <c r="AN276" s="5">
        <v>-0.5902154511</v>
      </c>
      <c r="AO276" s="5">
        <v>0.295649169</v>
      </c>
      <c r="AP276" s="5">
        <v>-0.1749154246</v>
      </c>
      <c r="AQ276" s="5">
        <v>0.639699555</v>
      </c>
    </row>
    <row r="277">
      <c r="A277" s="342">
        <v>276.0</v>
      </c>
      <c r="B277" s="347"/>
      <c r="C277" s="347"/>
      <c r="D277" s="341">
        <v>-0.828448177</v>
      </c>
      <c r="E277" s="342">
        <v>-6.423617417E-4</v>
      </c>
      <c r="F277" s="342">
        <v>-0.6332084412</v>
      </c>
      <c r="G277" s="342">
        <v>-0.1952397358</v>
      </c>
      <c r="H277" s="342">
        <v>1.140777691</v>
      </c>
      <c r="I277" s="343"/>
      <c r="J277" s="342" t="s">
        <v>2049</v>
      </c>
      <c r="K277" s="342" t="s">
        <v>126</v>
      </c>
      <c r="L277" s="342" t="s">
        <v>1380</v>
      </c>
      <c r="M277" s="342" t="s">
        <v>2050</v>
      </c>
      <c r="N277" s="343"/>
      <c r="O277" s="342" t="s">
        <v>1368</v>
      </c>
      <c r="P277" s="342" t="s">
        <v>1968</v>
      </c>
      <c r="Q277" s="342">
        <v>4.0</v>
      </c>
      <c r="R277" s="343"/>
      <c r="S277" s="342" t="s">
        <v>1434</v>
      </c>
      <c r="T277" s="342">
        <v>73.0</v>
      </c>
      <c r="U277" s="342">
        <v>15.0</v>
      </c>
      <c r="V277" s="342">
        <v>21.0</v>
      </c>
      <c r="W277" s="341">
        <v>7.74369863</v>
      </c>
      <c r="X277" s="5">
        <v>1.104794521</v>
      </c>
      <c r="Y277" s="5">
        <v>1.9</v>
      </c>
      <c r="Z277" s="5">
        <v>2.767671233</v>
      </c>
      <c r="AA277" s="5">
        <v>0.618630137</v>
      </c>
      <c r="AB277" s="5">
        <v>0.1308219178</v>
      </c>
      <c r="AC277" s="5">
        <v>0.4507076722</v>
      </c>
      <c r="AD277" s="5">
        <v>6.716986301</v>
      </c>
      <c r="AE277" s="5">
        <v>0.6979865772</v>
      </c>
      <c r="AF277" s="5">
        <v>0.8368493151</v>
      </c>
      <c r="AG277" s="5">
        <v>1.01630137</v>
      </c>
      <c r="AH277" s="5">
        <v>16.60959598</v>
      </c>
      <c r="AI277" s="5">
        <v>-1.369751116</v>
      </c>
      <c r="AJ277" s="5">
        <v>-0.5270028456</v>
      </c>
      <c r="AK277" s="5">
        <v>-1.555215788</v>
      </c>
      <c r="AL277" s="5">
        <v>-0.4379381788</v>
      </c>
      <c r="AM277" s="5">
        <v>-1.017118548</v>
      </c>
      <c r="AN277" s="5">
        <v>-1.025512081</v>
      </c>
      <c r="AO277" s="5">
        <v>-0.387259725</v>
      </c>
      <c r="AP277" s="5">
        <v>-0.3077871339</v>
      </c>
      <c r="AQ277" s="5">
        <v>0.9287094448</v>
      </c>
    </row>
    <row r="278">
      <c r="A278" s="342">
        <v>277.0</v>
      </c>
      <c r="B278" s="341">
        <v>1.0</v>
      </c>
      <c r="C278" s="341">
        <v>-0.1</v>
      </c>
      <c r="D278" s="341">
        <v>-0.8290092508</v>
      </c>
      <c r="E278" s="342">
        <v>-0.007607028874</v>
      </c>
      <c r="F278" s="342">
        <v>-0.6080930968</v>
      </c>
      <c r="G278" s="342">
        <v>-0.220916154</v>
      </c>
      <c r="H278" s="342">
        <v>-2.064061167</v>
      </c>
      <c r="I278" s="343"/>
      <c r="J278" s="342" t="s">
        <v>2051</v>
      </c>
      <c r="K278" s="342" t="s">
        <v>173</v>
      </c>
      <c r="L278" s="342" t="s">
        <v>1380</v>
      </c>
      <c r="M278" s="342" t="s">
        <v>2052</v>
      </c>
      <c r="N278" s="342" t="s">
        <v>2053</v>
      </c>
      <c r="O278" s="342" t="s">
        <v>1374</v>
      </c>
      <c r="P278" s="342" t="s">
        <v>1812</v>
      </c>
      <c r="Q278" s="342">
        <v>4.0</v>
      </c>
      <c r="R278" s="343"/>
      <c r="S278" s="342" t="s">
        <v>1434</v>
      </c>
      <c r="T278" s="342">
        <v>59.0</v>
      </c>
      <c r="U278" s="342">
        <v>15.0</v>
      </c>
      <c r="V278" s="342">
        <v>20.0</v>
      </c>
      <c r="W278" s="341">
        <v>7.33</v>
      </c>
      <c r="X278" s="5">
        <v>1.823559322</v>
      </c>
      <c r="Y278" s="5">
        <v>2.291694915</v>
      </c>
      <c r="Z278" s="5">
        <v>1.666610169</v>
      </c>
      <c r="AA278" s="5">
        <v>0.4011864407</v>
      </c>
      <c r="AB278" s="5">
        <v>0.04271186441</v>
      </c>
      <c r="AC278" s="5">
        <v>0.4426911315</v>
      </c>
      <c r="AD278" s="5">
        <v>5.542372881</v>
      </c>
      <c r="AE278" s="5">
        <v>0.9011213048</v>
      </c>
      <c r="AF278" s="5">
        <v>0.6650847458</v>
      </c>
      <c r="AG278" s="5">
        <v>0.8333898305</v>
      </c>
      <c r="AH278" s="5">
        <v>14.48038136</v>
      </c>
      <c r="AI278" s="5">
        <v>-1.439206057</v>
      </c>
      <c r="AJ278" s="5">
        <v>0.1786657653</v>
      </c>
      <c r="AK278" s="5">
        <v>-1.398481232</v>
      </c>
      <c r="AL278" s="5">
        <v>-0.9464686683</v>
      </c>
      <c r="AM278" s="5">
        <v>-1.703542885</v>
      </c>
      <c r="AN278" s="5">
        <v>-1.186607747</v>
      </c>
      <c r="AO278" s="5">
        <v>-0.3890906772</v>
      </c>
      <c r="AP278" s="5">
        <v>0.2526574953</v>
      </c>
      <c r="AQ278" s="5">
        <v>1.159236135</v>
      </c>
    </row>
    <row r="279">
      <c r="A279" s="342">
        <v>278.0</v>
      </c>
      <c r="B279" s="341">
        <v>53.0</v>
      </c>
      <c r="C279" s="341">
        <v>8.2</v>
      </c>
      <c r="D279" s="341">
        <v>-0.8351177163</v>
      </c>
      <c r="E279" s="342">
        <v>0.1798983248</v>
      </c>
      <c r="F279" s="342">
        <v>-0.6634608646</v>
      </c>
      <c r="G279" s="342">
        <v>-0.1716568517</v>
      </c>
      <c r="H279" s="343"/>
      <c r="I279" s="343"/>
      <c r="J279" s="342" t="s">
        <v>2054</v>
      </c>
      <c r="K279" s="342" t="s">
        <v>63</v>
      </c>
      <c r="L279" s="342" t="s">
        <v>1404</v>
      </c>
      <c r="M279" s="342" t="s">
        <v>2055</v>
      </c>
      <c r="N279" s="342" t="s">
        <v>1530</v>
      </c>
      <c r="O279" s="342" t="s">
        <v>1368</v>
      </c>
      <c r="P279" s="343"/>
      <c r="Q279" s="342">
        <v>2.0</v>
      </c>
      <c r="R279" s="343"/>
      <c r="S279" s="342" t="s">
        <v>1434</v>
      </c>
      <c r="T279" s="342">
        <v>73.0</v>
      </c>
      <c r="U279" s="342">
        <v>13.0</v>
      </c>
      <c r="V279" s="342">
        <v>20.0</v>
      </c>
      <c r="W279" s="341">
        <v>9.055890411</v>
      </c>
      <c r="X279" s="5">
        <v>1.75739726</v>
      </c>
      <c r="Y279" s="5">
        <v>3.357534247</v>
      </c>
      <c r="Z279" s="5">
        <v>0.9350684932</v>
      </c>
      <c r="AA279" s="5">
        <v>0.5524657534</v>
      </c>
      <c r="AB279" s="5">
        <v>0.2124657534</v>
      </c>
      <c r="AC279" s="5">
        <v>0.3987349408</v>
      </c>
      <c r="AD279" s="5">
        <v>7.948082192</v>
      </c>
      <c r="AE279" s="5">
        <v>0.7550360875</v>
      </c>
      <c r="AF279" s="5">
        <v>1.271643836</v>
      </c>
      <c r="AG279" s="5">
        <v>1.19</v>
      </c>
      <c r="AH279" s="5">
        <v>20.8725192</v>
      </c>
      <c r="AI279" s="5">
        <v>-1.149450162</v>
      </c>
      <c r="AJ279" s="5">
        <v>0.1137092036</v>
      </c>
      <c r="AK279" s="5">
        <v>-0.9719915131</v>
      </c>
      <c r="AL279" s="5">
        <v>-1.284334804</v>
      </c>
      <c r="AM279" s="5">
        <v>-1.225985689</v>
      </c>
      <c r="AN279" s="5">
        <v>-0.8762388982</v>
      </c>
      <c r="AO279" s="5">
        <v>-1.088277845</v>
      </c>
      <c r="AP279" s="5">
        <v>-0.1983720225</v>
      </c>
      <c r="AQ279" s="5">
        <v>0.7097939488</v>
      </c>
    </row>
    <row r="280">
      <c r="A280" s="342">
        <v>279.0</v>
      </c>
      <c r="B280" s="347"/>
      <c r="C280" s="347"/>
      <c r="D280" s="341">
        <v>-0.8364372265</v>
      </c>
      <c r="E280" s="342">
        <v>0.04528360457</v>
      </c>
      <c r="F280" s="342">
        <v>-0.5863866272</v>
      </c>
      <c r="G280" s="342">
        <v>-0.2500505992</v>
      </c>
      <c r="H280" s="342">
        <v>0.7864738976</v>
      </c>
      <c r="I280" s="343"/>
      <c r="J280" s="342" t="s">
        <v>2056</v>
      </c>
      <c r="K280" s="342" t="s">
        <v>45</v>
      </c>
      <c r="L280" s="342" t="s">
        <v>1366</v>
      </c>
      <c r="M280" s="342" t="s">
        <v>2057</v>
      </c>
      <c r="N280" s="342" t="s">
        <v>1932</v>
      </c>
      <c r="O280" s="342" t="s">
        <v>1368</v>
      </c>
      <c r="P280" s="343"/>
      <c r="Q280" s="342">
        <v>5.0</v>
      </c>
      <c r="R280" s="343"/>
      <c r="S280" s="342" t="s">
        <v>1434</v>
      </c>
      <c r="T280" s="342">
        <v>73.0</v>
      </c>
      <c r="U280" s="342">
        <v>16.0</v>
      </c>
      <c r="V280" s="342">
        <v>15.0</v>
      </c>
      <c r="W280" s="341">
        <v>4.75890411</v>
      </c>
      <c r="X280" s="5">
        <v>0.8264383562</v>
      </c>
      <c r="Y280" s="5">
        <v>3.661232877</v>
      </c>
      <c r="Z280" s="5">
        <v>1.799041096</v>
      </c>
      <c r="AA280" s="5">
        <v>0.4750684932</v>
      </c>
      <c r="AB280" s="5">
        <v>0.4102739726</v>
      </c>
      <c r="AC280" s="5">
        <v>0.4563596573</v>
      </c>
      <c r="AD280" s="5">
        <v>3.693013699</v>
      </c>
      <c r="AE280" s="5">
        <v>0.7560840708</v>
      </c>
      <c r="AF280" s="5">
        <v>0.7430136986</v>
      </c>
      <c r="AG280" s="5">
        <v>0.6312328767</v>
      </c>
      <c r="AH280" s="5">
        <v>13.51470209</v>
      </c>
      <c r="AI280" s="5">
        <v>-1.870861617</v>
      </c>
      <c r="AJ280" s="5">
        <v>-0.8002872461</v>
      </c>
      <c r="AK280" s="5">
        <v>-0.8504681844</v>
      </c>
      <c r="AL280" s="5">
        <v>-0.8853047909</v>
      </c>
      <c r="AM280" s="5">
        <v>-1.470312676</v>
      </c>
      <c r="AN280" s="5">
        <v>-0.5145770264</v>
      </c>
      <c r="AO280" s="5">
        <v>-0.1851269133</v>
      </c>
      <c r="AP280" s="5">
        <v>-0.114559358</v>
      </c>
      <c r="AQ280" s="5">
        <v>1.414018167</v>
      </c>
    </row>
    <row r="281">
      <c r="A281" s="342">
        <v>280.0</v>
      </c>
      <c r="B281" s="347"/>
      <c r="C281" s="347"/>
      <c r="D281" s="341">
        <v>-0.8369916298</v>
      </c>
      <c r="E281" s="342">
        <v>-0.001722085558</v>
      </c>
      <c r="F281" s="342">
        <v>-0.5657284151</v>
      </c>
      <c r="G281" s="342">
        <v>-0.2712632147</v>
      </c>
      <c r="H281" s="342">
        <v>-2.241213064</v>
      </c>
      <c r="I281" s="343"/>
      <c r="J281" s="342" t="s">
        <v>2058</v>
      </c>
      <c r="K281" s="342" t="s">
        <v>102</v>
      </c>
      <c r="L281" s="342" t="s">
        <v>1404</v>
      </c>
      <c r="M281" s="342" t="s">
        <v>2059</v>
      </c>
      <c r="N281" s="343"/>
      <c r="O281" s="342" t="s">
        <v>1374</v>
      </c>
      <c r="P281" s="342" t="s">
        <v>1746</v>
      </c>
      <c r="Q281" s="342">
        <v>5.0</v>
      </c>
      <c r="R281" s="343"/>
      <c r="S281" s="342" t="s">
        <v>1434</v>
      </c>
      <c r="T281" s="342">
        <v>52.0</v>
      </c>
      <c r="U281" s="342">
        <v>16.0</v>
      </c>
      <c r="V281" s="342">
        <v>18.0</v>
      </c>
      <c r="W281" s="341">
        <v>4.845384615</v>
      </c>
      <c r="X281" s="5">
        <v>1.132307692</v>
      </c>
      <c r="Y281" s="5">
        <v>3.013461538</v>
      </c>
      <c r="Z281" s="5">
        <v>1.4</v>
      </c>
      <c r="AA281" s="5">
        <v>0.5825</v>
      </c>
      <c r="AB281" s="5">
        <v>0.4067307692</v>
      </c>
      <c r="AC281" s="5">
        <v>0.4277013846</v>
      </c>
      <c r="AD281" s="5">
        <v>4.041730769</v>
      </c>
      <c r="AE281" s="5">
        <v>0.7029598309</v>
      </c>
      <c r="AF281" s="5">
        <v>0.3638461538</v>
      </c>
      <c r="AG281" s="5">
        <v>0.4801923077</v>
      </c>
      <c r="AH281" s="5">
        <v>11.57023413</v>
      </c>
      <c r="AI281" s="5">
        <v>-1.856342598</v>
      </c>
      <c r="AJ281" s="5">
        <v>-0.4999909752</v>
      </c>
      <c r="AK281" s="5">
        <v>-1.109670306</v>
      </c>
      <c r="AL281" s="5">
        <v>-1.069603892</v>
      </c>
      <c r="AM281" s="5">
        <v>-1.131173845</v>
      </c>
      <c r="AN281" s="5">
        <v>-0.5210552282</v>
      </c>
      <c r="AO281" s="5">
        <v>-0.3788768743</v>
      </c>
      <c r="AP281" s="5">
        <v>-0.1292193204</v>
      </c>
      <c r="AQ281" s="5">
        <v>1.604377302</v>
      </c>
    </row>
    <row r="282">
      <c r="A282" s="342">
        <v>281.0</v>
      </c>
      <c r="B282" s="347"/>
      <c r="C282" s="347"/>
      <c r="D282" s="341">
        <v>-0.8438003588</v>
      </c>
      <c r="E282" s="342">
        <v>0.1199025125</v>
      </c>
      <c r="F282" s="342">
        <v>-0.690169861</v>
      </c>
      <c r="G282" s="342">
        <v>-0.1536304978</v>
      </c>
      <c r="H282" s="342">
        <v>1.156882409</v>
      </c>
      <c r="I282" s="343"/>
      <c r="J282" s="342" t="s">
        <v>2060</v>
      </c>
      <c r="K282" s="342" t="s">
        <v>57</v>
      </c>
      <c r="L282" s="342" t="s">
        <v>1380</v>
      </c>
      <c r="M282" s="342" t="s">
        <v>2061</v>
      </c>
      <c r="N282" s="343"/>
      <c r="O282" s="342" t="s">
        <v>1368</v>
      </c>
      <c r="P282" s="342" t="s">
        <v>1501</v>
      </c>
      <c r="Q282" s="342">
        <v>3.0</v>
      </c>
      <c r="R282" s="343"/>
      <c r="S282" s="342" t="s">
        <v>1434</v>
      </c>
      <c r="T282" s="342">
        <v>73.0</v>
      </c>
      <c r="U282" s="342">
        <v>13.0</v>
      </c>
      <c r="V282" s="342">
        <v>18.0</v>
      </c>
      <c r="W282" s="341">
        <v>10.31520548</v>
      </c>
      <c r="X282" s="5">
        <v>1.351780822</v>
      </c>
      <c r="Y282" s="5">
        <v>2.386164384</v>
      </c>
      <c r="Z282" s="5">
        <v>1.89369863</v>
      </c>
      <c r="AA282" s="5">
        <v>0.3816438356</v>
      </c>
      <c r="AB282" s="5">
        <v>0.1131506849</v>
      </c>
      <c r="AC282" s="5">
        <v>0.4333652776</v>
      </c>
      <c r="AD282" s="5">
        <v>8.862465753</v>
      </c>
      <c r="AE282" s="5">
        <v>0.8399748699</v>
      </c>
      <c r="AF282" s="5">
        <v>1.52630137</v>
      </c>
      <c r="AG282" s="5">
        <v>1.325616438</v>
      </c>
      <c r="AH282" s="5">
        <v>25.88834966</v>
      </c>
      <c r="AI282" s="5">
        <v>-0.9380265617</v>
      </c>
      <c r="AJ282" s="5">
        <v>-0.2845167363</v>
      </c>
      <c r="AK282" s="5">
        <v>-1.360679796</v>
      </c>
      <c r="AL282" s="5">
        <v>-0.8415867413</v>
      </c>
      <c r="AM282" s="5">
        <v>-1.765234808</v>
      </c>
      <c r="AN282" s="5">
        <v>-1.057821209</v>
      </c>
      <c r="AO282" s="5">
        <v>-0.7430693156</v>
      </c>
      <c r="AP282" s="5">
        <v>0.2405322978</v>
      </c>
      <c r="AQ282" s="5">
        <v>0.5388741214</v>
      </c>
    </row>
    <row r="283">
      <c r="A283" s="342">
        <v>282.0</v>
      </c>
      <c r="B283" s="347"/>
      <c r="C283" s="347"/>
      <c r="D283" s="341">
        <v>-0.8454608601</v>
      </c>
      <c r="E283" s="342">
        <v>-0.001043995934</v>
      </c>
      <c r="F283" s="342">
        <v>-0.6276843354</v>
      </c>
      <c r="G283" s="342">
        <v>-0.2177765247</v>
      </c>
      <c r="H283" s="342">
        <v>-1.049463941</v>
      </c>
      <c r="I283" s="343"/>
      <c r="J283" s="342" t="s">
        <v>2062</v>
      </c>
      <c r="K283" s="342" t="s">
        <v>98</v>
      </c>
      <c r="L283" s="342" t="s">
        <v>1380</v>
      </c>
      <c r="M283" s="342" t="s">
        <v>2063</v>
      </c>
      <c r="N283" s="343"/>
      <c r="O283" s="342" t="s">
        <v>1374</v>
      </c>
      <c r="P283" s="342" t="s">
        <v>1501</v>
      </c>
      <c r="Q283" s="342">
        <v>3.0</v>
      </c>
      <c r="R283" s="343"/>
      <c r="S283" s="342" t="s">
        <v>1960</v>
      </c>
      <c r="T283" s="342">
        <v>44.0</v>
      </c>
      <c r="U283" s="342">
        <v>13.0</v>
      </c>
      <c r="V283" s="342">
        <v>14.0</v>
      </c>
      <c r="W283" s="341">
        <v>4.407272727</v>
      </c>
      <c r="X283" s="5">
        <v>0.3211363636</v>
      </c>
      <c r="Y283" s="5">
        <v>2.041818182</v>
      </c>
      <c r="Z283" s="5">
        <v>1.143409091</v>
      </c>
      <c r="AA283" s="5">
        <v>0.8759090909</v>
      </c>
      <c r="AB283" s="5">
        <v>0.4009090909</v>
      </c>
      <c r="AC283" s="5">
        <v>0.4449136753</v>
      </c>
      <c r="AD283" s="5">
        <v>3.659545455</v>
      </c>
      <c r="AE283" s="5">
        <v>0.8339424395</v>
      </c>
      <c r="AF283" s="5">
        <v>0.995</v>
      </c>
      <c r="AG283" s="5">
        <v>0.8688636364</v>
      </c>
      <c r="AH283" s="5">
        <v>15.7065028</v>
      </c>
      <c r="AI283" s="5">
        <v>-1.929896226</v>
      </c>
      <c r="AJ283" s="5">
        <v>-1.296382428</v>
      </c>
      <c r="AK283" s="5">
        <v>-1.498468026</v>
      </c>
      <c r="AL283" s="5">
        <v>-1.18811167</v>
      </c>
      <c r="AM283" s="5">
        <v>-0.2049426215</v>
      </c>
      <c r="AN283" s="5">
        <v>-0.5316992706</v>
      </c>
      <c r="AO283" s="5">
        <v>-0.247589667</v>
      </c>
      <c r="AP283" s="5">
        <v>0.1334030284</v>
      </c>
      <c r="AQ283" s="5">
        <v>1.114527862</v>
      </c>
    </row>
    <row r="284">
      <c r="A284" s="342">
        <v>283.0</v>
      </c>
      <c r="B284" s="347"/>
      <c r="C284" s="347"/>
      <c r="D284" s="341">
        <v>-0.8459722887</v>
      </c>
      <c r="E284" s="342">
        <v>-0.1282389028</v>
      </c>
      <c r="F284" s="342">
        <v>-0.5564344873</v>
      </c>
      <c r="G284" s="342">
        <v>-0.2895378014</v>
      </c>
      <c r="H284" s="342">
        <v>-0.2442280466</v>
      </c>
      <c r="I284" s="343"/>
      <c r="J284" s="342" t="s">
        <v>2064</v>
      </c>
      <c r="K284" s="342" t="s">
        <v>110</v>
      </c>
      <c r="L284" s="342" t="s">
        <v>1380</v>
      </c>
      <c r="M284" s="342" t="s">
        <v>2065</v>
      </c>
      <c r="N284" s="342" t="s">
        <v>2066</v>
      </c>
      <c r="O284" s="342" t="s">
        <v>1368</v>
      </c>
      <c r="P284" s="342" t="s">
        <v>1551</v>
      </c>
      <c r="Q284" s="342">
        <v>4.0</v>
      </c>
      <c r="R284" s="343"/>
      <c r="S284" s="342" t="s">
        <v>1434</v>
      </c>
      <c r="T284" s="342">
        <v>66.0</v>
      </c>
      <c r="U284" s="342">
        <v>16.0</v>
      </c>
      <c r="V284" s="342">
        <v>17.0</v>
      </c>
      <c r="W284" s="341">
        <v>8.395151515</v>
      </c>
      <c r="X284" s="5">
        <v>2.512121212</v>
      </c>
      <c r="Y284" s="5">
        <v>2.023030303</v>
      </c>
      <c r="Z284" s="5">
        <v>1.853333333</v>
      </c>
      <c r="AA284" s="5">
        <v>0.2528787879</v>
      </c>
      <c r="AB284" s="5">
        <v>0.07121212121</v>
      </c>
      <c r="AC284" s="5">
        <v>0.4053627405</v>
      </c>
      <c r="AD284" s="5">
        <v>6.718636364</v>
      </c>
      <c r="AE284" s="5">
        <v>0.8890948409</v>
      </c>
      <c r="AF284" s="5">
        <v>0.4904545455</v>
      </c>
      <c r="AG284" s="5">
        <v>0.3568181818</v>
      </c>
      <c r="AH284" s="5">
        <v>18.53101212</v>
      </c>
      <c r="AI284" s="5">
        <v>-1.260380143</v>
      </c>
      <c r="AJ284" s="5">
        <v>0.8546817744</v>
      </c>
      <c r="AK284" s="5">
        <v>-1.505985892</v>
      </c>
      <c r="AL284" s="5">
        <v>-0.860229653</v>
      </c>
      <c r="AM284" s="5">
        <v>-2.171719172</v>
      </c>
      <c r="AN284" s="5">
        <v>-1.134499416</v>
      </c>
      <c r="AO284" s="5">
        <v>-0.8532587557</v>
      </c>
      <c r="AP284" s="5">
        <v>0.1636129474</v>
      </c>
      <c r="AQ284" s="5">
        <v>1.759867924</v>
      </c>
    </row>
    <row r="285">
      <c r="A285" s="342">
        <v>284.0</v>
      </c>
      <c r="B285" s="341">
        <v>44.0</v>
      </c>
      <c r="C285" s="341">
        <v>-2.6</v>
      </c>
      <c r="D285" s="341">
        <v>-0.8470702223</v>
      </c>
      <c r="E285" s="342">
        <v>-0.002183622622</v>
      </c>
      <c r="F285" s="342">
        <v>-0.5901464936</v>
      </c>
      <c r="G285" s="342">
        <v>-0.2569237288</v>
      </c>
      <c r="H285" s="342">
        <v>-0.1314950215</v>
      </c>
      <c r="I285" s="343"/>
      <c r="J285" s="342" t="s">
        <v>2067</v>
      </c>
      <c r="K285" s="342" t="s">
        <v>1421</v>
      </c>
      <c r="L285" s="342" t="s">
        <v>34</v>
      </c>
      <c r="M285" s="342" t="s">
        <v>2068</v>
      </c>
      <c r="N285" s="342" t="s">
        <v>2069</v>
      </c>
      <c r="O285" s="342" t="s">
        <v>1374</v>
      </c>
      <c r="P285" s="343"/>
      <c r="Q285" s="342">
        <v>2.0</v>
      </c>
      <c r="R285" s="343"/>
      <c r="S285" s="342" t="s">
        <v>1434</v>
      </c>
      <c r="T285" s="342">
        <v>34.0</v>
      </c>
      <c r="U285" s="342">
        <v>15.0</v>
      </c>
      <c r="V285" s="342">
        <v>18.0</v>
      </c>
      <c r="W285" s="341">
        <v>4.655294118</v>
      </c>
      <c r="X285" s="5">
        <v>0.0</v>
      </c>
      <c r="Y285" s="5">
        <v>5.94</v>
      </c>
      <c r="Z285" s="5">
        <v>0.4320588235</v>
      </c>
      <c r="AA285" s="5">
        <v>0.6479411765</v>
      </c>
      <c r="AB285" s="5">
        <v>0.9</v>
      </c>
      <c r="AC285" s="5">
        <v>0.6179673321</v>
      </c>
      <c r="AD285" s="5">
        <v>3.241176471</v>
      </c>
      <c r="AE285" s="5">
        <v>0.4429287864</v>
      </c>
      <c r="AF285" s="5">
        <v>1.466176471</v>
      </c>
      <c r="AG285" s="5">
        <v>0.5905882353</v>
      </c>
      <c r="AH285" s="5">
        <v>11.09991636</v>
      </c>
      <c r="AI285" s="5">
        <v>-1.888256468</v>
      </c>
      <c r="AJ285" s="5">
        <v>-1.611667555</v>
      </c>
      <c r="AK285" s="5">
        <v>0.06136788754</v>
      </c>
      <c r="AL285" s="5">
        <v>-1.516652304</v>
      </c>
      <c r="AM285" s="5">
        <v>-0.9245897177</v>
      </c>
      <c r="AN285" s="5">
        <v>0.3808116106</v>
      </c>
      <c r="AO285" s="5">
        <v>0.6374386588</v>
      </c>
      <c r="AP285" s="5">
        <v>-1.915013891</v>
      </c>
      <c r="AQ285" s="5">
        <v>1.465243337</v>
      </c>
    </row>
    <row r="286">
      <c r="A286" s="342">
        <v>285.0</v>
      </c>
      <c r="B286" s="341">
        <v>2.0</v>
      </c>
      <c r="C286" s="341">
        <v>-0.2</v>
      </c>
      <c r="D286" s="341">
        <v>-0.850024812</v>
      </c>
      <c r="E286" s="342">
        <v>2.470607837E-4</v>
      </c>
      <c r="F286" s="342">
        <v>-0.6893971693</v>
      </c>
      <c r="G286" s="342">
        <v>-0.1606276427</v>
      </c>
      <c r="H286" s="342">
        <v>0.5287984116</v>
      </c>
      <c r="I286" s="343"/>
      <c r="J286" s="342" t="s">
        <v>2070</v>
      </c>
      <c r="K286" s="342" t="s">
        <v>259</v>
      </c>
      <c r="L286" s="342" t="s">
        <v>1413</v>
      </c>
      <c r="M286" s="342" t="s">
        <v>2071</v>
      </c>
      <c r="N286" s="343"/>
      <c r="O286" s="342" t="s">
        <v>1374</v>
      </c>
      <c r="P286" s="342" t="s">
        <v>1551</v>
      </c>
      <c r="Q286" s="342">
        <v>3.0</v>
      </c>
      <c r="R286" s="343"/>
      <c r="S286" s="342" t="s">
        <v>1434</v>
      </c>
      <c r="T286" s="342">
        <v>68.0</v>
      </c>
      <c r="U286" s="342">
        <v>13.0</v>
      </c>
      <c r="V286" s="342">
        <v>17.0</v>
      </c>
      <c r="W286" s="341">
        <v>7.091911765</v>
      </c>
      <c r="X286" s="5">
        <v>0.8182352941</v>
      </c>
      <c r="Y286" s="5">
        <v>2.910147059</v>
      </c>
      <c r="Z286" s="5">
        <v>2.173823529</v>
      </c>
      <c r="AA286" s="5">
        <v>0.5452941176</v>
      </c>
      <c r="AB286" s="5">
        <v>0.3566176471</v>
      </c>
      <c r="AC286" s="5">
        <v>0.4110338539</v>
      </c>
      <c r="AD286" s="5">
        <v>6.450735294</v>
      </c>
      <c r="AE286" s="5">
        <v>0.7919616077</v>
      </c>
      <c r="AF286" s="5">
        <v>1.225735294</v>
      </c>
      <c r="AG286" s="5">
        <v>1.280588235</v>
      </c>
      <c r="AH286" s="5">
        <v>20.94925693</v>
      </c>
      <c r="AI286" s="5">
        <v>-1.479178161</v>
      </c>
      <c r="AJ286" s="5">
        <v>-0.808340845</v>
      </c>
      <c r="AK286" s="5">
        <v>-1.151011024</v>
      </c>
      <c r="AL286" s="5">
        <v>-0.7122096732</v>
      </c>
      <c r="AM286" s="5">
        <v>-1.248625045</v>
      </c>
      <c r="AN286" s="5">
        <v>-0.6126793561</v>
      </c>
      <c r="AO286" s="5">
        <v>-0.7636559248</v>
      </c>
      <c r="AP286" s="5">
        <v>-0.02449846714</v>
      </c>
      <c r="AQ286" s="5">
        <v>0.5956239726</v>
      </c>
    </row>
    <row r="287">
      <c r="A287" s="342">
        <v>286.0</v>
      </c>
      <c r="B287" s="347"/>
      <c r="C287" s="347"/>
      <c r="D287" s="341">
        <v>-0.8517941322</v>
      </c>
      <c r="E287" s="342">
        <v>-0.1082432876</v>
      </c>
      <c r="F287" s="342">
        <v>-0.6202943749</v>
      </c>
      <c r="G287" s="342">
        <v>-0.2314997574</v>
      </c>
      <c r="H287" s="342">
        <v>1.124672973</v>
      </c>
      <c r="I287" s="343"/>
      <c r="J287" s="342" t="s">
        <v>2072</v>
      </c>
      <c r="K287" s="342" t="s">
        <v>57</v>
      </c>
      <c r="L287" s="342" t="s">
        <v>1380</v>
      </c>
      <c r="M287" s="342" t="s">
        <v>2073</v>
      </c>
      <c r="N287" s="343"/>
      <c r="O287" s="342" t="s">
        <v>1368</v>
      </c>
      <c r="P287" s="342" t="s">
        <v>1642</v>
      </c>
      <c r="Q287" s="342">
        <v>4.0</v>
      </c>
      <c r="R287" s="343"/>
      <c r="S287" s="342" t="s">
        <v>1434</v>
      </c>
      <c r="T287" s="342">
        <v>73.0</v>
      </c>
      <c r="U287" s="342">
        <v>13.0</v>
      </c>
      <c r="V287" s="342">
        <v>20.0</v>
      </c>
      <c r="W287" s="341">
        <v>7.675205479</v>
      </c>
      <c r="X287" s="5">
        <v>1.502328767</v>
      </c>
      <c r="Y287" s="5">
        <v>1.683287671</v>
      </c>
      <c r="Z287" s="5">
        <v>2.314520548</v>
      </c>
      <c r="AA287" s="5">
        <v>0.4423287671</v>
      </c>
      <c r="AB287" s="5">
        <v>0.2597260274</v>
      </c>
      <c r="AC287" s="5">
        <v>0.3931502453</v>
      </c>
      <c r="AD287" s="5">
        <v>5.975616438</v>
      </c>
      <c r="AE287" s="5">
        <v>0.8320061848</v>
      </c>
      <c r="AF287" s="5">
        <v>1.771917808</v>
      </c>
      <c r="AG287" s="5">
        <v>0.775890411</v>
      </c>
      <c r="AH287" s="5">
        <v>16.15817071</v>
      </c>
      <c r="AI287" s="5">
        <v>-1.381250279</v>
      </c>
      <c r="AJ287" s="5">
        <v>-0.1367118366</v>
      </c>
      <c r="AK287" s="5">
        <v>-1.641932028</v>
      </c>
      <c r="AL287" s="5">
        <v>-0.6472280604</v>
      </c>
      <c r="AM287" s="5">
        <v>-1.573665153</v>
      </c>
      <c r="AN287" s="5">
        <v>-0.789830764</v>
      </c>
      <c r="AO287" s="5">
        <v>-0.871513902</v>
      </c>
      <c r="AP287" s="5">
        <v>0.2277789653</v>
      </c>
      <c r="AQ287" s="5">
        <v>1.231703684</v>
      </c>
    </row>
    <row r="288">
      <c r="A288" s="342">
        <v>287.0</v>
      </c>
      <c r="B288" s="341">
        <v>2.0</v>
      </c>
      <c r="C288" s="341">
        <v>-0.2</v>
      </c>
      <c r="D288" s="341">
        <v>-0.8554690836</v>
      </c>
      <c r="E288" s="342">
        <v>-0.002296731207</v>
      </c>
      <c r="F288" s="342">
        <v>-0.6082722101</v>
      </c>
      <c r="G288" s="342">
        <v>-0.2471968735</v>
      </c>
      <c r="H288" s="342">
        <v>1.172987127</v>
      </c>
      <c r="I288" s="343"/>
      <c r="J288" s="342" t="s">
        <v>2074</v>
      </c>
      <c r="K288" s="342" t="s">
        <v>1396</v>
      </c>
      <c r="L288" s="342" t="s">
        <v>1366</v>
      </c>
      <c r="M288" s="342" t="s">
        <v>2075</v>
      </c>
      <c r="N288" s="343"/>
      <c r="O288" s="342" t="s">
        <v>1368</v>
      </c>
      <c r="P288" s="342" t="s">
        <v>1551</v>
      </c>
      <c r="Q288" s="342">
        <v>5.0</v>
      </c>
      <c r="R288" s="343"/>
      <c r="S288" s="342" t="s">
        <v>1434</v>
      </c>
      <c r="T288" s="342">
        <v>73.0</v>
      </c>
      <c r="U288" s="342">
        <v>14.0</v>
      </c>
      <c r="V288" s="342">
        <v>16.0</v>
      </c>
      <c r="W288" s="341">
        <v>4.969315068</v>
      </c>
      <c r="X288" s="5">
        <v>0.0</v>
      </c>
      <c r="Y288" s="5">
        <v>5.8</v>
      </c>
      <c r="Z288" s="5">
        <v>1.4</v>
      </c>
      <c r="AA288" s="5">
        <v>0.3669863014</v>
      </c>
      <c r="AB288" s="5">
        <v>0.4667123288</v>
      </c>
      <c r="AC288" s="5">
        <v>0.6080177276</v>
      </c>
      <c r="AD288" s="5">
        <v>3.4</v>
      </c>
      <c r="AE288" s="5">
        <v>0.6450042337</v>
      </c>
      <c r="AF288" s="5">
        <v>1.294246575</v>
      </c>
      <c r="AG288" s="5">
        <v>0.6667123288</v>
      </c>
      <c r="AH288" s="5">
        <v>12.42132518</v>
      </c>
      <c r="AI288" s="5">
        <v>-1.83553619</v>
      </c>
      <c r="AJ288" s="5">
        <v>-1.611667555</v>
      </c>
      <c r="AK288" s="5">
        <v>0.005347661175</v>
      </c>
      <c r="AL288" s="5">
        <v>-1.069603892</v>
      </c>
      <c r="AM288" s="5">
        <v>-1.811505583</v>
      </c>
      <c r="AN288" s="5">
        <v>-0.4113881821</v>
      </c>
      <c r="AO288" s="5">
        <v>0.6173903038</v>
      </c>
      <c r="AP288" s="5">
        <v>-0.7267892321</v>
      </c>
      <c r="AQ288" s="5">
        <v>1.369302778</v>
      </c>
    </row>
    <row r="289">
      <c r="A289" s="342">
        <v>288.0</v>
      </c>
      <c r="B289" s="347"/>
      <c r="C289" s="347"/>
      <c r="D289" s="341">
        <v>-0.8581304825</v>
      </c>
      <c r="E289" s="342">
        <v>0.1476823087</v>
      </c>
      <c r="F289" s="342">
        <v>-0.654383834</v>
      </c>
      <c r="G289" s="342">
        <v>-0.2037466486</v>
      </c>
      <c r="H289" s="343"/>
      <c r="I289" s="343"/>
      <c r="J289" s="342" t="s">
        <v>2076</v>
      </c>
      <c r="K289" s="342" t="s">
        <v>67</v>
      </c>
      <c r="L289" s="342" t="s">
        <v>1404</v>
      </c>
      <c r="M289" s="342" t="s">
        <v>2077</v>
      </c>
      <c r="N289" s="343"/>
      <c r="O289" s="342" t="s">
        <v>1368</v>
      </c>
      <c r="P289" s="343"/>
      <c r="Q289" s="342">
        <v>2.0</v>
      </c>
      <c r="R289" s="343"/>
      <c r="S289" s="342" t="s">
        <v>1434</v>
      </c>
      <c r="T289" s="342">
        <v>67.0</v>
      </c>
      <c r="U289" s="342">
        <v>15.0</v>
      </c>
      <c r="V289" s="342">
        <v>19.0</v>
      </c>
      <c r="W289" s="341">
        <v>6.889104478</v>
      </c>
      <c r="X289" s="5">
        <v>0.8210447761</v>
      </c>
      <c r="Y289" s="5">
        <v>3.103283582</v>
      </c>
      <c r="Z289" s="5">
        <v>1.052238806</v>
      </c>
      <c r="AA289" s="5">
        <v>0.5064179104</v>
      </c>
      <c r="AB289" s="5">
        <v>0.3491044776</v>
      </c>
      <c r="AC289" s="5">
        <v>0.4640430119</v>
      </c>
      <c r="AD289" s="5">
        <v>5.46880597</v>
      </c>
      <c r="AE289" s="5">
        <v>0.7889429351</v>
      </c>
      <c r="AF289" s="5">
        <v>1.258059701</v>
      </c>
      <c r="AG289" s="5">
        <v>0.9791044776</v>
      </c>
      <c r="AH289" s="5">
        <v>16.20202333</v>
      </c>
      <c r="AI289" s="5">
        <v>-1.513227024</v>
      </c>
      <c r="AJ289" s="5">
        <v>-0.8055825529</v>
      </c>
      <c r="AK289" s="5">
        <v>-1.073728511</v>
      </c>
      <c r="AL289" s="5">
        <v>-1.230219116</v>
      </c>
      <c r="AM289" s="5">
        <v>-1.371349112</v>
      </c>
      <c r="AN289" s="5">
        <v>-0.6264160296</v>
      </c>
      <c r="AO289" s="5">
        <v>-0.2054742927</v>
      </c>
      <c r="AP289" s="5">
        <v>-0.03904722084</v>
      </c>
      <c r="AQ289" s="5">
        <v>0.9755893547</v>
      </c>
    </row>
    <row r="290">
      <c r="A290" s="342">
        <v>289.0</v>
      </c>
      <c r="B290" s="347"/>
      <c r="C290" s="347"/>
      <c r="D290" s="341">
        <v>-0.8594280579</v>
      </c>
      <c r="E290" s="342">
        <v>-0.03750805437</v>
      </c>
      <c r="F290" s="342">
        <v>-0.6131724687</v>
      </c>
      <c r="G290" s="342">
        <v>-0.2462555892</v>
      </c>
      <c r="H290" s="342">
        <v>-0.2925422003</v>
      </c>
      <c r="I290" s="343"/>
      <c r="J290" s="342" t="s">
        <v>2078</v>
      </c>
      <c r="K290" s="342" t="s">
        <v>144</v>
      </c>
      <c r="L290" s="342" t="s">
        <v>1404</v>
      </c>
      <c r="M290" s="342" t="s">
        <v>2079</v>
      </c>
      <c r="N290" s="342" t="s">
        <v>2080</v>
      </c>
      <c r="O290" s="342" t="s">
        <v>1368</v>
      </c>
      <c r="P290" s="342" t="s">
        <v>1551</v>
      </c>
      <c r="Q290" s="342">
        <v>4.0</v>
      </c>
      <c r="R290" s="343"/>
      <c r="S290" s="342" t="s">
        <v>1434</v>
      </c>
      <c r="T290" s="342">
        <v>73.0</v>
      </c>
      <c r="U290" s="342">
        <v>16.0</v>
      </c>
      <c r="V290" s="342">
        <v>19.0</v>
      </c>
      <c r="W290" s="341">
        <v>7.080136986</v>
      </c>
      <c r="X290" s="5">
        <v>1.33630137</v>
      </c>
      <c r="Y290" s="5">
        <v>4.237808219</v>
      </c>
      <c r="Z290" s="5">
        <v>1.039452055</v>
      </c>
      <c r="AA290" s="5">
        <v>0.3226027397</v>
      </c>
      <c r="AB290" s="5">
        <v>0.3579452055</v>
      </c>
      <c r="AC290" s="5">
        <v>0.434851283</v>
      </c>
      <c r="AD290" s="5">
        <v>5.637260274</v>
      </c>
      <c r="AE290" s="5">
        <v>0.7460510328</v>
      </c>
      <c r="AF290" s="5">
        <v>1.12739726</v>
      </c>
      <c r="AG290" s="5">
        <v>0.6765753425</v>
      </c>
      <c r="AH290" s="5">
        <v>15.47823091</v>
      </c>
      <c r="AI290" s="5">
        <v>-1.481155002</v>
      </c>
      <c r="AJ290" s="5">
        <v>-0.2997141464</v>
      </c>
      <c r="AK290" s="5">
        <v>-0.6197547473</v>
      </c>
      <c r="AL290" s="5">
        <v>-1.236124741</v>
      </c>
      <c r="AM290" s="5">
        <v>-1.951615218</v>
      </c>
      <c r="AN290" s="5">
        <v>-0.6102521199</v>
      </c>
      <c r="AO290" s="5">
        <v>-0.4631821208</v>
      </c>
      <c r="AP290" s="5">
        <v>-0.2136263684</v>
      </c>
      <c r="AQ290" s="5">
        <v>1.356872245</v>
      </c>
    </row>
    <row r="291">
      <c r="A291" s="342">
        <v>290.0</v>
      </c>
      <c r="B291" s="341">
        <v>44.0</v>
      </c>
      <c r="C291" s="341">
        <v>-3.9</v>
      </c>
      <c r="D291" s="341">
        <v>-0.8607335068</v>
      </c>
      <c r="E291" s="342">
        <v>-0.1037788209</v>
      </c>
      <c r="F291" s="342">
        <v>-0.6398653358</v>
      </c>
      <c r="G291" s="342">
        <v>-0.220868171</v>
      </c>
      <c r="H291" s="343"/>
      <c r="I291" s="343"/>
      <c r="J291" s="342" t="s">
        <v>2081</v>
      </c>
      <c r="K291" s="342" t="s">
        <v>169</v>
      </c>
      <c r="L291" s="342" t="s">
        <v>34</v>
      </c>
      <c r="M291" s="342" t="s">
        <v>2082</v>
      </c>
      <c r="N291" s="343"/>
      <c r="O291" s="342" t="s">
        <v>1368</v>
      </c>
      <c r="P291" s="343"/>
      <c r="Q291" s="342">
        <v>1.0</v>
      </c>
      <c r="R291" s="343"/>
      <c r="S291" s="342" t="s">
        <v>1434</v>
      </c>
      <c r="T291" s="342">
        <v>73.0</v>
      </c>
      <c r="U291" s="342">
        <v>15.0</v>
      </c>
      <c r="V291" s="342">
        <v>17.0</v>
      </c>
      <c r="W291" s="341">
        <v>6.108356164</v>
      </c>
      <c r="X291" s="5">
        <v>0.3224657534</v>
      </c>
      <c r="Y291" s="5">
        <v>4.466027397</v>
      </c>
      <c r="Z291" s="5">
        <v>0.721369863</v>
      </c>
      <c r="AA291" s="5">
        <v>0.3435616438</v>
      </c>
      <c r="AB291" s="5">
        <v>0.8245205479</v>
      </c>
      <c r="AC291" s="5">
        <v>0.4975584613</v>
      </c>
      <c r="AD291" s="5">
        <v>5.049589041</v>
      </c>
      <c r="AE291" s="5">
        <v>0.6849568434</v>
      </c>
      <c r="AF291" s="5">
        <v>1.110958904</v>
      </c>
      <c r="AG291" s="5">
        <v>0.8589041096</v>
      </c>
      <c r="AH291" s="5">
        <v>17.16648501</v>
      </c>
      <c r="AI291" s="5">
        <v>-1.644305119</v>
      </c>
      <c r="AJ291" s="5">
        <v>-1.295077261</v>
      </c>
      <c r="AK291" s="5">
        <v>-0.5284341043</v>
      </c>
      <c r="AL291" s="5">
        <v>-1.383032572</v>
      </c>
      <c r="AM291" s="5">
        <v>-1.885452334</v>
      </c>
      <c r="AN291" s="5">
        <v>0.2428090543</v>
      </c>
      <c r="AO291" s="5">
        <v>0.06838823371</v>
      </c>
      <c r="AP291" s="5">
        <v>-0.4607639529</v>
      </c>
      <c r="AQ291" s="5">
        <v>1.127080032</v>
      </c>
    </row>
    <row r="292">
      <c r="A292" s="342">
        <v>291.0</v>
      </c>
      <c r="B292" s="347"/>
      <c r="C292" s="347"/>
      <c r="D292" s="341">
        <v>-0.8616054131</v>
      </c>
      <c r="E292" s="342">
        <v>-0.001631642072</v>
      </c>
      <c r="F292" s="342">
        <v>-0.6056698984</v>
      </c>
      <c r="G292" s="342">
        <v>-0.2559355147</v>
      </c>
      <c r="H292" s="342">
        <v>1.205196562</v>
      </c>
      <c r="I292" s="343"/>
      <c r="J292" s="342" t="s">
        <v>2083</v>
      </c>
      <c r="K292" s="342" t="s">
        <v>74</v>
      </c>
      <c r="L292" s="342" t="s">
        <v>1380</v>
      </c>
      <c r="M292" s="342" t="s">
        <v>2084</v>
      </c>
      <c r="N292" s="343"/>
      <c r="O292" s="342" t="s">
        <v>1368</v>
      </c>
      <c r="P292" s="342" t="s">
        <v>1410</v>
      </c>
      <c r="Q292" s="342">
        <v>3.0</v>
      </c>
      <c r="R292" s="343"/>
      <c r="S292" s="342" t="s">
        <v>1434</v>
      </c>
      <c r="T292" s="342">
        <v>73.0</v>
      </c>
      <c r="U292" s="342">
        <v>16.0</v>
      </c>
      <c r="V292" s="342">
        <v>21.0</v>
      </c>
      <c r="W292" s="341">
        <v>5.657808219</v>
      </c>
      <c r="X292" s="5">
        <v>1.109863014</v>
      </c>
      <c r="Y292" s="5">
        <v>2.728630137</v>
      </c>
      <c r="Z292" s="5">
        <v>1.861780822</v>
      </c>
      <c r="AA292" s="5">
        <v>0.5152054795</v>
      </c>
      <c r="AB292" s="5">
        <v>0.2612328767</v>
      </c>
      <c r="AC292" s="5">
        <v>0.4360979324</v>
      </c>
      <c r="AD292" s="5">
        <v>4.677534247</v>
      </c>
      <c r="AE292" s="5">
        <v>0.7699932417</v>
      </c>
      <c r="AF292" s="5">
        <v>0.6080821918</v>
      </c>
      <c r="AG292" s="5">
        <v>0.6091780822</v>
      </c>
      <c r="AH292" s="5">
        <v>11.78083926</v>
      </c>
      <c r="AI292" s="5">
        <v>-1.719946609</v>
      </c>
      <c r="AJ292" s="5">
        <v>-0.5220267025</v>
      </c>
      <c r="AK292" s="5">
        <v>-1.223644017</v>
      </c>
      <c r="AL292" s="5">
        <v>-0.8563281386</v>
      </c>
      <c r="AM292" s="5">
        <v>-1.343608592</v>
      </c>
      <c r="AN292" s="5">
        <v>-0.7870757221</v>
      </c>
      <c r="AO292" s="5">
        <v>-0.3769714344</v>
      </c>
      <c r="AP292" s="5">
        <v>-0.06324208874</v>
      </c>
      <c r="AQ292" s="5">
        <v>1.441814219</v>
      </c>
    </row>
    <row r="293">
      <c r="A293" s="342">
        <v>292.0</v>
      </c>
      <c r="B293" s="341">
        <v>2.0</v>
      </c>
      <c r="C293" s="341">
        <v>-0.2</v>
      </c>
      <c r="D293" s="341">
        <v>-0.862178568</v>
      </c>
      <c r="E293" s="342">
        <v>-0.004873216526</v>
      </c>
      <c r="F293" s="342">
        <v>-0.6190576865</v>
      </c>
      <c r="G293" s="342">
        <v>-0.2431208815</v>
      </c>
      <c r="H293" s="342">
        <v>0.4804842579</v>
      </c>
      <c r="I293" s="343"/>
      <c r="J293" s="342" t="s">
        <v>2085</v>
      </c>
      <c r="K293" s="342" t="s">
        <v>63</v>
      </c>
      <c r="L293" s="342" t="s">
        <v>1404</v>
      </c>
      <c r="M293" s="342" t="s">
        <v>2086</v>
      </c>
      <c r="N293" s="342" t="s">
        <v>2087</v>
      </c>
      <c r="O293" s="342" t="s">
        <v>1374</v>
      </c>
      <c r="P293" s="342" t="s">
        <v>1551</v>
      </c>
      <c r="Q293" s="342">
        <v>4.0</v>
      </c>
      <c r="R293" s="343"/>
      <c r="S293" s="342" t="s">
        <v>1960</v>
      </c>
      <c r="T293" s="342">
        <v>35.0</v>
      </c>
      <c r="U293" s="342">
        <v>13.0</v>
      </c>
      <c r="V293" s="342">
        <v>15.0</v>
      </c>
      <c r="W293" s="341">
        <v>6.757714286</v>
      </c>
      <c r="X293" s="5">
        <v>0.6865714286</v>
      </c>
      <c r="Y293" s="5">
        <v>4.271142857</v>
      </c>
      <c r="Z293" s="5">
        <v>0.7968571429</v>
      </c>
      <c r="AA293" s="5">
        <v>0.2802857143</v>
      </c>
      <c r="AB293" s="5">
        <v>0.6137142857</v>
      </c>
      <c r="AC293" s="5">
        <v>0.4850204267</v>
      </c>
      <c r="AD293" s="5">
        <v>5.035428571</v>
      </c>
      <c r="AE293" s="5">
        <v>0.7600658858</v>
      </c>
      <c r="AF293" s="5">
        <v>1.561142857</v>
      </c>
      <c r="AG293" s="5">
        <v>0.7011428571</v>
      </c>
      <c r="AH293" s="5">
        <v>18.4339788</v>
      </c>
      <c r="AI293" s="5">
        <v>-1.535285831</v>
      </c>
      <c r="AJ293" s="5">
        <v>-0.9376057407</v>
      </c>
      <c r="AK293" s="5">
        <v>-0.6064160761</v>
      </c>
      <c r="AL293" s="5">
        <v>-1.348168399</v>
      </c>
      <c r="AM293" s="5">
        <v>-2.085201229</v>
      </c>
      <c r="AN293" s="5">
        <v>-0.142617738</v>
      </c>
      <c r="AO293" s="5">
        <v>-0.02837976475</v>
      </c>
      <c r="AP293" s="5">
        <v>-0.2137537658</v>
      </c>
      <c r="AQ293" s="5">
        <v>1.325909366</v>
      </c>
    </row>
    <row r="294">
      <c r="A294" s="342">
        <v>293.0</v>
      </c>
      <c r="B294" s="341">
        <v>1.0</v>
      </c>
      <c r="C294" s="341">
        <v>-0.1</v>
      </c>
      <c r="D294" s="341">
        <v>-0.8674711785</v>
      </c>
      <c r="E294" s="342">
        <v>-0.009883555014</v>
      </c>
      <c r="F294" s="342">
        <v>-0.6231226158</v>
      </c>
      <c r="G294" s="342">
        <v>-0.2443485628</v>
      </c>
      <c r="H294" s="342">
        <v>0.335541797</v>
      </c>
      <c r="I294" s="343"/>
      <c r="J294" s="342" t="s">
        <v>2088</v>
      </c>
      <c r="K294" s="342" t="s">
        <v>222</v>
      </c>
      <c r="L294" s="342" t="s">
        <v>1413</v>
      </c>
      <c r="M294" s="342" t="s">
        <v>2089</v>
      </c>
      <c r="N294" s="343"/>
      <c r="O294" s="342" t="s">
        <v>1368</v>
      </c>
      <c r="P294" s="342" t="s">
        <v>1567</v>
      </c>
      <c r="Q294" s="342">
        <v>3.0</v>
      </c>
      <c r="R294" s="343"/>
      <c r="S294" s="342" t="s">
        <v>1560</v>
      </c>
      <c r="T294" s="342">
        <v>73.0</v>
      </c>
      <c r="U294" s="342">
        <v>15.0</v>
      </c>
      <c r="V294" s="342">
        <v>21.0</v>
      </c>
      <c r="W294" s="341">
        <v>9.585205479</v>
      </c>
      <c r="X294" s="5">
        <v>1.84109589</v>
      </c>
      <c r="Y294" s="5">
        <v>2.382191781</v>
      </c>
      <c r="Z294" s="5">
        <v>1.352191781</v>
      </c>
      <c r="AA294" s="5">
        <v>0.4719178082</v>
      </c>
      <c r="AB294" s="5">
        <v>0.08712328767</v>
      </c>
      <c r="AC294" s="5">
        <v>0.3951102781</v>
      </c>
      <c r="AD294" s="5">
        <v>8.186027397</v>
      </c>
      <c r="AE294" s="5">
        <v>0.8199753391</v>
      </c>
      <c r="AF294" s="5">
        <v>1.555342466</v>
      </c>
      <c r="AG294" s="5">
        <v>0.6965753425</v>
      </c>
      <c r="AH294" s="5">
        <v>19.91713982</v>
      </c>
      <c r="AI294" s="5">
        <v>-1.060584635</v>
      </c>
      <c r="AJ294" s="5">
        <v>0.1958828102</v>
      </c>
      <c r="AK294" s="5">
        <v>-1.362269411</v>
      </c>
      <c r="AL294" s="5">
        <v>-1.091684354</v>
      </c>
      <c r="AM294" s="5">
        <v>-1.48025873</v>
      </c>
      <c r="AN294" s="5">
        <v>-1.105408298</v>
      </c>
      <c r="AO294" s="5">
        <v>-1.165959702</v>
      </c>
      <c r="AP294" s="5">
        <v>0.1305128903</v>
      </c>
      <c r="AQ294" s="5">
        <v>1.331665886</v>
      </c>
    </row>
    <row r="295">
      <c r="A295" s="342">
        <v>294.0</v>
      </c>
      <c r="B295" s="347"/>
      <c r="C295" s="347"/>
      <c r="D295" s="341">
        <v>-0.8693050078</v>
      </c>
      <c r="E295" s="342">
        <v>-0.002768063367</v>
      </c>
      <c r="F295" s="342">
        <v>-0.6642299754</v>
      </c>
      <c r="G295" s="342">
        <v>-0.2050750325</v>
      </c>
      <c r="H295" s="342">
        <v>0.09397102882</v>
      </c>
      <c r="I295" s="343"/>
      <c r="J295" s="342" t="s">
        <v>2090</v>
      </c>
      <c r="K295" s="342" t="s">
        <v>126</v>
      </c>
      <c r="L295" s="342" t="s">
        <v>34</v>
      </c>
      <c r="M295" s="342" t="s">
        <v>2091</v>
      </c>
      <c r="N295" s="343"/>
      <c r="O295" s="342" t="s">
        <v>1368</v>
      </c>
      <c r="P295" s="342" t="s">
        <v>1642</v>
      </c>
      <c r="Q295" s="342">
        <v>2.0</v>
      </c>
      <c r="R295" s="343"/>
      <c r="S295" s="342" t="s">
        <v>1960</v>
      </c>
      <c r="T295" s="342">
        <v>33.0</v>
      </c>
      <c r="U295" s="342">
        <v>15.0</v>
      </c>
      <c r="V295" s="342">
        <v>15.0</v>
      </c>
      <c r="W295" s="341">
        <v>6.031212121</v>
      </c>
      <c r="X295" s="5">
        <v>0.02424242424</v>
      </c>
      <c r="Y295" s="5">
        <v>4.166363636</v>
      </c>
      <c r="Z295" s="5">
        <v>1.005151515</v>
      </c>
      <c r="AA295" s="5">
        <v>0.3157575758</v>
      </c>
      <c r="AB295" s="5">
        <v>0.8836363636</v>
      </c>
      <c r="AC295" s="5">
        <v>0.5879969992</v>
      </c>
      <c r="AD295" s="5">
        <v>4.039393939</v>
      </c>
      <c r="AE295" s="5">
        <v>0.6799475324</v>
      </c>
      <c r="AF295" s="5">
        <v>1.848181818</v>
      </c>
      <c r="AG295" s="5">
        <v>0.9784848485</v>
      </c>
      <c r="AH295" s="5">
        <v>16.73672591</v>
      </c>
      <c r="AI295" s="5">
        <v>-1.65725666</v>
      </c>
      <c r="AJ295" s="5">
        <v>-1.587866838</v>
      </c>
      <c r="AK295" s="5">
        <v>-0.6483429023</v>
      </c>
      <c r="AL295" s="5">
        <v>-1.251966614</v>
      </c>
      <c r="AM295" s="5">
        <v>-1.973223971</v>
      </c>
      <c r="AN295" s="5">
        <v>0.3508932211</v>
      </c>
      <c r="AO295" s="5">
        <v>0.6115448243</v>
      </c>
      <c r="AP295" s="5">
        <v>-0.7982211226</v>
      </c>
      <c r="AQ295" s="5">
        <v>0.9763702844</v>
      </c>
    </row>
    <row r="296">
      <c r="A296" s="342">
        <v>295.0</v>
      </c>
      <c r="B296" s="347"/>
      <c r="C296" s="347"/>
      <c r="D296" s="341">
        <v>-0.8720302853</v>
      </c>
      <c r="E296" s="342">
        <v>-0.00478746851</v>
      </c>
      <c r="F296" s="342">
        <v>-0.5949893453</v>
      </c>
      <c r="G296" s="342">
        <v>-0.2770409399</v>
      </c>
      <c r="H296" s="342">
        <v>-1.339348862</v>
      </c>
      <c r="I296" s="343"/>
      <c r="J296" s="342" t="s">
        <v>2092</v>
      </c>
      <c r="K296" s="342" t="s">
        <v>173</v>
      </c>
      <c r="L296" s="342" t="s">
        <v>1380</v>
      </c>
      <c r="M296" s="342" t="s">
        <v>2093</v>
      </c>
      <c r="N296" s="343"/>
      <c r="O296" s="342" t="s">
        <v>1374</v>
      </c>
      <c r="P296" s="343"/>
      <c r="Q296" s="342">
        <v>4.0</v>
      </c>
      <c r="R296" s="343"/>
      <c r="S296" s="342" t="s">
        <v>1960</v>
      </c>
      <c r="T296" s="342">
        <v>49.0</v>
      </c>
      <c r="U296" s="342">
        <v>15.0</v>
      </c>
      <c r="V296" s="342">
        <v>16.0</v>
      </c>
      <c r="W296" s="341">
        <v>2.847959184</v>
      </c>
      <c r="X296" s="5">
        <v>0.4508163265</v>
      </c>
      <c r="Y296" s="5">
        <v>3.433265306</v>
      </c>
      <c r="Z296" s="5">
        <v>1.133265306</v>
      </c>
      <c r="AA296" s="5">
        <v>0.6687755102</v>
      </c>
      <c r="AB296" s="5">
        <v>0.4667346939</v>
      </c>
      <c r="AC296" s="5">
        <v>0.4396431071</v>
      </c>
      <c r="AD296" s="5">
        <v>2.333061224</v>
      </c>
      <c r="AE296" s="5">
        <v>0.7799263352</v>
      </c>
      <c r="AF296" s="5">
        <v>0.4432653061</v>
      </c>
      <c r="AG296" s="5">
        <v>0.4667346939</v>
      </c>
      <c r="AH296" s="5">
        <v>8.129071238</v>
      </c>
      <c r="AI296" s="5">
        <v>-2.191685902</v>
      </c>
      <c r="AJ296" s="5">
        <v>-1.169065288</v>
      </c>
      <c r="AK296" s="5">
        <v>-0.9416881481</v>
      </c>
      <c r="AL296" s="5">
        <v>-1.192796627</v>
      </c>
      <c r="AM296" s="5">
        <v>-0.8588200772</v>
      </c>
      <c r="AN296" s="5">
        <v>-0.4113472909</v>
      </c>
      <c r="AO296" s="5">
        <v>-0.1799764143</v>
      </c>
      <c r="AP296" s="5">
        <v>-0.03086253428</v>
      </c>
      <c r="AQ296" s="5">
        <v>1.621338174</v>
      </c>
    </row>
    <row r="297">
      <c r="A297" s="342">
        <v>296.0</v>
      </c>
      <c r="B297" s="341">
        <v>25.0</v>
      </c>
      <c r="C297" s="341">
        <v>-4.2</v>
      </c>
      <c r="D297" s="341">
        <v>-0.8801965436</v>
      </c>
      <c r="E297" s="342">
        <v>-0.03222222767</v>
      </c>
      <c r="F297" s="342">
        <v>-0.7294470598</v>
      </c>
      <c r="G297" s="342">
        <v>-0.1507494838</v>
      </c>
      <c r="H297" s="343"/>
      <c r="I297" s="343"/>
      <c r="J297" s="342" t="s">
        <v>2094</v>
      </c>
      <c r="K297" s="342" t="s">
        <v>1365</v>
      </c>
      <c r="L297" s="342" t="s">
        <v>1380</v>
      </c>
      <c r="M297" s="342" t="s">
        <v>2095</v>
      </c>
      <c r="N297" s="343"/>
      <c r="O297" s="342" t="s">
        <v>1368</v>
      </c>
      <c r="P297" s="343"/>
      <c r="Q297" s="342">
        <v>3.0</v>
      </c>
      <c r="R297" s="343"/>
      <c r="S297" s="342" t="s">
        <v>1434</v>
      </c>
      <c r="T297" s="342">
        <v>73.0</v>
      </c>
      <c r="U297" s="342">
        <v>15.0</v>
      </c>
      <c r="V297" s="342">
        <v>22.0</v>
      </c>
      <c r="W297" s="341">
        <v>7.142191781</v>
      </c>
      <c r="X297" s="5">
        <v>0.6167123288</v>
      </c>
      <c r="Y297" s="5">
        <v>3.208356164</v>
      </c>
      <c r="Z297" s="5">
        <v>2.108356164</v>
      </c>
      <c r="AA297" s="5">
        <v>0.6416438356</v>
      </c>
      <c r="AB297" s="5">
        <v>0.3208219178</v>
      </c>
      <c r="AC297" s="5">
        <v>0.4022121465</v>
      </c>
      <c r="AD297" s="5">
        <v>6.73739726</v>
      </c>
      <c r="AE297" s="5">
        <v>0.746025878</v>
      </c>
      <c r="AF297" s="5">
        <v>1.482191781</v>
      </c>
      <c r="AG297" s="5">
        <v>1.375068493</v>
      </c>
      <c r="AH297" s="5">
        <v>17.28432091</v>
      </c>
      <c r="AI297" s="5">
        <v>-1.470736761</v>
      </c>
      <c r="AJ297" s="5">
        <v>-1.006191979</v>
      </c>
      <c r="AK297" s="5">
        <v>-1.031684298</v>
      </c>
      <c r="AL297" s="5">
        <v>-0.7424460991</v>
      </c>
      <c r="AM297" s="5">
        <v>-0.9444691076</v>
      </c>
      <c r="AN297" s="5">
        <v>-0.6781263355</v>
      </c>
      <c r="AO297" s="5">
        <v>-0.8880775844</v>
      </c>
      <c r="AP297" s="5">
        <v>-0.2798401841</v>
      </c>
      <c r="AQ297" s="5">
        <v>0.4765488107</v>
      </c>
    </row>
    <row r="298">
      <c r="A298" s="342">
        <v>297.0</v>
      </c>
      <c r="B298" s="347"/>
      <c r="C298" s="347"/>
      <c r="D298" s="341">
        <v>-0.883898997</v>
      </c>
      <c r="E298" s="342">
        <v>-0.007421181526</v>
      </c>
      <c r="F298" s="342">
        <v>-0.6556473294</v>
      </c>
      <c r="G298" s="342">
        <v>-0.2282516676</v>
      </c>
      <c r="H298" s="342">
        <v>-0.4535893791</v>
      </c>
      <c r="I298" s="343"/>
      <c r="J298" s="342" t="s">
        <v>2096</v>
      </c>
      <c r="K298" s="342" t="s">
        <v>169</v>
      </c>
      <c r="L298" s="342" t="s">
        <v>1380</v>
      </c>
      <c r="M298" s="342" t="s">
        <v>2097</v>
      </c>
      <c r="N298" s="343"/>
      <c r="O298" s="342" t="s">
        <v>1374</v>
      </c>
      <c r="P298" s="342" t="s">
        <v>1642</v>
      </c>
      <c r="Q298" s="342">
        <v>4.0</v>
      </c>
      <c r="R298" s="343"/>
      <c r="S298" s="342" t="s">
        <v>1434</v>
      </c>
      <c r="T298" s="342">
        <v>68.0</v>
      </c>
      <c r="U298" s="342">
        <v>15.0</v>
      </c>
      <c r="V298" s="342">
        <v>17.0</v>
      </c>
      <c r="W298" s="341">
        <v>7.602794118</v>
      </c>
      <c r="X298" s="5">
        <v>1.285294118</v>
      </c>
      <c r="Y298" s="5">
        <v>2.13</v>
      </c>
      <c r="Z298" s="5">
        <v>1.786470588</v>
      </c>
      <c r="AA298" s="5">
        <v>0.4422058824</v>
      </c>
      <c r="AB298" s="5">
        <v>0.1382352941</v>
      </c>
      <c r="AC298" s="5">
        <v>0.4045592554</v>
      </c>
      <c r="AD298" s="5">
        <v>5.909117647</v>
      </c>
      <c r="AE298" s="5">
        <v>0.8530252307</v>
      </c>
      <c r="AF298" s="5">
        <v>1.801029412</v>
      </c>
      <c r="AG298" s="5">
        <v>0.8245588235</v>
      </c>
      <c r="AH298" s="5">
        <v>20.19553302</v>
      </c>
      <c r="AI298" s="5">
        <v>-1.393407261</v>
      </c>
      <c r="AJ298" s="5">
        <v>-0.3497920255</v>
      </c>
      <c r="AK298" s="5">
        <v>-1.463182559</v>
      </c>
      <c r="AL298" s="5">
        <v>-0.891110542</v>
      </c>
      <c r="AM298" s="5">
        <v>-1.574053075</v>
      </c>
      <c r="AN298" s="5">
        <v>-1.011957864</v>
      </c>
      <c r="AO298" s="5">
        <v>-0.7588173866</v>
      </c>
      <c r="AP298" s="5">
        <v>0.3711287358</v>
      </c>
      <c r="AQ298" s="5">
        <v>1.170366012</v>
      </c>
    </row>
    <row r="299">
      <c r="A299" s="342">
        <v>298.0</v>
      </c>
      <c r="B299" s="347"/>
      <c r="C299" s="347"/>
      <c r="D299" s="341">
        <v>-0.8839493264</v>
      </c>
      <c r="E299" s="342">
        <v>-0.003254215077</v>
      </c>
      <c r="F299" s="342">
        <v>-0.6400088495</v>
      </c>
      <c r="G299" s="342">
        <v>-0.2439404769</v>
      </c>
      <c r="H299" s="342">
        <v>0.2872276434</v>
      </c>
      <c r="I299" s="343"/>
      <c r="J299" s="342" t="s">
        <v>2098</v>
      </c>
      <c r="K299" s="342" t="s">
        <v>1365</v>
      </c>
      <c r="L299" s="342" t="s">
        <v>34</v>
      </c>
      <c r="M299" s="342" t="s">
        <v>2099</v>
      </c>
      <c r="N299" s="343"/>
      <c r="O299" s="342" t="s">
        <v>1374</v>
      </c>
      <c r="P299" s="342" t="s">
        <v>1812</v>
      </c>
      <c r="Q299" s="342">
        <v>4.0</v>
      </c>
      <c r="R299" s="343"/>
      <c r="S299" s="342" t="s">
        <v>1960</v>
      </c>
      <c r="T299" s="342">
        <v>39.0</v>
      </c>
      <c r="U299" s="342">
        <v>15.0</v>
      </c>
      <c r="V299" s="342">
        <v>10.0</v>
      </c>
      <c r="W299" s="341">
        <v>3.291794872</v>
      </c>
      <c r="X299" s="5">
        <v>0.01487179487</v>
      </c>
      <c r="Y299" s="5">
        <v>3.687435897</v>
      </c>
      <c r="Z299" s="5">
        <v>0.8220512821</v>
      </c>
      <c r="AA299" s="5">
        <v>0.3084615385</v>
      </c>
      <c r="AB299" s="5">
        <v>0.8541025641</v>
      </c>
      <c r="AC299" s="5">
        <v>0.6704097479</v>
      </c>
      <c r="AD299" s="5">
        <v>2.146410256</v>
      </c>
      <c r="AE299" s="5">
        <v>0.7608801956</v>
      </c>
      <c r="AF299" s="5">
        <v>0.5243589744</v>
      </c>
      <c r="AG299" s="5">
        <v>0.7125641026</v>
      </c>
      <c r="AH299" s="5">
        <v>13.40468583</v>
      </c>
      <c r="AI299" s="5">
        <v>-2.117171318</v>
      </c>
      <c r="AJ299" s="5">
        <v>-1.597066731</v>
      </c>
      <c r="AK299" s="5">
        <v>-0.8399831905</v>
      </c>
      <c r="AL299" s="5">
        <v>-1.336532361</v>
      </c>
      <c r="AM299" s="5">
        <v>-1.996256037</v>
      </c>
      <c r="AN299" s="5">
        <v>0.296895216</v>
      </c>
      <c r="AO299" s="5">
        <v>0.591173518</v>
      </c>
      <c r="AP299" s="5">
        <v>-0.07265370829</v>
      </c>
      <c r="AQ299" s="5">
        <v>1.311514965</v>
      </c>
    </row>
    <row r="300">
      <c r="A300" s="342">
        <v>299.0</v>
      </c>
      <c r="B300" s="347"/>
      <c r="C300" s="347"/>
      <c r="D300" s="341">
        <v>-0.8878672811</v>
      </c>
      <c r="E300" s="342">
        <v>-0.001974260797</v>
      </c>
      <c r="F300" s="342">
        <v>-0.6542528632</v>
      </c>
      <c r="G300" s="342">
        <v>-0.2336144179</v>
      </c>
      <c r="H300" s="342">
        <v>0.5771125652</v>
      </c>
      <c r="I300" s="343"/>
      <c r="J300" s="342" t="s">
        <v>2100</v>
      </c>
      <c r="K300" s="342" t="s">
        <v>287</v>
      </c>
      <c r="L300" s="342" t="s">
        <v>34</v>
      </c>
      <c r="M300" s="342" t="s">
        <v>2101</v>
      </c>
      <c r="N300" s="343"/>
      <c r="O300" s="342" t="s">
        <v>1368</v>
      </c>
      <c r="P300" s="342" t="s">
        <v>2102</v>
      </c>
      <c r="Q300" s="342">
        <v>3.0</v>
      </c>
      <c r="R300" s="343"/>
      <c r="S300" s="342" t="s">
        <v>1960</v>
      </c>
      <c r="T300" s="342">
        <v>34.0</v>
      </c>
      <c r="U300" s="342">
        <v>16.0</v>
      </c>
      <c r="V300" s="342">
        <v>14.0</v>
      </c>
      <c r="W300" s="341">
        <v>5.617058824</v>
      </c>
      <c r="X300" s="5">
        <v>0.7805882353</v>
      </c>
      <c r="Y300" s="5">
        <v>2.972647059</v>
      </c>
      <c r="Z300" s="5">
        <v>1.031470588</v>
      </c>
      <c r="AA300" s="5">
        <v>0.455</v>
      </c>
      <c r="AB300" s="5">
        <v>0.5458823529</v>
      </c>
      <c r="AC300" s="5">
        <v>0.4491514009</v>
      </c>
      <c r="AD300" s="5">
        <v>4.367058824</v>
      </c>
      <c r="AE300" s="5">
        <v>0.774563591</v>
      </c>
      <c r="AF300" s="5">
        <v>1.179411765</v>
      </c>
      <c r="AG300" s="5">
        <v>0.7894117647</v>
      </c>
      <c r="AH300" s="5">
        <v>17.05034031</v>
      </c>
      <c r="AI300" s="5">
        <v>-1.726787934</v>
      </c>
      <c r="AJ300" s="5">
        <v>-0.8453019589</v>
      </c>
      <c r="AK300" s="5">
        <v>-1.126001994</v>
      </c>
      <c r="AL300" s="5">
        <v>-1.23981102</v>
      </c>
      <c r="AM300" s="5">
        <v>-1.533664717</v>
      </c>
      <c r="AN300" s="5">
        <v>-0.2666379828</v>
      </c>
      <c r="AO300" s="5">
        <v>-0.2653814011</v>
      </c>
      <c r="AP300" s="5">
        <v>-0.09935123965</v>
      </c>
      <c r="AQ300" s="5">
        <v>1.21466248</v>
      </c>
    </row>
    <row r="301">
      <c r="A301" s="342">
        <v>300.0</v>
      </c>
      <c r="B301" s="347"/>
      <c r="C301" s="347"/>
      <c r="D301" s="341">
        <v>-0.8890824354</v>
      </c>
      <c r="E301" s="342">
        <v>-0.00379227082</v>
      </c>
      <c r="F301" s="342">
        <v>-0.6437329751</v>
      </c>
      <c r="G301" s="342">
        <v>-0.2453494603</v>
      </c>
      <c r="H301" s="342">
        <v>0.1905993361</v>
      </c>
      <c r="I301" s="343"/>
      <c r="J301" s="342" t="s">
        <v>2103</v>
      </c>
      <c r="K301" s="342" t="s">
        <v>63</v>
      </c>
      <c r="L301" s="342" t="s">
        <v>34</v>
      </c>
      <c r="M301" s="342" t="s">
        <v>2104</v>
      </c>
      <c r="N301" s="343"/>
      <c r="O301" s="342" t="s">
        <v>1368</v>
      </c>
      <c r="P301" s="342" t="s">
        <v>1551</v>
      </c>
      <c r="Q301" s="342">
        <v>4.0</v>
      </c>
      <c r="R301" s="343"/>
      <c r="S301" s="342" t="s">
        <v>1434</v>
      </c>
      <c r="T301" s="342">
        <v>73.0</v>
      </c>
      <c r="U301" s="342">
        <v>13.0</v>
      </c>
      <c r="V301" s="342">
        <v>15.0</v>
      </c>
      <c r="W301" s="341">
        <v>4.800684932</v>
      </c>
      <c r="X301" s="5">
        <v>0.05808219178</v>
      </c>
      <c r="Y301" s="5">
        <v>3.50630137</v>
      </c>
      <c r="Z301" s="5">
        <v>0.5780821918</v>
      </c>
      <c r="AA301" s="5">
        <v>0.5419178082</v>
      </c>
      <c r="AB301" s="5">
        <v>0.5467123288</v>
      </c>
      <c r="AC301" s="5">
        <v>0.6401737443</v>
      </c>
      <c r="AD301" s="5">
        <v>2.964520548</v>
      </c>
      <c r="AE301" s="5">
        <v>0.6989888777</v>
      </c>
      <c r="AF301" s="5">
        <v>1.354794521</v>
      </c>
      <c r="AG301" s="5">
        <v>0.7065753425</v>
      </c>
      <c r="AH301" s="5">
        <v>12.24595473</v>
      </c>
      <c r="AI301" s="5">
        <v>-1.863847128</v>
      </c>
      <c r="AJ301" s="5">
        <v>-1.554643645</v>
      </c>
      <c r="AK301" s="5">
        <v>-0.9124631708</v>
      </c>
      <c r="AL301" s="5">
        <v>-1.44921069</v>
      </c>
      <c r="AM301" s="5">
        <v>-1.259283349</v>
      </c>
      <c r="AN301" s="5">
        <v>-0.2651204998</v>
      </c>
      <c r="AO301" s="5">
        <v>0.6829207141</v>
      </c>
      <c r="AP301" s="5">
        <v>-0.4910117149</v>
      </c>
      <c r="AQ301" s="5">
        <v>1.319062707</v>
      </c>
    </row>
    <row r="302">
      <c r="A302" s="342">
        <v>301.0</v>
      </c>
      <c r="B302" s="347"/>
      <c r="C302" s="347"/>
      <c r="D302" s="341">
        <v>-0.897177253</v>
      </c>
      <c r="E302" s="342">
        <v>-0.004253026971</v>
      </c>
      <c r="F302" s="342">
        <v>-0.6186626952</v>
      </c>
      <c r="G302" s="342">
        <v>-0.2785145578</v>
      </c>
      <c r="H302" s="342">
        <v>0.2872276434</v>
      </c>
      <c r="I302" s="343"/>
      <c r="J302" s="342" t="s">
        <v>2105</v>
      </c>
      <c r="K302" s="342" t="s">
        <v>169</v>
      </c>
      <c r="L302" s="342" t="s">
        <v>1404</v>
      </c>
      <c r="M302" s="342" t="s">
        <v>2106</v>
      </c>
      <c r="N302" s="343"/>
      <c r="O302" s="342" t="s">
        <v>1368</v>
      </c>
      <c r="P302" s="342" t="s">
        <v>1399</v>
      </c>
      <c r="Q302" s="342">
        <v>4.0</v>
      </c>
      <c r="R302" s="343"/>
      <c r="S302" s="342" t="s">
        <v>1434</v>
      </c>
      <c r="T302" s="342">
        <v>73.0</v>
      </c>
      <c r="U302" s="342">
        <v>15.0</v>
      </c>
      <c r="V302" s="342">
        <v>18.0</v>
      </c>
      <c r="W302" s="341">
        <v>4.893150685</v>
      </c>
      <c r="X302" s="5">
        <v>0.8756164384</v>
      </c>
      <c r="Y302" s="5">
        <v>3.27369863</v>
      </c>
      <c r="Z302" s="5">
        <v>0.8061643836</v>
      </c>
      <c r="AA302" s="5">
        <v>0.6098630137</v>
      </c>
      <c r="AB302" s="5">
        <v>0.3301369863</v>
      </c>
      <c r="AC302" s="5">
        <v>0.4534653465</v>
      </c>
      <c r="AD302" s="5">
        <v>4.219863014</v>
      </c>
      <c r="AE302" s="5">
        <v>0.5641233766</v>
      </c>
      <c r="AF302" s="5">
        <v>0.3375342466</v>
      </c>
      <c r="AG302" s="5">
        <v>0.4761643836</v>
      </c>
      <c r="AH302" s="5">
        <v>12.27758139</v>
      </c>
      <c r="AI302" s="5">
        <v>-1.848323259</v>
      </c>
      <c r="AJ302" s="5">
        <v>-0.7520052088</v>
      </c>
      <c r="AK302" s="5">
        <v>-1.005537872</v>
      </c>
      <c r="AL302" s="5">
        <v>-1.343869804</v>
      </c>
      <c r="AM302" s="5">
        <v>-1.044794525</v>
      </c>
      <c r="AN302" s="5">
        <v>-0.661095167</v>
      </c>
      <c r="AO302" s="5">
        <v>-0.2289062646</v>
      </c>
      <c r="AP302" s="5">
        <v>-0.2928859246</v>
      </c>
      <c r="AQ302" s="5">
        <v>1.609453767</v>
      </c>
    </row>
    <row r="303">
      <c r="A303" s="342">
        <v>302.0</v>
      </c>
      <c r="B303" s="347"/>
      <c r="C303" s="347"/>
      <c r="D303" s="341">
        <v>-0.8995976814</v>
      </c>
      <c r="E303" s="342">
        <v>-0.001970663892</v>
      </c>
      <c r="F303" s="342">
        <v>-0.6543267504</v>
      </c>
      <c r="G303" s="342">
        <v>-0.2452709311</v>
      </c>
      <c r="H303" s="342">
        <v>0.6737408725</v>
      </c>
      <c r="I303" s="343"/>
      <c r="J303" s="342" t="s">
        <v>2107</v>
      </c>
      <c r="K303" s="342" t="s">
        <v>291</v>
      </c>
      <c r="L303" s="342" t="s">
        <v>1404</v>
      </c>
      <c r="M303" s="342" t="s">
        <v>2108</v>
      </c>
      <c r="N303" s="343"/>
      <c r="O303" s="342" t="s">
        <v>1368</v>
      </c>
      <c r="P303" s="343"/>
      <c r="Q303" s="342">
        <v>3.0</v>
      </c>
      <c r="R303" s="343"/>
      <c r="S303" s="342" t="s">
        <v>1434</v>
      </c>
      <c r="T303" s="342">
        <v>73.0</v>
      </c>
      <c r="U303" s="342">
        <v>15.0</v>
      </c>
      <c r="V303" s="342">
        <v>20.0</v>
      </c>
      <c r="W303" s="341">
        <v>7.524794521</v>
      </c>
      <c r="X303" s="5">
        <v>0.9263013699</v>
      </c>
      <c r="Y303" s="5">
        <v>4.208356164</v>
      </c>
      <c r="Z303" s="5">
        <v>1.683287671</v>
      </c>
      <c r="AA303" s="5">
        <v>0.3367123288</v>
      </c>
      <c r="AB303" s="5">
        <v>0.1683561644</v>
      </c>
      <c r="AC303" s="5">
        <v>0.4379434216</v>
      </c>
      <c r="AD303" s="5">
        <v>6.101369863</v>
      </c>
      <c r="AE303" s="5">
        <v>0.7669821593</v>
      </c>
      <c r="AF303" s="5">
        <v>1.635479452</v>
      </c>
      <c r="AG303" s="5">
        <v>0.7154794521</v>
      </c>
      <c r="AH303" s="5">
        <v>16.01257151</v>
      </c>
      <c r="AI303" s="5">
        <v>-1.406502439</v>
      </c>
      <c r="AJ303" s="5">
        <v>-0.7022437776</v>
      </c>
      <c r="AK303" s="5">
        <v>-0.6315398243</v>
      </c>
      <c r="AL303" s="5">
        <v>-0.9387660817</v>
      </c>
      <c r="AM303" s="5">
        <v>-1.907074192</v>
      </c>
      <c r="AN303" s="5">
        <v>-0.9568864901</v>
      </c>
      <c r="AO303" s="5">
        <v>-0.4717079887</v>
      </c>
      <c r="AP303" s="5">
        <v>-0.1820606579</v>
      </c>
      <c r="AQ303" s="5">
        <v>1.307840698</v>
      </c>
    </row>
    <row r="304">
      <c r="A304" s="342">
        <v>303.0</v>
      </c>
      <c r="B304" s="347"/>
      <c r="C304" s="347"/>
      <c r="D304" s="341">
        <v>-0.8997654919</v>
      </c>
      <c r="E304" s="342">
        <v>-0.001440222368</v>
      </c>
      <c r="F304" s="342">
        <v>-0.6420837481</v>
      </c>
      <c r="G304" s="342">
        <v>-0.2576817437</v>
      </c>
      <c r="H304" s="342">
        <v>-0.3730657897</v>
      </c>
      <c r="I304" s="343"/>
      <c r="J304" s="342" t="s">
        <v>2109</v>
      </c>
      <c r="K304" s="342" t="s">
        <v>259</v>
      </c>
      <c r="L304" s="342" t="s">
        <v>1404</v>
      </c>
      <c r="M304" s="342" t="s">
        <v>2110</v>
      </c>
      <c r="N304" s="342" t="s">
        <v>2111</v>
      </c>
      <c r="O304" s="342" t="s">
        <v>1368</v>
      </c>
      <c r="P304" s="342" t="s">
        <v>1501</v>
      </c>
      <c r="Q304" s="342">
        <v>4.0</v>
      </c>
      <c r="R304" s="343"/>
      <c r="S304" s="342" t="s">
        <v>1434</v>
      </c>
      <c r="T304" s="342">
        <v>73.0</v>
      </c>
      <c r="U304" s="342">
        <v>13.0</v>
      </c>
      <c r="V304" s="342">
        <v>19.0</v>
      </c>
      <c r="W304" s="341">
        <v>6.96</v>
      </c>
      <c r="X304" s="5">
        <v>0.5345205479</v>
      </c>
      <c r="Y304" s="5">
        <v>5.83890411</v>
      </c>
      <c r="Z304" s="5">
        <v>0.7084931507</v>
      </c>
      <c r="AA304" s="5">
        <v>0.3701369863</v>
      </c>
      <c r="AB304" s="5">
        <v>0.2028767123</v>
      </c>
      <c r="AC304" s="5">
        <v>0.454904292</v>
      </c>
      <c r="AD304" s="5">
        <v>5.760958904</v>
      </c>
      <c r="AE304" s="5">
        <v>0.7540125611</v>
      </c>
      <c r="AF304" s="5">
        <v>1.570410959</v>
      </c>
      <c r="AG304" s="5">
        <v>0.6269863014</v>
      </c>
      <c r="AH304" s="5">
        <v>16.04323073</v>
      </c>
      <c r="AI304" s="5">
        <v>-1.501324533</v>
      </c>
      <c r="AJ304" s="5">
        <v>-1.086886192</v>
      </c>
      <c r="AK304" s="5">
        <v>0.02091492564</v>
      </c>
      <c r="AL304" s="5">
        <v>-1.388979745</v>
      </c>
      <c r="AM304" s="5">
        <v>-1.801559528</v>
      </c>
      <c r="AN304" s="5">
        <v>-0.8937709834</v>
      </c>
      <c r="AO304" s="5">
        <v>-0.2964743555</v>
      </c>
      <c r="AP304" s="5">
        <v>-0.2500435237</v>
      </c>
      <c r="AQ304" s="5">
        <v>1.419370202</v>
      </c>
    </row>
    <row r="305">
      <c r="A305" s="342">
        <v>304.0</v>
      </c>
      <c r="B305" s="347"/>
      <c r="C305" s="347"/>
      <c r="D305" s="341">
        <v>-0.9090751849</v>
      </c>
      <c r="E305" s="342">
        <v>-0.002798054628</v>
      </c>
      <c r="F305" s="342">
        <v>-0.657432733</v>
      </c>
      <c r="G305" s="342">
        <v>-0.2516424519</v>
      </c>
      <c r="H305" s="342">
        <v>0.1744946182</v>
      </c>
      <c r="I305" s="343"/>
      <c r="J305" s="342" t="s">
        <v>2112</v>
      </c>
      <c r="K305" s="342" t="s">
        <v>126</v>
      </c>
      <c r="L305" s="342" t="s">
        <v>1404</v>
      </c>
      <c r="M305" s="342" t="s">
        <v>2113</v>
      </c>
      <c r="N305" s="342" t="s">
        <v>2114</v>
      </c>
      <c r="O305" s="342" t="s">
        <v>1374</v>
      </c>
      <c r="P305" s="342" t="s">
        <v>1551</v>
      </c>
      <c r="Q305" s="342">
        <v>2.0</v>
      </c>
      <c r="R305" s="343"/>
      <c r="S305" s="342" t="s">
        <v>1960</v>
      </c>
      <c r="T305" s="342">
        <v>44.0</v>
      </c>
      <c r="U305" s="342">
        <v>15.0</v>
      </c>
      <c r="V305" s="342">
        <v>14.0</v>
      </c>
      <c r="W305" s="341">
        <v>5.510681818</v>
      </c>
      <c r="X305" s="5">
        <v>0.5381818182</v>
      </c>
      <c r="Y305" s="5">
        <v>4.418636364</v>
      </c>
      <c r="Z305" s="5">
        <v>0.5302272727</v>
      </c>
      <c r="AA305" s="5">
        <v>0.2945454545</v>
      </c>
      <c r="AB305" s="5">
        <v>0.4713636364</v>
      </c>
      <c r="AC305" s="5">
        <v>0.5018681451</v>
      </c>
      <c r="AD305" s="5">
        <v>3.771363636</v>
      </c>
      <c r="AE305" s="5">
        <v>0.7870705244</v>
      </c>
      <c r="AF305" s="5">
        <v>1.508181818</v>
      </c>
      <c r="AG305" s="5">
        <v>0.6775</v>
      </c>
      <c r="AH305" s="5">
        <v>15.72226275</v>
      </c>
      <c r="AI305" s="5">
        <v>-1.744647333</v>
      </c>
      <c r="AJ305" s="5">
        <v>-1.083291631</v>
      </c>
      <c r="AK305" s="5">
        <v>-0.5473973645</v>
      </c>
      <c r="AL305" s="5">
        <v>-1.471312721</v>
      </c>
      <c r="AM305" s="5">
        <v>-2.040186207</v>
      </c>
      <c r="AN305" s="5">
        <v>-0.4028839823</v>
      </c>
      <c r="AO305" s="5">
        <v>0.0736099905</v>
      </c>
      <c r="AP305" s="5">
        <v>-0.05649223079</v>
      </c>
      <c r="AQ305" s="5">
        <v>1.355706882</v>
      </c>
    </row>
    <row r="306">
      <c r="A306" s="342">
        <v>305.0</v>
      </c>
      <c r="B306" s="341">
        <v>2.0</v>
      </c>
      <c r="C306" s="341">
        <v>1.1</v>
      </c>
      <c r="D306" s="341">
        <v>-0.9118671941</v>
      </c>
      <c r="E306" s="342">
        <v>-0.006895653471</v>
      </c>
      <c r="F306" s="342">
        <v>-0.7069529803</v>
      </c>
      <c r="G306" s="342">
        <v>-0.2049142138</v>
      </c>
      <c r="H306" s="342">
        <v>0.4482748222</v>
      </c>
      <c r="I306" s="343"/>
      <c r="J306" s="342" t="s">
        <v>2115</v>
      </c>
      <c r="K306" s="342" t="s">
        <v>173</v>
      </c>
      <c r="L306" s="342" t="s">
        <v>1404</v>
      </c>
      <c r="M306" s="342" t="s">
        <v>2116</v>
      </c>
      <c r="N306" s="342" t="s">
        <v>2117</v>
      </c>
      <c r="O306" s="342" t="s">
        <v>1368</v>
      </c>
      <c r="P306" s="343"/>
      <c r="Q306" s="342">
        <v>4.0</v>
      </c>
      <c r="R306" s="343"/>
      <c r="S306" s="342" t="s">
        <v>1434</v>
      </c>
      <c r="T306" s="342">
        <v>47.0</v>
      </c>
      <c r="U306" s="342">
        <v>15.0</v>
      </c>
      <c r="V306" s="342">
        <v>18.0</v>
      </c>
      <c r="W306" s="341">
        <v>8.618510638</v>
      </c>
      <c r="X306" s="5">
        <v>1.257021277</v>
      </c>
      <c r="Y306" s="5">
        <v>2.85</v>
      </c>
      <c r="Z306" s="5">
        <v>0.8625531915</v>
      </c>
      <c r="AA306" s="5">
        <v>0.3836170213</v>
      </c>
      <c r="AB306" s="5">
        <v>0.3531914894</v>
      </c>
      <c r="AC306" s="5">
        <v>0.4278547539</v>
      </c>
      <c r="AD306" s="5">
        <v>7.125106383</v>
      </c>
      <c r="AE306" s="5">
        <v>0.7700181394</v>
      </c>
      <c r="AF306" s="5">
        <v>1.64212766</v>
      </c>
      <c r="AG306" s="5">
        <v>1.013404255</v>
      </c>
      <c r="AH306" s="5">
        <v>21.37966412</v>
      </c>
      <c r="AI306" s="5">
        <v>-1.222880878</v>
      </c>
      <c r="AJ306" s="5">
        <v>-0.3775497237</v>
      </c>
      <c r="AK306" s="5">
        <v>-1.175078537</v>
      </c>
      <c r="AL306" s="5">
        <v>-1.317826354</v>
      </c>
      <c r="AM306" s="5">
        <v>-1.759005873</v>
      </c>
      <c r="AN306" s="5">
        <v>-0.6189435579</v>
      </c>
      <c r="AO306" s="5">
        <v>-0.6592445829</v>
      </c>
      <c r="AP306" s="5">
        <v>-0.1644080458</v>
      </c>
      <c r="AQ306" s="5">
        <v>0.9323607302</v>
      </c>
    </row>
    <row r="307">
      <c r="A307" s="342">
        <v>306.0</v>
      </c>
      <c r="B307" s="341">
        <v>12.0</v>
      </c>
      <c r="C307" s="341">
        <v>0.0</v>
      </c>
      <c r="D307" s="341">
        <v>-0.9124280293</v>
      </c>
      <c r="E307" s="342">
        <v>-0.004581352092</v>
      </c>
      <c r="F307" s="342">
        <v>-0.7942570756</v>
      </c>
      <c r="G307" s="342">
        <v>-0.1181709536</v>
      </c>
      <c r="H307" s="343"/>
      <c r="I307" s="343"/>
      <c r="J307" s="342" t="s">
        <v>2118</v>
      </c>
      <c r="K307" s="342" t="s">
        <v>159</v>
      </c>
      <c r="L307" s="342" t="s">
        <v>1380</v>
      </c>
      <c r="M307" s="342" t="s">
        <v>2119</v>
      </c>
      <c r="N307" s="343"/>
      <c r="O307" s="342" t="s">
        <v>1368</v>
      </c>
      <c r="P307" s="343"/>
      <c r="Q307" s="342">
        <v>1.0</v>
      </c>
      <c r="R307" s="343"/>
      <c r="S307" s="342" t="s">
        <v>1434</v>
      </c>
      <c r="T307" s="342">
        <v>73.0</v>
      </c>
      <c r="U307" s="342">
        <v>14.0</v>
      </c>
      <c r="V307" s="342">
        <v>16.0</v>
      </c>
      <c r="W307" s="341">
        <v>6.816575342</v>
      </c>
      <c r="X307" s="5">
        <v>1.042054795</v>
      </c>
      <c r="Y307" s="5">
        <v>1.47</v>
      </c>
      <c r="Z307" s="5">
        <v>2.94</v>
      </c>
      <c r="AA307" s="5">
        <v>0.5553424658</v>
      </c>
      <c r="AB307" s="5">
        <v>0.09794520548</v>
      </c>
      <c r="AC307" s="5">
        <v>0.4086440907</v>
      </c>
      <c r="AD307" s="5">
        <v>6.075890411</v>
      </c>
      <c r="AE307" s="5">
        <v>0.7830238727</v>
      </c>
      <c r="AF307" s="5">
        <v>1.032876712</v>
      </c>
      <c r="AG307" s="5">
        <v>1.633287671</v>
      </c>
      <c r="AH307" s="5">
        <v>22.66115326</v>
      </c>
      <c r="AI307" s="5">
        <v>-1.525403779</v>
      </c>
      <c r="AJ307" s="5">
        <v>-0.588599428</v>
      </c>
      <c r="AK307" s="5">
        <v>-1.727277911</v>
      </c>
      <c r="AL307" s="5">
        <v>-0.3583472867</v>
      </c>
      <c r="AM307" s="5">
        <v>-1.216904509</v>
      </c>
      <c r="AN307" s="5">
        <v>-1.085622087</v>
      </c>
      <c r="AO307" s="5">
        <v>-0.7420191147</v>
      </c>
      <c r="AP307" s="5">
        <v>-0.05525011837</v>
      </c>
      <c r="AQ307" s="5">
        <v>0.1511105535</v>
      </c>
    </row>
    <row r="308">
      <c r="A308" s="342">
        <v>307.0</v>
      </c>
      <c r="B308" s="347"/>
      <c r="C308" s="347"/>
      <c r="D308" s="341">
        <v>-0.9151729221</v>
      </c>
      <c r="E308" s="342">
        <v>-0.003068598626</v>
      </c>
      <c r="F308" s="342">
        <v>-0.6475274362</v>
      </c>
      <c r="G308" s="342">
        <v>-0.267645486</v>
      </c>
      <c r="H308" s="342">
        <v>0.7864738976</v>
      </c>
      <c r="I308" s="343"/>
      <c r="J308" s="342" t="s">
        <v>2120</v>
      </c>
      <c r="K308" s="342" t="s">
        <v>45</v>
      </c>
      <c r="L308" s="342" t="s">
        <v>1404</v>
      </c>
      <c r="M308" s="342" t="s">
        <v>2121</v>
      </c>
      <c r="N308" s="342" t="s">
        <v>2122</v>
      </c>
      <c r="O308" s="342" t="s">
        <v>1374</v>
      </c>
      <c r="P308" s="343"/>
      <c r="Q308" s="342">
        <v>5.0</v>
      </c>
      <c r="R308" s="343"/>
      <c r="S308" s="342" t="s">
        <v>1434</v>
      </c>
      <c r="T308" s="342">
        <v>67.0</v>
      </c>
      <c r="U308" s="342">
        <v>16.0</v>
      </c>
      <c r="V308" s="342">
        <v>15.0</v>
      </c>
      <c r="W308" s="341">
        <v>4.634179104</v>
      </c>
      <c r="X308" s="5">
        <v>0.7253731343</v>
      </c>
      <c r="Y308" s="5">
        <v>3.156268657</v>
      </c>
      <c r="Z308" s="5">
        <v>1.328656716</v>
      </c>
      <c r="AA308" s="5">
        <v>0.5952238806</v>
      </c>
      <c r="AB308" s="5">
        <v>0.1268656716</v>
      </c>
      <c r="AC308" s="5">
        <v>0.4777492273</v>
      </c>
      <c r="AD308" s="5">
        <v>4.007910448</v>
      </c>
      <c r="AE308" s="5">
        <v>0.4944134078</v>
      </c>
      <c r="AF308" s="5">
        <v>0.1602985075</v>
      </c>
      <c r="AG308" s="5">
        <v>0.5680597015</v>
      </c>
      <c r="AH308" s="5">
        <v>13.50112946</v>
      </c>
      <c r="AI308" s="5">
        <v>-1.89180142</v>
      </c>
      <c r="AJ308" s="5">
        <v>-0.899511018</v>
      </c>
      <c r="AK308" s="5">
        <v>-1.052526827</v>
      </c>
      <c r="AL308" s="5">
        <v>-1.102554139</v>
      </c>
      <c r="AM308" s="5">
        <v>-1.091007211</v>
      </c>
      <c r="AN308" s="5">
        <v>-1.032745468</v>
      </c>
      <c r="AO308" s="5">
        <v>-0.06902810607</v>
      </c>
      <c r="AP308" s="5">
        <v>-0.1822091878</v>
      </c>
      <c r="AQ308" s="5">
        <v>1.493636451</v>
      </c>
    </row>
    <row r="309">
      <c r="A309" s="342">
        <v>308.0</v>
      </c>
      <c r="B309" s="347"/>
      <c r="C309" s="347"/>
      <c r="D309" s="341">
        <v>-0.934953515</v>
      </c>
      <c r="E309" s="342">
        <v>-0.001673892136</v>
      </c>
      <c r="F309" s="342">
        <v>-0.6424408146</v>
      </c>
      <c r="G309" s="342">
        <v>-0.2925127003</v>
      </c>
      <c r="H309" s="342">
        <v>0.07786631094</v>
      </c>
      <c r="I309" s="343"/>
      <c r="J309" s="342" t="s">
        <v>2123</v>
      </c>
      <c r="K309" s="342" t="s">
        <v>118</v>
      </c>
      <c r="L309" s="342" t="s">
        <v>1380</v>
      </c>
      <c r="M309" s="342" t="s">
        <v>2124</v>
      </c>
      <c r="N309" s="343"/>
      <c r="O309" s="342" t="s">
        <v>1374</v>
      </c>
      <c r="P309" s="342" t="s">
        <v>1642</v>
      </c>
      <c r="Q309" s="342">
        <v>3.0</v>
      </c>
      <c r="R309" s="343"/>
      <c r="S309" s="342" t="s">
        <v>1434</v>
      </c>
      <c r="T309" s="342">
        <v>68.0</v>
      </c>
      <c r="U309" s="342">
        <v>16.0</v>
      </c>
      <c r="V309" s="342">
        <v>15.0</v>
      </c>
      <c r="W309" s="341">
        <v>5.736617647</v>
      </c>
      <c r="X309" s="5">
        <v>0.9442647059</v>
      </c>
      <c r="Y309" s="5">
        <v>1.718823529</v>
      </c>
      <c r="Z309" s="5">
        <v>2.281323529</v>
      </c>
      <c r="AA309" s="5">
        <v>0.4255882353</v>
      </c>
      <c r="AB309" s="5">
        <v>0.1905882353</v>
      </c>
      <c r="AC309" s="5">
        <v>0.4422101339</v>
      </c>
      <c r="AD309" s="5">
        <v>4.812058824</v>
      </c>
      <c r="AE309" s="5">
        <v>0.8349736782</v>
      </c>
      <c r="AF309" s="5">
        <v>0.6425</v>
      </c>
      <c r="AG309" s="5">
        <v>0.4061764706</v>
      </c>
      <c r="AH309" s="5">
        <v>16.01360417</v>
      </c>
      <c r="AI309" s="5">
        <v>-1.70671547</v>
      </c>
      <c r="AJ309" s="5">
        <v>-0.684607741</v>
      </c>
      <c r="AK309" s="5">
        <v>-1.627712551</v>
      </c>
      <c r="AL309" s="5">
        <v>-0.6625602674</v>
      </c>
      <c r="AM309" s="5">
        <v>-1.626511516</v>
      </c>
      <c r="AN309" s="5">
        <v>-0.9162385716</v>
      </c>
      <c r="AO309" s="5">
        <v>-0.3425693534</v>
      </c>
      <c r="AP309" s="5">
        <v>0.08728735074</v>
      </c>
      <c r="AQ309" s="5">
        <v>1.697660788</v>
      </c>
    </row>
    <row r="310">
      <c r="A310" s="342">
        <v>309.0</v>
      </c>
      <c r="B310" s="347"/>
      <c r="C310" s="347"/>
      <c r="D310" s="341">
        <v>-0.9381796782</v>
      </c>
      <c r="E310" s="342">
        <v>-0.001093261316</v>
      </c>
      <c r="F310" s="342">
        <v>-0.8595094364</v>
      </c>
      <c r="G310" s="342">
        <v>-0.07867024179</v>
      </c>
      <c r="H310" s="343"/>
      <c r="I310" s="343"/>
      <c r="J310" s="342" t="s">
        <v>2125</v>
      </c>
      <c r="K310" s="342" t="s">
        <v>148</v>
      </c>
      <c r="L310" s="342" t="s">
        <v>1380</v>
      </c>
      <c r="M310" s="342" t="s">
        <v>2126</v>
      </c>
      <c r="N310" s="342" t="s">
        <v>2127</v>
      </c>
      <c r="O310" s="342" t="s">
        <v>1368</v>
      </c>
      <c r="P310" s="343"/>
      <c r="Q310" s="342">
        <v>3.0</v>
      </c>
      <c r="R310" s="343"/>
      <c r="S310" s="342" t="s">
        <v>1434</v>
      </c>
      <c r="T310" s="342">
        <v>69.0</v>
      </c>
      <c r="U310" s="342">
        <v>15.0</v>
      </c>
      <c r="V310" s="342">
        <v>20.0</v>
      </c>
      <c r="W310" s="341">
        <v>7.312463768</v>
      </c>
      <c r="X310" s="5">
        <v>0.5008695652</v>
      </c>
      <c r="Y310" s="5">
        <v>1.935797101</v>
      </c>
      <c r="Z310" s="5">
        <v>2.777536232</v>
      </c>
      <c r="AA310" s="5">
        <v>0.7575362319</v>
      </c>
      <c r="AB310" s="5">
        <v>0.1684057971</v>
      </c>
      <c r="AC310" s="5">
        <v>0.4213924825</v>
      </c>
      <c r="AD310" s="5">
        <v>6.396666667</v>
      </c>
      <c r="AE310" s="5">
        <v>0.6939960351</v>
      </c>
      <c r="AF310" s="5">
        <v>2.046956522</v>
      </c>
      <c r="AG310" s="5">
        <v>1.935797101</v>
      </c>
      <c r="AH310" s="5">
        <v>19.69168846</v>
      </c>
      <c r="AI310" s="5">
        <v>-1.442150176</v>
      </c>
      <c r="AJ310" s="5">
        <v>-1.11992404</v>
      </c>
      <c r="AK310" s="5">
        <v>-1.540891775</v>
      </c>
      <c r="AL310" s="5">
        <v>-0.4333819803</v>
      </c>
      <c r="AM310" s="5">
        <v>-0.578621016</v>
      </c>
      <c r="AN310" s="5">
        <v>-0.9567957444</v>
      </c>
      <c r="AO310" s="5">
        <v>-0.6560005301</v>
      </c>
      <c r="AP310" s="5">
        <v>-0.7776721633</v>
      </c>
      <c r="AQ310" s="5">
        <v>-0.230147502</v>
      </c>
    </row>
    <row r="311">
      <c r="A311" s="342">
        <v>310.0</v>
      </c>
      <c r="B311" s="347"/>
      <c r="C311" s="347"/>
      <c r="D311" s="341">
        <v>-0.938961539</v>
      </c>
      <c r="E311" s="342">
        <v>0.6267233527</v>
      </c>
      <c r="F311" s="342">
        <v>-0.725210777</v>
      </c>
      <c r="G311" s="342">
        <v>-0.213750762</v>
      </c>
      <c r="H311" s="342">
        <v>0.4965889758</v>
      </c>
      <c r="I311" s="343"/>
      <c r="J311" s="342" t="s">
        <v>2128</v>
      </c>
      <c r="K311" s="342" t="s">
        <v>243</v>
      </c>
      <c r="L311" s="342" t="s">
        <v>1380</v>
      </c>
      <c r="M311" s="343"/>
      <c r="N311" s="343"/>
      <c r="O311" s="342" t="s">
        <v>1378</v>
      </c>
      <c r="P311" s="343"/>
      <c r="Q311" s="343"/>
      <c r="R311" s="343"/>
      <c r="S311" s="342" t="s">
        <v>1960</v>
      </c>
      <c r="T311" s="342">
        <v>50.0</v>
      </c>
      <c r="U311" s="342">
        <v>13.0</v>
      </c>
      <c r="V311" s="342">
        <v>14.0</v>
      </c>
      <c r="W311" s="341">
        <v>6.8316</v>
      </c>
      <c r="X311" s="5">
        <v>0.6934</v>
      </c>
      <c r="Y311" s="5">
        <v>1.7722</v>
      </c>
      <c r="Z311" s="5">
        <v>2.4296</v>
      </c>
      <c r="AA311" s="5">
        <v>0.5716</v>
      </c>
      <c r="AB311" s="5">
        <v>0.2572</v>
      </c>
      <c r="AC311" s="5">
        <v>0.4015622457</v>
      </c>
      <c r="AD311" s="5">
        <v>6.145</v>
      </c>
      <c r="AE311" s="5">
        <v>0.782999219</v>
      </c>
      <c r="AF311" s="5">
        <v>1.5364</v>
      </c>
      <c r="AG311" s="5">
        <v>0.9718</v>
      </c>
      <c r="AH311" s="5">
        <v>24.49232279</v>
      </c>
      <c r="AI311" s="5">
        <v>-1.522881323</v>
      </c>
      <c r="AJ311" s="5">
        <v>-0.9309015887</v>
      </c>
      <c r="AK311" s="5">
        <v>-1.606354251</v>
      </c>
      <c r="AL311" s="5">
        <v>-0.5940780472</v>
      </c>
      <c r="AM311" s="5">
        <v>-1.165582868</v>
      </c>
      <c r="AN311" s="5">
        <v>-0.7944492162</v>
      </c>
      <c r="AO311" s="5">
        <v>-0.8169061064</v>
      </c>
      <c r="AP311" s="5">
        <v>-0.08053891105</v>
      </c>
      <c r="AQ311" s="5">
        <v>0.9847953187</v>
      </c>
    </row>
    <row r="312">
      <c r="A312" s="342">
        <v>311.0</v>
      </c>
      <c r="B312" s="347"/>
      <c r="C312" s="347"/>
      <c r="D312" s="341">
        <v>-0.9392633894</v>
      </c>
      <c r="E312" s="342">
        <v>-0.002690725391</v>
      </c>
      <c r="F312" s="342">
        <v>-0.6594104225</v>
      </c>
      <c r="G312" s="342">
        <v>-0.2798529669</v>
      </c>
      <c r="H312" s="342">
        <v>0.3516465149</v>
      </c>
      <c r="I312" s="343"/>
      <c r="J312" s="342" t="s">
        <v>2129</v>
      </c>
      <c r="K312" s="342" t="s">
        <v>118</v>
      </c>
      <c r="L312" s="342" t="s">
        <v>1404</v>
      </c>
      <c r="M312" s="342" t="s">
        <v>2130</v>
      </c>
      <c r="N312" s="343"/>
      <c r="O312" s="342" t="s">
        <v>1374</v>
      </c>
      <c r="P312" s="342" t="s">
        <v>1812</v>
      </c>
      <c r="Q312" s="342">
        <v>4.0</v>
      </c>
      <c r="R312" s="343"/>
      <c r="S312" s="342" t="s">
        <v>1434</v>
      </c>
      <c r="T312" s="342">
        <v>68.0</v>
      </c>
      <c r="U312" s="342">
        <v>16.0</v>
      </c>
      <c r="V312" s="342">
        <v>12.0</v>
      </c>
      <c r="W312" s="341">
        <v>5.373235294</v>
      </c>
      <c r="X312" s="5">
        <v>0.5380882353</v>
      </c>
      <c r="Y312" s="5">
        <v>3.375</v>
      </c>
      <c r="Z312" s="5">
        <v>0.45</v>
      </c>
      <c r="AA312" s="5">
        <v>0.2455882353</v>
      </c>
      <c r="AB312" s="5">
        <v>0.55</v>
      </c>
      <c r="AC312" s="5">
        <v>0.5370584322</v>
      </c>
      <c r="AD312" s="5">
        <v>4.200441176</v>
      </c>
      <c r="AE312" s="5">
        <v>0.7699579832</v>
      </c>
      <c r="AF312" s="5">
        <v>0.42</v>
      </c>
      <c r="AG312" s="5">
        <v>0.5</v>
      </c>
      <c r="AH312" s="5">
        <v>17.77659486</v>
      </c>
      <c r="AI312" s="5">
        <v>-1.767722923</v>
      </c>
      <c r="AJ312" s="5">
        <v>-1.083383509</v>
      </c>
      <c r="AK312" s="5">
        <v>-0.9650026883</v>
      </c>
      <c r="AL312" s="5">
        <v>-1.508366083</v>
      </c>
      <c r="AM312" s="5">
        <v>-2.194733924</v>
      </c>
      <c r="AN312" s="5">
        <v>-0.2591094992</v>
      </c>
      <c r="AO312" s="5">
        <v>0.3090797333</v>
      </c>
      <c r="AP312" s="5">
        <v>-0.04486822109</v>
      </c>
      <c r="AQ312" s="5">
        <v>1.579413313</v>
      </c>
    </row>
    <row r="313">
      <c r="A313" s="342">
        <v>312.0</v>
      </c>
      <c r="B313" s="347"/>
      <c r="C313" s="347"/>
      <c r="D313" s="341">
        <v>-0.9506928479</v>
      </c>
      <c r="E313" s="342">
        <v>0.0011585309</v>
      </c>
      <c r="F313" s="342">
        <v>-0.6784868964</v>
      </c>
      <c r="G313" s="342">
        <v>-0.2722059515</v>
      </c>
      <c r="H313" s="342">
        <v>1.044149384</v>
      </c>
      <c r="I313" s="343"/>
      <c r="J313" s="342" t="s">
        <v>2131</v>
      </c>
      <c r="K313" s="342" t="s">
        <v>1396</v>
      </c>
      <c r="L313" s="342" t="s">
        <v>1380</v>
      </c>
      <c r="M313" s="342" t="s">
        <v>2132</v>
      </c>
      <c r="N313" s="343"/>
      <c r="O313" s="342" t="s">
        <v>1374</v>
      </c>
      <c r="P313" s="342" t="s">
        <v>1501</v>
      </c>
      <c r="Q313" s="342">
        <v>4.0</v>
      </c>
      <c r="R313" s="343"/>
      <c r="S313" s="342" t="s">
        <v>1434</v>
      </c>
      <c r="T313" s="342">
        <v>68.0</v>
      </c>
      <c r="U313" s="342">
        <v>14.0</v>
      </c>
      <c r="V313" s="342">
        <v>15.0</v>
      </c>
      <c r="W313" s="341">
        <v>7.377941176</v>
      </c>
      <c r="X313" s="5">
        <v>1.025294118</v>
      </c>
      <c r="Y313" s="5">
        <v>2.343823529</v>
      </c>
      <c r="Z313" s="5">
        <v>0.7105882353</v>
      </c>
      <c r="AA313" s="5">
        <v>0.4375</v>
      </c>
      <c r="AB313" s="5">
        <v>0.2186764706</v>
      </c>
      <c r="AC313" s="5">
        <v>0.4620133074</v>
      </c>
      <c r="AD313" s="5">
        <v>5.812794118</v>
      </c>
      <c r="AE313" s="5">
        <v>0.7729905027</v>
      </c>
      <c r="AF313" s="5">
        <v>1.269705882</v>
      </c>
      <c r="AG313" s="5">
        <v>0.5636764706</v>
      </c>
      <c r="AH313" s="5">
        <v>19.81944986</v>
      </c>
      <c r="AI313" s="5">
        <v>-1.43115732</v>
      </c>
      <c r="AJ313" s="5">
        <v>-0.6050547185</v>
      </c>
      <c r="AK313" s="5">
        <v>-1.377622255</v>
      </c>
      <c r="AL313" s="5">
        <v>-1.38801212</v>
      </c>
      <c r="AM313" s="5">
        <v>-1.588908562</v>
      </c>
      <c r="AN313" s="5">
        <v>-0.8648835582</v>
      </c>
      <c r="AO313" s="5">
        <v>-0.2358643335</v>
      </c>
      <c r="AP313" s="5">
        <v>-0.1140399162</v>
      </c>
      <c r="AQ313" s="5">
        <v>1.499160716</v>
      </c>
    </row>
    <row r="314">
      <c r="A314" s="342">
        <v>313.0</v>
      </c>
      <c r="B314" s="347"/>
      <c r="C314" s="347"/>
      <c r="D314" s="341">
        <v>-0.9533016307</v>
      </c>
      <c r="E314" s="342">
        <v>-0.05662296292</v>
      </c>
      <c r="F314" s="342">
        <v>-0.6945210388</v>
      </c>
      <c r="G314" s="342">
        <v>-0.2587805919</v>
      </c>
      <c r="H314" s="342">
        <v>0.4965889758</v>
      </c>
      <c r="I314" s="343"/>
      <c r="J314" s="342" t="s">
        <v>2133</v>
      </c>
      <c r="K314" s="342" t="s">
        <v>243</v>
      </c>
      <c r="L314" s="342" t="s">
        <v>1380</v>
      </c>
      <c r="M314" s="342" t="s">
        <v>2134</v>
      </c>
      <c r="N314" s="343"/>
      <c r="O314" s="342" t="s">
        <v>1374</v>
      </c>
      <c r="P314" s="343"/>
      <c r="Q314" s="342">
        <v>5.0</v>
      </c>
      <c r="R314" s="343"/>
      <c r="S314" s="342" t="s">
        <v>1434</v>
      </c>
      <c r="T314" s="342">
        <v>68.0</v>
      </c>
      <c r="U314" s="342">
        <v>13.0</v>
      </c>
      <c r="V314" s="342">
        <v>15.0</v>
      </c>
      <c r="W314" s="341">
        <v>4.071323529</v>
      </c>
      <c r="X314" s="5">
        <v>0.3241176471</v>
      </c>
      <c r="Y314" s="5">
        <v>2.388823529</v>
      </c>
      <c r="Z314" s="5">
        <v>1.912647059</v>
      </c>
      <c r="AA314" s="5">
        <v>0.6679411765</v>
      </c>
      <c r="AB314" s="5">
        <v>0.3897058824</v>
      </c>
      <c r="AC314" s="5">
        <v>0.4562764168</v>
      </c>
      <c r="AD314" s="5">
        <v>3.583676471</v>
      </c>
      <c r="AE314" s="5">
        <v>0.6050373134</v>
      </c>
      <c r="AF314" s="5">
        <v>0.7882352941</v>
      </c>
      <c r="AG314" s="5">
        <v>0.6616176471</v>
      </c>
      <c r="AH314" s="5">
        <v>13.47055021</v>
      </c>
      <c r="AI314" s="5">
        <v>-1.986297988</v>
      </c>
      <c r="AJ314" s="5">
        <v>-1.293455465</v>
      </c>
      <c r="AK314" s="5">
        <v>-1.359615753</v>
      </c>
      <c r="AL314" s="5">
        <v>-0.8328353159</v>
      </c>
      <c r="AM314" s="5">
        <v>-0.8614538946</v>
      </c>
      <c r="AN314" s="5">
        <v>-0.5521826125</v>
      </c>
      <c r="AO314" s="5">
        <v>-0.1803738325</v>
      </c>
      <c r="AP314" s="5">
        <v>-0.5601981827</v>
      </c>
      <c r="AQ314" s="5">
        <v>1.375723696</v>
      </c>
    </row>
    <row r="315">
      <c r="A315" s="342">
        <v>314.0</v>
      </c>
      <c r="B315" s="347"/>
      <c r="C315" s="347"/>
      <c r="D315" s="341">
        <v>-0.9577750364</v>
      </c>
      <c r="E315" s="342">
        <v>-0.00110334097</v>
      </c>
      <c r="F315" s="342">
        <v>-0.7411726029</v>
      </c>
      <c r="G315" s="342">
        <v>-0.2166024335</v>
      </c>
      <c r="H315" s="342">
        <v>-0.03486671421</v>
      </c>
      <c r="I315" s="343"/>
      <c r="J315" s="342" t="s">
        <v>2135</v>
      </c>
      <c r="K315" s="342" t="s">
        <v>102</v>
      </c>
      <c r="L315" s="342" t="s">
        <v>1380</v>
      </c>
      <c r="M315" s="342" t="s">
        <v>2136</v>
      </c>
      <c r="N315" s="342" t="s">
        <v>2137</v>
      </c>
      <c r="O315" s="342" t="s">
        <v>1374</v>
      </c>
      <c r="P315" s="342" t="s">
        <v>1501</v>
      </c>
      <c r="Q315" s="342">
        <v>4.0</v>
      </c>
      <c r="R315" s="343"/>
      <c r="S315" s="342" t="s">
        <v>1960</v>
      </c>
      <c r="T315" s="342">
        <v>44.0</v>
      </c>
      <c r="U315" s="342">
        <v>16.0</v>
      </c>
      <c r="V315" s="342">
        <v>13.0</v>
      </c>
      <c r="W315" s="341">
        <v>6.949545455</v>
      </c>
      <c r="X315" s="5">
        <v>1.203409091</v>
      </c>
      <c r="Y315" s="5">
        <v>1.619090909</v>
      </c>
      <c r="Z315" s="5">
        <v>1.964318182</v>
      </c>
      <c r="AA315" s="5">
        <v>0.4777272727</v>
      </c>
      <c r="AB315" s="5">
        <v>0.1345454545</v>
      </c>
      <c r="AC315" s="5">
        <v>0.3939241957</v>
      </c>
      <c r="AD315" s="5">
        <v>6.344090909</v>
      </c>
      <c r="AE315" s="5">
        <v>0.8421187308</v>
      </c>
      <c r="AF315" s="5">
        <v>0.8881818182</v>
      </c>
      <c r="AG315" s="5">
        <v>0.9663636364</v>
      </c>
      <c r="AH315" s="5">
        <v>26.35117236</v>
      </c>
      <c r="AI315" s="5">
        <v>-1.503079723</v>
      </c>
      <c r="AJ315" s="5">
        <v>-0.4301850733</v>
      </c>
      <c r="AK315" s="5">
        <v>-1.667620008</v>
      </c>
      <c r="AL315" s="5">
        <v>-0.8089707526</v>
      </c>
      <c r="AM315" s="5">
        <v>-1.461919464</v>
      </c>
      <c r="AN315" s="5">
        <v>-1.018704167</v>
      </c>
      <c r="AO315" s="5">
        <v>-0.9171794094</v>
      </c>
      <c r="AP315" s="5">
        <v>0.1454583059</v>
      </c>
      <c r="AQ315" s="5">
        <v>0.9916468652</v>
      </c>
    </row>
    <row r="316">
      <c r="A316" s="342">
        <v>315.0</v>
      </c>
      <c r="B316" s="347"/>
      <c r="C316" s="347"/>
      <c r="D316" s="341">
        <v>-0.9578579158</v>
      </c>
      <c r="E316" s="342">
        <v>0.1382555869</v>
      </c>
      <c r="F316" s="342">
        <v>-0.7055189548</v>
      </c>
      <c r="G316" s="342">
        <v>-0.252338961</v>
      </c>
      <c r="H316" s="342">
        <v>0.4482748222</v>
      </c>
      <c r="I316" s="343"/>
      <c r="J316" s="342" t="s">
        <v>2138</v>
      </c>
      <c r="K316" s="342" t="s">
        <v>144</v>
      </c>
      <c r="L316" s="342" t="s">
        <v>34</v>
      </c>
      <c r="M316" s="342" t="s">
        <v>2139</v>
      </c>
      <c r="N316" s="343"/>
      <c r="O316" s="342" t="s">
        <v>1368</v>
      </c>
      <c r="P316" s="342" t="s">
        <v>1812</v>
      </c>
      <c r="Q316" s="342">
        <v>4.0</v>
      </c>
      <c r="R316" s="343"/>
      <c r="S316" s="342" t="s">
        <v>1434</v>
      </c>
      <c r="T316" s="342">
        <v>73.0</v>
      </c>
      <c r="U316" s="342">
        <v>16.0</v>
      </c>
      <c r="V316" s="342">
        <v>13.0</v>
      </c>
      <c r="W316" s="341">
        <v>3.480273973</v>
      </c>
      <c r="X316" s="5">
        <v>0.03219178082</v>
      </c>
      <c r="Y316" s="5">
        <v>3.556027397</v>
      </c>
      <c r="Z316" s="5">
        <v>1.003561644</v>
      </c>
      <c r="AA316" s="5">
        <v>0.3</v>
      </c>
      <c r="AB316" s="5">
        <v>0.8753424658</v>
      </c>
      <c r="AC316" s="5">
        <v>0.6025102194</v>
      </c>
      <c r="AD316" s="5">
        <v>2.379315068</v>
      </c>
      <c r="AE316" s="5">
        <v>0.6290418274</v>
      </c>
      <c r="AF316" s="5">
        <v>0.9235616438</v>
      </c>
      <c r="AG316" s="5">
        <v>0.7112328767</v>
      </c>
      <c r="AH316" s="5">
        <v>11.61653303</v>
      </c>
      <c r="AI316" s="5">
        <v>-2.085527981</v>
      </c>
      <c r="AJ316" s="5">
        <v>-1.580062322</v>
      </c>
      <c r="AK316" s="5">
        <v>-0.8925655757</v>
      </c>
      <c r="AL316" s="5">
        <v>-1.252700904</v>
      </c>
      <c r="AM316" s="5">
        <v>-2.022967346</v>
      </c>
      <c r="AN316" s="5">
        <v>0.3357291058</v>
      </c>
      <c r="AO316" s="5">
        <v>0.4092541409</v>
      </c>
      <c r="AP316" s="5">
        <v>-0.5740224432</v>
      </c>
      <c r="AQ316" s="5">
        <v>1.313192733</v>
      </c>
    </row>
    <row r="317">
      <c r="A317" s="342">
        <v>316.0</v>
      </c>
      <c r="B317" s="347"/>
      <c r="C317" s="347"/>
      <c r="D317" s="341">
        <v>-0.9580422368</v>
      </c>
      <c r="E317" s="342">
        <v>-0.001517675343</v>
      </c>
      <c r="F317" s="342">
        <v>-0.6781361209</v>
      </c>
      <c r="G317" s="342">
        <v>-0.2799061159</v>
      </c>
      <c r="H317" s="342">
        <v>1.108568255</v>
      </c>
      <c r="I317" s="343"/>
      <c r="J317" s="342" t="s">
        <v>2140</v>
      </c>
      <c r="K317" s="342" t="s">
        <v>102</v>
      </c>
      <c r="L317" s="342" t="s">
        <v>1380</v>
      </c>
      <c r="M317" s="342" t="s">
        <v>2141</v>
      </c>
      <c r="N317" s="343"/>
      <c r="O317" s="342" t="s">
        <v>1368</v>
      </c>
      <c r="P317" s="342" t="s">
        <v>1551</v>
      </c>
      <c r="Q317" s="342">
        <v>4.0</v>
      </c>
      <c r="R317" s="343"/>
      <c r="S317" s="342" t="s">
        <v>1434</v>
      </c>
      <c r="T317" s="342">
        <v>73.0</v>
      </c>
      <c r="U317" s="342">
        <v>16.0</v>
      </c>
      <c r="V317" s="342">
        <v>18.0</v>
      </c>
      <c r="W317" s="341">
        <v>5.870273973</v>
      </c>
      <c r="X317" s="5">
        <v>0.8897260274</v>
      </c>
      <c r="Y317" s="5">
        <v>1.800684932</v>
      </c>
      <c r="Z317" s="5">
        <v>1.102465753</v>
      </c>
      <c r="AA317" s="5">
        <v>0.5006849315</v>
      </c>
      <c r="AB317" s="5">
        <v>0.1868493151</v>
      </c>
      <c r="AC317" s="5">
        <v>0.4538966105</v>
      </c>
      <c r="AD317" s="5">
        <v>4.740684932</v>
      </c>
      <c r="AE317" s="5">
        <v>0.8400475948</v>
      </c>
      <c r="AF317" s="5">
        <v>0.805890411</v>
      </c>
      <c r="AG317" s="5">
        <v>0.5145205479</v>
      </c>
      <c r="AH317" s="5">
        <v>13.86297617</v>
      </c>
      <c r="AI317" s="5">
        <v>-1.684276207</v>
      </c>
      <c r="AJ317" s="5">
        <v>-0.7381527023</v>
      </c>
      <c r="AK317" s="5">
        <v>-1.594956163</v>
      </c>
      <c r="AL317" s="5">
        <v>-1.207021553</v>
      </c>
      <c r="AM317" s="5">
        <v>-1.38944693</v>
      </c>
      <c r="AN317" s="5">
        <v>-0.9230746115</v>
      </c>
      <c r="AO317" s="5">
        <v>-0.2528990454</v>
      </c>
      <c r="AP317" s="5">
        <v>0.125489318</v>
      </c>
      <c r="AQ317" s="5">
        <v>1.561112806</v>
      </c>
    </row>
    <row r="318">
      <c r="A318" s="342">
        <v>317.0</v>
      </c>
      <c r="B318" s="347"/>
      <c r="C318" s="347"/>
      <c r="D318" s="341">
        <v>-0.9583406795</v>
      </c>
      <c r="E318" s="342">
        <v>-0.002966229891</v>
      </c>
      <c r="F318" s="342">
        <v>-0.6852475263</v>
      </c>
      <c r="G318" s="342">
        <v>-0.2730931532</v>
      </c>
      <c r="H318" s="342">
        <v>-3.062553675</v>
      </c>
      <c r="I318" s="343"/>
      <c r="J318" s="342" t="s">
        <v>2142</v>
      </c>
      <c r="K318" s="342" t="s">
        <v>287</v>
      </c>
      <c r="L318" s="342" t="s">
        <v>1366</v>
      </c>
      <c r="M318" s="342" t="s">
        <v>2143</v>
      </c>
      <c r="N318" s="343"/>
      <c r="O318" s="342" t="s">
        <v>1374</v>
      </c>
      <c r="P318" s="343"/>
      <c r="Q318" s="342">
        <v>3.0</v>
      </c>
      <c r="R318" s="343"/>
      <c r="S318" s="342" t="s">
        <v>1960</v>
      </c>
      <c r="T318" s="342">
        <v>44.0</v>
      </c>
      <c r="U318" s="342">
        <v>16.0</v>
      </c>
      <c r="V318" s="342">
        <v>13.0</v>
      </c>
      <c r="W318" s="341">
        <v>4.388636364</v>
      </c>
      <c r="X318" s="5">
        <v>0.03295454545</v>
      </c>
      <c r="Y318" s="5">
        <v>3.943409091</v>
      </c>
      <c r="Z318" s="5">
        <v>0.5611363636</v>
      </c>
      <c r="AA318" s="5">
        <v>0.3379545455</v>
      </c>
      <c r="AB318" s="5">
        <v>0.5075</v>
      </c>
      <c r="AC318" s="5">
        <v>0.5745394831</v>
      </c>
      <c r="AD318" s="5">
        <v>3.183181818</v>
      </c>
      <c r="AE318" s="5">
        <v>0.7580844236</v>
      </c>
      <c r="AF318" s="5">
        <v>0.9206818182</v>
      </c>
      <c r="AG318" s="5">
        <v>0.5634090909</v>
      </c>
      <c r="AH318" s="5">
        <v>13.43214502</v>
      </c>
      <c r="AI318" s="5">
        <v>-1.933025044</v>
      </c>
      <c r="AJ318" s="5">
        <v>-1.579313455</v>
      </c>
      <c r="AK318" s="5">
        <v>-0.7375569316</v>
      </c>
      <c r="AL318" s="5">
        <v>-1.457037205</v>
      </c>
      <c r="AM318" s="5">
        <v>-1.903152773</v>
      </c>
      <c r="AN318" s="5">
        <v>-0.3368142054</v>
      </c>
      <c r="AO318" s="5">
        <v>0.4144622249</v>
      </c>
      <c r="AP318" s="5">
        <v>-0.1342880469</v>
      </c>
      <c r="AQ318" s="5">
        <v>1.499497699</v>
      </c>
    </row>
    <row r="319">
      <c r="A319" s="342">
        <v>318.0</v>
      </c>
      <c r="B319" s="347"/>
      <c r="C319" s="347"/>
      <c r="D319" s="341">
        <v>-0.9595245574</v>
      </c>
      <c r="E319" s="342">
        <v>-0.0013749026</v>
      </c>
      <c r="F319" s="342">
        <v>-0.7463445853</v>
      </c>
      <c r="G319" s="342">
        <v>-0.2131799722</v>
      </c>
      <c r="H319" s="342">
        <v>1.30182487</v>
      </c>
      <c r="I319" s="343"/>
      <c r="J319" s="342" t="s">
        <v>2144</v>
      </c>
      <c r="K319" s="342" t="s">
        <v>67</v>
      </c>
      <c r="L319" s="342" t="s">
        <v>1380</v>
      </c>
      <c r="M319" s="342" t="s">
        <v>2145</v>
      </c>
      <c r="N319" s="343"/>
      <c r="O319" s="342" t="s">
        <v>1368</v>
      </c>
      <c r="P319" s="342" t="s">
        <v>2146</v>
      </c>
      <c r="Q319" s="342">
        <v>4.0</v>
      </c>
      <c r="R319" s="343"/>
      <c r="S319" s="342" t="s">
        <v>1434</v>
      </c>
      <c r="T319" s="342">
        <v>73.0</v>
      </c>
      <c r="U319" s="342">
        <v>15.0</v>
      </c>
      <c r="V319" s="342">
        <v>18.0</v>
      </c>
      <c r="W319" s="341">
        <v>6.515205479</v>
      </c>
      <c r="X319" s="5">
        <v>0.9132876712</v>
      </c>
      <c r="Y319" s="5">
        <v>1.837534247</v>
      </c>
      <c r="Z319" s="5">
        <v>2.646027397</v>
      </c>
      <c r="AA319" s="5">
        <v>0.4353424658</v>
      </c>
      <c r="AB319" s="5">
        <v>0.1110958904</v>
      </c>
      <c r="AC319" s="5">
        <v>0.4001323481</v>
      </c>
      <c r="AD319" s="5">
        <v>6.210273973</v>
      </c>
      <c r="AE319" s="5">
        <v>0.8669673055</v>
      </c>
      <c r="AF319" s="5">
        <v>0.7290410959</v>
      </c>
      <c r="AG319" s="5">
        <v>0.9921917808</v>
      </c>
      <c r="AH319" s="5">
        <v>18.37668109</v>
      </c>
      <c r="AI319" s="5">
        <v>-1.576000094</v>
      </c>
      <c r="AJ319" s="5">
        <v>-0.7150203613</v>
      </c>
      <c r="AK319" s="5">
        <v>-1.580211114</v>
      </c>
      <c r="AL319" s="5">
        <v>-0.494119985</v>
      </c>
      <c r="AM319" s="5">
        <v>-1.595719448</v>
      </c>
      <c r="AN319" s="5">
        <v>-1.061578085</v>
      </c>
      <c r="AO319" s="5">
        <v>-0.8390661855</v>
      </c>
      <c r="AP319" s="5">
        <v>0.1855188119</v>
      </c>
      <c r="AQ319" s="5">
        <v>0.9590951919</v>
      </c>
    </row>
    <row r="320">
      <c r="A320" s="342">
        <v>319.0</v>
      </c>
      <c r="B320" s="347"/>
      <c r="C320" s="347"/>
      <c r="D320" s="341">
        <v>-0.9661227216</v>
      </c>
      <c r="E320" s="342">
        <v>-0.0728563526</v>
      </c>
      <c r="F320" s="342">
        <v>-0.7104660113</v>
      </c>
      <c r="G320" s="342">
        <v>-0.2556567103</v>
      </c>
      <c r="H320" s="342">
        <v>-0.01876199633</v>
      </c>
      <c r="I320" s="343"/>
      <c r="J320" s="342" t="s">
        <v>2147</v>
      </c>
      <c r="K320" s="342" t="s">
        <v>40</v>
      </c>
      <c r="L320" s="342" t="s">
        <v>1404</v>
      </c>
      <c r="M320" s="342" t="s">
        <v>2148</v>
      </c>
      <c r="N320" s="343"/>
      <c r="O320" s="342" t="s">
        <v>1374</v>
      </c>
      <c r="P320" s="342" t="s">
        <v>1812</v>
      </c>
      <c r="Q320" s="342">
        <v>4.0</v>
      </c>
      <c r="R320" s="343"/>
      <c r="S320" s="342" t="s">
        <v>1434</v>
      </c>
      <c r="T320" s="342">
        <v>61.0</v>
      </c>
      <c r="U320" s="342">
        <v>16.0</v>
      </c>
      <c r="V320" s="342">
        <v>17.0</v>
      </c>
      <c r="W320" s="341">
        <v>5.10704918</v>
      </c>
      <c r="X320" s="5">
        <v>0.6795081967</v>
      </c>
      <c r="Y320" s="5">
        <v>2.568360656</v>
      </c>
      <c r="Z320" s="5">
        <v>1.180163934</v>
      </c>
      <c r="AA320" s="5">
        <v>0.4321311475</v>
      </c>
      <c r="AB320" s="5">
        <v>0.2378688525</v>
      </c>
      <c r="AC320" s="5">
        <v>0.4716996237</v>
      </c>
      <c r="AD320" s="5">
        <v>4.095409836</v>
      </c>
      <c r="AE320" s="5">
        <v>0.8099835178</v>
      </c>
      <c r="AF320" s="5">
        <v>0.6962295082</v>
      </c>
      <c r="AG320" s="5">
        <v>0.6940983607</v>
      </c>
      <c r="AH320" s="5">
        <v>13.17863131</v>
      </c>
      <c r="AI320" s="5">
        <v>-1.812412317</v>
      </c>
      <c r="AJ320" s="5">
        <v>-0.9445402776</v>
      </c>
      <c r="AK320" s="5">
        <v>-1.287774964</v>
      </c>
      <c r="AL320" s="5">
        <v>-1.171136264</v>
      </c>
      <c r="AM320" s="5">
        <v>-1.605856908</v>
      </c>
      <c r="AN320" s="5">
        <v>-0.829793243</v>
      </c>
      <c r="AO320" s="5">
        <v>-0.1082237407</v>
      </c>
      <c r="AP320" s="5">
        <v>0.03075594249</v>
      </c>
      <c r="AQ320" s="5">
        <v>1.334787671</v>
      </c>
    </row>
    <row r="321">
      <c r="A321" s="342">
        <v>320.0</v>
      </c>
      <c r="B321" s="347"/>
      <c r="C321" s="347"/>
      <c r="D321" s="341">
        <v>-0.9669165843</v>
      </c>
      <c r="E321" s="342">
        <v>-0.002306897405</v>
      </c>
      <c r="F321" s="342">
        <v>-0.737760486</v>
      </c>
      <c r="G321" s="342">
        <v>-0.2291560983</v>
      </c>
      <c r="H321" s="342">
        <v>-0.59853184</v>
      </c>
      <c r="I321" s="343"/>
      <c r="J321" s="342" t="s">
        <v>2149</v>
      </c>
      <c r="K321" s="342" t="s">
        <v>63</v>
      </c>
      <c r="L321" s="342" t="s">
        <v>1380</v>
      </c>
      <c r="M321" s="342" t="s">
        <v>2150</v>
      </c>
      <c r="N321" s="343"/>
      <c r="O321" s="342" t="s">
        <v>1374</v>
      </c>
      <c r="P321" s="343"/>
      <c r="Q321" s="342">
        <v>2.0</v>
      </c>
      <c r="R321" s="343"/>
      <c r="S321" s="342" t="s">
        <v>1434</v>
      </c>
      <c r="T321" s="342">
        <v>68.0</v>
      </c>
      <c r="U321" s="342">
        <v>13.0</v>
      </c>
      <c r="V321" s="342">
        <v>16.0</v>
      </c>
      <c r="W321" s="341">
        <v>5.543382353</v>
      </c>
      <c r="X321" s="5">
        <v>1.019117647</v>
      </c>
      <c r="Y321" s="5">
        <v>1.156029412</v>
      </c>
      <c r="Z321" s="5">
        <v>2.04</v>
      </c>
      <c r="AA321" s="5">
        <v>0.6075</v>
      </c>
      <c r="AB321" s="5">
        <v>0.03411764706</v>
      </c>
      <c r="AC321" s="5">
        <v>0.4110942249</v>
      </c>
      <c r="AD321" s="5">
        <v>5.031764706</v>
      </c>
      <c r="AE321" s="5">
        <v>0.8548701299</v>
      </c>
      <c r="AF321" s="5">
        <v>0.4529411765</v>
      </c>
      <c r="AG321" s="5">
        <v>0.8839705882</v>
      </c>
      <c r="AH321" s="5">
        <v>16.45200831</v>
      </c>
      <c r="AI321" s="5">
        <v>-1.739157313</v>
      </c>
      <c r="AJ321" s="5">
        <v>-0.6111186512</v>
      </c>
      <c r="AK321" s="5">
        <v>-1.852911507</v>
      </c>
      <c r="AL321" s="5">
        <v>-0.7740167312</v>
      </c>
      <c r="AM321" s="5">
        <v>-1.052254066</v>
      </c>
      <c r="AN321" s="5">
        <v>-1.20232095</v>
      </c>
      <c r="AO321" s="5">
        <v>-0.5972282514</v>
      </c>
      <c r="AP321" s="5">
        <v>0.09367479551</v>
      </c>
      <c r="AQ321" s="5">
        <v>1.0954883</v>
      </c>
    </row>
    <row r="322">
      <c r="A322" s="342">
        <v>321.0</v>
      </c>
      <c r="B322" s="347"/>
      <c r="C322" s="347"/>
      <c r="D322" s="341">
        <v>-0.9681659072</v>
      </c>
      <c r="E322" s="342">
        <v>0.03599137421</v>
      </c>
      <c r="F322" s="342">
        <v>-0.7056464579</v>
      </c>
      <c r="G322" s="342">
        <v>-0.2625194492</v>
      </c>
      <c r="H322" s="342">
        <v>0.2711229255</v>
      </c>
      <c r="I322" s="343"/>
      <c r="J322" s="342" t="s">
        <v>2151</v>
      </c>
      <c r="K322" s="342" t="s">
        <v>236</v>
      </c>
      <c r="L322" s="342" t="s">
        <v>1404</v>
      </c>
      <c r="M322" s="342" t="s">
        <v>2152</v>
      </c>
      <c r="N322" s="343"/>
      <c r="O322" s="342" t="s">
        <v>1368</v>
      </c>
      <c r="P322" s="343"/>
      <c r="Q322" s="342">
        <v>3.0</v>
      </c>
      <c r="R322" s="343"/>
      <c r="S322" s="342" t="s">
        <v>1434</v>
      </c>
      <c r="T322" s="342">
        <v>73.0</v>
      </c>
      <c r="U322" s="342">
        <v>13.0</v>
      </c>
      <c r="V322" s="342">
        <v>16.0</v>
      </c>
      <c r="W322" s="341">
        <v>7.168630137</v>
      </c>
      <c r="X322" s="5">
        <v>1.664383562</v>
      </c>
      <c r="Y322" s="5">
        <v>1.71369863</v>
      </c>
      <c r="Z322" s="5">
        <v>1.325616438</v>
      </c>
      <c r="AA322" s="5">
        <v>0.3082191781</v>
      </c>
      <c r="AB322" s="5">
        <v>0.3232876712</v>
      </c>
      <c r="AC322" s="5">
        <v>0.3986073867</v>
      </c>
      <c r="AD322" s="5">
        <v>6.079041096</v>
      </c>
      <c r="AE322" s="5">
        <v>0.7780657703</v>
      </c>
      <c r="AF322" s="5">
        <v>0.8456164384</v>
      </c>
      <c r="AG322" s="5">
        <v>0.6467123288</v>
      </c>
      <c r="AH322" s="5">
        <v>19.76639488</v>
      </c>
      <c r="AI322" s="5">
        <v>-1.466298084</v>
      </c>
      <c r="AJ322" s="5">
        <v>0.02239025282</v>
      </c>
      <c r="AK322" s="5">
        <v>-1.629763251</v>
      </c>
      <c r="AL322" s="5">
        <v>-1.103958307</v>
      </c>
      <c r="AM322" s="5">
        <v>-1.997021118</v>
      </c>
      <c r="AN322" s="5">
        <v>-0.673618085</v>
      </c>
      <c r="AO322" s="5">
        <v>-0.8357062473</v>
      </c>
      <c r="AP322" s="5">
        <v>-0.06135241775</v>
      </c>
      <c r="AQ322" s="5">
        <v>1.394509136</v>
      </c>
    </row>
    <row r="323">
      <c r="A323" s="342">
        <v>322.0</v>
      </c>
      <c r="B323" s="347"/>
      <c r="C323" s="347"/>
      <c r="D323" s="341">
        <v>-0.9689418514</v>
      </c>
      <c r="E323" s="342">
        <v>0.1168720218</v>
      </c>
      <c r="F323" s="342">
        <v>-0.7670117657</v>
      </c>
      <c r="G323" s="342">
        <v>-0.2019300857</v>
      </c>
      <c r="H323" s="343"/>
      <c r="I323" s="343"/>
      <c r="J323" s="342" t="s">
        <v>2153</v>
      </c>
      <c r="K323" s="342" t="s">
        <v>1421</v>
      </c>
      <c r="L323" s="342" t="s">
        <v>1380</v>
      </c>
      <c r="M323" s="342" t="s">
        <v>2154</v>
      </c>
      <c r="N323" s="343"/>
      <c r="O323" s="342" t="s">
        <v>1368</v>
      </c>
      <c r="P323" s="343"/>
      <c r="Q323" s="342">
        <v>1.0</v>
      </c>
      <c r="R323" s="343"/>
      <c r="S323" s="342" t="s">
        <v>1434</v>
      </c>
      <c r="T323" s="342">
        <v>73.0</v>
      </c>
      <c r="U323" s="342">
        <v>15.0</v>
      </c>
      <c r="V323" s="342">
        <v>15.0</v>
      </c>
      <c r="W323" s="341">
        <v>5.181369863</v>
      </c>
      <c r="X323" s="5">
        <v>0.8401369863</v>
      </c>
      <c r="Y323" s="5">
        <v>1.77</v>
      </c>
      <c r="Z323" s="5">
        <v>2.7</v>
      </c>
      <c r="AA323" s="5">
        <v>0.54</v>
      </c>
      <c r="AB323" s="5">
        <v>0.09</v>
      </c>
      <c r="AC323" s="5">
        <v>0.3879327568</v>
      </c>
      <c r="AD323" s="5">
        <v>4.799589041</v>
      </c>
      <c r="AE323" s="5">
        <v>0.8039600428</v>
      </c>
      <c r="AF323" s="5">
        <v>0.7679452055</v>
      </c>
      <c r="AG323" s="5">
        <v>1.08</v>
      </c>
      <c r="AH323" s="5">
        <v>18.49864899</v>
      </c>
      <c r="AI323" s="5">
        <v>-1.799934783</v>
      </c>
      <c r="AJ323" s="5">
        <v>-0.7868382107</v>
      </c>
      <c r="AK323" s="5">
        <v>-1.607234569</v>
      </c>
      <c r="AL323" s="5">
        <v>-0.4691924719</v>
      </c>
      <c r="AM323" s="5">
        <v>-1.265337469</v>
      </c>
      <c r="AN323" s="5">
        <v>-1.100148672</v>
      </c>
      <c r="AO323" s="5">
        <v>-0.7400981947</v>
      </c>
      <c r="AP323" s="5">
        <v>0.01724955933</v>
      </c>
      <c r="AQ323" s="5">
        <v>0.8484289199</v>
      </c>
    </row>
    <row r="324">
      <c r="A324" s="342">
        <v>323.0</v>
      </c>
      <c r="B324" s="341">
        <v>1.0</v>
      </c>
      <c r="C324" s="341">
        <v>-0.1</v>
      </c>
      <c r="D324" s="341">
        <v>-0.9697227782</v>
      </c>
      <c r="E324" s="342">
        <v>-4.75660897E-4</v>
      </c>
      <c r="F324" s="342">
        <v>-0.7667597383</v>
      </c>
      <c r="G324" s="342">
        <v>-0.20296304</v>
      </c>
      <c r="H324" s="343"/>
      <c r="I324" s="343"/>
      <c r="J324" s="342" t="s">
        <v>2155</v>
      </c>
      <c r="K324" s="342" t="s">
        <v>144</v>
      </c>
      <c r="L324" s="342" t="s">
        <v>1380</v>
      </c>
      <c r="M324" s="342" t="s">
        <v>2156</v>
      </c>
      <c r="N324" s="342" t="s">
        <v>2157</v>
      </c>
      <c r="O324" s="342" t="s">
        <v>1368</v>
      </c>
      <c r="P324" s="343"/>
      <c r="Q324" s="342">
        <v>2.0</v>
      </c>
      <c r="R324" s="343"/>
      <c r="S324" s="342" t="s">
        <v>1434</v>
      </c>
      <c r="T324" s="342">
        <v>37.0</v>
      </c>
      <c r="U324" s="342">
        <v>16.0</v>
      </c>
      <c r="V324" s="342">
        <v>15.0</v>
      </c>
      <c r="W324" s="341">
        <v>5.814054054</v>
      </c>
      <c r="X324" s="5">
        <v>0.7205405405</v>
      </c>
      <c r="Y324" s="5">
        <v>2.714324324</v>
      </c>
      <c r="Z324" s="5">
        <v>1.388648649</v>
      </c>
      <c r="AA324" s="5">
        <v>0.5681081081</v>
      </c>
      <c r="AB324" s="5">
        <v>0.2840540541</v>
      </c>
      <c r="AC324" s="5">
        <v>0.411176906</v>
      </c>
      <c r="AD324" s="5">
        <v>5.111891892</v>
      </c>
      <c r="AE324" s="5">
        <v>0.7249504514</v>
      </c>
      <c r="AF324" s="5">
        <v>1.227297297</v>
      </c>
      <c r="AG324" s="5">
        <v>1.073243243</v>
      </c>
      <c r="AH324" s="5">
        <v>19.36177879</v>
      </c>
      <c r="AI324" s="5">
        <v>-1.693714844</v>
      </c>
      <c r="AJ324" s="5">
        <v>-0.90425556</v>
      </c>
      <c r="AK324" s="5">
        <v>-1.229368409</v>
      </c>
      <c r="AL324" s="5">
        <v>-1.074846569</v>
      </c>
      <c r="AM324" s="5">
        <v>-1.176606042</v>
      </c>
      <c r="AN324" s="5">
        <v>-0.7453507131</v>
      </c>
      <c r="AO324" s="5">
        <v>-0.6059461846</v>
      </c>
      <c r="AP324" s="5">
        <v>-0.3276939036</v>
      </c>
      <c r="AQ324" s="5">
        <v>0.8569445815</v>
      </c>
    </row>
    <row r="325">
      <c r="A325" s="342">
        <v>324.0</v>
      </c>
      <c r="B325" s="347"/>
      <c r="C325" s="347"/>
      <c r="D325" s="341">
        <v>-0.9784389473</v>
      </c>
      <c r="E325" s="342">
        <v>-0.001702784642</v>
      </c>
      <c r="F325" s="342">
        <v>-0.7203631363</v>
      </c>
      <c r="G325" s="342">
        <v>-0.2580758111</v>
      </c>
      <c r="H325" s="343"/>
      <c r="I325" s="343"/>
      <c r="J325" s="342" t="s">
        <v>2158</v>
      </c>
      <c r="K325" s="342" t="s">
        <v>89</v>
      </c>
      <c r="L325" s="342" t="s">
        <v>1380</v>
      </c>
      <c r="M325" s="342" t="s">
        <v>2159</v>
      </c>
      <c r="N325" s="342" t="s">
        <v>2160</v>
      </c>
      <c r="O325" s="342" t="s">
        <v>1368</v>
      </c>
      <c r="P325" s="343"/>
      <c r="Q325" s="342">
        <v>1.0</v>
      </c>
      <c r="R325" s="343"/>
      <c r="S325" s="342" t="s">
        <v>1960</v>
      </c>
      <c r="T325" s="342">
        <v>47.0</v>
      </c>
      <c r="U325" s="342">
        <v>14.0</v>
      </c>
      <c r="V325" s="342">
        <v>16.0</v>
      </c>
      <c r="W325" s="341">
        <v>5.625319149</v>
      </c>
      <c r="X325" s="5">
        <v>1.071914894</v>
      </c>
      <c r="Y325" s="5">
        <v>2.746595745</v>
      </c>
      <c r="Z325" s="5">
        <v>0.7210638298</v>
      </c>
      <c r="AA325" s="5">
        <v>0.514893617</v>
      </c>
      <c r="AB325" s="5">
        <v>0.2059574468</v>
      </c>
      <c r="AC325" s="5">
        <v>0.4100738397</v>
      </c>
      <c r="AD325" s="5">
        <v>4.840851064</v>
      </c>
      <c r="AE325" s="5">
        <v>0.753021978</v>
      </c>
      <c r="AF325" s="5">
        <v>0.7744680851</v>
      </c>
      <c r="AG325" s="5">
        <v>0.6865957447</v>
      </c>
      <c r="AH325" s="5">
        <v>15.52919818</v>
      </c>
      <c r="AI325" s="5">
        <v>-1.725401127</v>
      </c>
      <c r="AJ325" s="5">
        <v>-0.5592833922</v>
      </c>
      <c r="AK325" s="5">
        <v>-1.216455179</v>
      </c>
      <c r="AL325" s="5">
        <v>-1.383173915</v>
      </c>
      <c r="AM325" s="5">
        <v>-1.344593077</v>
      </c>
      <c r="AN325" s="5">
        <v>-0.8881383348</v>
      </c>
      <c r="AO325" s="5">
        <v>-0.5824705312</v>
      </c>
      <c r="AP325" s="5">
        <v>-0.1279960236</v>
      </c>
      <c r="AQ325" s="5">
        <v>1.344243352</v>
      </c>
    </row>
    <row r="326">
      <c r="A326" s="342">
        <v>325.0</v>
      </c>
      <c r="B326" s="347"/>
      <c r="C326" s="347"/>
      <c r="D326" s="341">
        <v>-0.9789677186</v>
      </c>
      <c r="E326" s="342">
        <v>-0.003454218985</v>
      </c>
      <c r="F326" s="342">
        <v>-0.7020410106</v>
      </c>
      <c r="G326" s="342">
        <v>-0.2769267081</v>
      </c>
      <c r="H326" s="342">
        <v>0.6415314367</v>
      </c>
      <c r="I326" s="343"/>
      <c r="J326" s="342" t="s">
        <v>2161</v>
      </c>
      <c r="K326" s="342" t="s">
        <v>63</v>
      </c>
      <c r="L326" s="342" t="s">
        <v>34</v>
      </c>
      <c r="M326" s="343"/>
      <c r="N326" s="343"/>
      <c r="O326" s="342" t="s">
        <v>1378</v>
      </c>
      <c r="P326" s="342" t="s">
        <v>2162</v>
      </c>
      <c r="Q326" s="343"/>
      <c r="R326" s="343"/>
      <c r="S326" s="342" t="s">
        <v>1960</v>
      </c>
      <c r="T326" s="342">
        <v>50.0</v>
      </c>
      <c r="U326" s="342">
        <v>13.0</v>
      </c>
      <c r="V326" s="342">
        <v>13.0</v>
      </c>
      <c r="W326" s="341">
        <v>3.4224</v>
      </c>
      <c r="X326" s="5">
        <v>0.005</v>
      </c>
      <c r="Y326" s="5">
        <v>3.0388</v>
      </c>
      <c r="Z326" s="5">
        <v>0.5248</v>
      </c>
      <c r="AA326" s="5">
        <v>0.3592</v>
      </c>
      <c r="AB326" s="5">
        <v>0.9944</v>
      </c>
      <c r="AC326" s="5">
        <v>0.5613640019</v>
      </c>
      <c r="AD326" s="5">
        <v>2.4868</v>
      </c>
      <c r="AE326" s="5">
        <v>0.6450082508</v>
      </c>
      <c r="AF326" s="5">
        <v>0.9696</v>
      </c>
      <c r="AG326" s="5">
        <v>0.5524</v>
      </c>
      <c r="AH326" s="5">
        <v>11.47634262</v>
      </c>
      <c r="AI326" s="5">
        <v>-2.095244314</v>
      </c>
      <c r="AJ326" s="5">
        <v>-1.606758657</v>
      </c>
      <c r="AK326" s="5">
        <v>-1.099531261</v>
      </c>
      <c r="AL326" s="5">
        <v>-1.473819334</v>
      </c>
      <c r="AM326" s="5">
        <v>-1.83608531</v>
      </c>
      <c r="AN326" s="5">
        <v>0.5534074757</v>
      </c>
      <c r="AO326" s="5">
        <v>0.2716764558</v>
      </c>
      <c r="AP326" s="5">
        <v>-0.5453868051</v>
      </c>
      <c r="AQ326" s="5">
        <v>1.513372654</v>
      </c>
    </row>
    <row r="327">
      <c r="A327" s="342">
        <v>326.0</v>
      </c>
      <c r="B327" s="347"/>
      <c r="C327" s="347"/>
      <c r="D327" s="341">
        <v>-0.9802186867</v>
      </c>
      <c r="E327" s="342">
        <v>-0.07920532597</v>
      </c>
      <c r="F327" s="342">
        <v>-0.8020117826</v>
      </c>
      <c r="G327" s="342">
        <v>-0.1782069041</v>
      </c>
      <c r="H327" s="343"/>
      <c r="I327" s="343"/>
      <c r="J327" s="342" t="s">
        <v>2163</v>
      </c>
      <c r="K327" s="342" t="s">
        <v>148</v>
      </c>
      <c r="L327" s="342" t="s">
        <v>1413</v>
      </c>
      <c r="M327" s="342" t="s">
        <v>2164</v>
      </c>
      <c r="N327" s="343"/>
      <c r="O327" s="342" t="s">
        <v>1368</v>
      </c>
      <c r="P327" s="343"/>
      <c r="Q327" s="342">
        <v>1.0</v>
      </c>
      <c r="R327" s="343"/>
      <c r="S327" s="342" t="s">
        <v>1434</v>
      </c>
      <c r="T327" s="342">
        <v>73.0</v>
      </c>
      <c r="U327" s="342">
        <v>15.0</v>
      </c>
      <c r="V327" s="342">
        <v>23.0</v>
      </c>
      <c r="W327" s="341">
        <v>7.294794521</v>
      </c>
      <c r="X327" s="5">
        <v>0.5221917808</v>
      </c>
      <c r="Y327" s="5">
        <v>2.419726027</v>
      </c>
      <c r="Z327" s="5">
        <v>1.113150685</v>
      </c>
      <c r="AA327" s="5">
        <v>0.4839726027</v>
      </c>
      <c r="AB327" s="5">
        <v>0.2904109589</v>
      </c>
      <c r="AC327" s="5">
        <v>0.4662703597</v>
      </c>
      <c r="AD327" s="5">
        <v>6.290958904</v>
      </c>
      <c r="AE327" s="5">
        <v>0.7200087089</v>
      </c>
      <c r="AF327" s="5">
        <v>1.258356164</v>
      </c>
      <c r="AG327" s="5">
        <v>1.258356164</v>
      </c>
      <c r="AH327" s="5">
        <v>15.02732974</v>
      </c>
      <c r="AI327" s="5">
        <v>-1.445116627</v>
      </c>
      <c r="AJ327" s="5">
        <v>-1.098990324</v>
      </c>
      <c r="AK327" s="5">
        <v>-1.34725029</v>
      </c>
      <c r="AL327" s="5">
        <v>-1.202086664</v>
      </c>
      <c r="AM327" s="5">
        <v>-1.442204261</v>
      </c>
      <c r="AN327" s="5">
        <v>-0.7337280914</v>
      </c>
      <c r="AO327" s="5">
        <v>-0.2135561415</v>
      </c>
      <c r="AP327" s="5">
        <v>-0.3588170949</v>
      </c>
      <c r="AQ327" s="5">
        <v>0.62364345</v>
      </c>
    </row>
    <row r="328">
      <c r="A328" s="342">
        <v>327.0</v>
      </c>
      <c r="B328" s="347"/>
      <c r="C328" s="347"/>
      <c r="D328" s="341">
        <v>-0.9803038508</v>
      </c>
      <c r="E328" s="342">
        <v>-0.07953462074</v>
      </c>
      <c r="F328" s="342">
        <v>-0.7768358414</v>
      </c>
      <c r="G328" s="342">
        <v>-0.2034680094</v>
      </c>
      <c r="H328" s="342">
        <v>-1.065568658</v>
      </c>
      <c r="I328" s="343"/>
      <c r="J328" s="342" t="s">
        <v>2165</v>
      </c>
      <c r="K328" s="342" t="s">
        <v>159</v>
      </c>
      <c r="L328" s="342" t="s">
        <v>1404</v>
      </c>
      <c r="M328" s="342" t="s">
        <v>2166</v>
      </c>
      <c r="N328" s="343"/>
      <c r="O328" s="342" t="s">
        <v>1374</v>
      </c>
      <c r="P328" s="342" t="s">
        <v>1642</v>
      </c>
      <c r="Q328" s="342">
        <v>3.0</v>
      </c>
      <c r="R328" s="343"/>
      <c r="S328" s="342" t="s">
        <v>1434</v>
      </c>
      <c r="T328" s="342">
        <v>61.0</v>
      </c>
      <c r="U328" s="342">
        <v>14.0</v>
      </c>
      <c r="V328" s="342">
        <v>16.0</v>
      </c>
      <c r="W328" s="341">
        <v>2.672622951</v>
      </c>
      <c r="X328" s="5">
        <v>0.6572131148</v>
      </c>
      <c r="Y328" s="5">
        <v>1.666065574</v>
      </c>
      <c r="Z328" s="5">
        <v>3.005409836</v>
      </c>
      <c r="AA328" s="5">
        <v>0.5244262295</v>
      </c>
      <c r="AB328" s="5">
        <v>0.06524590164</v>
      </c>
      <c r="AC328" s="5">
        <v>0.4219871844</v>
      </c>
      <c r="AD328" s="5">
        <v>2.123442623</v>
      </c>
      <c r="AE328" s="5">
        <v>0.8040141677</v>
      </c>
      <c r="AF328" s="5">
        <v>0.277704918</v>
      </c>
      <c r="AG328" s="5">
        <v>1.078032787</v>
      </c>
      <c r="AH328" s="5">
        <v>9.226038822</v>
      </c>
      <c r="AI328" s="5">
        <v>-2.221122712</v>
      </c>
      <c r="AJ328" s="5">
        <v>-0.966429134</v>
      </c>
      <c r="AK328" s="5">
        <v>-1.648823355</v>
      </c>
      <c r="AL328" s="5">
        <v>-0.3281374309</v>
      </c>
      <c r="AM328" s="5">
        <v>-1.31450061</v>
      </c>
      <c r="AN328" s="5">
        <v>-1.145407729</v>
      </c>
      <c r="AO328" s="5">
        <v>-0.2219655077</v>
      </c>
      <c r="AP328" s="5">
        <v>0.003955672675</v>
      </c>
      <c r="AQ328" s="5">
        <v>0.8509082338</v>
      </c>
    </row>
    <row r="329">
      <c r="A329" s="342">
        <v>328.0</v>
      </c>
      <c r="B329" s="347"/>
      <c r="C329" s="347"/>
      <c r="D329" s="341">
        <v>-0.9818912201</v>
      </c>
      <c r="E329" s="342">
        <v>-0.002048519411</v>
      </c>
      <c r="F329" s="342">
        <v>-0.7516513865</v>
      </c>
      <c r="G329" s="342">
        <v>-0.2302398337</v>
      </c>
      <c r="H329" s="343"/>
      <c r="I329" s="343"/>
      <c r="J329" s="342" t="s">
        <v>2167</v>
      </c>
      <c r="K329" s="342" t="s">
        <v>98</v>
      </c>
      <c r="L329" s="342" t="s">
        <v>1380</v>
      </c>
      <c r="M329" s="342" t="s">
        <v>2168</v>
      </c>
      <c r="N329" s="343"/>
      <c r="O329" s="342" t="s">
        <v>1378</v>
      </c>
      <c r="P329" s="343"/>
      <c r="Q329" s="342">
        <v>2.0</v>
      </c>
      <c r="R329" s="343"/>
      <c r="S329" s="342" t="s">
        <v>1960</v>
      </c>
      <c r="T329" s="342">
        <v>53.0</v>
      </c>
      <c r="U329" s="342">
        <v>13.0</v>
      </c>
      <c r="V329" s="342">
        <v>15.0</v>
      </c>
      <c r="W329" s="341">
        <v>5.635471698</v>
      </c>
      <c r="X329" s="5">
        <v>1.038679245</v>
      </c>
      <c r="Y329" s="5">
        <v>3.276792453</v>
      </c>
      <c r="Z329" s="5">
        <v>1.378113208</v>
      </c>
      <c r="AA329" s="5">
        <v>0.3981132075</v>
      </c>
      <c r="AB329" s="5">
        <v>0.09188679245</v>
      </c>
      <c r="AC329" s="5">
        <v>0.4009616468</v>
      </c>
      <c r="AD329" s="5">
        <v>5.022830189</v>
      </c>
      <c r="AE329" s="5">
        <v>0.8089616313</v>
      </c>
      <c r="AF329" s="5">
        <v>0.7032075472</v>
      </c>
      <c r="AG329" s="5">
        <v>0.8881132075</v>
      </c>
      <c r="AH329" s="5">
        <v>18.3614267</v>
      </c>
      <c r="AI329" s="5">
        <v>-1.723696638</v>
      </c>
      <c r="AJ329" s="5">
        <v>-0.5919134734</v>
      </c>
      <c r="AK329" s="5">
        <v>-1.004299896</v>
      </c>
      <c r="AL329" s="5">
        <v>-1.079712415</v>
      </c>
      <c r="AM329" s="5">
        <v>-1.713244441</v>
      </c>
      <c r="AN329" s="5">
        <v>-1.096698963</v>
      </c>
      <c r="AO329" s="5">
        <v>-0.6740158821</v>
      </c>
      <c r="AP329" s="5">
        <v>0.02845194608</v>
      </c>
      <c r="AQ329" s="5">
        <v>1.090267283</v>
      </c>
    </row>
    <row r="330">
      <c r="A330" s="342">
        <v>329.0</v>
      </c>
      <c r="B330" s="347"/>
      <c r="C330" s="347"/>
      <c r="D330" s="341">
        <v>-0.982096855</v>
      </c>
      <c r="E330" s="342">
        <v>-0.04133959575</v>
      </c>
      <c r="F330" s="342">
        <v>-0.7381585106</v>
      </c>
      <c r="G330" s="342">
        <v>-0.2439383444</v>
      </c>
      <c r="H330" s="342">
        <v>-0.3408563539</v>
      </c>
      <c r="I330" s="343"/>
      <c r="J330" s="342" t="s">
        <v>2169</v>
      </c>
      <c r="K330" s="342" t="s">
        <v>173</v>
      </c>
      <c r="L330" s="342" t="s">
        <v>1404</v>
      </c>
      <c r="M330" s="342" t="s">
        <v>2170</v>
      </c>
      <c r="N330" s="343"/>
      <c r="O330" s="342" t="s">
        <v>1374</v>
      </c>
      <c r="P330" s="343"/>
      <c r="Q330" s="342">
        <v>1.0</v>
      </c>
      <c r="R330" s="343"/>
      <c r="S330" s="342" t="s">
        <v>1960</v>
      </c>
      <c r="T330" s="342">
        <v>44.0</v>
      </c>
      <c r="U330" s="342">
        <v>15.0</v>
      </c>
      <c r="V330" s="342">
        <v>15.0</v>
      </c>
      <c r="W330" s="341">
        <v>5.689545455</v>
      </c>
      <c r="X330" s="5">
        <v>0.9472727273</v>
      </c>
      <c r="Y330" s="5">
        <v>2.281363636</v>
      </c>
      <c r="Z330" s="5">
        <v>0.9413636364</v>
      </c>
      <c r="AA330" s="5">
        <v>0.4888636364</v>
      </c>
      <c r="AB330" s="5">
        <v>0.19</v>
      </c>
      <c r="AC330" s="5">
        <v>0.4103956555</v>
      </c>
      <c r="AD330" s="5">
        <v>4.687272727</v>
      </c>
      <c r="AE330" s="5">
        <v>0.8301011804</v>
      </c>
      <c r="AF330" s="5">
        <v>1.078181818</v>
      </c>
      <c r="AG330" s="5">
        <v>0.7904545455</v>
      </c>
      <c r="AH330" s="5">
        <v>17.23333389</v>
      </c>
      <c r="AI330" s="5">
        <v>-1.714618315</v>
      </c>
      <c r="AJ330" s="5">
        <v>-0.681654527</v>
      </c>
      <c r="AK330" s="5">
        <v>-1.402615236</v>
      </c>
      <c r="AL330" s="5">
        <v>-1.281427361</v>
      </c>
      <c r="AM330" s="5">
        <v>-1.426764289</v>
      </c>
      <c r="AN330" s="5">
        <v>-0.9173140693</v>
      </c>
      <c r="AO330" s="5">
        <v>-0.5619756672</v>
      </c>
      <c r="AP330" s="5">
        <v>0.1295946252</v>
      </c>
      <c r="AQ330" s="5">
        <v>1.213348245</v>
      </c>
    </row>
    <row r="331">
      <c r="A331" s="342">
        <v>330.0</v>
      </c>
      <c r="B331" s="347"/>
      <c r="C331" s="347"/>
      <c r="D331" s="341">
        <v>-0.9847042122</v>
      </c>
      <c r="E331" s="342">
        <v>-0.002121052699</v>
      </c>
      <c r="F331" s="342">
        <v>-0.7476526333</v>
      </c>
      <c r="G331" s="342">
        <v>-0.237051579</v>
      </c>
      <c r="H331" s="342">
        <v>0.3516465149</v>
      </c>
      <c r="I331" s="343"/>
      <c r="J331" s="342" t="s">
        <v>2171</v>
      </c>
      <c r="K331" s="342" t="s">
        <v>110</v>
      </c>
      <c r="L331" s="342" t="s">
        <v>1380</v>
      </c>
      <c r="M331" s="342" t="s">
        <v>2172</v>
      </c>
      <c r="N331" s="343"/>
      <c r="O331" s="342" t="s">
        <v>1368</v>
      </c>
      <c r="P331" s="343"/>
      <c r="Q331" s="342">
        <v>2.0</v>
      </c>
      <c r="R331" s="343"/>
      <c r="S331" s="342" t="s">
        <v>1960</v>
      </c>
      <c r="T331" s="342">
        <v>47.0</v>
      </c>
      <c r="U331" s="342">
        <v>16.0</v>
      </c>
      <c r="V331" s="342">
        <v>12.0</v>
      </c>
      <c r="W331" s="341">
        <v>5.196382979</v>
      </c>
      <c r="X331" s="5">
        <v>0.2544680851</v>
      </c>
      <c r="Y331" s="5">
        <v>2.04</v>
      </c>
      <c r="Z331" s="5">
        <v>2.149574468</v>
      </c>
      <c r="AA331" s="5">
        <v>0.4127659574</v>
      </c>
      <c r="AB331" s="5">
        <v>0.2880851064</v>
      </c>
      <c r="AC331" s="5">
        <v>0.5146144279</v>
      </c>
      <c r="AD331" s="5">
        <v>4.105531915</v>
      </c>
      <c r="AE331" s="5">
        <v>0.7281574394</v>
      </c>
      <c r="AF331" s="5">
        <v>0.9838297872</v>
      </c>
      <c r="AG331" s="5">
        <v>0.8417021277</v>
      </c>
      <c r="AH331" s="5">
        <v>19.3711966</v>
      </c>
      <c r="AI331" s="5">
        <v>-1.797414265</v>
      </c>
      <c r="AJ331" s="5">
        <v>-1.361835983</v>
      </c>
      <c r="AK331" s="5">
        <v>-1.499195561</v>
      </c>
      <c r="AL331" s="5">
        <v>-0.723409222</v>
      </c>
      <c r="AM331" s="5">
        <v>-1.666988769</v>
      </c>
      <c r="AN331" s="5">
        <v>-0.7379805546</v>
      </c>
      <c r="AO331" s="5">
        <v>0.1609733521</v>
      </c>
      <c r="AP331" s="5">
        <v>-0.2517826949</v>
      </c>
      <c r="AQ331" s="5">
        <v>1.148759998</v>
      </c>
    </row>
    <row r="332">
      <c r="A332" s="342">
        <v>331.0</v>
      </c>
      <c r="B332" s="347"/>
      <c r="C332" s="347"/>
      <c r="D332" s="341">
        <v>-0.9899366035</v>
      </c>
      <c r="E332" s="342">
        <v>-0.001636932039</v>
      </c>
      <c r="F332" s="342">
        <v>-0.742353749</v>
      </c>
      <c r="G332" s="342">
        <v>-0.2475828544</v>
      </c>
      <c r="H332" s="342">
        <v>0.609322001</v>
      </c>
      <c r="I332" s="343"/>
      <c r="J332" s="342" t="s">
        <v>2173</v>
      </c>
      <c r="K332" s="342" t="s">
        <v>126</v>
      </c>
      <c r="L332" s="342" t="s">
        <v>1380</v>
      </c>
      <c r="M332" s="342" t="s">
        <v>2174</v>
      </c>
      <c r="N332" s="343"/>
      <c r="O332" s="342" t="s">
        <v>1378</v>
      </c>
      <c r="P332" s="343"/>
      <c r="Q332" s="342">
        <v>5.0</v>
      </c>
      <c r="R332" s="343"/>
      <c r="S332" s="342" t="s">
        <v>1434</v>
      </c>
      <c r="T332" s="342">
        <v>77.0</v>
      </c>
      <c r="U332" s="342">
        <v>15.0</v>
      </c>
      <c r="V332" s="342">
        <v>19.0</v>
      </c>
      <c r="W332" s="341">
        <v>5.122987013</v>
      </c>
      <c r="X332" s="5">
        <v>0.5963636364</v>
      </c>
      <c r="Y332" s="5">
        <v>2.398701299</v>
      </c>
      <c r="Z332" s="5">
        <v>0.9277922078</v>
      </c>
      <c r="AA332" s="5">
        <v>0.5997402597</v>
      </c>
      <c r="AB332" s="5">
        <v>0.3598701299</v>
      </c>
      <c r="AC332" s="5">
        <v>0.4280129934</v>
      </c>
      <c r="AD332" s="5">
        <v>4.717662338</v>
      </c>
      <c r="AE332" s="5">
        <v>0.678030303</v>
      </c>
      <c r="AF332" s="5">
        <v>0.72</v>
      </c>
      <c r="AG332" s="5">
        <v>0.7706493506</v>
      </c>
      <c r="AH332" s="5">
        <v>13.15436331</v>
      </c>
      <c r="AI332" s="5">
        <v>-1.80973655</v>
      </c>
      <c r="AJ332" s="5">
        <v>-1.02616991</v>
      </c>
      <c r="AK332" s="5">
        <v>-1.355663219</v>
      </c>
      <c r="AL332" s="5">
        <v>-1.287695392</v>
      </c>
      <c r="AM332" s="5">
        <v>-1.076749945</v>
      </c>
      <c r="AN332" s="5">
        <v>-0.606732692</v>
      </c>
      <c r="AO332" s="5">
        <v>-0.438456734</v>
      </c>
      <c r="AP332" s="5">
        <v>-0.3182883856</v>
      </c>
      <c r="AQ332" s="5">
        <v>1.238309086</v>
      </c>
    </row>
    <row r="333">
      <c r="A333" s="342">
        <v>332.0</v>
      </c>
      <c r="B333" s="347"/>
      <c r="C333" s="347"/>
      <c r="D333" s="341">
        <v>-0.9929448604</v>
      </c>
      <c r="E333" s="342">
        <v>-0.002535167926</v>
      </c>
      <c r="F333" s="342">
        <v>-0.8021129481</v>
      </c>
      <c r="G333" s="342">
        <v>-0.1908319123</v>
      </c>
      <c r="H333" s="343"/>
      <c r="I333" s="343"/>
      <c r="J333" s="342" t="s">
        <v>2175</v>
      </c>
      <c r="K333" s="342" t="s">
        <v>126</v>
      </c>
      <c r="L333" s="342" t="s">
        <v>1404</v>
      </c>
      <c r="M333" s="342" t="s">
        <v>2176</v>
      </c>
      <c r="N333" s="343"/>
      <c r="O333" s="342" t="s">
        <v>1368</v>
      </c>
      <c r="P333" s="343"/>
      <c r="Q333" s="342">
        <v>1.0</v>
      </c>
      <c r="R333" s="343"/>
      <c r="S333" s="342" t="s">
        <v>1960</v>
      </c>
      <c r="T333" s="342">
        <v>47.0</v>
      </c>
      <c r="U333" s="342">
        <v>15.0</v>
      </c>
      <c r="V333" s="342">
        <v>14.0</v>
      </c>
      <c r="W333" s="341">
        <v>5.025744681</v>
      </c>
      <c r="X333" s="5">
        <v>0.0</v>
      </c>
      <c r="Y333" s="5">
        <v>3.85893617</v>
      </c>
      <c r="Z333" s="5">
        <v>1.03106383</v>
      </c>
      <c r="AA333" s="5">
        <v>0.4712765957</v>
      </c>
      <c r="AB333" s="5">
        <v>0.4419148936</v>
      </c>
      <c r="AC333" s="5">
        <v>0.5543927581</v>
      </c>
      <c r="AD333" s="5">
        <v>4.066170213</v>
      </c>
      <c r="AE333" s="5">
        <v>0.5300915831</v>
      </c>
      <c r="AF333" s="5">
        <v>0.9757446809</v>
      </c>
      <c r="AG333" s="5">
        <v>1.178297872</v>
      </c>
      <c r="AH333" s="5">
        <v>17.44851677</v>
      </c>
      <c r="AI333" s="5">
        <v>-1.826062348</v>
      </c>
      <c r="AJ333" s="5">
        <v>-1.611667555</v>
      </c>
      <c r="AK333" s="5">
        <v>-0.7713583041</v>
      </c>
      <c r="AL333" s="5">
        <v>-1.239998884</v>
      </c>
      <c r="AM333" s="5">
        <v>-1.482282904</v>
      </c>
      <c r="AN333" s="5">
        <v>-0.4567264741</v>
      </c>
      <c r="AO333" s="5">
        <v>0.4066970252</v>
      </c>
      <c r="AP333" s="5">
        <v>-0.9621594389</v>
      </c>
      <c r="AQ333" s="5">
        <v>0.72454235</v>
      </c>
    </row>
    <row r="334">
      <c r="A334" s="342">
        <v>333.0</v>
      </c>
      <c r="B334" s="347"/>
      <c r="C334" s="347"/>
      <c r="D334" s="341">
        <v>-0.99448802</v>
      </c>
      <c r="E334" s="342">
        <v>-0.003586123629</v>
      </c>
      <c r="F334" s="342">
        <v>-0.7457424203</v>
      </c>
      <c r="G334" s="342">
        <v>-0.2487455997</v>
      </c>
      <c r="H334" s="343"/>
      <c r="I334" s="343"/>
      <c r="J334" s="342" t="s">
        <v>2177</v>
      </c>
      <c r="K334" s="342" t="s">
        <v>148</v>
      </c>
      <c r="L334" s="342" t="s">
        <v>34</v>
      </c>
      <c r="M334" s="342" t="s">
        <v>2178</v>
      </c>
      <c r="N334" s="343"/>
      <c r="O334" s="342" t="s">
        <v>1368</v>
      </c>
      <c r="P334" s="343"/>
      <c r="Q334" s="342">
        <v>2.0</v>
      </c>
      <c r="R334" s="343"/>
      <c r="S334" s="342" t="s">
        <v>1960</v>
      </c>
      <c r="T334" s="342">
        <v>47.0</v>
      </c>
      <c r="U334" s="342">
        <v>15.0</v>
      </c>
      <c r="V334" s="342">
        <v>13.0</v>
      </c>
      <c r="W334" s="341">
        <v>5.15</v>
      </c>
      <c r="X334" s="5">
        <v>0.2887234043</v>
      </c>
      <c r="Y334" s="5">
        <v>3.555957447</v>
      </c>
      <c r="Z334" s="5">
        <v>0.8753191489</v>
      </c>
      <c r="AA334" s="5">
        <v>0.3829787234</v>
      </c>
      <c r="AB334" s="5">
        <v>0.465106383</v>
      </c>
      <c r="AC334" s="5">
        <v>0.4654791627</v>
      </c>
      <c r="AD334" s="5">
        <v>4.431489362</v>
      </c>
      <c r="AE334" s="5">
        <v>0.7219206681</v>
      </c>
      <c r="AF334" s="5">
        <v>1.019148936</v>
      </c>
      <c r="AG334" s="5">
        <v>0.7659574468</v>
      </c>
      <c r="AH334" s="5">
        <v>18.52473293</v>
      </c>
      <c r="AI334" s="5">
        <v>-1.8052014</v>
      </c>
      <c r="AJ334" s="5">
        <v>-1.32820481</v>
      </c>
      <c r="AK334" s="5">
        <v>-0.892593566</v>
      </c>
      <c r="AL334" s="5">
        <v>-1.311930334</v>
      </c>
      <c r="AM334" s="5">
        <v>-1.761020846</v>
      </c>
      <c r="AN334" s="5">
        <v>-0.4143244067</v>
      </c>
      <c r="AO334" s="5">
        <v>-0.1585079461</v>
      </c>
      <c r="AP334" s="5">
        <v>-0.2841208513</v>
      </c>
      <c r="AQ334" s="5">
        <v>1.244222377</v>
      </c>
    </row>
    <row r="335">
      <c r="A335" s="342">
        <v>334.0</v>
      </c>
      <c r="B335" s="347"/>
      <c r="C335" s="347"/>
      <c r="D335" s="341">
        <v>-1.001959377</v>
      </c>
      <c r="E335" s="342">
        <v>0.03579439915</v>
      </c>
      <c r="F335" s="342">
        <v>-0.7522495502</v>
      </c>
      <c r="G335" s="342">
        <v>-0.2497098268</v>
      </c>
      <c r="H335" s="342">
        <v>0.01344743943</v>
      </c>
      <c r="I335" s="343"/>
      <c r="J335" s="342" t="s">
        <v>2179</v>
      </c>
      <c r="K335" s="342" t="s">
        <v>110</v>
      </c>
      <c r="L335" s="342" t="s">
        <v>1380</v>
      </c>
      <c r="M335" s="342" t="s">
        <v>2180</v>
      </c>
      <c r="N335" s="343"/>
      <c r="O335" s="342" t="s">
        <v>1374</v>
      </c>
      <c r="P335" s="342" t="s">
        <v>1551</v>
      </c>
      <c r="Q335" s="342">
        <v>5.0</v>
      </c>
      <c r="R335" s="343"/>
      <c r="S335" s="342" t="s">
        <v>1434</v>
      </c>
      <c r="T335" s="342">
        <v>68.0</v>
      </c>
      <c r="U335" s="342">
        <v>16.0</v>
      </c>
      <c r="V335" s="342">
        <v>15.0</v>
      </c>
      <c r="W335" s="341">
        <v>4.999705882</v>
      </c>
      <c r="X335" s="5">
        <v>0.7319117647</v>
      </c>
      <c r="Y335" s="5">
        <v>1.498088235</v>
      </c>
      <c r="Z335" s="5">
        <v>2.55</v>
      </c>
      <c r="AA335" s="5">
        <v>0.4223529412</v>
      </c>
      <c r="AB335" s="5">
        <v>0.09867647059</v>
      </c>
      <c r="AC335" s="5">
        <v>0.4365084633</v>
      </c>
      <c r="AD335" s="5">
        <v>4.430882353</v>
      </c>
      <c r="AE335" s="5">
        <v>0.8198551599</v>
      </c>
      <c r="AF335" s="5">
        <v>0.4873529412</v>
      </c>
      <c r="AG335" s="5">
        <v>0.765</v>
      </c>
      <c r="AH335" s="5">
        <v>15.58394139</v>
      </c>
      <c r="AI335" s="5">
        <v>-1.830433944</v>
      </c>
      <c r="AJ335" s="5">
        <v>-0.8930915242</v>
      </c>
      <c r="AK335" s="5">
        <v>-1.716038559</v>
      </c>
      <c r="AL335" s="5">
        <v>-0.5384707126</v>
      </c>
      <c r="AM335" s="5">
        <v>-1.636724664</v>
      </c>
      <c r="AN335" s="5">
        <v>-1.084285082</v>
      </c>
      <c r="AO335" s="5">
        <v>-0.354795381</v>
      </c>
      <c r="AP335" s="5">
        <v>0.03816485054</v>
      </c>
      <c r="AQ335" s="5">
        <v>1.245429064</v>
      </c>
    </row>
    <row r="336">
      <c r="A336" s="342">
        <v>335.0</v>
      </c>
      <c r="B336" s="347"/>
      <c r="C336" s="347"/>
      <c r="D336" s="341">
        <v>-1.002203783</v>
      </c>
      <c r="E336" s="342">
        <v>-0.1011996271</v>
      </c>
      <c r="F336" s="342">
        <v>-0.7078888886</v>
      </c>
      <c r="G336" s="342">
        <v>-0.2943148946</v>
      </c>
      <c r="H336" s="342">
        <v>-2.047956449</v>
      </c>
      <c r="I336" s="343"/>
      <c r="J336" s="342" t="s">
        <v>2181</v>
      </c>
      <c r="K336" s="342" t="s">
        <v>236</v>
      </c>
      <c r="L336" s="342" t="s">
        <v>1380</v>
      </c>
      <c r="M336" s="342" t="s">
        <v>2182</v>
      </c>
      <c r="N336" s="343"/>
      <c r="O336" s="342" t="s">
        <v>1374</v>
      </c>
      <c r="P336" s="342" t="s">
        <v>1399</v>
      </c>
      <c r="Q336" s="342">
        <v>4.0</v>
      </c>
      <c r="R336" s="343"/>
      <c r="S336" s="342" t="s">
        <v>1434</v>
      </c>
      <c r="T336" s="342">
        <v>57.0</v>
      </c>
      <c r="U336" s="342">
        <v>13.0</v>
      </c>
      <c r="V336" s="342">
        <v>17.0</v>
      </c>
      <c r="W336" s="341">
        <v>4.620526316</v>
      </c>
      <c r="X336" s="5">
        <v>1.023508772</v>
      </c>
      <c r="Y336" s="5">
        <v>1.271052632</v>
      </c>
      <c r="Z336" s="5">
        <v>0.9796491228</v>
      </c>
      <c r="AA336" s="5">
        <v>0.5987719298</v>
      </c>
      <c r="AB336" s="5">
        <v>0.1401754386</v>
      </c>
      <c r="AC336" s="5">
        <v>0.4210526316</v>
      </c>
      <c r="AD336" s="5">
        <v>3.813333333</v>
      </c>
      <c r="AE336" s="5">
        <v>0.8211351755</v>
      </c>
      <c r="AF336" s="5">
        <v>0.4698245614</v>
      </c>
      <c r="AG336" s="5">
        <v>0.4466666667</v>
      </c>
      <c r="AH336" s="5">
        <v>11.70744872</v>
      </c>
      <c r="AI336" s="5">
        <v>-1.894093556</v>
      </c>
      <c r="AJ336" s="5">
        <v>-0.6068075345</v>
      </c>
      <c r="AK336" s="5">
        <v>-1.806885601</v>
      </c>
      <c r="AL336" s="5">
        <v>-1.26374502</v>
      </c>
      <c r="AM336" s="5">
        <v>-1.079806761</v>
      </c>
      <c r="AN336" s="5">
        <v>-1.008410608</v>
      </c>
      <c r="AO336" s="5">
        <v>-0.3967585434</v>
      </c>
      <c r="AP336" s="5">
        <v>0.03887735926</v>
      </c>
      <c r="AQ336" s="5">
        <v>1.646630269</v>
      </c>
    </row>
    <row r="337">
      <c r="A337" s="342">
        <v>336.0</v>
      </c>
      <c r="B337" s="347"/>
      <c r="C337" s="347"/>
      <c r="D337" s="341">
        <v>-1.004092099</v>
      </c>
      <c r="E337" s="342">
        <v>-0.001784501215</v>
      </c>
      <c r="F337" s="342">
        <v>-0.7108398588</v>
      </c>
      <c r="G337" s="342">
        <v>-0.2932522404</v>
      </c>
      <c r="H337" s="342">
        <v>0.5771125652</v>
      </c>
      <c r="I337" s="343"/>
      <c r="J337" s="342" t="s">
        <v>2183</v>
      </c>
      <c r="K337" s="342" t="s">
        <v>74</v>
      </c>
      <c r="L337" s="342" t="s">
        <v>1380</v>
      </c>
      <c r="M337" s="342" t="s">
        <v>2184</v>
      </c>
      <c r="N337" s="343"/>
      <c r="O337" s="342" t="s">
        <v>1368</v>
      </c>
      <c r="P337" s="343"/>
      <c r="Q337" s="342">
        <v>2.0</v>
      </c>
      <c r="R337" s="343"/>
      <c r="S337" s="342" t="s">
        <v>1434</v>
      </c>
      <c r="T337" s="342">
        <v>73.0</v>
      </c>
      <c r="U337" s="342">
        <v>16.0</v>
      </c>
      <c r="V337" s="342">
        <v>17.0</v>
      </c>
      <c r="W337" s="341">
        <v>6.09369863</v>
      </c>
      <c r="X337" s="5">
        <v>1.656986301</v>
      </c>
      <c r="Y337" s="5">
        <v>1.647945205</v>
      </c>
      <c r="Z337" s="5">
        <v>0.7363013699</v>
      </c>
      <c r="AA337" s="5">
        <v>0.3156164384</v>
      </c>
      <c r="AB337" s="5">
        <v>0.1402739726</v>
      </c>
      <c r="AC337" s="5">
        <v>0.4188251946</v>
      </c>
      <c r="AD337" s="5">
        <v>4.839041096</v>
      </c>
      <c r="AE337" s="5">
        <v>0.8801509909</v>
      </c>
      <c r="AF337" s="5">
        <v>0.4354794521</v>
      </c>
      <c r="AG337" s="5">
        <v>0.4557534247</v>
      </c>
      <c r="AH337" s="5">
        <v>14.37499279</v>
      </c>
      <c r="AI337" s="5">
        <v>-1.646765939</v>
      </c>
      <c r="AJ337" s="5">
        <v>0.01512777367</v>
      </c>
      <c r="AK337" s="5">
        <v>-1.656074121</v>
      </c>
      <c r="AL337" s="5">
        <v>-1.376136381</v>
      </c>
      <c r="AM337" s="5">
        <v>-1.973669512</v>
      </c>
      <c r="AN337" s="5">
        <v>-1.008230454</v>
      </c>
      <c r="AO337" s="5">
        <v>-0.5174937451</v>
      </c>
      <c r="AP337" s="5">
        <v>0.130505585</v>
      </c>
      <c r="AQ337" s="5">
        <v>1.635178065</v>
      </c>
    </row>
    <row r="338">
      <c r="A338" s="342">
        <v>337.0</v>
      </c>
      <c r="B338" s="347"/>
      <c r="C338" s="347"/>
      <c r="D338" s="341">
        <v>-1.007133017</v>
      </c>
      <c r="E338" s="342">
        <v>0.07663994509</v>
      </c>
      <c r="F338" s="342">
        <v>-0.7822719962</v>
      </c>
      <c r="G338" s="342">
        <v>-0.2248610212</v>
      </c>
      <c r="H338" s="342">
        <v>0.5610078473</v>
      </c>
      <c r="I338" s="343"/>
      <c r="J338" s="342" t="s">
        <v>2185</v>
      </c>
      <c r="K338" s="342" t="s">
        <v>40</v>
      </c>
      <c r="L338" s="342" t="s">
        <v>34</v>
      </c>
      <c r="M338" s="342" t="s">
        <v>2186</v>
      </c>
      <c r="N338" s="343"/>
      <c r="O338" s="342" t="s">
        <v>1368</v>
      </c>
      <c r="P338" s="342" t="s">
        <v>1812</v>
      </c>
      <c r="Q338" s="342">
        <v>5.0</v>
      </c>
      <c r="R338" s="343"/>
      <c r="S338" s="342" t="s">
        <v>1960</v>
      </c>
      <c r="T338" s="342">
        <v>29.0</v>
      </c>
      <c r="U338" s="342">
        <v>16.0</v>
      </c>
      <c r="V338" s="342">
        <v>14.0</v>
      </c>
      <c r="W338" s="341">
        <v>4.38137931</v>
      </c>
      <c r="X338" s="5">
        <v>0.0</v>
      </c>
      <c r="Y338" s="5">
        <v>5.116551724</v>
      </c>
      <c r="Z338" s="5">
        <v>0.7844827586</v>
      </c>
      <c r="AA338" s="5">
        <v>0.2272413793</v>
      </c>
      <c r="AB338" s="5">
        <v>0.6024137931</v>
      </c>
      <c r="AC338" s="5">
        <v>0.6340229885</v>
      </c>
      <c r="AD338" s="5">
        <v>3.0</v>
      </c>
      <c r="AE338" s="5">
        <v>0.5198757764</v>
      </c>
      <c r="AF338" s="5">
        <v>1.110344828</v>
      </c>
      <c r="AG338" s="5">
        <v>0.9465517241</v>
      </c>
      <c r="AH338" s="5">
        <v>13.92766724</v>
      </c>
      <c r="AI338" s="5">
        <v>-1.934243414</v>
      </c>
      <c r="AJ338" s="5">
        <v>-1.611667555</v>
      </c>
      <c r="AK338" s="5">
        <v>-0.2681303897</v>
      </c>
      <c r="AL338" s="5">
        <v>-1.353883569</v>
      </c>
      <c r="AM338" s="5">
        <v>-2.252651117</v>
      </c>
      <c r="AN338" s="5">
        <v>-0.1632789487</v>
      </c>
      <c r="AO338" s="5">
        <v>0.6629849658</v>
      </c>
      <c r="AP338" s="5">
        <v>-1.136194111</v>
      </c>
      <c r="AQ338" s="5">
        <v>1.016616173</v>
      </c>
    </row>
    <row r="339">
      <c r="A339" s="342">
        <v>338.0</v>
      </c>
      <c r="B339" s="347"/>
      <c r="C339" s="347"/>
      <c r="D339" s="341">
        <v>-1.008145702</v>
      </c>
      <c r="E339" s="342">
        <v>-0.001202116029</v>
      </c>
      <c r="F339" s="342">
        <v>-0.8113343636</v>
      </c>
      <c r="G339" s="342">
        <v>-0.1968113387</v>
      </c>
      <c r="H339" s="342">
        <v>0.1100757467</v>
      </c>
      <c r="I339" s="343"/>
      <c r="J339" s="342" t="s">
        <v>2187</v>
      </c>
      <c r="K339" s="342" t="s">
        <v>291</v>
      </c>
      <c r="L339" s="342" t="s">
        <v>1380</v>
      </c>
      <c r="M339" s="342" t="s">
        <v>2188</v>
      </c>
      <c r="N339" s="343"/>
      <c r="O339" s="342" t="s">
        <v>1368</v>
      </c>
      <c r="P339" s="342" t="s">
        <v>1399</v>
      </c>
      <c r="Q339" s="342">
        <v>3.0</v>
      </c>
      <c r="R339" s="343"/>
      <c r="S339" s="342" t="s">
        <v>1960</v>
      </c>
      <c r="T339" s="342">
        <v>47.0</v>
      </c>
      <c r="U339" s="342">
        <v>15.0</v>
      </c>
      <c r="V339" s="342">
        <v>14.0</v>
      </c>
      <c r="W339" s="341">
        <v>5.938723404</v>
      </c>
      <c r="X339" s="5">
        <v>0.8885106383</v>
      </c>
      <c r="Y339" s="5">
        <v>1.531914894</v>
      </c>
      <c r="Z339" s="5">
        <v>1.659574468</v>
      </c>
      <c r="AA339" s="5">
        <v>0.5904255319</v>
      </c>
      <c r="AB339" s="5">
        <v>0.2353191489</v>
      </c>
      <c r="AC339" s="5">
        <v>0.3810429853</v>
      </c>
      <c r="AD339" s="5">
        <v>5.479361702</v>
      </c>
      <c r="AE339" s="5">
        <v>0.7599852071</v>
      </c>
      <c r="AF339" s="5">
        <v>1.150638298</v>
      </c>
      <c r="AG339" s="5">
        <v>1.147659574</v>
      </c>
      <c r="AH339" s="5">
        <v>21.65141313</v>
      </c>
      <c r="AI339" s="5">
        <v>-1.672784385</v>
      </c>
      <c r="AJ339" s="5">
        <v>-0.7393459465</v>
      </c>
      <c r="AK339" s="5">
        <v>-1.702503009</v>
      </c>
      <c r="AL339" s="5">
        <v>-0.9497181417</v>
      </c>
      <c r="AM339" s="5">
        <v>-1.106154596</v>
      </c>
      <c r="AN339" s="5">
        <v>-0.8344549833</v>
      </c>
      <c r="AO339" s="5">
        <v>-0.901352579</v>
      </c>
      <c r="AP339" s="5">
        <v>-0.1588519779</v>
      </c>
      <c r="AQ339" s="5">
        <v>0.7631563458</v>
      </c>
    </row>
    <row r="340">
      <c r="A340" s="342">
        <v>339.0</v>
      </c>
      <c r="B340" s="347"/>
      <c r="C340" s="347"/>
      <c r="D340" s="341">
        <v>-1.009795563</v>
      </c>
      <c r="E340" s="342">
        <v>0.1089178176</v>
      </c>
      <c r="F340" s="342">
        <v>-0.8111919901</v>
      </c>
      <c r="G340" s="342">
        <v>-0.198603573</v>
      </c>
      <c r="H340" s="343"/>
      <c r="I340" s="343"/>
      <c r="J340" s="342" t="s">
        <v>2189</v>
      </c>
      <c r="K340" s="342" t="s">
        <v>45</v>
      </c>
      <c r="L340" s="342" t="s">
        <v>1404</v>
      </c>
      <c r="M340" s="342" t="s">
        <v>2190</v>
      </c>
      <c r="N340" s="343"/>
      <c r="O340" s="342" t="s">
        <v>1368</v>
      </c>
      <c r="P340" s="343"/>
      <c r="Q340" s="342">
        <v>3.0</v>
      </c>
      <c r="R340" s="343"/>
      <c r="S340" s="342" t="s">
        <v>1960</v>
      </c>
      <c r="T340" s="342">
        <v>47.0</v>
      </c>
      <c r="U340" s="342">
        <v>16.0</v>
      </c>
      <c r="V340" s="342">
        <v>15.0</v>
      </c>
      <c r="W340" s="341">
        <v>5.033404255</v>
      </c>
      <c r="X340" s="5">
        <v>0.3831914894</v>
      </c>
      <c r="Y340" s="5">
        <v>3.755957447</v>
      </c>
      <c r="Z340" s="5">
        <v>1.041489362</v>
      </c>
      <c r="AA340" s="5">
        <v>0.505106383</v>
      </c>
      <c r="AB340" s="5">
        <v>0.06319148936</v>
      </c>
      <c r="AC340" s="5">
        <v>0.4276834808</v>
      </c>
      <c r="AD340" s="5">
        <v>4.45</v>
      </c>
      <c r="AE340" s="5">
        <v>0.7900398406</v>
      </c>
      <c r="AF340" s="5">
        <v>1.068085106</v>
      </c>
      <c r="AG340" s="5">
        <v>1.136170213</v>
      </c>
      <c r="AH340" s="5">
        <v>17.59701653</v>
      </c>
      <c r="AI340" s="5">
        <v>-1.824776399</v>
      </c>
      <c r="AJ340" s="5">
        <v>-1.235457973</v>
      </c>
      <c r="AK340" s="5">
        <v>-0.8125646712</v>
      </c>
      <c r="AL340" s="5">
        <v>-1.2351838</v>
      </c>
      <c r="AM340" s="5">
        <v>-1.375489331</v>
      </c>
      <c r="AN340" s="5">
        <v>-1.149163906</v>
      </c>
      <c r="AO340" s="5">
        <v>-0.4163434336</v>
      </c>
      <c r="AP340" s="5">
        <v>-0.02938499194</v>
      </c>
      <c r="AQ340" s="5">
        <v>0.7776365942</v>
      </c>
    </row>
    <row r="341">
      <c r="A341" s="342">
        <v>340.0</v>
      </c>
      <c r="B341" s="347"/>
      <c r="C341" s="347"/>
      <c r="D341" s="341">
        <v>-1.010278053</v>
      </c>
      <c r="E341" s="342">
        <v>-0.002312959302</v>
      </c>
      <c r="F341" s="342">
        <v>-0.7713135394</v>
      </c>
      <c r="G341" s="342">
        <v>-0.2389645138</v>
      </c>
      <c r="H341" s="342">
        <v>-0.59853184</v>
      </c>
      <c r="I341" s="343"/>
      <c r="J341" s="342" t="s">
        <v>2191</v>
      </c>
      <c r="K341" s="342" t="s">
        <v>57</v>
      </c>
      <c r="L341" s="342" t="s">
        <v>1380</v>
      </c>
      <c r="M341" s="342" t="s">
        <v>2192</v>
      </c>
      <c r="N341" s="342" t="s">
        <v>2193</v>
      </c>
      <c r="O341" s="342" t="s">
        <v>1374</v>
      </c>
      <c r="P341" s="342" t="s">
        <v>1551</v>
      </c>
      <c r="Q341" s="342">
        <v>4.0</v>
      </c>
      <c r="R341" s="343"/>
      <c r="S341" s="342" t="s">
        <v>1960</v>
      </c>
      <c r="T341" s="342">
        <v>24.0</v>
      </c>
      <c r="U341" s="342">
        <v>13.0</v>
      </c>
      <c r="V341" s="342">
        <v>16.0</v>
      </c>
      <c r="W341" s="341">
        <v>4.235833333</v>
      </c>
      <c r="X341" s="5">
        <v>0.5545833333</v>
      </c>
      <c r="Y341" s="5">
        <v>2.05375</v>
      </c>
      <c r="Z341" s="5">
        <v>2.120833333</v>
      </c>
      <c r="AA341" s="5">
        <v>0.4041666667</v>
      </c>
      <c r="AB341" s="5">
        <v>0.1345833333</v>
      </c>
      <c r="AC341" s="5">
        <v>0.4628910987</v>
      </c>
      <c r="AD341" s="5">
        <v>3.435833333</v>
      </c>
      <c r="AE341" s="5">
        <v>0.8092991914</v>
      </c>
      <c r="AF341" s="5">
        <v>0.6183333333</v>
      </c>
      <c r="AG341" s="5">
        <v>0.8483333333</v>
      </c>
      <c r="AH341" s="5">
        <v>12.219314</v>
      </c>
      <c r="AI341" s="5">
        <v>-1.958678804</v>
      </c>
      <c r="AJ341" s="5">
        <v>-1.067188959</v>
      </c>
      <c r="AK341" s="5">
        <v>-1.493693575</v>
      </c>
      <c r="AL341" s="5">
        <v>-0.736683457</v>
      </c>
      <c r="AM341" s="5">
        <v>-1.694134934</v>
      </c>
      <c r="AN341" s="5">
        <v>-1.018634912</v>
      </c>
      <c r="AO341" s="5">
        <v>-0.1385551684</v>
      </c>
      <c r="AP341" s="5">
        <v>0.02534538328</v>
      </c>
      <c r="AQ341" s="5">
        <v>1.140402571</v>
      </c>
    </row>
    <row r="342">
      <c r="A342" s="342">
        <v>341.0</v>
      </c>
      <c r="B342" s="347"/>
      <c r="C342" s="347"/>
      <c r="D342" s="341">
        <v>-1.018378377</v>
      </c>
      <c r="E342" s="342">
        <v>-0.008245019209</v>
      </c>
      <c r="F342" s="342">
        <v>-0.7868299597</v>
      </c>
      <c r="G342" s="342">
        <v>-0.2315484169</v>
      </c>
      <c r="H342" s="342">
        <v>0.206704054</v>
      </c>
      <c r="I342" s="343"/>
      <c r="J342" s="342" t="s">
        <v>2194</v>
      </c>
      <c r="K342" s="342" t="s">
        <v>222</v>
      </c>
      <c r="L342" s="342" t="s">
        <v>1380</v>
      </c>
      <c r="M342" s="342" t="s">
        <v>2195</v>
      </c>
      <c r="N342" s="343"/>
      <c r="O342" s="342" t="s">
        <v>1368</v>
      </c>
      <c r="P342" s="343"/>
      <c r="Q342" s="342">
        <v>4.0</v>
      </c>
      <c r="R342" s="343"/>
      <c r="S342" s="342" t="s">
        <v>1434</v>
      </c>
      <c r="T342" s="342">
        <v>57.0</v>
      </c>
      <c r="U342" s="342">
        <v>15.0</v>
      </c>
      <c r="V342" s="342">
        <v>13.0</v>
      </c>
      <c r="W342" s="341">
        <v>5.444736842</v>
      </c>
      <c r="X342" s="5">
        <v>0.8131578947</v>
      </c>
      <c r="Y342" s="5">
        <v>1.126140351</v>
      </c>
      <c r="Z342" s="5">
        <v>2.144912281</v>
      </c>
      <c r="AA342" s="5">
        <v>0.3821052632</v>
      </c>
      <c r="AB342" s="5">
        <v>0.1380701754</v>
      </c>
      <c r="AC342" s="5">
        <v>0.430618231</v>
      </c>
      <c r="AD342" s="5">
        <v>4.665263158</v>
      </c>
      <c r="AE342" s="5">
        <v>0.8769115066</v>
      </c>
      <c r="AF342" s="5">
        <v>0.6998245614</v>
      </c>
      <c r="AG342" s="5">
        <v>0.9077192982</v>
      </c>
      <c r="AH342" s="5">
        <v>19.77759313</v>
      </c>
      <c r="AI342" s="5">
        <v>-1.755718688</v>
      </c>
      <c r="AJ342" s="5">
        <v>-0.8133257321</v>
      </c>
      <c r="AK342" s="5">
        <v>-1.86487145</v>
      </c>
      <c r="AL342" s="5">
        <v>-0.7255624762</v>
      </c>
      <c r="AM342" s="5">
        <v>-1.763778178</v>
      </c>
      <c r="AN342" s="5">
        <v>-1.012259758</v>
      </c>
      <c r="AO342" s="5">
        <v>-0.4151015914</v>
      </c>
      <c r="AP342" s="5">
        <v>0.2035908601</v>
      </c>
      <c r="AQ342" s="5">
        <v>1.065557375</v>
      </c>
    </row>
    <row r="343">
      <c r="A343" s="342">
        <v>342.0</v>
      </c>
      <c r="B343" s="347"/>
      <c r="C343" s="347"/>
      <c r="D343" s="341">
        <v>-1.018853324</v>
      </c>
      <c r="E343" s="342">
        <v>-0.01535531869</v>
      </c>
      <c r="F343" s="342">
        <v>-0.7241911424</v>
      </c>
      <c r="G343" s="342">
        <v>-0.2946621814</v>
      </c>
      <c r="H343" s="342">
        <v>0.3194370791</v>
      </c>
      <c r="I343" s="343"/>
      <c r="J343" s="342" t="s">
        <v>2196</v>
      </c>
      <c r="K343" s="342" t="s">
        <v>243</v>
      </c>
      <c r="L343" s="342" t="s">
        <v>1404</v>
      </c>
      <c r="M343" s="342" t="s">
        <v>2197</v>
      </c>
      <c r="N343" s="342" t="s">
        <v>2198</v>
      </c>
      <c r="O343" s="342" t="s">
        <v>1368</v>
      </c>
      <c r="P343" s="343"/>
      <c r="Q343" s="342">
        <v>2.0</v>
      </c>
      <c r="R343" s="343"/>
      <c r="S343" s="342" t="s">
        <v>1434</v>
      </c>
      <c r="T343" s="342">
        <v>73.0</v>
      </c>
      <c r="U343" s="342">
        <v>13.0</v>
      </c>
      <c r="V343" s="342">
        <v>16.0</v>
      </c>
      <c r="W343" s="341">
        <v>5.883287671</v>
      </c>
      <c r="X343" s="5">
        <v>0.5824657534</v>
      </c>
      <c r="Y343" s="5">
        <v>2.613287671</v>
      </c>
      <c r="Z343" s="5">
        <v>0.5553424658</v>
      </c>
      <c r="AA343" s="5">
        <v>0.3779452055</v>
      </c>
      <c r="AB343" s="5">
        <v>0.3920547945</v>
      </c>
      <c r="AC343" s="5">
        <v>0.4456653751</v>
      </c>
      <c r="AD343" s="5">
        <v>4.737260274</v>
      </c>
      <c r="AE343" s="5">
        <v>0.7850019944</v>
      </c>
      <c r="AF343" s="5">
        <v>1.37369863</v>
      </c>
      <c r="AG343" s="5">
        <v>0.4573972603</v>
      </c>
      <c r="AH343" s="5">
        <v>15.94788425</v>
      </c>
      <c r="AI343" s="5">
        <v>-1.682091366</v>
      </c>
      <c r="AJ343" s="5">
        <v>-1.039814568</v>
      </c>
      <c r="AK343" s="5">
        <v>-1.269797668</v>
      </c>
      <c r="AL343" s="5">
        <v>-1.459713145</v>
      </c>
      <c r="AM343" s="5">
        <v>-1.776910611</v>
      </c>
      <c r="AN343" s="5">
        <v>-0.5478879883</v>
      </c>
      <c r="AO343" s="5">
        <v>-0.3123551804</v>
      </c>
      <c r="AP343" s="5">
        <v>-0.0622560643</v>
      </c>
      <c r="AQ343" s="5">
        <v>1.633106309</v>
      </c>
    </row>
    <row r="344">
      <c r="A344" s="342">
        <v>343.0</v>
      </c>
      <c r="B344" s="341">
        <v>7.0</v>
      </c>
      <c r="C344" s="341">
        <v>-2.1</v>
      </c>
      <c r="D344" s="341">
        <v>-1.01935199</v>
      </c>
      <c r="E344" s="342">
        <v>-0.002869018837</v>
      </c>
      <c r="F344" s="342">
        <v>-0.7414530272</v>
      </c>
      <c r="G344" s="342">
        <v>-0.2778989627</v>
      </c>
      <c r="H344" s="343"/>
      <c r="I344" s="343"/>
      <c r="J344" s="342" t="s">
        <v>2199</v>
      </c>
      <c r="K344" s="342" t="s">
        <v>1471</v>
      </c>
      <c r="L344" s="342" t="s">
        <v>34</v>
      </c>
      <c r="M344" s="342" t="s">
        <v>2200</v>
      </c>
      <c r="N344" s="343"/>
      <c r="O344" s="342" t="s">
        <v>1374</v>
      </c>
      <c r="P344" s="343"/>
      <c r="Q344" s="342">
        <v>1.0</v>
      </c>
      <c r="R344" s="343"/>
      <c r="S344" s="342" t="s">
        <v>1434</v>
      </c>
      <c r="T344" s="342">
        <v>68.0</v>
      </c>
      <c r="U344" s="342">
        <v>16.0</v>
      </c>
      <c r="V344" s="342">
        <v>14.0</v>
      </c>
      <c r="W344" s="341">
        <v>4.750588235</v>
      </c>
      <c r="X344" s="5">
        <v>0.0</v>
      </c>
      <c r="Y344" s="5">
        <v>3.465</v>
      </c>
      <c r="Z344" s="5">
        <v>0.2888235294</v>
      </c>
      <c r="AA344" s="5">
        <v>0.3464705882</v>
      </c>
      <c r="AB344" s="5">
        <v>0.6929411765</v>
      </c>
      <c r="AC344" s="5">
        <v>0.57000815</v>
      </c>
      <c r="AD344" s="5">
        <v>3.608823529</v>
      </c>
      <c r="AE344" s="5">
        <v>0.6080359652</v>
      </c>
      <c r="AF344" s="5">
        <v>1.046764706</v>
      </c>
      <c r="AG344" s="5">
        <v>0.5775</v>
      </c>
      <c r="AH344" s="5">
        <v>14.59821468</v>
      </c>
      <c r="AI344" s="5">
        <v>-1.872257751</v>
      </c>
      <c r="AJ344" s="5">
        <v>-1.611667555</v>
      </c>
      <c r="AK344" s="5">
        <v>-0.9289896857</v>
      </c>
      <c r="AL344" s="5">
        <v>-1.582806232</v>
      </c>
      <c r="AM344" s="5">
        <v>-1.876269405</v>
      </c>
      <c r="AN344" s="5">
        <v>0.002236433074</v>
      </c>
      <c r="AO344" s="5">
        <v>0.4461013433</v>
      </c>
      <c r="AP344" s="5">
        <v>-0.7311630676</v>
      </c>
      <c r="AQ344" s="5">
        <v>1.481738674</v>
      </c>
    </row>
    <row r="345">
      <c r="A345" s="342">
        <v>344.0</v>
      </c>
      <c r="B345" s="347"/>
      <c r="C345" s="347"/>
      <c r="D345" s="341">
        <v>-1.019746286</v>
      </c>
      <c r="E345" s="342">
        <v>0.09515738753</v>
      </c>
      <c r="F345" s="342">
        <v>-0.7684917513</v>
      </c>
      <c r="G345" s="342">
        <v>-0.2512545343</v>
      </c>
      <c r="H345" s="342">
        <v>0.9797305122</v>
      </c>
      <c r="I345" s="343"/>
      <c r="J345" s="342" t="s">
        <v>2201</v>
      </c>
      <c r="K345" s="342" t="s">
        <v>259</v>
      </c>
      <c r="L345" s="342" t="s">
        <v>1404</v>
      </c>
      <c r="M345" s="342" t="s">
        <v>2202</v>
      </c>
      <c r="N345" s="343"/>
      <c r="O345" s="342" t="s">
        <v>1368</v>
      </c>
      <c r="P345" s="343"/>
      <c r="Q345" s="342">
        <v>4.0</v>
      </c>
      <c r="R345" s="343"/>
      <c r="S345" s="342" t="s">
        <v>1434</v>
      </c>
      <c r="T345" s="342">
        <v>73.0</v>
      </c>
      <c r="U345" s="342">
        <v>13.0</v>
      </c>
      <c r="V345" s="342">
        <v>17.0</v>
      </c>
      <c r="W345" s="341">
        <v>5.226027397</v>
      </c>
      <c r="X345" s="5">
        <v>0.7408219178</v>
      </c>
      <c r="Y345" s="5">
        <v>2.910136986</v>
      </c>
      <c r="Z345" s="5">
        <v>1.122054795</v>
      </c>
      <c r="AA345" s="5">
        <v>0.4908219178</v>
      </c>
      <c r="AB345" s="5">
        <v>0.2946575342</v>
      </c>
      <c r="AC345" s="5">
        <v>0.4056751747</v>
      </c>
      <c r="AD345" s="5">
        <v>4.803424658</v>
      </c>
      <c r="AE345" s="5">
        <v>0.6799746515</v>
      </c>
      <c r="AF345" s="5">
        <v>0.8646575342</v>
      </c>
      <c r="AG345" s="5">
        <v>0.7680821918</v>
      </c>
      <c r="AH345" s="5">
        <v>15.07609478</v>
      </c>
      <c r="AI345" s="5">
        <v>-1.792437329</v>
      </c>
      <c r="AJ345" s="5">
        <v>-0.8843437177</v>
      </c>
      <c r="AK345" s="5">
        <v>-1.151015054</v>
      </c>
      <c r="AL345" s="5">
        <v>-1.197974257</v>
      </c>
      <c r="AM345" s="5">
        <v>-1.420582404</v>
      </c>
      <c r="AN345" s="5">
        <v>-0.7259638822</v>
      </c>
      <c r="AO345" s="5">
        <v>-0.6103499293</v>
      </c>
      <c r="AP345" s="5">
        <v>-0.3753037103</v>
      </c>
      <c r="AQ345" s="5">
        <v>1.241544523</v>
      </c>
    </row>
    <row r="346">
      <c r="A346" s="342">
        <v>345.0</v>
      </c>
      <c r="B346" s="347"/>
      <c r="C346" s="347"/>
      <c r="D346" s="341">
        <v>-1.021943766</v>
      </c>
      <c r="E346" s="342">
        <v>-0.001171706514</v>
      </c>
      <c r="F346" s="342">
        <v>-0.7203420978</v>
      </c>
      <c r="G346" s="342">
        <v>-0.3016016677</v>
      </c>
      <c r="H346" s="342">
        <v>0.2711229255</v>
      </c>
      <c r="I346" s="343"/>
      <c r="J346" s="342" t="s">
        <v>2203</v>
      </c>
      <c r="K346" s="342" t="s">
        <v>144</v>
      </c>
      <c r="L346" s="342" t="s">
        <v>1380</v>
      </c>
      <c r="M346" s="342" t="s">
        <v>2204</v>
      </c>
      <c r="N346" s="343"/>
      <c r="O346" s="342" t="s">
        <v>1374</v>
      </c>
      <c r="P346" s="342" t="s">
        <v>2205</v>
      </c>
      <c r="Q346" s="342">
        <v>4.0</v>
      </c>
      <c r="R346" s="343"/>
      <c r="S346" s="342" t="s">
        <v>1434</v>
      </c>
      <c r="T346" s="342">
        <v>68.0</v>
      </c>
      <c r="U346" s="342">
        <v>16.0</v>
      </c>
      <c r="V346" s="342">
        <v>13.0</v>
      </c>
      <c r="W346" s="341">
        <v>3.283529412</v>
      </c>
      <c r="X346" s="5">
        <v>0.6032352941</v>
      </c>
      <c r="Y346" s="5">
        <v>1.367647059</v>
      </c>
      <c r="Z346" s="5">
        <v>2.514852941</v>
      </c>
      <c r="AA346" s="5">
        <v>0.5470588235</v>
      </c>
      <c r="AB346" s="5">
        <v>0.1094117647</v>
      </c>
      <c r="AC346" s="5">
        <v>0.4142220857</v>
      </c>
      <c r="AD346" s="5">
        <v>2.8725</v>
      </c>
      <c r="AE346" s="5">
        <v>0.7478960849</v>
      </c>
      <c r="AF346" s="5">
        <v>0.4019117647</v>
      </c>
      <c r="AG346" s="5">
        <v>0.4102941176</v>
      </c>
      <c r="AH346" s="5">
        <v>11.49269195</v>
      </c>
      <c r="AI346" s="5">
        <v>-2.118558987</v>
      </c>
      <c r="AJ346" s="5">
        <v>-1.019423457</v>
      </c>
      <c r="AK346" s="5">
        <v>-1.768233875</v>
      </c>
      <c r="AL346" s="5">
        <v>-0.5547035553</v>
      </c>
      <c r="AM346" s="5">
        <v>-1.243054237</v>
      </c>
      <c r="AN346" s="5">
        <v>-1.064657249</v>
      </c>
      <c r="AO346" s="5">
        <v>-0.3311392276</v>
      </c>
      <c r="AP346" s="5">
        <v>-0.0757795357</v>
      </c>
      <c r="AQ346" s="5">
        <v>1.692471244</v>
      </c>
    </row>
    <row r="347">
      <c r="A347" s="342">
        <v>346.0</v>
      </c>
      <c r="B347" s="347"/>
      <c r="C347" s="347"/>
      <c r="D347" s="341">
        <v>-1.024218811</v>
      </c>
      <c r="E347" s="342">
        <v>-0.002038955439</v>
      </c>
      <c r="F347" s="342">
        <v>-0.7465959634</v>
      </c>
      <c r="G347" s="342">
        <v>-0.2776228479</v>
      </c>
      <c r="H347" s="342">
        <v>-0.01876199633</v>
      </c>
      <c r="I347" s="343"/>
      <c r="J347" s="342" t="s">
        <v>2206</v>
      </c>
      <c r="K347" s="342" t="s">
        <v>118</v>
      </c>
      <c r="L347" s="342" t="s">
        <v>1380</v>
      </c>
      <c r="M347" s="342" t="s">
        <v>2207</v>
      </c>
      <c r="N347" s="343"/>
      <c r="O347" s="342" t="s">
        <v>1374</v>
      </c>
      <c r="P347" s="342" t="s">
        <v>2208</v>
      </c>
      <c r="Q347" s="342">
        <v>3.0</v>
      </c>
      <c r="R347" s="343"/>
      <c r="S347" s="342" t="s">
        <v>1960</v>
      </c>
      <c r="T347" s="342">
        <v>39.0</v>
      </c>
      <c r="U347" s="342">
        <v>16.0</v>
      </c>
      <c r="V347" s="342">
        <v>14.0</v>
      </c>
      <c r="W347" s="341">
        <v>5.054615385</v>
      </c>
      <c r="X347" s="5">
        <v>0.8351282051</v>
      </c>
      <c r="Y347" s="5">
        <v>2.1</v>
      </c>
      <c r="Z347" s="5">
        <v>0.7887179487</v>
      </c>
      <c r="AA347" s="5">
        <v>0.4082051282</v>
      </c>
      <c r="AB347" s="5">
        <v>0.1166666667</v>
      </c>
      <c r="AC347" s="5">
        <v>0.4388161639</v>
      </c>
      <c r="AD347" s="5">
        <v>4.054615385</v>
      </c>
      <c r="AE347" s="5">
        <v>0.9058327477</v>
      </c>
      <c r="AF347" s="5">
        <v>0.7297435897</v>
      </c>
      <c r="AG347" s="5">
        <v>0.5833333333</v>
      </c>
      <c r="AH347" s="5">
        <v>15.46724726</v>
      </c>
      <c r="AI347" s="5">
        <v>-1.82121531</v>
      </c>
      <c r="AJ347" s="5">
        <v>-0.7917557298</v>
      </c>
      <c r="AK347" s="5">
        <v>-1.475186893</v>
      </c>
      <c r="AL347" s="5">
        <v>-1.351927526</v>
      </c>
      <c r="AM347" s="5">
        <v>-1.681386355</v>
      </c>
      <c r="AN347" s="5">
        <v>-1.051392778</v>
      </c>
      <c r="AO347" s="5">
        <v>-0.311136425</v>
      </c>
      <c r="AP347" s="5">
        <v>0.2902505257</v>
      </c>
      <c r="AQ347" s="5">
        <v>1.47438682</v>
      </c>
    </row>
    <row r="348">
      <c r="A348" s="342">
        <v>347.0</v>
      </c>
      <c r="B348" s="347"/>
      <c r="C348" s="347"/>
      <c r="D348" s="341">
        <v>-1.024966917</v>
      </c>
      <c r="E348" s="342">
        <v>-5.017373436E-4</v>
      </c>
      <c r="F348" s="342">
        <v>-0.7362074915</v>
      </c>
      <c r="G348" s="342">
        <v>-0.2887594257</v>
      </c>
      <c r="H348" s="342">
        <v>0.3194370791</v>
      </c>
      <c r="I348" s="343"/>
      <c r="J348" s="342" t="s">
        <v>2209</v>
      </c>
      <c r="K348" s="342" t="s">
        <v>259</v>
      </c>
      <c r="L348" s="342" t="s">
        <v>34</v>
      </c>
      <c r="M348" s="342" t="s">
        <v>2210</v>
      </c>
      <c r="N348" s="343"/>
      <c r="O348" s="342" t="s">
        <v>1368</v>
      </c>
      <c r="P348" s="343"/>
      <c r="Q348" s="342">
        <v>4.0</v>
      </c>
      <c r="R348" s="343"/>
      <c r="S348" s="342" t="s">
        <v>1960</v>
      </c>
      <c r="T348" s="342">
        <v>25.0</v>
      </c>
      <c r="U348" s="342">
        <v>13.0</v>
      </c>
      <c r="V348" s="342">
        <v>12.0</v>
      </c>
      <c r="W348" s="341">
        <v>5.488</v>
      </c>
      <c r="X348" s="5">
        <v>0.7328</v>
      </c>
      <c r="Y348" s="5">
        <v>2.5244</v>
      </c>
      <c r="Z348" s="5">
        <v>0.576</v>
      </c>
      <c r="AA348" s="5">
        <v>0.3092</v>
      </c>
      <c r="AB348" s="5">
        <v>0.4048</v>
      </c>
      <c r="AC348" s="5">
        <v>0.4609978918</v>
      </c>
      <c r="AD348" s="5">
        <v>4.5536</v>
      </c>
      <c r="AE348" s="5">
        <v>0.7639956092</v>
      </c>
      <c r="AF348" s="5">
        <v>0.7288</v>
      </c>
      <c r="AG348" s="5">
        <v>0.5044</v>
      </c>
      <c r="AH348" s="5">
        <v>19.30064716</v>
      </c>
      <c r="AI348" s="5">
        <v>-1.748455333</v>
      </c>
      <c r="AJ348" s="5">
        <v>-0.8922194729</v>
      </c>
      <c r="AK348" s="5">
        <v>-1.305365578</v>
      </c>
      <c r="AL348" s="5">
        <v>-1.450172361</v>
      </c>
      <c r="AM348" s="5">
        <v>-1.993924868</v>
      </c>
      <c r="AN348" s="5">
        <v>-0.5245853424</v>
      </c>
      <c r="AO348" s="5">
        <v>-0.1938292757</v>
      </c>
      <c r="AP348" s="5">
        <v>-0.09118310725</v>
      </c>
      <c r="AQ348" s="5">
        <v>1.573867914</v>
      </c>
    </row>
    <row r="349">
      <c r="A349" s="342">
        <v>348.0</v>
      </c>
      <c r="B349" s="347"/>
      <c r="C349" s="347"/>
      <c r="D349" s="341">
        <v>-1.026585714</v>
      </c>
      <c r="E349" s="342">
        <v>-0.001270286479</v>
      </c>
      <c r="F349" s="342">
        <v>-0.8072781235</v>
      </c>
      <c r="G349" s="342">
        <v>-0.2193075902</v>
      </c>
      <c r="H349" s="342">
        <v>1.044149384</v>
      </c>
      <c r="I349" s="343"/>
      <c r="J349" s="342" t="s">
        <v>2211</v>
      </c>
      <c r="K349" s="342" t="s">
        <v>1365</v>
      </c>
      <c r="L349" s="342" t="s">
        <v>1380</v>
      </c>
      <c r="M349" s="342" t="s">
        <v>2212</v>
      </c>
      <c r="N349" s="343"/>
      <c r="O349" s="342" t="s">
        <v>1368</v>
      </c>
      <c r="P349" s="343"/>
      <c r="Q349" s="342">
        <v>4.0</v>
      </c>
      <c r="R349" s="343"/>
      <c r="S349" s="342" t="s">
        <v>1434</v>
      </c>
      <c r="T349" s="342">
        <v>73.0</v>
      </c>
      <c r="U349" s="342">
        <v>15.0</v>
      </c>
      <c r="V349" s="342">
        <v>18.0</v>
      </c>
      <c r="W349" s="341">
        <v>8.211506849</v>
      </c>
      <c r="X349" s="5">
        <v>1.254794521</v>
      </c>
      <c r="Y349" s="5">
        <v>1.424931507</v>
      </c>
      <c r="Z349" s="5">
        <v>1.312465753</v>
      </c>
      <c r="AA349" s="5">
        <v>0.2843835616</v>
      </c>
      <c r="AB349" s="5">
        <v>0.07739726027</v>
      </c>
      <c r="AC349" s="5">
        <v>0.4364338166</v>
      </c>
      <c r="AD349" s="5">
        <v>7.275342466</v>
      </c>
      <c r="AE349" s="5">
        <v>0.8300825206</v>
      </c>
      <c r="AF349" s="5">
        <v>0.7304109589</v>
      </c>
      <c r="AG349" s="5">
        <v>1.001643836</v>
      </c>
      <c r="AH349" s="5">
        <v>20.72453939</v>
      </c>
      <c r="AI349" s="5">
        <v>-1.291211837</v>
      </c>
      <c r="AJ349" s="5">
        <v>-0.3797359074</v>
      </c>
      <c r="AK349" s="5">
        <v>-1.74531182</v>
      </c>
      <c r="AL349" s="5">
        <v>-1.110032016</v>
      </c>
      <c r="AM349" s="5">
        <v>-2.072265181</v>
      </c>
      <c r="AN349" s="5">
        <v>-1.123190841</v>
      </c>
      <c r="AO349" s="5">
        <v>-0.5775002642</v>
      </c>
      <c r="AP349" s="5">
        <v>0.0865621566</v>
      </c>
      <c r="AQ349" s="5">
        <v>0.9471825979</v>
      </c>
    </row>
    <row r="350">
      <c r="A350" s="342">
        <v>349.0</v>
      </c>
      <c r="B350" s="347"/>
      <c r="C350" s="347"/>
      <c r="D350" s="341">
        <v>-1.029049585</v>
      </c>
      <c r="E350" s="342">
        <v>-0.001343371866</v>
      </c>
      <c r="F350" s="342">
        <v>-0.8342020263</v>
      </c>
      <c r="G350" s="342">
        <v>-0.1948475592</v>
      </c>
      <c r="H350" s="343"/>
      <c r="I350" s="343"/>
      <c r="J350" s="342" t="s">
        <v>2213</v>
      </c>
      <c r="K350" s="342" t="s">
        <v>126</v>
      </c>
      <c r="L350" s="342" t="s">
        <v>1380</v>
      </c>
      <c r="M350" s="342" t="s">
        <v>2214</v>
      </c>
      <c r="N350" s="343"/>
      <c r="O350" s="342" t="s">
        <v>1368</v>
      </c>
      <c r="P350" s="343"/>
      <c r="Q350" s="342">
        <v>3.0</v>
      </c>
      <c r="R350" s="343"/>
      <c r="S350" s="342" t="s">
        <v>1960</v>
      </c>
      <c r="T350" s="342">
        <v>52.0</v>
      </c>
      <c r="U350" s="342">
        <v>15.0</v>
      </c>
      <c r="V350" s="342">
        <v>14.0</v>
      </c>
      <c r="W350" s="341">
        <v>4.140384615</v>
      </c>
      <c r="X350" s="5">
        <v>0.5915384615</v>
      </c>
      <c r="Y350" s="5">
        <v>1.296153846</v>
      </c>
      <c r="Z350" s="5">
        <v>1.973653846</v>
      </c>
      <c r="AA350" s="5">
        <v>0.7069230769</v>
      </c>
      <c r="AB350" s="5">
        <v>0.1473076923</v>
      </c>
      <c r="AC350" s="5">
        <v>0.365359329</v>
      </c>
      <c r="AD350" s="5">
        <v>4.241346154</v>
      </c>
      <c r="AE350" s="5">
        <v>0.7571243523</v>
      </c>
      <c r="AF350" s="5">
        <v>0.5938461538</v>
      </c>
      <c r="AG350" s="5">
        <v>1.178269231</v>
      </c>
      <c r="AH350" s="5">
        <v>17.47038801</v>
      </c>
      <c r="AI350" s="5">
        <v>-1.974703477</v>
      </c>
      <c r="AJ350" s="5">
        <v>-1.030907168</v>
      </c>
      <c r="AK350" s="5">
        <v>-1.796841489</v>
      </c>
      <c r="AL350" s="5">
        <v>-0.8046590299</v>
      </c>
      <c r="AM350" s="5">
        <v>-0.738396176</v>
      </c>
      <c r="AN350" s="5">
        <v>-0.9953703805</v>
      </c>
      <c r="AO350" s="5">
        <v>-0.8015007025</v>
      </c>
      <c r="AP350" s="5">
        <v>-0.09001826101</v>
      </c>
      <c r="AQ350" s="5">
        <v>0.7245784475</v>
      </c>
    </row>
    <row r="351">
      <c r="A351" s="342">
        <v>350.0</v>
      </c>
      <c r="B351" s="347"/>
      <c r="C351" s="347"/>
      <c r="D351" s="341">
        <v>-1.032077763</v>
      </c>
      <c r="E351" s="342">
        <v>-0.001951844249</v>
      </c>
      <c r="F351" s="342">
        <v>-0.7405117349</v>
      </c>
      <c r="G351" s="342">
        <v>-0.2915660284</v>
      </c>
      <c r="H351" s="342">
        <v>0.6898455903</v>
      </c>
      <c r="I351" s="343"/>
      <c r="J351" s="342" t="s">
        <v>2215</v>
      </c>
      <c r="K351" s="342" t="s">
        <v>102</v>
      </c>
      <c r="L351" s="342" t="s">
        <v>1404</v>
      </c>
      <c r="M351" s="342" t="s">
        <v>2216</v>
      </c>
      <c r="N351" s="343"/>
      <c r="O351" s="342" t="s">
        <v>1368</v>
      </c>
      <c r="P351" s="343"/>
      <c r="Q351" s="342">
        <v>3.0</v>
      </c>
      <c r="R351" s="343"/>
      <c r="S351" s="342" t="s">
        <v>1434</v>
      </c>
      <c r="T351" s="342">
        <v>73.0</v>
      </c>
      <c r="U351" s="342">
        <v>16.0</v>
      </c>
      <c r="V351" s="342">
        <v>16.0</v>
      </c>
      <c r="W351" s="341">
        <v>5.190273973</v>
      </c>
      <c r="X351" s="5">
        <v>0.6653424658</v>
      </c>
      <c r="Y351" s="5">
        <v>2.613287671</v>
      </c>
      <c r="Z351" s="5">
        <v>1.010958904</v>
      </c>
      <c r="AA351" s="5">
        <v>0.4883561644</v>
      </c>
      <c r="AB351" s="5">
        <v>0.228630137</v>
      </c>
      <c r="AC351" s="5">
        <v>0.4423716558</v>
      </c>
      <c r="AD351" s="5">
        <v>4.73630137</v>
      </c>
      <c r="AE351" s="5">
        <v>0.6143396226</v>
      </c>
      <c r="AF351" s="5">
        <v>0.5445205479</v>
      </c>
      <c r="AG351" s="5">
        <v>0.49</v>
      </c>
      <c r="AH351" s="5">
        <v>15.19577146</v>
      </c>
      <c r="AI351" s="5">
        <v>-1.798439892</v>
      </c>
      <c r="AJ351" s="5">
        <v>-0.9584479031</v>
      </c>
      <c r="AK351" s="5">
        <v>-1.269797668</v>
      </c>
      <c r="AL351" s="5">
        <v>-1.249284443</v>
      </c>
      <c r="AM351" s="5">
        <v>-1.428366273</v>
      </c>
      <c r="AN351" s="5">
        <v>-0.8466848117</v>
      </c>
      <c r="AO351" s="5">
        <v>-0.3361507365</v>
      </c>
      <c r="AP351" s="5">
        <v>-0.3694503799</v>
      </c>
      <c r="AQ351" s="5">
        <v>1.592016492</v>
      </c>
    </row>
    <row r="352">
      <c r="A352" s="342">
        <v>351.0</v>
      </c>
      <c r="B352" s="347"/>
      <c r="C352" s="347"/>
      <c r="D352" s="341">
        <v>-1.033929057</v>
      </c>
      <c r="E352" s="342">
        <v>5.386590726E-4</v>
      </c>
      <c r="F352" s="342">
        <v>-0.7184705031</v>
      </c>
      <c r="G352" s="342">
        <v>-0.3154585538</v>
      </c>
      <c r="H352" s="342">
        <v>0.5932172831</v>
      </c>
      <c r="I352" s="343"/>
      <c r="J352" s="342" t="s">
        <v>2217</v>
      </c>
      <c r="K352" s="342" t="s">
        <v>1396</v>
      </c>
      <c r="L352" s="342" t="s">
        <v>1380</v>
      </c>
      <c r="M352" s="342" t="s">
        <v>2218</v>
      </c>
      <c r="N352" s="343"/>
      <c r="O352" s="342" t="s">
        <v>1368</v>
      </c>
      <c r="P352" s="342" t="s">
        <v>1796</v>
      </c>
      <c r="Q352" s="342">
        <v>3.0</v>
      </c>
      <c r="R352" s="343"/>
      <c r="S352" s="342" t="s">
        <v>1960</v>
      </c>
      <c r="T352" s="342">
        <v>47.0</v>
      </c>
      <c r="U352" s="342">
        <v>14.0</v>
      </c>
      <c r="V352" s="342">
        <v>11.0</v>
      </c>
      <c r="W352" s="341">
        <v>5.247021277</v>
      </c>
      <c r="X352" s="5">
        <v>1.266595745</v>
      </c>
      <c r="Y352" s="5">
        <v>1.604255319</v>
      </c>
      <c r="Z352" s="5">
        <v>0.6576595745</v>
      </c>
      <c r="AA352" s="5">
        <v>0.319787234</v>
      </c>
      <c r="AB352" s="5">
        <v>0.2065957447</v>
      </c>
      <c r="AC352" s="5">
        <v>0.4582409079</v>
      </c>
      <c r="AD352" s="5">
        <v>4.124468085</v>
      </c>
      <c r="AE352" s="5">
        <v>0.8148788927</v>
      </c>
      <c r="AF352" s="5">
        <v>0.2459574468</v>
      </c>
      <c r="AG352" s="5">
        <v>0.3208510638</v>
      </c>
      <c r="AH352" s="5">
        <v>17.74532915</v>
      </c>
      <c r="AI352" s="5">
        <v>-1.788912714</v>
      </c>
      <c r="AJ352" s="5">
        <v>-0.3681497064</v>
      </c>
      <c r="AK352" s="5">
        <v>-1.673556387</v>
      </c>
      <c r="AL352" s="5">
        <v>-1.412457483</v>
      </c>
      <c r="AM352" s="5">
        <v>-1.960503181</v>
      </c>
      <c r="AN352" s="5">
        <v>-0.8869713054</v>
      </c>
      <c r="AO352" s="5">
        <v>-0.1938172153</v>
      </c>
      <c r="AP352" s="5">
        <v>0.01293553697</v>
      </c>
      <c r="AQ352" s="5">
        <v>1.805197927</v>
      </c>
    </row>
    <row r="353">
      <c r="A353" s="342">
        <v>352.0</v>
      </c>
      <c r="B353" s="347"/>
      <c r="C353" s="347"/>
      <c r="D353" s="341">
        <v>-1.034274339</v>
      </c>
      <c r="E353" s="342">
        <v>-0.008186047487</v>
      </c>
      <c r="F353" s="342">
        <v>-0.7251558806</v>
      </c>
      <c r="G353" s="342">
        <v>-0.3091184584</v>
      </c>
      <c r="H353" s="342">
        <v>0.5932172831</v>
      </c>
      <c r="I353" s="343"/>
      <c r="J353" s="342" t="s">
        <v>2219</v>
      </c>
      <c r="K353" s="342" t="s">
        <v>169</v>
      </c>
      <c r="L353" s="342" t="s">
        <v>34</v>
      </c>
      <c r="M353" s="342" t="s">
        <v>2220</v>
      </c>
      <c r="N353" s="343"/>
      <c r="O353" s="342" t="s">
        <v>1374</v>
      </c>
      <c r="P353" s="342" t="s">
        <v>1812</v>
      </c>
      <c r="Q353" s="342">
        <v>5.0</v>
      </c>
      <c r="R353" s="343"/>
      <c r="S353" s="342" t="s">
        <v>1960</v>
      </c>
      <c r="T353" s="342">
        <v>25.0</v>
      </c>
      <c r="U353" s="342">
        <v>15.0</v>
      </c>
      <c r="V353" s="342">
        <v>10.0</v>
      </c>
      <c r="W353" s="341">
        <v>4.5048</v>
      </c>
      <c r="X353" s="5">
        <v>0.1768</v>
      </c>
      <c r="Y353" s="5">
        <v>3.3544</v>
      </c>
      <c r="Z353" s="5">
        <v>0.4852</v>
      </c>
      <c r="AA353" s="5">
        <v>0.1592</v>
      </c>
      <c r="AB353" s="5">
        <v>0.384</v>
      </c>
      <c r="AC353" s="5">
        <v>0.58161937</v>
      </c>
      <c r="AD353" s="5">
        <v>3.0728</v>
      </c>
      <c r="AE353" s="5">
        <v>0.8399465002</v>
      </c>
      <c r="AF353" s="5">
        <v>0.8972</v>
      </c>
      <c r="AG353" s="5">
        <v>0.3664</v>
      </c>
      <c r="AH353" s="5">
        <v>17.48964698</v>
      </c>
      <c r="AI353" s="5">
        <v>-1.91352259</v>
      </c>
      <c r="AJ353" s="5">
        <v>-1.438088924</v>
      </c>
      <c r="AK353" s="5">
        <v>-0.9732456645</v>
      </c>
      <c r="AL353" s="5">
        <v>-1.492108789</v>
      </c>
      <c r="AM353" s="5">
        <v>-2.467443541</v>
      </c>
      <c r="AN353" s="5">
        <v>-0.5626149398</v>
      </c>
      <c r="AO353" s="5">
        <v>0.4330416107</v>
      </c>
      <c r="AP353" s="5">
        <v>0.1397881256</v>
      </c>
      <c r="AQ353" s="5">
        <v>1.747791787</v>
      </c>
    </row>
    <row r="354">
      <c r="A354" s="342">
        <v>353.0</v>
      </c>
      <c r="B354" s="347"/>
      <c r="C354" s="347"/>
      <c r="D354" s="341">
        <v>-1.04100242</v>
      </c>
      <c r="E354" s="342">
        <v>-0.001932713368</v>
      </c>
      <c r="F354" s="342">
        <v>-0.7865804103</v>
      </c>
      <c r="G354" s="342">
        <v>-0.2544220097</v>
      </c>
      <c r="H354" s="342">
        <v>0.7703691797</v>
      </c>
      <c r="I354" s="343"/>
      <c r="J354" s="342" t="s">
        <v>2221</v>
      </c>
      <c r="K354" s="342" t="s">
        <v>291</v>
      </c>
      <c r="L354" s="342" t="s">
        <v>1380</v>
      </c>
      <c r="M354" s="342" t="s">
        <v>2222</v>
      </c>
      <c r="N354" s="343"/>
      <c r="O354" s="342" t="s">
        <v>1368</v>
      </c>
      <c r="P354" s="342" t="s">
        <v>1416</v>
      </c>
      <c r="Q354" s="342">
        <v>4.0</v>
      </c>
      <c r="R354" s="343"/>
      <c r="S354" s="342" t="s">
        <v>1434</v>
      </c>
      <c r="T354" s="342">
        <v>73.0</v>
      </c>
      <c r="U354" s="342">
        <v>15.0</v>
      </c>
      <c r="V354" s="342">
        <v>14.0</v>
      </c>
      <c r="W354" s="341">
        <v>5.380410959</v>
      </c>
      <c r="X354" s="5">
        <v>0.5201369863</v>
      </c>
      <c r="Y354" s="5">
        <v>1.708630137</v>
      </c>
      <c r="Z354" s="5">
        <v>2.027534247</v>
      </c>
      <c r="AA354" s="5">
        <v>0.3830136986</v>
      </c>
      <c r="AB354" s="5">
        <v>0.1464383562</v>
      </c>
      <c r="AC354" s="5">
        <v>0.4334151625</v>
      </c>
      <c r="AD354" s="5">
        <v>4.743150685</v>
      </c>
      <c r="AE354" s="5">
        <v>0.830951657</v>
      </c>
      <c r="AF354" s="5">
        <v>0.9010958904</v>
      </c>
      <c r="AG354" s="5">
        <v>0.7623287671</v>
      </c>
      <c r="AH354" s="5">
        <v>17.91397694</v>
      </c>
      <c r="AI354" s="5">
        <v>-1.766518217</v>
      </c>
      <c r="AJ354" s="5">
        <v>-1.101007679</v>
      </c>
      <c r="AK354" s="5">
        <v>-1.631791381</v>
      </c>
      <c r="AL354" s="5">
        <v>-0.7797741009</v>
      </c>
      <c r="AM354" s="5">
        <v>-1.760910437</v>
      </c>
      <c r="AN354" s="5">
        <v>-0.9969598277</v>
      </c>
      <c r="AO354" s="5">
        <v>-0.4015906852</v>
      </c>
      <c r="AP354" s="5">
        <v>0.1105329681</v>
      </c>
      <c r="AQ354" s="5">
        <v>1.248795667</v>
      </c>
    </row>
    <row r="355">
      <c r="A355" s="342">
        <v>354.0</v>
      </c>
      <c r="B355" s="347"/>
      <c r="C355" s="347"/>
      <c r="D355" s="341">
        <v>-1.042628273</v>
      </c>
      <c r="E355" s="342">
        <v>-0.001679491027</v>
      </c>
      <c r="F355" s="342">
        <v>-0.7662770779</v>
      </c>
      <c r="G355" s="342">
        <v>-0.2763511948</v>
      </c>
      <c r="H355" s="342">
        <v>1.237405998</v>
      </c>
      <c r="I355" s="343"/>
      <c r="J355" s="342" t="s">
        <v>2223</v>
      </c>
      <c r="K355" s="342" t="s">
        <v>180</v>
      </c>
      <c r="L355" s="342" t="s">
        <v>1380</v>
      </c>
      <c r="M355" s="342" t="s">
        <v>2224</v>
      </c>
      <c r="N355" s="343"/>
      <c r="O355" s="342" t="s">
        <v>1368</v>
      </c>
      <c r="P355" s="343"/>
      <c r="Q355" s="342">
        <v>5.0</v>
      </c>
      <c r="R355" s="343"/>
      <c r="S355" s="342" t="s">
        <v>1960</v>
      </c>
      <c r="T355" s="342">
        <v>47.0</v>
      </c>
      <c r="U355" s="342">
        <v>16.0</v>
      </c>
      <c r="V355" s="342">
        <v>13.0</v>
      </c>
      <c r="W355" s="341">
        <v>5.196382979</v>
      </c>
      <c r="X355" s="5">
        <v>0.8512765957</v>
      </c>
      <c r="Y355" s="5">
        <v>1.094255319</v>
      </c>
      <c r="Z355" s="5">
        <v>1.395106383</v>
      </c>
      <c r="AA355" s="5">
        <v>0.4568085106</v>
      </c>
      <c r="AB355" s="5">
        <v>0.0829787234</v>
      </c>
      <c r="AC355" s="5">
        <v>0.4399708242</v>
      </c>
      <c r="AD355" s="5">
        <v>4.375531915</v>
      </c>
      <c r="AE355" s="5">
        <v>0.8698578908</v>
      </c>
      <c r="AF355" s="5">
        <v>0.5689361702</v>
      </c>
      <c r="AG355" s="5">
        <v>0.6070212766</v>
      </c>
      <c r="AH355" s="5">
        <v>16.858866</v>
      </c>
      <c r="AI355" s="5">
        <v>-1.797414265</v>
      </c>
      <c r="AJ355" s="5">
        <v>-0.7759015695</v>
      </c>
      <c r="AK355" s="5">
        <v>-1.877630069</v>
      </c>
      <c r="AL355" s="5">
        <v>-1.071864033</v>
      </c>
      <c r="AM355" s="5">
        <v>-1.527955627</v>
      </c>
      <c r="AN355" s="5">
        <v>-1.112985995</v>
      </c>
      <c r="AO355" s="5">
        <v>-0.3273097502</v>
      </c>
      <c r="AP355" s="5">
        <v>0.1500351269</v>
      </c>
      <c r="AQ355" s="5">
        <v>1.44453248</v>
      </c>
    </row>
    <row r="356">
      <c r="A356" s="342">
        <v>355.0</v>
      </c>
      <c r="B356" s="347"/>
      <c r="C356" s="347"/>
      <c r="D356" s="341">
        <v>-1.046465835</v>
      </c>
      <c r="E356" s="342">
        <v>-0.0366929483</v>
      </c>
      <c r="F356" s="342">
        <v>-0.8304993285</v>
      </c>
      <c r="G356" s="342">
        <v>-0.2159665061</v>
      </c>
      <c r="H356" s="343"/>
      <c r="I356" s="343"/>
      <c r="J356" s="342" t="s">
        <v>2225</v>
      </c>
      <c r="K356" s="342" t="s">
        <v>40</v>
      </c>
      <c r="L356" s="342" t="s">
        <v>1380</v>
      </c>
      <c r="M356" s="342" t="s">
        <v>2226</v>
      </c>
      <c r="N356" s="343"/>
      <c r="O356" s="342" t="s">
        <v>1368</v>
      </c>
      <c r="P356" s="342" t="s">
        <v>2227</v>
      </c>
      <c r="Q356" s="342">
        <v>3.0</v>
      </c>
      <c r="R356" s="343"/>
      <c r="S356" s="342" t="s">
        <v>1960</v>
      </c>
      <c r="T356" s="342">
        <v>47.0</v>
      </c>
      <c r="U356" s="342">
        <v>16.0</v>
      </c>
      <c r="V356" s="342">
        <v>15.0</v>
      </c>
      <c r="W356" s="341">
        <v>5.391702128</v>
      </c>
      <c r="X356" s="5">
        <v>0.7878723404</v>
      </c>
      <c r="Y356" s="5">
        <v>1.96</v>
      </c>
      <c r="Z356" s="5">
        <v>1.623191489</v>
      </c>
      <c r="AA356" s="5">
        <v>0.3980851064</v>
      </c>
      <c r="AB356" s="5">
        <v>0.1531914894</v>
      </c>
      <c r="AC356" s="5">
        <v>0.4070621345</v>
      </c>
      <c r="AD356" s="5">
        <v>4.838510638</v>
      </c>
      <c r="AE356" s="5">
        <v>0.808070357</v>
      </c>
      <c r="AF356" s="5">
        <v>0.8225531915</v>
      </c>
      <c r="AG356" s="5">
        <v>1.041276596</v>
      </c>
      <c r="AH356" s="5">
        <v>18.29426795</v>
      </c>
      <c r="AI356" s="5">
        <v>-1.764622568</v>
      </c>
      <c r="AJ356" s="5">
        <v>-0.8381505732</v>
      </c>
      <c r="AK356" s="5">
        <v>-1.531207119</v>
      </c>
      <c r="AL356" s="5">
        <v>-0.9665218001</v>
      </c>
      <c r="AM356" s="5">
        <v>-1.71333315</v>
      </c>
      <c r="AN356" s="5">
        <v>-0.9846127635</v>
      </c>
      <c r="AO356" s="5">
        <v>-0.6044783624</v>
      </c>
      <c r="AP356" s="5">
        <v>0.03119965949</v>
      </c>
      <c r="AQ356" s="5">
        <v>0.8972327201</v>
      </c>
    </row>
    <row r="357">
      <c r="A357" s="342">
        <v>356.0</v>
      </c>
      <c r="B357" s="347"/>
      <c r="C357" s="347"/>
      <c r="D357" s="341">
        <v>-1.047130854</v>
      </c>
      <c r="E357" s="342">
        <v>-0.003346603737</v>
      </c>
      <c r="F357" s="342">
        <v>-0.7968894695</v>
      </c>
      <c r="G357" s="342">
        <v>-0.2502413842</v>
      </c>
      <c r="H357" s="342">
        <v>0.99583523</v>
      </c>
      <c r="I357" s="343"/>
      <c r="J357" s="342" t="s">
        <v>2228</v>
      </c>
      <c r="K357" s="342" t="s">
        <v>89</v>
      </c>
      <c r="L357" s="342" t="s">
        <v>34</v>
      </c>
      <c r="M357" s="342" t="s">
        <v>2229</v>
      </c>
      <c r="N357" s="343"/>
      <c r="O357" s="342" t="s">
        <v>1374</v>
      </c>
      <c r="P357" s="342" t="s">
        <v>1416</v>
      </c>
      <c r="Q357" s="342">
        <v>5.0</v>
      </c>
      <c r="R357" s="343"/>
      <c r="S357" s="342" t="s">
        <v>1960</v>
      </c>
      <c r="T357" s="342">
        <v>44.0</v>
      </c>
      <c r="U357" s="342">
        <v>14.0</v>
      </c>
      <c r="V357" s="342">
        <v>13.0</v>
      </c>
      <c r="W357" s="341">
        <v>5.277954545</v>
      </c>
      <c r="X357" s="5">
        <v>0.0</v>
      </c>
      <c r="Y357" s="5">
        <v>4.017045455</v>
      </c>
      <c r="Z357" s="5">
        <v>0.6415909091</v>
      </c>
      <c r="AA357" s="5">
        <v>0.1338636364</v>
      </c>
      <c r="AB357" s="5">
        <v>0.4856818182</v>
      </c>
      <c r="AC357" s="5">
        <v>0.570017331</v>
      </c>
      <c r="AD357" s="5">
        <v>3.934090909</v>
      </c>
      <c r="AE357" s="5">
        <v>0.6979395879</v>
      </c>
      <c r="AF357" s="5">
        <v>1.136136364</v>
      </c>
      <c r="AG357" s="5">
        <v>0.7970454545</v>
      </c>
      <c r="AH357" s="5">
        <v>17.03756595</v>
      </c>
      <c r="AI357" s="5">
        <v>-1.783719396</v>
      </c>
      <c r="AJ357" s="5">
        <v>-1.611667555</v>
      </c>
      <c r="AK357" s="5">
        <v>-0.7080917476</v>
      </c>
      <c r="AL357" s="5">
        <v>-1.419878875</v>
      </c>
      <c r="AM357" s="5">
        <v>-2.54742515</v>
      </c>
      <c r="AN357" s="5">
        <v>-0.3767053914</v>
      </c>
      <c r="AO357" s="5">
        <v>0.4871912891</v>
      </c>
      <c r="AP357" s="5">
        <v>-0.4167500022</v>
      </c>
      <c r="AQ357" s="5">
        <v>1.205041604</v>
      </c>
    </row>
    <row r="358">
      <c r="A358" s="342">
        <v>357.0</v>
      </c>
      <c r="B358" s="347"/>
      <c r="C358" s="347"/>
      <c r="D358" s="341">
        <v>-1.048423165</v>
      </c>
      <c r="E358" s="342">
        <v>-0.003089355503</v>
      </c>
      <c r="F358" s="342">
        <v>-0.799677241</v>
      </c>
      <c r="G358" s="342">
        <v>-0.2487459245</v>
      </c>
      <c r="H358" s="343"/>
      <c r="I358" s="343"/>
      <c r="J358" s="342" t="s">
        <v>2230</v>
      </c>
      <c r="K358" s="342" t="s">
        <v>67</v>
      </c>
      <c r="L358" s="342" t="s">
        <v>1366</v>
      </c>
      <c r="M358" s="342" t="s">
        <v>2231</v>
      </c>
      <c r="N358" s="343"/>
      <c r="O358" s="342" t="s">
        <v>1368</v>
      </c>
      <c r="P358" s="343"/>
      <c r="Q358" s="342">
        <v>2.0</v>
      </c>
      <c r="R358" s="343"/>
      <c r="S358" s="342" t="s">
        <v>2232</v>
      </c>
      <c r="T358" s="342">
        <v>16.0</v>
      </c>
      <c r="U358" s="342">
        <v>15.0</v>
      </c>
      <c r="V358" s="342">
        <v>12.0</v>
      </c>
      <c r="W358" s="341">
        <v>3.24125</v>
      </c>
      <c r="X358" s="5">
        <v>0.0</v>
      </c>
      <c r="Y358" s="5">
        <v>2.695</v>
      </c>
      <c r="Z358" s="5">
        <v>0.514375</v>
      </c>
      <c r="AA358" s="5">
        <v>0.343125</v>
      </c>
      <c r="AB358" s="5">
        <v>0.68625</v>
      </c>
      <c r="AC358" s="5">
        <v>0.5820652174</v>
      </c>
      <c r="AD358" s="5">
        <v>2.3</v>
      </c>
      <c r="AE358" s="5">
        <v>0.6797287114</v>
      </c>
      <c r="AF358" s="5">
        <v>0.829375</v>
      </c>
      <c r="AG358" s="5">
        <v>0.80875</v>
      </c>
      <c r="AH358" s="5">
        <v>12.72747882</v>
      </c>
      <c r="AI358" s="5">
        <v>-2.125657184</v>
      </c>
      <c r="AJ358" s="5">
        <v>-1.611667555</v>
      </c>
      <c r="AK358" s="5">
        <v>-1.237100931</v>
      </c>
      <c r="AL358" s="5">
        <v>-1.478634171</v>
      </c>
      <c r="AM358" s="5">
        <v>-1.886830728</v>
      </c>
      <c r="AN358" s="5">
        <v>-0.009997352849</v>
      </c>
      <c r="AO358" s="5">
        <v>0.3233932893</v>
      </c>
      <c r="AP358" s="5">
        <v>-0.3608906916</v>
      </c>
      <c r="AQ358" s="5">
        <v>1.190290155</v>
      </c>
    </row>
    <row r="359">
      <c r="A359" s="342">
        <v>358.0</v>
      </c>
      <c r="B359" s="347"/>
      <c r="C359" s="347"/>
      <c r="D359" s="341">
        <v>-1.055302633</v>
      </c>
      <c r="E359" s="342">
        <v>-0.002335373071</v>
      </c>
      <c r="F359" s="342">
        <v>-0.7763489371</v>
      </c>
      <c r="G359" s="342">
        <v>-0.2789536959</v>
      </c>
      <c r="H359" s="342">
        <v>0.46437954</v>
      </c>
      <c r="I359" s="343"/>
      <c r="J359" s="342" t="s">
        <v>2233</v>
      </c>
      <c r="K359" s="342" t="s">
        <v>93</v>
      </c>
      <c r="L359" s="342" t="s">
        <v>1380</v>
      </c>
      <c r="M359" s="342" t="s">
        <v>2234</v>
      </c>
      <c r="N359" s="343"/>
      <c r="O359" s="342" t="s">
        <v>1368</v>
      </c>
      <c r="P359" s="342" t="s">
        <v>1399</v>
      </c>
      <c r="Q359" s="342">
        <v>4.0</v>
      </c>
      <c r="R359" s="343"/>
      <c r="S359" s="342" t="s">
        <v>1434</v>
      </c>
      <c r="T359" s="342">
        <v>73.0</v>
      </c>
      <c r="U359" s="342">
        <v>16.0</v>
      </c>
      <c r="V359" s="342">
        <v>15.0</v>
      </c>
      <c r="W359" s="341">
        <v>3.760958904</v>
      </c>
      <c r="X359" s="5">
        <v>0.7873972603</v>
      </c>
      <c r="Y359" s="5">
        <v>1.624931507</v>
      </c>
      <c r="Z359" s="5">
        <v>1.345205479</v>
      </c>
      <c r="AA359" s="5">
        <v>0.3998630137</v>
      </c>
      <c r="AB359" s="5">
        <v>0.1891780822</v>
      </c>
      <c r="AC359" s="5">
        <v>0.4507097278</v>
      </c>
      <c r="AD359" s="5">
        <v>3.155753425</v>
      </c>
      <c r="AE359" s="5">
        <v>0.8168402778</v>
      </c>
      <c r="AF359" s="5">
        <v>0.1578082192</v>
      </c>
      <c r="AG359" s="5">
        <v>0.5984931507</v>
      </c>
      <c r="AH359" s="5">
        <v>10.8665808</v>
      </c>
      <c r="AI359" s="5">
        <v>-2.038404414</v>
      </c>
      <c r="AJ359" s="5">
        <v>-0.8386169972</v>
      </c>
      <c r="AK359" s="5">
        <v>-1.665282925</v>
      </c>
      <c r="AL359" s="5">
        <v>-1.094911012</v>
      </c>
      <c r="AM359" s="5">
        <v>-1.707720668</v>
      </c>
      <c r="AN359" s="5">
        <v>-0.9188168194</v>
      </c>
      <c r="AO359" s="5">
        <v>-0.1867964432</v>
      </c>
      <c r="AP359" s="5">
        <v>0.008128213885</v>
      </c>
      <c r="AQ359" s="5">
        <v>1.45528063</v>
      </c>
    </row>
    <row r="360">
      <c r="A360" s="342">
        <v>359.0</v>
      </c>
      <c r="B360" s="347"/>
      <c r="C360" s="347"/>
      <c r="D360" s="341">
        <v>-1.056422289</v>
      </c>
      <c r="E360" s="342">
        <v>-0.006422673229</v>
      </c>
      <c r="F360" s="342">
        <v>-0.7606873075</v>
      </c>
      <c r="G360" s="342">
        <v>-0.2957349813</v>
      </c>
      <c r="H360" s="342">
        <v>-0.59853184</v>
      </c>
      <c r="I360" s="343"/>
      <c r="J360" s="342" t="s">
        <v>2235</v>
      </c>
      <c r="K360" s="342" t="s">
        <v>136</v>
      </c>
      <c r="L360" s="342" t="s">
        <v>1380</v>
      </c>
      <c r="M360" s="342" t="s">
        <v>2236</v>
      </c>
      <c r="N360" s="343"/>
      <c r="O360" s="342" t="s">
        <v>1374</v>
      </c>
      <c r="P360" s="342" t="s">
        <v>1812</v>
      </c>
      <c r="Q360" s="342">
        <v>5.0</v>
      </c>
      <c r="R360" s="343"/>
      <c r="S360" s="342" t="s">
        <v>1960</v>
      </c>
      <c r="T360" s="342">
        <v>44.0</v>
      </c>
      <c r="U360" s="342">
        <v>15.0</v>
      </c>
      <c r="V360" s="342">
        <v>13.0</v>
      </c>
      <c r="W360" s="341">
        <v>5.838636364</v>
      </c>
      <c r="X360" s="5">
        <v>1.003636364</v>
      </c>
      <c r="Y360" s="5">
        <v>1.199545455</v>
      </c>
      <c r="Z360" s="5">
        <v>0.9159090909</v>
      </c>
      <c r="AA360" s="5">
        <v>0.4090909091</v>
      </c>
      <c r="AB360" s="5">
        <v>0.08477272727</v>
      </c>
      <c r="AC360" s="5">
        <v>0.4316690055</v>
      </c>
      <c r="AD360" s="5">
        <v>5.020681818</v>
      </c>
      <c r="AE360" s="5">
        <v>0.9061728395</v>
      </c>
      <c r="AF360" s="5">
        <v>0.5522727273</v>
      </c>
      <c r="AG360" s="5">
        <v>0.4795454545</v>
      </c>
      <c r="AH360" s="5">
        <v>18.62539196</v>
      </c>
      <c r="AI360" s="5">
        <v>-1.689587775</v>
      </c>
      <c r="AJ360" s="5">
        <v>-0.6263178593</v>
      </c>
      <c r="AK360" s="5">
        <v>-1.835498803</v>
      </c>
      <c r="AL360" s="5">
        <v>-1.293183669</v>
      </c>
      <c r="AM360" s="5">
        <v>-1.678590129</v>
      </c>
      <c r="AN360" s="5">
        <v>-1.109705935</v>
      </c>
      <c r="AO360" s="5">
        <v>-0.4379587074</v>
      </c>
      <c r="AP360" s="5">
        <v>0.2194645679</v>
      </c>
      <c r="AQ360" s="5">
        <v>1.605192543</v>
      </c>
    </row>
    <row r="361">
      <c r="A361" s="342">
        <v>360.0</v>
      </c>
      <c r="B361" s="347"/>
      <c r="C361" s="347"/>
      <c r="D361" s="341">
        <v>-1.062640647</v>
      </c>
      <c r="E361" s="342">
        <v>-0.06144698814</v>
      </c>
      <c r="F361" s="342">
        <v>-0.8433937324</v>
      </c>
      <c r="G361" s="342">
        <v>-0.2192469146</v>
      </c>
      <c r="H361" s="342">
        <v>1.092463537</v>
      </c>
      <c r="I361" s="343"/>
      <c r="J361" s="342" t="s">
        <v>2237</v>
      </c>
      <c r="K361" s="342" t="s">
        <v>236</v>
      </c>
      <c r="L361" s="342" t="s">
        <v>1380</v>
      </c>
      <c r="M361" s="342" t="s">
        <v>2238</v>
      </c>
      <c r="N361" s="343"/>
      <c r="O361" s="342" t="s">
        <v>1368</v>
      </c>
      <c r="P361" s="343"/>
      <c r="Q361" s="342">
        <v>4.0</v>
      </c>
      <c r="R361" s="343"/>
      <c r="S361" s="342" t="s">
        <v>1434</v>
      </c>
      <c r="T361" s="342">
        <v>73.0</v>
      </c>
      <c r="U361" s="342">
        <v>13.0</v>
      </c>
      <c r="V361" s="342">
        <v>17.0</v>
      </c>
      <c r="W361" s="341">
        <v>5.134383562</v>
      </c>
      <c r="X361" s="5">
        <v>0.6317808219</v>
      </c>
      <c r="Y361" s="5">
        <v>2.061232877</v>
      </c>
      <c r="Z361" s="5">
        <v>1.717671233</v>
      </c>
      <c r="AA361" s="5">
        <v>0.4901369863</v>
      </c>
      <c r="AB361" s="5">
        <v>0.2717808219</v>
      </c>
      <c r="AC361" s="5">
        <v>0.4495848161</v>
      </c>
      <c r="AD361" s="5">
        <v>4.157260274</v>
      </c>
      <c r="AE361" s="5">
        <v>0.6130272408</v>
      </c>
      <c r="AF361" s="5">
        <v>1.247123288</v>
      </c>
      <c r="AG361" s="5">
        <v>1.030684932</v>
      </c>
      <c r="AH361" s="5">
        <v>15.03605292</v>
      </c>
      <c r="AI361" s="5">
        <v>-1.807823209</v>
      </c>
      <c r="AJ361" s="5">
        <v>-0.99139804</v>
      </c>
      <c r="AK361" s="5">
        <v>-1.490699343</v>
      </c>
      <c r="AL361" s="5">
        <v>-0.922885864</v>
      </c>
      <c r="AM361" s="5">
        <v>-1.42274459</v>
      </c>
      <c r="AN361" s="5">
        <v>-0.7677904283</v>
      </c>
      <c r="AO361" s="5">
        <v>-0.2503175236</v>
      </c>
      <c r="AP361" s="5">
        <v>-0.8474661791</v>
      </c>
      <c r="AQ361" s="5">
        <v>0.9105815844</v>
      </c>
    </row>
    <row r="362">
      <c r="A362" s="342">
        <v>361.0</v>
      </c>
      <c r="B362" s="347"/>
      <c r="C362" s="347"/>
      <c r="D362" s="341">
        <v>-1.063856872</v>
      </c>
      <c r="E362" s="342">
        <v>-0.002539255944</v>
      </c>
      <c r="F362" s="342">
        <v>-0.7613409392</v>
      </c>
      <c r="G362" s="342">
        <v>-0.3025159332</v>
      </c>
      <c r="H362" s="342">
        <v>0.6898455903</v>
      </c>
      <c r="I362" s="343"/>
      <c r="J362" s="342" t="s">
        <v>2239</v>
      </c>
      <c r="K362" s="342" t="s">
        <v>1471</v>
      </c>
      <c r="L362" s="342" t="s">
        <v>1404</v>
      </c>
      <c r="M362" s="342" t="s">
        <v>2240</v>
      </c>
      <c r="N362" s="343"/>
      <c r="O362" s="342" t="s">
        <v>1368</v>
      </c>
      <c r="P362" s="342" t="s">
        <v>1551</v>
      </c>
      <c r="Q362" s="342">
        <v>5.0</v>
      </c>
      <c r="R362" s="343"/>
      <c r="S362" s="342" t="s">
        <v>1960</v>
      </c>
      <c r="T362" s="342">
        <v>47.0</v>
      </c>
      <c r="U362" s="342">
        <v>16.0</v>
      </c>
      <c r="V362" s="342">
        <v>14.0</v>
      </c>
      <c r="W362" s="341">
        <v>4.56893617</v>
      </c>
      <c r="X362" s="5">
        <v>0.5225531915</v>
      </c>
      <c r="Y362" s="5">
        <v>3.118510638</v>
      </c>
      <c r="Z362" s="5">
        <v>0.6842553191</v>
      </c>
      <c r="AA362" s="5">
        <v>0.3685106383</v>
      </c>
      <c r="AB362" s="5">
        <v>0.175106383</v>
      </c>
      <c r="AC362" s="5">
        <v>0.4549647458</v>
      </c>
      <c r="AD362" s="5">
        <v>4.013404255</v>
      </c>
      <c r="AE362" s="5">
        <v>0.7561174551</v>
      </c>
      <c r="AF362" s="5">
        <v>0.5217021277</v>
      </c>
      <c r="AG362" s="5">
        <v>0.4370212766</v>
      </c>
      <c r="AH362" s="5">
        <v>14.70211797</v>
      </c>
      <c r="AI362" s="5">
        <v>-1.902754911</v>
      </c>
      <c r="AJ362" s="5">
        <v>-1.098635498</v>
      </c>
      <c r="AK362" s="5">
        <v>-1.067635489</v>
      </c>
      <c r="AL362" s="5">
        <v>-1.400174107</v>
      </c>
      <c r="AM362" s="5">
        <v>-1.806693569</v>
      </c>
      <c r="AN362" s="5">
        <v>-0.9445447548</v>
      </c>
      <c r="AO362" s="5">
        <v>-0.2089531088</v>
      </c>
      <c r="AP362" s="5">
        <v>-0.08146354109</v>
      </c>
      <c r="AQ362" s="5">
        <v>1.658786526</v>
      </c>
    </row>
    <row r="363">
      <c r="A363" s="342">
        <v>362.0</v>
      </c>
      <c r="B363" s="347"/>
      <c r="C363" s="347"/>
      <c r="D363" s="341">
        <v>-1.064213813</v>
      </c>
      <c r="E363" s="342">
        <v>-0.00187745669</v>
      </c>
      <c r="F363" s="342">
        <v>-0.7838863271</v>
      </c>
      <c r="G363" s="342">
        <v>-0.2803274854</v>
      </c>
      <c r="H363" s="342">
        <v>1.060254102</v>
      </c>
      <c r="I363" s="343"/>
      <c r="J363" s="342" t="s">
        <v>2241</v>
      </c>
      <c r="K363" s="342" t="s">
        <v>1471</v>
      </c>
      <c r="L363" s="342" t="s">
        <v>1380</v>
      </c>
      <c r="M363" s="342" t="s">
        <v>2242</v>
      </c>
      <c r="N363" s="343"/>
      <c r="O363" s="342" t="s">
        <v>1368</v>
      </c>
      <c r="P363" s="343"/>
      <c r="Q363" s="342">
        <v>4.0</v>
      </c>
      <c r="R363" s="343"/>
      <c r="S363" s="342" t="s">
        <v>1434</v>
      </c>
      <c r="T363" s="342">
        <v>73.0</v>
      </c>
      <c r="U363" s="342">
        <v>16.0</v>
      </c>
      <c r="V363" s="342">
        <v>17.0</v>
      </c>
      <c r="W363" s="341">
        <v>6.85630137</v>
      </c>
      <c r="X363" s="5">
        <v>1.42109589</v>
      </c>
      <c r="Y363" s="5">
        <v>2.138767123</v>
      </c>
      <c r="Z363" s="5">
        <v>0.8064383562</v>
      </c>
      <c r="AA363" s="5">
        <v>0.2457534247</v>
      </c>
      <c r="AB363" s="5">
        <v>0.1050684932</v>
      </c>
      <c r="AC363" s="5">
        <v>0.3943530944</v>
      </c>
      <c r="AD363" s="5">
        <v>5.89</v>
      </c>
      <c r="AE363" s="5">
        <v>0.8379360465</v>
      </c>
      <c r="AF363" s="5">
        <v>0.9424657534</v>
      </c>
      <c r="AG363" s="5">
        <v>0.5957534247</v>
      </c>
      <c r="AH363" s="5">
        <v>17.85221935</v>
      </c>
      <c r="AI363" s="5">
        <v>-1.518734265</v>
      </c>
      <c r="AJ363" s="5">
        <v>-0.2164646169</v>
      </c>
      <c r="AK363" s="5">
        <v>-1.459674443</v>
      </c>
      <c r="AL363" s="5">
        <v>-1.343743268</v>
      </c>
      <c r="AM363" s="5">
        <v>-2.194212456</v>
      </c>
      <c r="AN363" s="5">
        <v>-1.072598252</v>
      </c>
      <c r="AO363" s="5">
        <v>-0.8483239951</v>
      </c>
      <c r="AP363" s="5">
        <v>0.1400407955</v>
      </c>
      <c r="AQ363" s="5">
        <v>1.458733556</v>
      </c>
    </row>
    <row r="364">
      <c r="A364" s="342">
        <v>363.0</v>
      </c>
      <c r="B364" s="347"/>
      <c r="C364" s="347"/>
      <c r="D364" s="341">
        <v>-1.066374436</v>
      </c>
      <c r="E364" s="342">
        <v>-0.002987274084</v>
      </c>
      <c r="F364" s="342">
        <v>-0.7808001392</v>
      </c>
      <c r="G364" s="342">
        <v>-0.2855742971</v>
      </c>
      <c r="H364" s="342">
        <v>0.5771125652</v>
      </c>
      <c r="I364" s="343"/>
      <c r="J364" s="342" t="s">
        <v>2243</v>
      </c>
      <c r="K364" s="342" t="s">
        <v>180</v>
      </c>
      <c r="L364" s="342" t="s">
        <v>34</v>
      </c>
      <c r="M364" s="342" t="s">
        <v>2244</v>
      </c>
      <c r="N364" s="343"/>
      <c r="O364" s="342" t="s">
        <v>1368</v>
      </c>
      <c r="P364" s="343"/>
      <c r="Q364" s="342">
        <v>4.0</v>
      </c>
      <c r="R364" s="343"/>
      <c r="S364" s="342" t="s">
        <v>2232</v>
      </c>
      <c r="T364" s="342">
        <v>16.0</v>
      </c>
      <c r="U364" s="342">
        <v>16.0</v>
      </c>
      <c r="V364" s="342">
        <v>12.0</v>
      </c>
      <c r="W364" s="341">
        <v>4.1975</v>
      </c>
      <c r="X364" s="5">
        <v>0.188125</v>
      </c>
      <c r="Y364" s="5">
        <v>2.600625</v>
      </c>
      <c r="Z364" s="5">
        <v>0.915</v>
      </c>
      <c r="AA364" s="5">
        <v>0.248125</v>
      </c>
      <c r="AB364" s="5">
        <v>0.433125</v>
      </c>
      <c r="AC364" s="5">
        <v>0.5327214685</v>
      </c>
      <c r="AD364" s="5">
        <v>3.1325</v>
      </c>
      <c r="AE364" s="5">
        <v>0.7613314448</v>
      </c>
      <c r="AF364" s="5">
        <v>0.8825</v>
      </c>
      <c r="AG364" s="5">
        <v>0.56</v>
      </c>
      <c r="AH364" s="5">
        <v>14.24277377</v>
      </c>
      <c r="AI364" s="5">
        <v>-1.965114502</v>
      </c>
      <c r="AJ364" s="5">
        <v>-1.42697027</v>
      </c>
      <c r="AK364" s="5">
        <v>-1.274864565</v>
      </c>
      <c r="AL364" s="5">
        <v>-1.293603537</v>
      </c>
      <c r="AM364" s="5">
        <v>-2.186725888</v>
      </c>
      <c r="AN364" s="5">
        <v>-0.4727974412</v>
      </c>
      <c r="AO364" s="5">
        <v>0.2073885146</v>
      </c>
      <c r="AP364" s="5">
        <v>-0.1183078018</v>
      </c>
      <c r="AQ364" s="5">
        <v>1.503794238</v>
      </c>
    </row>
    <row r="365">
      <c r="A365" s="342">
        <v>364.0</v>
      </c>
      <c r="B365" s="347"/>
      <c r="C365" s="347"/>
      <c r="D365" s="341">
        <v>-1.066928706</v>
      </c>
      <c r="E365" s="342">
        <v>-0.005021188921</v>
      </c>
      <c r="F365" s="342">
        <v>-0.8182670624</v>
      </c>
      <c r="G365" s="342">
        <v>-0.2486616435</v>
      </c>
      <c r="H365" s="342">
        <v>0.5126936937</v>
      </c>
      <c r="I365" s="343"/>
      <c r="J365" s="342" t="s">
        <v>2245</v>
      </c>
      <c r="K365" s="342" t="s">
        <v>136</v>
      </c>
      <c r="L365" s="342" t="s">
        <v>1380</v>
      </c>
      <c r="M365" s="342" t="s">
        <v>2246</v>
      </c>
      <c r="N365" s="342" t="s">
        <v>2247</v>
      </c>
      <c r="O365" s="342" t="s">
        <v>1368</v>
      </c>
      <c r="P365" s="343"/>
      <c r="Q365" s="342">
        <v>4.0</v>
      </c>
      <c r="R365" s="343"/>
      <c r="S365" s="342" t="s">
        <v>1960</v>
      </c>
      <c r="T365" s="342">
        <v>57.0</v>
      </c>
      <c r="U365" s="342">
        <v>15.0</v>
      </c>
      <c r="V365" s="342">
        <v>16.0</v>
      </c>
      <c r="W365" s="341">
        <v>7.456491228</v>
      </c>
      <c r="X365" s="5">
        <v>1.336491228</v>
      </c>
      <c r="Y365" s="5">
        <v>1.634385965</v>
      </c>
      <c r="Z365" s="5">
        <v>1.579298246</v>
      </c>
      <c r="AA365" s="5">
        <v>0.248245614</v>
      </c>
      <c r="AB365" s="5">
        <v>0.1689473684</v>
      </c>
      <c r="AC365" s="5">
        <v>0.3893685979</v>
      </c>
      <c r="AD365" s="5">
        <v>7.415964912</v>
      </c>
      <c r="AE365" s="5">
        <v>0.8634167765</v>
      </c>
      <c r="AF365" s="5">
        <v>0.3994736842</v>
      </c>
      <c r="AG365" s="5">
        <v>0.8240350877</v>
      </c>
      <c r="AH365" s="5">
        <v>22.1751499</v>
      </c>
      <c r="AI365" s="5">
        <v>-1.417969727</v>
      </c>
      <c r="AJ365" s="5">
        <v>-0.2995277475</v>
      </c>
      <c r="AK365" s="5">
        <v>-1.661499776</v>
      </c>
      <c r="AL365" s="5">
        <v>-0.9867941115</v>
      </c>
      <c r="AM365" s="5">
        <v>-2.186345134</v>
      </c>
      <c r="AN365" s="5">
        <v>-0.9558055646</v>
      </c>
      <c r="AO365" s="5">
        <v>-1.122257822</v>
      </c>
      <c r="AP365" s="5">
        <v>0.09477023587</v>
      </c>
      <c r="AQ365" s="5">
        <v>1.171026085</v>
      </c>
    </row>
    <row r="366">
      <c r="A366" s="342">
        <v>365.0</v>
      </c>
      <c r="B366" s="347"/>
      <c r="C366" s="347"/>
      <c r="D366" s="341">
        <v>-1.067225172</v>
      </c>
      <c r="E366" s="342">
        <v>-0.002342620076</v>
      </c>
      <c r="F366" s="342">
        <v>-0.7717538764</v>
      </c>
      <c r="G366" s="342">
        <v>-0.295471296</v>
      </c>
      <c r="H366" s="342">
        <v>1.124672973</v>
      </c>
      <c r="I366" s="343"/>
      <c r="J366" s="342" t="s">
        <v>2248</v>
      </c>
      <c r="K366" s="342" t="s">
        <v>67</v>
      </c>
      <c r="L366" s="342" t="s">
        <v>1380</v>
      </c>
      <c r="M366" s="342" t="s">
        <v>2249</v>
      </c>
      <c r="N366" s="343"/>
      <c r="O366" s="342" t="s">
        <v>1368</v>
      </c>
      <c r="P366" s="342" t="s">
        <v>2250</v>
      </c>
      <c r="Q366" s="342">
        <v>3.0</v>
      </c>
      <c r="R366" s="343"/>
      <c r="S366" s="342" t="s">
        <v>2232</v>
      </c>
      <c r="T366" s="342">
        <v>16.0</v>
      </c>
      <c r="U366" s="342">
        <v>15.0</v>
      </c>
      <c r="V366" s="342">
        <v>12.0</v>
      </c>
      <c r="W366" s="341">
        <v>3.448125</v>
      </c>
      <c r="X366" s="5">
        <v>0.6075</v>
      </c>
      <c r="Y366" s="5">
        <v>1.64125</v>
      </c>
      <c r="Z366" s="5">
        <v>1.96</v>
      </c>
      <c r="AA366" s="5">
        <v>0.445</v>
      </c>
      <c r="AB366" s="5">
        <v>0.1225</v>
      </c>
      <c r="AC366" s="5">
        <v>0.4316802678</v>
      </c>
      <c r="AD366" s="5">
        <v>2.986875</v>
      </c>
      <c r="AE366" s="5">
        <v>0.7299651568</v>
      </c>
      <c r="AF366" s="5">
        <v>0.35875</v>
      </c>
      <c r="AG366" s="5">
        <v>0.49</v>
      </c>
      <c r="AH366" s="5">
        <v>13.31756294</v>
      </c>
      <c r="AI366" s="5">
        <v>-2.090925401</v>
      </c>
      <c r="AJ366" s="5">
        <v>-1.015236455</v>
      </c>
      <c r="AK366" s="5">
        <v>-1.65875317</v>
      </c>
      <c r="AL366" s="5">
        <v>-0.8109651262</v>
      </c>
      <c r="AM366" s="5">
        <v>-1.565232629</v>
      </c>
      <c r="AN366" s="5">
        <v>-1.040727426</v>
      </c>
      <c r="AO366" s="5">
        <v>-0.2642136797</v>
      </c>
      <c r="AP366" s="5">
        <v>-0.09174749216</v>
      </c>
      <c r="AQ366" s="5">
        <v>1.592016492</v>
      </c>
    </row>
    <row r="367">
      <c r="A367" s="342">
        <v>366.0</v>
      </c>
      <c r="B367" s="347"/>
      <c r="C367" s="347"/>
      <c r="D367" s="341">
        <v>-1.069064936</v>
      </c>
      <c r="E367" s="342">
        <v>-0.002767290908</v>
      </c>
      <c r="F367" s="342">
        <v>-0.7625224809</v>
      </c>
      <c r="G367" s="342">
        <v>-0.3065424554</v>
      </c>
      <c r="H367" s="342">
        <v>-0.8401026082</v>
      </c>
      <c r="I367" s="343"/>
      <c r="J367" s="342" t="s">
        <v>2251</v>
      </c>
      <c r="K367" s="342" t="s">
        <v>93</v>
      </c>
      <c r="L367" s="342" t="s">
        <v>1404</v>
      </c>
      <c r="M367" s="342" t="s">
        <v>2252</v>
      </c>
      <c r="N367" s="343"/>
      <c r="O367" s="342" t="s">
        <v>1374</v>
      </c>
      <c r="P367" s="343"/>
      <c r="Q367" s="342">
        <v>4.0</v>
      </c>
      <c r="R367" s="343"/>
      <c r="S367" s="342" t="s">
        <v>1960</v>
      </c>
      <c r="T367" s="342">
        <v>25.0</v>
      </c>
      <c r="U367" s="342">
        <v>16.0</v>
      </c>
      <c r="V367" s="342">
        <v>11.0</v>
      </c>
      <c r="W367" s="341">
        <v>4.2764</v>
      </c>
      <c r="X367" s="5">
        <v>0.4388</v>
      </c>
      <c r="Y367" s="5">
        <v>2.9792</v>
      </c>
      <c r="Z367" s="5">
        <v>0.5132</v>
      </c>
      <c r="AA367" s="5">
        <v>0.34</v>
      </c>
      <c r="AB367" s="5">
        <v>0.4584</v>
      </c>
      <c r="AC367" s="5">
        <v>0.4551804424</v>
      </c>
      <c r="AD367" s="5">
        <v>3.436</v>
      </c>
      <c r="AE367" s="5">
        <v>0.7118780096</v>
      </c>
      <c r="AF367" s="5">
        <v>0.9968</v>
      </c>
      <c r="AG367" s="5">
        <v>0.4124</v>
      </c>
      <c r="AH367" s="5">
        <v>16.6135473</v>
      </c>
      <c r="AI367" s="5">
        <v>-1.951868157</v>
      </c>
      <c r="AJ367" s="5">
        <v>-1.180862672</v>
      </c>
      <c r="AK367" s="5">
        <v>-1.123379871</v>
      </c>
      <c r="AL367" s="5">
        <v>-1.479176851</v>
      </c>
      <c r="AM367" s="5">
        <v>-1.8966957</v>
      </c>
      <c r="AN367" s="5">
        <v>-0.4265859953</v>
      </c>
      <c r="AO367" s="5">
        <v>-0.1790780504</v>
      </c>
      <c r="AP367" s="5">
        <v>-0.3148721936</v>
      </c>
      <c r="AQ367" s="5">
        <v>1.689817163</v>
      </c>
    </row>
    <row r="368">
      <c r="A368" s="342">
        <v>367.0</v>
      </c>
      <c r="B368" s="347"/>
      <c r="C368" s="347"/>
      <c r="D368" s="341">
        <v>-1.070713856</v>
      </c>
      <c r="E368" s="342">
        <v>-0.003034360725</v>
      </c>
      <c r="F368" s="342">
        <v>-0.7770597402</v>
      </c>
      <c r="G368" s="342">
        <v>-0.2936541161</v>
      </c>
      <c r="H368" s="342">
        <v>0.4160653864</v>
      </c>
      <c r="I368" s="343"/>
      <c r="J368" s="342" t="s">
        <v>2253</v>
      </c>
      <c r="K368" s="342" t="s">
        <v>1365</v>
      </c>
      <c r="L368" s="342" t="s">
        <v>1404</v>
      </c>
      <c r="M368" s="342" t="s">
        <v>2254</v>
      </c>
      <c r="N368" s="343"/>
      <c r="O368" s="342" t="s">
        <v>1368</v>
      </c>
      <c r="P368" s="342" t="s">
        <v>1812</v>
      </c>
      <c r="Q368" s="342">
        <v>4.0</v>
      </c>
      <c r="R368" s="343"/>
      <c r="S368" s="342" t="s">
        <v>1960</v>
      </c>
      <c r="T368" s="342">
        <v>47.0</v>
      </c>
      <c r="U368" s="342">
        <v>15.0</v>
      </c>
      <c r="V368" s="342">
        <v>11.0</v>
      </c>
      <c r="W368" s="341">
        <v>4.780212766</v>
      </c>
      <c r="X368" s="5">
        <v>0.4480851064</v>
      </c>
      <c r="Y368" s="5">
        <v>3.414680851</v>
      </c>
      <c r="Z368" s="5">
        <v>1.011914894</v>
      </c>
      <c r="AA368" s="5">
        <v>0.204893617</v>
      </c>
      <c r="AB368" s="5">
        <v>0.23</v>
      </c>
      <c r="AC368" s="5">
        <v>0.4969798658</v>
      </c>
      <c r="AD368" s="5">
        <v>3.804255319</v>
      </c>
      <c r="AE368" s="5">
        <v>0.7239932886</v>
      </c>
      <c r="AF368" s="5">
        <v>0.7608510638</v>
      </c>
      <c r="AG368" s="5">
        <v>0.5057446809</v>
      </c>
      <c r="AH368" s="5">
        <v>18.31948894</v>
      </c>
      <c r="AI368" s="5">
        <v>-1.867284154</v>
      </c>
      <c r="AJ368" s="5">
        <v>-1.171746744</v>
      </c>
      <c r="AK368" s="5">
        <v>-0.9491246151</v>
      </c>
      <c r="AL368" s="5">
        <v>-1.248842914</v>
      </c>
      <c r="AM368" s="5">
        <v>-2.323198335</v>
      </c>
      <c r="AN368" s="5">
        <v>-0.8441802281</v>
      </c>
      <c r="AO368" s="5">
        <v>0.04589301292</v>
      </c>
      <c r="AP368" s="5">
        <v>-0.2072268726</v>
      </c>
      <c r="AQ368" s="5">
        <v>1.572173189</v>
      </c>
    </row>
    <row r="369">
      <c r="A369" s="342">
        <v>368.0</v>
      </c>
      <c r="B369" s="347"/>
      <c r="C369" s="347"/>
      <c r="D369" s="341">
        <v>-1.071430555</v>
      </c>
      <c r="E369" s="342">
        <v>0.1212798893</v>
      </c>
      <c r="F369" s="342">
        <v>-0.7775925237</v>
      </c>
      <c r="G369" s="342">
        <v>-0.2938380309</v>
      </c>
      <c r="H369" s="342">
        <v>0.2872276434</v>
      </c>
      <c r="I369" s="343"/>
      <c r="J369" s="342" t="s">
        <v>2255</v>
      </c>
      <c r="K369" s="342" t="s">
        <v>287</v>
      </c>
      <c r="L369" s="342" t="s">
        <v>1404</v>
      </c>
      <c r="M369" s="342" t="s">
        <v>2256</v>
      </c>
      <c r="N369" s="343"/>
      <c r="O369" s="342" t="s">
        <v>1374</v>
      </c>
      <c r="P369" s="343"/>
      <c r="Q369" s="342">
        <v>3.0</v>
      </c>
      <c r="R369" s="343"/>
      <c r="S369" s="342" t="s">
        <v>1960</v>
      </c>
      <c r="T369" s="342">
        <v>44.0</v>
      </c>
      <c r="U369" s="342">
        <v>16.0</v>
      </c>
      <c r="V369" s="342">
        <v>12.0</v>
      </c>
      <c r="W369" s="341">
        <v>3.756818182</v>
      </c>
      <c r="X369" s="5">
        <v>0.7872727273</v>
      </c>
      <c r="Y369" s="5">
        <v>2.86</v>
      </c>
      <c r="Z369" s="5">
        <v>0.6556818182</v>
      </c>
      <c r="AA369" s="5">
        <v>0.3838636364</v>
      </c>
      <c r="AB369" s="5">
        <v>0.3115909091</v>
      </c>
      <c r="AC369" s="5">
        <v>0.3988885877</v>
      </c>
      <c r="AD369" s="5">
        <v>3.353636364</v>
      </c>
      <c r="AE369" s="5">
        <v>0.6785527006</v>
      </c>
      <c r="AF369" s="5">
        <v>0.4334090909</v>
      </c>
      <c r="AG369" s="5">
        <v>0.505</v>
      </c>
      <c r="AH369" s="5">
        <v>14.19274234</v>
      </c>
      <c r="AI369" s="5">
        <v>-2.03909959</v>
      </c>
      <c r="AJ369" s="5">
        <v>-0.8387392611</v>
      </c>
      <c r="AK369" s="5">
        <v>-1.171077092</v>
      </c>
      <c r="AL369" s="5">
        <v>-1.41337092</v>
      </c>
      <c r="AM369" s="5">
        <v>-1.758227361</v>
      </c>
      <c r="AN369" s="5">
        <v>-0.6950038136</v>
      </c>
      <c r="AO369" s="5">
        <v>-0.4637075697</v>
      </c>
      <c r="AP369" s="5">
        <v>-0.1922188292</v>
      </c>
      <c r="AQ369" s="5">
        <v>1.573111723</v>
      </c>
    </row>
    <row r="370">
      <c r="A370" s="342">
        <v>369.0</v>
      </c>
      <c r="B370" s="347"/>
      <c r="C370" s="347"/>
      <c r="D370" s="341">
        <v>-1.071636707</v>
      </c>
      <c r="E370" s="342">
        <v>-0.003765934883</v>
      </c>
      <c r="F370" s="342">
        <v>-0.7882224055</v>
      </c>
      <c r="G370" s="342">
        <v>-0.2834143015</v>
      </c>
      <c r="H370" s="342">
        <v>-0.1153903036</v>
      </c>
      <c r="I370" s="343"/>
      <c r="J370" s="342" t="s">
        <v>2257</v>
      </c>
      <c r="K370" s="342" t="s">
        <v>148</v>
      </c>
      <c r="L370" s="342" t="s">
        <v>1404</v>
      </c>
      <c r="M370" s="342" t="s">
        <v>2258</v>
      </c>
      <c r="N370" s="343"/>
      <c r="O370" s="342" t="s">
        <v>1378</v>
      </c>
      <c r="P370" s="342" t="s">
        <v>1416</v>
      </c>
      <c r="Q370" s="342">
        <v>4.0</v>
      </c>
      <c r="R370" s="343"/>
      <c r="S370" s="342" t="s">
        <v>1960</v>
      </c>
      <c r="T370" s="342">
        <v>50.0</v>
      </c>
      <c r="U370" s="342">
        <v>15.0</v>
      </c>
      <c r="V370" s="342">
        <v>12.0</v>
      </c>
      <c r="W370" s="341">
        <v>5.0732</v>
      </c>
      <c r="X370" s="5">
        <v>1.1678</v>
      </c>
      <c r="Y370" s="5">
        <v>1.414</v>
      </c>
      <c r="Z370" s="5">
        <v>1.3888</v>
      </c>
      <c r="AA370" s="5">
        <v>0.4056</v>
      </c>
      <c r="AB370" s="5">
        <v>0.0756</v>
      </c>
      <c r="AC370" s="5">
        <v>0.4079189253</v>
      </c>
      <c r="AD370" s="5">
        <v>4.243</v>
      </c>
      <c r="AE370" s="5">
        <v>0.7421404682</v>
      </c>
      <c r="AF370" s="5">
        <v>0.598</v>
      </c>
      <c r="AG370" s="5">
        <v>0.5796</v>
      </c>
      <c r="AH370" s="5">
        <v>18.0773786</v>
      </c>
      <c r="AI370" s="5">
        <v>-1.81809518</v>
      </c>
      <c r="AJ370" s="5">
        <v>-0.4651453519</v>
      </c>
      <c r="AK370" s="5">
        <v>-1.749686002</v>
      </c>
      <c r="AL370" s="5">
        <v>-1.074776667</v>
      </c>
      <c r="AM370" s="5">
        <v>-1.6896102</v>
      </c>
      <c r="AN370" s="5">
        <v>-1.126476855</v>
      </c>
      <c r="AO370" s="5">
        <v>-0.5256507286</v>
      </c>
      <c r="AP370" s="5">
        <v>-0.123652671</v>
      </c>
      <c r="AQ370" s="5">
        <v>1.479092006</v>
      </c>
    </row>
    <row r="371">
      <c r="A371" s="342">
        <v>370.0</v>
      </c>
      <c r="B371" s="347"/>
      <c r="C371" s="347"/>
      <c r="D371" s="341">
        <v>-1.076600558</v>
      </c>
      <c r="E371" s="342">
        <v>-0.01551626659</v>
      </c>
      <c r="F371" s="342">
        <v>-0.7915529447</v>
      </c>
      <c r="G371" s="342">
        <v>-0.2850476134</v>
      </c>
      <c r="H371" s="342">
        <v>0.6254267188</v>
      </c>
      <c r="I371" s="343"/>
      <c r="J371" s="342" t="s">
        <v>2259</v>
      </c>
      <c r="K371" s="342" t="s">
        <v>243</v>
      </c>
      <c r="L371" s="342" t="s">
        <v>1380</v>
      </c>
      <c r="M371" s="342" t="s">
        <v>2260</v>
      </c>
      <c r="N371" s="343"/>
      <c r="O371" s="342" t="s">
        <v>1374</v>
      </c>
      <c r="P371" s="342" t="s">
        <v>1968</v>
      </c>
      <c r="Q371" s="342">
        <v>5.0</v>
      </c>
      <c r="R371" s="343"/>
      <c r="S371" s="342" t="s">
        <v>2232</v>
      </c>
      <c r="T371" s="342">
        <v>16.0</v>
      </c>
      <c r="U371" s="342">
        <v>13.0</v>
      </c>
      <c r="V371" s="342">
        <v>14.0</v>
      </c>
      <c r="W371" s="341">
        <v>4.8025</v>
      </c>
      <c r="X371" s="5">
        <v>1.01875</v>
      </c>
      <c r="Y371" s="5">
        <v>1.94375</v>
      </c>
      <c r="Z371" s="5">
        <v>0.68625</v>
      </c>
      <c r="AA371" s="5">
        <v>0.4575</v>
      </c>
      <c r="AB371" s="5">
        <v>0.143125</v>
      </c>
      <c r="AC371" s="5">
        <v>0.3846481271</v>
      </c>
      <c r="AD371" s="5">
        <v>4.405</v>
      </c>
      <c r="AE371" s="5">
        <v>0.815483871</v>
      </c>
      <c r="AF371" s="5">
        <v>0.484375</v>
      </c>
      <c r="AG371" s="5">
        <v>0.571875</v>
      </c>
      <c r="AH371" s="5">
        <v>16.3118384</v>
      </c>
      <c r="AI371" s="5">
        <v>-1.8635424</v>
      </c>
      <c r="AJ371" s="5">
        <v>-0.6114795996</v>
      </c>
      <c r="AK371" s="5">
        <v>-1.537709467</v>
      </c>
      <c r="AL371" s="5">
        <v>-1.399252854</v>
      </c>
      <c r="AM371" s="5">
        <v>-1.525772739</v>
      </c>
      <c r="AN371" s="5">
        <v>-1.003017789</v>
      </c>
      <c r="AO371" s="5">
        <v>-0.7021337784</v>
      </c>
      <c r="AP371" s="5">
        <v>0.03010416311</v>
      </c>
      <c r="AQ371" s="5">
        <v>1.488827962</v>
      </c>
    </row>
    <row r="372">
      <c r="A372" s="342">
        <v>371.0</v>
      </c>
      <c r="B372" s="347"/>
      <c r="C372" s="347"/>
      <c r="D372" s="341">
        <v>-1.077440917</v>
      </c>
      <c r="E372" s="342">
        <v>-0.003961186173</v>
      </c>
      <c r="F372" s="342">
        <v>-0.7814471927</v>
      </c>
      <c r="G372" s="342">
        <v>-0.2959937242</v>
      </c>
      <c r="H372" s="342">
        <v>0.46437954</v>
      </c>
      <c r="I372" s="343"/>
      <c r="J372" s="342" t="s">
        <v>2261</v>
      </c>
      <c r="K372" s="342" t="s">
        <v>169</v>
      </c>
      <c r="L372" s="342" t="s">
        <v>1380</v>
      </c>
      <c r="M372" s="342" t="s">
        <v>2262</v>
      </c>
      <c r="N372" s="343"/>
      <c r="O372" s="342" t="s">
        <v>1374</v>
      </c>
      <c r="P372" s="342" t="s">
        <v>2102</v>
      </c>
      <c r="Q372" s="342">
        <v>3.0</v>
      </c>
      <c r="R372" s="343"/>
      <c r="S372" s="342" t="s">
        <v>2232</v>
      </c>
      <c r="T372" s="342">
        <v>16.0</v>
      </c>
      <c r="U372" s="342">
        <v>15.0</v>
      </c>
      <c r="V372" s="342">
        <v>11.0</v>
      </c>
      <c r="W372" s="341">
        <v>3.215625</v>
      </c>
      <c r="X372" s="5">
        <v>0.559375</v>
      </c>
      <c r="Y372" s="5">
        <v>1.11125</v>
      </c>
      <c r="Z372" s="5">
        <v>1.300625</v>
      </c>
      <c r="AA372" s="5">
        <v>0.536875</v>
      </c>
      <c r="AB372" s="5">
        <v>0.171875</v>
      </c>
      <c r="AC372" s="5">
        <v>0.4243670201</v>
      </c>
      <c r="AD372" s="5">
        <v>2.888125</v>
      </c>
      <c r="AE372" s="5">
        <v>0.8864864865</v>
      </c>
      <c r="AF372" s="5">
        <v>0.23125</v>
      </c>
      <c r="AG372" s="5">
        <v>0.494375</v>
      </c>
      <c r="AH372" s="5">
        <v>14.44937902</v>
      </c>
      <c r="AI372" s="5">
        <v>-2.129959308</v>
      </c>
      <c r="AJ372" s="5">
        <v>-1.062484598</v>
      </c>
      <c r="AK372" s="5">
        <v>-1.870829741</v>
      </c>
      <c r="AL372" s="5">
        <v>-1.115500726</v>
      </c>
      <c r="AM372" s="5">
        <v>-1.275202441</v>
      </c>
      <c r="AN372" s="5">
        <v>-0.950452841</v>
      </c>
      <c r="AO372" s="5">
        <v>-0.2880827309</v>
      </c>
      <c r="AP372" s="5">
        <v>0.07298505079</v>
      </c>
      <c r="AQ372" s="5">
        <v>1.586502601</v>
      </c>
    </row>
    <row r="373">
      <c r="A373" s="342">
        <v>372.0</v>
      </c>
      <c r="B373" s="347"/>
      <c r="C373" s="347"/>
      <c r="D373" s="341">
        <v>-1.07852007</v>
      </c>
      <c r="E373" s="342">
        <v>-0.002439237719</v>
      </c>
      <c r="F373" s="342">
        <v>-0.798144969</v>
      </c>
      <c r="G373" s="342">
        <v>-0.2803751012</v>
      </c>
      <c r="H373" s="342">
        <v>0.5771125652</v>
      </c>
      <c r="I373" s="343"/>
      <c r="J373" s="342" t="s">
        <v>2263</v>
      </c>
      <c r="K373" s="342" t="s">
        <v>180</v>
      </c>
      <c r="L373" s="342" t="s">
        <v>1404</v>
      </c>
      <c r="M373" s="342" t="s">
        <v>2264</v>
      </c>
      <c r="N373" s="343"/>
      <c r="O373" s="342" t="s">
        <v>1374</v>
      </c>
      <c r="P373" s="342" t="s">
        <v>1551</v>
      </c>
      <c r="Q373" s="342">
        <v>5.0</v>
      </c>
      <c r="R373" s="343"/>
      <c r="S373" s="342" t="s">
        <v>1434</v>
      </c>
      <c r="T373" s="342">
        <v>68.0</v>
      </c>
      <c r="U373" s="342">
        <v>16.0</v>
      </c>
      <c r="V373" s="342">
        <v>13.0</v>
      </c>
      <c r="W373" s="341">
        <v>3.397647059</v>
      </c>
      <c r="X373" s="5">
        <v>0.2217647059</v>
      </c>
      <c r="Y373" s="5">
        <v>2.270441176</v>
      </c>
      <c r="Z373" s="5">
        <v>0.9652941176</v>
      </c>
      <c r="AA373" s="5">
        <v>0.5110294118</v>
      </c>
      <c r="AB373" s="5">
        <v>0.1933823529</v>
      </c>
      <c r="AC373" s="5">
        <v>0.4805815575</v>
      </c>
      <c r="AD373" s="5">
        <v>2.953529412</v>
      </c>
      <c r="AE373" s="5">
        <v>0.713130056</v>
      </c>
      <c r="AF373" s="5">
        <v>0.4726470588</v>
      </c>
      <c r="AG373" s="5">
        <v>0.6067647059</v>
      </c>
      <c r="AH373" s="5">
        <v>12.1402571</v>
      </c>
      <c r="AI373" s="5">
        <v>-2.09940003</v>
      </c>
      <c r="AJ373" s="5">
        <v>-1.393943494</v>
      </c>
      <c r="AK373" s="5">
        <v>-1.406985798</v>
      </c>
      <c r="AL373" s="5">
        <v>-1.27037495</v>
      </c>
      <c r="AM373" s="5">
        <v>-1.356791566</v>
      </c>
      <c r="AN373" s="5">
        <v>-0.9111299577</v>
      </c>
      <c r="AO373" s="5">
        <v>-0.0404896002</v>
      </c>
      <c r="AP373" s="5">
        <v>-0.1490451665</v>
      </c>
      <c r="AQ373" s="5">
        <v>1.444855841</v>
      </c>
    </row>
    <row r="374">
      <c r="A374" s="342">
        <v>373.0</v>
      </c>
      <c r="B374" s="341">
        <v>1.0</v>
      </c>
      <c r="C374" s="341">
        <v>-0.1</v>
      </c>
      <c r="D374" s="341">
        <v>-1.079098597</v>
      </c>
      <c r="E374" s="342">
        <v>0.03206957917</v>
      </c>
      <c r="F374" s="342">
        <v>-0.7867474489</v>
      </c>
      <c r="G374" s="342">
        <v>-0.2923511477</v>
      </c>
      <c r="H374" s="342">
        <v>-0.9045214797</v>
      </c>
      <c r="I374" s="343"/>
      <c r="J374" s="342" t="s">
        <v>2265</v>
      </c>
      <c r="K374" s="342" t="s">
        <v>67</v>
      </c>
      <c r="L374" s="342" t="s">
        <v>1404</v>
      </c>
      <c r="M374" s="342" t="s">
        <v>2266</v>
      </c>
      <c r="N374" s="343"/>
      <c r="O374" s="342" t="s">
        <v>1368</v>
      </c>
      <c r="P374" s="342" t="s">
        <v>1899</v>
      </c>
      <c r="Q374" s="342">
        <v>1.0</v>
      </c>
      <c r="R374" s="343"/>
      <c r="S374" s="342" t="s">
        <v>1960</v>
      </c>
      <c r="T374" s="342">
        <v>47.0</v>
      </c>
      <c r="U374" s="342">
        <v>15.0</v>
      </c>
      <c r="V374" s="342">
        <v>14.0</v>
      </c>
      <c r="W374" s="341">
        <v>3.640851064</v>
      </c>
      <c r="X374" s="5">
        <v>0.1044680851</v>
      </c>
      <c r="Y374" s="5">
        <v>2.80106383</v>
      </c>
      <c r="Z374" s="5">
        <v>0.7395744681</v>
      </c>
      <c r="AA374" s="5">
        <v>0.3057446809</v>
      </c>
      <c r="AB374" s="5">
        <v>0.3429787234</v>
      </c>
      <c r="AC374" s="5">
        <v>0.5701760849</v>
      </c>
      <c r="AD374" s="5">
        <v>2.88787234</v>
      </c>
      <c r="AE374" s="5">
        <v>0.6479591837</v>
      </c>
      <c r="AF374" s="5">
        <v>0.3753191489</v>
      </c>
      <c r="AG374" s="5">
        <v>0.5217021277</v>
      </c>
      <c r="AH374" s="5">
        <v>11.2265889</v>
      </c>
      <c r="AI374" s="5">
        <v>-2.058569051</v>
      </c>
      <c r="AJ374" s="5">
        <v>-1.509102922</v>
      </c>
      <c r="AK374" s="5">
        <v>-1.194660075</v>
      </c>
      <c r="AL374" s="5">
        <v>-1.374624685</v>
      </c>
      <c r="AM374" s="5">
        <v>-2.004832589</v>
      </c>
      <c r="AN374" s="5">
        <v>-0.637616028</v>
      </c>
      <c r="AO374" s="5">
        <v>0.355890074</v>
      </c>
      <c r="AP374" s="5">
        <v>-0.2092734966</v>
      </c>
      <c r="AQ374" s="5">
        <v>1.552061732</v>
      </c>
    </row>
    <row r="375">
      <c r="A375" s="342">
        <v>374.0</v>
      </c>
      <c r="B375" s="347"/>
      <c r="C375" s="347"/>
      <c r="D375" s="341">
        <v>-1.08227917</v>
      </c>
      <c r="E375" s="342">
        <v>-0.004175501802</v>
      </c>
      <c r="F375" s="342">
        <v>-0.8196452829</v>
      </c>
      <c r="G375" s="342">
        <v>-0.2626338873</v>
      </c>
      <c r="H375" s="342">
        <v>0.206704054</v>
      </c>
      <c r="I375" s="343"/>
      <c r="J375" s="342" t="s">
        <v>2267</v>
      </c>
      <c r="K375" s="342" t="s">
        <v>45</v>
      </c>
      <c r="L375" s="342" t="s">
        <v>1404</v>
      </c>
      <c r="M375" s="342" t="s">
        <v>2268</v>
      </c>
      <c r="N375" s="343"/>
      <c r="O375" s="342" t="s">
        <v>1368</v>
      </c>
      <c r="P375" s="343"/>
      <c r="Q375" s="342">
        <v>4.0</v>
      </c>
      <c r="R375" s="343"/>
      <c r="S375" s="342" t="s">
        <v>1434</v>
      </c>
      <c r="T375" s="342">
        <v>73.0</v>
      </c>
      <c r="U375" s="342">
        <v>16.0</v>
      </c>
      <c r="V375" s="342">
        <v>14.0</v>
      </c>
      <c r="W375" s="341">
        <v>5.043424658</v>
      </c>
      <c r="X375" s="5">
        <v>0.7804109589</v>
      </c>
      <c r="Y375" s="5">
        <v>1.826438356</v>
      </c>
      <c r="Z375" s="5">
        <v>1.312191781</v>
      </c>
      <c r="AA375" s="5">
        <v>0.3336986301</v>
      </c>
      <c r="AB375" s="5">
        <v>0.1738356164</v>
      </c>
      <c r="AC375" s="5">
        <v>0.4228032893</v>
      </c>
      <c r="AD375" s="5">
        <v>4.447808219</v>
      </c>
      <c r="AE375" s="5">
        <v>0.805983282</v>
      </c>
      <c r="AF375" s="5">
        <v>0.622739726</v>
      </c>
      <c r="AG375" s="5">
        <v>0.7364383562</v>
      </c>
      <c r="AH375" s="5">
        <v>16.99263899</v>
      </c>
      <c r="AI375" s="5">
        <v>-1.823094096</v>
      </c>
      <c r="AJ375" s="5">
        <v>-0.8454760053</v>
      </c>
      <c r="AK375" s="5">
        <v>-1.584651073</v>
      </c>
      <c r="AL375" s="5">
        <v>-1.110158551</v>
      </c>
      <c r="AM375" s="5">
        <v>-1.916587809</v>
      </c>
      <c r="AN375" s="5">
        <v>-0.9468681557</v>
      </c>
      <c r="AO375" s="5">
        <v>-0.4493377977</v>
      </c>
      <c r="AP375" s="5">
        <v>0.01794012647</v>
      </c>
      <c r="AQ375" s="5">
        <v>1.281425816</v>
      </c>
    </row>
    <row r="376">
      <c r="A376" s="342">
        <v>375.0</v>
      </c>
      <c r="B376" s="347"/>
      <c r="C376" s="347"/>
      <c r="D376" s="341">
        <v>-1.084768664</v>
      </c>
      <c r="E376" s="342">
        <v>-0.07104220199</v>
      </c>
      <c r="F376" s="342">
        <v>-0.7906401496</v>
      </c>
      <c r="G376" s="342">
        <v>-0.2941285144</v>
      </c>
      <c r="H376" s="342">
        <v>0.1100757467</v>
      </c>
      <c r="I376" s="343"/>
      <c r="J376" s="342" t="s">
        <v>2269</v>
      </c>
      <c r="K376" s="342" t="s">
        <v>102</v>
      </c>
      <c r="L376" s="342" t="s">
        <v>1404</v>
      </c>
      <c r="M376" s="342" t="s">
        <v>2270</v>
      </c>
      <c r="N376" s="343"/>
      <c r="O376" s="342" t="s">
        <v>1368</v>
      </c>
      <c r="P376" s="342" t="s">
        <v>2227</v>
      </c>
      <c r="Q376" s="342">
        <v>2.0</v>
      </c>
      <c r="R376" s="343"/>
      <c r="S376" s="342" t="s">
        <v>1434</v>
      </c>
      <c r="T376" s="342">
        <v>57.0</v>
      </c>
      <c r="U376" s="342">
        <v>16.0</v>
      </c>
      <c r="V376" s="342">
        <v>14.0</v>
      </c>
      <c r="W376" s="341">
        <v>5.650877193</v>
      </c>
      <c r="X376" s="5">
        <v>0.4564912281</v>
      </c>
      <c r="Y376" s="5">
        <v>2.265614035</v>
      </c>
      <c r="Z376" s="5">
        <v>0.7152631579</v>
      </c>
      <c r="AA376" s="5">
        <v>0.4126315789</v>
      </c>
      <c r="AB376" s="5">
        <v>0.1375438596</v>
      </c>
      <c r="AC376" s="5">
        <v>0.4731918355</v>
      </c>
      <c r="AD376" s="5">
        <v>4.744561404</v>
      </c>
      <c r="AE376" s="5">
        <v>0.7392265193</v>
      </c>
      <c r="AF376" s="5">
        <v>0.9526315789</v>
      </c>
      <c r="AG376" s="5">
        <v>0.5135087719</v>
      </c>
      <c r="AH376" s="5">
        <v>18.03807223</v>
      </c>
      <c r="AI376" s="5">
        <v>-1.721110244</v>
      </c>
      <c r="AJ376" s="5">
        <v>-1.163493785</v>
      </c>
      <c r="AK376" s="5">
        <v>-1.408917352</v>
      </c>
      <c r="AL376" s="5">
        <v>-1.385852984</v>
      </c>
      <c r="AM376" s="5">
        <v>-1.667412974</v>
      </c>
      <c r="AN376" s="5">
        <v>-1.013222045</v>
      </c>
      <c r="AO376" s="5">
        <v>-0.113096262</v>
      </c>
      <c r="AP376" s="5">
        <v>-0.2050436663</v>
      </c>
      <c r="AQ376" s="5">
        <v>1.562387966</v>
      </c>
    </row>
    <row r="377">
      <c r="A377" s="342">
        <v>376.0</v>
      </c>
      <c r="B377" s="347"/>
      <c r="C377" s="347"/>
      <c r="D377" s="341">
        <v>-1.08848794</v>
      </c>
      <c r="E377" s="342">
        <v>-0.004821140831</v>
      </c>
      <c r="F377" s="342">
        <v>-0.7781384575</v>
      </c>
      <c r="G377" s="342">
        <v>-0.3103494829</v>
      </c>
      <c r="H377" s="342">
        <v>0.2872276434</v>
      </c>
      <c r="I377" s="343"/>
      <c r="J377" s="342" t="s">
        <v>2271</v>
      </c>
      <c r="K377" s="342" t="s">
        <v>173</v>
      </c>
      <c r="L377" s="342" t="s">
        <v>34</v>
      </c>
      <c r="M377" s="342" t="s">
        <v>2272</v>
      </c>
      <c r="N377" s="343"/>
      <c r="O377" s="342" t="s">
        <v>1368</v>
      </c>
      <c r="P377" s="342" t="s">
        <v>2273</v>
      </c>
      <c r="Q377" s="342">
        <v>2.0</v>
      </c>
      <c r="R377" s="343"/>
      <c r="S377" s="342" t="s">
        <v>2232</v>
      </c>
      <c r="T377" s="342">
        <v>16.0</v>
      </c>
      <c r="U377" s="342">
        <v>15.0</v>
      </c>
      <c r="V377" s="342">
        <v>10.0</v>
      </c>
      <c r="W377" s="341">
        <v>3.08</v>
      </c>
      <c r="X377" s="5">
        <v>0.330625</v>
      </c>
      <c r="Y377" s="5">
        <v>2.136875</v>
      </c>
      <c r="Z377" s="5">
        <v>0.44125</v>
      </c>
      <c r="AA377" s="5">
        <v>0.3125</v>
      </c>
      <c r="AB377" s="5">
        <v>0.523125</v>
      </c>
      <c r="AC377" s="5">
        <v>0.5147058824</v>
      </c>
      <c r="AD377" s="5">
        <v>2.295</v>
      </c>
      <c r="AE377" s="5">
        <v>0.7512135922</v>
      </c>
      <c r="AF377" s="5">
        <v>0.515</v>
      </c>
      <c r="AG377" s="5">
        <v>0.400625</v>
      </c>
      <c r="AH377" s="5">
        <v>12.69118002</v>
      </c>
      <c r="AI377" s="5">
        <v>-2.152729087</v>
      </c>
      <c r="AJ377" s="5">
        <v>-1.287066679</v>
      </c>
      <c r="AK377" s="5">
        <v>-1.460431565</v>
      </c>
      <c r="AL377" s="5">
        <v>-1.512407314</v>
      </c>
      <c r="AM377" s="5">
        <v>-1.983507457</v>
      </c>
      <c r="AN377" s="5">
        <v>-0.3082462987</v>
      </c>
      <c r="AO377" s="5">
        <v>0.08625857239</v>
      </c>
      <c r="AP377" s="5">
        <v>-0.08977369572</v>
      </c>
      <c r="AQ377" s="5">
        <v>1.704657406</v>
      </c>
    </row>
    <row r="378">
      <c r="A378" s="342">
        <v>377.0</v>
      </c>
      <c r="B378" s="347"/>
      <c r="C378" s="347"/>
      <c r="D378" s="341">
        <v>-1.096647306</v>
      </c>
      <c r="E378" s="342">
        <v>-0.003036611887</v>
      </c>
      <c r="F378" s="342">
        <v>-0.8176844755</v>
      </c>
      <c r="G378" s="342">
        <v>-0.2789628303</v>
      </c>
      <c r="H378" s="342">
        <v>0.1422851825</v>
      </c>
      <c r="I378" s="343"/>
      <c r="J378" s="342" t="s">
        <v>2274</v>
      </c>
      <c r="K378" s="342" t="s">
        <v>74</v>
      </c>
      <c r="L378" s="342" t="s">
        <v>1380</v>
      </c>
      <c r="M378" s="342" t="s">
        <v>2275</v>
      </c>
      <c r="N378" s="342" t="s">
        <v>2276</v>
      </c>
      <c r="O378" s="342" t="s">
        <v>1368</v>
      </c>
      <c r="P378" s="343"/>
      <c r="Q378" s="342">
        <v>3.0</v>
      </c>
      <c r="R378" s="343"/>
      <c r="S378" s="342" t="s">
        <v>1434</v>
      </c>
      <c r="T378" s="342">
        <v>73.0</v>
      </c>
      <c r="U378" s="342">
        <v>16.0</v>
      </c>
      <c r="V378" s="342">
        <v>13.0</v>
      </c>
      <c r="W378" s="341">
        <v>2.664383562</v>
      </c>
      <c r="X378" s="5">
        <v>0.3405479452</v>
      </c>
      <c r="Y378" s="5">
        <v>2.842191781</v>
      </c>
      <c r="Z378" s="5">
        <v>1.072465753</v>
      </c>
      <c r="AA378" s="5">
        <v>0.3667123288</v>
      </c>
      <c r="AB378" s="5">
        <v>0.2145205479</v>
      </c>
      <c r="AC378" s="5">
        <v>0.4561759926</v>
      </c>
      <c r="AD378" s="5">
        <v>2.36</v>
      </c>
      <c r="AE378" s="5">
        <v>0.7235772358</v>
      </c>
      <c r="AF378" s="5">
        <v>0.235890411</v>
      </c>
      <c r="AG378" s="5">
        <v>0.6312328767</v>
      </c>
      <c r="AH378" s="5">
        <v>10.60448095</v>
      </c>
      <c r="AI378" s="5">
        <v>-2.222506004</v>
      </c>
      <c r="AJ378" s="5">
        <v>-1.277324534</v>
      </c>
      <c r="AK378" s="5">
        <v>-1.178202953</v>
      </c>
      <c r="AL378" s="5">
        <v>-1.220877201</v>
      </c>
      <c r="AM378" s="5">
        <v>-1.812370457</v>
      </c>
      <c r="AN378" s="5">
        <v>-0.8724820228</v>
      </c>
      <c r="AO378" s="5">
        <v>-0.122279499</v>
      </c>
      <c r="AP378" s="5">
        <v>-0.06713577523</v>
      </c>
      <c r="AQ378" s="5">
        <v>1.414018167</v>
      </c>
    </row>
    <row r="379">
      <c r="A379" s="342">
        <v>378.0</v>
      </c>
      <c r="B379" s="347"/>
      <c r="C379" s="347"/>
      <c r="D379" s="341">
        <v>-1.108055592</v>
      </c>
      <c r="E379" s="342">
        <v>-0.003116975636</v>
      </c>
      <c r="F379" s="342">
        <v>-0.7908057337</v>
      </c>
      <c r="G379" s="342">
        <v>-0.3172498587</v>
      </c>
      <c r="H379" s="342">
        <v>0.5126936937</v>
      </c>
      <c r="I379" s="343"/>
      <c r="J379" s="342" t="s">
        <v>2277</v>
      </c>
      <c r="K379" s="342" t="s">
        <v>93</v>
      </c>
      <c r="L379" s="342" t="s">
        <v>1404</v>
      </c>
      <c r="M379" s="342" t="s">
        <v>2278</v>
      </c>
      <c r="N379" s="342" t="s">
        <v>2279</v>
      </c>
      <c r="O379" s="342" t="s">
        <v>1368</v>
      </c>
      <c r="P379" s="342" t="s">
        <v>2280</v>
      </c>
      <c r="Q379" s="342">
        <v>4.0</v>
      </c>
      <c r="R379" s="343"/>
      <c r="S379" s="342" t="s">
        <v>2232</v>
      </c>
      <c r="T379" s="342">
        <v>16.0</v>
      </c>
      <c r="U379" s="342">
        <v>16.0</v>
      </c>
      <c r="V379" s="342">
        <v>11.0</v>
      </c>
      <c r="W379" s="341">
        <v>3.851875</v>
      </c>
      <c r="X379" s="5">
        <v>0.045</v>
      </c>
      <c r="Y379" s="5">
        <v>2.773125</v>
      </c>
      <c r="Z379" s="5">
        <v>0.916875</v>
      </c>
      <c r="AA379" s="5">
        <v>0.27</v>
      </c>
      <c r="AB379" s="5">
        <v>0.44</v>
      </c>
      <c r="AC379" s="5">
        <v>0.522851153</v>
      </c>
      <c r="AD379" s="5">
        <v>2.98125</v>
      </c>
      <c r="AE379" s="5">
        <v>0.701207883</v>
      </c>
      <c r="AF379" s="5">
        <v>0.983125</v>
      </c>
      <c r="AG379" s="5">
        <v>0.366875</v>
      </c>
      <c r="AH379" s="5">
        <v>14.65149416</v>
      </c>
      <c r="AI379" s="5">
        <v>-2.023140713</v>
      </c>
      <c r="AJ379" s="5">
        <v>-1.567487474</v>
      </c>
      <c r="AK379" s="5">
        <v>-1.205839644</v>
      </c>
      <c r="AL379" s="5">
        <v>-1.292737559</v>
      </c>
      <c r="AM379" s="5">
        <v>-2.117671081</v>
      </c>
      <c r="AN379" s="5">
        <v>-0.4602275623</v>
      </c>
      <c r="AO379" s="5">
        <v>0.1519312978</v>
      </c>
      <c r="AP379" s="5">
        <v>-0.3492720039</v>
      </c>
      <c r="AQ379" s="5">
        <v>1.747193136</v>
      </c>
    </row>
    <row r="380">
      <c r="A380" s="342">
        <v>379.0</v>
      </c>
      <c r="B380" s="347"/>
      <c r="C380" s="347"/>
      <c r="D380" s="341">
        <v>-1.1108682</v>
      </c>
      <c r="E380" s="342">
        <v>-0.002445213881</v>
      </c>
      <c r="F380" s="342">
        <v>-0.8320296929</v>
      </c>
      <c r="G380" s="342">
        <v>-0.2788385066</v>
      </c>
      <c r="H380" s="342">
        <v>-1.226615837</v>
      </c>
      <c r="I380" s="343"/>
      <c r="J380" s="342" t="s">
        <v>2281</v>
      </c>
      <c r="K380" s="342" t="s">
        <v>74</v>
      </c>
      <c r="L380" s="342" t="s">
        <v>1404</v>
      </c>
      <c r="M380" s="342" t="s">
        <v>2282</v>
      </c>
      <c r="N380" s="343"/>
      <c r="O380" s="342" t="s">
        <v>1368</v>
      </c>
      <c r="P380" s="343"/>
      <c r="Q380" s="342">
        <v>4.0</v>
      </c>
      <c r="R380" s="343"/>
      <c r="S380" s="342" t="s">
        <v>1960</v>
      </c>
      <c r="T380" s="342">
        <v>47.0</v>
      </c>
      <c r="U380" s="342">
        <v>16.0</v>
      </c>
      <c r="V380" s="342">
        <v>13.0</v>
      </c>
      <c r="W380" s="341">
        <v>4.965957447</v>
      </c>
      <c r="X380" s="5">
        <v>0.6625531915</v>
      </c>
      <c r="Y380" s="5">
        <v>2.413191489</v>
      </c>
      <c r="Z380" s="5">
        <v>0.6706382979</v>
      </c>
      <c r="AA380" s="5">
        <v>0.3217021277</v>
      </c>
      <c r="AB380" s="5">
        <v>0.1340425532</v>
      </c>
      <c r="AC380" s="5">
        <v>0.4551881994</v>
      </c>
      <c r="AD380" s="5">
        <v>4.182978723</v>
      </c>
      <c r="AE380" s="5">
        <v>0.7399872854</v>
      </c>
      <c r="AF380" s="5">
        <v>0.6693617021</v>
      </c>
      <c r="AG380" s="5">
        <v>0.6434042553</v>
      </c>
      <c r="AH380" s="5">
        <v>17.5457436</v>
      </c>
      <c r="AI380" s="5">
        <v>-1.836099894</v>
      </c>
      <c r="AJ380" s="5">
        <v>-0.9611863557</v>
      </c>
      <c r="AK380" s="5">
        <v>-1.349865049</v>
      </c>
      <c r="AL380" s="5">
        <v>-1.406463196</v>
      </c>
      <c r="AM380" s="5">
        <v>-1.954458262</v>
      </c>
      <c r="AN380" s="5">
        <v>-1.019623645</v>
      </c>
      <c r="AO380" s="5">
        <v>-0.2159646509</v>
      </c>
      <c r="AP380" s="5">
        <v>-0.143284545</v>
      </c>
      <c r="AQ380" s="5">
        <v>1.39867836</v>
      </c>
    </row>
    <row r="381">
      <c r="A381" s="342">
        <v>380.0</v>
      </c>
      <c r="B381" s="347"/>
      <c r="C381" s="347"/>
      <c r="D381" s="341">
        <v>-1.112998695</v>
      </c>
      <c r="E381" s="342">
        <v>-7.376241601E-4</v>
      </c>
      <c r="F381" s="342">
        <v>-0.8246070208</v>
      </c>
      <c r="G381" s="342">
        <v>-0.2883916742</v>
      </c>
      <c r="H381" s="342">
        <v>0.335541797</v>
      </c>
      <c r="I381" s="343"/>
      <c r="J381" s="342" t="s">
        <v>2283</v>
      </c>
      <c r="K381" s="342" t="s">
        <v>1396</v>
      </c>
      <c r="L381" s="342" t="s">
        <v>1404</v>
      </c>
      <c r="M381" s="342" t="s">
        <v>2284</v>
      </c>
      <c r="N381" s="343"/>
      <c r="O381" s="342" t="s">
        <v>1368</v>
      </c>
      <c r="P381" s="343"/>
      <c r="Q381" s="342">
        <v>4.0</v>
      </c>
      <c r="R381" s="343"/>
      <c r="S381" s="342" t="s">
        <v>2232</v>
      </c>
      <c r="T381" s="342">
        <v>16.0</v>
      </c>
      <c r="U381" s="342">
        <v>14.0</v>
      </c>
      <c r="V381" s="342">
        <v>11.0</v>
      </c>
      <c r="W381" s="341">
        <v>4.455625</v>
      </c>
      <c r="X381" s="5">
        <v>0.64625</v>
      </c>
      <c r="Y381" s="5">
        <v>2.295625</v>
      </c>
      <c r="Z381" s="5">
        <v>0.8475</v>
      </c>
      <c r="AA381" s="5">
        <v>0.28</v>
      </c>
      <c r="AB381" s="5">
        <v>0.216875</v>
      </c>
      <c r="AC381" s="5">
        <v>0.4527433628</v>
      </c>
      <c r="AD381" s="5">
        <v>3.53125</v>
      </c>
      <c r="AE381" s="5">
        <v>0.753656659</v>
      </c>
      <c r="AF381" s="5">
        <v>0.811875</v>
      </c>
      <c r="AG381" s="5">
        <v>0.576875</v>
      </c>
      <c r="AH381" s="5">
        <v>17.40164754</v>
      </c>
      <c r="AI381" s="5">
        <v>-1.921778471</v>
      </c>
      <c r="AJ381" s="5">
        <v>-0.9771924963</v>
      </c>
      <c r="AK381" s="5">
        <v>-1.39690863</v>
      </c>
      <c r="AL381" s="5">
        <v>-1.324778745</v>
      </c>
      <c r="AM381" s="5">
        <v>-2.08610317</v>
      </c>
      <c r="AN381" s="5">
        <v>-0.8681772698</v>
      </c>
      <c r="AO381" s="5">
        <v>-0.1969488581</v>
      </c>
      <c r="AP381" s="5">
        <v>-0.1321019204</v>
      </c>
      <c r="AQ381" s="5">
        <v>1.482526373</v>
      </c>
    </row>
    <row r="382">
      <c r="A382" s="342">
        <v>381.0</v>
      </c>
      <c r="B382" s="347"/>
      <c r="C382" s="347"/>
      <c r="D382" s="341">
        <v>-1.114608433</v>
      </c>
      <c r="E382" s="342">
        <v>-0.004088574888</v>
      </c>
      <c r="F382" s="342">
        <v>-0.8714565531</v>
      </c>
      <c r="G382" s="342">
        <v>-0.24315188</v>
      </c>
      <c r="H382" s="343"/>
      <c r="I382" s="343"/>
      <c r="J382" s="342" t="s">
        <v>2285</v>
      </c>
      <c r="K382" s="342" t="s">
        <v>136</v>
      </c>
      <c r="L382" s="342" t="s">
        <v>1380</v>
      </c>
      <c r="M382" s="342" t="s">
        <v>2286</v>
      </c>
      <c r="N382" s="343"/>
      <c r="O382" s="342" t="s">
        <v>1368</v>
      </c>
      <c r="P382" s="342" t="s">
        <v>2287</v>
      </c>
      <c r="Q382" s="342">
        <v>3.0</v>
      </c>
      <c r="R382" s="343"/>
      <c r="S382" s="342" t="s">
        <v>2232</v>
      </c>
      <c r="T382" s="342">
        <v>33.0</v>
      </c>
      <c r="U382" s="342">
        <v>15.0</v>
      </c>
      <c r="V382" s="342">
        <v>12.0</v>
      </c>
      <c r="W382" s="341">
        <v>4.08030303</v>
      </c>
      <c r="X382" s="5">
        <v>0.56</v>
      </c>
      <c r="Y382" s="5">
        <v>1.647878788</v>
      </c>
      <c r="Z382" s="5">
        <v>1.802424242</v>
      </c>
      <c r="AA382" s="5">
        <v>0.4378787879</v>
      </c>
      <c r="AB382" s="5">
        <v>0.07727272727</v>
      </c>
      <c r="AC382" s="5">
        <v>0.3806980884</v>
      </c>
      <c r="AD382" s="5">
        <v>3.915454545</v>
      </c>
      <c r="AE382" s="5">
        <v>0.8101092896</v>
      </c>
      <c r="AF382" s="5">
        <v>0.6654545455</v>
      </c>
      <c r="AG382" s="5">
        <v>0.9012121212</v>
      </c>
      <c r="AH382" s="5">
        <v>17.95093584</v>
      </c>
      <c r="AI382" s="5">
        <v>-1.98479044</v>
      </c>
      <c r="AJ382" s="5">
        <v>-1.061870986</v>
      </c>
      <c r="AK382" s="5">
        <v>-1.656100697</v>
      </c>
      <c r="AL382" s="5">
        <v>-0.883742268</v>
      </c>
      <c r="AM382" s="5">
        <v>-1.587712808</v>
      </c>
      <c r="AN382" s="5">
        <v>-1.123418531</v>
      </c>
      <c r="AO382" s="5">
        <v>-0.6487748632</v>
      </c>
      <c r="AP382" s="5">
        <v>0.02954312849</v>
      </c>
      <c r="AQ382" s="5">
        <v>1.073758487</v>
      </c>
    </row>
    <row r="383">
      <c r="A383" s="342">
        <v>382.0</v>
      </c>
      <c r="B383" s="347"/>
      <c r="C383" s="347"/>
      <c r="D383" s="341">
        <v>-1.116236007</v>
      </c>
      <c r="E383" s="342">
        <v>-0.002453284017</v>
      </c>
      <c r="F383" s="342">
        <v>-0.8057549478</v>
      </c>
      <c r="G383" s="342">
        <v>-0.310481059</v>
      </c>
      <c r="H383" s="342">
        <v>0.6254267188</v>
      </c>
      <c r="I383" s="343"/>
      <c r="J383" s="342" t="s">
        <v>2288</v>
      </c>
      <c r="K383" s="342" t="s">
        <v>57</v>
      </c>
      <c r="L383" s="342" t="s">
        <v>1404</v>
      </c>
      <c r="M383" s="342" t="s">
        <v>2289</v>
      </c>
      <c r="N383" s="343"/>
      <c r="O383" s="342" t="s">
        <v>1368</v>
      </c>
      <c r="P383" s="343"/>
      <c r="Q383" s="342">
        <v>4.0</v>
      </c>
      <c r="R383" s="343"/>
      <c r="S383" s="342" t="s">
        <v>1960</v>
      </c>
      <c r="T383" s="342">
        <v>47.0</v>
      </c>
      <c r="U383" s="342">
        <v>13.0</v>
      </c>
      <c r="V383" s="342">
        <v>13.0</v>
      </c>
      <c r="W383" s="341">
        <v>4.701276596</v>
      </c>
      <c r="X383" s="5">
        <v>0.5029787234</v>
      </c>
      <c r="Y383" s="5">
        <v>2.735319149</v>
      </c>
      <c r="Z383" s="5">
        <v>0.6244680851</v>
      </c>
      <c r="AA383" s="5">
        <v>0.3829787234</v>
      </c>
      <c r="AB383" s="5">
        <v>0.1640425532</v>
      </c>
      <c r="AC383" s="5">
        <v>0.4424424973</v>
      </c>
      <c r="AD383" s="5">
        <v>3.885106383</v>
      </c>
      <c r="AE383" s="5">
        <v>0.7250963684</v>
      </c>
      <c r="AF383" s="5">
        <v>1.048723404</v>
      </c>
      <c r="AG383" s="5">
        <v>0.4217021277</v>
      </c>
      <c r="AH383" s="5">
        <v>15.73896701</v>
      </c>
      <c r="AI383" s="5">
        <v>-1.880536572</v>
      </c>
      <c r="AJ383" s="5">
        <v>-1.117853311</v>
      </c>
      <c r="AK383" s="5">
        <v>-1.220967446</v>
      </c>
      <c r="AL383" s="5">
        <v>-1.427787136</v>
      </c>
      <c r="AM383" s="5">
        <v>-1.761020846</v>
      </c>
      <c r="AN383" s="5">
        <v>-0.964773264</v>
      </c>
      <c r="AO383" s="5">
        <v>-0.2769669273</v>
      </c>
      <c r="AP383" s="5">
        <v>-0.2799825514</v>
      </c>
      <c r="AQ383" s="5">
        <v>1.678093524</v>
      </c>
    </row>
    <row r="384">
      <c r="A384" s="342">
        <v>383.0</v>
      </c>
      <c r="B384" s="347"/>
      <c r="C384" s="347"/>
      <c r="D384" s="341">
        <v>-1.117251362</v>
      </c>
      <c r="E384" s="342">
        <v>-0.003995977692</v>
      </c>
      <c r="F384" s="342">
        <v>-0.8680346704</v>
      </c>
      <c r="G384" s="342">
        <v>-0.2492166915</v>
      </c>
      <c r="H384" s="343"/>
      <c r="I384" s="343"/>
      <c r="J384" s="342" t="s">
        <v>2290</v>
      </c>
      <c r="K384" s="342" t="s">
        <v>1421</v>
      </c>
      <c r="L384" s="342" t="s">
        <v>34</v>
      </c>
      <c r="M384" s="342" t="s">
        <v>2291</v>
      </c>
      <c r="N384" s="343"/>
      <c r="O384" s="342" t="s">
        <v>1374</v>
      </c>
      <c r="P384" s="342" t="s">
        <v>2227</v>
      </c>
      <c r="Q384" s="342">
        <v>4.0</v>
      </c>
      <c r="R384" s="343"/>
      <c r="S384" s="342" t="s">
        <v>1960</v>
      </c>
      <c r="T384" s="342">
        <v>25.0</v>
      </c>
      <c r="U384" s="342">
        <v>15.0</v>
      </c>
      <c r="V384" s="342">
        <v>10.0</v>
      </c>
      <c r="W384" s="341">
        <v>2.4624</v>
      </c>
      <c r="X384" s="5">
        <v>0.0</v>
      </c>
      <c r="Y384" s="5">
        <v>3.18</v>
      </c>
      <c r="Z384" s="5">
        <v>0.44</v>
      </c>
      <c r="AA384" s="5">
        <v>0.26</v>
      </c>
      <c r="AB384" s="5">
        <v>0.54</v>
      </c>
      <c r="AC384" s="5">
        <v>0.556</v>
      </c>
      <c r="AD384" s="5">
        <v>1.9</v>
      </c>
      <c r="AE384" s="5">
        <v>0.6571428571</v>
      </c>
      <c r="AF384" s="5">
        <v>0.532</v>
      </c>
      <c r="AG384" s="5">
        <v>0.86</v>
      </c>
      <c r="AH384" s="5">
        <v>13.36226036</v>
      </c>
      <c r="AI384" s="5">
        <v>-2.256416575</v>
      </c>
      <c r="AJ384" s="5">
        <v>-1.611667555</v>
      </c>
      <c r="AK384" s="5">
        <v>-1.043030861</v>
      </c>
      <c r="AL384" s="5">
        <v>-1.512984632</v>
      </c>
      <c r="AM384" s="5">
        <v>-2.149238993</v>
      </c>
      <c r="AN384" s="5">
        <v>-0.2773929594</v>
      </c>
      <c r="AO384" s="5">
        <v>0.1898188689</v>
      </c>
      <c r="AP384" s="5">
        <v>-0.277098189</v>
      </c>
      <c r="AQ384" s="5">
        <v>1.125698862</v>
      </c>
    </row>
    <row r="385">
      <c r="A385" s="342">
        <v>384.0</v>
      </c>
      <c r="B385" s="347"/>
      <c r="C385" s="347"/>
      <c r="D385" s="341">
        <v>-1.12198011</v>
      </c>
      <c r="E385" s="342">
        <v>-0.00482875979</v>
      </c>
      <c r="F385" s="342">
        <v>-0.8305726975</v>
      </c>
      <c r="G385" s="342">
        <v>-0.2914074127</v>
      </c>
      <c r="H385" s="343"/>
      <c r="I385" s="343"/>
      <c r="J385" s="342" t="s">
        <v>2292</v>
      </c>
      <c r="K385" s="342" t="s">
        <v>173</v>
      </c>
      <c r="L385" s="342" t="s">
        <v>1404</v>
      </c>
      <c r="M385" s="342" t="s">
        <v>2293</v>
      </c>
      <c r="N385" s="343"/>
      <c r="O385" s="342" t="s">
        <v>1368</v>
      </c>
      <c r="P385" s="343"/>
      <c r="Q385" s="342">
        <v>2.0</v>
      </c>
      <c r="R385" s="343"/>
      <c r="S385" s="342" t="s">
        <v>1434</v>
      </c>
      <c r="T385" s="342">
        <v>73.0</v>
      </c>
      <c r="U385" s="342">
        <v>15.0</v>
      </c>
      <c r="V385" s="342">
        <v>15.0</v>
      </c>
      <c r="W385" s="341">
        <v>4.629863014</v>
      </c>
      <c r="X385" s="5">
        <v>1.126164384</v>
      </c>
      <c r="Y385" s="5">
        <v>2.15630137</v>
      </c>
      <c r="Z385" s="5">
        <v>0.6875342466</v>
      </c>
      <c r="AA385" s="5">
        <v>0.3124657534</v>
      </c>
      <c r="AB385" s="5">
        <v>0.09369863014</v>
      </c>
      <c r="AC385" s="5">
        <v>0.3830045524</v>
      </c>
      <c r="AD385" s="5">
        <v>4.062328767</v>
      </c>
      <c r="AE385" s="5">
        <v>0.8038774937</v>
      </c>
      <c r="AF385" s="5">
        <v>0.4875342466</v>
      </c>
      <c r="AG385" s="5">
        <v>0.5624657534</v>
      </c>
      <c r="AH385" s="5">
        <v>14.01136671</v>
      </c>
      <c r="AI385" s="5">
        <v>-1.892526039</v>
      </c>
      <c r="AJ385" s="5">
        <v>-0.5060223503</v>
      </c>
      <c r="AK385" s="5">
        <v>-1.452658211</v>
      </c>
      <c r="AL385" s="5">
        <v>-1.398659718</v>
      </c>
      <c r="AM385" s="5">
        <v>-1.983615566</v>
      </c>
      <c r="AN385" s="5">
        <v>-1.093386296</v>
      </c>
      <c r="AO385" s="5">
        <v>-0.6584382848</v>
      </c>
      <c r="AP385" s="5">
        <v>0.009465583628</v>
      </c>
      <c r="AQ385" s="5">
        <v>1.500686604</v>
      </c>
    </row>
    <row r="386">
      <c r="A386" s="342">
        <v>385.0</v>
      </c>
      <c r="B386" s="347"/>
      <c r="C386" s="347"/>
      <c r="D386" s="341">
        <v>-1.1221691</v>
      </c>
      <c r="E386" s="342">
        <v>-0.002325088782</v>
      </c>
      <c r="F386" s="342">
        <v>-0.8805399602</v>
      </c>
      <c r="G386" s="342">
        <v>-0.2416291402</v>
      </c>
      <c r="H386" s="343"/>
      <c r="I386" s="343"/>
      <c r="J386" s="342" t="s">
        <v>2294</v>
      </c>
      <c r="K386" s="342" t="s">
        <v>110</v>
      </c>
      <c r="L386" s="342" t="s">
        <v>1380</v>
      </c>
      <c r="M386" s="342" t="s">
        <v>2295</v>
      </c>
      <c r="N386" s="343"/>
      <c r="O386" s="342" t="s">
        <v>1368</v>
      </c>
      <c r="P386" s="343"/>
      <c r="Q386" s="342">
        <v>2.0</v>
      </c>
      <c r="R386" s="343"/>
      <c r="S386" s="342" t="s">
        <v>1960</v>
      </c>
      <c r="T386" s="342">
        <v>47.0</v>
      </c>
      <c r="U386" s="342">
        <v>16.0</v>
      </c>
      <c r="V386" s="342">
        <v>12.0</v>
      </c>
      <c r="W386" s="341">
        <v>4.340851064</v>
      </c>
      <c r="X386" s="5">
        <v>0.5629787234</v>
      </c>
      <c r="Y386" s="5">
        <v>2.192978723</v>
      </c>
      <c r="Z386" s="5">
        <v>0.8414893617</v>
      </c>
      <c r="AA386" s="5">
        <v>0.4080851064</v>
      </c>
      <c r="AB386" s="5">
        <v>0.1529787234</v>
      </c>
      <c r="AC386" s="5">
        <v>0.4141122345</v>
      </c>
      <c r="AD386" s="5">
        <v>3.977234043</v>
      </c>
      <c r="AE386" s="5">
        <v>0.760026738</v>
      </c>
      <c r="AF386" s="5">
        <v>0.6365957447</v>
      </c>
      <c r="AG386" s="5">
        <v>0.9180851064</v>
      </c>
      <c r="AH386" s="5">
        <v>18.63417896</v>
      </c>
      <c r="AI386" s="5">
        <v>-1.941047611</v>
      </c>
      <c r="AJ386" s="5">
        <v>-1.058946536</v>
      </c>
      <c r="AK386" s="5">
        <v>-1.43798197</v>
      </c>
      <c r="AL386" s="5">
        <v>-1.327554788</v>
      </c>
      <c r="AM386" s="5">
        <v>-1.681765239</v>
      </c>
      <c r="AN386" s="5">
        <v>-0.9850017733</v>
      </c>
      <c r="AO386" s="5">
        <v>-0.4556309492</v>
      </c>
      <c r="AP386" s="5">
        <v>-0.08942393682</v>
      </c>
      <c r="AQ386" s="5">
        <v>1.052493162</v>
      </c>
    </row>
    <row r="387">
      <c r="A387" s="342">
        <v>386.0</v>
      </c>
      <c r="B387" s="347"/>
      <c r="C387" s="347"/>
      <c r="D387" s="341">
        <v>-1.123700843</v>
      </c>
      <c r="E387" s="342">
        <v>-0.07265399271</v>
      </c>
      <c r="F387" s="342">
        <v>-0.8116454887</v>
      </c>
      <c r="G387" s="342">
        <v>-0.312055354</v>
      </c>
      <c r="H387" s="342">
        <v>-0.2120186109</v>
      </c>
      <c r="I387" s="343"/>
      <c r="J387" s="342" t="s">
        <v>2296</v>
      </c>
      <c r="K387" s="342" t="s">
        <v>1421</v>
      </c>
      <c r="L387" s="342" t="s">
        <v>34</v>
      </c>
      <c r="M387" s="342" t="s">
        <v>2297</v>
      </c>
      <c r="N387" s="343"/>
      <c r="O387" s="342" t="s">
        <v>1368</v>
      </c>
      <c r="P387" s="342" t="s">
        <v>1551</v>
      </c>
      <c r="Q387" s="342">
        <v>3.0</v>
      </c>
      <c r="R387" s="343"/>
      <c r="S387" s="342" t="s">
        <v>1960</v>
      </c>
      <c r="T387" s="342">
        <v>47.0</v>
      </c>
      <c r="U387" s="342">
        <v>15.0</v>
      </c>
      <c r="V387" s="342">
        <v>13.0</v>
      </c>
      <c r="W387" s="341">
        <v>1.821914894</v>
      </c>
      <c r="X387" s="5">
        <v>0.0</v>
      </c>
      <c r="Y387" s="5">
        <v>3.535957447</v>
      </c>
      <c r="Z387" s="5">
        <v>0.4908510638</v>
      </c>
      <c r="AA387" s="5">
        <v>0.2074468085</v>
      </c>
      <c r="AB387" s="5">
        <v>0.4165957447</v>
      </c>
      <c r="AC387" s="5">
        <v>0.7019493177</v>
      </c>
      <c r="AD387" s="5">
        <v>1.091489362</v>
      </c>
      <c r="AE387" s="5">
        <v>0.6979487179</v>
      </c>
      <c r="AF387" s="5">
        <v>0.414893617</v>
      </c>
      <c r="AG387" s="5">
        <v>0.4163829787</v>
      </c>
      <c r="AH387" s="5">
        <v>5.803222482</v>
      </c>
      <c r="AI387" s="5">
        <v>-2.363946192</v>
      </c>
      <c r="AJ387" s="5">
        <v>-1.611667555</v>
      </c>
      <c r="AK387" s="5">
        <v>-0.9005964555</v>
      </c>
      <c r="AL387" s="5">
        <v>-1.489498817</v>
      </c>
      <c r="AM387" s="5">
        <v>-2.315138443</v>
      </c>
      <c r="AN387" s="5">
        <v>-0.5030186395</v>
      </c>
      <c r="AO387" s="5">
        <v>0.3487584231</v>
      </c>
      <c r="AP387" s="5">
        <v>-0.1544990626</v>
      </c>
      <c r="AQ387" s="5">
        <v>1.684797343</v>
      </c>
    </row>
    <row r="388">
      <c r="A388" s="342">
        <v>387.0</v>
      </c>
      <c r="B388" s="341">
        <v>1.0</v>
      </c>
      <c r="C388" s="341">
        <v>-0.1</v>
      </c>
      <c r="D388" s="341">
        <v>-1.129452221</v>
      </c>
      <c r="E388" s="342">
        <v>-0.03362083661</v>
      </c>
      <c r="F388" s="342">
        <v>-0.8693865748</v>
      </c>
      <c r="G388" s="342">
        <v>-0.2600656464</v>
      </c>
      <c r="H388" s="343"/>
      <c r="I388" s="343"/>
      <c r="J388" s="342" t="s">
        <v>2298</v>
      </c>
      <c r="K388" s="342" t="s">
        <v>236</v>
      </c>
      <c r="L388" s="342" t="s">
        <v>1404</v>
      </c>
      <c r="M388" s="342" t="s">
        <v>2299</v>
      </c>
      <c r="N388" s="343"/>
      <c r="O388" s="342" t="s">
        <v>1378</v>
      </c>
      <c r="P388" s="343"/>
      <c r="Q388" s="342">
        <v>2.0</v>
      </c>
      <c r="R388" s="343"/>
      <c r="S388" s="342" t="s">
        <v>1434</v>
      </c>
      <c r="T388" s="342">
        <v>77.0</v>
      </c>
      <c r="U388" s="342">
        <v>13.0</v>
      </c>
      <c r="V388" s="342">
        <v>14.0</v>
      </c>
      <c r="W388" s="341">
        <v>4.99038961</v>
      </c>
      <c r="X388" s="5">
        <v>0.7179220779</v>
      </c>
      <c r="Y388" s="5">
        <v>1.98038961</v>
      </c>
      <c r="Z388" s="5">
        <v>0.7072727273</v>
      </c>
      <c r="AA388" s="5">
        <v>0.3394805195</v>
      </c>
      <c r="AB388" s="5">
        <v>0.1697402597</v>
      </c>
      <c r="AC388" s="5">
        <v>0.4198187206</v>
      </c>
      <c r="AD388" s="5">
        <v>4.47038961</v>
      </c>
      <c r="AE388" s="5">
        <v>0.7739686229</v>
      </c>
      <c r="AF388" s="5">
        <v>0.6705194805</v>
      </c>
      <c r="AG388" s="5">
        <v>0.7922077922</v>
      </c>
      <c r="AH388" s="5">
        <v>17.6881928</v>
      </c>
      <c r="AI388" s="5">
        <v>-1.831998032</v>
      </c>
      <c r="AJ388" s="5">
        <v>-0.9068263131</v>
      </c>
      <c r="AK388" s="5">
        <v>-1.523048329</v>
      </c>
      <c r="AL388" s="5">
        <v>-1.389543403</v>
      </c>
      <c r="AM388" s="5">
        <v>-1.898335592</v>
      </c>
      <c r="AN388" s="5">
        <v>-0.9543558849</v>
      </c>
      <c r="AO388" s="5">
        <v>-0.4719764931</v>
      </c>
      <c r="AP388" s="5">
        <v>-0.05953372235</v>
      </c>
      <c r="AQ388" s="5">
        <v>1.211138596</v>
      </c>
    </row>
    <row r="389">
      <c r="A389" s="342">
        <v>388.0</v>
      </c>
      <c r="B389" s="347"/>
      <c r="C389" s="347"/>
      <c r="D389" s="341">
        <v>-1.135845198</v>
      </c>
      <c r="E389" s="342">
        <v>-0.002465556791</v>
      </c>
      <c r="F389" s="342">
        <v>-0.8474531635</v>
      </c>
      <c r="G389" s="342">
        <v>-0.2883920343</v>
      </c>
      <c r="H389" s="342">
        <v>-2.128480038</v>
      </c>
      <c r="I389" s="343"/>
      <c r="J389" s="342" t="s">
        <v>2300</v>
      </c>
      <c r="K389" s="342" t="s">
        <v>63</v>
      </c>
      <c r="L389" s="342" t="s">
        <v>1413</v>
      </c>
      <c r="M389" s="342" t="s">
        <v>2301</v>
      </c>
      <c r="N389" s="343"/>
      <c r="O389" s="342" t="s">
        <v>1374</v>
      </c>
      <c r="P389" s="342" t="s">
        <v>1551</v>
      </c>
      <c r="Q389" s="342">
        <v>5.0</v>
      </c>
      <c r="R389" s="343"/>
      <c r="S389" s="342" t="s">
        <v>1434</v>
      </c>
      <c r="T389" s="342">
        <v>68.0</v>
      </c>
      <c r="U389" s="342">
        <v>13.0</v>
      </c>
      <c r="V389" s="342">
        <v>14.0</v>
      </c>
      <c r="W389" s="341">
        <v>3.405441176</v>
      </c>
      <c r="X389" s="5">
        <v>0.4569117647</v>
      </c>
      <c r="Y389" s="5">
        <v>1.368529412</v>
      </c>
      <c r="Z389" s="5">
        <v>0.6297058824</v>
      </c>
      <c r="AA389" s="5">
        <v>0.5967647059</v>
      </c>
      <c r="AB389" s="5">
        <v>0.1833823529</v>
      </c>
      <c r="AC389" s="5">
        <v>0.3955223881</v>
      </c>
      <c r="AD389" s="5">
        <v>3.093823529</v>
      </c>
      <c r="AE389" s="5">
        <v>0.7299207539</v>
      </c>
      <c r="AF389" s="5">
        <v>0.6866176471</v>
      </c>
      <c r="AG389" s="5">
        <v>0.595</v>
      </c>
      <c r="AH389" s="5">
        <v>12.27119913</v>
      </c>
      <c r="AI389" s="5">
        <v>-2.098091493</v>
      </c>
      <c r="AJ389" s="5">
        <v>-1.163080911</v>
      </c>
      <c r="AK389" s="5">
        <v>-1.767880807</v>
      </c>
      <c r="AL389" s="5">
        <v>-1.425368034</v>
      </c>
      <c r="AM389" s="5">
        <v>-1.086143147</v>
      </c>
      <c r="AN389" s="5">
        <v>-0.929413418</v>
      </c>
      <c r="AO389" s="5">
        <v>-0.4444207809</v>
      </c>
      <c r="AP389" s="5">
        <v>-0.1723629914</v>
      </c>
      <c r="AQ389" s="5">
        <v>1.459683111</v>
      </c>
    </row>
    <row r="390">
      <c r="A390" s="342">
        <v>389.0</v>
      </c>
      <c r="B390" s="341">
        <v>1.0</v>
      </c>
      <c r="C390" s="341">
        <v>-0.1</v>
      </c>
      <c r="D390" s="341">
        <v>-1.137039071</v>
      </c>
      <c r="E390" s="342">
        <v>-0.003606291269</v>
      </c>
      <c r="F390" s="342">
        <v>-0.8329237847</v>
      </c>
      <c r="G390" s="342">
        <v>-0.3041152863</v>
      </c>
      <c r="H390" s="342">
        <v>0.99583523</v>
      </c>
      <c r="I390" s="343"/>
      <c r="J390" s="342" t="s">
        <v>2302</v>
      </c>
      <c r="K390" s="342" t="s">
        <v>57</v>
      </c>
      <c r="L390" s="342" t="s">
        <v>34</v>
      </c>
      <c r="M390" s="342" t="s">
        <v>2303</v>
      </c>
      <c r="N390" s="343"/>
      <c r="O390" s="342" t="s">
        <v>1368</v>
      </c>
      <c r="P390" s="342" t="s">
        <v>1410</v>
      </c>
      <c r="Q390" s="342">
        <v>5.0</v>
      </c>
      <c r="R390" s="343"/>
      <c r="S390" s="342" t="s">
        <v>1960</v>
      </c>
      <c r="T390" s="342">
        <v>30.0</v>
      </c>
      <c r="U390" s="342">
        <v>13.0</v>
      </c>
      <c r="V390" s="342">
        <v>12.0</v>
      </c>
      <c r="W390" s="341">
        <v>2.080333333</v>
      </c>
      <c r="X390" s="5">
        <v>0.0</v>
      </c>
      <c r="Y390" s="5">
        <v>3.282666667</v>
      </c>
      <c r="Z390" s="5">
        <v>1.085666667</v>
      </c>
      <c r="AA390" s="5">
        <v>0.323</v>
      </c>
      <c r="AB390" s="5">
        <v>0.255</v>
      </c>
      <c r="AC390" s="5">
        <v>0.6501319261</v>
      </c>
      <c r="AD390" s="5">
        <v>1.263333333</v>
      </c>
      <c r="AE390" s="5">
        <v>0.6081519222</v>
      </c>
      <c r="AF390" s="5">
        <v>0.7196666667</v>
      </c>
      <c r="AG390" s="5">
        <v>0.4836666667</v>
      </c>
      <c r="AH390" s="5">
        <v>7.379320072</v>
      </c>
      <c r="AI390" s="5">
        <v>-2.320560896</v>
      </c>
      <c r="AJ390" s="5">
        <v>-1.611667555</v>
      </c>
      <c r="AK390" s="5">
        <v>-1.001949361</v>
      </c>
      <c r="AL390" s="5">
        <v>-1.214780294</v>
      </c>
      <c r="AM390" s="5">
        <v>-1.95036115</v>
      </c>
      <c r="AN390" s="5">
        <v>-0.7984715774</v>
      </c>
      <c r="AO390" s="5">
        <v>0.305000597</v>
      </c>
      <c r="AP390" s="5">
        <v>-0.5035223315</v>
      </c>
      <c r="AQ390" s="5">
        <v>1.599998506</v>
      </c>
    </row>
    <row r="391">
      <c r="A391" s="342">
        <v>390.0</v>
      </c>
      <c r="B391" s="347"/>
      <c r="C391" s="347"/>
      <c r="D391" s="341">
        <v>-1.139827162</v>
      </c>
      <c r="E391" s="342">
        <v>-0.002704691285</v>
      </c>
      <c r="F391" s="342">
        <v>-0.8162464228</v>
      </c>
      <c r="G391" s="342">
        <v>-0.3235807396</v>
      </c>
      <c r="H391" s="342">
        <v>1.092463537</v>
      </c>
      <c r="I391" s="343"/>
      <c r="J391" s="342" t="s">
        <v>2304</v>
      </c>
      <c r="K391" s="342" t="s">
        <v>287</v>
      </c>
      <c r="L391" s="342" t="s">
        <v>1404</v>
      </c>
      <c r="M391" s="342" t="s">
        <v>2305</v>
      </c>
      <c r="N391" s="343"/>
      <c r="O391" s="342" t="s">
        <v>1368</v>
      </c>
      <c r="P391" s="342" t="s">
        <v>2227</v>
      </c>
      <c r="Q391" s="342">
        <v>2.0</v>
      </c>
      <c r="R391" s="343"/>
      <c r="S391" s="342" t="s">
        <v>2232</v>
      </c>
      <c r="T391" s="342">
        <v>16.0</v>
      </c>
      <c r="U391" s="342">
        <v>16.0</v>
      </c>
      <c r="V391" s="342">
        <v>10.0</v>
      </c>
      <c r="W391" s="341">
        <v>3.470625</v>
      </c>
      <c r="X391" s="5">
        <v>0.579375</v>
      </c>
      <c r="Y391" s="5">
        <v>1.95</v>
      </c>
      <c r="Z391" s="5">
        <v>0.65</v>
      </c>
      <c r="AA391" s="5">
        <v>0.335</v>
      </c>
      <c r="AB391" s="5">
        <v>0.2325</v>
      </c>
      <c r="AC391" s="5">
        <v>0.4117524917</v>
      </c>
      <c r="AD391" s="5">
        <v>3.01</v>
      </c>
      <c r="AE391" s="5">
        <v>0.8386277001</v>
      </c>
      <c r="AF391" s="5">
        <v>0.491875</v>
      </c>
      <c r="AG391" s="5">
        <v>0.346875</v>
      </c>
      <c r="AH391" s="5">
        <v>15.02910749</v>
      </c>
      <c r="AI391" s="5">
        <v>-2.087147926</v>
      </c>
      <c r="AJ391" s="5">
        <v>-1.042849006</v>
      </c>
      <c r="AK391" s="5">
        <v>-1.535208564</v>
      </c>
      <c r="AL391" s="5">
        <v>-1.415995095</v>
      </c>
      <c r="AM391" s="5">
        <v>-1.912479656</v>
      </c>
      <c r="AN391" s="5">
        <v>-0.8396093631</v>
      </c>
      <c r="AO391" s="5">
        <v>-0.357918757</v>
      </c>
      <c r="AP391" s="5">
        <v>0.07259106821</v>
      </c>
      <c r="AQ391" s="5">
        <v>1.772399494</v>
      </c>
    </row>
    <row r="392">
      <c r="A392" s="342">
        <v>391.0</v>
      </c>
      <c r="B392" s="347"/>
      <c r="C392" s="347"/>
      <c r="D392" s="341">
        <v>-1.142505561</v>
      </c>
      <c r="E392" s="342">
        <v>-0.002401041627</v>
      </c>
      <c r="F392" s="342">
        <v>-0.8112753669</v>
      </c>
      <c r="G392" s="342">
        <v>-0.331230194</v>
      </c>
      <c r="H392" s="342">
        <v>0.8508927691</v>
      </c>
      <c r="I392" s="343"/>
      <c r="J392" s="342" t="s">
        <v>2306</v>
      </c>
      <c r="K392" s="342" t="s">
        <v>57</v>
      </c>
      <c r="L392" s="342" t="s">
        <v>1404</v>
      </c>
      <c r="M392" s="342" t="s">
        <v>2307</v>
      </c>
      <c r="N392" s="342" t="s">
        <v>2308</v>
      </c>
      <c r="O392" s="342" t="s">
        <v>1378</v>
      </c>
      <c r="P392" s="342" t="s">
        <v>2309</v>
      </c>
      <c r="Q392" s="342">
        <v>3.0</v>
      </c>
      <c r="R392" s="343"/>
      <c r="S392" s="342" t="s">
        <v>2232</v>
      </c>
      <c r="T392" s="342">
        <v>16.0</v>
      </c>
      <c r="U392" s="342">
        <v>13.0</v>
      </c>
      <c r="V392" s="342">
        <v>10.0</v>
      </c>
      <c r="W392" s="341">
        <v>3.615</v>
      </c>
      <c r="X392" s="5">
        <v>0.741875</v>
      </c>
      <c r="Y392" s="5">
        <v>1.6625</v>
      </c>
      <c r="Z392" s="5">
        <v>0.589375</v>
      </c>
      <c r="AA392" s="5">
        <v>0.420625</v>
      </c>
      <c r="AB392" s="5">
        <v>0.12625</v>
      </c>
      <c r="AC392" s="5">
        <v>0.4236594351</v>
      </c>
      <c r="AD392" s="5">
        <v>3.05375</v>
      </c>
      <c r="AE392" s="5">
        <v>0.7196850394</v>
      </c>
      <c r="AF392" s="5">
        <v>0.396875</v>
      </c>
      <c r="AG392" s="5">
        <v>0.294375</v>
      </c>
      <c r="AH392" s="5">
        <v>15.11620156</v>
      </c>
      <c r="AI392" s="5">
        <v>-2.062909129</v>
      </c>
      <c r="AJ392" s="5">
        <v>-0.8833098231</v>
      </c>
      <c r="AK392" s="5">
        <v>-1.6502501</v>
      </c>
      <c r="AL392" s="5">
        <v>-1.443995051</v>
      </c>
      <c r="AM392" s="5">
        <v>-1.642179413</v>
      </c>
      <c r="AN392" s="5">
        <v>-1.033871129</v>
      </c>
      <c r="AO392" s="5">
        <v>-0.3073815995</v>
      </c>
      <c r="AP392" s="5">
        <v>-0.1161482423</v>
      </c>
      <c r="AQ392" s="5">
        <v>1.838566185</v>
      </c>
    </row>
    <row r="393">
      <c r="A393" s="342">
        <v>392.0</v>
      </c>
      <c r="B393" s="347"/>
      <c r="C393" s="347"/>
      <c r="D393" s="341">
        <v>-1.143670334</v>
      </c>
      <c r="E393" s="342">
        <v>-0.002181161179</v>
      </c>
      <c r="F393" s="342">
        <v>-0.8527459208</v>
      </c>
      <c r="G393" s="342">
        <v>-0.2909244133</v>
      </c>
      <c r="H393" s="342">
        <v>0.2228087719</v>
      </c>
      <c r="I393" s="343"/>
      <c r="J393" s="342" t="s">
        <v>2310</v>
      </c>
      <c r="K393" s="342" t="s">
        <v>118</v>
      </c>
      <c r="L393" s="342" t="s">
        <v>1380</v>
      </c>
      <c r="M393" s="342" t="s">
        <v>2311</v>
      </c>
      <c r="N393" s="343"/>
      <c r="O393" s="342" t="s">
        <v>1368</v>
      </c>
      <c r="P393" s="342" t="s">
        <v>2273</v>
      </c>
      <c r="Q393" s="342">
        <v>4.0</v>
      </c>
      <c r="R393" s="343"/>
      <c r="S393" s="342" t="s">
        <v>2232</v>
      </c>
      <c r="T393" s="342">
        <v>16.0</v>
      </c>
      <c r="U393" s="342">
        <v>16.0</v>
      </c>
      <c r="V393" s="342">
        <v>10.0</v>
      </c>
      <c r="W393" s="341">
        <v>4.386875</v>
      </c>
      <c r="X393" s="5">
        <v>0.7675</v>
      </c>
      <c r="Y393" s="5">
        <v>0.966875</v>
      </c>
      <c r="Z393" s="5">
        <v>1.25</v>
      </c>
      <c r="AA393" s="5">
        <v>0.379375</v>
      </c>
      <c r="AB393" s="5">
        <v>0.029375</v>
      </c>
      <c r="AC393" s="5">
        <v>0.4469453376</v>
      </c>
      <c r="AD393" s="5">
        <v>3.49875</v>
      </c>
      <c r="AE393" s="5">
        <v>0.7640776699</v>
      </c>
      <c r="AF393" s="5">
        <v>0.64375</v>
      </c>
      <c r="AG393" s="5">
        <v>0.583125</v>
      </c>
      <c r="AH393" s="5">
        <v>19.06077244</v>
      </c>
      <c r="AI393" s="5">
        <v>-1.933320755</v>
      </c>
      <c r="AJ393" s="5">
        <v>-0.8581517212</v>
      </c>
      <c r="AK393" s="5">
        <v>-1.9286006</v>
      </c>
      <c r="AL393" s="5">
        <v>-1.138882132</v>
      </c>
      <c r="AM393" s="5">
        <v>-1.772397048</v>
      </c>
      <c r="AN393" s="5">
        <v>-1.21099215</v>
      </c>
      <c r="AO393" s="5">
        <v>-0.2262435286</v>
      </c>
      <c r="AP393" s="5">
        <v>-0.0807747374</v>
      </c>
      <c r="AQ393" s="5">
        <v>1.474649386</v>
      </c>
    </row>
    <row r="394">
      <c r="A394" s="342">
        <v>393.0</v>
      </c>
      <c r="B394" s="347"/>
      <c r="C394" s="347"/>
      <c r="D394" s="341">
        <v>-1.144177398</v>
      </c>
      <c r="E394" s="342">
        <v>0.4215074938</v>
      </c>
      <c r="F394" s="342">
        <v>-0.8561326121</v>
      </c>
      <c r="G394" s="342">
        <v>-0.2880447859</v>
      </c>
      <c r="H394" s="342">
        <v>1.205196562</v>
      </c>
      <c r="I394" s="343"/>
      <c r="J394" s="342" t="s">
        <v>2312</v>
      </c>
      <c r="K394" s="342" t="s">
        <v>102</v>
      </c>
      <c r="L394" s="342" t="s">
        <v>34</v>
      </c>
      <c r="M394" s="343"/>
      <c r="N394" s="342" t="s">
        <v>2313</v>
      </c>
      <c r="O394" s="342" t="s">
        <v>1374</v>
      </c>
      <c r="P394" s="342" t="s">
        <v>2314</v>
      </c>
      <c r="Q394" s="342">
        <v>2.0</v>
      </c>
      <c r="R394" s="343"/>
      <c r="S394" s="342" t="s">
        <v>1960</v>
      </c>
      <c r="T394" s="342">
        <v>44.0</v>
      </c>
      <c r="U394" s="342">
        <v>16.0</v>
      </c>
      <c r="V394" s="342">
        <v>11.0</v>
      </c>
      <c r="W394" s="341">
        <v>3.372045455</v>
      </c>
      <c r="X394" s="5">
        <v>0.1006818182</v>
      </c>
      <c r="Y394" s="5">
        <v>2.261363636</v>
      </c>
      <c r="Z394" s="5">
        <v>0.3327272727</v>
      </c>
      <c r="AA394" s="5">
        <v>0.2245454545</v>
      </c>
      <c r="AB394" s="5">
        <v>0.5243181818</v>
      </c>
      <c r="AC394" s="5">
        <v>0.5783420738</v>
      </c>
      <c r="AD394" s="5">
        <v>2.470227273</v>
      </c>
      <c r="AE394" s="5">
        <v>0.656103709</v>
      </c>
      <c r="AF394" s="5">
        <v>0.6311363636</v>
      </c>
      <c r="AG394" s="5">
        <v>0.6040909091</v>
      </c>
      <c r="AH394" s="5">
        <v>13.55487436</v>
      </c>
      <c r="AI394" s="5">
        <v>-2.103698226</v>
      </c>
      <c r="AJ394" s="5">
        <v>-1.512820201</v>
      </c>
      <c r="AK394" s="5">
        <v>-1.410618125</v>
      </c>
      <c r="AL394" s="5">
        <v>-1.562529071</v>
      </c>
      <c r="AM394" s="5">
        <v>-2.261161588</v>
      </c>
      <c r="AN394" s="5">
        <v>-0.3060647494</v>
      </c>
      <c r="AO394" s="5">
        <v>0.3339425408</v>
      </c>
      <c r="AP394" s="5">
        <v>-0.3304697626</v>
      </c>
      <c r="AQ394" s="5">
        <v>1.448225675</v>
      </c>
    </row>
    <row r="395">
      <c r="A395" s="342">
        <v>394.0</v>
      </c>
      <c r="B395" s="347"/>
      <c r="C395" s="347"/>
      <c r="D395" s="341">
        <v>-1.150780876</v>
      </c>
      <c r="E395" s="342">
        <v>-0.002424014798</v>
      </c>
      <c r="F395" s="342">
        <v>-0.815320306</v>
      </c>
      <c r="G395" s="342">
        <v>-0.3354605695</v>
      </c>
      <c r="H395" s="342">
        <v>1.044149384</v>
      </c>
      <c r="I395" s="343"/>
      <c r="J395" s="342" t="s">
        <v>2315</v>
      </c>
      <c r="K395" s="342" t="s">
        <v>93</v>
      </c>
      <c r="L395" s="342" t="s">
        <v>1380</v>
      </c>
      <c r="M395" s="342" t="s">
        <v>2316</v>
      </c>
      <c r="N395" s="343"/>
      <c r="O395" s="342" t="s">
        <v>1368</v>
      </c>
      <c r="P395" s="342" t="s">
        <v>1551</v>
      </c>
      <c r="Q395" s="342">
        <v>5.0</v>
      </c>
      <c r="R395" s="343"/>
      <c r="S395" s="342" t="s">
        <v>1434</v>
      </c>
      <c r="T395" s="342">
        <v>41.0</v>
      </c>
      <c r="U395" s="342">
        <v>16.0</v>
      </c>
      <c r="V395" s="342">
        <v>13.0</v>
      </c>
      <c r="W395" s="341">
        <v>3.989268293</v>
      </c>
      <c r="X395" s="5">
        <v>1.041463415</v>
      </c>
      <c r="Y395" s="5">
        <v>1.218780488</v>
      </c>
      <c r="Z395" s="5">
        <v>0.4665853659</v>
      </c>
      <c r="AA395" s="5">
        <v>0.3251219512</v>
      </c>
      <c r="AB395" s="5">
        <v>0.1092682927</v>
      </c>
      <c r="AC395" s="5">
        <v>0.4243046776</v>
      </c>
      <c r="AD395" s="5">
        <v>3.086829268</v>
      </c>
      <c r="AE395" s="5">
        <v>0.8177399757</v>
      </c>
      <c r="AF395" s="5">
        <v>0.4014634146</v>
      </c>
      <c r="AG395" s="5">
        <v>0.2707317073</v>
      </c>
      <c r="AH395" s="5">
        <v>11.58912785</v>
      </c>
      <c r="AI395" s="5">
        <v>-2.000074059</v>
      </c>
      <c r="AJ395" s="5">
        <v>-0.5891800327</v>
      </c>
      <c r="AK395" s="5">
        <v>-1.827802011</v>
      </c>
      <c r="AL395" s="5">
        <v>-1.50070605</v>
      </c>
      <c r="AM395" s="5">
        <v>-1.943662593</v>
      </c>
      <c r="AN395" s="5">
        <v>-1.064919566</v>
      </c>
      <c r="AO395" s="5">
        <v>-0.3075659001</v>
      </c>
      <c r="AP395" s="5">
        <v>0.02766320754</v>
      </c>
      <c r="AQ395" s="5">
        <v>1.86836425</v>
      </c>
    </row>
    <row r="396">
      <c r="A396" s="342">
        <v>395.0</v>
      </c>
      <c r="B396" s="347"/>
      <c r="C396" s="347"/>
      <c r="D396" s="341">
        <v>-1.151953225</v>
      </c>
      <c r="E396" s="342">
        <v>-0.1685713927</v>
      </c>
      <c r="F396" s="342">
        <v>-0.8295781832</v>
      </c>
      <c r="G396" s="342">
        <v>-0.3223750423</v>
      </c>
      <c r="H396" s="342">
        <v>0.3999606685</v>
      </c>
      <c r="I396" s="343"/>
      <c r="J396" s="342" t="s">
        <v>2317</v>
      </c>
      <c r="K396" s="342" t="s">
        <v>243</v>
      </c>
      <c r="L396" s="342" t="s">
        <v>1404</v>
      </c>
      <c r="M396" s="342" t="s">
        <v>2318</v>
      </c>
      <c r="N396" s="343"/>
      <c r="O396" s="342" t="s">
        <v>1368</v>
      </c>
      <c r="P396" s="342" t="s">
        <v>1551</v>
      </c>
      <c r="Q396" s="342">
        <v>5.0</v>
      </c>
      <c r="R396" s="343"/>
      <c r="S396" s="342" t="s">
        <v>1960</v>
      </c>
      <c r="T396" s="342">
        <v>47.0</v>
      </c>
      <c r="U396" s="342">
        <v>13.0</v>
      </c>
      <c r="V396" s="342">
        <v>11.0</v>
      </c>
      <c r="W396" s="341">
        <v>2.879787234</v>
      </c>
      <c r="X396" s="5">
        <v>0.5544680851</v>
      </c>
      <c r="Y396" s="5">
        <v>2.313191489</v>
      </c>
      <c r="Z396" s="5">
        <v>0.5761702128</v>
      </c>
      <c r="AA396" s="5">
        <v>0.2827659574</v>
      </c>
      <c r="AB396" s="5">
        <v>0.2746808511</v>
      </c>
      <c r="AC396" s="5">
        <v>0.4344756329</v>
      </c>
      <c r="AD396" s="5">
        <v>2.47106383</v>
      </c>
      <c r="AE396" s="5">
        <v>0.7209302326</v>
      </c>
      <c r="AF396" s="5">
        <v>0.2470212766</v>
      </c>
      <c r="AG396" s="5">
        <v>0.365106383</v>
      </c>
      <c r="AH396" s="5">
        <v>11.77973426</v>
      </c>
      <c r="AI396" s="5">
        <v>-2.186342362</v>
      </c>
      <c r="AJ396" s="5">
        <v>-1.067302107</v>
      </c>
      <c r="AK396" s="5">
        <v>-1.389879496</v>
      </c>
      <c r="AL396" s="5">
        <v>-1.450093747</v>
      </c>
      <c r="AM396" s="5">
        <v>-2.07737162</v>
      </c>
      <c r="AN396" s="5">
        <v>-0.7624881716</v>
      </c>
      <c r="AO396" s="5">
        <v>-0.2096070678</v>
      </c>
      <c r="AP396" s="5">
        <v>-0.07254123261</v>
      </c>
      <c r="AQ396" s="5">
        <v>1.749422156</v>
      </c>
    </row>
    <row r="397">
      <c r="A397" s="342">
        <v>396.0</v>
      </c>
      <c r="B397" s="347"/>
      <c r="C397" s="347"/>
      <c r="D397" s="341">
        <v>-1.152235544</v>
      </c>
      <c r="E397" s="342">
        <v>-0.004631951025</v>
      </c>
      <c r="F397" s="342">
        <v>-0.8663984637</v>
      </c>
      <c r="G397" s="342">
        <v>-0.2858370799</v>
      </c>
      <c r="H397" s="342">
        <v>0.6898455903</v>
      </c>
      <c r="I397" s="343"/>
      <c r="J397" s="342" t="s">
        <v>2319</v>
      </c>
      <c r="K397" s="342" t="s">
        <v>169</v>
      </c>
      <c r="L397" s="342" t="s">
        <v>1380</v>
      </c>
      <c r="M397" s="342" t="s">
        <v>2320</v>
      </c>
      <c r="N397" s="343"/>
      <c r="O397" s="342" t="s">
        <v>1368</v>
      </c>
      <c r="P397" s="342" t="s">
        <v>2321</v>
      </c>
      <c r="Q397" s="342">
        <v>1.0</v>
      </c>
      <c r="R397" s="343"/>
      <c r="S397" s="342" t="s">
        <v>2232</v>
      </c>
      <c r="T397" s="342">
        <v>16.0</v>
      </c>
      <c r="U397" s="342">
        <v>15.0</v>
      </c>
      <c r="V397" s="342">
        <v>10.0</v>
      </c>
      <c r="W397" s="341">
        <v>4.470625</v>
      </c>
      <c r="X397" s="5">
        <v>0.37125</v>
      </c>
      <c r="Y397" s="5">
        <v>1.07125</v>
      </c>
      <c r="Z397" s="5">
        <v>0.948125</v>
      </c>
      <c r="AA397" s="5">
        <v>0.438125</v>
      </c>
      <c r="AB397" s="5">
        <v>0.1425</v>
      </c>
      <c r="AC397" s="5">
        <v>0.4737550471</v>
      </c>
      <c r="AD397" s="5">
        <v>3.715</v>
      </c>
      <c r="AE397" s="5">
        <v>0.7270588235</v>
      </c>
      <c r="AF397" s="5">
        <v>0.796875</v>
      </c>
      <c r="AG397" s="5">
        <v>0.62625</v>
      </c>
      <c r="AH397" s="5">
        <v>21.40321396</v>
      </c>
      <c r="AI397" s="5">
        <v>-1.919260154</v>
      </c>
      <c r="AJ397" s="5">
        <v>-1.247181883</v>
      </c>
      <c r="AK397" s="5">
        <v>-1.88683552</v>
      </c>
      <c r="AL397" s="5">
        <v>-1.278304592</v>
      </c>
      <c r="AM397" s="5">
        <v>-1.586935568</v>
      </c>
      <c r="AN397" s="5">
        <v>-1.004160506</v>
      </c>
      <c r="AO397" s="5">
        <v>-0.08734608238</v>
      </c>
      <c r="AP397" s="5">
        <v>-0.207860043</v>
      </c>
      <c r="AQ397" s="5">
        <v>1.420298176</v>
      </c>
    </row>
    <row r="398">
      <c r="A398" s="342">
        <v>397.0</v>
      </c>
      <c r="B398" s="347"/>
      <c r="C398" s="347"/>
      <c r="D398" s="341">
        <v>-1.153428073</v>
      </c>
      <c r="E398" s="342">
        <v>-0.06720269205</v>
      </c>
      <c r="F398" s="342">
        <v>-0.8419809844</v>
      </c>
      <c r="G398" s="342">
        <v>-0.3114470883</v>
      </c>
      <c r="H398" s="342">
        <v>-1.291034709</v>
      </c>
      <c r="I398" s="343"/>
      <c r="J398" s="342" t="s">
        <v>2322</v>
      </c>
      <c r="K398" s="342" t="s">
        <v>57</v>
      </c>
      <c r="L398" s="342" t="s">
        <v>1404</v>
      </c>
      <c r="M398" s="342" t="s">
        <v>2323</v>
      </c>
      <c r="N398" s="342" t="s">
        <v>2324</v>
      </c>
      <c r="O398" s="342" t="s">
        <v>1374</v>
      </c>
      <c r="P398" s="343"/>
      <c r="Q398" s="342">
        <v>4.0</v>
      </c>
      <c r="R398" s="343"/>
      <c r="S398" s="342" t="s">
        <v>1434</v>
      </c>
      <c r="T398" s="342">
        <v>51.0</v>
      </c>
      <c r="U398" s="342">
        <v>13.0</v>
      </c>
      <c r="V398" s="342">
        <v>13.0</v>
      </c>
      <c r="W398" s="341">
        <v>2.590980392</v>
      </c>
      <c r="X398" s="5">
        <v>0.4464705882</v>
      </c>
      <c r="Y398" s="5">
        <v>2.133529412</v>
      </c>
      <c r="Z398" s="5">
        <v>0.7933333333</v>
      </c>
      <c r="AA398" s="5">
        <v>0.2390196078</v>
      </c>
      <c r="AB398" s="5">
        <v>0.4454901961</v>
      </c>
      <c r="AC398" s="5">
        <v>0.4253367727</v>
      </c>
      <c r="AD398" s="5">
        <v>2.052352941</v>
      </c>
      <c r="AE398" s="5">
        <v>0.7299820467</v>
      </c>
      <c r="AF398" s="5">
        <v>0.5460784314</v>
      </c>
      <c r="AG398" s="5">
        <v>0.4443137255</v>
      </c>
      <c r="AH398" s="5">
        <v>9.034059817</v>
      </c>
      <c r="AI398" s="5">
        <v>-2.234829499</v>
      </c>
      <c r="AJ398" s="5">
        <v>-1.173331845</v>
      </c>
      <c r="AK398" s="5">
        <v>-1.461770284</v>
      </c>
      <c r="AL398" s="5">
        <v>-1.349795888</v>
      </c>
      <c r="AM398" s="5">
        <v>-2.215469709</v>
      </c>
      <c r="AN398" s="5">
        <v>-0.4501895841</v>
      </c>
      <c r="AO398" s="5">
        <v>-0.2043285195</v>
      </c>
      <c r="AP398" s="5">
        <v>-0.1377092536</v>
      </c>
      <c r="AQ398" s="5">
        <v>1.649595722</v>
      </c>
    </row>
    <row r="399">
      <c r="A399" s="342">
        <v>398.0</v>
      </c>
      <c r="B399" s="347"/>
      <c r="C399" s="347"/>
      <c r="D399" s="341">
        <v>-1.154053782</v>
      </c>
      <c r="E399" s="342">
        <v>-0.002566433551</v>
      </c>
      <c r="F399" s="342">
        <v>-0.8718233951</v>
      </c>
      <c r="G399" s="342">
        <v>-0.282230387</v>
      </c>
      <c r="H399" s="342">
        <v>0.2711229255</v>
      </c>
      <c r="I399" s="343"/>
      <c r="J399" s="342" t="s">
        <v>2325</v>
      </c>
      <c r="K399" s="342" t="s">
        <v>40</v>
      </c>
      <c r="L399" s="342" t="s">
        <v>1380</v>
      </c>
      <c r="M399" s="342" t="s">
        <v>2326</v>
      </c>
      <c r="N399" s="343"/>
      <c r="O399" s="342" t="s">
        <v>1368</v>
      </c>
      <c r="P399" s="343"/>
      <c r="Q399" s="342">
        <v>4.0</v>
      </c>
      <c r="R399" s="343"/>
      <c r="S399" s="342" t="s">
        <v>1960</v>
      </c>
      <c r="T399" s="342">
        <v>29.0</v>
      </c>
      <c r="U399" s="342">
        <v>16.0</v>
      </c>
      <c r="V399" s="342">
        <v>10.0</v>
      </c>
      <c r="W399" s="341">
        <v>3.509655172</v>
      </c>
      <c r="X399" s="5">
        <v>0.684137931</v>
      </c>
      <c r="Y399" s="5">
        <v>1.224827586</v>
      </c>
      <c r="Z399" s="5">
        <v>1.633448276</v>
      </c>
      <c r="AA399" s="5">
        <v>0.3265517241</v>
      </c>
      <c r="AB399" s="5">
        <v>0.1368965517</v>
      </c>
      <c r="AC399" s="5">
        <v>0.4083333333</v>
      </c>
      <c r="AD399" s="5">
        <v>3.103448276</v>
      </c>
      <c r="AE399" s="5">
        <v>0.7397020158</v>
      </c>
      <c r="AF399" s="5">
        <v>0.3934482759</v>
      </c>
      <c r="AG399" s="5">
        <v>0.6534482759</v>
      </c>
      <c r="AH399" s="5">
        <v>17.27813004</v>
      </c>
      <c r="AI399" s="5">
        <v>-2.080595237</v>
      </c>
      <c r="AJ399" s="5">
        <v>-0.939994899</v>
      </c>
      <c r="AK399" s="5">
        <v>-1.825382298</v>
      </c>
      <c r="AL399" s="5">
        <v>-0.9617846526</v>
      </c>
      <c r="AM399" s="5">
        <v>-1.939149099</v>
      </c>
      <c r="AN399" s="5">
        <v>-1.014405548</v>
      </c>
      <c r="AO399" s="5">
        <v>-0.3849733133</v>
      </c>
      <c r="AP399" s="5">
        <v>-0.08614521036</v>
      </c>
      <c r="AQ399" s="5">
        <v>1.386019701</v>
      </c>
    </row>
    <row r="400">
      <c r="A400" s="342">
        <v>399.0</v>
      </c>
      <c r="B400" s="341">
        <v>1.0</v>
      </c>
      <c r="C400" s="341">
        <v>-0.1</v>
      </c>
      <c r="D400" s="341">
        <v>-1.154781759</v>
      </c>
      <c r="E400" s="342">
        <v>-0.001613688941</v>
      </c>
      <c r="F400" s="342">
        <v>-0.9129640955</v>
      </c>
      <c r="G400" s="342">
        <v>-0.2418176635</v>
      </c>
      <c r="H400" s="343"/>
      <c r="I400" s="343"/>
      <c r="J400" s="342" t="s">
        <v>2327</v>
      </c>
      <c r="K400" s="342" t="s">
        <v>126</v>
      </c>
      <c r="L400" s="342" t="s">
        <v>1380</v>
      </c>
      <c r="M400" s="342" t="s">
        <v>2328</v>
      </c>
      <c r="N400" s="342" t="s">
        <v>2329</v>
      </c>
      <c r="O400" s="342" t="s">
        <v>1374</v>
      </c>
      <c r="P400" s="343"/>
      <c r="Q400" s="342">
        <v>1.0</v>
      </c>
      <c r="R400" s="343"/>
      <c r="S400" s="342" t="s">
        <v>1434</v>
      </c>
      <c r="T400" s="342">
        <v>65.0</v>
      </c>
      <c r="U400" s="342">
        <v>15.0</v>
      </c>
      <c r="V400" s="342">
        <v>16.0</v>
      </c>
      <c r="W400" s="341">
        <v>5.850307692</v>
      </c>
      <c r="X400" s="5">
        <v>1.026153846</v>
      </c>
      <c r="Y400" s="5">
        <v>1.851692308</v>
      </c>
      <c r="Z400" s="5">
        <v>0.6396923077</v>
      </c>
      <c r="AA400" s="5">
        <v>0.4713846154</v>
      </c>
      <c r="AB400" s="5">
        <v>0.1346153846</v>
      </c>
      <c r="AC400" s="5">
        <v>0.3353243965</v>
      </c>
      <c r="AD400" s="5">
        <v>5.589076923</v>
      </c>
      <c r="AE400" s="5">
        <v>0.7699845849</v>
      </c>
      <c r="AF400" s="5">
        <v>1.397230769</v>
      </c>
      <c r="AG400" s="5">
        <v>0.9426153846</v>
      </c>
      <c r="AH400" s="5">
        <v>19.2302389</v>
      </c>
      <c r="AI400" s="5">
        <v>-1.687628302</v>
      </c>
      <c r="AJ400" s="5">
        <v>-0.6042106546</v>
      </c>
      <c r="AK400" s="5">
        <v>-1.574545844</v>
      </c>
      <c r="AL400" s="5">
        <v>-1.420755754</v>
      </c>
      <c r="AM400" s="5">
        <v>-1.481941908</v>
      </c>
      <c r="AN400" s="5">
        <v>-1.018576311</v>
      </c>
      <c r="AO400" s="5">
        <v>-1.309987161</v>
      </c>
      <c r="AP400" s="5">
        <v>-0.1406081379</v>
      </c>
      <c r="AQ400" s="5">
        <v>1.021577212</v>
      </c>
    </row>
    <row r="401">
      <c r="A401" s="342">
        <v>400.0</v>
      </c>
      <c r="B401" s="347"/>
      <c r="C401" s="347"/>
      <c r="D401" s="341">
        <v>-1.154801365</v>
      </c>
      <c r="E401" s="342">
        <v>-0.005045080773</v>
      </c>
      <c r="F401" s="342">
        <v>-0.8294342938</v>
      </c>
      <c r="G401" s="342">
        <v>-0.3253670708</v>
      </c>
      <c r="H401" s="342">
        <v>0.206704054</v>
      </c>
      <c r="I401" s="343"/>
      <c r="J401" s="342" t="s">
        <v>2330</v>
      </c>
      <c r="K401" s="342" t="s">
        <v>136</v>
      </c>
      <c r="L401" s="342" t="s">
        <v>1404</v>
      </c>
      <c r="M401" s="342" t="s">
        <v>2331</v>
      </c>
      <c r="N401" s="343"/>
      <c r="O401" s="342" t="s">
        <v>1368</v>
      </c>
      <c r="P401" s="342" t="s">
        <v>1642</v>
      </c>
      <c r="Q401" s="342">
        <v>5.0</v>
      </c>
      <c r="R401" s="343"/>
      <c r="S401" s="342" t="s">
        <v>2232</v>
      </c>
      <c r="T401" s="342">
        <v>20.0</v>
      </c>
      <c r="U401" s="342">
        <v>15.0</v>
      </c>
      <c r="V401" s="342">
        <v>10.0</v>
      </c>
      <c r="W401" s="341">
        <v>2.4775</v>
      </c>
      <c r="X401" s="5">
        <v>0.132</v>
      </c>
      <c r="Y401" s="5">
        <v>2.3175</v>
      </c>
      <c r="Z401" s="5">
        <v>0.49</v>
      </c>
      <c r="AA401" s="5">
        <v>0.253</v>
      </c>
      <c r="AB401" s="5">
        <v>0.39</v>
      </c>
      <c r="AC401" s="5">
        <v>0.5305528613</v>
      </c>
      <c r="AD401" s="5">
        <v>2.062</v>
      </c>
      <c r="AE401" s="5">
        <v>0.7645631068</v>
      </c>
      <c r="AF401" s="5">
        <v>0.206</v>
      </c>
      <c r="AG401" s="5">
        <v>0.346</v>
      </c>
      <c r="AH401" s="5">
        <v>10.53407628</v>
      </c>
      <c r="AI401" s="5">
        <v>-2.253881469</v>
      </c>
      <c r="AJ401" s="5">
        <v>-1.48207265</v>
      </c>
      <c r="AK401" s="5">
        <v>-1.38815547</v>
      </c>
      <c r="AL401" s="5">
        <v>-1.489891885</v>
      </c>
      <c r="AM401" s="5">
        <v>-2.171336531</v>
      </c>
      <c r="AN401" s="5">
        <v>-0.5516448637</v>
      </c>
      <c r="AO401" s="5">
        <v>0.1265411745</v>
      </c>
      <c r="AP401" s="5">
        <v>-0.0279692231</v>
      </c>
      <c r="AQ401" s="5">
        <v>1.773502272</v>
      </c>
    </row>
    <row r="402">
      <c r="A402" s="342">
        <v>401.0</v>
      </c>
      <c r="B402" s="347"/>
      <c r="C402" s="347"/>
      <c r="D402" s="341">
        <v>-1.154967108</v>
      </c>
      <c r="E402" s="342">
        <v>-0.08937133443</v>
      </c>
      <c r="F402" s="342">
        <v>-0.8648959842</v>
      </c>
      <c r="G402" s="342">
        <v>-0.290071124</v>
      </c>
      <c r="H402" s="343"/>
      <c r="I402" s="343"/>
      <c r="J402" s="342" t="s">
        <v>2332</v>
      </c>
      <c r="K402" s="342" t="s">
        <v>222</v>
      </c>
      <c r="L402" s="342" t="s">
        <v>1404</v>
      </c>
      <c r="M402" s="342" t="s">
        <v>2333</v>
      </c>
      <c r="N402" s="342" t="s">
        <v>2334</v>
      </c>
      <c r="O402" s="342" t="s">
        <v>1368</v>
      </c>
      <c r="P402" s="343"/>
      <c r="Q402" s="342">
        <v>3.0</v>
      </c>
      <c r="R402" s="343"/>
      <c r="S402" s="342" t="s">
        <v>1960</v>
      </c>
      <c r="T402" s="342">
        <v>44.0</v>
      </c>
      <c r="U402" s="342">
        <v>15.0</v>
      </c>
      <c r="V402" s="342">
        <v>10.0</v>
      </c>
      <c r="W402" s="341">
        <v>3.569090909</v>
      </c>
      <c r="X402" s="5">
        <v>0.5040909091</v>
      </c>
      <c r="Y402" s="5">
        <v>1.8975</v>
      </c>
      <c r="Z402" s="5">
        <v>0.6186363636</v>
      </c>
      <c r="AA402" s="5">
        <v>0.3711363636</v>
      </c>
      <c r="AB402" s="5">
        <v>0.165</v>
      </c>
      <c r="AC402" s="5">
        <v>0.4259911564</v>
      </c>
      <c r="AD402" s="5">
        <v>3.0325</v>
      </c>
      <c r="AE402" s="5">
        <v>0.7938530735</v>
      </c>
      <c r="AF402" s="5">
        <v>0.6063636364</v>
      </c>
      <c r="AG402" s="5">
        <v>0.5981818182</v>
      </c>
      <c r="AH402" s="5">
        <v>17.03949444</v>
      </c>
      <c r="AI402" s="5">
        <v>-2.070616704</v>
      </c>
      <c r="AJ402" s="5">
        <v>-1.11676139</v>
      </c>
      <c r="AK402" s="5">
        <v>-1.556216149</v>
      </c>
      <c r="AL402" s="5">
        <v>-1.430480546</v>
      </c>
      <c r="AM402" s="5">
        <v>-1.798404703</v>
      </c>
      <c r="AN402" s="5">
        <v>-0.96302272</v>
      </c>
      <c r="AO402" s="5">
        <v>-0.2944929992</v>
      </c>
      <c r="AP402" s="5">
        <v>-0.00974165532</v>
      </c>
      <c r="AQ402" s="5">
        <v>1.455673008</v>
      </c>
    </row>
    <row r="403">
      <c r="A403" s="342">
        <v>402.0</v>
      </c>
      <c r="B403" s="347"/>
      <c r="C403" s="347"/>
      <c r="D403" s="341">
        <v>-1.15801353</v>
      </c>
      <c r="E403" s="342">
        <v>0.08530833923</v>
      </c>
      <c r="F403" s="342">
        <v>-0.9463194931</v>
      </c>
      <c r="G403" s="342">
        <v>-0.2116940372</v>
      </c>
      <c r="H403" s="342">
        <v>0.3194370791</v>
      </c>
      <c r="I403" s="343"/>
      <c r="J403" s="342" t="s">
        <v>2335</v>
      </c>
      <c r="K403" s="342" t="s">
        <v>63</v>
      </c>
      <c r="L403" s="342" t="s">
        <v>1380</v>
      </c>
      <c r="M403" s="342" t="s">
        <v>2336</v>
      </c>
      <c r="N403" s="343"/>
      <c r="O403" s="342" t="s">
        <v>1374</v>
      </c>
      <c r="P403" s="343"/>
      <c r="Q403" s="342">
        <v>4.0</v>
      </c>
      <c r="R403" s="343"/>
      <c r="S403" s="342" t="s">
        <v>1434</v>
      </c>
      <c r="T403" s="342">
        <v>68.0</v>
      </c>
      <c r="U403" s="342">
        <v>13.0</v>
      </c>
      <c r="V403" s="342">
        <v>14.0</v>
      </c>
      <c r="W403" s="341">
        <v>5.6075</v>
      </c>
      <c r="X403" s="5">
        <v>0.6998529412</v>
      </c>
      <c r="Y403" s="5">
        <v>1.691470588</v>
      </c>
      <c r="Z403" s="5">
        <v>1.469264706</v>
      </c>
      <c r="AA403" s="5">
        <v>0.3613235294</v>
      </c>
      <c r="AB403" s="5">
        <v>0.1405882353</v>
      </c>
      <c r="AC403" s="5">
        <v>0.37864129</v>
      </c>
      <c r="AD403" s="5">
        <v>5.563235294</v>
      </c>
      <c r="AE403" s="5">
        <v>0.7500793903</v>
      </c>
      <c r="AF403" s="5">
        <v>0.9261764706</v>
      </c>
      <c r="AG403" s="5">
        <v>1.160294118</v>
      </c>
      <c r="AH403" s="5">
        <v>21.92631351</v>
      </c>
      <c r="AI403" s="5">
        <v>-1.728392744</v>
      </c>
      <c r="AJ403" s="5">
        <v>-0.9245662228</v>
      </c>
      <c r="AK403" s="5">
        <v>-1.638657679</v>
      </c>
      <c r="AL403" s="5">
        <v>-1.037613645</v>
      </c>
      <c r="AM403" s="5">
        <v>-1.829381771</v>
      </c>
      <c r="AN403" s="5">
        <v>-1.007655873</v>
      </c>
      <c r="AO403" s="5">
        <v>-0.9354423646</v>
      </c>
      <c r="AP403" s="5">
        <v>-0.1623979425</v>
      </c>
      <c r="AQ403" s="5">
        <v>0.7472328046</v>
      </c>
    </row>
    <row r="404">
      <c r="A404" s="342">
        <v>403.0</v>
      </c>
      <c r="B404" s="347"/>
      <c r="C404" s="347"/>
      <c r="D404" s="341">
        <v>-1.158321105</v>
      </c>
      <c r="E404" s="342">
        <v>-0.0143668954</v>
      </c>
      <c r="F404" s="342">
        <v>-0.8847664236</v>
      </c>
      <c r="G404" s="342">
        <v>-0.2735546815</v>
      </c>
      <c r="H404" s="342">
        <v>0.1261804646</v>
      </c>
      <c r="I404" s="343"/>
      <c r="J404" s="342" t="s">
        <v>2337</v>
      </c>
      <c r="K404" s="342" t="s">
        <v>243</v>
      </c>
      <c r="L404" s="342" t="s">
        <v>34</v>
      </c>
      <c r="M404" s="342" t="s">
        <v>2338</v>
      </c>
      <c r="N404" s="343"/>
      <c r="O404" s="342" t="s">
        <v>1368</v>
      </c>
      <c r="P404" s="342" t="s">
        <v>2227</v>
      </c>
      <c r="Q404" s="342">
        <v>4.0</v>
      </c>
      <c r="R404" s="343"/>
      <c r="S404" s="342" t="s">
        <v>2232</v>
      </c>
      <c r="T404" s="342">
        <v>33.0</v>
      </c>
      <c r="U404" s="342">
        <v>13.0</v>
      </c>
      <c r="V404" s="342">
        <v>11.0</v>
      </c>
      <c r="W404" s="341">
        <v>4.865151515</v>
      </c>
      <c r="X404" s="5">
        <v>0.04060606061</v>
      </c>
      <c r="Y404" s="5">
        <v>2.91969697</v>
      </c>
      <c r="Z404" s="5">
        <v>0.3145454545</v>
      </c>
      <c r="AA404" s="5">
        <v>0.1572727273</v>
      </c>
      <c r="AB404" s="5">
        <v>0.2693939394</v>
      </c>
      <c r="AC404" s="5">
        <v>0.5479993797</v>
      </c>
      <c r="AD404" s="5">
        <v>3.907878788</v>
      </c>
      <c r="AE404" s="5">
        <v>0.7153722978</v>
      </c>
      <c r="AF404" s="5">
        <v>0.756969697</v>
      </c>
      <c r="AG404" s="5">
        <v>0.7187878788</v>
      </c>
      <c r="AH404" s="5">
        <v>19.83943179</v>
      </c>
      <c r="AI404" s="5">
        <v>-1.853023977</v>
      </c>
      <c r="AJ404" s="5">
        <v>-1.571801354</v>
      </c>
      <c r="AK404" s="5">
        <v>-1.14718968</v>
      </c>
      <c r="AL404" s="5">
        <v>-1.570926434</v>
      </c>
      <c r="AM404" s="5">
        <v>-2.473527539</v>
      </c>
      <c r="AN404" s="5">
        <v>-0.7721544755</v>
      </c>
      <c r="AO404" s="5">
        <v>0.3522990324</v>
      </c>
      <c r="AP404" s="5">
        <v>-0.2302444151</v>
      </c>
      <c r="AQ404" s="5">
        <v>1.303671029</v>
      </c>
    </row>
    <row r="405">
      <c r="A405" s="342">
        <v>404.0</v>
      </c>
      <c r="B405" s="347"/>
      <c r="C405" s="347"/>
      <c r="D405" s="341">
        <v>-1.161249554</v>
      </c>
      <c r="E405" s="342">
        <v>-0.002297118449</v>
      </c>
      <c r="F405" s="342">
        <v>-0.8857251348</v>
      </c>
      <c r="G405" s="342">
        <v>-0.2755244189</v>
      </c>
      <c r="H405" s="342">
        <v>-0.2925422003</v>
      </c>
      <c r="I405" s="343"/>
      <c r="J405" s="342" t="s">
        <v>2339</v>
      </c>
      <c r="K405" s="342" t="s">
        <v>291</v>
      </c>
      <c r="L405" s="342" t="s">
        <v>1404</v>
      </c>
      <c r="M405" s="342" t="s">
        <v>2340</v>
      </c>
      <c r="N405" s="342" t="s">
        <v>2341</v>
      </c>
      <c r="O405" s="342" t="s">
        <v>1374</v>
      </c>
      <c r="P405" s="343"/>
      <c r="Q405" s="342">
        <v>2.0</v>
      </c>
      <c r="R405" s="343"/>
      <c r="S405" s="342" t="s">
        <v>1960</v>
      </c>
      <c r="T405" s="342">
        <v>44.0</v>
      </c>
      <c r="U405" s="342">
        <v>15.0</v>
      </c>
      <c r="V405" s="342">
        <v>12.0</v>
      </c>
      <c r="W405" s="341">
        <v>4.415</v>
      </c>
      <c r="X405" s="5">
        <v>0.7393181818</v>
      </c>
      <c r="Y405" s="5">
        <v>1.641363636</v>
      </c>
      <c r="Z405" s="5">
        <v>0.7575</v>
      </c>
      <c r="AA405" s="5">
        <v>0.3534090909</v>
      </c>
      <c r="AB405" s="5">
        <v>0.1384090909</v>
      </c>
      <c r="AC405" s="5">
        <v>0.3956972724</v>
      </c>
      <c r="AD405" s="5">
        <v>4.141136364</v>
      </c>
      <c r="AE405" s="5">
        <v>0.8019213175</v>
      </c>
      <c r="AF405" s="5">
        <v>0.4968181818</v>
      </c>
      <c r="AG405" s="5">
        <v>0.7070454545</v>
      </c>
      <c r="AH405" s="5">
        <v>17.9421557</v>
      </c>
      <c r="AI405" s="5">
        <v>-1.928598912</v>
      </c>
      <c r="AJ405" s="5">
        <v>-0.885820055</v>
      </c>
      <c r="AK405" s="5">
        <v>-1.658707699</v>
      </c>
      <c r="AL405" s="5">
        <v>-1.366345689</v>
      </c>
      <c r="AM405" s="5">
        <v>-1.854366001</v>
      </c>
      <c r="AN405" s="5">
        <v>-1.011640103</v>
      </c>
      <c r="AO405" s="5">
        <v>-0.5906509742</v>
      </c>
      <c r="AP405" s="5">
        <v>0.006133003414</v>
      </c>
      <c r="AQ405" s="5">
        <v>1.318470216</v>
      </c>
    </row>
    <row r="406">
      <c r="A406" s="342">
        <v>405.0</v>
      </c>
      <c r="B406" s="347"/>
      <c r="C406" s="347"/>
      <c r="D406" s="341">
        <v>-1.16402272</v>
      </c>
      <c r="E406" s="342">
        <v>-0.003427921266</v>
      </c>
      <c r="F406" s="342">
        <v>-0.8978812522</v>
      </c>
      <c r="G406" s="342">
        <v>-0.2661414675</v>
      </c>
      <c r="H406" s="343"/>
      <c r="I406" s="343"/>
      <c r="J406" s="342" t="s">
        <v>2342</v>
      </c>
      <c r="K406" s="342" t="s">
        <v>126</v>
      </c>
      <c r="L406" s="342" t="s">
        <v>1404</v>
      </c>
      <c r="M406" s="342" t="s">
        <v>2343</v>
      </c>
      <c r="N406" s="343"/>
      <c r="O406" s="342" t="s">
        <v>1368</v>
      </c>
      <c r="P406" s="342" t="s">
        <v>2287</v>
      </c>
      <c r="Q406" s="342">
        <v>3.0</v>
      </c>
      <c r="R406" s="343"/>
      <c r="S406" s="342" t="s">
        <v>2232</v>
      </c>
      <c r="T406" s="342">
        <v>8.0</v>
      </c>
      <c r="U406" s="342">
        <v>15.0</v>
      </c>
      <c r="V406" s="342">
        <v>9.0</v>
      </c>
      <c r="W406" s="341">
        <v>2.51875</v>
      </c>
      <c r="X406" s="5">
        <v>0.3775</v>
      </c>
      <c r="Y406" s="5">
        <v>2.7075</v>
      </c>
      <c r="Z406" s="5">
        <v>0.41625</v>
      </c>
      <c r="AA406" s="5">
        <v>0.2275</v>
      </c>
      <c r="AB406" s="5">
        <v>0.51125</v>
      </c>
      <c r="AC406" s="5">
        <v>0.4027849407</v>
      </c>
      <c r="AD406" s="5">
        <v>2.42375</v>
      </c>
      <c r="AE406" s="5">
        <v>0.6480686695</v>
      </c>
      <c r="AF406" s="5">
        <v>0.29125</v>
      </c>
      <c r="AG406" s="5">
        <v>0.77625</v>
      </c>
      <c r="AH406" s="5">
        <v>15.92110608</v>
      </c>
      <c r="AI406" s="5">
        <v>-2.246956099</v>
      </c>
      <c r="AJ406" s="5">
        <v>-1.241045761</v>
      </c>
      <c r="AK406" s="5">
        <v>-1.232099125</v>
      </c>
      <c r="AL406" s="5">
        <v>-1.523953687</v>
      </c>
      <c r="AM406" s="5">
        <v>-2.251834705</v>
      </c>
      <c r="AN406" s="5">
        <v>-0.3299579078</v>
      </c>
      <c r="AO406" s="5">
        <v>-0.3232342907</v>
      </c>
      <c r="AP406" s="5">
        <v>-0.1631001822</v>
      </c>
      <c r="AQ406" s="5">
        <v>1.231250488</v>
      </c>
    </row>
    <row r="407">
      <c r="A407" s="342">
        <v>406.0</v>
      </c>
      <c r="B407" s="347"/>
      <c r="C407" s="347"/>
      <c r="D407" s="341">
        <v>-1.166695422</v>
      </c>
      <c r="E407" s="342">
        <v>-0.003381239952</v>
      </c>
      <c r="F407" s="342">
        <v>-0.8859033665</v>
      </c>
      <c r="G407" s="342">
        <v>-0.2807920551</v>
      </c>
      <c r="H407" s="343"/>
      <c r="I407" s="343"/>
      <c r="J407" s="342" t="s">
        <v>2344</v>
      </c>
      <c r="K407" s="342" t="s">
        <v>159</v>
      </c>
      <c r="L407" s="342" t="s">
        <v>1380</v>
      </c>
      <c r="M407" s="342" t="s">
        <v>2345</v>
      </c>
      <c r="N407" s="343"/>
      <c r="O407" s="342" t="s">
        <v>1374</v>
      </c>
      <c r="P407" s="342" t="s">
        <v>1642</v>
      </c>
      <c r="Q407" s="342">
        <v>2.0</v>
      </c>
      <c r="R407" s="343"/>
      <c r="S407" s="342" t="s">
        <v>2232</v>
      </c>
      <c r="T407" s="342">
        <v>16.0</v>
      </c>
      <c r="U407" s="342">
        <v>14.0</v>
      </c>
      <c r="V407" s="342">
        <v>11.0</v>
      </c>
      <c r="W407" s="341">
        <v>3.05375</v>
      </c>
      <c r="X407" s="5">
        <v>0.46625</v>
      </c>
      <c r="Y407" s="5">
        <v>1.661875</v>
      </c>
      <c r="Z407" s="5">
        <v>1.325</v>
      </c>
      <c r="AA407" s="5">
        <v>0.358125</v>
      </c>
      <c r="AB407" s="5">
        <v>0.18</v>
      </c>
      <c r="AC407" s="5">
        <v>0.3991012198</v>
      </c>
      <c r="AD407" s="5">
        <v>2.920625</v>
      </c>
      <c r="AE407" s="5">
        <v>0.7308377897</v>
      </c>
      <c r="AF407" s="5">
        <v>0.350625</v>
      </c>
      <c r="AG407" s="5">
        <v>0.67375</v>
      </c>
      <c r="AH407" s="5">
        <v>15.13561771</v>
      </c>
      <c r="AI407" s="5">
        <v>-2.157136141</v>
      </c>
      <c r="AJ407" s="5">
        <v>-1.153912822</v>
      </c>
      <c r="AK407" s="5">
        <v>-1.65050019</v>
      </c>
      <c r="AL407" s="5">
        <v>-1.104243012</v>
      </c>
      <c r="AM407" s="5">
        <v>-1.839478861</v>
      </c>
      <c r="AN407" s="5">
        <v>-0.9355975295</v>
      </c>
      <c r="AO407" s="5">
        <v>-0.4040701782</v>
      </c>
      <c r="AP407" s="5">
        <v>-0.08862463892</v>
      </c>
      <c r="AQ407" s="5">
        <v>1.360433074</v>
      </c>
    </row>
    <row r="408">
      <c r="A408" s="342">
        <v>407.0</v>
      </c>
      <c r="B408" s="347"/>
      <c r="C408" s="347"/>
      <c r="D408" s="341">
        <v>-1.171587878</v>
      </c>
      <c r="E408" s="342">
        <v>-0.002724839052</v>
      </c>
      <c r="F408" s="342">
        <v>-0.9056872744</v>
      </c>
      <c r="G408" s="342">
        <v>-0.2659006034</v>
      </c>
      <c r="H408" s="342">
        <v>0.1261804646</v>
      </c>
      <c r="I408" s="343"/>
      <c r="J408" s="342" t="s">
        <v>2346</v>
      </c>
      <c r="K408" s="342" t="s">
        <v>98</v>
      </c>
      <c r="L408" s="342" t="s">
        <v>1404</v>
      </c>
      <c r="M408" s="342" t="s">
        <v>2347</v>
      </c>
      <c r="N408" s="343"/>
      <c r="O408" s="342" t="s">
        <v>1368</v>
      </c>
      <c r="P408" s="343"/>
      <c r="Q408" s="342">
        <v>4.0</v>
      </c>
      <c r="R408" s="343"/>
      <c r="S408" s="342" t="s">
        <v>1434</v>
      </c>
      <c r="T408" s="342">
        <v>73.0</v>
      </c>
      <c r="U408" s="342">
        <v>13.0</v>
      </c>
      <c r="V408" s="342">
        <v>12.0</v>
      </c>
      <c r="W408" s="341">
        <v>3.131643836</v>
      </c>
      <c r="X408" s="5">
        <v>0.4938356164</v>
      </c>
      <c r="Y408" s="5">
        <v>2.204931507</v>
      </c>
      <c r="Z408" s="5">
        <v>0.7350684932</v>
      </c>
      <c r="AA408" s="5">
        <v>0.3920547945</v>
      </c>
      <c r="AB408" s="5">
        <v>0.1687671233</v>
      </c>
      <c r="AC408" s="5">
        <v>0.3927114371</v>
      </c>
      <c r="AD408" s="5">
        <v>2.988356164</v>
      </c>
      <c r="AE408" s="5">
        <v>0.694599018</v>
      </c>
      <c r="AF408" s="5">
        <v>0.4184931507</v>
      </c>
      <c r="AG408" s="5">
        <v>0.7839726027</v>
      </c>
      <c r="AH408" s="5">
        <v>14.59851552</v>
      </c>
      <c r="AI408" s="5">
        <v>-2.144058718</v>
      </c>
      <c r="AJ408" s="5">
        <v>-1.126829827</v>
      </c>
      <c r="AK408" s="5">
        <v>-1.43319913</v>
      </c>
      <c r="AL408" s="5">
        <v>-1.376705792</v>
      </c>
      <c r="AM408" s="5">
        <v>-1.732369585</v>
      </c>
      <c r="AN408" s="5">
        <v>-0.9561351151</v>
      </c>
      <c r="AO408" s="5">
        <v>-0.4424296398</v>
      </c>
      <c r="AP408" s="5">
        <v>-0.1609752155</v>
      </c>
      <c r="AQ408" s="5">
        <v>1.221517553</v>
      </c>
    </row>
    <row r="409">
      <c r="A409" s="342">
        <v>408.0</v>
      </c>
      <c r="B409" s="347"/>
      <c r="C409" s="347"/>
      <c r="D409" s="341">
        <v>-1.171961199</v>
      </c>
      <c r="E409" s="342">
        <v>-0.001738946583</v>
      </c>
      <c r="F409" s="342">
        <v>-0.8778933567</v>
      </c>
      <c r="G409" s="342">
        <v>-0.2940678428</v>
      </c>
      <c r="H409" s="343"/>
      <c r="I409" s="343"/>
      <c r="J409" s="342" t="s">
        <v>2348</v>
      </c>
      <c r="K409" s="342" t="s">
        <v>1396</v>
      </c>
      <c r="L409" s="342" t="s">
        <v>1404</v>
      </c>
      <c r="M409" s="343"/>
      <c r="N409" s="343"/>
      <c r="O409" s="342" t="s">
        <v>1368</v>
      </c>
      <c r="P409" s="342" t="s">
        <v>2287</v>
      </c>
      <c r="Q409" s="342">
        <v>2.0</v>
      </c>
      <c r="R409" s="343"/>
      <c r="S409" s="342" t="s">
        <v>2232</v>
      </c>
      <c r="T409" s="342">
        <v>16.0</v>
      </c>
      <c r="U409" s="342">
        <v>14.0</v>
      </c>
      <c r="V409" s="342">
        <v>10.0</v>
      </c>
      <c r="W409" s="341">
        <v>3.739375</v>
      </c>
      <c r="X409" s="5">
        <v>0.37</v>
      </c>
      <c r="Y409" s="5">
        <v>2.145625</v>
      </c>
      <c r="Z409" s="5">
        <v>0.5</v>
      </c>
      <c r="AA409" s="5">
        <v>0.229375</v>
      </c>
      <c r="AB409" s="5">
        <v>0.3125</v>
      </c>
      <c r="AC409" s="5">
        <v>0.4600389864</v>
      </c>
      <c r="AD409" s="5">
        <v>3.20625</v>
      </c>
      <c r="AE409" s="5">
        <v>0.7686139748</v>
      </c>
      <c r="AF409" s="5">
        <v>0.545625</v>
      </c>
      <c r="AG409" s="5">
        <v>0.583125</v>
      </c>
      <c r="AH409" s="5">
        <v>17.27322059</v>
      </c>
      <c r="AI409" s="5">
        <v>-2.042028087</v>
      </c>
      <c r="AJ409" s="5">
        <v>-1.248409108</v>
      </c>
      <c r="AK409" s="5">
        <v>-1.456930301</v>
      </c>
      <c r="AL409" s="5">
        <v>-1.485273336</v>
      </c>
      <c r="AM409" s="5">
        <v>-2.245915722</v>
      </c>
      <c r="AN409" s="5">
        <v>-0.6933416808</v>
      </c>
      <c r="AO409" s="5">
        <v>-0.1438947298</v>
      </c>
      <c r="AP409" s="5">
        <v>-0.05989663136</v>
      </c>
      <c r="AQ409" s="5">
        <v>1.474649386</v>
      </c>
    </row>
    <row r="410">
      <c r="A410" s="342">
        <v>409.0</v>
      </c>
      <c r="B410" s="347"/>
      <c r="C410" s="347"/>
      <c r="D410" s="341">
        <v>-1.172459267</v>
      </c>
      <c r="E410" s="342">
        <v>-0.002542993072</v>
      </c>
      <c r="F410" s="342">
        <v>-0.8858834664</v>
      </c>
      <c r="G410" s="342">
        <v>-0.2865758011</v>
      </c>
      <c r="H410" s="343"/>
      <c r="I410" s="343"/>
      <c r="J410" s="342" t="s">
        <v>2349</v>
      </c>
      <c r="K410" s="342" t="s">
        <v>67</v>
      </c>
      <c r="L410" s="342" t="s">
        <v>1380</v>
      </c>
      <c r="M410" s="342" t="s">
        <v>2350</v>
      </c>
      <c r="N410" s="342" t="s">
        <v>2351</v>
      </c>
      <c r="O410" s="342" t="s">
        <v>1368</v>
      </c>
      <c r="P410" s="343"/>
      <c r="Q410" s="342">
        <v>2.0</v>
      </c>
      <c r="R410" s="343"/>
      <c r="S410" s="342" t="s">
        <v>1960</v>
      </c>
      <c r="T410" s="342">
        <v>47.0</v>
      </c>
      <c r="U410" s="342">
        <v>15.0</v>
      </c>
      <c r="V410" s="342">
        <v>12.0</v>
      </c>
      <c r="W410" s="341">
        <v>3.897446809</v>
      </c>
      <c r="X410" s="5">
        <v>0.7327659574</v>
      </c>
      <c r="Y410" s="5">
        <v>1.714893617</v>
      </c>
      <c r="Z410" s="5">
        <v>0.9310638298</v>
      </c>
      <c r="AA410" s="5">
        <v>0.3429787234</v>
      </c>
      <c r="AB410" s="5">
        <v>0.04893617021</v>
      </c>
      <c r="AC410" s="5">
        <v>0.3862855075</v>
      </c>
      <c r="AD410" s="5">
        <v>3.52787234</v>
      </c>
      <c r="AE410" s="5">
        <v>0.8299155609</v>
      </c>
      <c r="AF410" s="5">
        <v>0.5291489362</v>
      </c>
      <c r="AG410" s="5">
        <v>0.6370212766</v>
      </c>
      <c r="AH410" s="5">
        <v>16.11315892</v>
      </c>
      <c r="AI410" s="5">
        <v>-2.015489764</v>
      </c>
      <c r="AJ410" s="5">
        <v>-0.8922528952</v>
      </c>
      <c r="AK410" s="5">
        <v>-1.629285084</v>
      </c>
      <c r="AL410" s="5">
        <v>-1.286184378</v>
      </c>
      <c r="AM410" s="5">
        <v>-1.887292493</v>
      </c>
      <c r="AN410" s="5">
        <v>-1.175227562</v>
      </c>
      <c r="AO410" s="5">
        <v>-0.5553176126</v>
      </c>
      <c r="AP410" s="5">
        <v>0.06137564749</v>
      </c>
      <c r="AQ410" s="5">
        <v>1.406722943</v>
      </c>
    </row>
    <row r="411">
      <c r="A411" s="342">
        <v>410.0</v>
      </c>
      <c r="B411" s="347"/>
      <c r="C411" s="347"/>
      <c r="D411" s="341">
        <v>-1.178229269</v>
      </c>
      <c r="E411" s="342">
        <v>-0.1734889243</v>
      </c>
      <c r="F411" s="342">
        <v>-0.853444901</v>
      </c>
      <c r="G411" s="342">
        <v>-0.3247843676</v>
      </c>
      <c r="H411" s="342">
        <v>1.140777691</v>
      </c>
      <c r="I411" s="343"/>
      <c r="J411" s="342" t="s">
        <v>2352</v>
      </c>
      <c r="K411" s="342" t="s">
        <v>243</v>
      </c>
      <c r="L411" s="342" t="s">
        <v>1380</v>
      </c>
      <c r="M411" s="342" t="s">
        <v>2353</v>
      </c>
      <c r="N411" s="343"/>
      <c r="O411" s="342" t="s">
        <v>1368</v>
      </c>
      <c r="P411" s="342" t="s">
        <v>1410</v>
      </c>
      <c r="Q411" s="342">
        <v>4.0</v>
      </c>
      <c r="R411" s="343"/>
      <c r="S411" s="342" t="s">
        <v>2232</v>
      </c>
      <c r="T411" s="342">
        <v>16.0</v>
      </c>
      <c r="U411" s="342">
        <v>13.0</v>
      </c>
      <c r="V411" s="342">
        <v>10.0</v>
      </c>
      <c r="W411" s="341">
        <v>3.374375</v>
      </c>
      <c r="X411" s="5">
        <v>0.74</v>
      </c>
      <c r="Y411" s="5">
        <v>0.816875</v>
      </c>
      <c r="Z411" s="5">
        <v>1.123125</v>
      </c>
      <c r="AA411" s="5">
        <v>0.365</v>
      </c>
      <c r="AB411" s="5">
        <v>0.143125</v>
      </c>
      <c r="AC411" s="5">
        <v>0.4031777557</v>
      </c>
      <c r="AD411" s="5">
        <v>3.146875</v>
      </c>
      <c r="AE411" s="5">
        <v>0.7711442786</v>
      </c>
      <c r="AF411" s="5">
        <v>0.125625</v>
      </c>
      <c r="AG411" s="5">
        <v>0.36875</v>
      </c>
      <c r="AH411" s="5">
        <v>15.71235477</v>
      </c>
      <c r="AI411" s="5">
        <v>-2.103307124</v>
      </c>
      <c r="AJ411" s="5">
        <v>-0.8851506599</v>
      </c>
      <c r="AK411" s="5">
        <v>-1.988622271</v>
      </c>
      <c r="AL411" s="5">
        <v>-1.197479978</v>
      </c>
      <c r="AM411" s="5">
        <v>-1.817775921</v>
      </c>
      <c r="AN411" s="5">
        <v>-1.003017789</v>
      </c>
      <c r="AO411" s="5">
        <v>-0.4150429227</v>
      </c>
      <c r="AP411" s="5">
        <v>-0.01543748324</v>
      </c>
      <c r="AQ411" s="5">
        <v>1.74483004</v>
      </c>
    </row>
    <row r="412">
      <c r="A412" s="342">
        <v>411.0</v>
      </c>
      <c r="B412" s="347"/>
      <c r="C412" s="347"/>
      <c r="D412" s="341">
        <v>-1.178697146</v>
      </c>
      <c r="E412" s="342">
        <v>-0.003160126424</v>
      </c>
      <c r="F412" s="342">
        <v>-0.8897352525</v>
      </c>
      <c r="G412" s="342">
        <v>-0.2889618936</v>
      </c>
      <c r="H412" s="343"/>
      <c r="I412" s="343"/>
      <c r="J412" s="342" t="s">
        <v>2354</v>
      </c>
      <c r="K412" s="342" t="s">
        <v>118</v>
      </c>
      <c r="L412" s="342" t="s">
        <v>1404</v>
      </c>
      <c r="M412" s="342" t="s">
        <v>2355</v>
      </c>
      <c r="N412" s="343"/>
      <c r="O412" s="342" t="s">
        <v>1368</v>
      </c>
      <c r="P412" s="343"/>
      <c r="Q412" s="342">
        <v>1.0</v>
      </c>
      <c r="R412" s="343"/>
      <c r="S412" s="342" t="s">
        <v>1434</v>
      </c>
      <c r="T412" s="342">
        <v>73.0</v>
      </c>
      <c r="U412" s="342">
        <v>16.0</v>
      </c>
      <c r="V412" s="342">
        <v>10.0</v>
      </c>
      <c r="W412" s="341">
        <v>3.152328767</v>
      </c>
      <c r="X412" s="5">
        <v>0.0</v>
      </c>
      <c r="Y412" s="5">
        <v>2.0</v>
      </c>
      <c r="Z412" s="5">
        <v>0.7708219178</v>
      </c>
      <c r="AA412" s="5">
        <v>0.2708219178</v>
      </c>
      <c r="AB412" s="5">
        <v>0.2916438356</v>
      </c>
      <c r="AC412" s="5">
        <v>0.57</v>
      </c>
      <c r="AD412" s="5">
        <v>2.479452055</v>
      </c>
      <c r="AE412" s="5">
        <v>0.6569060773</v>
      </c>
      <c r="AF412" s="5">
        <v>0.495890411</v>
      </c>
      <c r="AG412" s="5">
        <v>0.6249315068</v>
      </c>
      <c r="AH412" s="5">
        <v>14.5083709</v>
      </c>
      <c r="AI412" s="5">
        <v>-2.140585971</v>
      </c>
      <c r="AJ412" s="5">
        <v>-1.611667555</v>
      </c>
      <c r="AK412" s="5">
        <v>-1.51520134</v>
      </c>
      <c r="AL412" s="5">
        <v>-1.360192896</v>
      </c>
      <c r="AM412" s="5">
        <v>-2.115076458</v>
      </c>
      <c r="AN412" s="5">
        <v>-0.7314739661</v>
      </c>
      <c r="AO412" s="5">
        <v>0.3035924881</v>
      </c>
      <c r="AP412" s="5">
        <v>-0.2589714701</v>
      </c>
      <c r="AQ412" s="5">
        <v>1.421959896</v>
      </c>
    </row>
    <row r="413">
      <c r="A413" s="342">
        <v>412.0</v>
      </c>
      <c r="B413" s="347"/>
      <c r="C413" s="347"/>
      <c r="D413" s="341">
        <v>-1.180252021</v>
      </c>
      <c r="E413" s="342">
        <v>-0.002683762103</v>
      </c>
      <c r="F413" s="342">
        <v>-0.8595871809</v>
      </c>
      <c r="G413" s="342">
        <v>-0.3206648402</v>
      </c>
      <c r="H413" s="342">
        <v>-0.2603327645</v>
      </c>
      <c r="I413" s="343"/>
      <c r="J413" s="342" t="s">
        <v>2356</v>
      </c>
      <c r="K413" s="342" t="s">
        <v>118</v>
      </c>
      <c r="L413" s="342" t="s">
        <v>1380</v>
      </c>
      <c r="M413" s="342" t="s">
        <v>2357</v>
      </c>
      <c r="N413" s="342" t="s">
        <v>1874</v>
      </c>
      <c r="O413" s="342" t="s">
        <v>1374</v>
      </c>
      <c r="P413" s="342" t="s">
        <v>1399</v>
      </c>
      <c r="Q413" s="342">
        <v>4.0</v>
      </c>
      <c r="R413" s="343"/>
      <c r="S413" s="342" t="s">
        <v>1960</v>
      </c>
      <c r="T413" s="342">
        <v>44.0</v>
      </c>
      <c r="U413" s="342">
        <v>16.0</v>
      </c>
      <c r="V413" s="342">
        <v>10.0</v>
      </c>
      <c r="W413" s="341">
        <v>2.675</v>
      </c>
      <c r="X413" s="5">
        <v>0.3286363636</v>
      </c>
      <c r="Y413" s="5">
        <v>1.666590909</v>
      </c>
      <c r="Z413" s="5">
        <v>0.6040909091</v>
      </c>
      <c r="AA413" s="5">
        <v>0.4493181818</v>
      </c>
      <c r="AB413" s="5">
        <v>0.2527272727</v>
      </c>
      <c r="AC413" s="5">
        <v>0.3993597439</v>
      </c>
      <c r="AD413" s="5">
        <v>2.271818182</v>
      </c>
      <c r="AE413" s="5">
        <v>0.7319361902</v>
      </c>
      <c r="AF413" s="5">
        <v>0.7265909091</v>
      </c>
      <c r="AG413" s="5">
        <v>0.3997727273</v>
      </c>
      <c r="AH413" s="5">
        <v>13.06178296</v>
      </c>
      <c r="AI413" s="5">
        <v>-2.220723634</v>
      </c>
      <c r="AJ413" s="5">
        <v>-1.289019081</v>
      </c>
      <c r="AK413" s="5">
        <v>-1.648613145</v>
      </c>
      <c r="AL413" s="5">
        <v>-1.437198436</v>
      </c>
      <c r="AM413" s="5">
        <v>-1.551601031</v>
      </c>
      <c r="AN413" s="5">
        <v>-0.8026269093</v>
      </c>
      <c r="AO413" s="5">
        <v>-0.3154477191</v>
      </c>
      <c r="AP413" s="5">
        <v>-0.1767862124</v>
      </c>
      <c r="AQ413" s="5">
        <v>1.705731541</v>
      </c>
    </row>
    <row r="414">
      <c r="A414" s="342">
        <v>413.0</v>
      </c>
      <c r="B414" s="347"/>
      <c r="C414" s="347"/>
      <c r="D414" s="341">
        <v>-1.184148668</v>
      </c>
      <c r="E414" s="342">
        <v>-0.002896538626</v>
      </c>
      <c r="F414" s="342">
        <v>-0.8812872852</v>
      </c>
      <c r="G414" s="342">
        <v>-0.3028613826</v>
      </c>
      <c r="H414" s="342">
        <v>-0.05097143209</v>
      </c>
      <c r="I414" s="343"/>
      <c r="J414" s="342" t="s">
        <v>2358</v>
      </c>
      <c r="K414" s="342" t="s">
        <v>144</v>
      </c>
      <c r="L414" s="342" t="s">
        <v>34</v>
      </c>
      <c r="M414" s="342" t="s">
        <v>2359</v>
      </c>
      <c r="N414" s="342" t="s">
        <v>2360</v>
      </c>
      <c r="O414" s="342" t="s">
        <v>1368</v>
      </c>
      <c r="P414" s="342" t="s">
        <v>1416</v>
      </c>
      <c r="Q414" s="342">
        <v>3.0</v>
      </c>
      <c r="R414" s="343"/>
      <c r="S414" s="342" t="s">
        <v>2232</v>
      </c>
      <c r="T414" s="342">
        <v>15.0</v>
      </c>
      <c r="U414" s="342">
        <v>16.0</v>
      </c>
      <c r="V414" s="342">
        <v>9.0</v>
      </c>
      <c r="W414" s="341">
        <v>2.79</v>
      </c>
      <c r="X414" s="5">
        <v>0.1326666667</v>
      </c>
      <c r="Y414" s="5">
        <v>2.652</v>
      </c>
      <c r="Z414" s="5">
        <v>0.73</v>
      </c>
      <c r="AA414" s="5">
        <v>0.1893333333</v>
      </c>
      <c r="AB414" s="5">
        <v>0.284</v>
      </c>
      <c r="AC414" s="5">
        <v>0.501270648</v>
      </c>
      <c r="AD414" s="5">
        <v>2.098666667</v>
      </c>
      <c r="AE414" s="5">
        <v>0.7699443414</v>
      </c>
      <c r="AF414" s="5">
        <v>0.7186666667</v>
      </c>
      <c r="AG414" s="5">
        <v>0.53</v>
      </c>
      <c r="AH414" s="5">
        <v>14.13057688</v>
      </c>
      <c r="AI414" s="5">
        <v>-2.201416541</v>
      </c>
      <c r="AJ414" s="5">
        <v>-1.48141813</v>
      </c>
      <c r="AK414" s="5">
        <v>-1.254307143</v>
      </c>
      <c r="AL414" s="5">
        <v>-1.3790467</v>
      </c>
      <c r="AM414" s="5">
        <v>-2.372318901</v>
      </c>
      <c r="AN414" s="5">
        <v>-0.7454495426</v>
      </c>
      <c r="AO414" s="5">
        <v>0.03497441402</v>
      </c>
      <c r="AP414" s="5">
        <v>-0.07420679838</v>
      </c>
      <c r="AQ414" s="5">
        <v>1.541603775</v>
      </c>
    </row>
    <row r="415">
      <c r="A415" s="342">
        <v>414.0</v>
      </c>
      <c r="B415" s="347"/>
      <c r="C415" s="347"/>
      <c r="D415" s="341">
        <v>-1.187357503</v>
      </c>
      <c r="E415" s="342">
        <v>0.04858601677</v>
      </c>
      <c r="F415" s="342">
        <v>-0.8730004094</v>
      </c>
      <c r="G415" s="342">
        <v>-0.3143570933</v>
      </c>
      <c r="H415" s="342">
        <v>0.1744946182</v>
      </c>
      <c r="I415" s="343"/>
      <c r="J415" s="342" t="s">
        <v>2361</v>
      </c>
      <c r="K415" s="342" t="s">
        <v>287</v>
      </c>
      <c r="L415" s="342" t="s">
        <v>1380</v>
      </c>
      <c r="M415" s="342" t="s">
        <v>2362</v>
      </c>
      <c r="N415" s="343"/>
      <c r="O415" s="342" t="s">
        <v>1374</v>
      </c>
      <c r="P415" s="343"/>
      <c r="Q415" s="342">
        <v>4.0</v>
      </c>
      <c r="R415" s="343"/>
      <c r="S415" s="342" t="s">
        <v>1960</v>
      </c>
      <c r="T415" s="342">
        <v>44.0</v>
      </c>
      <c r="U415" s="342">
        <v>16.0</v>
      </c>
      <c r="V415" s="342">
        <v>15.0</v>
      </c>
      <c r="W415" s="341">
        <v>4.666363636</v>
      </c>
      <c r="X415" s="5">
        <v>0.5190909091</v>
      </c>
      <c r="Y415" s="5">
        <v>1.755</v>
      </c>
      <c r="Z415" s="5">
        <v>0.9302272727</v>
      </c>
      <c r="AA415" s="5">
        <v>0.4313636364</v>
      </c>
      <c r="AB415" s="5">
        <v>0.2570454545</v>
      </c>
      <c r="AC415" s="5">
        <v>0.4134721803</v>
      </c>
      <c r="AD415" s="5">
        <v>4.517727273</v>
      </c>
      <c r="AE415" s="5">
        <v>0.5491504854</v>
      </c>
      <c r="AF415" s="5">
        <v>0.7490909091</v>
      </c>
      <c r="AG415" s="5">
        <v>0.4504545455</v>
      </c>
      <c r="AH415" s="5">
        <v>14.85479014</v>
      </c>
      <c r="AI415" s="5">
        <v>-1.886398031</v>
      </c>
      <c r="AJ415" s="5">
        <v>-1.102034696</v>
      </c>
      <c r="AK415" s="5">
        <v>-1.613236736</v>
      </c>
      <c r="AL415" s="5">
        <v>-1.286570746</v>
      </c>
      <c r="AM415" s="5">
        <v>-1.608279781</v>
      </c>
      <c r="AN415" s="5">
        <v>-0.7947317787</v>
      </c>
      <c r="AO415" s="5">
        <v>-0.5207247334</v>
      </c>
      <c r="AP415" s="5">
        <v>-0.6868835198</v>
      </c>
      <c r="AQ415" s="5">
        <v>1.641856337</v>
      </c>
    </row>
    <row r="416">
      <c r="A416" s="342">
        <v>415.0</v>
      </c>
      <c r="B416" s="347"/>
      <c r="C416" s="347"/>
      <c r="D416" s="341">
        <v>-1.188779106</v>
      </c>
      <c r="E416" s="342">
        <v>-0.004514013364</v>
      </c>
      <c r="F416" s="342">
        <v>-0.8928426067</v>
      </c>
      <c r="G416" s="342">
        <v>-0.2959364991</v>
      </c>
      <c r="H416" s="343"/>
      <c r="I416" s="343"/>
      <c r="J416" s="342" t="s">
        <v>2363</v>
      </c>
      <c r="K416" s="342" t="s">
        <v>173</v>
      </c>
      <c r="L416" s="342" t="s">
        <v>1380</v>
      </c>
      <c r="M416" s="342" t="s">
        <v>2364</v>
      </c>
      <c r="N416" s="342" t="s">
        <v>2365</v>
      </c>
      <c r="O416" s="342" t="s">
        <v>1378</v>
      </c>
      <c r="P416" s="342" t="s">
        <v>2227</v>
      </c>
      <c r="Q416" s="342">
        <v>2.0</v>
      </c>
      <c r="R416" s="343"/>
      <c r="S416" s="342" t="s">
        <v>2232</v>
      </c>
      <c r="T416" s="342">
        <v>16.0</v>
      </c>
      <c r="U416" s="342">
        <v>15.0</v>
      </c>
      <c r="V416" s="342">
        <v>10.0</v>
      </c>
      <c r="W416" s="341">
        <v>3.210625</v>
      </c>
      <c r="X416" s="5">
        <v>0.7</v>
      </c>
      <c r="Y416" s="5">
        <v>1.25</v>
      </c>
      <c r="Z416" s="5">
        <v>1.0</v>
      </c>
      <c r="AA416" s="5">
        <v>0.333125</v>
      </c>
      <c r="AB416" s="5">
        <v>0.0625</v>
      </c>
      <c r="AC416" s="5">
        <v>0.4031165312</v>
      </c>
      <c r="AD416" s="5">
        <v>2.7675</v>
      </c>
      <c r="AE416" s="5">
        <v>0.8402255639</v>
      </c>
      <c r="AF416" s="5">
        <v>0.3325</v>
      </c>
      <c r="AG416" s="5">
        <v>0.583125</v>
      </c>
      <c r="AH416" s="5">
        <v>15.18709363</v>
      </c>
      <c r="AI416" s="5">
        <v>-2.130798747</v>
      </c>
      <c r="AJ416" s="5">
        <v>-0.9244218434</v>
      </c>
      <c r="AK416" s="5">
        <v>-1.815309696</v>
      </c>
      <c r="AL416" s="5">
        <v>-1.254345867</v>
      </c>
      <c r="AM416" s="5">
        <v>-1.918398639</v>
      </c>
      <c r="AN416" s="5">
        <v>-1.150428188</v>
      </c>
      <c r="AO416" s="5">
        <v>-0.3663723648</v>
      </c>
      <c r="AP416" s="5">
        <v>0.04984249879</v>
      </c>
      <c r="AQ416" s="5">
        <v>1.474649386</v>
      </c>
    </row>
    <row r="417">
      <c r="A417" s="342">
        <v>416.0</v>
      </c>
      <c r="B417" s="347"/>
      <c r="C417" s="347"/>
      <c r="D417" s="341">
        <v>-1.192653647</v>
      </c>
      <c r="E417" s="342">
        <v>-0.002641644025</v>
      </c>
      <c r="F417" s="342">
        <v>-0.8746053765</v>
      </c>
      <c r="G417" s="342">
        <v>-0.3180482707</v>
      </c>
      <c r="H417" s="342">
        <v>0.4965889758</v>
      </c>
      <c r="I417" s="343"/>
      <c r="J417" s="342" t="s">
        <v>2366</v>
      </c>
      <c r="K417" s="342" t="s">
        <v>67</v>
      </c>
      <c r="L417" s="342" t="s">
        <v>1413</v>
      </c>
      <c r="M417" s="342" t="s">
        <v>2367</v>
      </c>
      <c r="N417" s="343"/>
      <c r="O417" s="342" t="s">
        <v>1368</v>
      </c>
      <c r="P417" s="343"/>
      <c r="Q417" s="342">
        <v>3.0</v>
      </c>
      <c r="R417" s="343"/>
      <c r="S417" s="342" t="s">
        <v>1960</v>
      </c>
      <c r="T417" s="342">
        <v>47.0</v>
      </c>
      <c r="U417" s="342">
        <v>15.0</v>
      </c>
      <c r="V417" s="342">
        <v>11.0</v>
      </c>
      <c r="W417" s="341">
        <v>4.556595745</v>
      </c>
      <c r="X417" s="5">
        <v>0.3778723404</v>
      </c>
      <c r="Y417" s="5">
        <v>1.796595745</v>
      </c>
      <c r="Z417" s="5">
        <v>0.6617021277</v>
      </c>
      <c r="AA417" s="5">
        <v>0.3057446809</v>
      </c>
      <c r="AB417" s="5">
        <v>0.08638297872</v>
      </c>
      <c r="AC417" s="5">
        <v>0.4728741334</v>
      </c>
      <c r="AD417" s="5">
        <v>3.345319149</v>
      </c>
      <c r="AE417" s="5">
        <v>0.7582260372</v>
      </c>
      <c r="AF417" s="5">
        <v>1.338510638</v>
      </c>
      <c r="AG417" s="5">
        <v>0.4282978723</v>
      </c>
      <c r="AH417" s="5">
        <v>17.43746477</v>
      </c>
      <c r="AI417" s="5">
        <v>-1.904826718</v>
      </c>
      <c r="AJ417" s="5">
        <v>-1.240680204</v>
      </c>
      <c r="AK417" s="5">
        <v>-1.596592429</v>
      </c>
      <c r="AL417" s="5">
        <v>-1.41059041</v>
      </c>
      <c r="AM417" s="5">
        <v>-2.004832589</v>
      </c>
      <c r="AN417" s="5">
        <v>-1.106761839</v>
      </c>
      <c r="AO417" s="5">
        <v>-0.08407410842</v>
      </c>
      <c r="AP417" s="5">
        <v>-0.1928708807</v>
      </c>
      <c r="AQ417" s="5">
        <v>1.669780789</v>
      </c>
    </row>
    <row r="418">
      <c r="A418" s="342">
        <v>417.0</v>
      </c>
      <c r="B418" s="347"/>
      <c r="C418" s="347"/>
      <c r="D418" s="341">
        <v>-1.194324986</v>
      </c>
      <c r="E418" s="342">
        <v>0.3713599061</v>
      </c>
      <c r="F418" s="342">
        <v>-0.8817557374</v>
      </c>
      <c r="G418" s="342">
        <v>-0.3125692482</v>
      </c>
      <c r="H418" s="343"/>
      <c r="I418" s="343"/>
      <c r="J418" s="342" t="s">
        <v>2368</v>
      </c>
      <c r="K418" s="342" t="s">
        <v>1365</v>
      </c>
      <c r="L418" s="342" t="s">
        <v>1404</v>
      </c>
      <c r="M418" s="343"/>
      <c r="N418" s="343"/>
      <c r="O418" s="342" t="s">
        <v>1368</v>
      </c>
      <c r="P418" s="342" t="s">
        <v>2227</v>
      </c>
      <c r="Q418" s="343"/>
      <c r="R418" s="343"/>
      <c r="S418" s="342" t="s">
        <v>2232</v>
      </c>
      <c r="T418" s="342">
        <v>16.0</v>
      </c>
      <c r="U418" s="342">
        <v>15.0</v>
      </c>
      <c r="V418" s="342">
        <v>9.0</v>
      </c>
      <c r="W418" s="341">
        <v>3.706875</v>
      </c>
      <c r="X418" s="5">
        <v>0.366875</v>
      </c>
      <c r="Y418" s="5">
        <v>2.19375</v>
      </c>
      <c r="Z418" s="5">
        <v>0.45</v>
      </c>
      <c r="AA418" s="5">
        <v>0.24375</v>
      </c>
      <c r="AB418" s="5">
        <v>0.225</v>
      </c>
      <c r="AC418" s="5">
        <v>0.438151165</v>
      </c>
      <c r="AD418" s="5">
        <v>3.299375</v>
      </c>
      <c r="AE418" s="5">
        <v>0.7995545657</v>
      </c>
      <c r="AF418" s="5">
        <v>0.56125</v>
      </c>
      <c r="AG418" s="5">
        <v>0.46875</v>
      </c>
      <c r="AH418" s="5">
        <v>19.35497259</v>
      </c>
      <c r="AI418" s="5">
        <v>-2.04748444</v>
      </c>
      <c r="AJ418" s="5">
        <v>-1.251477169</v>
      </c>
      <c r="AK418" s="5">
        <v>-1.437673348</v>
      </c>
      <c r="AL418" s="5">
        <v>-1.508366083</v>
      </c>
      <c r="AM418" s="5">
        <v>-2.200536849</v>
      </c>
      <c r="AN418" s="5">
        <v>-0.8533219583</v>
      </c>
      <c r="AO418" s="5">
        <v>-0.2582466769</v>
      </c>
      <c r="AP418" s="5">
        <v>0.002506639455</v>
      </c>
      <c r="AQ418" s="5">
        <v>1.618798248</v>
      </c>
    </row>
    <row r="419">
      <c r="A419" s="342">
        <v>418.0</v>
      </c>
      <c r="B419" s="341">
        <v>2.0</v>
      </c>
      <c r="C419" s="341">
        <v>-0.2</v>
      </c>
      <c r="D419" s="341">
        <v>-1.195363562</v>
      </c>
      <c r="E419" s="342">
        <v>0.3703213295</v>
      </c>
      <c r="F419" s="342">
        <v>-0.9483204749</v>
      </c>
      <c r="G419" s="342">
        <v>-0.2470430873</v>
      </c>
      <c r="H419" s="343"/>
      <c r="I419" s="343"/>
      <c r="J419" s="342" t="s">
        <v>2369</v>
      </c>
      <c r="K419" s="342" t="s">
        <v>173</v>
      </c>
      <c r="L419" s="342" t="s">
        <v>1380</v>
      </c>
      <c r="M419" s="343"/>
      <c r="N419" s="343"/>
      <c r="O419" s="342" t="s">
        <v>1378</v>
      </c>
      <c r="P419" s="342" t="s">
        <v>2287</v>
      </c>
      <c r="Q419" s="343"/>
      <c r="R419" s="343"/>
      <c r="S419" s="342" t="s">
        <v>2232</v>
      </c>
      <c r="T419" s="342">
        <v>16.0</v>
      </c>
      <c r="U419" s="342">
        <v>15.0</v>
      </c>
      <c r="V419" s="342">
        <v>9.0</v>
      </c>
      <c r="W419" s="341">
        <v>3.8375</v>
      </c>
      <c r="X419" s="5">
        <v>0.5825</v>
      </c>
      <c r="Y419" s="5">
        <v>0.88125</v>
      </c>
      <c r="Z419" s="5">
        <v>2.2125</v>
      </c>
      <c r="AA419" s="5">
        <v>0.2625</v>
      </c>
      <c r="AB419" s="5">
        <v>0.075</v>
      </c>
      <c r="AC419" s="5">
        <v>0.3641417651</v>
      </c>
      <c r="AD419" s="5">
        <v>3.5975</v>
      </c>
      <c r="AE419" s="5">
        <v>0.8396694215</v>
      </c>
      <c r="AF419" s="5">
        <v>0.75625</v>
      </c>
      <c r="AG419" s="5">
        <v>0.9375</v>
      </c>
      <c r="AH419" s="5">
        <v>23.48951817</v>
      </c>
      <c r="AI419" s="5">
        <v>-2.0255541</v>
      </c>
      <c r="AJ419" s="5">
        <v>-1.039780945</v>
      </c>
      <c r="AK419" s="5">
        <v>-1.96286297</v>
      </c>
      <c r="AL419" s="5">
        <v>-0.6943467543</v>
      </c>
      <c r="AM419" s="5">
        <v>-2.141347015</v>
      </c>
      <c r="AN419" s="5">
        <v>-1.127573862</v>
      </c>
      <c r="AO419" s="5">
        <v>-0.6879226079</v>
      </c>
      <c r="AP419" s="5">
        <v>0.1164797571</v>
      </c>
      <c r="AQ419" s="5">
        <v>1.028024223</v>
      </c>
    </row>
    <row r="420">
      <c r="A420" s="342">
        <v>419.0</v>
      </c>
      <c r="B420" s="347"/>
      <c r="C420" s="347"/>
      <c r="D420" s="341">
        <v>-1.19689546</v>
      </c>
      <c r="E420" s="342">
        <v>-0.004024269418</v>
      </c>
      <c r="F420" s="342">
        <v>-0.8555084062</v>
      </c>
      <c r="G420" s="342">
        <v>-0.3413870537</v>
      </c>
      <c r="H420" s="342">
        <v>0.2389134897</v>
      </c>
      <c r="I420" s="343"/>
      <c r="J420" s="342" t="s">
        <v>2370</v>
      </c>
      <c r="K420" s="342" t="s">
        <v>148</v>
      </c>
      <c r="L420" s="342" t="s">
        <v>34</v>
      </c>
      <c r="M420" s="342" t="s">
        <v>2371</v>
      </c>
      <c r="N420" s="343"/>
      <c r="O420" s="342" t="s">
        <v>1378</v>
      </c>
      <c r="P420" s="342" t="s">
        <v>2372</v>
      </c>
      <c r="Q420" s="342">
        <v>4.0</v>
      </c>
      <c r="R420" s="343"/>
      <c r="S420" s="342" t="s">
        <v>2232</v>
      </c>
      <c r="T420" s="342">
        <v>16.0</v>
      </c>
      <c r="U420" s="342">
        <v>15.0</v>
      </c>
      <c r="V420" s="342">
        <v>9.0</v>
      </c>
      <c r="W420" s="341">
        <v>2.575625</v>
      </c>
      <c r="X420" s="5">
        <v>0.335625</v>
      </c>
      <c r="Y420" s="5">
        <v>2.163125</v>
      </c>
      <c r="Z420" s="5">
        <v>0.361875</v>
      </c>
      <c r="AA420" s="5">
        <v>0.2075</v>
      </c>
      <c r="AB420" s="5">
        <v>0.340625</v>
      </c>
      <c r="AC420" s="5">
        <v>0.4668466847</v>
      </c>
      <c r="AD420" s="5">
        <v>2.083125</v>
      </c>
      <c r="AE420" s="5">
        <v>0.7814569536</v>
      </c>
      <c r="AF420" s="5">
        <v>0.3775</v>
      </c>
      <c r="AG420" s="5">
        <v>0.265</v>
      </c>
      <c r="AH420" s="5">
        <v>11.91587352</v>
      </c>
      <c r="AI420" s="5">
        <v>-2.237407482</v>
      </c>
      <c r="AJ420" s="5">
        <v>-1.282157781</v>
      </c>
      <c r="AK420" s="5">
        <v>-1.449927773</v>
      </c>
      <c r="AL420" s="5">
        <v>-1.549067049</v>
      </c>
      <c r="AM420" s="5">
        <v>-2.314970528</v>
      </c>
      <c r="AN420" s="5">
        <v>-0.6419194488</v>
      </c>
      <c r="AO420" s="5">
        <v>-0.07501671588</v>
      </c>
      <c r="AP420" s="5">
        <v>-0.02469690162</v>
      </c>
      <c r="AQ420" s="5">
        <v>1.875588024</v>
      </c>
    </row>
    <row r="421">
      <c r="A421" s="342">
        <v>420.0</v>
      </c>
      <c r="B421" s="347"/>
      <c r="C421" s="347"/>
      <c r="D421" s="341">
        <v>-1.196910934</v>
      </c>
      <c r="E421" s="342">
        <v>-0.003559786976</v>
      </c>
      <c r="F421" s="342">
        <v>-0.8914062129</v>
      </c>
      <c r="G421" s="342">
        <v>-0.3055047212</v>
      </c>
      <c r="H421" s="342">
        <v>1.044149384</v>
      </c>
      <c r="I421" s="343"/>
      <c r="J421" s="342" t="s">
        <v>2373</v>
      </c>
      <c r="K421" s="342" t="s">
        <v>1471</v>
      </c>
      <c r="L421" s="342" t="s">
        <v>34</v>
      </c>
      <c r="M421" s="342" t="s">
        <v>2374</v>
      </c>
      <c r="N421" s="343"/>
      <c r="O421" s="342" t="s">
        <v>1368</v>
      </c>
      <c r="P421" s="342" t="s">
        <v>2375</v>
      </c>
      <c r="Q421" s="342">
        <v>4.0</v>
      </c>
      <c r="R421" s="343"/>
      <c r="S421" s="342" t="s">
        <v>2232</v>
      </c>
      <c r="T421" s="342">
        <v>16.0</v>
      </c>
      <c r="U421" s="342">
        <v>16.0</v>
      </c>
      <c r="V421" s="342">
        <v>9.0</v>
      </c>
      <c r="W421" s="341">
        <v>2.4975</v>
      </c>
      <c r="X421" s="5">
        <v>0.0</v>
      </c>
      <c r="Y421" s="5">
        <v>2.146875</v>
      </c>
      <c r="Z421" s="5">
        <v>0.326875</v>
      </c>
      <c r="AA421" s="5">
        <v>0.178125</v>
      </c>
      <c r="AB421" s="5">
        <v>0.445625</v>
      </c>
      <c r="AC421" s="5">
        <v>0.5438271605</v>
      </c>
      <c r="AD421" s="5">
        <v>2.025</v>
      </c>
      <c r="AE421" s="5">
        <v>0.8</v>
      </c>
      <c r="AF421" s="5">
        <v>0.36875</v>
      </c>
      <c r="AG421" s="5">
        <v>0.52125</v>
      </c>
      <c r="AH421" s="5">
        <v>13.23581797</v>
      </c>
      <c r="AI421" s="5">
        <v>-2.250523714</v>
      </c>
      <c r="AJ421" s="5">
        <v>-1.611667555</v>
      </c>
      <c r="AK421" s="5">
        <v>-1.456430121</v>
      </c>
      <c r="AL421" s="5">
        <v>-1.565231972</v>
      </c>
      <c r="AM421" s="5">
        <v>-2.407701269</v>
      </c>
      <c r="AN421" s="5">
        <v>-0.4499431158</v>
      </c>
      <c r="AO421" s="5">
        <v>0.1652137818</v>
      </c>
      <c r="AP421" s="5">
        <v>9.964910064E-4</v>
      </c>
      <c r="AQ421" s="5">
        <v>1.552631557</v>
      </c>
    </row>
    <row r="422">
      <c r="A422" s="342">
        <v>421.0</v>
      </c>
      <c r="B422" s="347"/>
      <c r="C422" s="347"/>
      <c r="D422" s="341">
        <v>-1.197780177</v>
      </c>
      <c r="E422" s="342">
        <v>-0.003375174475</v>
      </c>
      <c r="F422" s="342">
        <v>-0.9564200781</v>
      </c>
      <c r="G422" s="342">
        <v>-0.2413600987</v>
      </c>
      <c r="H422" s="343"/>
      <c r="I422" s="343"/>
      <c r="J422" s="342" t="s">
        <v>2376</v>
      </c>
      <c r="K422" s="342" t="s">
        <v>159</v>
      </c>
      <c r="L422" s="342" t="s">
        <v>1380</v>
      </c>
      <c r="M422" s="342" t="s">
        <v>2377</v>
      </c>
      <c r="N422" s="343"/>
      <c r="O422" s="342" t="s">
        <v>1368</v>
      </c>
      <c r="P422" s="343"/>
      <c r="Q422" s="342">
        <v>2.0</v>
      </c>
      <c r="R422" s="343"/>
      <c r="S422" s="342" t="s">
        <v>1960</v>
      </c>
      <c r="T422" s="342">
        <v>47.0</v>
      </c>
      <c r="U422" s="342">
        <v>14.0</v>
      </c>
      <c r="V422" s="342">
        <v>12.0</v>
      </c>
      <c r="W422" s="341">
        <v>3.936808511</v>
      </c>
      <c r="X422" s="5">
        <v>0.4565957447</v>
      </c>
      <c r="Y422" s="5">
        <v>1.396595745</v>
      </c>
      <c r="Z422" s="5">
        <v>0.9310638298</v>
      </c>
      <c r="AA422" s="5">
        <v>0.3674468085</v>
      </c>
      <c r="AB422" s="5">
        <v>0.1470212766</v>
      </c>
      <c r="AC422" s="5">
        <v>0.4006271105</v>
      </c>
      <c r="AD422" s="5">
        <v>3.528510638</v>
      </c>
      <c r="AE422" s="5">
        <v>0.7711055276</v>
      </c>
      <c r="AF422" s="5">
        <v>0.8468085106</v>
      </c>
      <c r="AG422" s="5">
        <v>0.98</v>
      </c>
      <c r="AH422" s="5">
        <v>18.06570727</v>
      </c>
      <c r="AI422" s="5">
        <v>-2.008881415</v>
      </c>
      <c r="AJ422" s="5">
        <v>-1.163391173</v>
      </c>
      <c r="AK422" s="5">
        <v>-1.756650219</v>
      </c>
      <c r="AL422" s="5">
        <v>-1.286184378</v>
      </c>
      <c r="AM422" s="5">
        <v>-1.810051858</v>
      </c>
      <c r="AN422" s="5">
        <v>-0.9958940475</v>
      </c>
      <c r="AO422" s="5">
        <v>-0.4780277024</v>
      </c>
      <c r="AP422" s="5">
        <v>-0.08316062304</v>
      </c>
      <c r="AQ422" s="5">
        <v>0.9744607118</v>
      </c>
    </row>
    <row r="423">
      <c r="A423" s="342">
        <v>422.0</v>
      </c>
      <c r="B423" s="347"/>
      <c r="C423" s="347"/>
      <c r="D423" s="341">
        <v>-1.200686004</v>
      </c>
      <c r="E423" s="342">
        <v>0.0</v>
      </c>
      <c r="F423" s="342">
        <v>-0.8818744887</v>
      </c>
      <c r="G423" s="342">
        <v>-0.3188115152</v>
      </c>
      <c r="H423" s="342">
        <v>0.2711229255</v>
      </c>
      <c r="I423" s="343"/>
      <c r="J423" s="342" t="s">
        <v>2378</v>
      </c>
      <c r="K423" s="342" t="s">
        <v>144</v>
      </c>
      <c r="L423" s="342" t="s">
        <v>1404</v>
      </c>
      <c r="M423" s="343"/>
      <c r="N423" s="342" t="s">
        <v>2379</v>
      </c>
      <c r="O423" s="342" t="s">
        <v>1378</v>
      </c>
      <c r="P423" s="343"/>
      <c r="Q423" s="343"/>
      <c r="R423" s="343"/>
      <c r="S423" s="342" t="s">
        <v>1434</v>
      </c>
      <c r="T423" s="342">
        <v>77.0</v>
      </c>
      <c r="U423" s="342">
        <v>16.0</v>
      </c>
      <c r="V423" s="342">
        <v>12.0</v>
      </c>
      <c r="W423" s="341">
        <v>5.065974026</v>
      </c>
      <c r="X423" s="5">
        <v>1.180519481</v>
      </c>
      <c r="Y423" s="5">
        <v>0.9342857143</v>
      </c>
      <c r="Z423" s="5">
        <v>0.8837662338</v>
      </c>
      <c r="AA423" s="5">
        <v>0.1767532468</v>
      </c>
      <c r="AB423" s="5">
        <v>0.02519480519</v>
      </c>
      <c r="AC423" s="5">
        <v>0.4386020956</v>
      </c>
      <c r="AD423" s="5">
        <v>4.065454545</v>
      </c>
      <c r="AE423" s="5">
        <v>0.7139122858</v>
      </c>
      <c r="AF423" s="5">
        <v>0.4471428571</v>
      </c>
      <c r="AG423" s="5">
        <v>0.4292207792</v>
      </c>
      <c r="AH423" s="5">
        <v>16.88331409</v>
      </c>
      <c r="AI423" s="5">
        <v>-1.819308333</v>
      </c>
      <c r="AJ423" s="5">
        <v>-0.4526576256</v>
      </c>
      <c r="AK423" s="5">
        <v>-1.941641022</v>
      </c>
      <c r="AL423" s="5">
        <v>-1.308029006</v>
      </c>
      <c r="AM423" s="5">
        <v>-2.412031607</v>
      </c>
      <c r="AN423" s="5">
        <v>-1.218634993</v>
      </c>
      <c r="AO423" s="5">
        <v>-0.3132745657</v>
      </c>
      <c r="AP423" s="5">
        <v>-0.139910879</v>
      </c>
      <c r="AQ423" s="5">
        <v>1.668617633</v>
      </c>
    </row>
    <row r="424">
      <c r="A424" s="342">
        <v>423.0</v>
      </c>
      <c r="B424" s="347"/>
      <c r="C424" s="347"/>
      <c r="D424" s="341">
        <v>-1.203375973</v>
      </c>
      <c r="E424" s="342">
        <v>-0.003116738479</v>
      </c>
      <c r="F424" s="342">
        <v>-0.8917627614</v>
      </c>
      <c r="G424" s="342">
        <v>-0.3116132117</v>
      </c>
      <c r="H424" s="343"/>
      <c r="I424" s="343"/>
      <c r="J424" s="342" t="s">
        <v>2380</v>
      </c>
      <c r="K424" s="342" t="s">
        <v>74</v>
      </c>
      <c r="L424" s="342" t="s">
        <v>1404</v>
      </c>
      <c r="M424" s="342" t="s">
        <v>2381</v>
      </c>
      <c r="N424" s="343"/>
      <c r="O424" s="342" t="s">
        <v>1368</v>
      </c>
      <c r="P424" s="343"/>
      <c r="Q424" s="342">
        <v>3.0</v>
      </c>
      <c r="R424" s="343"/>
      <c r="S424" s="342" t="s">
        <v>1960</v>
      </c>
      <c r="T424" s="342">
        <v>29.0</v>
      </c>
      <c r="U424" s="342">
        <v>16.0</v>
      </c>
      <c r="V424" s="342">
        <v>9.0</v>
      </c>
      <c r="W424" s="341">
        <v>3.371724138</v>
      </c>
      <c r="X424" s="5">
        <v>0.5572413793</v>
      </c>
      <c r="Y424" s="5">
        <v>2.041724138</v>
      </c>
      <c r="Z424" s="5">
        <v>0.4082758621</v>
      </c>
      <c r="AA424" s="5">
        <v>0.204137931</v>
      </c>
      <c r="AB424" s="5">
        <v>0.334137931</v>
      </c>
      <c r="AC424" s="5">
        <v>0.4129169465</v>
      </c>
      <c r="AD424" s="5">
        <v>3.080689655</v>
      </c>
      <c r="AE424" s="5">
        <v>0.7313432836</v>
      </c>
      <c r="AF424" s="5">
        <v>0.3696551724</v>
      </c>
      <c r="AG424" s="5">
        <v>0.4827586207</v>
      </c>
      <c r="AH424" s="5">
        <v>18.44082092</v>
      </c>
      <c r="AI424" s="5">
        <v>-2.103752171</v>
      </c>
      <c r="AJ424" s="5">
        <v>-1.064579343</v>
      </c>
      <c r="AK424" s="5">
        <v>-1.498505657</v>
      </c>
      <c r="AL424" s="5">
        <v>-1.527636582</v>
      </c>
      <c r="AM424" s="5">
        <v>-2.325583878</v>
      </c>
      <c r="AN424" s="5">
        <v>-0.6537800556</v>
      </c>
      <c r="AO424" s="5">
        <v>-0.3606229046</v>
      </c>
      <c r="AP424" s="5">
        <v>-0.09254719265</v>
      </c>
      <c r="AQ424" s="5">
        <v>1.601142932</v>
      </c>
    </row>
    <row r="425">
      <c r="A425" s="342">
        <v>424.0</v>
      </c>
      <c r="B425" s="347"/>
      <c r="C425" s="347"/>
      <c r="D425" s="341">
        <v>-1.204841255</v>
      </c>
      <c r="E425" s="342">
        <v>0.3608436363</v>
      </c>
      <c r="F425" s="342">
        <v>-0.8885653926</v>
      </c>
      <c r="G425" s="342">
        <v>-0.3162758628</v>
      </c>
      <c r="H425" s="342">
        <v>0.1100757467</v>
      </c>
      <c r="I425" s="343"/>
      <c r="J425" s="342" t="s">
        <v>2382</v>
      </c>
      <c r="K425" s="342" t="s">
        <v>243</v>
      </c>
      <c r="L425" s="342" t="s">
        <v>1404</v>
      </c>
      <c r="M425" s="343"/>
      <c r="N425" s="343"/>
      <c r="O425" s="342" t="s">
        <v>1368</v>
      </c>
      <c r="P425" s="342" t="s">
        <v>2383</v>
      </c>
      <c r="Q425" s="343"/>
      <c r="R425" s="343"/>
      <c r="S425" s="342" t="s">
        <v>2232</v>
      </c>
      <c r="T425" s="342">
        <v>16.0</v>
      </c>
      <c r="U425" s="342">
        <v>13.0</v>
      </c>
      <c r="V425" s="342">
        <v>9.0</v>
      </c>
      <c r="W425" s="341">
        <v>3.93875</v>
      </c>
      <c r="X425" s="5">
        <v>0.355625</v>
      </c>
      <c r="Y425" s="5">
        <v>1.785625</v>
      </c>
      <c r="Z425" s="5">
        <v>0.54625</v>
      </c>
      <c r="AA425" s="5">
        <v>0.219375</v>
      </c>
      <c r="AB425" s="5">
        <v>0.34375</v>
      </c>
      <c r="AC425" s="5">
        <v>0.4461569255</v>
      </c>
      <c r="AD425" s="5">
        <v>3.1225</v>
      </c>
      <c r="AE425" s="5">
        <v>0.7508833922</v>
      </c>
      <c r="AF425" s="5">
        <v>1.06125</v>
      </c>
      <c r="AG425" s="5">
        <v>0.450625</v>
      </c>
      <c r="AH425" s="5">
        <v>19.75197404</v>
      </c>
      <c r="AI425" s="5">
        <v>-2.008555463</v>
      </c>
      <c r="AJ425" s="5">
        <v>-1.262522189</v>
      </c>
      <c r="AK425" s="5">
        <v>-1.600982312</v>
      </c>
      <c r="AL425" s="5">
        <v>-1.463912545</v>
      </c>
      <c r="AM425" s="5">
        <v>-2.277483633</v>
      </c>
      <c r="AN425" s="5">
        <v>-0.6362058675</v>
      </c>
      <c r="AO425" s="5">
        <v>-0.2066653046</v>
      </c>
      <c r="AP425" s="5">
        <v>-0.1824027293</v>
      </c>
      <c r="AQ425" s="5">
        <v>1.64164151</v>
      </c>
    </row>
    <row r="426">
      <c r="A426" s="342">
        <v>425.0</v>
      </c>
      <c r="B426" s="347"/>
      <c r="C426" s="347"/>
      <c r="D426" s="341">
        <v>-1.206731319</v>
      </c>
      <c r="E426" s="342">
        <v>-0.003482765724</v>
      </c>
      <c r="F426" s="342">
        <v>-0.9024428437</v>
      </c>
      <c r="G426" s="342">
        <v>-0.3042884748</v>
      </c>
      <c r="H426" s="342">
        <v>0.7703691797</v>
      </c>
      <c r="I426" s="343"/>
      <c r="J426" s="342" t="s">
        <v>2384</v>
      </c>
      <c r="K426" s="342" t="s">
        <v>110</v>
      </c>
      <c r="L426" s="342" t="s">
        <v>1404</v>
      </c>
      <c r="M426" s="343"/>
      <c r="N426" s="343"/>
      <c r="O426" s="342" t="s">
        <v>1374</v>
      </c>
      <c r="P426" s="343"/>
      <c r="Q426" s="342">
        <v>4.0</v>
      </c>
      <c r="R426" s="343"/>
      <c r="S426" s="342" t="s">
        <v>1960</v>
      </c>
      <c r="T426" s="342">
        <v>44.0</v>
      </c>
      <c r="U426" s="342">
        <v>16.0</v>
      </c>
      <c r="V426" s="342">
        <v>11.0</v>
      </c>
      <c r="W426" s="341">
        <v>3.809772727</v>
      </c>
      <c r="X426" s="5">
        <v>0.0</v>
      </c>
      <c r="Y426" s="5">
        <v>3.529545455</v>
      </c>
      <c r="Z426" s="5">
        <v>0.935</v>
      </c>
      <c r="AA426" s="5">
        <v>0.2570454545</v>
      </c>
      <c r="AB426" s="5">
        <v>0.2804545455</v>
      </c>
      <c r="AC426" s="5">
        <v>0.5559683794</v>
      </c>
      <c r="AD426" s="5">
        <v>2.875</v>
      </c>
      <c r="AE426" s="5">
        <v>0.5199537305</v>
      </c>
      <c r="AF426" s="5">
        <v>1.178863636</v>
      </c>
      <c r="AG426" s="5">
        <v>0.5377272727</v>
      </c>
      <c r="AH426" s="5">
        <v>15.44199339</v>
      </c>
      <c r="AI426" s="5">
        <v>-2.03020917</v>
      </c>
      <c r="AJ426" s="5">
        <v>-1.611667555</v>
      </c>
      <c r="AK426" s="5">
        <v>-0.9031621787</v>
      </c>
      <c r="AL426" s="5">
        <v>-1.284366438</v>
      </c>
      <c r="AM426" s="5">
        <v>-2.158565876</v>
      </c>
      <c r="AN426" s="5">
        <v>-0.7519318604</v>
      </c>
      <c r="AO426" s="5">
        <v>0.2917958772</v>
      </c>
      <c r="AP426" s="5">
        <v>-1.205743347</v>
      </c>
      <c r="AQ426" s="5">
        <v>1.531864955</v>
      </c>
    </row>
    <row r="427">
      <c r="A427" s="342">
        <v>426.0</v>
      </c>
      <c r="B427" s="347"/>
      <c r="C427" s="347"/>
      <c r="D427" s="341">
        <v>-1.215277458</v>
      </c>
      <c r="E427" s="342">
        <v>-0.002896198867</v>
      </c>
      <c r="F427" s="342">
        <v>-0.8952163547</v>
      </c>
      <c r="G427" s="342">
        <v>-0.3200611032</v>
      </c>
      <c r="H427" s="342">
        <v>0.206704054</v>
      </c>
      <c r="I427" s="343"/>
      <c r="J427" s="342" t="s">
        <v>2385</v>
      </c>
      <c r="K427" s="342" t="s">
        <v>236</v>
      </c>
      <c r="L427" s="342" t="s">
        <v>1380</v>
      </c>
      <c r="M427" s="342" t="s">
        <v>2386</v>
      </c>
      <c r="N427" s="343"/>
      <c r="O427" s="342" t="s">
        <v>1368</v>
      </c>
      <c r="P427" s="342" t="s">
        <v>2102</v>
      </c>
      <c r="Q427" s="342">
        <v>3.0</v>
      </c>
      <c r="R427" s="343"/>
      <c r="S427" s="342" t="s">
        <v>2232</v>
      </c>
      <c r="T427" s="342">
        <v>16.0</v>
      </c>
      <c r="U427" s="342">
        <v>13.0</v>
      </c>
      <c r="V427" s="342">
        <v>8.0</v>
      </c>
      <c r="W427" s="341">
        <v>2.66375</v>
      </c>
      <c r="X427" s="5">
        <v>0.333125</v>
      </c>
      <c r="Y427" s="5">
        <v>1.31625</v>
      </c>
      <c r="Z427" s="5">
        <v>0.97</v>
      </c>
      <c r="AA427" s="5">
        <v>0.323125</v>
      </c>
      <c r="AB427" s="5">
        <v>0.189375</v>
      </c>
      <c r="AC427" s="5">
        <v>0.4174090099</v>
      </c>
      <c r="AD427" s="5">
        <v>2.455625</v>
      </c>
      <c r="AE427" s="5">
        <v>0.7863397548</v>
      </c>
      <c r="AF427" s="5">
        <v>0.356875</v>
      </c>
      <c r="AG427" s="5">
        <v>0.431875</v>
      </c>
      <c r="AH427" s="5">
        <v>16.95710624</v>
      </c>
      <c r="AI427" s="5">
        <v>-2.222612372</v>
      </c>
      <c r="AJ427" s="5">
        <v>-1.28461223</v>
      </c>
      <c r="AK427" s="5">
        <v>-1.788800124</v>
      </c>
      <c r="AL427" s="5">
        <v>-1.268201515</v>
      </c>
      <c r="AM427" s="5">
        <v>-1.949966551</v>
      </c>
      <c r="AN427" s="5">
        <v>-0.9184567855</v>
      </c>
      <c r="AO427" s="5">
        <v>-0.2724459776</v>
      </c>
      <c r="AP427" s="5">
        <v>-0.01712410831</v>
      </c>
      <c r="AQ427" s="5">
        <v>1.665272471</v>
      </c>
    </row>
    <row r="428">
      <c r="A428" s="342">
        <v>427.0</v>
      </c>
      <c r="B428" s="347"/>
      <c r="C428" s="347"/>
      <c r="D428" s="341">
        <v>-1.215872804</v>
      </c>
      <c r="E428" s="342">
        <v>-0.004423275551</v>
      </c>
      <c r="F428" s="342">
        <v>-0.8953954633</v>
      </c>
      <c r="G428" s="342">
        <v>-0.3204773411</v>
      </c>
      <c r="H428" s="342">
        <v>-0.00265727845</v>
      </c>
      <c r="I428" s="343"/>
      <c r="J428" s="342" t="s">
        <v>2387</v>
      </c>
      <c r="K428" s="342" t="s">
        <v>148</v>
      </c>
      <c r="L428" s="342" t="s">
        <v>1380</v>
      </c>
      <c r="M428" s="342" t="s">
        <v>2388</v>
      </c>
      <c r="N428" s="343"/>
      <c r="O428" s="342" t="s">
        <v>1368</v>
      </c>
      <c r="P428" s="342" t="s">
        <v>1399</v>
      </c>
      <c r="Q428" s="342">
        <v>2.0</v>
      </c>
      <c r="R428" s="343"/>
      <c r="S428" s="342" t="s">
        <v>2232</v>
      </c>
      <c r="T428" s="342">
        <v>16.0</v>
      </c>
      <c r="U428" s="342">
        <v>15.0</v>
      </c>
      <c r="V428" s="342">
        <v>12.0</v>
      </c>
      <c r="W428" s="341">
        <v>4.85</v>
      </c>
      <c r="X428" s="5">
        <v>1.074375</v>
      </c>
      <c r="Y428" s="5">
        <v>1.11125</v>
      </c>
      <c r="Z428" s="5">
        <v>0.681875</v>
      </c>
      <c r="AA428" s="5">
        <v>0.173125</v>
      </c>
      <c r="AB428" s="5">
        <v>0.1025</v>
      </c>
      <c r="AC428" s="5">
        <v>0.4163739117</v>
      </c>
      <c r="AD428" s="5">
        <v>4.091875</v>
      </c>
      <c r="AE428" s="5">
        <v>0.7503184713</v>
      </c>
      <c r="AF428" s="5">
        <v>0.490625</v>
      </c>
      <c r="AG428" s="5">
        <v>0.429375</v>
      </c>
      <c r="AH428" s="5">
        <v>16.83828486</v>
      </c>
      <c r="AI428" s="5">
        <v>-1.855567731</v>
      </c>
      <c r="AJ428" s="5">
        <v>-0.55686811</v>
      </c>
      <c r="AK428" s="5">
        <v>-1.870829741</v>
      </c>
      <c r="AL428" s="5">
        <v>-1.401273469</v>
      </c>
      <c r="AM428" s="5">
        <v>-2.423485224</v>
      </c>
      <c r="AN428" s="5">
        <v>-1.077294347</v>
      </c>
      <c r="AO428" s="5">
        <v>-0.4543469107</v>
      </c>
      <c r="AP428" s="5">
        <v>-0.08731690169</v>
      </c>
      <c r="AQ428" s="5">
        <v>1.668423266</v>
      </c>
    </row>
    <row r="429">
      <c r="A429" s="342">
        <v>428.0</v>
      </c>
      <c r="B429" s="347"/>
      <c r="C429" s="347"/>
      <c r="D429" s="341">
        <v>-1.216185036</v>
      </c>
      <c r="E429" s="342">
        <v>0.3494998559</v>
      </c>
      <c r="F429" s="342">
        <v>-0.9356705918</v>
      </c>
      <c r="G429" s="342">
        <v>-0.280514444</v>
      </c>
      <c r="H429" s="343"/>
      <c r="I429" s="343"/>
      <c r="J429" s="342" t="s">
        <v>2389</v>
      </c>
      <c r="K429" s="342" t="s">
        <v>287</v>
      </c>
      <c r="L429" s="342" t="s">
        <v>1380</v>
      </c>
      <c r="M429" s="343"/>
      <c r="N429" s="343"/>
      <c r="O429" s="342" t="s">
        <v>1368</v>
      </c>
      <c r="P429" s="342" t="s">
        <v>2287</v>
      </c>
      <c r="Q429" s="343"/>
      <c r="R429" s="343"/>
      <c r="S429" s="342" t="s">
        <v>2232</v>
      </c>
      <c r="T429" s="342">
        <v>16.0</v>
      </c>
      <c r="U429" s="342">
        <v>16.0</v>
      </c>
      <c r="V429" s="342">
        <v>10.0</v>
      </c>
      <c r="W429" s="341">
        <v>3.88125</v>
      </c>
      <c r="X429" s="5">
        <v>0.418125</v>
      </c>
      <c r="Y429" s="5">
        <v>1.256875</v>
      </c>
      <c r="Z429" s="5">
        <v>1.473125</v>
      </c>
      <c r="AA429" s="5">
        <v>0.325</v>
      </c>
      <c r="AB429" s="5">
        <v>0.065</v>
      </c>
      <c r="AC429" s="5">
        <v>0.4112355737</v>
      </c>
      <c r="AD429" s="5">
        <v>3.6825</v>
      </c>
      <c r="AE429" s="5">
        <v>0.737009544</v>
      </c>
      <c r="AF429" s="5">
        <v>0.589375</v>
      </c>
      <c r="AG429" s="5">
        <v>0.715</v>
      </c>
      <c r="AH429" s="5">
        <v>19.58635532</v>
      </c>
      <c r="AI429" s="5">
        <v>-2.01820901</v>
      </c>
      <c r="AJ429" s="5">
        <v>-1.201160965</v>
      </c>
      <c r="AK429" s="5">
        <v>-1.812558702</v>
      </c>
      <c r="AL429" s="5">
        <v>-1.035830749</v>
      </c>
      <c r="AM429" s="5">
        <v>-1.944047568</v>
      </c>
      <c r="AN429" s="5">
        <v>-1.145857323</v>
      </c>
      <c r="AO429" s="5">
        <v>-0.4387465009</v>
      </c>
      <c r="AP429" s="5">
        <v>-0.133069469</v>
      </c>
      <c r="AQ429" s="5">
        <v>1.30844496</v>
      </c>
    </row>
    <row r="430">
      <c r="A430" s="342">
        <v>429.0</v>
      </c>
      <c r="B430" s="347"/>
      <c r="C430" s="347"/>
      <c r="D430" s="341">
        <v>-1.21688002</v>
      </c>
      <c r="E430" s="342">
        <v>-0.00318525472</v>
      </c>
      <c r="F430" s="342">
        <v>-0.8936805484</v>
      </c>
      <c r="G430" s="342">
        <v>-0.3231994712</v>
      </c>
      <c r="H430" s="342">
        <v>0.3033323613</v>
      </c>
      <c r="I430" s="343"/>
      <c r="J430" s="342" t="s">
        <v>2390</v>
      </c>
      <c r="K430" s="342" t="s">
        <v>40</v>
      </c>
      <c r="L430" s="342" t="s">
        <v>1404</v>
      </c>
      <c r="M430" s="342" t="s">
        <v>2391</v>
      </c>
      <c r="N430" s="343"/>
      <c r="O430" s="342" t="s">
        <v>1374</v>
      </c>
      <c r="P430" s="343"/>
      <c r="Q430" s="342">
        <v>5.0</v>
      </c>
      <c r="R430" s="343"/>
      <c r="S430" s="342" t="s">
        <v>1434</v>
      </c>
      <c r="T430" s="342">
        <v>68.0</v>
      </c>
      <c r="U430" s="342">
        <v>16.0</v>
      </c>
      <c r="V430" s="342">
        <v>10.0</v>
      </c>
      <c r="W430" s="341">
        <v>2.977058824</v>
      </c>
      <c r="X430" s="5">
        <v>0.08073529412</v>
      </c>
      <c r="Y430" s="5">
        <v>2.041617647</v>
      </c>
      <c r="Z430" s="5">
        <v>0.4083823529</v>
      </c>
      <c r="AA430" s="5">
        <v>0.2420588235</v>
      </c>
      <c r="AB430" s="5">
        <v>0.4316176471</v>
      </c>
      <c r="AC430" s="5">
        <v>0.5022585765</v>
      </c>
      <c r="AD430" s="5">
        <v>2.409117647</v>
      </c>
      <c r="AE430" s="5">
        <v>0.6590030519</v>
      </c>
      <c r="AF430" s="5">
        <v>0.7227941176</v>
      </c>
      <c r="AG430" s="5">
        <v>0.4107352941</v>
      </c>
      <c r="AH430" s="5">
        <v>13.79555956</v>
      </c>
      <c r="AI430" s="5">
        <v>-2.170011651</v>
      </c>
      <c r="AJ430" s="5">
        <v>-1.532403291</v>
      </c>
      <c r="AK430" s="5">
        <v>-1.498548269</v>
      </c>
      <c r="AL430" s="5">
        <v>-1.527587399</v>
      </c>
      <c r="AM430" s="5">
        <v>-2.20587554</v>
      </c>
      <c r="AN430" s="5">
        <v>-0.475553404</v>
      </c>
      <c r="AO430" s="5">
        <v>0.04514530945</v>
      </c>
      <c r="AP430" s="5">
        <v>-0.3702059122</v>
      </c>
      <c r="AQ430" s="5">
        <v>1.691915221</v>
      </c>
    </row>
    <row r="431">
      <c r="A431" s="342">
        <v>430.0</v>
      </c>
      <c r="B431" s="347"/>
      <c r="C431" s="347"/>
      <c r="D431" s="341">
        <v>-1.218244156</v>
      </c>
      <c r="E431" s="342">
        <v>-0.002889779498</v>
      </c>
      <c r="F431" s="342">
        <v>-0.8984846959</v>
      </c>
      <c r="G431" s="342">
        <v>-0.3197594601</v>
      </c>
      <c r="H431" s="342">
        <v>0.7864738976</v>
      </c>
      <c r="I431" s="343"/>
      <c r="J431" s="342" t="s">
        <v>2392</v>
      </c>
      <c r="K431" s="342" t="s">
        <v>180</v>
      </c>
      <c r="L431" s="342" t="s">
        <v>1404</v>
      </c>
      <c r="M431" s="342" t="s">
        <v>2393</v>
      </c>
      <c r="N431" s="343"/>
      <c r="O431" s="342" t="s">
        <v>1368</v>
      </c>
      <c r="P431" s="342" t="s">
        <v>2394</v>
      </c>
      <c r="Q431" s="342">
        <v>4.0</v>
      </c>
      <c r="R431" s="343"/>
      <c r="S431" s="342" t="s">
        <v>1960</v>
      </c>
      <c r="T431" s="342">
        <v>47.0</v>
      </c>
      <c r="U431" s="342">
        <v>16.0</v>
      </c>
      <c r="V431" s="342">
        <v>12.0</v>
      </c>
      <c r="W431" s="341">
        <v>4.230425532</v>
      </c>
      <c r="X431" s="5">
        <v>0.6136170213</v>
      </c>
      <c r="Y431" s="5">
        <v>1.514893617</v>
      </c>
      <c r="Z431" s="5">
        <v>0.6189361702</v>
      </c>
      <c r="AA431" s="5">
        <v>0.1708510638</v>
      </c>
      <c r="AB431" s="5">
        <v>0.2019148936</v>
      </c>
      <c r="AC431" s="5">
        <v>0.4162290878</v>
      </c>
      <c r="AD431" s="5">
        <v>3.484680851</v>
      </c>
      <c r="AE431" s="5">
        <v>0.8219345383</v>
      </c>
      <c r="AF431" s="5">
        <v>0.8710638298</v>
      </c>
      <c r="AG431" s="5">
        <v>0.4363829787</v>
      </c>
      <c r="AH431" s="5">
        <v>15.02294297</v>
      </c>
      <c r="AI431" s="5">
        <v>-1.959586708</v>
      </c>
      <c r="AJ431" s="5">
        <v>-1.009230889</v>
      </c>
      <c r="AK431" s="5">
        <v>-1.709313979</v>
      </c>
      <c r="AL431" s="5">
        <v>-1.430342079</v>
      </c>
      <c r="AM431" s="5">
        <v>-2.430663566</v>
      </c>
      <c r="AN431" s="5">
        <v>-0.8955295208</v>
      </c>
      <c r="AO431" s="5">
        <v>-0.3890597586</v>
      </c>
      <c r="AP431" s="5">
        <v>0.07777325112</v>
      </c>
      <c r="AQ431" s="5">
        <v>1.659590985</v>
      </c>
    </row>
    <row r="432">
      <c r="A432" s="342">
        <v>431.0</v>
      </c>
      <c r="B432" s="347"/>
      <c r="C432" s="347"/>
      <c r="D432" s="341">
        <v>-1.219964823</v>
      </c>
      <c r="E432" s="342">
        <v>-0.002994539012</v>
      </c>
      <c r="F432" s="342">
        <v>-0.907522455</v>
      </c>
      <c r="G432" s="342">
        <v>-0.3124423684</v>
      </c>
      <c r="H432" s="342">
        <v>0.1100757467</v>
      </c>
      <c r="I432" s="343"/>
      <c r="J432" s="342" t="s">
        <v>2395</v>
      </c>
      <c r="K432" s="342" t="s">
        <v>98</v>
      </c>
      <c r="L432" s="342" t="s">
        <v>1380</v>
      </c>
      <c r="M432" s="342" t="s">
        <v>2396</v>
      </c>
      <c r="N432" s="343"/>
      <c r="O432" s="342" t="s">
        <v>1368</v>
      </c>
      <c r="P432" s="342" t="s">
        <v>2102</v>
      </c>
      <c r="Q432" s="342">
        <v>4.0</v>
      </c>
      <c r="R432" s="343"/>
      <c r="S432" s="342" t="s">
        <v>2232</v>
      </c>
      <c r="T432" s="342">
        <v>16.0</v>
      </c>
      <c r="U432" s="342">
        <v>13.0</v>
      </c>
      <c r="V432" s="342">
        <v>8.0</v>
      </c>
      <c r="W432" s="341">
        <v>3.025</v>
      </c>
      <c r="X432" s="5">
        <v>0.396875</v>
      </c>
      <c r="Y432" s="5">
        <v>1.20875</v>
      </c>
      <c r="Z432" s="5">
        <v>1.568125</v>
      </c>
      <c r="AA432" s="5">
        <v>0.2425</v>
      </c>
      <c r="AB432" s="5">
        <v>0.163125</v>
      </c>
      <c r="AC432" s="5">
        <v>0.4290044299</v>
      </c>
      <c r="AD432" s="5">
        <v>2.680625</v>
      </c>
      <c r="AE432" s="5">
        <v>0.7201646091</v>
      </c>
      <c r="AF432" s="5">
        <v>0.455625</v>
      </c>
      <c r="AG432" s="5">
        <v>0.49</v>
      </c>
      <c r="AH432" s="5">
        <v>18.65796095</v>
      </c>
      <c r="AI432" s="5">
        <v>-2.161962914</v>
      </c>
      <c r="AJ432" s="5">
        <v>-1.222023781</v>
      </c>
      <c r="AK432" s="5">
        <v>-1.831815655</v>
      </c>
      <c r="AL432" s="5">
        <v>-0.9919545301</v>
      </c>
      <c r="AM432" s="5">
        <v>-2.204482838</v>
      </c>
      <c r="AN432" s="5">
        <v>-0.9664508688</v>
      </c>
      <c r="AO432" s="5">
        <v>-0.2490336674</v>
      </c>
      <c r="AP432" s="5">
        <v>-0.1319943325</v>
      </c>
      <c r="AQ432" s="5">
        <v>1.592016492</v>
      </c>
    </row>
    <row r="433">
      <c r="A433" s="342">
        <v>432.0</v>
      </c>
      <c r="B433" s="347"/>
      <c r="C433" s="347"/>
      <c r="D433" s="341">
        <v>-1.224481128</v>
      </c>
      <c r="E433" s="342">
        <v>-0.002746969417</v>
      </c>
      <c r="F433" s="342">
        <v>-0.9510969267</v>
      </c>
      <c r="G433" s="342">
        <v>-0.2733842008</v>
      </c>
      <c r="H433" s="343"/>
      <c r="I433" s="343"/>
      <c r="J433" s="342" t="s">
        <v>2397</v>
      </c>
      <c r="K433" s="342" t="s">
        <v>89</v>
      </c>
      <c r="L433" s="342" t="s">
        <v>1380</v>
      </c>
      <c r="M433" s="342" t="s">
        <v>2398</v>
      </c>
      <c r="N433" s="343"/>
      <c r="O433" s="342" t="s">
        <v>1368</v>
      </c>
      <c r="P433" s="342" t="s">
        <v>2287</v>
      </c>
      <c r="Q433" s="342">
        <v>2.0</v>
      </c>
      <c r="R433" s="343"/>
      <c r="S433" s="342" t="s">
        <v>2232</v>
      </c>
      <c r="T433" s="342">
        <v>16.0</v>
      </c>
      <c r="U433" s="342">
        <v>14.0</v>
      </c>
      <c r="V433" s="342">
        <v>9.0</v>
      </c>
      <c r="W433" s="341">
        <v>3.2925</v>
      </c>
      <c r="X433" s="5">
        <v>0.551875</v>
      </c>
      <c r="Y433" s="5">
        <v>1.15875</v>
      </c>
      <c r="Z433" s="5">
        <v>1.390625</v>
      </c>
      <c r="AA433" s="5">
        <v>0.29</v>
      </c>
      <c r="AB433" s="5">
        <v>0.0775</v>
      </c>
      <c r="AC433" s="5">
        <v>0.3698338304</v>
      </c>
      <c r="AD433" s="5">
        <v>2.93375</v>
      </c>
      <c r="AE433" s="5">
        <v>0.8101153505</v>
      </c>
      <c r="AF433" s="5">
        <v>0.704375</v>
      </c>
      <c r="AG433" s="5">
        <v>0.7725</v>
      </c>
      <c r="AH433" s="5">
        <v>18.8944077</v>
      </c>
      <c r="AI433" s="5">
        <v>-2.117052935</v>
      </c>
      <c r="AJ433" s="5">
        <v>-1.069847945</v>
      </c>
      <c r="AK433" s="5">
        <v>-1.851822879</v>
      </c>
      <c r="AL433" s="5">
        <v>-1.073933782</v>
      </c>
      <c r="AM433" s="5">
        <v>-2.054535258</v>
      </c>
      <c r="AN433" s="5">
        <v>-1.123002997</v>
      </c>
      <c r="AO433" s="5">
        <v>-0.5371541393</v>
      </c>
      <c r="AP433" s="5">
        <v>0.03150091535</v>
      </c>
      <c r="AQ433" s="5">
        <v>1.23597668</v>
      </c>
    </row>
    <row r="434">
      <c r="A434" s="342">
        <v>433.0</v>
      </c>
      <c r="B434" s="347"/>
      <c r="C434" s="347"/>
      <c r="D434" s="341">
        <v>-1.226468187</v>
      </c>
      <c r="E434" s="342">
        <v>-0.002823608769</v>
      </c>
      <c r="F434" s="342">
        <v>-0.940960199</v>
      </c>
      <c r="G434" s="342">
        <v>-0.2855079878</v>
      </c>
      <c r="H434" s="342">
        <v>0.9636257943</v>
      </c>
      <c r="I434" s="343"/>
      <c r="J434" s="342" t="s">
        <v>2399</v>
      </c>
      <c r="K434" s="342" t="s">
        <v>1365</v>
      </c>
      <c r="L434" s="342" t="s">
        <v>1380</v>
      </c>
      <c r="M434" s="342" t="s">
        <v>2400</v>
      </c>
      <c r="N434" s="343"/>
      <c r="O434" s="342" t="s">
        <v>1374</v>
      </c>
      <c r="P434" s="343"/>
      <c r="Q434" s="342">
        <v>4.0</v>
      </c>
      <c r="R434" s="343"/>
      <c r="S434" s="342" t="s">
        <v>1960</v>
      </c>
      <c r="T434" s="342">
        <v>44.0</v>
      </c>
      <c r="U434" s="342">
        <v>15.0</v>
      </c>
      <c r="V434" s="342">
        <v>11.0</v>
      </c>
      <c r="W434" s="341">
        <v>3.282045455</v>
      </c>
      <c r="X434" s="5">
        <v>0.2456818182</v>
      </c>
      <c r="Y434" s="5">
        <v>1.260454545</v>
      </c>
      <c r="Z434" s="5">
        <v>1.672954545</v>
      </c>
      <c r="AA434" s="5">
        <v>0.3209090909</v>
      </c>
      <c r="AB434" s="5">
        <v>0.09272727273</v>
      </c>
      <c r="AC434" s="5">
        <v>0.4417177914</v>
      </c>
      <c r="AD434" s="5">
        <v>2.704318182</v>
      </c>
      <c r="AE434" s="5">
        <v>0.70407911</v>
      </c>
      <c r="AF434" s="5">
        <v>0.9193181818</v>
      </c>
      <c r="AG434" s="5">
        <v>0.6875</v>
      </c>
      <c r="AH434" s="5">
        <v>14.9730863</v>
      </c>
      <c r="AI434" s="5">
        <v>-2.118808126</v>
      </c>
      <c r="AJ434" s="5">
        <v>-1.370462161</v>
      </c>
      <c r="AK434" s="5">
        <v>-1.811126367</v>
      </c>
      <c r="AL434" s="5">
        <v>-0.9435384869</v>
      </c>
      <c r="AM434" s="5">
        <v>-1.956961713</v>
      </c>
      <c r="AN434" s="5">
        <v>-1.095162274</v>
      </c>
      <c r="AO434" s="5">
        <v>-0.1985753637</v>
      </c>
      <c r="AP434" s="5">
        <v>-0.3171110028</v>
      </c>
      <c r="AQ434" s="5">
        <v>1.343103703</v>
      </c>
    </row>
    <row r="435">
      <c r="A435" s="342">
        <v>434.0</v>
      </c>
      <c r="B435" s="347"/>
      <c r="C435" s="347"/>
      <c r="D435" s="341">
        <v>-1.23304979</v>
      </c>
      <c r="E435" s="342">
        <v>-0.00198436042</v>
      </c>
      <c r="F435" s="342">
        <v>-0.9314066273</v>
      </c>
      <c r="G435" s="342">
        <v>-0.3016431627</v>
      </c>
      <c r="H435" s="342">
        <v>1.253510716</v>
      </c>
      <c r="I435" s="343"/>
      <c r="J435" s="342" t="s">
        <v>2401</v>
      </c>
      <c r="K435" s="342" t="s">
        <v>259</v>
      </c>
      <c r="L435" s="342" t="s">
        <v>1380</v>
      </c>
      <c r="M435" s="343"/>
      <c r="N435" s="343"/>
      <c r="O435" s="342" t="s">
        <v>1378</v>
      </c>
      <c r="P435" s="342" t="s">
        <v>2287</v>
      </c>
      <c r="Q435" s="343"/>
      <c r="R435" s="343"/>
      <c r="S435" s="342" t="s">
        <v>2232</v>
      </c>
      <c r="T435" s="342">
        <v>16.0</v>
      </c>
      <c r="U435" s="342">
        <v>13.0</v>
      </c>
      <c r="V435" s="342">
        <v>8.0</v>
      </c>
      <c r="W435" s="341">
        <v>3.425</v>
      </c>
      <c r="X435" s="5">
        <v>0.406875</v>
      </c>
      <c r="Y435" s="5">
        <v>1.32</v>
      </c>
      <c r="Z435" s="5">
        <v>0.755625</v>
      </c>
      <c r="AA435" s="5">
        <v>0.33375</v>
      </c>
      <c r="AB435" s="5">
        <v>0.140625</v>
      </c>
      <c r="AC435" s="5">
        <v>0.4244277822</v>
      </c>
      <c r="AD435" s="5">
        <v>3.1675</v>
      </c>
      <c r="AE435" s="5">
        <v>0.7036048064</v>
      </c>
      <c r="AF435" s="5">
        <v>0.468125</v>
      </c>
      <c r="AG435" s="5">
        <v>0.5775</v>
      </c>
      <c r="AH435" s="5">
        <v>21.26632032</v>
      </c>
      <c r="AI435" s="5">
        <v>-2.094807806</v>
      </c>
      <c r="AJ435" s="5">
        <v>-1.212205985</v>
      </c>
      <c r="AK435" s="5">
        <v>-1.787299582</v>
      </c>
      <c r="AL435" s="5">
        <v>-1.367211667</v>
      </c>
      <c r="AM435" s="5">
        <v>-1.916425645</v>
      </c>
      <c r="AN435" s="5">
        <v>-1.007588654</v>
      </c>
      <c r="AO435" s="5">
        <v>-0.3147676445</v>
      </c>
      <c r="AP435" s="5">
        <v>-0.1640913353</v>
      </c>
      <c r="AQ435" s="5">
        <v>1.481738674</v>
      </c>
    </row>
    <row r="436">
      <c r="A436" s="342">
        <v>435.0</v>
      </c>
      <c r="B436" s="347"/>
      <c r="C436" s="347"/>
      <c r="D436" s="341">
        <v>-1.236546354</v>
      </c>
      <c r="E436" s="342">
        <v>-0.002781948609</v>
      </c>
      <c r="F436" s="342">
        <v>-0.9783632455</v>
      </c>
      <c r="G436" s="342">
        <v>-0.2581831089</v>
      </c>
      <c r="H436" s="342">
        <v>0.5287984116</v>
      </c>
      <c r="I436" s="343"/>
      <c r="J436" s="342" t="s">
        <v>2402</v>
      </c>
      <c r="K436" s="342" t="s">
        <v>63</v>
      </c>
      <c r="L436" s="342" t="s">
        <v>1404</v>
      </c>
      <c r="M436" s="342" t="s">
        <v>2403</v>
      </c>
      <c r="N436" s="343"/>
      <c r="O436" s="342" t="s">
        <v>1368</v>
      </c>
      <c r="P436" s="343"/>
      <c r="Q436" s="342">
        <v>2.0</v>
      </c>
      <c r="R436" s="343"/>
      <c r="S436" s="342" t="s">
        <v>2232</v>
      </c>
      <c r="T436" s="342">
        <v>16.0</v>
      </c>
      <c r="U436" s="342">
        <v>13.0</v>
      </c>
      <c r="V436" s="342">
        <v>11.0</v>
      </c>
      <c r="W436" s="341">
        <v>3.57</v>
      </c>
      <c r="X436" s="5">
        <v>0.593125</v>
      </c>
      <c r="Y436" s="5">
        <v>1.051875</v>
      </c>
      <c r="Z436" s="5">
        <v>0.70125</v>
      </c>
      <c r="AA436" s="5">
        <v>0.33125</v>
      </c>
      <c r="AB436" s="5">
        <v>0.1975</v>
      </c>
      <c r="AC436" s="5">
        <v>0.3759342302</v>
      </c>
      <c r="AD436" s="5">
        <v>3.345</v>
      </c>
      <c r="AE436" s="5">
        <v>0.7548518897</v>
      </c>
      <c r="AF436" s="5">
        <v>0.611875</v>
      </c>
      <c r="AG436" s="5">
        <v>0.890625</v>
      </c>
      <c r="AH436" s="5">
        <v>17.62901317</v>
      </c>
      <c r="AI436" s="5">
        <v>-2.070464079</v>
      </c>
      <c r="AJ436" s="5">
        <v>-1.029349537</v>
      </c>
      <c r="AK436" s="5">
        <v>-1.89458832</v>
      </c>
      <c r="AL436" s="5">
        <v>-1.39232503</v>
      </c>
      <c r="AM436" s="5">
        <v>-1.924317623</v>
      </c>
      <c r="AN436" s="5">
        <v>-0.9036014741</v>
      </c>
      <c r="AO436" s="5">
        <v>-0.5799591442</v>
      </c>
      <c r="AP436" s="5">
        <v>-0.09776562952</v>
      </c>
      <c r="AQ436" s="5">
        <v>1.087101626</v>
      </c>
    </row>
    <row r="437">
      <c r="A437" s="342">
        <v>436.0</v>
      </c>
      <c r="B437" s="347"/>
      <c r="C437" s="347"/>
      <c r="D437" s="341">
        <v>-1.239247524</v>
      </c>
      <c r="E437" s="342">
        <v>-0.002885914706</v>
      </c>
      <c r="F437" s="342">
        <v>-0.9313249196</v>
      </c>
      <c r="G437" s="342">
        <v>-0.307922604</v>
      </c>
      <c r="H437" s="342">
        <v>1.028044666</v>
      </c>
      <c r="I437" s="343"/>
      <c r="J437" s="342" t="s">
        <v>2404</v>
      </c>
      <c r="K437" s="342" t="s">
        <v>93</v>
      </c>
      <c r="L437" s="342" t="s">
        <v>1404</v>
      </c>
      <c r="M437" s="342" t="s">
        <v>2405</v>
      </c>
      <c r="N437" s="343"/>
      <c r="O437" s="342" t="s">
        <v>1368</v>
      </c>
      <c r="P437" s="342" t="s">
        <v>1423</v>
      </c>
      <c r="Q437" s="342">
        <v>5.0</v>
      </c>
      <c r="R437" s="343"/>
      <c r="S437" s="342" t="s">
        <v>1960</v>
      </c>
      <c r="T437" s="342">
        <v>33.0</v>
      </c>
      <c r="U437" s="342">
        <v>16.0</v>
      </c>
      <c r="V437" s="342">
        <v>11.0</v>
      </c>
      <c r="W437" s="341">
        <v>4.08030303</v>
      </c>
      <c r="X437" s="5">
        <v>0.3654545455</v>
      </c>
      <c r="Y437" s="5">
        <v>2.176969697</v>
      </c>
      <c r="Z437" s="5">
        <v>0.7333333333</v>
      </c>
      <c r="AA437" s="5">
        <v>0.2521212121</v>
      </c>
      <c r="AB437" s="5">
        <v>0.1172727273</v>
      </c>
      <c r="AC437" s="5">
        <v>0.4288525106</v>
      </c>
      <c r="AD437" s="5">
        <v>3.85030303</v>
      </c>
      <c r="AE437" s="5">
        <v>0.6757696127</v>
      </c>
      <c r="AF437" s="5">
        <v>0.6103030303</v>
      </c>
      <c r="AG437" s="5">
        <v>0.5375757576</v>
      </c>
      <c r="AH437" s="5">
        <v>18.0451755</v>
      </c>
      <c r="AI437" s="5">
        <v>-1.98479044</v>
      </c>
      <c r="AJ437" s="5">
        <v>-1.252871742</v>
      </c>
      <c r="AK437" s="5">
        <v>-1.444387894</v>
      </c>
      <c r="AL437" s="5">
        <v>-1.377507184</v>
      </c>
      <c r="AM437" s="5">
        <v>-2.174110681</v>
      </c>
      <c r="AN437" s="5">
        <v>-1.050284689</v>
      </c>
      <c r="AO437" s="5">
        <v>-0.354588749</v>
      </c>
      <c r="AP437" s="5">
        <v>-0.27543881</v>
      </c>
      <c r="AQ437" s="5">
        <v>1.532055912</v>
      </c>
    </row>
    <row r="438">
      <c r="A438" s="342">
        <v>437.0</v>
      </c>
      <c r="B438" s="347"/>
      <c r="C438" s="347"/>
      <c r="D438" s="341">
        <v>-1.250038824</v>
      </c>
      <c r="E438" s="342">
        <v>-0.004739086991</v>
      </c>
      <c r="F438" s="342">
        <v>-0.9115866818</v>
      </c>
      <c r="G438" s="342">
        <v>-0.3384521421</v>
      </c>
      <c r="H438" s="342">
        <v>0.2550182076</v>
      </c>
      <c r="I438" s="343"/>
      <c r="J438" s="342" t="s">
        <v>2406</v>
      </c>
      <c r="K438" s="342" t="s">
        <v>159</v>
      </c>
      <c r="L438" s="342" t="s">
        <v>1404</v>
      </c>
      <c r="M438" s="342" t="s">
        <v>2407</v>
      </c>
      <c r="N438" s="343"/>
      <c r="O438" s="342" t="s">
        <v>1368</v>
      </c>
      <c r="P438" s="343"/>
      <c r="Q438" s="342">
        <v>3.0</v>
      </c>
      <c r="R438" s="343"/>
      <c r="S438" s="342" t="s">
        <v>2232</v>
      </c>
      <c r="T438" s="342">
        <v>16.0</v>
      </c>
      <c r="U438" s="342">
        <v>14.0</v>
      </c>
      <c r="V438" s="342">
        <v>7.0</v>
      </c>
      <c r="W438" s="341">
        <v>2.33625</v>
      </c>
      <c r="X438" s="5">
        <v>0.159375</v>
      </c>
      <c r="Y438" s="5">
        <v>2.215</v>
      </c>
      <c r="Z438" s="5">
        <v>0.571875</v>
      </c>
      <c r="AA438" s="5">
        <v>0.205</v>
      </c>
      <c r="AB438" s="5">
        <v>0.12875</v>
      </c>
      <c r="AC438" s="5">
        <v>0.4917933131</v>
      </c>
      <c r="AD438" s="5">
        <v>2.05625</v>
      </c>
      <c r="AE438" s="5">
        <v>0.7507598784</v>
      </c>
      <c r="AF438" s="5">
        <v>0.205625</v>
      </c>
      <c r="AG438" s="5">
        <v>0.328125</v>
      </c>
      <c r="AH438" s="5">
        <v>15.70249932</v>
      </c>
      <c r="AI438" s="5">
        <v>-2.277595617</v>
      </c>
      <c r="AJ438" s="5">
        <v>-1.455196433</v>
      </c>
      <c r="AK438" s="5">
        <v>-1.429170278</v>
      </c>
      <c r="AL438" s="5">
        <v>-1.452077512</v>
      </c>
      <c r="AM438" s="5">
        <v>-2.322862506</v>
      </c>
      <c r="AN438" s="5">
        <v>-1.029300263</v>
      </c>
      <c r="AO438" s="5">
        <v>0.004279706331</v>
      </c>
      <c r="AP438" s="5">
        <v>-0.03838768717</v>
      </c>
      <c r="AQ438" s="5">
        <v>1.796030455</v>
      </c>
    </row>
    <row r="439">
      <c r="A439" s="342">
        <v>438.0</v>
      </c>
      <c r="B439" s="347"/>
      <c r="C439" s="347"/>
      <c r="D439" s="341">
        <v>-1.250245843</v>
      </c>
      <c r="E439" s="342">
        <v>-0.1794012313</v>
      </c>
      <c r="F439" s="342">
        <v>-0.927577186</v>
      </c>
      <c r="G439" s="342">
        <v>-0.322668657</v>
      </c>
      <c r="H439" s="342">
        <v>-0.03486671421</v>
      </c>
      <c r="I439" s="343"/>
      <c r="J439" s="342" t="s">
        <v>2408</v>
      </c>
      <c r="K439" s="342" t="s">
        <v>40</v>
      </c>
      <c r="L439" s="342" t="s">
        <v>1404</v>
      </c>
      <c r="M439" s="342" t="s">
        <v>2409</v>
      </c>
      <c r="N439" s="343"/>
      <c r="O439" s="342" t="s">
        <v>1368</v>
      </c>
      <c r="P439" s="343"/>
      <c r="Q439" s="342">
        <v>4.0</v>
      </c>
      <c r="R439" s="343"/>
      <c r="S439" s="342" t="s">
        <v>1960</v>
      </c>
      <c r="T439" s="342">
        <v>30.0</v>
      </c>
      <c r="U439" s="342">
        <v>16.0</v>
      </c>
      <c r="V439" s="342">
        <v>9.0</v>
      </c>
      <c r="W439" s="341">
        <v>3.575333333</v>
      </c>
      <c r="X439" s="5">
        <v>0.7966666667</v>
      </c>
      <c r="Y439" s="5">
        <v>1.525</v>
      </c>
      <c r="Z439" s="5">
        <v>0.3846666667</v>
      </c>
      <c r="AA439" s="5">
        <v>0.2353333333</v>
      </c>
      <c r="AB439" s="5">
        <v>0.086</v>
      </c>
      <c r="AC439" s="5">
        <v>0.4033477322</v>
      </c>
      <c r="AD439" s="5">
        <v>3.086666667</v>
      </c>
      <c r="AE439" s="5">
        <v>0.719269103</v>
      </c>
      <c r="AF439" s="5">
        <v>0.4013333333</v>
      </c>
      <c r="AG439" s="5">
        <v>0.441</v>
      </c>
      <c r="AH439" s="5">
        <v>18.09509363</v>
      </c>
      <c r="AI439" s="5">
        <v>-2.069568677</v>
      </c>
      <c r="AJ439" s="5">
        <v>-0.8295164832</v>
      </c>
      <c r="AK439" s="5">
        <v>-1.705269965</v>
      </c>
      <c r="AL439" s="5">
        <v>-1.538540606</v>
      </c>
      <c r="AM439" s="5">
        <v>-2.227106508</v>
      </c>
      <c r="AN439" s="5">
        <v>-1.107462056</v>
      </c>
      <c r="AO439" s="5">
        <v>-0.4064752306</v>
      </c>
      <c r="AP439" s="5">
        <v>-0.1180272177</v>
      </c>
      <c r="AQ439" s="5">
        <v>1.65377207</v>
      </c>
    </row>
    <row r="440">
      <c r="A440" s="342">
        <v>439.0</v>
      </c>
      <c r="B440" s="347"/>
      <c r="C440" s="347"/>
      <c r="D440" s="341">
        <v>-1.251432667</v>
      </c>
      <c r="E440" s="342">
        <v>-0.004345389588</v>
      </c>
      <c r="F440" s="342">
        <v>-0.9744067179</v>
      </c>
      <c r="G440" s="342">
        <v>-0.2770259493</v>
      </c>
      <c r="H440" s="343"/>
      <c r="I440" s="343"/>
      <c r="J440" s="342" t="s">
        <v>2410</v>
      </c>
      <c r="K440" s="342" t="s">
        <v>169</v>
      </c>
      <c r="L440" s="342" t="s">
        <v>1380</v>
      </c>
      <c r="M440" s="342" t="s">
        <v>2411</v>
      </c>
      <c r="N440" s="343"/>
      <c r="O440" s="342" t="s">
        <v>1368</v>
      </c>
      <c r="P440" s="343"/>
      <c r="Q440" s="342">
        <v>1.0</v>
      </c>
      <c r="R440" s="343"/>
      <c r="S440" s="342" t="s">
        <v>2232</v>
      </c>
      <c r="T440" s="342">
        <v>33.0</v>
      </c>
      <c r="U440" s="342">
        <v>15.0</v>
      </c>
      <c r="V440" s="342">
        <v>10.0</v>
      </c>
      <c r="W440" s="341">
        <v>2.833939394</v>
      </c>
      <c r="X440" s="5">
        <v>0.4609090909</v>
      </c>
      <c r="Y440" s="5">
        <v>1.293333333</v>
      </c>
      <c r="Z440" s="5">
        <v>0.8084848485</v>
      </c>
      <c r="AA440" s="5">
        <v>0.2627272727</v>
      </c>
      <c r="AB440" s="5">
        <v>0.1009090909</v>
      </c>
      <c r="AC440" s="5">
        <v>0.4158914729</v>
      </c>
      <c r="AD440" s="5">
        <v>2.345454545</v>
      </c>
      <c r="AE440" s="5">
        <v>0.7830241709</v>
      </c>
      <c r="AF440" s="5">
        <v>0.5390909091</v>
      </c>
      <c r="AG440" s="5">
        <v>0.7678787879</v>
      </c>
      <c r="AH440" s="5">
        <v>15.28433341</v>
      </c>
      <c r="AI440" s="5">
        <v>-2.194039654</v>
      </c>
      <c r="AJ440" s="5">
        <v>-1.159156418</v>
      </c>
      <c r="AK440" s="5">
        <v>-1.797970102</v>
      </c>
      <c r="AL440" s="5">
        <v>-1.342798085</v>
      </c>
      <c r="AM440" s="5">
        <v>-2.140629562</v>
      </c>
      <c r="AN440" s="5">
        <v>-1.080203079</v>
      </c>
      <c r="AO440" s="5">
        <v>-0.2660777235</v>
      </c>
      <c r="AP440" s="5">
        <v>-0.03058671382</v>
      </c>
      <c r="AQ440" s="5">
        <v>1.241800876</v>
      </c>
    </row>
    <row r="441">
      <c r="A441" s="342">
        <v>440.0</v>
      </c>
      <c r="B441" s="347"/>
      <c r="C441" s="347"/>
      <c r="D441" s="341">
        <v>-1.258934537</v>
      </c>
      <c r="E441" s="342">
        <v>-0.003071950966</v>
      </c>
      <c r="F441" s="342">
        <v>-0.9753330675</v>
      </c>
      <c r="G441" s="342">
        <v>-0.2836014691</v>
      </c>
      <c r="H441" s="343"/>
      <c r="I441" s="343"/>
      <c r="J441" s="342" t="s">
        <v>2412</v>
      </c>
      <c r="K441" s="342" t="s">
        <v>110</v>
      </c>
      <c r="L441" s="342" t="s">
        <v>1380</v>
      </c>
      <c r="M441" s="343"/>
      <c r="N441" s="343"/>
      <c r="O441" s="342" t="s">
        <v>1368</v>
      </c>
      <c r="P441" s="342" t="s">
        <v>2413</v>
      </c>
      <c r="Q441" s="343"/>
      <c r="R441" s="343"/>
      <c r="S441" s="342" t="s">
        <v>2232</v>
      </c>
      <c r="T441" s="342">
        <v>16.0</v>
      </c>
      <c r="U441" s="342">
        <v>16.0</v>
      </c>
      <c r="V441" s="342">
        <v>9.0</v>
      </c>
      <c r="W441" s="341">
        <v>2.629375</v>
      </c>
      <c r="X441" s="5">
        <v>0.265625</v>
      </c>
      <c r="Y441" s="5">
        <v>1.53</v>
      </c>
      <c r="Z441" s="5">
        <v>0.8225</v>
      </c>
      <c r="AA441" s="5">
        <v>0.286875</v>
      </c>
      <c r="AB441" s="5">
        <v>0.13375</v>
      </c>
      <c r="AC441" s="5">
        <v>0.4217619166</v>
      </c>
      <c r="AD441" s="5">
        <v>2.504375</v>
      </c>
      <c r="AE441" s="5">
        <v>0.7165775401</v>
      </c>
      <c r="AF441" s="5">
        <v>0.350625</v>
      </c>
      <c r="AG441" s="5">
        <v>0.726875</v>
      </c>
      <c r="AH441" s="5">
        <v>16.25284213</v>
      </c>
      <c r="AI441" s="5">
        <v>-2.228383514</v>
      </c>
      <c r="AJ441" s="5">
        <v>-1.350882352</v>
      </c>
      <c r="AK441" s="5">
        <v>-1.703269243</v>
      </c>
      <c r="AL441" s="5">
        <v>-1.336325118</v>
      </c>
      <c r="AM441" s="5">
        <v>-2.06440023</v>
      </c>
      <c r="AN441" s="5">
        <v>-1.020158533</v>
      </c>
      <c r="AO441" s="5">
        <v>-0.2610012877</v>
      </c>
      <c r="AP441" s="5">
        <v>-0.1070560141</v>
      </c>
      <c r="AQ441" s="5">
        <v>1.293478685</v>
      </c>
    </row>
    <row r="442">
      <c r="A442" s="342">
        <v>441.0</v>
      </c>
      <c r="B442" s="347"/>
      <c r="C442" s="347"/>
      <c r="D442" s="341">
        <v>-1.261476101</v>
      </c>
      <c r="E442" s="342">
        <v>0.304208791</v>
      </c>
      <c r="F442" s="342">
        <v>-0.9277046514</v>
      </c>
      <c r="G442" s="342">
        <v>-0.3337714494</v>
      </c>
      <c r="H442" s="343"/>
      <c r="I442" s="343"/>
      <c r="J442" s="342" t="s">
        <v>2414</v>
      </c>
      <c r="K442" s="342" t="s">
        <v>45</v>
      </c>
      <c r="L442" s="342" t="s">
        <v>1366</v>
      </c>
      <c r="M442" s="343"/>
      <c r="N442" s="343"/>
      <c r="O442" s="342" t="s">
        <v>1378</v>
      </c>
      <c r="P442" s="343"/>
      <c r="Q442" s="343"/>
      <c r="R442" s="343"/>
      <c r="S442" s="342" t="s">
        <v>2232</v>
      </c>
      <c r="T442" s="342">
        <v>16.0</v>
      </c>
      <c r="U442" s="342">
        <v>16.0</v>
      </c>
      <c r="V442" s="342">
        <v>8.0</v>
      </c>
      <c r="W442" s="341">
        <v>2.87625</v>
      </c>
      <c r="X442" s="5">
        <v>0.61</v>
      </c>
      <c r="Y442" s="5">
        <v>1.683125</v>
      </c>
      <c r="Z442" s="5">
        <v>0.336875</v>
      </c>
      <c r="AA442" s="5">
        <v>0.201875</v>
      </c>
      <c r="AB442" s="5">
        <v>0.2525</v>
      </c>
      <c r="AC442" s="5">
        <v>0.3773497331</v>
      </c>
      <c r="AD442" s="5">
        <v>2.693125</v>
      </c>
      <c r="AE442" s="5">
        <v>0.7234042553</v>
      </c>
      <c r="AF442" s="5">
        <v>0.323125</v>
      </c>
      <c r="AG442" s="5">
        <v>0.370625</v>
      </c>
      <c r="AH442" s="5">
        <v>17.46620893</v>
      </c>
      <c r="AI442" s="5">
        <v>-2.18693622</v>
      </c>
      <c r="AJ442" s="5">
        <v>-1.012782006</v>
      </c>
      <c r="AK442" s="5">
        <v>-1.64199712</v>
      </c>
      <c r="AL442" s="5">
        <v>-1.560613423</v>
      </c>
      <c r="AM442" s="5">
        <v>-2.332727479</v>
      </c>
      <c r="AN442" s="5">
        <v>-0.8030424425</v>
      </c>
      <c r="AO442" s="5">
        <v>-0.4628949504</v>
      </c>
      <c r="AP442" s="5">
        <v>-0.09081516461</v>
      </c>
      <c r="AQ442" s="5">
        <v>1.742466944</v>
      </c>
    </row>
    <row r="443">
      <c r="A443" s="342">
        <v>442.0</v>
      </c>
      <c r="B443" s="347"/>
      <c r="C443" s="347"/>
      <c r="D443" s="341">
        <v>-1.265549448</v>
      </c>
      <c r="E443" s="342">
        <v>-0.002971455449</v>
      </c>
      <c r="F443" s="342">
        <v>-0.9181970931</v>
      </c>
      <c r="G443" s="342">
        <v>-0.3473523552</v>
      </c>
      <c r="H443" s="342">
        <v>0.09397102882</v>
      </c>
      <c r="I443" s="343"/>
      <c r="J443" s="342" t="s">
        <v>2415</v>
      </c>
      <c r="K443" s="342" t="s">
        <v>1471</v>
      </c>
      <c r="L443" s="342" t="s">
        <v>1404</v>
      </c>
      <c r="M443" s="342" t="s">
        <v>2416</v>
      </c>
      <c r="N443" s="343"/>
      <c r="O443" s="342" t="s">
        <v>1368</v>
      </c>
      <c r="P443" s="342" t="s">
        <v>2273</v>
      </c>
      <c r="Q443" s="342">
        <v>4.0</v>
      </c>
      <c r="R443" s="343"/>
      <c r="S443" s="342" t="s">
        <v>2232</v>
      </c>
      <c r="T443" s="342">
        <v>16.0</v>
      </c>
      <c r="U443" s="342">
        <v>16.0</v>
      </c>
      <c r="V443" s="342">
        <v>8.0</v>
      </c>
      <c r="W443" s="341">
        <v>2.865625</v>
      </c>
      <c r="X443" s="5">
        <v>0.338125</v>
      </c>
      <c r="Y443" s="5">
        <v>1.32</v>
      </c>
      <c r="Z443" s="5">
        <v>0.303125</v>
      </c>
      <c r="AA443" s="5">
        <v>0.303125</v>
      </c>
      <c r="AB443" s="5">
        <v>0.1</v>
      </c>
      <c r="AC443" s="5">
        <v>0.4525170068</v>
      </c>
      <c r="AD443" s="5">
        <v>2.296875</v>
      </c>
      <c r="AE443" s="5">
        <v>0.7679144385</v>
      </c>
      <c r="AF443" s="5">
        <v>0.584375</v>
      </c>
      <c r="AG443" s="5">
        <v>0.276875</v>
      </c>
      <c r="AH443" s="5">
        <v>15.56306607</v>
      </c>
      <c r="AI443" s="5">
        <v>-2.188720028</v>
      </c>
      <c r="AJ443" s="5">
        <v>-1.279703332</v>
      </c>
      <c r="AK443" s="5">
        <v>-1.787299582</v>
      </c>
      <c r="AL443" s="5">
        <v>-1.576201027</v>
      </c>
      <c r="AM443" s="5">
        <v>-2.013102374</v>
      </c>
      <c r="AN443" s="5">
        <v>-1.081865212</v>
      </c>
      <c r="AO443" s="5">
        <v>-0.132106704</v>
      </c>
      <c r="AP443" s="5">
        <v>-0.06539732677</v>
      </c>
      <c r="AQ443" s="5">
        <v>1.860621748</v>
      </c>
    </row>
    <row r="444">
      <c r="A444" s="342">
        <v>443.0</v>
      </c>
      <c r="B444" s="347"/>
      <c r="C444" s="347"/>
      <c r="D444" s="341">
        <v>-1.265992511</v>
      </c>
      <c r="E444" s="342">
        <v>0.2996923804</v>
      </c>
      <c r="F444" s="342">
        <v>-0.9416967554</v>
      </c>
      <c r="G444" s="342">
        <v>-0.3242957559</v>
      </c>
      <c r="H444" s="343"/>
      <c r="I444" s="343"/>
      <c r="J444" s="342" t="s">
        <v>2417</v>
      </c>
      <c r="K444" s="342" t="s">
        <v>57</v>
      </c>
      <c r="L444" s="342" t="s">
        <v>1380</v>
      </c>
      <c r="M444" s="343"/>
      <c r="N444" s="343"/>
      <c r="O444" s="342" t="s">
        <v>1378</v>
      </c>
      <c r="P444" s="342" t="s">
        <v>2227</v>
      </c>
      <c r="Q444" s="343"/>
      <c r="R444" s="343"/>
      <c r="S444" s="342" t="s">
        <v>2232</v>
      </c>
      <c r="T444" s="342">
        <v>16.0</v>
      </c>
      <c r="U444" s="342">
        <v>13.0</v>
      </c>
      <c r="V444" s="342">
        <v>6.0</v>
      </c>
      <c r="W444" s="341">
        <v>2.489375</v>
      </c>
      <c r="X444" s="5">
        <v>0.315625</v>
      </c>
      <c r="Y444" s="5">
        <v>1.14875</v>
      </c>
      <c r="Z444" s="5">
        <v>0.808125</v>
      </c>
      <c r="AA444" s="5">
        <v>0.340625</v>
      </c>
      <c r="AB444" s="5">
        <v>0.038125</v>
      </c>
      <c r="AC444" s="5">
        <v>0.4117647059</v>
      </c>
      <c r="AD444" s="5">
        <v>2.199375</v>
      </c>
      <c r="AE444" s="5">
        <v>0.7859078591</v>
      </c>
      <c r="AF444" s="5">
        <v>0.46125</v>
      </c>
      <c r="AG444" s="5">
        <v>0.441875</v>
      </c>
      <c r="AH444" s="5">
        <v>20.34087975</v>
      </c>
      <c r="AI444" s="5">
        <v>-2.251887802</v>
      </c>
      <c r="AJ444" s="5">
        <v>-1.301793373</v>
      </c>
      <c r="AK444" s="5">
        <v>-1.855824324</v>
      </c>
      <c r="AL444" s="5">
        <v>-1.342964283</v>
      </c>
      <c r="AM444" s="5">
        <v>-1.894722706</v>
      </c>
      <c r="AN444" s="5">
        <v>-1.194994122</v>
      </c>
      <c r="AO444" s="5">
        <v>-0.2639576722</v>
      </c>
      <c r="AP444" s="5">
        <v>-0.02179580922</v>
      </c>
      <c r="AQ444" s="5">
        <v>1.652669292</v>
      </c>
    </row>
    <row r="445">
      <c r="A445" s="342">
        <v>444.0</v>
      </c>
      <c r="B445" s="347"/>
      <c r="C445" s="347"/>
      <c r="D445" s="341">
        <v>-1.270631209</v>
      </c>
      <c r="E445" s="342">
        <v>-0.003118362724</v>
      </c>
      <c r="F445" s="342">
        <v>-0.9301535903</v>
      </c>
      <c r="G445" s="342">
        <v>-0.3404776187</v>
      </c>
      <c r="H445" s="342">
        <v>0.3677512328</v>
      </c>
      <c r="I445" s="343"/>
      <c r="J445" s="342" t="s">
        <v>2418</v>
      </c>
      <c r="K445" s="342" t="s">
        <v>74</v>
      </c>
      <c r="L445" s="342" t="s">
        <v>1380</v>
      </c>
      <c r="M445" s="342" t="s">
        <v>2419</v>
      </c>
      <c r="N445" s="343"/>
      <c r="O445" s="342" t="s">
        <v>1368</v>
      </c>
      <c r="P445" s="342" t="s">
        <v>2273</v>
      </c>
      <c r="Q445" s="342">
        <v>4.0</v>
      </c>
      <c r="R445" s="343"/>
      <c r="S445" s="342" t="s">
        <v>2232</v>
      </c>
      <c r="T445" s="342">
        <v>29.0</v>
      </c>
      <c r="U445" s="342">
        <v>16.0</v>
      </c>
      <c r="V445" s="342">
        <v>8.0</v>
      </c>
      <c r="W445" s="341">
        <v>2.706206897</v>
      </c>
      <c r="X445" s="5">
        <v>0.4944827586</v>
      </c>
      <c r="Y445" s="5">
        <v>1.228965517</v>
      </c>
      <c r="Z445" s="5">
        <v>0.3093103448</v>
      </c>
      <c r="AA445" s="5">
        <v>0.2379310345</v>
      </c>
      <c r="AB445" s="5">
        <v>0.18</v>
      </c>
      <c r="AC445" s="5">
        <v>0.407574813</v>
      </c>
      <c r="AD445" s="5">
        <v>2.212413793</v>
      </c>
      <c r="AE445" s="5">
        <v>0.8027118644</v>
      </c>
      <c r="AF445" s="5">
        <v>0.5086206897</v>
      </c>
      <c r="AG445" s="5">
        <v>0.33</v>
      </c>
      <c r="AH445" s="5">
        <v>15.40151092</v>
      </c>
      <c r="AI445" s="5">
        <v>-2.215484378</v>
      </c>
      <c r="AJ445" s="5">
        <v>-1.126194476</v>
      </c>
      <c r="AK445" s="5">
        <v>-1.823726528</v>
      </c>
      <c r="AL445" s="5">
        <v>-1.573344295</v>
      </c>
      <c r="AM445" s="5">
        <v>-2.218906108</v>
      </c>
      <c r="AN445" s="5">
        <v>-0.9355975295</v>
      </c>
      <c r="AO445" s="5">
        <v>-0.279644254</v>
      </c>
      <c r="AP445" s="5">
        <v>0.007847896411</v>
      </c>
      <c r="AQ445" s="5">
        <v>1.793667359</v>
      </c>
    </row>
    <row r="446">
      <c r="A446" s="342">
        <v>445.0</v>
      </c>
      <c r="B446" s="347"/>
      <c r="C446" s="347"/>
      <c r="D446" s="341">
        <v>-1.272147583</v>
      </c>
      <c r="E446" s="342">
        <v>-0.004713836259</v>
      </c>
      <c r="F446" s="342">
        <v>-0.9710614572</v>
      </c>
      <c r="G446" s="342">
        <v>-0.3010861255</v>
      </c>
      <c r="H446" s="343"/>
      <c r="I446" s="343"/>
      <c r="J446" s="342" t="s">
        <v>2420</v>
      </c>
      <c r="K446" s="342" t="s">
        <v>222</v>
      </c>
      <c r="L446" s="342" t="s">
        <v>1380</v>
      </c>
      <c r="M446" s="342" t="s">
        <v>2421</v>
      </c>
      <c r="N446" s="343"/>
      <c r="O446" s="342" t="s">
        <v>1368</v>
      </c>
      <c r="P446" s="342" t="s">
        <v>2227</v>
      </c>
      <c r="Q446" s="342">
        <v>2.0</v>
      </c>
      <c r="R446" s="343"/>
      <c r="S446" s="342" t="s">
        <v>2232</v>
      </c>
      <c r="T446" s="342">
        <v>16.0</v>
      </c>
      <c r="U446" s="342">
        <v>15.0</v>
      </c>
      <c r="V446" s="342">
        <v>9.0</v>
      </c>
      <c r="W446" s="341">
        <v>2.8675</v>
      </c>
      <c r="X446" s="5">
        <v>0.43125</v>
      </c>
      <c r="Y446" s="5">
        <v>0.816875</v>
      </c>
      <c r="Z446" s="5">
        <v>1.169375</v>
      </c>
      <c r="AA446" s="5">
        <v>0.296875</v>
      </c>
      <c r="AB446" s="5">
        <v>0.13</v>
      </c>
      <c r="AC446" s="5">
        <v>0.3660695014</v>
      </c>
      <c r="AD446" s="5">
        <v>2.895625</v>
      </c>
      <c r="AE446" s="5">
        <v>0.7796610169</v>
      </c>
      <c r="AF446" s="5">
        <v>0.405625</v>
      </c>
      <c r="AG446" s="5">
        <v>0.6125</v>
      </c>
      <c r="AH446" s="5">
        <v>17.90837239</v>
      </c>
      <c r="AI446" s="5">
        <v>-2.188405238</v>
      </c>
      <c r="AJ446" s="5">
        <v>-1.188275108</v>
      </c>
      <c r="AK446" s="5">
        <v>-1.988622271</v>
      </c>
      <c r="AL446" s="5">
        <v>-1.176119187</v>
      </c>
      <c r="AM446" s="5">
        <v>-2.032832319</v>
      </c>
      <c r="AN446" s="5">
        <v>-1.027014831</v>
      </c>
      <c r="AO446" s="5">
        <v>-0.546962246</v>
      </c>
      <c r="AP446" s="5">
        <v>-0.02894946205</v>
      </c>
      <c r="AQ446" s="5">
        <v>1.437627547</v>
      </c>
    </row>
    <row r="447">
      <c r="A447" s="342">
        <v>446.0</v>
      </c>
      <c r="B447" s="347"/>
      <c r="C447" s="347"/>
      <c r="D447" s="341">
        <v>-1.27288446</v>
      </c>
      <c r="E447" s="342">
        <v>-0.003011749958</v>
      </c>
      <c r="F447" s="342">
        <v>-0.9436953909</v>
      </c>
      <c r="G447" s="342">
        <v>-0.3291890692</v>
      </c>
      <c r="H447" s="343"/>
      <c r="I447" s="343"/>
      <c r="J447" s="342" t="s">
        <v>2422</v>
      </c>
      <c r="K447" s="342" t="s">
        <v>118</v>
      </c>
      <c r="L447" s="342" t="s">
        <v>1404</v>
      </c>
      <c r="M447" s="342" t="s">
        <v>2423</v>
      </c>
      <c r="N447" s="343"/>
      <c r="O447" s="342" t="s">
        <v>1368</v>
      </c>
      <c r="P447" s="342" t="s">
        <v>2227</v>
      </c>
      <c r="Q447" s="342">
        <v>4.0</v>
      </c>
      <c r="R447" s="343"/>
      <c r="S447" s="342" t="s">
        <v>2232</v>
      </c>
      <c r="T447" s="342">
        <v>25.0</v>
      </c>
      <c r="U447" s="342">
        <v>16.0</v>
      </c>
      <c r="V447" s="342">
        <v>9.0</v>
      </c>
      <c r="W447" s="341">
        <v>2.8148</v>
      </c>
      <c r="X447" s="5">
        <v>0.522</v>
      </c>
      <c r="Y447" s="5">
        <v>1.2564</v>
      </c>
      <c r="Z447" s="5">
        <v>0.3564</v>
      </c>
      <c r="AA447" s="5">
        <v>0.2624</v>
      </c>
      <c r="AB447" s="5">
        <v>0.1688</v>
      </c>
      <c r="AC447" s="5">
        <v>0.3902791145</v>
      </c>
      <c r="AD447" s="5">
        <v>2.4936</v>
      </c>
      <c r="AE447" s="5">
        <v>0.7718360071</v>
      </c>
      <c r="AF447" s="5">
        <v>0.4488</v>
      </c>
      <c r="AG447" s="5">
        <v>0.4124</v>
      </c>
      <c r="AH447" s="5">
        <v>15.0573704</v>
      </c>
      <c r="AI447" s="5">
        <v>-2.197252924</v>
      </c>
      <c r="AJ447" s="5">
        <v>-1.09917861</v>
      </c>
      <c r="AK447" s="5">
        <v>-1.812748771</v>
      </c>
      <c r="AL447" s="5">
        <v>-1.551595705</v>
      </c>
      <c r="AM447" s="5">
        <v>-2.141662694</v>
      </c>
      <c r="AN447" s="5">
        <v>-0.9560750051</v>
      </c>
      <c r="AO447" s="5">
        <v>-0.3799751612</v>
      </c>
      <c r="AP447" s="5">
        <v>-0.04458681002</v>
      </c>
      <c r="AQ447" s="5">
        <v>1.689817163</v>
      </c>
    </row>
    <row r="448">
      <c r="A448" s="342">
        <v>447.0</v>
      </c>
      <c r="B448" s="347"/>
      <c r="C448" s="347"/>
      <c r="D448" s="341">
        <v>-1.273649067</v>
      </c>
      <c r="E448" s="342">
        <v>-0.002866264032</v>
      </c>
      <c r="F448" s="342">
        <v>-0.9338863961</v>
      </c>
      <c r="G448" s="342">
        <v>-0.3397626713</v>
      </c>
      <c r="H448" s="342">
        <v>0.1744946182</v>
      </c>
      <c r="I448" s="343"/>
      <c r="J448" s="342" t="s">
        <v>2424</v>
      </c>
      <c r="K448" s="342" t="s">
        <v>1365</v>
      </c>
      <c r="L448" s="342" t="s">
        <v>1404</v>
      </c>
      <c r="M448" s="342" t="s">
        <v>2425</v>
      </c>
      <c r="N448" s="343"/>
      <c r="O448" s="342" t="s">
        <v>1368</v>
      </c>
      <c r="P448" s="343"/>
      <c r="Q448" s="342">
        <v>3.0</v>
      </c>
      <c r="R448" s="343"/>
      <c r="S448" s="342" t="s">
        <v>2232</v>
      </c>
      <c r="T448" s="342">
        <v>16.0</v>
      </c>
      <c r="U448" s="342">
        <v>15.0</v>
      </c>
      <c r="V448" s="342">
        <v>9.0</v>
      </c>
      <c r="W448" s="341">
        <v>2.651875</v>
      </c>
      <c r="X448" s="5">
        <v>0.299375</v>
      </c>
      <c r="Y448" s="5">
        <v>0.969375</v>
      </c>
      <c r="Z448" s="5">
        <v>0.5625</v>
      </c>
      <c r="AA448" s="5">
        <v>0.3375</v>
      </c>
      <c r="AB448" s="5">
        <v>0.2025</v>
      </c>
      <c r="AC448" s="5">
        <v>0.4151041667</v>
      </c>
      <c r="AD448" s="5">
        <v>2.4</v>
      </c>
      <c r="AE448" s="5">
        <v>0.6990291262</v>
      </c>
      <c r="AF448" s="5">
        <v>0.515</v>
      </c>
      <c r="AG448" s="5">
        <v>0.3375</v>
      </c>
      <c r="AH448" s="5">
        <v>14.28866815</v>
      </c>
      <c r="AI448" s="5">
        <v>-2.224606039</v>
      </c>
      <c r="AJ448" s="5">
        <v>-1.317747291</v>
      </c>
      <c r="AK448" s="5">
        <v>-1.927600239</v>
      </c>
      <c r="AL448" s="5">
        <v>-1.456407402</v>
      </c>
      <c r="AM448" s="5">
        <v>-1.904587678</v>
      </c>
      <c r="AN448" s="5">
        <v>-0.8944597439</v>
      </c>
      <c r="AO448" s="5">
        <v>-0.2749418092</v>
      </c>
      <c r="AP448" s="5">
        <v>-0.1888423372</v>
      </c>
      <c r="AQ448" s="5">
        <v>1.784214975</v>
      </c>
    </row>
    <row r="449">
      <c r="A449" s="342">
        <v>448.0</v>
      </c>
      <c r="B449" s="347"/>
      <c r="C449" s="347"/>
      <c r="D449" s="341">
        <v>-1.278338489</v>
      </c>
      <c r="E449" s="342">
        <v>-0.004038606303</v>
      </c>
      <c r="F449" s="342">
        <v>-0.9496952068</v>
      </c>
      <c r="G449" s="342">
        <v>-0.3286432818</v>
      </c>
      <c r="H449" s="342">
        <v>0.866997487</v>
      </c>
      <c r="I449" s="343"/>
      <c r="J449" s="342" t="s">
        <v>2426</v>
      </c>
      <c r="K449" s="342" t="s">
        <v>45</v>
      </c>
      <c r="L449" s="342" t="s">
        <v>1380</v>
      </c>
      <c r="M449" s="342" t="s">
        <v>2427</v>
      </c>
      <c r="N449" s="343"/>
      <c r="O449" s="342" t="s">
        <v>1368</v>
      </c>
      <c r="P449" s="342" t="s">
        <v>2227</v>
      </c>
      <c r="Q449" s="342">
        <v>2.0</v>
      </c>
      <c r="R449" s="343"/>
      <c r="S449" s="342" t="s">
        <v>2232</v>
      </c>
      <c r="T449" s="342">
        <v>16.0</v>
      </c>
      <c r="U449" s="342">
        <v>16.0</v>
      </c>
      <c r="V449" s="342">
        <v>8.0</v>
      </c>
      <c r="W449" s="341">
        <v>3.25125</v>
      </c>
      <c r="X449" s="5">
        <v>0.796875</v>
      </c>
      <c r="Y449" s="5">
        <v>0.71</v>
      </c>
      <c r="Z449" s="5">
        <v>0.715625</v>
      </c>
      <c r="AA449" s="5">
        <v>0.23125</v>
      </c>
      <c r="AB449" s="5">
        <v>0.049375</v>
      </c>
      <c r="AC449" s="5">
        <v>0.3954751131</v>
      </c>
      <c r="AD449" s="5">
        <v>2.7625</v>
      </c>
      <c r="AE449" s="5">
        <v>0.7655417407</v>
      </c>
      <c r="AF449" s="5">
        <v>0.351875</v>
      </c>
      <c r="AG449" s="5">
        <v>0.420625</v>
      </c>
      <c r="AH449" s="5">
        <v>18.1854947</v>
      </c>
      <c r="AI449" s="5">
        <v>-2.123978306</v>
      </c>
      <c r="AJ449" s="5">
        <v>-0.8293119458</v>
      </c>
      <c r="AK449" s="5">
        <v>-2.031387712</v>
      </c>
      <c r="AL449" s="5">
        <v>-1.385685865</v>
      </c>
      <c r="AM449" s="5">
        <v>-2.239996738</v>
      </c>
      <c r="AN449" s="5">
        <v>-1.174425229</v>
      </c>
      <c r="AO449" s="5">
        <v>-0.3980093493</v>
      </c>
      <c r="AP449" s="5">
        <v>-0.04391276378</v>
      </c>
      <c r="AQ449" s="5">
        <v>1.679451048</v>
      </c>
    </row>
    <row r="450">
      <c r="A450" s="342">
        <v>449.0</v>
      </c>
      <c r="B450" s="347"/>
      <c r="C450" s="347"/>
      <c r="D450" s="341">
        <v>-1.279881873</v>
      </c>
      <c r="E450" s="342">
        <v>-0.003326501338</v>
      </c>
      <c r="F450" s="342">
        <v>-0.9717223143</v>
      </c>
      <c r="G450" s="342">
        <v>-0.3081595586</v>
      </c>
      <c r="H450" s="343"/>
      <c r="I450" s="343"/>
      <c r="J450" s="342" t="s">
        <v>2428</v>
      </c>
      <c r="K450" s="342" t="s">
        <v>45</v>
      </c>
      <c r="L450" s="342" t="s">
        <v>1380</v>
      </c>
      <c r="M450" s="342" t="s">
        <v>2429</v>
      </c>
      <c r="N450" s="343"/>
      <c r="O450" s="342" t="s">
        <v>1368</v>
      </c>
      <c r="P450" s="342" t="s">
        <v>2227</v>
      </c>
      <c r="Q450" s="342">
        <v>2.0</v>
      </c>
      <c r="R450" s="343"/>
      <c r="S450" s="342" t="s">
        <v>2232</v>
      </c>
      <c r="T450" s="342">
        <v>16.0</v>
      </c>
      <c r="U450" s="342">
        <v>16.0</v>
      </c>
      <c r="V450" s="342">
        <v>9.0</v>
      </c>
      <c r="W450" s="341">
        <v>3.168125</v>
      </c>
      <c r="X450" s="5">
        <v>0.19625</v>
      </c>
      <c r="Y450" s="5">
        <v>0.8525</v>
      </c>
      <c r="Z450" s="5">
        <v>1.060625</v>
      </c>
      <c r="AA450" s="5">
        <v>0.265</v>
      </c>
      <c r="AB450" s="5">
        <v>0.075625</v>
      </c>
      <c r="AC450" s="5">
        <v>0.4322493225</v>
      </c>
      <c r="AD450" s="5">
        <v>2.7675</v>
      </c>
      <c r="AE450" s="5">
        <v>0.8060869565</v>
      </c>
      <c r="AF450" s="5">
        <v>0.71875</v>
      </c>
      <c r="AG450" s="5">
        <v>0.568125</v>
      </c>
      <c r="AH450" s="5">
        <v>17.68514699</v>
      </c>
      <c r="AI450" s="5">
        <v>-2.137933977</v>
      </c>
      <c r="AJ450" s="5">
        <v>-1.418993311</v>
      </c>
      <c r="AK450" s="5">
        <v>-1.974367124</v>
      </c>
      <c r="AL450" s="5">
        <v>-1.226345911</v>
      </c>
      <c r="AM450" s="5">
        <v>-2.133455037</v>
      </c>
      <c r="AN450" s="5">
        <v>-1.126431146</v>
      </c>
      <c r="AO450" s="5">
        <v>-0.2430737253</v>
      </c>
      <c r="AP450" s="5">
        <v>0.02154524829</v>
      </c>
      <c r="AQ450" s="5">
        <v>1.493554155</v>
      </c>
    </row>
    <row r="451">
      <c r="A451" s="342">
        <v>450.0</v>
      </c>
      <c r="B451" s="347"/>
      <c r="C451" s="347"/>
      <c r="D451" s="341">
        <v>-1.28029956</v>
      </c>
      <c r="E451" s="342">
        <v>-0.002515042519</v>
      </c>
      <c r="F451" s="342">
        <v>-0.9560905162</v>
      </c>
      <c r="G451" s="342">
        <v>-0.3242090436</v>
      </c>
      <c r="H451" s="342">
        <v>0.609322001</v>
      </c>
      <c r="I451" s="343"/>
      <c r="J451" s="342" t="s">
        <v>2430</v>
      </c>
      <c r="K451" s="342" t="s">
        <v>259</v>
      </c>
      <c r="L451" s="342" t="s">
        <v>1380</v>
      </c>
      <c r="M451" s="342" t="s">
        <v>2431</v>
      </c>
      <c r="N451" s="343"/>
      <c r="O451" s="342" t="s">
        <v>1368</v>
      </c>
      <c r="P451" s="343"/>
      <c r="Q451" s="342">
        <v>3.0</v>
      </c>
      <c r="R451" s="343"/>
      <c r="S451" s="342" t="s">
        <v>1960</v>
      </c>
      <c r="T451" s="342">
        <v>26.0</v>
      </c>
      <c r="U451" s="342">
        <v>13.0</v>
      </c>
      <c r="V451" s="342">
        <v>11.0</v>
      </c>
      <c r="W451" s="341">
        <v>3.102692308</v>
      </c>
      <c r="X451" s="5">
        <v>0.51</v>
      </c>
      <c r="Y451" s="5">
        <v>1.552692308</v>
      </c>
      <c r="Z451" s="5">
        <v>0.8169230769</v>
      </c>
      <c r="AA451" s="5">
        <v>0.2219230769</v>
      </c>
      <c r="AB451" s="5">
        <v>0.05346153846</v>
      </c>
      <c r="AC451" s="5">
        <v>0.3894526035</v>
      </c>
      <c r="AD451" s="5">
        <v>2.880769231</v>
      </c>
      <c r="AE451" s="5">
        <v>0.7564637198</v>
      </c>
      <c r="AF451" s="5">
        <v>0.4611538462</v>
      </c>
      <c r="AG451" s="5">
        <v>0.4538461538</v>
      </c>
      <c r="AH451" s="5">
        <v>13.84792341</v>
      </c>
      <c r="AI451" s="5">
        <v>-2.148919326</v>
      </c>
      <c r="AJ451" s="5">
        <v>-1.110959965</v>
      </c>
      <c r="AK451" s="5">
        <v>-1.694189041</v>
      </c>
      <c r="AL451" s="5">
        <v>-1.338900848</v>
      </c>
      <c r="AM451" s="5">
        <v>-2.269439887</v>
      </c>
      <c r="AN451" s="5">
        <v>-1.166953623</v>
      </c>
      <c r="AO451" s="5">
        <v>-0.4411884917</v>
      </c>
      <c r="AP451" s="5">
        <v>-0.07184529642</v>
      </c>
      <c r="AQ451" s="5">
        <v>1.637581832</v>
      </c>
    </row>
    <row r="452">
      <c r="A452" s="342">
        <v>451.0</v>
      </c>
      <c r="B452" s="347"/>
      <c r="C452" s="347"/>
      <c r="D452" s="341">
        <v>-1.281588962</v>
      </c>
      <c r="E452" s="342">
        <v>0.2840959297</v>
      </c>
      <c r="F452" s="342">
        <v>-0.9405939918</v>
      </c>
      <c r="G452" s="342">
        <v>-0.3409949702</v>
      </c>
      <c r="H452" s="342">
        <v>0.4804842579</v>
      </c>
      <c r="I452" s="343"/>
      <c r="J452" s="342" t="s">
        <v>2432</v>
      </c>
      <c r="K452" s="342" t="s">
        <v>287</v>
      </c>
      <c r="L452" s="342" t="s">
        <v>1404</v>
      </c>
      <c r="M452" s="343"/>
      <c r="N452" s="343"/>
      <c r="O452" s="342" t="s">
        <v>1368</v>
      </c>
      <c r="P452" s="342" t="s">
        <v>1399</v>
      </c>
      <c r="Q452" s="342">
        <v>1.0</v>
      </c>
      <c r="R452" s="343"/>
      <c r="S452" s="342" t="s">
        <v>2232</v>
      </c>
      <c r="T452" s="342">
        <v>16.0</v>
      </c>
      <c r="U452" s="342">
        <v>16.0</v>
      </c>
      <c r="V452" s="342">
        <v>9.0</v>
      </c>
      <c r="W452" s="341">
        <v>2.47625</v>
      </c>
      <c r="X452" s="5">
        <v>0.133125</v>
      </c>
      <c r="Y452" s="5">
        <v>1.755</v>
      </c>
      <c r="Z452" s="5">
        <v>0.528125</v>
      </c>
      <c r="AA452" s="5">
        <v>0.171875</v>
      </c>
      <c r="AB452" s="5">
        <v>0.1975</v>
      </c>
      <c r="AC452" s="5">
        <v>0.4532206354</v>
      </c>
      <c r="AD452" s="5">
        <v>2.144375</v>
      </c>
      <c r="AE452" s="5">
        <v>0.8098859316</v>
      </c>
      <c r="AF452" s="5">
        <v>0.493125</v>
      </c>
      <c r="AG452" s="5">
        <v>0.335</v>
      </c>
      <c r="AH452" s="5">
        <v>12.60078109</v>
      </c>
      <c r="AI452" s="5">
        <v>-2.254091329</v>
      </c>
      <c r="AJ452" s="5">
        <v>-1.480968148</v>
      </c>
      <c r="AK452" s="5">
        <v>-1.613236736</v>
      </c>
      <c r="AL452" s="5">
        <v>-1.472283666</v>
      </c>
      <c r="AM452" s="5">
        <v>-2.427431213</v>
      </c>
      <c r="AN452" s="5">
        <v>-0.9036014741</v>
      </c>
      <c r="AO452" s="5">
        <v>-0.1216373537</v>
      </c>
      <c r="AP452" s="5">
        <v>0.02053822375</v>
      </c>
      <c r="AQ452" s="5">
        <v>1.787365769</v>
      </c>
    </row>
    <row r="453">
      <c r="A453" s="342">
        <v>452.0</v>
      </c>
      <c r="B453" s="341">
        <v>1.0</v>
      </c>
      <c r="C453" s="341">
        <v>-0.1</v>
      </c>
      <c r="D453" s="341">
        <v>-1.282448448</v>
      </c>
      <c r="E453" s="342">
        <v>-0.002994253331</v>
      </c>
      <c r="F453" s="342">
        <v>-0.9793425611</v>
      </c>
      <c r="G453" s="342">
        <v>-0.3031058869</v>
      </c>
      <c r="H453" s="343"/>
      <c r="I453" s="343"/>
      <c r="J453" s="342" t="s">
        <v>2433</v>
      </c>
      <c r="K453" s="342" t="s">
        <v>291</v>
      </c>
      <c r="L453" s="342" t="s">
        <v>1380</v>
      </c>
      <c r="M453" s="343"/>
      <c r="N453" s="343"/>
      <c r="O453" s="342" t="s">
        <v>1368</v>
      </c>
      <c r="P453" s="342" t="s">
        <v>2287</v>
      </c>
      <c r="Q453" s="343"/>
      <c r="R453" s="343"/>
      <c r="S453" s="342" t="s">
        <v>2232</v>
      </c>
      <c r="T453" s="342">
        <v>16.0</v>
      </c>
      <c r="U453" s="342">
        <v>15.0</v>
      </c>
      <c r="V453" s="342">
        <v>8.0</v>
      </c>
      <c r="W453" s="341">
        <v>2.656875</v>
      </c>
      <c r="X453" s="5">
        <v>0.424375</v>
      </c>
      <c r="Y453" s="5">
        <v>1.245625</v>
      </c>
      <c r="Z453" s="5">
        <v>0.60625</v>
      </c>
      <c r="AA453" s="5">
        <v>0.28625</v>
      </c>
      <c r="AB453" s="5">
        <v>0.084375</v>
      </c>
      <c r="AC453" s="5">
        <v>0.3939853424</v>
      </c>
      <c r="AD453" s="5">
        <v>2.473125</v>
      </c>
      <c r="AE453" s="5">
        <v>0.7643097643</v>
      </c>
      <c r="AF453" s="5">
        <v>0.37125</v>
      </c>
      <c r="AG453" s="5">
        <v>0.60625</v>
      </c>
      <c r="AH453" s="5">
        <v>17.22438787</v>
      </c>
      <c r="AI453" s="5">
        <v>-2.2237666</v>
      </c>
      <c r="AJ453" s="5">
        <v>-1.195024842</v>
      </c>
      <c r="AK453" s="5">
        <v>-1.817060328</v>
      </c>
      <c r="AL453" s="5">
        <v>-1.436201249</v>
      </c>
      <c r="AM453" s="5">
        <v>-2.066373225</v>
      </c>
      <c r="AN453" s="5">
        <v>-1.110433118</v>
      </c>
      <c r="AO453" s="5">
        <v>-0.3629131491</v>
      </c>
      <c r="AP453" s="5">
        <v>-0.04781507243</v>
      </c>
      <c r="AQ453" s="5">
        <v>1.445504534</v>
      </c>
    </row>
    <row r="454">
      <c r="A454" s="342">
        <v>453.0</v>
      </c>
      <c r="B454" s="347"/>
      <c r="C454" s="347"/>
      <c r="D454" s="341">
        <v>-1.282873903</v>
      </c>
      <c r="E454" s="342">
        <v>-0.004265570607</v>
      </c>
      <c r="F454" s="342">
        <v>-0.9348935266</v>
      </c>
      <c r="G454" s="342">
        <v>-0.3479803766</v>
      </c>
      <c r="H454" s="342">
        <v>-0.2120186109</v>
      </c>
      <c r="I454" s="343"/>
      <c r="J454" s="342" t="s">
        <v>2434</v>
      </c>
      <c r="K454" s="342" t="s">
        <v>148</v>
      </c>
      <c r="L454" s="342" t="s">
        <v>1380</v>
      </c>
      <c r="M454" s="342" t="s">
        <v>2435</v>
      </c>
      <c r="N454" s="343"/>
      <c r="O454" s="342" t="s">
        <v>1374</v>
      </c>
      <c r="P454" s="342" t="s">
        <v>1642</v>
      </c>
      <c r="Q454" s="342">
        <v>5.0</v>
      </c>
      <c r="R454" s="343"/>
      <c r="S454" s="342" t="s">
        <v>1960</v>
      </c>
      <c r="T454" s="342">
        <v>44.0</v>
      </c>
      <c r="U454" s="342">
        <v>15.0</v>
      </c>
      <c r="V454" s="342">
        <v>8.0</v>
      </c>
      <c r="W454" s="341">
        <v>3.098863636</v>
      </c>
      <c r="X454" s="5">
        <v>0.7</v>
      </c>
      <c r="Y454" s="5">
        <v>0.5890909091</v>
      </c>
      <c r="Z454" s="5">
        <v>0.6902272727</v>
      </c>
      <c r="AA454" s="5">
        <v>0.2356818182</v>
      </c>
      <c r="AB454" s="5">
        <v>0.05045454545</v>
      </c>
      <c r="AC454" s="5">
        <v>0.3978576248</v>
      </c>
      <c r="AD454" s="5">
        <v>2.694545455</v>
      </c>
      <c r="AE454" s="5">
        <v>0.8596625767</v>
      </c>
      <c r="AF454" s="5">
        <v>0.2963636364</v>
      </c>
      <c r="AG454" s="5">
        <v>0.2861363636</v>
      </c>
      <c r="AH454" s="5">
        <v>16.58768194</v>
      </c>
      <c r="AI454" s="5">
        <v>-2.149562113</v>
      </c>
      <c r="AJ454" s="5">
        <v>-0.9244218434</v>
      </c>
      <c r="AK454" s="5">
        <v>-2.079768816</v>
      </c>
      <c r="AL454" s="5">
        <v>-1.397415931</v>
      </c>
      <c r="AM454" s="5">
        <v>-2.226006414</v>
      </c>
      <c r="AN454" s="5">
        <v>-1.172451447</v>
      </c>
      <c r="AO454" s="5">
        <v>-0.3786267911</v>
      </c>
      <c r="AP454" s="5">
        <v>0.06526212984</v>
      </c>
      <c r="AQ454" s="5">
        <v>1.848949486</v>
      </c>
    </row>
    <row r="455">
      <c r="A455" s="342">
        <v>454.0</v>
      </c>
      <c r="B455" s="347"/>
      <c r="C455" s="347"/>
      <c r="D455" s="341">
        <v>-1.284262396</v>
      </c>
      <c r="E455" s="342">
        <v>-0.004215203279</v>
      </c>
      <c r="F455" s="342">
        <v>-0.9360561338</v>
      </c>
      <c r="G455" s="342">
        <v>-0.3482062626</v>
      </c>
      <c r="H455" s="342">
        <v>0.1583899003</v>
      </c>
      <c r="I455" s="343"/>
      <c r="J455" s="342" t="s">
        <v>2436</v>
      </c>
      <c r="K455" s="342" t="s">
        <v>136</v>
      </c>
      <c r="L455" s="342" t="s">
        <v>1404</v>
      </c>
      <c r="M455" s="342" t="s">
        <v>2437</v>
      </c>
      <c r="N455" s="343"/>
      <c r="O455" s="342" t="s">
        <v>1368</v>
      </c>
      <c r="P455" s="342" t="s">
        <v>2438</v>
      </c>
      <c r="Q455" s="342">
        <v>5.0</v>
      </c>
      <c r="R455" s="343"/>
      <c r="S455" s="342" t="s">
        <v>2232</v>
      </c>
      <c r="T455" s="342">
        <v>16.0</v>
      </c>
      <c r="U455" s="342">
        <v>15.0</v>
      </c>
      <c r="V455" s="342">
        <v>7.0</v>
      </c>
      <c r="W455" s="341">
        <v>2.689375</v>
      </c>
      <c r="X455" s="5">
        <v>0.0</v>
      </c>
      <c r="Y455" s="5">
        <v>2.193125</v>
      </c>
      <c r="Z455" s="5">
        <v>0.255</v>
      </c>
      <c r="AA455" s="5">
        <v>0.2025</v>
      </c>
      <c r="AB455" s="5">
        <v>0.19625</v>
      </c>
      <c r="AC455" s="5">
        <v>0.5501519757</v>
      </c>
      <c r="AD455" s="5">
        <v>2.05625</v>
      </c>
      <c r="AE455" s="5">
        <v>0.6498572788</v>
      </c>
      <c r="AF455" s="5">
        <v>0.656875</v>
      </c>
      <c r="AG455" s="5">
        <v>0.285625</v>
      </c>
      <c r="AH455" s="5">
        <v>15.84524912</v>
      </c>
      <c r="AI455" s="5">
        <v>-2.218310248</v>
      </c>
      <c r="AJ455" s="5">
        <v>-1.611667555</v>
      </c>
      <c r="AK455" s="5">
        <v>-1.437923439</v>
      </c>
      <c r="AL455" s="5">
        <v>-1.598427796</v>
      </c>
      <c r="AM455" s="5">
        <v>-2.330754484</v>
      </c>
      <c r="AN455" s="5">
        <v>-0.9058869066</v>
      </c>
      <c r="AO455" s="5">
        <v>0.1877939604</v>
      </c>
      <c r="AP455" s="5">
        <v>-0.3589227035</v>
      </c>
      <c r="AQ455" s="5">
        <v>1.849593967</v>
      </c>
    </row>
    <row r="456">
      <c r="A456" s="342">
        <v>455.0</v>
      </c>
      <c r="B456" s="347"/>
      <c r="C456" s="347"/>
      <c r="D456" s="341">
        <v>-1.287726661</v>
      </c>
      <c r="E456" s="342">
        <v>-0.003245887406</v>
      </c>
      <c r="F456" s="342">
        <v>-0.9580402491</v>
      </c>
      <c r="G456" s="342">
        <v>-0.3296864121</v>
      </c>
      <c r="H456" s="342">
        <v>-0.2120186109</v>
      </c>
      <c r="I456" s="343"/>
      <c r="J456" s="342" t="s">
        <v>2439</v>
      </c>
      <c r="K456" s="342" t="s">
        <v>57</v>
      </c>
      <c r="L456" s="342" t="s">
        <v>1404</v>
      </c>
      <c r="M456" s="343"/>
      <c r="N456" s="343"/>
      <c r="O456" s="342" t="s">
        <v>1378</v>
      </c>
      <c r="P456" s="343"/>
      <c r="Q456" s="343"/>
      <c r="R456" s="343"/>
      <c r="S456" s="342" t="s">
        <v>2232</v>
      </c>
      <c r="T456" s="342">
        <v>16.0</v>
      </c>
      <c r="U456" s="342">
        <v>13.0</v>
      </c>
      <c r="V456" s="342">
        <v>8.0</v>
      </c>
      <c r="W456" s="341">
        <v>2.689375</v>
      </c>
      <c r="X456" s="5">
        <v>0.55625</v>
      </c>
      <c r="Y456" s="5">
        <v>1.396875</v>
      </c>
      <c r="Z456" s="5">
        <v>0.589375</v>
      </c>
      <c r="AA456" s="5">
        <v>0.185</v>
      </c>
      <c r="AB456" s="5">
        <v>0.10125</v>
      </c>
      <c r="AC456" s="5">
        <v>0.3926191697</v>
      </c>
      <c r="AD456" s="5">
        <v>2.43875</v>
      </c>
      <c r="AE456" s="5">
        <v>0.811627907</v>
      </c>
      <c r="AF456" s="5">
        <v>0.26875</v>
      </c>
      <c r="AG456" s="5">
        <v>0.420625</v>
      </c>
      <c r="AH456" s="5">
        <v>15.97132201</v>
      </c>
      <c r="AI456" s="5">
        <v>-2.218310248</v>
      </c>
      <c r="AJ456" s="5">
        <v>-1.065552659</v>
      </c>
      <c r="AK456" s="5">
        <v>-1.756538476</v>
      </c>
      <c r="AL456" s="5">
        <v>-1.443995051</v>
      </c>
      <c r="AM456" s="5">
        <v>-2.385998329</v>
      </c>
      <c r="AN456" s="5">
        <v>-1.079579779</v>
      </c>
      <c r="AO456" s="5">
        <v>-0.3630916177</v>
      </c>
      <c r="AP456" s="5">
        <v>0.01125287077</v>
      </c>
      <c r="AQ456" s="5">
        <v>1.679451048</v>
      </c>
    </row>
    <row r="457">
      <c r="A457" s="342">
        <v>456.0</v>
      </c>
      <c r="B457" s="347"/>
      <c r="C457" s="347"/>
      <c r="D457" s="341">
        <v>-1.291493943</v>
      </c>
      <c r="E457" s="342">
        <v>-0.00260792927</v>
      </c>
      <c r="F457" s="342">
        <v>-0.9530743463</v>
      </c>
      <c r="G457" s="342">
        <v>-0.3384195963</v>
      </c>
      <c r="H457" s="342">
        <v>0.46437954</v>
      </c>
      <c r="I457" s="343"/>
      <c r="J457" s="342" t="s">
        <v>2440</v>
      </c>
      <c r="K457" s="342" t="s">
        <v>144</v>
      </c>
      <c r="L457" s="342" t="s">
        <v>1380</v>
      </c>
      <c r="M457" s="342" t="s">
        <v>2441</v>
      </c>
      <c r="N457" s="343"/>
      <c r="O457" s="342" t="s">
        <v>1368</v>
      </c>
      <c r="P457" s="343"/>
      <c r="Q457" s="342">
        <v>3.0</v>
      </c>
      <c r="R457" s="343"/>
      <c r="S457" s="342" t="s">
        <v>2232</v>
      </c>
      <c r="T457" s="342">
        <v>16.0</v>
      </c>
      <c r="U457" s="342">
        <v>16.0</v>
      </c>
      <c r="V457" s="342">
        <v>7.0</v>
      </c>
      <c r="W457" s="341">
        <v>2.629375</v>
      </c>
      <c r="X457" s="5">
        <v>0.245</v>
      </c>
      <c r="Y457" s="5">
        <v>1.42875</v>
      </c>
      <c r="Z457" s="5">
        <v>0.761875</v>
      </c>
      <c r="AA457" s="5">
        <v>0.243125</v>
      </c>
      <c r="AB457" s="5">
        <v>0.115</v>
      </c>
      <c r="AC457" s="5">
        <v>0.4589385475</v>
      </c>
      <c r="AD457" s="5">
        <v>2.2375</v>
      </c>
      <c r="AE457" s="5">
        <v>0.657960199</v>
      </c>
      <c r="AF457" s="5">
        <v>0.5025</v>
      </c>
      <c r="AG457" s="5">
        <v>0.36125</v>
      </c>
      <c r="AH457" s="5">
        <v>17.39653544</v>
      </c>
      <c r="AI457" s="5">
        <v>-2.228383514</v>
      </c>
      <c r="AJ457" s="5">
        <v>-1.371131556</v>
      </c>
      <c r="AK457" s="5">
        <v>-1.743783871</v>
      </c>
      <c r="AL457" s="5">
        <v>-1.364325074</v>
      </c>
      <c r="AM457" s="5">
        <v>-2.202509843</v>
      </c>
      <c r="AN457" s="5">
        <v>-1.054440021</v>
      </c>
      <c r="AO457" s="5">
        <v>-0.1069558408</v>
      </c>
      <c r="AP457" s="5">
        <v>-0.2604218197</v>
      </c>
      <c r="AQ457" s="5">
        <v>1.754282424</v>
      </c>
    </row>
    <row r="458">
      <c r="A458" s="342">
        <v>457.0</v>
      </c>
      <c r="B458" s="347"/>
      <c r="C458" s="347"/>
      <c r="D458" s="341">
        <v>-1.293299017</v>
      </c>
      <c r="E458" s="342">
        <v>-0.002973481827</v>
      </c>
      <c r="F458" s="342">
        <v>-0.9608929241</v>
      </c>
      <c r="G458" s="342">
        <v>-0.3324060926</v>
      </c>
      <c r="H458" s="342">
        <v>0.4160653864</v>
      </c>
      <c r="I458" s="343"/>
      <c r="J458" s="342" t="s">
        <v>2442</v>
      </c>
      <c r="K458" s="342" t="s">
        <v>1365</v>
      </c>
      <c r="L458" s="342" t="s">
        <v>1380</v>
      </c>
      <c r="M458" s="342" t="s">
        <v>2443</v>
      </c>
      <c r="N458" s="343"/>
      <c r="O458" s="342" t="s">
        <v>1368</v>
      </c>
      <c r="P458" s="342" t="s">
        <v>2372</v>
      </c>
      <c r="Q458" s="342">
        <v>3.0</v>
      </c>
      <c r="R458" s="343"/>
      <c r="S458" s="342" t="s">
        <v>2232</v>
      </c>
      <c r="T458" s="342">
        <v>16.0</v>
      </c>
      <c r="U458" s="342">
        <v>15.0</v>
      </c>
      <c r="V458" s="342">
        <v>8.0</v>
      </c>
      <c r="W458" s="341">
        <v>2.6125</v>
      </c>
      <c r="X458" s="5">
        <v>0.2075</v>
      </c>
      <c r="Y458" s="5">
        <v>1.166875</v>
      </c>
      <c r="Z458" s="5">
        <v>0.556875</v>
      </c>
      <c r="AA458" s="5">
        <v>0.31</v>
      </c>
      <c r="AB458" s="5">
        <v>0.084375</v>
      </c>
      <c r="AC458" s="5">
        <v>0.4203821656</v>
      </c>
      <c r="AD458" s="5">
        <v>2.453125</v>
      </c>
      <c r="AE458" s="5">
        <v>0.776203966</v>
      </c>
      <c r="AF458" s="5">
        <v>0.44125</v>
      </c>
      <c r="AG458" s="5">
        <v>0.405625</v>
      </c>
      <c r="AH458" s="5">
        <v>16.55632717</v>
      </c>
      <c r="AI458" s="5">
        <v>-2.23121662</v>
      </c>
      <c r="AJ458" s="5">
        <v>-1.407948291</v>
      </c>
      <c r="AK458" s="5">
        <v>-1.848571705</v>
      </c>
      <c r="AL458" s="5">
        <v>-1.459005336</v>
      </c>
      <c r="AM458" s="5">
        <v>-1.991399435</v>
      </c>
      <c r="AN458" s="5">
        <v>-1.110433118</v>
      </c>
      <c r="AO458" s="5">
        <v>-0.2610240727</v>
      </c>
      <c r="AP458" s="5">
        <v>-0.03679355529</v>
      </c>
      <c r="AQ458" s="5">
        <v>1.698355816</v>
      </c>
    </row>
    <row r="459">
      <c r="A459" s="342">
        <v>458.0</v>
      </c>
      <c r="B459" s="347"/>
      <c r="C459" s="347"/>
      <c r="D459" s="341">
        <v>-1.294111307</v>
      </c>
      <c r="E459" s="342">
        <v>0.2715735848</v>
      </c>
      <c r="F459" s="342">
        <v>-0.94813656</v>
      </c>
      <c r="G459" s="342">
        <v>-0.345974747</v>
      </c>
      <c r="H459" s="343"/>
      <c r="I459" s="343"/>
      <c r="J459" s="342" t="s">
        <v>2444</v>
      </c>
      <c r="K459" s="342" t="s">
        <v>74</v>
      </c>
      <c r="L459" s="342" t="s">
        <v>1366</v>
      </c>
      <c r="M459" s="343"/>
      <c r="N459" s="343"/>
      <c r="O459" s="342" t="s">
        <v>1378</v>
      </c>
      <c r="P459" s="342" t="s">
        <v>2287</v>
      </c>
      <c r="Q459" s="343"/>
      <c r="R459" s="343"/>
      <c r="S459" s="342" t="s">
        <v>2232</v>
      </c>
      <c r="T459" s="342">
        <v>16.0</v>
      </c>
      <c r="U459" s="342">
        <v>16.0</v>
      </c>
      <c r="V459" s="342">
        <v>6.0</v>
      </c>
      <c r="W459" s="341">
        <v>2.43</v>
      </c>
      <c r="X459" s="5">
        <v>0.11625</v>
      </c>
      <c r="Y459" s="5">
        <v>1.60875</v>
      </c>
      <c r="Z459" s="5">
        <v>0.2475</v>
      </c>
      <c r="AA459" s="5">
        <v>0.13625</v>
      </c>
      <c r="AB459" s="5">
        <v>0.408125</v>
      </c>
      <c r="AC459" s="5">
        <v>0.4674772036</v>
      </c>
      <c r="AD459" s="5">
        <v>2.05625</v>
      </c>
      <c r="AE459" s="5">
        <v>0.7057497182</v>
      </c>
      <c r="AF459" s="5">
        <v>0.554375</v>
      </c>
      <c r="AG459" s="5">
        <v>0.309375</v>
      </c>
      <c r="AH459" s="5">
        <v>19.37238215</v>
      </c>
      <c r="AI459" s="5">
        <v>-2.261856138</v>
      </c>
      <c r="AJ459" s="5">
        <v>-1.497535678</v>
      </c>
      <c r="AK459" s="5">
        <v>-1.671757866</v>
      </c>
      <c r="AL459" s="5">
        <v>-1.601891708</v>
      </c>
      <c r="AM459" s="5">
        <v>-2.539891898</v>
      </c>
      <c r="AN459" s="5">
        <v>-0.5185060919</v>
      </c>
      <c r="AO459" s="5">
        <v>-0.0721845662</v>
      </c>
      <c r="AP459" s="5">
        <v>-0.1892665093</v>
      </c>
      <c r="AQ459" s="5">
        <v>1.819661416</v>
      </c>
    </row>
    <row r="460">
      <c r="A460" s="342">
        <v>459.0</v>
      </c>
      <c r="B460" s="347"/>
      <c r="C460" s="347"/>
      <c r="D460" s="341">
        <v>-1.294994375</v>
      </c>
      <c r="E460" s="342">
        <v>-0.003256738917</v>
      </c>
      <c r="F460" s="342">
        <v>-0.9719398158</v>
      </c>
      <c r="G460" s="342">
        <v>-0.3230545593</v>
      </c>
      <c r="H460" s="343"/>
      <c r="I460" s="343"/>
      <c r="J460" s="342" t="s">
        <v>2445</v>
      </c>
      <c r="K460" s="342" t="s">
        <v>98</v>
      </c>
      <c r="L460" s="342" t="s">
        <v>1404</v>
      </c>
      <c r="M460" s="342" t="s">
        <v>2446</v>
      </c>
      <c r="N460" s="343"/>
      <c r="O460" s="342" t="s">
        <v>1368</v>
      </c>
      <c r="P460" s="342" t="s">
        <v>2413</v>
      </c>
      <c r="Q460" s="342">
        <v>2.0</v>
      </c>
      <c r="R460" s="343"/>
      <c r="S460" s="342" t="s">
        <v>2232</v>
      </c>
      <c r="T460" s="342">
        <v>16.0</v>
      </c>
      <c r="U460" s="342">
        <v>13.0</v>
      </c>
      <c r="V460" s="342">
        <v>8.0</v>
      </c>
      <c r="W460" s="341">
        <v>2.245</v>
      </c>
      <c r="X460" s="5">
        <v>0.18875</v>
      </c>
      <c r="Y460" s="5">
        <v>1.5025</v>
      </c>
      <c r="Z460" s="5">
        <v>0.571875</v>
      </c>
      <c r="AA460" s="5">
        <v>0.2775</v>
      </c>
      <c r="AB460" s="5">
        <v>0.130625</v>
      </c>
      <c r="AC460" s="5">
        <v>0.4462480858</v>
      </c>
      <c r="AD460" s="5">
        <v>2.040625</v>
      </c>
      <c r="AE460" s="5">
        <v>0.6394557823</v>
      </c>
      <c r="AF460" s="5">
        <v>0.3675</v>
      </c>
      <c r="AG460" s="5">
        <v>0.47375</v>
      </c>
      <c r="AH460" s="5">
        <v>14.81121973</v>
      </c>
      <c r="AI460" s="5">
        <v>-2.292915376</v>
      </c>
      <c r="AJ460" s="5">
        <v>-1.426356658</v>
      </c>
      <c r="AK460" s="5">
        <v>-1.714273216</v>
      </c>
      <c r="AL460" s="5">
        <v>-1.452077512</v>
      </c>
      <c r="AM460" s="5">
        <v>-2.093995147</v>
      </c>
      <c r="AN460" s="5">
        <v>-1.025872115</v>
      </c>
      <c r="AO460" s="5">
        <v>-0.1379554497</v>
      </c>
      <c r="AP460" s="5">
        <v>-0.2165095263</v>
      </c>
      <c r="AQ460" s="5">
        <v>1.612496658</v>
      </c>
    </row>
    <row r="461">
      <c r="A461" s="342">
        <v>460.0</v>
      </c>
      <c r="B461" s="347"/>
      <c r="C461" s="347"/>
      <c r="D461" s="341">
        <v>-1.295638227</v>
      </c>
      <c r="E461" s="342">
        <v>0.2700466649</v>
      </c>
      <c r="F461" s="342">
        <v>-0.9602590376</v>
      </c>
      <c r="G461" s="342">
        <v>-0.3353791892</v>
      </c>
      <c r="H461" s="343"/>
      <c r="I461" s="343"/>
      <c r="J461" s="342" t="s">
        <v>2447</v>
      </c>
      <c r="K461" s="342" t="s">
        <v>291</v>
      </c>
      <c r="L461" s="342" t="s">
        <v>1380</v>
      </c>
      <c r="M461" s="343"/>
      <c r="N461" s="343"/>
      <c r="O461" s="342" t="s">
        <v>1378</v>
      </c>
      <c r="P461" s="342" t="s">
        <v>2287</v>
      </c>
      <c r="Q461" s="343"/>
      <c r="R461" s="343"/>
      <c r="S461" s="342" t="s">
        <v>2232</v>
      </c>
      <c r="T461" s="342">
        <v>16.0</v>
      </c>
      <c r="U461" s="342">
        <v>15.0</v>
      </c>
      <c r="V461" s="342">
        <v>9.0</v>
      </c>
      <c r="W461" s="341">
        <v>3.066875</v>
      </c>
      <c r="X461" s="5">
        <v>0.363125</v>
      </c>
      <c r="Y461" s="5">
        <v>1.730625</v>
      </c>
      <c r="Z461" s="5">
        <v>0.38625</v>
      </c>
      <c r="AA461" s="5">
        <v>0.23625</v>
      </c>
      <c r="AB461" s="5">
        <v>0.08625</v>
      </c>
      <c r="AC461" s="5">
        <v>0.4139726622</v>
      </c>
      <c r="AD461" s="5">
        <v>2.880625</v>
      </c>
      <c r="AE461" s="5">
        <v>0.7193229901</v>
      </c>
      <c r="AF461" s="5">
        <v>0.443125</v>
      </c>
      <c r="AG461" s="5">
        <v>0.38625</v>
      </c>
      <c r="AH461" s="5">
        <v>16.34516845</v>
      </c>
      <c r="AI461" s="5">
        <v>-2.154932614</v>
      </c>
      <c r="AJ461" s="5">
        <v>-1.255158842</v>
      </c>
      <c r="AK461" s="5">
        <v>-1.622990258</v>
      </c>
      <c r="AL461" s="5">
        <v>-1.537809335</v>
      </c>
      <c r="AM461" s="5">
        <v>-2.224212783</v>
      </c>
      <c r="AN461" s="5">
        <v>-1.10700497</v>
      </c>
      <c r="AO461" s="5">
        <v>-0.3331486991</v>
      </c>
      <c r="AP461" s="5">
        <v>-0.1298483143</v>
      </c>
      <c r="AQ461" s="5">
        <v>1.722774476</v>
      </c>
    </row>
    <row r="462">
      <c r="A462" s="342">
        <v>461.0</v>
      </c>
      <c r="B462" s="347"/>
      <c r="C462" s="347"/>
      <c r="D462" s="341">
        <v>-1.296714913</v>
      </c>
      <c r="E462" s="342">
        <v>0.2689699786</v>
      </c>
      <c r="F462" s="342">
        <v>-0.9575401648</v>
      </c>
      <c r="G462" s="342">
        <v>-0.3391747483</v>
      </c>
      <c r="H462" s="342">
        <v>0.2711229255</v>
      </c>
      <c r="I462" s="343"/>
      <c r="J462" s="342" t="s">
        <v>2448</v>
      </c>
      <c r="K462" s="342" t="s">
        <v>222</v>
      </c>
      <c r="L462" s="342" t="s">
        <v>1404</v>
      </c>
      <c r="M462" s="343"/>
      <c r="N462" s="343"/>
      <c r="O462" s="342" t="s">
        <v>1378</v>
      </c>
      <c r="P462" s="342" t="s">
        <v>2449</v>
      </c>
      <c r="Q462" s="343"/>
      <c r="R462" s="343"/>
      <c r="S462" s="342" t="s">
        <v>2232</v>
      </c>
      <c r="T462" s="342">
        <v>16.0</v>
      </c>
      <c r="U462" s="342">
        <v>15.0</v>
      </c>
      <c r="V462" s="342">
        <v>9.0</v>
      </c>
      <c r="W462" s="341">
        <v>2.96875</v>
      </c>
      <c r="X462" s="5">
        <v>0.5775</v>
      </c>
      <c r="Y462" s="5">
        <v>1.310625</v>
      </c>
      <c r="Z462" s="5">
        <v>0.44625</v>
      </c>
      <c r="AA462" s="5">
        <v>0.181875</v>
      </c>
      <c r="AB462" s="5">
        <v>0.089375</v>
      </c>
      <c r="AC462" s="5">
        <v>0.4023668639</v>
      </c>
      <c r="AD462" s="5">
        <v>2.74625</v>
      </c>
      <c r="AE462" s="5">
        <v>0.8100558659</v>
      </c>
      <c r="AF462" s="5">
        <v>0.22375</v>
      </c>
      <c r="AG462" s="5">
        <v>0.36</v>
      </c>
      <c r="AH462" s="5">
        <v>15.56744995</v>
      </c>
      <c r="AI462" s="5">
        <v>-2.171406601</v>
      </c>
      <c r="AJ462" s="5">
        <v>-1.044689843</v>
      </c>
      <c r="AK462" s="5">
        <v>-1.791050937</v>
      </c>
      <c r="AL462" s="5">
        <v>-1.510098039</v>
      </c>
      <c r="AM462" s="5">
        <v>-2.395863302</v>
      </c>
      <c r="AN462" s="5">
        <v>-1.101291388</v>
      </c>
      <c r="AO462" s="5">
        <v>-0.366778121</v>
      </c>
      <c r="AP462" s="5">
        <v>0.007458926739</v>
      </c>
      <c r="AQ462" s="5">
        <v>1.755857821</v>
      </c>
    </row>
    <row r="463">
      <c r="A463" s="342">
        <v>462.0</v>
      </c>
      <c r="B463" s="347"/>
      <c r="C463" s="347"/>
      <c r="D463" s="341">
        <v>-1.297063601</v>
      </c>
      <c r="E463" s="342">
        <v>-0.003116133718</v>
      </c>
      <c r="F463" s="342">
        <v>-0.9359807628</v>
      </c>
      <c r="G463" s="342">
        <v>-0.3610828377</v>
      </c>
      <c r="H463" s="342">
        <v>-0.2925422003</v>
      </c>
      <c r="I463" s="343"/>
      <c r="J463" s="342" t="s">
        <v>2450</v>
      </c>
      <c r="K463" s="342" t="s">
        <v>236</v>
      </c>
      <c r="L463" s="342" t="s">
        <v>1404</v>
      </c>
      <c r="M463" s="342" t="s">
        <v>2451</v>
      </c>
      <c r="N463" s="343"/>
      <c r="O463" s="342" t="s">
        <v>1368</v>
      </c>
      <c r="P463" s="343"/>
      <c r="Q463" s="342">
        <v>5.0</v>
      </c>
      <c r="R463" s="343"/>
      <c r="S463" s="342" t="s">
        <v>1960</v>
      </c>
      <c r="T463" s="342">
        <v>47.0</v>
      </c>
      <c r="U463" s="342">
        <v>13.0</v>
      </c>
      <c r="V463" s="342">
        <v>10.0</v>
      </c>
      <c r="W463" s="341">
        <v>2.873404255</v>
      </c>
      <c r="X463" s="5">
        <v>0.8393617021</v>
      </c>
      <c r="Y463" s="5">
        <v>1.030638298</v>
      </c>
      <c r="Z463" s="5">
        <v>0.3031914894</v>
      </c>
      <c r="AA463" s="5">
        <v>0.1787234043</v>
      </c>
      <c r="AB463" s="5">
        <v>0.06127659574</v>
      </c>
      <c r="AC463" s="5">
        <v>0.3915086132</v>
      </c>
      <c r="AD463" s="5">
        <v>2.445531915</v>
      </c>
      <c r="AE463" s="5">
        <v>0.8115942029</v>
      </c>
      <c r="AF463" s="5">
        <v>0.1468085106</v>
      </c>
      <c r="AG463" s="5">
        <v>0.2038297872</v>
      </c>
      <c r="AH463" s="5">
        <v>12.09275398</v>
      </c>
      <c r="AI463" s="5">
        <v>-2.187413986</v>
      </c>
      <c r="AJ463" s="5">
        <v>-0.7875993689</v>
      </c>
      <c r="AK463" s="5">
        <v>-1.903086069</v>
      </c>
      <c r="AL463" s="5">
        <v>-1.576170319</v>
      </c>
      <c r="AM463" s="5">
        <v>-2.405812231</v>
      </c>
      <c r="AN463" s="5">
        <v>-1.152664994</v>
      </c>
      <c r="AO463" s="5">
        <v>-0.3682292079</v>
      </c>
      <c r="AP463" s="5">
        <v>0.004467370851</v>
      </c>
      <c r="AQ463" s="5">
        <v>1.952681939</v>
      </c>
    </row>
    <row r="464">
      <c r="A464" s="342">
        <v>463.0</v>
      </c>
      <c r="B464" s="347"/>
      <c r="C464" s="347"/>
      <c r="D464" s="341">
        <v>-1.297362941</v>
      </c>
      <c r="E464" s="342">
        <v>-0.003292385555</v>
      </c>
      <c r="F464" s="342">
        <v>-0.9677436178</v>
      </c>
      <c r="G464" s="342">
        <v>-0.3296193228</v>
      </c>
      <c r="H464" s="342">
        <v>0.3838559506</v>
      </c>
      <c r="I464" s="343"/>
      <c r="J464" s="342" t="s">
        <v>2452</v>
      </c>
      <c r="K464" s="342" t="s">
        <v>98</v>
      </c>
      <c r="L464" s="342" t="s">
        <v>1404</v>
      </c>
      <c r="M464" s="342" t="s">
        <v>2453</v>
      </c>
      <c r="N464" s="343"/>
      <c r="O464" s="342" t="s">
        <v>1368</v>
      </c>
      <c r="P464" s="342" t="s">
        <v>2227</v>
      </c>
      <c r="Q464" s="342">
        <v>4.0</v>
      </c>
      <c r="R464" s="343"/>
      <c r="S464" s="342" t="s">
        <v>2232</v>
      </c>
      <c r="T464" s="342">
        <v>16.0</v>
      </c>
      <c r="U464" s="342">
        <v>13.0</v>
      </c>
      <c r="V464" s="342">
        <v>7.0</v>
      </c>
      <c r="W464" s="341">
        <v>2.23625</v>
      </c>
      <c r="X464" s="5">
        <v>0.418125</v>
      </c>
      <c r="Y464" s="5">
        <v>1.200625</v>
      </c>
      <c r="Z464" s="5">
        <v>0.643125</v>
      </c>
      <c r="AA464" s="5">
        <v>0.214375</v>
      </c>
      <c r="AB464" s="5">
        <v>0.083125</v>
      </c>
      <c r="AC464" s="5">
        <v>0.4123057406</v>
      </c>
      <c r="AD464" s="5">
        <v>1.970625</v>
      </c>
      <c r="AE464" s="5">
        <v>0.8153034301</v>
      </c>
      <c r="AF464" s="5">
        <v>0.236875</v>
      </c>
      <c r="AG464" s="5">
        <v>0.42875</v>
      </c>
      <c r="AH464" s="5">
        <v>15.8361437</v>
      </c>
      <c r="AI464" s="5">
        <v>-2.294384394</v>
      </c>
      <c r="AJ464" s="5">
        <v>-1.201160965</v>
      </c>
      <c r="AK464" s="5">
        <v>-1.835066829</v>
      </c>
      <c r="AL464" s="5">
        <v>-1.419170348</v>
      </c>
      <c r="AM464" s="5">
        <v>-2.293267589</v>
      </c>
      <c r="AN464" s="5">
        <v>-1.112718551</v>
      </c>
      <c r="AO464" s="5">
        <v>-0.2358282024</v>
      </c>
      <c r="AP464" s="5">
        <v>0.01269335381</v>
      </c>
      <c r="AQ464" s="5">
        <v>1.669210965</v>
      </c>
    </row>
    <row r="465">
      <c r="A465" s="342">
        <v>464.0</v>
      </c>
      <c r="B465" s="347"/>
      <c r="C465" s="347"/>
      <c r="D465" s="341">
        <v>-1.298956659</v>
      </c>
      <c r="E465" s="342">
        <v>-0.003640146686</v>
      </c>
      <c r="F465" s="342">
        <v>-0.9401029263</v>
      </c>
      <c r="G465" s="342">
        <v>-0.3588537324</v>
      </c>
      <c r="H465" s="342">
        <v>0.6898455903</v>
      </c>
      <c r="I465" s="343"/>
      <c r="J465" s="342" t="s">
        <v>2454</v>
      </c>
      <c r="K465" s="342" t="s">
        <v>110</v>
      </c>
      <c r="L465" s="342" t="s">
        <v>1404</v>
      </c>
      <c r="M465" s="342" t="s">
        <v>2455</v>
      </c>
      <c r="N465" s="343"/>
      <c r="O465" s="342" t="s">
        <v>1368</v>
      </c>
      <c r="P465" s="342" t="s">
        <v>2456</v>
      </c>
      <c r="Q465" s="342">
        <v>4.0</v>
      </c>
      <c r="R465" s="343"/>
      <c r="S465" s="342" t="s">
        <v>2232</v>
      </c>
      <c r="T465" s="342">
        <v>16.0</v>
      </c>
      <c r="U465" s="342">
        <v>16.0</v>
      </c>
      <c r="V465" s="342">
        <v>8.0</v>
      </c>
      <c r="W465" s="341">
        <v>2.16625</v>
      </c>
      <c r="X465" s="5">
        <v>0.279375</v>
      </c>
      <c r="Y465" s="5">
        <v>1.53</v>
      </c>
      <c r="Z465" s="5">
        <v>0.34</v>
      </c>
      <c r="AA465" s="5">
        <v>0.131875</v>
      </c>
      <c r="AB465" s="5">
        <v>0.323125</v>
      </c>
      <c r="AC465" s="5">
        <v>0.4502982107</v>
      </c>
      <c r="AD465" s="5">
        <v>1.88625</v>
      </c>
      <c r="AE465" s="5">
        <v>0.6644591611</v>
      </c>
      <c r="AF465" s="5">
        <v>0.283125</v>
      </c>
      <c r="AG465" s="5">
        <v>0.22125</v>
      </c>
      <c r="AH465" s="5">
        <v>12.05492735</v>
      </c>
      <c r="AI465" s="5">
        <v>-2.306136538</v>
      </c>
      <c r="AJ465" s="5">
        <v>-1.337382883</v>
      </c>
      <c r="AK465" s="5">
        <v>-1.703269243</v>
      </c>
      <c r="AL465" s="5">
        <v>-1.559170126</v>
      </c>
      <c r="AM465" s="5">
        <v>-2.55370286</v>
      </c>
      <c r="AN465" s="5">
        <v>-0.6739155043</v>
      </c>
      <c r="AO465" s="5">
        <v>-0.1165301622</v>
      </c>
      <c r="AP465" s="5">
        <v>-0.1415459538</v>
      </c>
      <c r="AQ465" s="5">
        <v>1.930726933</v>
      </c>
    </row>
    <row r="466">
      <c r="A466" s="342">
        <v>465.0</v>
      </c>
      <c r="B466" s="347"/>
      <c r="C466" s="347"/>
      <c r="D466" s="341">
        <v>-1.302633956</v>
      </c>
      <c r="E466" s="342">
        <v>-0.003271322002</v>
      </c>
      <c r="F466" s="342">
        <v>-0.9724289647</v>
      </c>
      <c r="G466" s="342">
        <v>-0.3302049912</v>
      </c>
      <c r="H466" s="343"/>
      <c r="I466" s="343"/>
      <c r="J466" s="342" t="s">
        <v>2457</v>
      </c>
      <c r="K466" s="342" t="s">
        <v>40</v>
      </c>
      <c r="L466" s="342" t="s">
        <v>34</v>
      </c>
      <c r="M466" s="342" t="s">
        <v>2458</v>
      </c>
      <c r="N466" s="343"/>
      <c r="O466" s="342" t="s">
        <v>1368</v>
      </c>
      <c r="P466" s="342" t="s">
        <v>2227</v>
      </c>
      <c r="Q466" s="342">
        <v>3.0</v>
      </c>
      <c r="R466" s="343"/>
      <c r="S466" s="342" t="s">
        <v>2232</v>
      </c>
      <c r="T466" s="342">
        <v>16.0</v>
      </c>
      <c r="U466" s="342">
        <v>16.0</v>
      </c>
      <c r="V466" s="342">
        <v>7.0</v>
      </c>
      <c r="W466" s="341">
        <v>2.9</v>
      </c>
      <c r="X466" s="5">
        <v>0.38625</v>
      </c>
      <c r="Y466" s="5">
        <v>1.315</v>
      </c>
      <c r="Z466" s="5">
        <v>0.343125</v>
      </c>
      <c r="AA466" s="5">
        <v>0.17125</v>
      </c>
      <c r="AB466" s="5">
        <v>0.17125</v>
      </c>
      <c r="AC466" s="5">
        <v>0.4328504788</v>
      </c>
      <c r="AD466" s="5">
        <v>2.545625</v>
      </c>
      <c r="AE466" s="5">
        <v>0.7619047619</v>
      </c>
      <c r="AF466" s="5">
        <v>0.406875</v>
      </c>
      <c r="AG466" s="5">
        <v>0.42875</v>
      </c>
      <c r="AH466" s="5">
        <v>19.80540314</v>
      </c>
      <c r="AI466" s="5">
        <v>-2.182948886</v>
      </c>
      <c r="AJ466" s="5">
        <v>-1.232455189</v>
      </c>
      <c r="AK466" s="5">
        <v>-1.789300305</v>
      </c>
      <c r="AL466" s="5">
        <v>-1.557726829</v>
      </c>
      <c r="AM466" s="5">
        <v>-2.429404208</v>
      </c>
      <c r="AN466" s="5">
        <v>-0.9515955573</v>
      </c>
      <c r="AO466" s="5">
        <v>-0.221981507</v>
      </c>
      <c r="AP466" s="5">
        <v>-0.05565916567</v>
      </c>
      <c r="AQ466" s="5">
        <v>1.669210965</v>
      </c>
    </row>
    <row r="467">
      <c r="A467" s="342">
        <v>466.0</v>
      </c>
      <c r="B467" s="347"/>
      <c r="C467" s="347"/>
      <c r="D467" s="341">
        <v>-1.304256324</v>
      </c>
      <c r="E467" s="342">
        <v>-0.00329929887</v>
      </c>
      <c r="F467" s="342">
        <v>-0.9732584148</v>
      </c>
      <c r="G467" s="342">
        <v>-0.3309979088</v>
      </c>
      <c r="H467" s="342">
        <v>-0.01876199633</v>
      </c>
      <c r="I467" s="343"/>
      <c r="J467" s="342" t="s">
        <v>2459</v>
      </c>
      <c r="K467" s="342" t="s">
        <v>159</v>
      </c>
      <c r="L467" s="342" t="s">
        <v>1380</v>
      </c>
      <c r="M467" s="342" t="s">
        <v>2460</v>
      </c>
      <c r="N467" s="343"/>
      <c r="O467" s="342" t="s">
        <v>1368</v>
      </c>
      <c r="P467" s="342" t="s">
        <v>2227</v>
      </c>
      <c r="Q467" s="342">
        <v>2.0</v>
      </c>
      <c r="R467" s="343"/>
      <c r="S467" s="342" t="s">
        <v>2232</v>
      </c>
      <c r="T467" s="342">
        <v>16.0</v>
      </c>
      <c r="U467" s="342">
        <v>14.0</v>
      </c>
      <c r="V467" s="342">
        <v>8.0</v>
      </c>
      <c r="W467" s="341">
        <v>2.056875</v>
      </c>
      <c r="X467" s="5">
        <v>0.09375</v>
      </c>
      <c r="Y467" s="5">
        <v>1.143125</v>
      </c>
      <c r="Z467" s="5">
        <v>0.44125</v>
      </c>
      <c r="AA467" s="5">
        <v>0.359375</v>
      </c>
      <c r="AB467" s="5">
        <v>0.081875</v>
      </c>
      <c r="AC467" s="5">
        <v>0.4466237942</v>
      </c>
      <c r="AD467" s="5">
        <v>1.94375</v>
      </c>
      <c r="AE467" s="5">
        <v>0.6862003781</v>
      </c>
      <c r="AF467" s="5">
        <v>0.330625</v>
      </c>
      <c r="AG467" s="5">
        <v>0.424375</v>
      </c>
      <c r="AH467" s="5">
        <v>13.95481625</v>
      </c>
      <c r="AI467" s="5">
        <v>-2.324499263</v>
      </c>
      <c r="AJ467" s="5">
        <v>-1.519625719</v>
      </c>
      <c r="AK467" s="5">
        <v>-1.858075136</v>
      </c>
      <c r="AL467" s="5">
        <v>-1.512407314</v>
      </c>
      <c r="AM467" s="5">
        <v>-1.835532872</v>
      </c>
      <c r="AN467" s="5">
        <v>-1.115003984</v>
      </c>
      <c r="AO467" s="5">
        <v>-0.1307250882</v>
      </c>
      <c r="AP467" s="5">
        <v>-0.1381812134</v>
      </c>
      <c r="AQ467" s="5">
        <v>1.674724855</v>
      </c>
    </row>
    <row r="468">
      <c r="A468" s="342">
        <v>467.0</v>
      </c>
      <c r="B468" s="347"/>
      <c r="C468" s="347"/>
      <c r="D468" s="341">
        <v>-1.304911647</v>
      </c>
      <c r="E468" s="342">
        <v>-0.003267851346</v>
      </c>
      <c r="F468" s="342">
        <v>-0.9556363322</v>
      </c>
      <c r="G468" s="342">
        <v>-0.3492753146</v>
      </c>
      <c r="H468" s="343"/>
      <c r="I468" s="343"/>
      <c r="J468" s="342" t="s">
        <v>2461</v>
      </c>
      <c r="K468" s="342" t="s">
        <v>180</v>
      </c>
      <c r="L468" s="342" t="s">
        <v>1404</v>
      </c>
      <c r="M468" s="342" t="s">
        <v>2462</v>
      </c>
      <c r="N468" s="343"/>
      <c r="O468" s="342" t="s">
        <v>1368</v>
      </c>
      <c r="P468" s="342" t="s">
        <v>2413</v>
      </c>
      <c r="Q468" s="342">
        <v>5.0</v>
      </c>
      <c r="R468" s="343"/>
      <c r="S468" s="342" t="s">
        <v>2232</v>
      </c>
      <c r="T468" s="342">
        <v>16.0</v>
      </c>
      <c r="U468" s="342">
        <v>16.0</v>
      </c>
      <c r="V468" s="342">
        <v>7.0</v>
      </c>
      <c r="W468" s="341">
        <v>2.9425</v>
      </c>
      <c r="X468" s="5">
        <v>0.568125</v>
      </c>
      <c r="Y468" s="5">
        <v>1.2075</v>
      </c>
      <c r="Z468" s="5">
        <v>0.33875</v>
      </c>
      <c r="AA468" s="5">
        <v>0.1475</v>
      </c>
      <c r="AB468" s="5">
        <v>0.07375</v>
      </c>
      <c r="AC468" s="5">
        <v>0.4311621967</v>
      </c>
      <c r="AD468" s="5">
        <v>2.446875</v>
      </c>
      <c r="AE468" s="5">
        <v>0.8310412574</v>
      </c>
      <c r="AF468" s="5">
        <v>0.318125</v>
      </c>
      <c r="AG468" s="5">
        <v>0.294375</v>
      </c>
      <c r="AH468" s="5">
        <v>17.23890379</v>
      </c>
      <c r="AI468" s="5">
        <v>-2.175813655</v>
      </c>
      <c r="AJ468" s="5">
        <v>-1.053894027</v>
      </c>
      <c r="AK468" s="5">
        <v>-1.832315836</v>
      </c>
      <c r="AL468" s="5">
        <v>-1.559747445</v>
      </c>
      <c r="AM468" s="5">
        <v>-2.504377998</v>
      </c>
      <c r="AN468" s="5">
        <v>-1.129859295</v>
      </c>
      <c r="AO468" s="5">
        <v>-0.2200438663</v>
      </c>
      <c r="AP468" s="5">
        <v>0.03675894691</v>
      </c>
      <c r="AQ468" s="5">
        <v>1.838566185</v>
      </c>
    </row>
    <row r="469">
      <c r="A469" s="342">
        <v>468.0</v>
      </c>
      <c r="B469" s="347"/>
      <c r="C469" s="347"/>
      <c r="D469" s="341">
        <v>-1.305781643</v>
      </c>
      <c r="E469" s="342">
        <v>-0.003759385123</v>
      </c>
      <c r="F469" s="342">
        <v>-0.9740016</v>
      </c>
      <c r="G469" s="342">
        <v>-0.3317800433</v>
      </c>
      <c r="H469" s="342">
        <v>0.7059503082</v>
      </c>
      <c r="I469" s="343"/>
      <c r="J469" s="342" t="s">
        <v>2463</v>
      </c>
      <c r="K469" s="342" t="s">
        <v>148</v>
      </c>
      <c r="L469" s="342" t="s">
        <v>1380</v>
      </c>
      <c r="M469" s="342" t="s">
        <v>2464</v>
      </c>
      <c r="N469" s="343"/>
      <c r="O469" s="342" t="s">
        <v>1368</v>
      </c>
      <c r="P469" s="342" t="s">
        <v>2227</v>
      </c>
      <c r="Q469" s="342">
        <v>4.0</v>
      </c>
      <c r="R469" s="343"/>
      <c r="S469" s="342" t="s">
        <v>2232</v>
      </c>
      <c r="T469" s="342">
        <v>16.0</v>
      </c>
      <c r="U469" s="342">
        <v>15.0</v>
      </c>
      <c r="V469" s="342">
        <v>7.0</v>
      </c>
      <c r="W469" s="341">
        <v>2.006875</v>
      </c>
      <c r="X469" s="5">
        <v>0.141875</v>
      </c>
      <c r="Y469" s="5">
        <v>1.145</v>
      </c>
      <c r="Z469" s="5">
        <v>1.473125</v>
      </c>
      <c r="AA469" s="5">
        <v>0.190625</v>
      </c>
      <c r="AB469" s="5">
        <v>0.040625</v>
      </c>
      <c r="AC469" s="5">
        <v>0.457096248</v>
      </c>
      <c r="AD469" s="5">
        <v>1.915625</v>
      </c>
      <c r="AE469" s="5">
        <v>0.6594202899</v>
      </c>
      <c r="AF469" s="5">
        <v>0.1725</v>
      </c>
      <c r="AG469" s="5">
        <v>0.42</v>
      </c>
      <c r="AH469" s="5">
        <v>14.69460723</v>
      </c>
      <c r="AI469" s="5">
        <v>-2.332893652</v>
      </c>
      <c r="AJ469" s="5">
        <v>-1.472377576</v>
      </c>
      <c r="AK469" s="5">
        <v>-1.857324865</v>
      </c>
      <c r="AL469" s="5">
        <v>-1.035830749</v>
      </c>
      <c r="AM469" s="5">
        <v>-2.368241379</v>
      </c>
      <c r="AN469" s="5">
        <v>-1.190423257</v>
      </c>
      <c r="AO469" s="5">
        <v>-0.09828690091</v>
      </c>
      <c r="AP469" s="5">
        <v>-0.09087476685</v>
      </c>
      <c r="AQ469" s="5">
        <v>1.680238746</v>
      </c>
    </row>
    <row r="470">
      <c r="A470" s="342">
        <v>469.0</v>
      </c>
      <c r="B470" s="347"/>
      <c r="C470" s="347"/>
      <c r="D470" s="341">
        <v>-1.30677701</v>
      </c>
      <c r="E470" s="342">
        <v>-0.003190200306</v>
      </c>
      <c r="F470" s="342">
        <v>-0.952393196</v>
      </c>
      <c r="G470" s="342">
        <v>-0.3543838135</v>
      </c>
      <c r="H470" s="342">
        <v>0.7864738976</v>
      </c>
      <c r="I470" s="343"/>
      <c r="J470" s="342" t="s">
        <v>2465</v>
      </c>
      <c r="K470" s="342" t="s">
        <v>1471</v>
      </c>
      <c r="L470" s="342" t="s">
        <v>1404</v>
      </c>
      <c r="M470" s="342" t="s">
        <v>2466</v>
      </c>
      <c r="N470" s="343"/>
      <c r="O470" s="342" t="s">
        <v>1368</v>
      </c>
      <c r="P470" s="342" t="s">
        <v>2467</v>
      </c>
      <c r="Q470" s="342">
        <v>5.0</v>
      </c>
      <c r="R470" s="343"/>
      <c r="S470" s="342" t="s">
        <v>2232</v>
      </c>
      <c r="T470" s="342">
        <v>16.0</v>
      </c>
      <c r="U470" s="342">
        <v>16.0</v>
      </c>
      <c r="V470" s="342">
        <v>7.0</v>
      </c>
      <c r="W470" s="341">
        <v>2.7325</v>
      </c>
      <c r="X470" s="5">
        <v>0.3775</v>
      </c>
      <c r="Y470" s="5">
        <v>1.061875</v>
      </c>
      <c r="Z470" s="5">
        <v>0.52</v>
      </c>
      <c r="AA470" s="5">
        <v>0.21625</v>
      </c>
      <c r="AB470" s="5">
        <v>0.07625</v>
      </c>
      <c r="AC470" s="5">
        <v>0.4406779661</v>
      </c>
      <c r="AD470" s="5">
        <v>2.13875</v>
      </c>
      <c r="AE470" s="5">
        <v>0.7712820513</v>
      </c>
      <c r="AF470" s="5">
        <v>0.609375</v>
      </c>
      <c r="AG470" s="5">
        <v>0.259375</v>
      </c>
      <c r="AH470" s="5">
        <v>16.75202389</v>
      </c>
      <c r="AI470" s="5">
        <v>-2.211070087</v>
      </c>
      <c r="AJ470" s="5">
        <v>-1.241045761</v>
      </c>
      <c r="AK470" s="5">
        <v>-1.890586875</v>
      </c>
      <c r="AL470" s="5">
        <v>-1.476036237</v>
      </c>
      <c r="AM470" s="5">
        <v>-2.287348606</v>
      </c>
      <c r="AN470" s="5">
        <v>-1.12528843</v>
      </c>
      <c r="AO470" s="5">
        <v>-0.1623664045</v>
      </c>
      <c r="AP470" s="5">
        <v>-0.06047367555</v>
      </c>
      <c r="AQ470" s="5">
        <v>1.882677312</v>
      </c>
    </row>
    <row r="471">
      <c r="A471" s="342">
        <v>470.0</v>
      </c>
      <c r="B471" s="347"/>
      <c r="C471" s="347"/>
      <c r="D471" s="341">
        <v>-1.312667802</v>
      </c>
      <c r="E471" s="342">
        <v>-0.002907012616</v>
      </c>
      <c r="F471" s="342">
        <v>-0.9687447599</v>
      </c>
      <c r="G471" s="342">
        <v>-0.3439230421</v>
      </c>
      <c r="H471" s="343"/>
      <c r="I471" s="343"/>
      <c r="J471" s="342" t="s">
        <v>2468</v>
      </c>
      <c r="K471" s="342" t="s">
        <v>144</v>
      </c>
      <c r="L471" s="342" t="s">
        <v>1404</v>
      </c>
      <c r="M471" s="342" t="s">
        <v>2469</v>
      </c>
      <c r="N471" s="343"/>
      <c r="O471" s="342" t="s">
        <v>1368</v>
      </c>
      <c r="P471" s="342" t="s">
        <v>2227</v>
      </c>
      <c r="Q471" s="342">
        <v>2.0</v>
      </c>
      <c r="R471" s="343"/>
      <c r="S471" s="342" t="s">
        <v>2232</v>
      </c>
      <c r="T471" s="342">
        <v>16.0</v>
      </c>
      <c r="U471" s="342">
        <v>16.0</v>
      </c>
      <c r="V471" s="342">
        <v>7.0</v>
      </c>
      <c r="W471" s="341">
        <v>3.083125</v>
      </c>
      <c r="X471" s="5">
        <v>0.015625</v>
      </c>
      <c r="Y471" s="5">
        <v>1.4875</v>
      </c>
      <c r="Z471" s="5">
        <v>0.309375</v>
      </c>
      <c r="AA471" s="5">
        <v>0.1475</v>
      </c>
      <c r="AB471" s="5">
        <v>0.20625</v>
      </c>
      <c r="AC471" s="5">
        <v>0.5370904325</v>
      </c>
      <c r="AD471" s="5">
        <v>2.384375</v>
      </c>
      <c r="AE471" s="5">
        <v>0.7074235808</v>
      </c>
      <c r="AF471" s="5">
        <v>0.715625</v>
      </c>
      <c r="AG471" s="5">
        <v>0.33875</v>
      </c>
      <c r="AH471" s="5">
        <v>18.74237093</v>
      </c>
      <c r="AI471" s="5">
        <v>-2.152204437</v>
      </c>
      <c r="AJ471" s="5">
        <v>-1.596327249</v>
      </c>
      <c r="AK471" s="5">
        <v>-1.720275383</v>
      </c>
      <c r="AL471" s="5">
        <v>-1.573314434</v>
      </c>
      <c r="AM471" s="5">
        <v>-2.504377998</v>
      </c>
      <c r="AN471" s="5">
        <v>-0.8876034463</v>
      </c>
      <c r="AO471" s="5">
        <v>0.1715979333</v>
      </c>
      <c r="AP471" s="5">
        <v>-0.2388374018</v>
      </c>
      <c r="AQ471" s="5">
        <v>1.782639577</v>
      </c>
    </row>
    <row r="472">
      <c r="A472" s="342">
        <v>471.0</v>
      </c>
      <c r="B472" s="347"/>
      <c r="C472" s="347"/>
      <c r="D472" s="341">
        <v>-1.314619696</v>
      </c>
      <c r="E472" s="342">
        <v>-0.003317515601</v>
      </c>
      <c r="F472" s="342">
        <v>-0.9663345818</v>
      </c>
      <c r="G472" s="342">
        <v>-0.3482851138</v>
      </c>
      <c r="H472" s="342">
        <v>0.9314163585</v>
      </c>
      <c r="I472" s="343"/>
      <c r="J472" s="342" t="s">
        <v>2470</v>
      </c>
      <c r="K472" s="342" t="s">
        <v>236</v>
      </c>
      <c r="L472" s="342" t="s">
        <v>1380</v>
      </c>
      <c r="M472" s="342" t="s">
        <v>2471</v>
      </c>
      <c r="N472" s="343"/>
      <c r="O472" s="342" t="s">
        <v>1368</v>
      </c>
      <c r="P472" s="342" t="s">
        <v>1416</v>
      </c>
      <c r="Q472" s="342">
        <v>5.0</v>
      </c>
      <c r="R472" s="343"/>
      <c r="S472" s="342" t="s">
        <v>1960</v>
      </c>
      <c r="T472" s="342">
        <v>47.0</v>
      </c>
      <c r="U472" s="342">
        <v>13.0</v>
      </c>
      <c r="V472" s="342">
        <v>9.0</v>
      </c>
      <c r="W472" s="341">
        <v>2.167446809</v>
      </c>
      <c r="X472" s="5">
        <v>0.4917021277</v>
      </c>
      <c r="Y472" s="5">
        <v>0.9093617021</v>
      </c>
      <c r="Z472" s="5">
        <v>1.036595745</v>
      </c>
      <c r="AA472" s="5">
        <v>0.1819148936</v>
      </c>
      <c r="AB472" s="5">
        <v>0.07510638298</v>
      </c>
      <c r="AC472" s="5">
        <v>0.3759350964</v>
      </c>
      <c r="AD472" s="5">
        <v>2.019361702</v>
      </c>
      <c r="AE472" s="5">
        <v>0.779768177</v>
      </c>
      <c r="AF472" s="5">
        <v>0.2019148936</v>
      </c>
      <c r="AG472" s="5">
        <v>0.3091489362</v>
      </c>
      <c r="AH472" s="5">
        <v>11.96795045</v>
      </c>
      <c r="AI472" s="5">
        <v>-2.305935609</v>
      </c>
      <c r="AJ472" s="5">
        <v>-1.128924443</v>
      </c>
      <c r="AK472" s="5">
        <v>-1.951614228</v>
      </c>
      <c r="AL472" s="5">
        <v>-1.237443942</v>
      </c>
      <c r="AM472" s="5">
        <v>-2.395737366</v>
      </c>
      <c r="AN472" s="5">
        <v>-1.127379358</v>
      </c>
      <c r="AO472" s="5">
        <v>-0.3537527743</v>
      </c>
      <c r="AP472" s="5">
        <v>-0.0161698453</v>
      </c>
      <c r="AQ472" s="5">
        <v>1.819946328</v>
      </c>
    </row>
    <row r="473">
      <c r="A473" s="342">
        <v>472.0</v>
      </c>
      <c r="B473" s="347"/>
      <c r="C473" s="347"/>
      <c r="D473" s="341">
        <v>-1.316187197</v>
      </c>
      <c r="E473" s="342">
        <v>-0.003056903882</v>
      </c>
      <c r="F473" s="342">
        <v>-0.9862267314</v>
      </c>
      <c r="G473" s="342">
        <v>-0.3299604652</v>
      </c>
      <c r="H473" s="343"/>
      <c r="I473" s="343"/>
      <c r="J473" s="342" t="s">
        <v>2472</v>
      </c>
      <c r="K473" s="342" t="s">
        <v>102</v>
      </c>
      <c r="L473" s="342" t="s">
        <v>1380</v>
      </c>
      <c r="M473" s="342" t="s">
        <v>2473</v>
      </c>
      <c r="N473" s="343"/>
      <c r="O473" s="342" t="s">
        <v>1368</v>
      </c>
      <c r="P473" s="343"/>
      <c r="Q473" s="342">
        <v>3.0</v>
      </c>
      <c r="R473" s="343"/>
      <c r="S473" s="342" t="s">
        <v>2232</v>
      </c>
      <c r="T473" s="342">
        <v>16.0</v>
      </c>
      <c r="U473" s="342">
        <v>16.0</v>
      </c>
      <c r="V473" s="342">
        <v>9.0</v>
      </c>
      <c r="W473" s="341">
        <v>2.93375</v>
      </c>
      <c r="X473" s="5">
        <v>0.643125</v>
      </c>
      <c r="Y473" s="5">
        <v>1.010625</v>
      </c>
      <c r="Z473" s="5">
        <v>0.55125</v>
      </c>
      <c r="AA473" s="5">
        <v>0.201875</v>
      </c>
      <c r="AB473" s="5">
        <v>0.091875</v>
      </c>
      <c r="AC473" s="5">
        <v>0.3610796099</v>
      </c>
      <c r="AD473" s="5">
        <v>2.755625</v>
      </c>
      <c r="AE473" s="5">
        <v>0.7795786062</v>
      </c>
      <c r="AF473" s="5">
        <v>0.385625</v>
      </c>
      <c r="AG473" s="5">
        <v>0.44125</v>
      </c>
      <c r="AH473" s="5">
        <v>16.63889095</v>
      </c>
      <c r="AI473" s="5">
        <v>-2.177282673</v>
      </c>
      <c r="AJ473" s="5">
        <v>-0.9802605575</v>
      </c>
      <c r="AK473" s="5">
        <v>-1.911094279</v>
      </c>
      <c r="AL473" s="5">
        <v>-1.46160327</v>
      </c>
      <c r="AM473" s="5">
        <v>-2.332727479</v>
      </c>
      <c r="AN473" s="5">
        <v>-1.096720523</v>
      </c>
      <c r="AO473" s="5">
        <v>-0.541989036</v>
      </c>
      <c r="AP473" s="5">
        <v>-0.02781975486</v>
      </c>
      <c r="AQ473" s="5">
        <v>1.653456991</v>
      </c>
    </row>
    <row r="474">
      <c r="A474" s="342">
        <v>473.0</v>
      </c>
      <c r="B474" s="347"/>
      <c r="C474" s="347"/>
      <c r="D474" s="341">
        <v>-1.318279811</v>
      </c>
      <c r="E474" s="342">
        <v>-0.003127334375</v>
      </c>
      <c r="F474" s="342">
        <v>-0.9697947189</v>
      </c>
      <c r="G474" s="342">
        <v>-0.3484850922</v>
      </c>
      <c r="H474" s="342">
        <v>0.5771125652</v>
      </c>
      <c r="I474" s="343"/>
      <c r="J474" s="342" t="s">
        <v>2474</v>
      </c>
      <c r="K474" s="342" t="s">
        <v>67</v>
      </c>
      <c r="L474" s="342" t="s">
        <v>1380</v>
      </c>
      <c r="M474" s="343"/>
      <c r="N474" s="343"/>
      <c r="O474" s="342" t="s">
        <v>1378</v>
      </c>
      <c r="P474" s="342" t="s">
        <v>2287</v>
      </c>
      <c r="Q474" s="343"/>
      <c r="R474" s="343"/>
      <c r="S474" s="342" t="s">
        <v>2232</v>
      </c>
      <c r="T474" s="342">
        <v>16.0</v>
      </c>
      <c r="U474" s="342">
        <v>15.0</v>
      </c>
      <c r="V474" s="342">
        <v>8.0</v>
      </c>
      <c r="W474" s="341">
        <v>3.19625</v>
      </c>
      <c r="X474" s="5">
        <v>0.631875</v>
      </c>
      <c r="Y474" s="5">
        <v>1.143125</v>
      </c>
      <c r="Z474" s="5">
        <v>0.78375</v>
      </c>
      <c r="AA474" s="5">
        <v>0.175</v>
      </c>
      <c r="AB474" s="5">
        <v>0.04</v>
      </c>
      <c r="AC474" s="5">
        <v>0.3900629496</v>
      </c>
      <c r="AD474" s="5">
        <v>2.78</v>
      </c>
      <c r="AE474" s="5">
        <v>0.7120359955</v>
      </c>
      <c r="AF474" s="5">
        <v>0.555625</v>
      </c>
      <c r="AG474" s="5">
        <v>0.310625</v>
      </c>
      <c r="AH474" s="5">
        <v>18.329614</v>
      </c>
      <c r="AI474" s="5">
        <v>-2.133212133</v>
      </c>
      <c r="AJ474" s="5">
        <v>-0.9913055779</v>
      </c>
      <c r="AK474" s="5">
        <v>-1.858075136</v>
      </c>
      <c r="AL474" s="5">
        <v>-1.354221997</v>
      </c>
      <c r="AM474" s="5">
        <v>-2.417566241</v>
      </c>
      <c r="AN474" s="5">
        <v>-1.191565973</v>
      </c>
      <c r="AO474" s="5">
        <v>-0.4234818891</v>
      </c>
      <c r="AP474" s="5">
        <v>-0.1768095407</v>
      </c>
      <c r="AQ474" s="5">
        <v>1.818086019</v>
      </c>
    </row>
    <row r="475">
      <c r="A475" s="342">
        <v>474.0</v>
      </c>
      <c r="B475" s="347"/>
      <c r="C475" s="347"/>
      <c r="D475" s="341">
        <v>-1.319308951</v>
      </c>
      <c r="E475" s="342">
        <v>-0.00320362008</v>
      </c>
      <c r="F475" s="342">
        <v>-0.9884764918</v>
      </c>
      <c r="G475" s="342">
        <v>-0.3308324593</v>
      </c>
      <c r="H475" s="342">
        <v>0.6254267188</v>
      </c>
      <c r="I475" s="343"/>
      <c r="J475" s="342" t="s">
        <v>2475</v>
      </c>
      <c r="K475" s="342" t="s">
        <v>126</v>
      </c>
      <c r="L475" s="342" t="s">
        <v>1380</v>
      </c>
      <c r="M475" s="342" t="s">
        <v>2476</v>
      </c>
      <c r="N475" s="343"/>
      <c r="O475" s="342" t="s">
        <v>1368</v>
      </c>
      <c r="P475" s="342" t="s">
        <v>2227</v>
      </c>
      <c r="Q475" s="342">
        <v>2.0</v>
      </c>
      <c r="R475" s="343"/>
      <c r="S475" s="342" t="s">
        <v>2232</v>
      </c>
      <c r="T475" s="342">
        <v>16.0</v>
      </c>
      <c r="U475" s="342">
        <v>15.0</v>
      </c>
      <c r="V475" s="342">
        <v>8.0</v>
      </c>
      <c r="W475" s="341">
        <v>2.348125</v>
      </c>
      <c r="X475" s="5">
        <v>0.2975</v>
      </c>
      <c r="Y475" s="5">
        <v>0.841875</v>
      </c>
      <c r="Z475" s="5">
        <v>0.79125</v>
      </c>
      <c r="AA475" s="5">
        <v>0.235</v>
      </c>
      <c r="AB475" s="5">
        <v>0.09625</v>
      </c>
      <c r="AC475" s="5">
        <v>0.4206049149</v>
      </c>
      <c r="AD475" s="5">
        <v>1.98375</v>
      </c>
      <c r="AE475" s="5">
        <v>0.7451219512</v>
      </c>
      <c r="AF475" s="5">
        <v>0.5125</v>
      </c>
      <c r="AG475" s="5">
        <v>0.4375</v>
      </c>
      <c r="AH475" s="5">
        <v>14.2441254</v>
      </c>
      <c r="AI475" s="5">
        <v>-2.27560195</v>
      </c>
      <c r="AJ475" s="5">
        <v>-1.319588128</v>
      </c>
      <c r="AK475" s="5">
        <v>-1.978618659</v>
      </c>
      <c r="AL475" s="5">
        <v>-1.350758085</v>
      </c>
      <c r="AM475" s="5">
        <v>-2.228158772</v>
      </c>
      <c r="AN475" s="5">
        <v>-1.088721509</v>
      </c>
      <c r="AO475" s="5">
        <v>-0.2121604048</v>
      </c>
      <c r="AP475" s="5">
        <v>-0.1008641016</v>
      </c>
      <c r="AQ475" s="5">
        <v>1.658183183</v>
      </c>
    </row>
    <row r="476">
      <c r="A476" s="342">
        <v>475.0</v>
      </c>
      <c r="B476" s="347"/>
      <c r="C476" s="347"/>
      <c r="D476" s="341">
        <v>-1.319610673</v>
      </c>
      <c r="E476" s="342">
        <v>-0.002396298026</v>
      </c>
      <c r="F476" s="342">
        <v>-0.9852438059</v>
      </c>
      <c r="G476" s="342">
        <v>-0.3343668671</v>
      </c>
      <c r="H476" s="342">
        <v>0.8831022049</v>
      </c>
      <c r="I476" s="343"/>
      <c r="J476" s="342" t="s">
        <v>2477</v>
      </c>
      <c r="K476" s="342" t="s">
        <v>144</v>
      </c>
      <c r="L476" s="342" t="s">
        <v>1380</v>
      </c>
      <c r="M476" s="342" t="s">
        <v>2478</v>
      </c>
      <c r="N476" s="343"/>
      <c r="O476" s="342" t="s">
        <v>1368</v>
      </c>
      <c r="P476" s="342" t="s">
        <v>2227</v>
      </c>
      <c r="Q476" s="342">
        <v>3.0</v>
      </c>
      <c r="R476" s="343"/>
      <c r="S476" s="342" t="s">
        <v>2232</v>
      </c>
      <c r="T476" s="342">
        <v>16.0</v>
      </c>
      <c r="U476" s="342">
        <v>16.0</v>
      </c>
      <c r="V476" s="342">
        <v>6.0</v>
      </c>
      <c r="W476" s="341">
        <v>2.469375</v>
      </c>
      <c r="X476" s="5">
        <v>0.490625</v>
      </c>
      <c r="Y476" s="5">
        <v>1.01</v>
      </c>
      <c r="Z476" s="5">
        <v>0.568125</v>
      </c>
      <c r="AA476" s="5">
        <v>0.214375</v>
      </c>
      <c r="AB476" s="5">
        <v>0.024375</v>
      </c>
      <c r="AC476" s="5">
        <v>0.3960244648</v>
      </c>
      <c r="AD476" s="5">
        <v>2.04375</v>
      </c>
      <c r="AE476" s="5">
        <v>0.8</v>
      </c>
      <c r="AF476" s="5">
        <v>0.45</v>
      </c>
      <c r="AG476" s="5">
        <v>0.4125</v>
      </c>
      <c r="AH476" s="5">
        <v>19.10404687</v>
      </c>
      <c r="AI476" s="5">
        <v>-2.255245557</v>
      </c>
      <c r="AJ476" s="5">
        <v>-1.129981945</v>
      </c>
      <c r="AK476" s="5">
        <v>-1.911344369</v>
      </c>
      <c r="AL476" s="5">
        <v>-1.453809468</v>
      </c>
      <c r="AM476" s="5">
        <v>-2.293267589</v>
      </c>
      <c r="AN476" s="5">
        <v>-1.22013388</v>
      </c>
      <c r="AO476" s="5">
        <v>-0.29512544</v>
      </c>
      <c r="AP476" s="5">
        <v>0.002022865152</v>
      </c>
      <c r="AQ476" s="5">
        <v>1.689691131</v>
      </c>
    </row>
    <row r="477">
      <c r="A477" s="342">
        <v>476.0</v>
      </c>
      <c r="B477" s="347"/>
      <c r="C477" s="347"/>
      <c r="D477" s="341">
        <v>-1.320084893</v>
      </c>
      <c r="E477" s="342">
        <v>-0.003059244453</v>
      </c>
      <c r="F477" s="342">
        <v>-0.9915293142</v>
      </c>
      <c r="G477" s="342">
        <v>-0.328555579</v>
      </c>
      <c r="H477" s="342">
        <v>0.6576361546</v>
      </c>
      <c r="I477" s="343"/>
      <c r="J477" s="342" t="s">
        <v>2479</v>
      </c>
      <c r="K477" s="342" t="s">
        <v>291</v>
      </c>
      <c r="L477" s="342" t="s">
        <v>1404</v>
      </c>
      <c r="M477" s="342" t="s">
        <v>2480</v>
      </c>
      <c r="N477" s="343"/>
      <c r="O477" s="342" t="s">
        <v>1368</v>
      </c>
      <c r="P477" s="342" t="s">
        <v>2321</v>
      </c>
      <c r="Q477" s="342">
        <v>2.0</v>
      </c>
      <c r="R477" s="343"/>
      <c r="S477" s="342" t="s">
        <v>2232</v>
      </c>
      <c r="T477" s="342">
        <v>16.0</v>
      </c>
      <c r="U477" s="342">
        <v>15.0</v>
      </c>
      <c r="V477" s="342">
        <v>8.0</v>
      </c>
      <c r="W477" s="341">
        <v>3.0225</v>
      </c>
      <c r="X477" s="5">
        <v>0.366875</v>
      </c>
      <c r="Y477" s="5">
        <v>1.11125</v>
      </c>
      <c r="Z477" s="5">
        <v>0.505</v>
      </c>
      <c r="AA477" s="5">
        <v>0.21875</v>
      </c>
      <c r="AB477" s="5">
        <v>0.134375</v>
      </c>
      <c r="AC477" s="5">
        <v>0.3969709898</v>
      </c>
      <c r="AD477" s="5">
        <v>2.93</v>
      </c>
      <c r="AE477" s="5">
        <v>0.7496443812</v>
      </c>
      <c r="AF477" s="5">
        <v>0.439375</v>
      </c>
      <c r="AG477" s="5">
        <v>0.454375</v>
      </c>
      <c r="AH477" s="5">
        <v>19.00367514</v>
      </c>
      <c r="AI477" s="5">
        <v>-2.162382634</v>
      </c>
      <c r="AJ477" s="5">
        <v>-1.251477169</v>
      </c>
      <c r="AK477" s="5">
        <v>-1.870829741</v>
      </c>
      <c r="AL477" s="5">
        <v>-1.482964061</v>
      </c>
      <c r="AM477" s="5">
        <v>-2.279456628</v>
      </c>
      <c r="AN477" s="5">
        <v>-1.019015817</v>
      </c>
      <c r="AO477" s="5">
        <v>-0.4148829073</v>
      </c>
      <c r="AP477" s="5">
        <v>-0.0796701881</v>
      </c>
      <c r="AQ477" s="5">
        <v>1.636915318</v>
      </c>
    </row>
    <row r="478">
      <c r="A478" s="342">
        <v>477.0</v>
      </c>
      <c r="B478" s="347"/>
      <c r="C478" s="347"/>
      <c r="D478" s="341">
        <v>-1.320429577</v>
      </c>
      <c r="E478" s="342">
        <v>-0.001956600539</v>
      </c>
      <c r="F478" s="342">
        <v>-0.9779196895</v>
      </c>
      <c r="G478" s="342">
        <v>-0.3425098876</v>
      </c>
      <c r="H478" s="342">
        <v>-0.2925422003</v>
      </c>
      <c r="I478" s="343"/>
      <c r="J478" s="342" t="s">
        <v>2481</v>
      </c>
      <c r="K478" s="342" t="s">
        <v>259</v>
      </c>
      <c r="L478" s="342" t="s">
        <v>1380</v>
      </c>
      <c r="M478" s="342" t="s">
        <v>2482</v>
      </c>
      <c r="N478" s="343"/>
      <c r="O478" s="342" t="s">
        <v>1368</v>
      </c>
      <c r="P478" s="342" t="s">
        <v>2273</v>
      </c>
      <c r="Q478" s="342">
        <v>3.0</v>
      </c>
      <c r="R478" s="343"/>
      <c r="S478" s="342" t="s">
        <v>2232</v>
      </c>
      <c r="T478" s="342">
        <v>16.0</v>
      </c>
      <c r="U478" s="342">
        <v>13.0</v>
      </c>
      <c r="V478" s="342">
        <v>8.0</v>
      </c>
      <c r="W478" s="341">
        <v>3.33625</v>
      </c>
      <c r="X478" s="5">
        <v>0.351875</v>
      </c>
      <c r="Y478" s="5">
        <v>0.940625</v>
      </c>
      <c r="Z478" s="5">
        <v>0.424375</v>
      </c>
      <c r="AA478" s="5">
        <v>0.1725</v>
      </c>
      <c r="AB478" s="5">
        <v>0.085</v>
      </c>
      <c r="AC478" s="5">
        <v>0.4467404674</v>
      </c>
      <c r="AD478" s="5">
        <v>2.540625</v>
      </c>
      <c r="AE478" s="5">
        <v>0.7899101589</v>
      </c>
      <c r="AF478" s="5">
        <v>0.904375</v>
      </c>
      <c r="AG478" s="5">
        <v>0.355</v>
      </c>
      <c r="AH478" s="5">
        <v>17.72769741</v>
      </c>
      <c r="AI478" s="5">
        <v>-2.109707845</v>
      </c>
      <c r="AJ478" s="5">
        <v>-1.266203863</v>
      </c>
      <c r="AK478" s="5">
        <v>-1.939104392</v>
      </c>
      <c r="AL478" s="5">
        <v>-1.520201116</v>
      </c>
      <c r="AM478" s="5">
        <v>-2.425458219</v>
      </c>
      <c r="AN478" s="5">
        <v>-1.109290402</v>
      </c>
      <c r="AO478" s="5">
        <v>-0.1675961849</v>
      </c>
      <c r="AP478" s="5">
        <v>-0.02587459449</v>
      </c>
      <c r="AQ478" s="5">
        <v>1.762159411</v>
      </c>
    </row>
    <row r="479">
      <c r="A479" s="342">
        <v>478.0</v>
      </c>
      <c r="B479" s="347"/>
      <c r="C479" s="347"/>
      <c r="D479" s="341">
        <v>-1.323594923</v>
      </c>
      <c r="E479" s="342">
        <v>-0.002925373257</v>
      </c>
      <c r="F479" s="342">
        <v>-1.006552343</v>
      </c>
      <c r="G479" s="342">
        <v>-0.3170425797</v>
      </c>
      <c r="H479" s="343"/>
      <c r="I479" s="343"/>
      <c r="J479" s="342" t="s">
        <v>2483</v>
      </c>
      <c r="K479" s="342" t="s">
        <v>1396</v>
      </c>
      <c r="L479" s="342" t="s">
        <v>1380</v>
      </c>
      <c r="M479" s="342" t="s">
        <v>2484</v>
      </c>
      <c r="N479" s="343"/>
      <c r="O479" s="342" t="s">
        <v>1368</v>
      </c>
      <c r="P479" s="342" t="s">
        <v>2227</v>
      </c>
      <c r="Q479" s="342">
        <v>2.0</v>
      </c>
      <c r="R479" s="343"/>
      <c r="S479" s="342" t="s">
        <v>2232</v>
      </c>
      <c r="T479" s="342">
        <v>16.0</v>
      </c>
      <c r="U479" s="342">
        <v>14.0</v>
      </c>
      <c r="V479" s="342">
        <v>7.0</v>
      </c>
      <c r="W479" s="341">
        <v>1.766875</v>
      </c>
      <c r="X479" s="5">
        <v>0.165</v>
      </c>
      <c r="Y479" s="5">
        <v>0.714375</v>
      </c>
      <c r="Z479" s="5">
        <v>1.035625</v>
      </c>
      <c r="AA479" s="5">
        <v>0.276875</v>
      </c>
      <c r="AB479" s="5">
        <v>0.0875</v>
      </c>
      <c r="AC479" s="5">
        <v>0.3971207865</v>
      </c>
      <c r="AD479" s="5">
        <v>1.78</v>
      </c>
      <c r="AE479" s="5">
        <v>0.7543859649</v>
      </c>
      <c r="AF479" s="5">
        <v>0.249375</v>
      </c>
      <c r="AG479" s="5">
        <v>0.539375</v>
      </c>
      <c r="AH479" s="5">
        <v>14.87561405</v>
      </c>
      <c r="AI479" s="5">
        <v>-2.373186717</v>
      </c>
      <c r="AJ479" s="5">
        <v>-1.449673923</v>
      </c>
      <c r="AK479" s="5">
        <v>-2.02963708</v>
      </c>
      <c r="AL479" s="5">
        <v>-1.237892285</v>
      </c>
      <c r="AM479" s="5">
        <v>-2.095968142</v>
      </c>
      <c r="AN479" s="5">
        <v>-1.104719537</v>
      </c>
      <c r="AO479" s="5">
        <v>-0.2552388303</v>
      </c>
      <c r="AP479" s="5">
        <v>-0.04244286796</v>
      </c>
      <c r="AQ479" s="5">
        <v>1.529788295</v>
      </c>
    </row>
    <row r="480">
      <c r="A480" s="342">
        <v>479.0</v>
      </c>
      <c r="B480" s="347"/>
      <c r="C480" s="347"/>
      <c r="D480" s="341">
        <v>-1.327331454</v>
      </c>
      <c r="E480" s="342">
        <v>-0.003787342149</v>
      </c>
      <c r="F480" s="342">
        <v>-0.967688063</v>
      </c>
      <c r="G480" s="342">
        <v>-0.3596433914</v>
      </c>
      <c r="H480" s="342">
        <v>0.1100757467</v>
      </c>
      <c r="I480" s="343"/>
      <c r="J480" s="342" t="s">
        <v>2485</v>
      </c>
      <c r="K480" s="342" t="s">
        <v>148</v>
      </c>
      <c r="L480" s="342" t="s">
        <v>1404</v>
      </c>
      <c r="M480" s="342" t="s">
        <v>2486</v>
      </c>
      <c r="N480" s="343"/>
      <c r="O480" s="342" t="s">
        <v>1368</v>
      </c>
      <c r="P480" s="342" t="s">
        <v>2273</v>
      </c>
      <c r="Q480" s="342">
        <v>3.0</v>
      </c>
      <c r="R480" s="343"/>
      <c r="S480" s="342" t="s">
        <v>2232</v>
      </c>
      <c r="T480" s="342">
        <v>16.0</v>
      </c>
      <c r="U480" s="342">
        <v>15.0</v>
      </c>
      <c r="V480" s="342">
        <v>5.0</v>
      </c>
      <c r="W480" s="341">
        <v>2.074375</v>
      </c>
      <c r="X480" s="5">
        <v>0.003125</v>
      </c>
      <c r="Y480" s="5">
        <v>1.791875</v>
      </c>
      <c r="Z480" s="5">
        <v>0.191875</v>
      </c>
      <c r="AA480" s="5">
        <v>0.181875</v>
      </c>
      <c r="AB480" s="5">
        <v>0.135625</v>
      </c>
      <c r="AC480" s="5">
        <v>0.5366336634</v>
      </c>
      <c r="AD480" s="5">
        <v>1.578125</v>
      </c>
      <c r="AE480" s="5">
        <v>0.7164887307</v>
      </c>
      <c r="AF480" s="5">
        <v>0.526875</v>
      </c>
      <c r="AG480" s="5">
        <v>0.238125</v>
      </c>
      <c r="AH480" s="5">
        <v>17.47189881</v>
      </c>
      <c r="AI480" s="5">
        <v>-2.321561227</v>
      </c>
      <c r="AJ480" s="5">
        <v>-1.608599494</v>
      </c>
      <c r="AK480" s="5">
        <v>-1.598481409</v>
      </c>
      <c r="AL480" s="5">
        <v>-1.627582389</v>
      </c>
      <c r="AM480" s="5">
        <v>-2.395863302</v>
      </c>
      <c r="AN480" s="5">
        <v>-1.016730385</v>
      </c>
      <c r="AO480" s="5">
        <v>0.1093686992</v>
      </c>
      <c r="AP480" s="5">
        <v>-0.1592021284</v>
      </c>
      <c r="AQ480" s="5">
        <v>1.909459068</v>
      </c>
    </row>
    <row r="481">
      <c r="A481" s="342">
        <v>480.0</v>
      </c>
      <c r="B481" s="347"/>
      <c r="C481" s="347"/>
      <c r="D481" s="341">
        <v>-1.329382538</v>
      </c>
      <c r="E481" s="342">
        <v>-0.002907845073</v>
      </c>
      <c r="F481" s="342">
        <v>-0.9734497421</v>
      </c>
      <c r="G481" s="342">
        <v>-0.3559327961</v>
      </c>
      <c r="H481" s="342">
        <v>0.1583899003</v>
      </c>
      <c r="I481" s="343"/>
      <c r="J481" s="342" t="s">
        <v>2487</v>
      </c>
      <c r="K481" s="342" t="s">
        <v>118</v>
      </c>
      <c r="L481" s="342" t="s">
        <v>1380</v>
      </c>
      <c r="M481" s="342" t="s">
        <v>2488</v>
      </c>
      <c r="N481" s="343"/>
      <c r="O481" s="342" t="s">
        <v>1378</v>
      </c>
      <c r="P481" s="342" t="s">
        <v>2280</v>
      </c>
      <c r="Q481" s="342">
        <v>4.0</v>
      </c>
      <c r="R481" s="343"/>
      <c r="S481" s="342" t="s">
        <v>2232</v>
      </c>
      <c r="T481" s="342">
        <v>16.0</v>
      </c>
      <c r="U481" s="342">
        <v>16.0</v>
      </c>
      <c r="V481" s="342">
        <v>7.0</v>
      </c>
      <c r="W481" s="341">
        <v>2.549375</v>
      </c>
      <c r="X481" s="5">
        <v>0.254375</v>
      </c>
      <c r="Y481" s="5">
        <v>0.74</v>
      </c>
      <c r="Z481" s="5">
        <v>0.754375</v>
      </c>
      <c r="AA481" s="5">
        <v>0.30625</v>
      </c>
      <c r="AB481" s="5">
        <v>0.039375</v>
      </c>
      <c r="AC481" s="5">
        <v>0.4067388688</v>
      </c>
      <c r="AD481" s="5">
        <v>2.596875</v>
      </c>
      <c r="AE481" s="5">
        <v>0.6806526807</v>
      </c>
      <c r="AF481" s="5">
        <v>0.268125</v>
      </c>
      <c r="AG481" s="5">
        <v>0.26625</v>
      </c>
      <c r="AH481" s="5">
        <v>18.59611899</v>
      </c>
      <c r="AI481" s="5">
        <v>-2.241814536</v>
      </c>
      <c r="AJ481" s="5">
        <v>-1.361927373</v>
      </c>
      <c r="AK481" s="5">
        <v>-2.019383377</v>
      </c>
      <c r="AL481" s="5">
        <v>-1.367788986</v>
      </c>
      <c r="AM481" s="5">
        <v>-2.003237402</v>
      </c>
      <c r="AN481" s="5">
        <v>-1.19270869</v>
      </c>
      <c r="AO481" s="5">
        <v>-0.3299645069</v>
      </c>
      <c r="AP481" s="5">
        <v>-0.1182354349</v>
      </c>
      <c r="AQ481" s="5">
        <v>1.874012626</v>
      </c>
    </row>
    <row r="482">
      <c r="A482" s="342">
        <v>481.0</v>
      </c>
      <c r="B482" s="347"/>
      <c r="C482" s="347"/>
      <c r="D482" s="341">
        <v>-1.32971273</v>
      </c>
      <c r="E482" s="342">
        <v>-0.003230257392</v>
      </c>
      <c r="F482" s="342">
        <v>-1.006476503</v>
      </c>
      <c r="G482" s="342">
        <v>-0.323236227</v>
      </c>
      <c r="H482" s="343"/>
      <c r="I482" s="343"/>
      <c r="J482" s="342" t="s">
        <v>2489</v>
      </c>
      <c r="K482" s="342" t="s">
        <v>1365</v>
      </c>
      <c r="L482" s="342" t="s">
        <v>1404</v>
      </c>
      <c r="M482" s="342" t="s">
        <v>2490</v>
      </c>
      <c r="N482" s="343"/>
      <c r="O482" s="342" t="s">
        <v>1368</v>
      </c>
      <c r="P482" s="342" t="s">
        <v>2227</v>
      </c>
      <c r="Q482" s="342">
        <v>2.0</v>
      </c>
      <c r="R482" s="343"/>
      <c r="S482" s="342" t="s">
        <v>2232</v>
      </c>
      <c r="T482" s="342">
        <v>16.0</v>
      </c>
      <c r="U482" s="342">
        <v>15.0</v>
      </c>
      <c r="V482" s="342">
        <v>8.0</v>
      </c>
      <c r="W482" s="341">
        <v>2.561875</v>
      </c>
      <c r="X482" s="5">
        <v>0.42125</v>
      </c>
      <c r="Y482" s="5">
        <v>1.433125</v>
      </c>
      <c r="Z482" s="5">
        <v>0.6</v>
      </c>
      <c r="AA482" s="5">
        <v>0.233125</v>
      </c>
      <c r="AB482" s="5">
        <v>0.083125</v>
      </c>
      <c r="AC482" s="5">
        <v>0.3735031847</v>
      </c>
      <c r="AD482" s="5">
        <v>2.453125</v>
      </c>
      <c r="AE482" s="5">
        <v>0.6617449664</v>
      </c>
      <c r="AF482" s="5">
        <v>0.465625</v>
      </c>
      <c r="AG482" s="5">
        <v>0.5</v>
      </c>
      <c r="AH482" s="5">
        <v>17.12629998</v>
      </c>
      <c r="AI482" s="5">
        <v>-2.239715938</v>
      </c>
      <c r="AJ482" s="5">
        <v>-1.198092904</v>
      </c>
      <c r="AK482" s="5">
        <v>-1.742033239</v>
      </c>
      <c r="AL482" s="5">
        <v>-1.439087842</v>
      </c>
      <c r="AM482" s="5">
        <v>-2.234077755</v>
      </c>
      <c r="AN482" s="5">
        <v>-1.112718551</v>
      </c>
      <c r="AO482" s="5">
        <v>-0.4368918995</v>
      </c>
      <c r="AP482" s="5">
        <v>-0.2350837104</v>
      </c>
      <c r="AQ482" s="5">
        <v>1.579413313</v>
      </c>
    </row>
    <row r="483">
      <c r="A483" s="342">
        <v>482.0</v>
      </c>
      <c r="B483" s="347"/>
      <c r="C483" s="347"/>
      <c r="D483" s="341">
        <v>-1.330951381</v>
      </c>
      <c r="E483" s="342">
        <v>-0.003062520687</v>
      </c>
      <c r="F483" s="342">
        <v>-1.008277703</v>
      </c>
      <c r="G483" s="342">
        <v>-0.3226736783</v>
      </c>
      <c r="H483" s="343"/>
      <c r="I483" s="343"/>
      <c r="J483" s="342" t="s">
        <v>2491</v>
      </c>
      <c r="K483" s="342" t="s">
        <v>144</v>
      </c>
      <c r="L483" s="342" t="s">
        <v>1404</v>
      </c>
      <c r="M483" s="342" t="s">
        <v>2492</v>
      </c>
      <c r="N483" s="343"/>
      <c r="O483" s="342" t="s">
        <v>1374</v>
      </c>
      <c r="P483" s="342" t="s">
        <v>2227</v>
      </c>
      <c r="Q483" s="342">
        <v>1.0</v>
      </c>
      <c r="R483" s="343"/>
      <c r="S483" s="342" t="s">
        <v>2232</v>
      </c>
      <c r="T483" s="342">
        <v>16.0</v>
      </c>
      <c r="U483" s="342">
        <v>16.0</v>
      </c>
      <c r="V483" s="342">
        <v>6.0</v>
      </c>
      <c r="W483" s="341">
        <v>2.315625</v>
      </c>
      <c r="X483" s="5">
        <v>0.24125</v>
      </c>
      <c r="Y483" s="5">
        <v>1.01</v>
      </c>
      <c r="Z483" s="5">
        <v>0.466875</v>
      </c>
      <c r="AA483" s="5">
        <v>0.2525</v>
      </c>
      <c r="AB483" s="5">
        <v>0.12625</v>
      </c>
      <c r="AC483" s="5">
        <v>0.4225826193</v>
      </c>
      <c r="AD483" s="5">
        <v>2.0425</v>
      </c>
      <c r="AE483" s="5">
        <v>0.7095541401</v>
      </c>
      <c r="AF483" s="5">
        <v>0.490625</v>
      </c>
      <c r="AG483" s="5">
        <v>0.505</v>
      </c>
      <c r="AH483" s="5">
        <v>19.88947745</v>
      </c>
      <c r="AI483" s="5">
        <v>-2.281058302</v>
      </c>
      <c r="AJ483" s="5">
        <v>-1.37481323</v>
      </c>
      <c r="AK483" s="5">
        <v>-1.911344369</v>
      </c>
      <c r="AL483" s="5">
        <v>-1.500572281</v>
      </c>
      <c r="AM483" s="5">
        <v>-2.172914926</v>
      </c>
      <c r="AN483" s="5">
        <v>-1.033871129</v>
      </c>
      <c r="AO483" s="5">
        <v>-0.2119944117</v>
      </c>
      <c r="AP483" s="5">
        <v>-0.1610424023</v>
      </c>
      <c r="AQ483" s="5">
        <v>1.573111723</v>
      </c>
    </row>
    <row r="484">
      <c r="A484" s="342">
        <v>483.0</v>
      </c>
      <c r="B484" s="347"/>
      <c r="C484" s="347"/>
      <c r="D484" s="341">
        <v>-1.332957638</v>
      </c>
      <c r="E484" s="342">
        <v>0.2327272541</v>
      </c>
      <c r="F484" s="342">
        <v>-1.003496886</v>
      </c>
      <c r="G484" s="342">
        <v>-0.3294607515</v>
      </c>
      <c r="H484" s="342">
        <v>0.9314163585</v>
      </c>
      <c r="I484" s="343"/>
      <c r="J484" s="342" t="s">
        <v>2493</v>
      </c>
      <c r="K484" s="342" t="s">
        <v>222</v>
      </c>
      <c r="L484" s="342" t="s">
        <v>1380</v>
      </c>
      <c r="M484" s="343"/>
      <c r="N484" s="343"/>
      <c r="O484" s="342" t="s">
        <v>1378</v>
      </c>
      <c r="P484" s="342" t="s">
        <v>2287</v>
      </c>
      <c r="Q484" s="343"/>
      <c r="R484" s="343"/>
      <c r="S484" s="342" t="s">
        <v>2232</v>
      </c>
      <c r="T484" s="342">
        <v>16.0</v>
      </c>
      <c r="U484" s="342">
        <v>15.0</v>
      </c>
      <c r="V484" s="342">
        <v>7.0</v>
      </c>
      <c r="W484" s="341">
        <v>2.615</v>
      </c>
      <c r="X484" s="5">
        <v>0.2525</v>
      </c>
      <c r="Y484" s="5">
        <v>1.015</v>
      </c>
      <c r="Z484" s="5">
        <v>0.715625</v>
      </c>
      <c r="AA484" s="5">
        <v>0.19625</v>
      </c>
      <c r="AB484" s="5">
        <v>0.079375</v>
      </c>
      <c r="AC484" s="5">
        <v>0.4430449069</v>
      </c>
      <c r="AD484" s="5">
        <v>2.2825</v>
      </c>
      <c r="AE484" s="5">
        <v>0.7186261559</v>
      </c>
      <c r="AF484" s="5">
        <v>0.473125</v>
      </c>
      <c r="AG484" s="5">
        <v>0.458125</v>
      </c>
      <c r="AH484" s="5">
        <v>18.41704228</v>
      </c>
      <c r="AI484" s="5">
        <v>-2.230796901</v>
      </c>
      <c r="AJ484" s="5">
        <v>-1.363768209</v>
      </c>
      <c r="AK484" s="5">
        <v>-1.909343647</v>
      </c>
      <c r="AL484" s="5">
        <v>-1.385685865</v>
      </c>
      <c r="AM484" s="5">
        <v>-2.350484429</v>
      </c>
      <c r="AN484" s="5">
        <v>-1.119574849</v>
      </c>
      <c r="AO484" s="5">
        <v>-0.1644006003</v>
      </c>
      <c r="AP484" s="5">
        <v>-0.1396066017</v>
      </c>
      <c r="AQ484" s="5">
        <v>1.632189126</v>
      </c>
    </row>
    <row r="485">
      <c r="A485" s="342">
        <v>484.0</v>
      </c>
      <c r="B485" s="347"/>
      <c r="C485" s="347"/>
      <c r="D485" s="341">
        <v>-1.333195015</v>
      </c>
      <c r="E485" s="342">
        <v>-0.00311133269</v>
      </c>
      <c r="F485" s="342">
        <v>-1.043518361</v>
      </c>
      <c r="G485" s="342">
        <v>-0.2896766534</v>
      </c>
      <c r="H485" s="343"/>
      <c r="I485" s="343"/>
      <c r="J485" s="342" t="s">
        <v>2494</v>
      </c>
      <c r="K485" s="342" t="s">
        <v>74</v>
      </c>
      <c r="L485" s="342" t="s">
        <v>1380</v>
      </c>
      <c r="M485" s="342" t="s">
        <v>2495</v>
      </c>
      <c r="N485" s="343"/>
      <c r="O485" s="342" t="s">
        <v>1368</v>
      </c>
      <c r="P485" s="343"/>
      <c r="Q485" s="342">
        <v>1.0</v>
      </c>
      <c r="R485" s="343"/>
      <c r="S485" s="342" t="s">
        <v>1960</v>
      </c>
      <c r="T485" s="342">
        <v>29.0</v>
      </c>
      <c r="U485" s="342">
        <v>16.0</v>
      </c>
      <c r="V485" s="342">
        <v>9.0</v>
      </c>
      <c r="W485" s="341">
        <v>2.682413793</v>
      </c>
      <c r="X485" s="5">
        <v>0.4306896552</v>
      </c>
      <c r="Y485" s="5">
        <v>1.243793103</v>
      </c>
      <c r="Z485" s="5">
        <v>1.113793103</v>
      </c>
      <c r="AA485" s="5">
        <v>0.2227586207</v>
      </c>
      <c r="AB485" s="5">
        <v>0.1113793103</v>
      </c>
      <c r="AC485" s="5">
        <v>0.3382221227</v>
      </c>
      <c r="AD485" s="5">
        <v>3.08</v>
      </c>
      <c r="AE485" s="5">
        <v>0.6069651741</v>
      </c>
      <c r="AF485" s="5">
        <v>0.2772413793</v>
      </c>
      <c r="AG485" s="5">
        <v>0.7424137931</v>
      </c>
      <c r="AH485" s="5">
        <v>19.5212263</v>
      </c>
      <c r="AI485" s="5">
        <v>-2.219478949</v>
      </c>
      <c r="AJ485" s="5">
        <v>-1.188825243</v>
      </c>
      <c r="AK485" s="5">
        <v>-1.817793351</v>
      </c>
      <c r="AL485" s="5">
        <v>-1.20178996</v>
      </c>
      <c r="AM485" s="5">
        <v>-2.26680225</v>
      </c>
      <c r="AN485" s="5">
        <v>-1.061059895</v>
      </c>
      <c r="AO485" s="5">
        <v>-0.7123717268</v>
      </c>
      <c r="AP485" s="5">
        <v>-0.1974387438</v>
      </c>
      <c r="AQ485" s="5">
        <v>1.273894866</v>
      </c>
    </row>
    <row r="486">
      <c r="A486" s="342">
        <v>485.0</v>
      </c>
      <c r="B486" s="347"/>
      <c r="C486" s="347"/>
      <c r="D486" s="341">
        <v>-1.333430884</v>
      </c>
      <c r="E486" s="342">
        <v>-0.003845455704</v>
      </c>
      <c r="F486" s="342">
        <v>-1.007680999</v>
      </c>
      <c r="G486" s="342">
        <v>-0.325749885</v>
      </c>
      <c r="H486" s="343"/>
      <c r="I486" s="343"/>
      <c r="J486" s="342" t="s">
        <v>2496</v>
      </c>
      <c r="K486" s="342" t="s">
        <v>169</v>
      </c>
      <c r="L486" s="342" t="s">
        <v>1404</v>
      </c>
      <c r="M486" s="342" t="s">
        <v>2497</v>
      </c>
      <c r="N486" s="343"/>
      <c r="O486" s="342" t="s">
        <v>1368</v>
      </c>
      <c r="P486" s="342" t="s">
        <v>2227</v>
      </c>
      <c r="Q486" s="342">
        <v>2.0</v>
      </c>
      <c r="R486" s="343"/>
      <c r="S486" s="342" t="s">
        <v>2232</v>
      </c>
      <c r="T486" s="342">
        <v>16.0</v>
      </c>
      <c r="U486" s="342">
        <v>15.0</v>
      </c>
      <c r="V486" s="342">
        <v>8.0</v>
      </c>
      <c r="W486" s="341">
        <v>2.51625</v>
      </c>
      <c r="X486" s="5">
        <v>0.226875</v>
      </c>
      <c r="Y486" s="5">
        <v>1.293125</v>
      </c>
      <c r="Z486" s="5">
        <v>0.388125</v>
      </c>
      <c r="AA486" s="5">
        <v>0.21</v>
      </c>
      <c r="AB486" s="5">
        <v>0.145625</v>
      </c>
      <c r="AC486" s="5">
        <v>0.4432755189</v>
      </c>
      <c r="AD486" s="5">
        <v>2.198125</v>
      </c>
      <c r="AE486" s="5">
        <v>0.673671199</v>
      </c>
      <c r="AF486" s="5">
        <v>0.505625</v>
      </c>
      <c r="AG486" s="5">
        <v>0.485</v>
      </c>
      <c r="AH486" s="5">
        <v>16.56831716</v>
      </c>
      <c r="AI486" s="5">
        <v>-2.247375818</v>
      </c>
      <c r="AJ486" s="5">
        <v>-1.388926311</v>
      </c>
      <c r="AK486" s="5">
        <v>-1.798053465</v>
      </c>
      <c r="AL486" s="5">
        <v>-1.536943357</v>
      </c>
      <c r="AM486" s="5">
        <v>-2.307078551</v>
      </c>
      <c r="AN486" s="5">
        <v>-0.9984469243</v>
      </c>
      <c r="AO486" s="5">
        <v>-0.157887362</v>
      </c>
      <c r="AP486" s="5">
        <v>-0.232735281</v>
      </c>
      <c r="AQ486" s="5">
        <v>1.598318082</v>
      </c>
    </row>
    <row r="487">
      <c r="A487" s="342">
        <v>486.0</v>
      </c>
      <c r="B487" s="341">
        <v>1.0</v>
      </c>
      <c r="C487" s="341">
        <v>-0.1</v>
      </c>
      <c r="D487" s="341">
        <v>-1.334893512</v>
      </c>
      <c r="E487" s="342">
        <v>-0.003295528975</v>
      </c>
      <c r="F487" s="342">
        <v>-0.9864004163</v>
      </c>
      <c r="G487" s="342">
        <v>-0.3484930953</v>
      </c>
      <c r="H487" s="342">
        <v>0.1261804646</v>
      </c>
      <c r="I487" s="343"/>
      <c r="J487" s="342" t="s">
        <v>2498</v>
      </c>
      <c r="K487" s="342" t="s">
        <v>126</v>
      </c>
      <c r="L487" s="342" t="s">
        <v>1380</v>
      </c>
      <c r="M487" s="342" t="s">
        <v>2499</v>
      </c>
      <c r="N487" s="343"/>
      <c r="O487" s="342" t="s">
        <v>1374</v>
      </c>
      <c r="P487" s="342" t="s">
        <v>1812</v>
      </c>
      <c r="Q487" s="342">
        <v>5.0</v>
      </c>
      <c r="R487" s="343"/>
      <c r="S487" s="342" t="s">
        <v>2232</v>
      </c>
      <c r="T487" s="342">
        <v>16.0</v>
      </c>
      <c r="U487" s="342">
        <v>15.0</v>
      </c>
      <c r="V487" s="342">
        <v>7.0</v>
      </c>
      <c r="W487" s="341">
        <v>1.85</v>
      </c>
      <c r="X487" s="5">
        <v>0.296875</v>
      </c>
      <c r="Y487" s="5">
        <v>0.854375</v>
      </c>
      <c r="Z487" s="5">
        <v>0.633125</v>
      </c>
      <c r="AA487" s="5">
        <v>0.24125</v>
      </c>
      <c r="AB487" s="5">
        <v>0.12</v>
      </c>
      <c r="AC487" s="5">
        <v>0.3681752874</v>
      </c>
      <c r="AD487" s="5">
        <v>1.74</v>
      </c>
      <c r="AE487" s="5">
        <v>0.7823741007</v>
      </c>
      <c r="AF487" s="5">
        <v>0.3475</v>
      </c>
      <c r="AG487" s="5">
        <v>0.32375</v>
      </c>
      <c r="AH487" s="5">
        <v>13.63364366</v>
      </c>
      <c r="AI487" s="5">
        <v>-2.359231046</v>
      </c>
      <c r="AJ487" s="5">
        <v>-1.32020174</v>
      </c>
      <c r="AK487" s="5">
        <v>-1.973616853</v>
      </c>
      <c r="AL487" s="5">
        <v>-1.423788897</v>
      </c>
      <c r="AM487" s="5">
        <v>-2.208428827</v>
      </c>
      <c r="AN487" s="5">
        <v>-1.045298291</v>
      </c>
      <c r="AO487" s="5">
        <v>-0.3267320587</v>
      </c>
      <c r="AP487" s="5">
        <v>-0.02185037988</v>
      </c>
      <c r="AQ487" s="5">
        <v>1.801544346</v>
      </c>
    </row>
    <row r="488">
      <c r="A488" s="342">
        <v>487.0</v>
      </c>
      <c r="B488" s="347"/>
      <c r="C488" s="347"/>
      <c r="D488" s="341">
        <v>-1.336143231</v>
      </c>
      <c r="E488" s="342">
        <v>-0.003736365162</v>
      </c>
      <c r="F488" s="342">
        <v>-0.9962634856</v>
      </c>
      <c r="G488" s="342">
        <v>-0.3398797452</v>
      </c>
      <c r="H488" s="343"/>
      <c r="I488" s="343"/>
      <c r="J488" s="342" t="s">
        <v>2500</v>
      </c>
      <c r="K488" s="342" t="s">
        <v>89</v>
      </c>
      <c r="L488" s="342" t="s">
        <v>1404</v>
      </c>
      <c r="M488" s="342" t="s">
        <v>2501</v>
      </c>
      <c r="N488" s="343"/>
      <c r="O488" s="342" t="s">
        <v>1368</v>
      </c>
      <c r="P488" s="342" t="s">
        <v>2413</v>
      </c>
      <c r="Q488" s="342">
        <v>2.0</v>
      </c>
      <c r="R488" s="343"/>
      <c r="S488" s="342" t="s">
        <v>2232</v>
      </c>
      <c r="T488" s="342">
        <v>16.0</v>
      </c>
      <c r="U488" s="342">
        <v>14.0</v>
      </c>
      <c r="V488" s="342">
        <v>6.0</v>
      </c>
      <c r="W488" s="341">
        <v>2.13</v>
      </c>
      <c r="X488" s="5">
        <v>0.05375</v>
      </c>
      <c r="Y488" s="5">
        <v>1.67375</v>
      </c>
      <c r="Z488" s="5">
        <v>0.30875</v>
      </c>
      <c r="AA488" s="5">
        <v>0.141875</v>
      </c>
      <c r="AB488" s="5">
        <v>0.1675</v>
      </c>
      <c r="AC488" s="5">
        <v>0.5183265457</v>
      </c>
      <c r="AD488" s="5">
        <v>1.688125</v>
      </c>
      <c r="AE488" s="5">
        <v>0.6904761905</v>
      </c>
      <c r="AF488" s="5">
        <v>0.4725</v>
      </c>
      <c r="AG488" s="5">
        <v>0.38625</v>
      </c>
      <c r="AH488" s="5">
        <v>16.10571041</v>
      </c>
      <c r="AI488" s="5">
        <v>-2.31222247</v>
      </c>
      <c r="AJ488" s="5">
        <v>-1.558896902</v>
      </c>
      <c r="AK488" s="5">
        <v>-1.645748475</v>
      </c>
      <c r="AL488" s="5">
        <v>-1.573603093</v>
      </c>
      <c r="AM488" s="5">
        <v>-2.522134948</v>
      </c>
      <c r="AN488" s="5">
        <v>-0.9584518549</v>
      </c>
      <c r="AO488" s="5">
        <v>0.07036953766</v>
      </c>
      <c r="AP488" s="5">
        <v>-0.1884576411</v>
      </c>
      <c r="AQ488" s="5">
        <v>1.722774476</v>
      </c>
    </row>
    <row r="489">
      <c r="A489" s="342">
        <v>488.0</v>
      </c>
      <c r="B489" s="347"/>
      <c r="C489" s="347"/>
      <c r="D489" s="341">
        <v>-1.336462098</v>
      </c>
      <c r="E489" s="342">
        <v>-0.004377021293</v>
      </c>
      <c r="F489" s="342">
        <v>-0.987007017</v>
      </c>
      <c r="G489" s="342">
        <v>-0.3494550814</v>
      </c>
      <c r="H489" s="342">
        <v>-0.5341129685</v>
      </c>
      <c r="I489" s="343"/>
      <c r="J489" s="342" t="s">
        <v>2502</v>
      </c>
      <c r="K489" s="342" t="s">
        <v>222</v>
      </c>
      <c r="L489" s="342" t="s">
        <v>1380</v>
      </c>
      <c r="M489" s="342" t="s">
        <v>2503</v>
      </c>
      <c r="N489" s="343"/>
      <c r="O489" s="342" t="s">
        <v>1368</v>
      </c>
      <c r="P489" s="342" t="s">
        <v>1423</v>
      </c>
      <c r="Q489" s="342">
        <v>5.0</v>
      </c>
      <c r="R489" s="343"/>
      <c r="S489" s="342" t="s">
        <v>2232</v>
      </c>
      <c r="T489" s="342">
        <v>16.0</v>
      </c>
      <c r="U489" s="342">
        <v>15.0</v>
      </c>
      <c r="V489" s="342">
        <v>6.0</v>
      </c>
      <c r="W489" s="341">
        <v>1.57375</v>
      </c>
      <c r="X489" s="5">
        <v>0.150625</v>
      </c>
      <c r="Y489" s="5">
        <v>0.853125</v>
      </c>
      <c r="Z489" s="5">
        <v>0.531875</v>
      </c>
      <c r="AA489" s="5">
        <v>0.239375</v>
      </c>
      <c r="AB489" s="5">
        <v>0.079375</v>
      </c>
      <c r="AC489" s="5">
        <v>0.474249888</v>
      </c>
      <c r="AD489" s="5">
        <v>1.395625</v>
      </c>
      <c r="AE489" s="5">
        <v>0.7910447761</v>
      </c>
      <c r="AF489" s="5">
        <v>0.125625</v>
      </c>
      <c r="AG489" s="5">
        <v>0.318125</v>
      </c>
      <c r="AH489" s="5">
        <v>12.89007153</v>
      </c>
      <c r="AI489" s="5">
        <v>-2.405610043</v>
      </c>
      <c r="AJ489" s="5">
        <v>-1.463787005</v>
      </c>
      <c r="AK489" s="5">
        <v>-1.974117034</v>
      </c>
      <c r="AL489" s="5">
        <v>-1.47055171</v>
      </c>
      <c r="AM489" s="5">
        <v>-2.21434781</v>
      </c>
      <c r="AN489" s="5">
        <v>-1.119574849</v>
      </c>
      <c r="AO489" s="5">
        <v>-0.03748654144</v>
      </c>
      <c r="AP489" s="5">
        <v>-0.006221795656</v>
      </c>
      <c r="AQ489" s="5">
        <v>1.808633634</v>
      </c>
    </row>
    <row r="490">
      <c r="A490" s="342">
        <v>489.0</v>
      </c>
      <c r="B490" s="347"/>
      <c r="C490" s="347"/>
      <c r="D490" s="341">
        <v>-1.340508199</v>
      </c>
      <c r="E490" s="342">
        <v>-0.003359534281</v>
      </c>
      <c r="F490" s="342">
        <v>-1.010996195</v>
      </c>
      <c r="G490" s="342">
        <v>-0.3295120041</v>
      </c>
      <c r="H490" s="342">
        <v>0.206704054</v>
      </c>
      <c r="I490" s="343"/>
      <c r="J490" s="342" t="s">
        <v>2504</v>
      </c>
      <c r="K490" s="342" t="s">
        <v>74</v>
      </c>
      <c r="L490" s="342" t="s">
        <v>1380</v>
      </c>
      <c r="M490" s="342" t="s">
        <v>2505</v>
      </c>
      <c r="N490" s="343"/>
      <c r="O490" s="342" t="s">
        <v>1368</v>
      </c>
      <c r="P490" s="342" t="s">
        <v>2227</v>
      </c>
      <c r="Q490" s="342">
        <v>4.0</v>
      </c>
      <c r="R490" s="343"/>
      <c r="S490" s="342" t="s">
        <v>2232</v>
      </c>
      <c r="T490" s="342">
        <v>16.0</v>
      </c>
      <c r="U490" s="342">
        <v>16.0</v>
      </c>
      <c r="V490" s="342">
        <v>5.0</v>
      </c>
      <c r="W490" s="341">
        <v>2.064375</v>
      </c>
      <c r="X490" s="5">
        <v>0.13875</v>
      </c>
      <c r="Y490" s="5">
        <v>0.80375</v>
      </c>
      <c r="Z490" s="5">
        <v>0.7425</v>
      </c>
      <c r="AA490" s="5">
        <v>0.211875</v>
      </c>
      <c r="AB490" s="5">
        <v>0.05875</v>
      </c>
      <c r="AC490" s="5">
        <v>0.4626048887</v>
      </c>
      <c r="AD490" s="5">
        <v>1.713125</v>
      </c>
      <c r="AE490" s="5">
        <v>0.783045977</v>
      </c>
      <c r="AF490" s="5">
        <v>0.435</v>
      </c>
      <c r="AG490" s="5">
        <v>0.46375</v>
      </c>
      <c r="AH490" s="5">
        <v>21.09748961</v>
      </c>
      <c r="AI490" s="5">
        <v>-2.323240105</v>
      </c>
      <c r="AJ490" s="5">
        <v>-1.475445637</v>
      </c>
      <c r="AK490" s="5">
        <v>-1.993874167</v>
      </c>
      <c r="AL490" s="5">
        <v>-1.373273514</v>
      </c>
      <c r="AM490" s="5">
        <v>-2.301159567</v>
      </c>
      <c r="AN490" s="5">
        <v>-1.157284485</v>
      </c>
      <c r="AO490" s="5">
        <v>-0.07443521992</v>
      </c>
      <c r="AP490" s="5">
        <v>-0.02535289767</v>
      </c>
      <c r="AQ490" s="5">
        <v>1.625099837</v>
      </c>
    </row>
    <row r="491">
      <c r="A491" s="342">
        <v>490.0</v>
      </c>
      <c r="B491" s="347"/>
      <c r="C491" s="347"/>
      <c r="D491" s="341">
        <v>-1.342666477</v>
      </c>
      <c r="E491" s="342">
        <v>-0.002938445634</v>
      </c>
      <c r="F491" s="342">
        <v>-1.023417313</v>
      </c>
      <c r="G491" s="342">
        <v>-0.3192491634</v>
      </c>
      <c r="H491" s="342">
        <v>0.7542644619</v>
      </c>
      <c r="I491" s="343"/>
      <c r="J491" s="342" t="s">
        <v>2506</v>
      </c>
      <c r="K491" s="342" t="s">
        <v>57</v>
      </c>
      <c r="L491" s="342" t="s">
        <v>1380</v>
      </c>
      <c r="M491" s="342" t="s">
        <v>2507</v>
      </c>
      <c r="N491" s="343"/>
      <c r="O491" s="342" t="s">
        <v>1368</v>
      </c>
      <c r="P491" s="342" t="s">
        <v>2102</v>
      </c>
      <c r="Q491" s="342">
        <v>4.0</v>
      </c>
      <c r="R491" s="343"/>
      <c r="S491" s="342" t="s">
        <v>2232</v>
      </c>
      <c r="T491" s="342">
        <v>16.0</v>
      </c>
      <c r="U491" s="342">
        <v>13.0</v>
      </c>
      <c r="V491" s="342">
        <v>8.0</v>
      </c>
      <c r="W491" s="341">
        <v>3.45</v>
      </c>
      <c r="X491" s="5">
        <v>0.26625</v>
      </c>
      <c r="Y491" s="5">
        <v>0.925625</v>
      </c>
      <c r="Z491" s="5">
        <v>0.9625</v>
      </c>
      <c r="AA491" s="5">
        <v>0.235625</v>
      </c>
      <c r="AB491" s="5">
        <v>0.1225</v>
      </c>
      <c r="AC491" s="5">
        <v>0.3938755981</v>
      </c>
      <c r="AD491" s="5">
        <v>3.265625</v>
      </c>
      <c r="AE491" s="5">
        <v>0.6931254429</v>
      </c>
      <c r="AF491" s="5">
        <v>0.881875</v>
      </c>
      <c r="AG491" s="5">
        <v>0.53875</v>
      </c>
      <c r="AH491" s="5">
        <v>22.48710646</v>
      </c>
      <c r="AI491" s="5">
        <v>-2.090610611</v>
      </c>
      <c r="AJ491" s="5">
        <v>-1.35026874</v>
      </c>
      <c r="AK491" s="5">
        <v>-1.945106559</v>
      </c>
      <c r="AL491" s="5">
        <v>-1.271665427</v>
      </c>
      <c r="AM491" s="5">
        <v>-2.226185777</v>
      </c>
      <c r="AN491" s="5">
        <v>-1.040727426</v>
      </c>
      <c r="AO491" s="5">
        <v>-0.4768142899</v>
      </c>
      <c r="AP491" s="5">
        <v>-0.3399529833</v>
      </c>
      <c r="AQ491" s="5">
        <v>1.530575993</v>
      </c>
    </row>
    <row r="492">
      <c r="A492" s="342">
        <v>491.0</v>
      </c>
      <c r="B492" s="341">
        <v>4.0</v>
      </c>
      <c r="C492" s="341">
        <v>0.9</v>
      </c>
      <c r="D492" s="341">
        <v>-1.344737214</v>
      </c>
      <c r="E492" s="342">
        <v>-0.08727202535</v>
      </c>
      <c r="F492" s="342">
        <v>-1.03077186</v>
      </c>
      <c r="G492" s="342">
        <v>-0.3139653544</v>
      </c>
      <c r="H492" s="343"/>
      <c r="I492" s="343"/>
      <c r="J492" s="342" t="s">
        <v>2508</v>
      </c>
      <c r="K492" s="342" t="s">
        <v>63</v>
      </c>
      <c r="L492" s="342" t="s">
        <v>1380</v>
      </c>
      <c r="M492" s="342" t="s">
        <v>2509</v>
      </c>
      <c r="N492" s="343"/>
      <c r="O492" s="342" t="s">
        <v>1368</v>
      </c>
      <c r="P492" s="343"/>
      <c r="Q492" s="342">
        <v>3.0</v>
      </c>
      <c r="R492" s="343"/>
      <c r="S492" s="342" t="s">
        <v>2232</v>
      </c>
      <c r="T492" s="342">
        <v>16.0</v>
      </c>
      <c r="U492" s="342">
        <v>13.0</v>
      </c>
      <c r="V492" s="342">
        <v>8.0</v>
      </c>
      <c r="W492" s="341">
        <v>2.043125</v>
      </c>
      <c r="X492" s="5">
        <v>0.30375</v>
      </c>
      <c r="Y492" s="5">
        <v>0.85</v>
      </c>
      <c r="Z492" s="5">
        <v>0.68</v>
      </c>
      <c r="AA492" s="5">
        <v>0.271875</v>
      </c>
      <c r="AB492" s="5">
        <v>0.085</v>
      </c>
      <c r="AC492" s="5">
        <v>0.3639869475</v>
      </c>
      <c r="AD492" s="5">
        <v>2.106875</v>
      </c>
      <c r="AE492" s="5">
        <v>0.6970338983</v>
      </c>
      <c r="AF492" s="5">
        <v>0.295</v>
      </c>
      <c r="AG492" s="5">
        <v>0.578125</v>
      </c>
      <c r="AH492" s="5">
        <v>15.14599845</v>
      </c>
      <c r="AI492" s="5">
        <v>-2.32680772</v>
      </c>
      <c r="AJ492" s="5">
        <v>-1.313452005</v>
      </c>
      <c r="AK492" s="5">
        <v>-1.975367485</v>
      </c>
      <c r="AL492" s="5">
        <v>-1.402139447</v>
      </c>
      <c r="AM492" s="5">
        <v>-2.111752098</v>
      </c>
      <c r="AN492" s="5">
        <v>-1.109290402</v>
      </c>
      <c r="AO492" s="5">
        <v>-0.4071828092</v>
      </c>
      <c r="AP492" s="5">
        <v>-0.111905745</v>
      </c>
      <c r="AQ492" s="5">
        <v>1.480950975</v>
      </c>
    </row>
    <row r="493">
      <c r="A493" s="342">
        <v>492.0</v>
      </c>
      <c r="B493" s="347"/>
      <c r="C493" s="347"/>
      <c r="D493" s="341">
        <v>-1.348504481</v>
      </c>
      <c r="E493" s="342">
        <v>-0.003190769269</v>
      </c>
      <c r="F493" s="342">
        <v>-1.015565861</v>
      </c>
      <c r="G493" s="342">
        <v>-0.3329386201</v>
      </c>
      <c r="H493" s="343"/>
      <c r="I493" s="343"/>
      <c r="J493" s="342" t="s">
        <v>2510</v>
      </c>
      <c r="K493" s="342" t="s">
        <v>1471</v>
      </c>
      <c r="L493" s="342" t="s">
        <v>1380</v>
      </c>
      <c r="M493" s="342" t="s">
        <v>2511</v>
      </c>
      <c r="N493" s="343"/>
      <c r="O493" s="342" t="s">
        <v>1368</v>
      </c>
      <c r="P493" s="343"/>
      <c r="Q493" s="342">
        <v>2.0</v>
      </c>
      <c r="R493" s="343"/>
      <c r="S493" s="342" t="s">
        <v>2232</v>
      </c>
      <c r="T493" s="342">
        <v>16.0</v>
      </c>
      <c r="U493" s="342">
        <v>16.0</v>
      </c>
      <c r="V493" s="342">
        <v>8.0</v>
      </c>
      <c r="W493" s="341">
        <v>2.678125</v>
      </c>
      <c r="X493" s="5">
        <v>0.508125</v>
      </c>
      <c r="Y493" s="5">
        <v>0.825</v>
      </c>
      <c r="Z493" s="5">
        <v>0.379375</v>
      </c>
      <c r="AA493" s="5">
        <v>0.18125</v>
      </c>
      <c r="AB493" s="5">
        <v>0.06625</v>
      </c>
      <c r="AC493" s="5">
        <v>0.3894440174</v>
      </c>
      <c r="AD493" s="5">
        <v>2.439375</v>
      </c>
      <c r="AE493" s="5">
        <v>0.78976234</v>
      </c>
      <c r="AF493" s="5">
        <v>0.341875</v>
      </c>
      <c r="AG493" s="5">
        <v>0.445625</v>
      </c>
      <c r="AH493" s="5">
        <v>16.6876036</v>
      </c>
      <c r="AI493" s="5">
        <v>-2.220198985</v>
      </c>
      <c r="AJ493" s="5">
        <v>-1.112800802</v>
      </c>
      <c r="AK493" s="5">
        <v>-1.985371097</v>
      </c>
      <c r="AL493" s="5">
        <v>-1.540984588</v>
      </c>
      <c r="AM493" s="5">
        <v>-2.397836296</v>
      </c>
      <c r="AN493" s="5">
        <v>-1.14357189</v>
      </c>
      <c r="AO493" s="5">
        <v>-0.3750272262</v>
      </c>
      <c r="AP493" s="5">
        <v>-0.01224496459</v>
      </c>
      <c r="AQ493" s="5">
        <v>1.6479431</v>
      </c>
    </row>
    <row r="494">
      <c r="A494" s="342">
        <v>493.0</v>
      </c>
      <c r="B494" s="347"/>
      <c r="C494" s="347"/>
      <c r="D494" s="341">
        <v>-1.350483449</v>
      </c>
      <c r="E494" s="342">
        <v>-0.00537878109</v>
      </c>
      <c r="F494" s="342">
        <v>-0.9909435548</v>
      </c>
      <c r="G494" s="342">
        <v>-0.3595398942</v>
      </c>
      <c r="H494" s="342">
        <v>0.07786631094</v>
      </c>
      <c r="I494" s="343"/>
      <c r="J494" s="342" t="s">
        <v>2512</v>
      </c>
      <c r="K494" s="342" t="s">
        <v>159</v>
      </c>
      <c r="L494" s="342" t="s">
        <v>1366</v>
      </c>
      <c r="M494" s="342" t="s">
        <v>2513</v>
      </c>
      <c r="N494" s="343"/>
      <c r="O494" s="342" t="s">
        <v>1368</v>
      </c>
      <c r="P494" s="342" t="s">
        <v>1399</v>
      </c>
      <c r="Q494" s="342">
        <v>4.0</v>
      </c>
      <c r="R494" s="343"/>
      <c r="S494" s="342" t="s">
        <v>1960</v>
      </c>
      <c r="T494" s="342">
        <v>47.0</v>
      </c>
      <c r="U494" s="342">
        <v>14.0</v>
      </c>
      <c r="V494" s="342">
        <v>6.0</v>
      </c>
      <c r="W494" s="341">
        <v>2.447659574</v>
      </c>
      <c r="X494" s="5">
        <v>0.2765957447</v>
      </c>
      <c r="Y494" s="5">
        <v>1.482340426</v>
      </c>
      <c r="Z494" s="5">
        <v>0.2695744681</v>
      </c>
      <c r="AA494" s="5">
        <v>0.1225531915</v>
      </c>
      <c r="AB494" s="5">
        <v>0.07340425532</v>
      </c>
      <c r="AC494" s="5">
        <v>0.4921296296</v>
      </c>
      <c r="AD494" s="5">
        <v>1.838297872</v>
      </c>
      <c r="AE494" s="5">
        <v>0.7030603805</v>
      </c>
      <c r="AF494" s="5">
        <v>0.5144680851</v>
      </c>
      <c r="AG494" s="5">
        <v>0.2572340426</v>
      </c>
      <c r="AH494" s="5">
        <v>17.18738498</v>
      </c>
      <c r="AI494" s="5">
        <v>-2.258891312</v>
      </c>
      <c r="AJ494" s="5">
        <v>-1.340111499</v>
      </c>
      <c r="AK494" s="5">
        <v>-1.722339958</v>
      </c>
      <c r="AL494" s="5">
        <v>-1.591696506</v>
      </c>
      <c r="AM494" s="5">
        <v>-2.583129862</v>
      </c>
      <c r="AN494" s="5">
        <v>-1.130491436</v>
      </c>
      <c r="AO494" s="5">
        <v>0.003798899216</v>
      </c>
      <c r="AP494" s="5">
        <v>-0.1810059182</v>
      </c>
      <c r="AQ494" s="5">
        <v>1.885375599</v>
      </c>
    </row>
    <row r="495">
      <c r="A495" s="342">
        <v>494.0</v>
      </c>
      <c r="B495" s="347"/>
      <c r="C495" s="347"/>
      <c r="D495" s="341">
        <v>-1.352265337</v>
      </c>
      <c r="E495" s="342">
        <v>-0.003773377208</v>
      </c>
      <c r="F495" s="342">
        <v>-1.008056107</v>
      </c>
      <c r="G495" s="342">
        <v>-0.3442092306</v>
      </c>
      <c r="H495" s="343"/>
      <c r="I495" s="343"/>
      <c r="J495" s="342" t="s">
        <v>2514</v>
      </c>
      <c r="K495" s="342" t="s">
        <v>180</v>
      </c>
      <c r="L495" s="342" t="s">
        <v>34</v>
      </c>
      <c r="M495" s="342" t="s">
        <v>2515</v>
      </c>
      <c r="N495" s="343"/>
      <c r="O495" s="342" t="s">
        <v>1374</v>
      </c>
      <c r="P495" s="342" t="s">
        <v>2413</v>
      </c>
      <c r="Q495" s="342">
        <v>2.0</v>
      </c>
      <c r="R495" s="343"/>
      <c r="S495" s="342" t="s">
        <v>2232</v>
      </c>
      <c r="T495" s="342">
        <v>16.0</v>
      </c>
      <c r="U495" s="342">
        <v>16.0</v>
      </c>
      <c r="V495" s="342">
        <v>5.0</v>
      </c>
      <c r="W495" s="341">
        <v>1.973125</v>
      </c>
      <c r="X495" s="5">
        <v>0.0</v>
      </c>
      <c r="Y495" s="5">
        <v>1.473125</v>
      </c>
      <c r="Z495" s="5">
        <v>0.17875</v>
      </c>
      <c r="AA495" s="5">
        <v>0.1475</v>
      </c>
      <c r="AB495" s="5">
        <v>0.220625</v>
      </c>
      <c r="AC495" s="5">
        <v>0.579916318</v>
      </c>
      <c r="AD495" s="5">
        <v>1.49375</v>
      </c>
      <c r="AE495" s="5">
        <v>0.5754857997</v>
      </c>
      <c r="AF495" s="5">
        <v>0.418125</v>
      </c>
      <c r="AG495" s="5">
        <v>0.368125</v>
      </c>
      <c r="AH495" s="5">
        <v>17.13698023</v>
      </c>
      <c r="AI495" s="5">
        <v>-2.338559864</v>
      </c>
      <c r="AJ495" s="5">
        <v>-1.611667555</v>
      </c>
      <c r="AK495" s="5">
        <v>-1.72602746</v>
      </c>
      <c r="AL495" s="5">
        <v>-1.633644235</v>
      </c>
      <c r="AM495" s="5">
        <v>-2.504377998</v>
      </c>
      <c r="AN495" s="5">
        <v>-0.8613209722</v>
      </c>
      <c r="AO495" s="5">
        <v>0.201904244</v>
      </c>
      <c r="AP495" s="5">
        <v>-0.344428858</v>
      </c>
      <c r="AQ495" s="5">
        <v>1.745617738</v>
      </c>
    </row>
    <row r="496">
      <c r="A496" s="342">
        <v>495.0</v>
      </c>
      <c r="B496" s="347"/>
      <c r="C496" s="347"/>
      <c r="D496" s="341">
        <v>-1.355748779</v>
      </c>
      <c r="E496" s="342">
        <v>-0.003823849553</v>
      </c>
      <c r="F496" s="342">
        <v>-1.055438671</v>
      </c>
      <c r="G496" s="342">
        <v>-0.3003101084</v>
      </c>
      <c r="H496" s="343"/>
      <c r="I496" s="343"/>
      <c r="J496" s="342" t="s">
        <v>2516</v>
      </c>
      <c r="K496" s="342" t="s">
        <v>63</v>
      </c>
      <c r="L496" s="342" t="s">
        <v>1404</v>
      </c>
      <c r="M496" s="342" t="s">
        <v>2517</v>
      </c>
      <c r="N496" s="343"/>
      <c r="O496" s="342" t="s">
        <v>1368</v>
      </c>
      <c r="P496" s="342" t="s">
        <v>2413</v>
      </c>
      <c r="Q496" s="342">
        <v>3.0</v>
      </c>
      <c r="R496" s="343"/>
      <c r="S496" s="342" t="s">
        <v>2232</v>
      </c>
      <c r="T496" s="342">
        <v>16.0</v>
      </c>
      <c r="U496" s="342">
        <v>13.0</v>
      </c>
      <c r="V496" s="342">
        <v>7.0</v>
      </c>
      <c r="W496" s="341">
        <v>2.24375</v>
      </c>
      <c r="X496" s="5">
        <v>0.175625</v>
      </c>
      <c r="Y496" s="5">
        <v>1.4875</v>
      </c>
      <c r="Z496" s="5">
        <v>0.43125</v>
      </c>
      <c r="AA496" s="5">
        <v>0.16375</v>
      </c>
      <c r="AB496" s="5">
        <v>0.14875</v>
      </c>
      <c r="AC496" s="5">
        <v>0.4127345082</v>
      </c>
      <c r="AD496" s="5">
        <v>2.19875</v>
      </c>
      <c r="AE496" s="5">
        <v>0.6761268781</v>
      </c>
      <c r="AF496" s="5">
        <v>0.374375</v>
      </c>
      <c r="AG496" s="5">
        <v>0.684375</v>
      </c>
      <c r="AH496" s="5">
        <v>18.74286177</v>
      </c>
      <c r="AI496" s="5">
        <v>-2.293125236</v>
      </c>
      <c r="AJ496" s="5">
        <v>-1.439242515</v>
      </c>
      <c r="AK496" s="5">
        <v>-1.720275383</v>
      </c>
      <c r="AL496" s="5">
        <v>-1.517025863</v>
      </c>
      <c r="AM496" s="5">
        <v>-2.453080141</v>
      </c>
      <c r="AN496" s="5">
        <v>-0.9927333429</v>
      </c>
      <c r="AO496" s="5">
        <v>-0.2606242942</v>
      </c>
      <c r="AP496" s="5">
        <v>-0.169883457</v>
      </c>
      <c r="AQ496" s="5">
        <v>1.347042197</v>
      </c>
    </row>
    <row r="497">
      <c r="A497" s="342">
        <v>496.0</v>
      </c>
      <c r="B497" s="347"/>
      <c r="C497" s="347"/>
      <c r="D497" s="341">
        <v>-1.360469143</v>
      </c>
      <c r="E497" s="342">
        <v>-0.003402197527</v>
      </c>
      <c r="F497" s="342">
        <v>-0.9992443161</v>
      </c>
      <c r="G497" s="342">
        <v>-0.3612248269</v>
      </c>
      <c r="H497" s="342">
        <v>-0.4857988148</v>
      </c>
      <c r="I497" s="343"/>
      <c r="J497" s="342" t="s">
        <v>2518</v>
      </c>
      <c r="K497" s="342" t="s">
        <v>93</v>
      </c>
      <c r="L497" s="342" t="s">
        <v>1404</v>
      </c>
      <c r="M497" s="342" t="s">
        <v>2519</v>
      </c>
      <c r="N497" s="342" t="s">
        <v>2365</v>
      </c>
      <c r="O497" s="342" t="s">
        <v>1378</v>
      </c>
      <c r="P497" s="342" t="s">
        <v>2413</v>
      </c>
      <c r="Q497" s="342">
        <v>5.0</v>
      </c>
      <c r="R497" s="343"/>
      <c r="S497" s="342" t="s">
        <v>2232</v>
      </c>
      <c r="T497" s="342">
        <v>16.0</v>
      </c>
      <c r="U497" s="342">
        <v>16.0</v>
      </c>
      <c r="V497" s="342">
        <v>7.0</v>
      </c>
      <c r="W497" s="341">
        <v>2.344375</v>
      </c>
      <c r="X497" s="5">
        <v>0.4125</v>
      </c>
      <c r="Y497" s="5">
        <v>1.095</v>
      </c>
      <c r="Z497" s="5">
        <v>0.20375</v>
      </c>
      <c r="AA497" s="5">
        <v>0.163125</v>
      </c>
      <c r="AB497" s="5">
        <v>0.10875</v>
      </c>
      <c r="AC497" s="5">
        <v>0.3823019086</v>
      </c>
      <c r="AD497" s="5">
        <v>2.16125</v>
      </c>
      <c r="AE497" s="5">
        <v>0.7814685315</v>
      </c>
      <c r="AF497" s="5">
        <v>0.3575</v>
      </c>
      <c r="AG497" s="5">
        <v>0.253125</v>
      </c>
      <c r="AH497" s="5">
        <v>15.66103381</v>
      </c>
      <c r="AI497" s="5">
        <v>-2.276231529</v>
      </c>
      <c r="AJ497" s="5">
        <v>-1.206683475</v>
      </c>
      <c r="AK497" s="5">
        <v>-1.877332089</v>
      </c>
      <c r="AL497" s="5">
        <v>-1.622097862</v>
      </c>
      <c r="AM497" s="5">
        <v>-2.455053136</v>
      </c>
      <c r="AN497" s="5">
        <v>-1.065867184</v>
      </c>
      <c r="AO497" s="5">
        <v>-0.3569206752</v>
      </c>
      <c r="AP497" s="5">
        <v>-0.02356719443</v>
      </c>
      <c r="AQ497" s="5">
        <v>1.890554299</v>
      </c>
    </row>
    <row r="498">
      <c r="A498" s="342">
        <v>497.0</v>
      </c>
      <c r="B498" s="347"/>
      <c r="C498" s="347"/>
      <c r="D498" s="341">
        <v>-1.367168905</v>
      </c>
      <c r="E498" s="342">
        <v>-0.003354636496</v>
      </c>
      <c r="F498" s="342">
        <v>-1.011763815</v>
      </c>
      <c r="G498" s="342">
        <v>-0.355405089</v>
      </c>
      <c r="H498" s="343"/>
      <c r="I498" s="343"/>
      <c r="J498" s="342" t="s">
        <v>2520</v>
      </c>
      <c r="K498" s="342" t="s">
        <v>93</v>
      </c>
      <c r="L498" s="342" t="s">
        <v>1380</v>
      </c>
      <c r="M498" s="342" t="s">
        <v>2521</v>
      </c>
      <c r="N498" s="343"/>
      <c r="O498" s="342" t="s">
        <v>1378</v>
      </c>
      <c r="P498" s="342" t="s">
        <v>2413</v>
      </c>
      <c r="Q498" s="342">
        <v>4.0</v>
      </c>
      <c r="R498" s="343"/>
      <c r="S498" s="342" t="s">
        <v>2232</v>
      </c>
      <c r="T498" s="342">
        <v>16.0</v>
      </c>
      <c r="U498" s="342">
        <v>16.0</v>
      </c>
      <c r="V498" s="342">
        <v>6.0</v>
      </c>
      <c r="W498" s="341">
        <v>2.1825</v>
      </c>
      <c r="X498" s="5">
        <v>0.3625</v>
      </c>
      <c r="Y498" s="5">
        <v>0.7625</v>
      </c>
      <c r="Z498" s="5">
        <v>0.525</v>
      </c>
      <c r="AA498" s="5">
        <v>0.175</v>
      </c>
      <c r="AB498" s="5">
        <v>0.0625</v>
      </c>
      <c r="AC498" s="5">
        <v>0.3930530165</v>
      </c>
      <c r="AD498" s="5">
        <v>2.05125</v>
      </c>
      <c r="AE498" s="5">
        <v>0.779342723</v>
      </c>
      <c r="AF498" s="5">
        <v>0.26625</v>
      </c>
      <c r="AG498" s="5">
        <v>0.3</v>
      </c>
      <c r="AH498" s="5">
        <v>17.53745912</v>
      </c>
      <c r="AI498" s="5">
        <v>-2.303408362</v>
      </c>
      <c r="AJ498" s="5">
        <v>-1.255772455</v>
      </c>
      <c r="AK498" s="5">
        <v>-2.010380127</v>
      </c>
      <c r="AL498" s="5">
        <v>-1.473726963</v>
      </c>
      <c r="AM498" s="5">
        <v>-2.417566241</v>
      </c>
      <c r="AN498" s="5">
        <v>-1.150428188</v>
      </c>
      <c r="AO498" s="5">
        <v>-0.3054960694</v>
      </c>
      <c r="AP498" s="5">
        <v>-0.02057283213</v>
      </c>
      <c r="AQ498" s="5">
        <v>1.831476897</v>
      </c>
    </row>
    <row r="499">
      <c r="A499" s="342">
        <v>498.0</v>
      </c>
      <c r="B499" s="347"/>
      <c r="C499" s="347"/>
      <c r="D499" s="341">
        <v>-1.371485821</v>
      </c>
      <c r="E499" s="342">
        <v>-0.003636534554</v>
      </c>
      <c r="F499" s="342">
        <v>-1.014463288</v>
      </c>
      <c r="G499" s="342">
        <v>-0.3570225335</v>
      </c>
      <c r="H499" s="342">
        <v>-0.2442280466</v>
      </c>
      <c r="I499" s="343"/>
      <c r="J499" s="342" t="s">
        <v>2522</v>
      </c>
      <c r="K499" s="342" t="s">
        <v>89</v>
      </c>
      <c r="L499" s="342" t="s">
        <v>1404</v>
      </c>
      <c r="M499" s="342" t="s">
        <v>2523</v>
      </c>
      <c r="N499" s="343"/>
      <c r="O499" s="342" t="s">
        <v>1374</v>
      </c>
      <c r="P499" s="342" t="s">
        <v>1812</v>
      </c>
      <c r="Q499" s="342">
        <v>5.0</v>
      </c>
      <c r="R499" s="343"/>
      <c r="S499" s="342" t="s">
        <v>2232</v>
      </c>
      <c r="T499" s="342">
        <v>16.0</v>
      </c>
      <c r="U499" s="342">
        <v>14.0</v>
      </c>
      <c r="V499" s="342">
        <v>6.0</v>
      </c>
      <c r="W499" s="341">
        <v>1.38</v>
      </c>
      <c r="X499" s="5">
        <v>0.08375</v>
      </c>
      <c r="Y499" s="5">
        <v>0.7725</v>
      </c>
      <c r="Z499" s="5">
        <v>0.5325</v>
      </c>
      <c r="AA499" s="5">
        <v>0.18125</v>
      </c>
      <c r="AB499" s="5">
        <v>0.213125</v>
      </c>
      <c r="AC499" s="5">
        <v>0.4482924483</v>
      </c>
      <c r="AD499" s="5">
        <v>1.299375</v>
      </c>
      <c r="AE499" s="5">
        <v>0.5949008499</v>
      </c>
      <c r="AF499" s="5">
        <v>0.220625</v>
      </c>
      <c r="AG499" s="5">
        <v>0.291875</v>
      </c>
      <c r="AH499" s="5">
        <v>11.91428444</v>
      </c>
      <c r="AI499" s="5">
        <v>-2.438138298</v>
      </c>
      <c r="AJ499" s="5">
        <v>-1.529443515</v>
      </c>
      <c r="AK499" s="5">
        <v>-2.006378682</v>
      </c>
      <c r="AL499" s="5">
        <v>-1.470263051</v>
      </c>
      <c r="AM499" s="5">
        <v>-2.397836296</v>
      </c>
      <c r="AN499" s="5">
        <v>-0.8750335674</v>
      </c>
      <c r="AO499" s="5">
        <v>-0.08711454862</v>
      </c>
      <c r="AP499" s="5">
        <v>-0.1676786132</v>
      </c>
      <c r="AQ499" s="5">
        <v>1.84171698</v>
      </c>
    </row>
    <row r="500">
      <c r="A500" s="342">
        <v>499.0</v>
      </c>
      <c r="B500" s="347"/>
      <c r="C500" s="347"/>
      <c r="D500" s="341">
        <v>-1.37468599</v>
      </c>
      <c r="E500" s="342">
        <v>-0.003709320969</v>
      </c>
      <c r="F500" s="342">
        <v>-1.016272707</v>
      </c>
      <c r="G500" s="342">
        <v>-0.3584132827</v>
      </c>
      <c r="H500" s="342">
        <v>-0.1314950215</v>
      </c>
      <c r="I500" s="343"/>
      <c r="J500" s="342" t="s">
        <v>2524</v>
      </c>
      <c r="K500" s="342" t="s">
        <v>74</v>
      </c>
      <c r="L500" s="342" t="s">
        <v>1404</v>
      </c>
      <c r="M500" s="342" t="s">
        <v>2525</v>
      </c>
      <c r="N500" s="343"/>
      <c r="O500" s="342" t="s">
        <v>1368</v>
      </c>
      <c r="P500" s="343"/>
      <c r="Q500" s="342">
        <v>2.0</v>
      </c>
      <c r="R500" s="343"/>
      <c r="S500" s="342" t="s">
        <v>1960</v>
      </c>
      <c r="T500" s="342">
        <v>29.0</v>
      </c>
      <c r="U500" s="342">
        <v>16.0</v>
      </c>
      <c r="V500" s="342">
        <v>6.0</v>
      </c>
      <c r="W500" s="341">
        <v>2.034137931</v>
      </c>
      <c r="X500" s="5">
        <v>0.175862069</v>
      </c>
      <c r="Y500" s="5">
        <v>1.36137931</v>
      </c>
      <c r="Z500" s="5">
        <v>0.2237931034</v>
      </c>
      <c r="AA500" s="5">
        <v>0.1251724138</v>
      </c>
      <c r="AB500" s="5">
        <v>0.06517241379</v>
      </c>
      <c r="AC500" s="5">
        <v>0.4751715785</v>
      </c>
      <c r="AD500" s="5">
        <v>1.708275862</v>
      </c>
      <c r="AE500" s="5">
        <v>0.728342246</v>
      </c>
      <c r="AF500" s="5">
        <v>0.3224137931</v>
      </c>
      <c r="AG500" s="5">
        <v>0.2844827586</v>
      </c>
      <c r="AH500" s="5">
        <v>15.84667385</v>
      </c>
      <c r="AI500" s="5">
        <v>-2.328316539</v>
      </c>
      <c r="AJ500" s="5">
        <v>-1.439009766</v>
      </c>
      <c r="AK500" s="5">
        <v>-1.77074188</v>
      </c>
      <c r="AL500" s="5">
        <v>-1.612840855</v>
      </c>
      <c r="AM500" s="5">
        <v>-2.574861524</v>
      </c>
      <c r="AN500" s="5">
        <v>-1.145542091</v>
      </c>
      <c r="AO500" s="5">
        <v>-0.04142075886</v>
      </c>
      <c r="AP500" s="5">
        <v>-0.08475450627</v>
      </c>
      <c r="AQ500" s="5">
        <v>1.851033554</v>
      </c>
    </row>
    <row r="501">
      <c r="A501" s="342">
        <v>500.0</v>
      </c>
      <c r="B501" s="347"/>
      <c r="C501" s="347"/>
      <c r="D501" s="341">
        <v>-1.374823123</v>
      </c>
      <c r="E501" s="342">
        <v>-0.003355012225</v>
      </c>
      <c r="F501" s="342">
        <v>-1.016729602</v>
      </c>
      <c r="G501" s="342">
        <v>-0.3580935214</v>
      </c>
      <c r="H501" s="342">
        <v>1.028044666</v>
      </c>
      <c r="I501" s="343"/>
      <c r="J501" s="342" t="s">
        <v>2526</v>
      </c>
      <c r="K501" s="342" t="s">
        <v>89</v>
      </c>
      <c r="L501" s="342" t="s">
        <v>1380</v>
      </c>
      <c r="M501" s="342" t="s">
        <v>2527</v>
      </c>
      <c r="N501" s="343"/>
      <c r="O501" s="342" t="s">
        <v>1368</v>
      </c>
      <c r="P501" s="342" t="s">
        <v>2227</v>
      </c>
      <c r="Q501" s="342">
        <v>3.0</v>
      </c>
      <c r="R501" s="343"/>
      <c r="S501" s="342" t="s">
        <v>2232</v>
      </c>
      <c r="T501" s="342">
        <v>16.0</v>
      </c>
      <c r="U501" s="342">
        <v>14.0</v>
      </c>
      <c r="V501" s="342">
        <v>5.0</v>
      </c>
      <c r="W501" s="341">
        <v>2.08375</v>
      </c>
      <c r="X501" s="5">
        <v>0.16625</v>
      </c>
      <c r="Y501" s="5">
        <v>0.56375</v>
      </c>
      <c r="Z501" s="5">
        <v>0.504375</v>
      </c>
      <c r="AA501" s="5">
        <v>0.20625</v>
      </c>
      <c r="AB501" s="5">
        <v>0.058125</v>
      </c>
      <c r="AC501" s="5">
        <v>0.4399693134</v>
      </c>
      <c r="AD501" s="5">
        <v>1.629375</v>
      </c>
      <c r="AE501" s="5">
        <v>0.7755511022</v>
      </c>
      <c r="AF501" s="5">
        <v>0.62375</v>
      </c>
      <c r="AG501" s="5">
        <v>0.286875</v>
      </c>
      <c r="AH501" s="5">
        <v>18.55137341</v>
      </c>
      <c r="AI501" s="5">
        <v>-2.319987279</v>
      </c>
      <c r="AJ501" s="5">
        <v>-1.448446699</v>
      </c>
      <c r="AK501" s="5">
        <v>-2.089908841</v>
      </c>
      <c r="AL501" s="5">
        <v>-1.483252721</v>
      </c>
      <c r="AM501" s="5">
        <v>-2.318916517</v>
      </c>
      <c r="AN501" s="5">
        <v>-1.158427202</v>
      </c>
      <c r="AO501" s="5">
        <v>-0.1276477606</v>
      </c>
      <c r="AP501" s="5">
        <v>-0.05199796746</v>
      </c>
      <c r="AQ501" s="5">
        <v>1.848018569</v>
      </c>
    </row>
    <row r="502">
      <c r="A502" s="342">
        <v>501.0</v>
      </c>
      <c r="B502" s="347"/>
      <c r="C502" s="347"/>
      <c r="D502" s="341">
        <v>-1.378757838</v>
      </c>
      <c r="E502" s="342">
        <v>-0.003275703325</v>
      </c>
      <c r="F502" s="342">
        <v>-1.028541723</v>
      </c>
      <c r="G502" s="342">
        <v>-0.3502161145</v>
      </c>
      <c r="H502" s="342">
        <v>0.9314163585</v>
      </c>
      <c r="I502" s="343"/>
      <c r="J502" s="342" t="s">
        <v>2528</v>
      </c>
      <c r="K502" s="342" t="s">
        <v>1396</v>
      </c>
      <c r="L502" s="342" t="s">
        <v>1380</v>
      </c>
      <c r="M502" s="342" t="s">
        <v>2529</v>
      </c>
      <c r="N502" s="343"/>
      <c r="O502" s="342" t="s">
        <v>1368</v>
      </c>
      <c r="P502" s="342" t="s">
        <v>2227</v>
      </c>
      <c r="Q502" s="342">
        <v>5.0</v>
      </c>
      <c r="R502" s="343"/>
      <c r="S502" s="342" t="s">
        <v>2232</v>
      </c>
      <c r="T502" s="342">
        <v>16.0</v>
      </c>
      <c r="U502" s="342">
        <v>14.0</v>
      </c>
      <c r="V502" s="342">
        <v>6.0</v>
      </c>
      <c r="W502" s="341">
        <v>1.525625</v>
      </c>
      <c r="X502" s="5">
        <v>0.24125</v>
      </c>
      <c r="Y502" s="5">
        <v>0.7925</v>
      </c>
      <c r="Z502" s="5">
        <v>0.95</v>
      </c>
      <c r="AA502" s="5">
        <v>0.145</v>
      </c>
      <c r="AB502" s="5">
        <v>0.048125</v>
      </c>
      <c r="AC502" s="5">
        <v>0.3835110747</v>
      </c>
      <c r="AD502" s="5">
        <v>1.52375</v>
      </c>
      <c r="AE502" s="5">
        <v>0.7581967213</v>
      </c>
      <c r="AF502" s="5">
        <v>0.1525</v>
      </c>
      <c r="AG502" s="5">
        <v>0.34625</v>
      </c>
      <c r="AH502" s="5">
        <v>13.83975298</v>
      </c>
      <c r="AI502" s="5">
        <v>-2.413689642</v>
      </c>
      <c r="AJ502" s="5">
        <v>-1.37481323</v>
      </c>
      <c r="AK502" s="5">
        <v>-1.998375793</v>
      </c>
      <c r="AL502" s="5">
        <v>-1.277438614</v>
      </c>
      <c r="AM502" s="5">
        <v>-2.512269976</v>
      </c>
      <c r="AN502" s="5">
        <v>-1.176710662</v>
      </c>
      <c r="AO502" s="5">
        <v>-0.2515295419</v>
      </c>
      <c r="AP502" s="5">
        <v>-0.02523524659</v>
      </c>
      <c r="AQ502" s="5">
        <v>1.773187193</v>
      </c>
    </row>
    <row r="503">
      <c r="A503" s="342">
        <v>502.0</v>
      </c>
      <c r="B503" s="347"/>
      <c r="C503" s="347"/>
      <c r="D503" s="341">
        <v>-1.383423348</v>
      </c>
      <c r="E503" s="342">
        <v>0.0</v>
      </c>
      <c r="F503" s="342">
        <v>-1.02708743</v>
      </c>
      <c r="G503" s="342">
        <v>-0.3563359175</v>
      </c>
      <c r="H503" s="343"/>
      <c r="I503" s="343"/>
      <c r="J503" s="342" t="s">
        <v>2530</v>
      </c>
      <c r="K503" s="342" t="s">
        <v>63</v>
      </c>
      <c r="L503" s="342" t="s">
        <v>1380</v>
      </c>
      <c r="M503" s="343"/>
      <c r="N503" s="343"/>
      <c r="O503" s="342" t="s">
        <v>1378</v>
      </c>
      <c r="P503" s="342" t="s">
        <v>2287</v>
      </c>
      <c r="Q503" s="343"/>
      <c r="R503" s="343"/>
      <c r="S503" s="342" t="s">
        <v>2232</v>
      </c>
      <c r="T503" s="342">
        <v>16.0</v>
      </c>
      <c r="U503" s="342">
        <v>13.0</v>
      </c>
      <c r="V503" s="342">
        <v>6.0</v>
      </c>
      <c r="W503" s="341">
        <v>2.35875</v>
      </c>
      <c r="X503" s="5">
        <v>0.525625</v>
      </c>
      <c r="Y503" s="5">
        <v>0.803125</v>
      </c>
      <c r="Z503" s="5">
        <v>0.293125</v>
      </c>
      <c r="AA503" s="5">
        <v>0.165625</v>
      </c>
      <c r="AB503" s="5">
        <v>0.025625</v>
      </c>
      <c r="AC503" s="5">
        <v>0.3644140291</v>
      </c>
      <c r="AD503" s="5">
        <v>2.191875</v>
      </c>
      <c r="AE503" s="5">
        <v>0.7678207739</v>
      </c>
      <c r="AF503" s="5">
        <v>0.306875</v>
      </c>
      <c r="AG503" s="5">
        <v>0.30625</v>
      </c>
      <c r="AH503" s="5">
        <v>18.89142429</v>
      </c>
      <c r="AI503" s="5">
        <v>-2.273818142</v>
      </c>
      <c r="AJ503" s="5">
        <v>-1.095619659</v>
      </c>
      <c r="AK503" s="5">
        <v>-1.994124257</v>
      </c>
      <c r="AL503" s="5">
        <v>-1.580819576</v>
      </c>
      <c r="AM503" s="5">
        <v>-2.447161158</v>
      </c>
      <c r="AN503" s="5">
        <v>-1.217848448</v>
      </c>
      <c r="AO503" s="5">
        <v>-0.4218084423</v>
      </c>
      <c r="AP503" s="5">
        <v>-0.03618709833</v>
      </c>
      <c r="AQ503" s="5">
        <v>1.82359991</v>
      </c>
    </row>
    <row r="504">
      <c r="A504" s="342">
        <v>503.0</v>
      </c>
      <c r="B504" s="347"/>
      <c r="C504" s="347"/>
      <c r="D504" s="341">
        <v>-1.383709736</v>
      </c>
      <c r="E504" s="342">
        <v>-0.008489446774</v>
      </c>
      <c r="F504" s="342">
        <v>-1.035919162</v>
      </c>
      <c r="G504" s="342">
        <v>-0.3477905748</v>
      </c>
      <c r="H504" s="343"/>
      <c r="I504" s="343"/>
      <c r="J504" s="342" t="s">
        <v>2531</v>
      </c>
      <c r="K504" s="342" t="s">
        <v>243</v>
      </c>
      <c r="L504" s="342" t="s">
        <v>1380</v>
      </c>
      <c r="M504" s="342" t="s">
        <v>2532</v>
      </c>
      <c r="N504" s="343"/>
      <c r="O504" s="342" t="s">
        <v>1368</v>
      </c>
      <c r="P504" s="342" t="s">
        <v>2533</v>
      </c>
      <c r="Q504" s="342">
        <v>2.0</v>
      </c>
      <c r="R504" s="343"/>
      <c r="S504" s="342" t="s">
        <v>2232</v>
      </c>
      <c r="T504" s="342">
        <v>16.0</v>
      </c>
      <c r="U504" s="342">
        <v>13.0</v>
      </c>
      <c r="V504" s="342">
        <v>6.0</v>
      </c>
      <c r="W504" s="341">
        <v>1.9475</v>
      </c>
      <c r="X504" s="5">
        <v>0.366875</v>
      </c>
      <c r="Y504" s="5">
        <v>0.636875</v>
      </c>
      <c r="Z504" s="5">
        <v>0.3675</v>
      </c>
      <c r="AA504" s="5">
        <v>0.17125</v>
      </c>
      <c r="AB504" s="5">
        <v>0.085625</v>
      </c>
      <c r="AC504" s="5">
        <v>0.3787628184</v>
      </c>
      <c r="AD504" s="5">
        <v>1.889375</v>
      </c>
      <c r="AE504" s="5">
        <v>0.7913907285</v>
      </c>
      <c r="AF504" s="5">
        <v>0.18875</v>
      </c>
      <c r="AG504" s="5">
        <v>0.3675</v>
      </c>
      <c r="AH504" s="5">
        <v>17.15988114</v>
      </c>
      <c r="AI504" s="5">
        <v>-2.342861988</v>
      </c>
      <c r="AJ504" s="5">
        <v>-1.251477169</v>
      </c>
      <c r="AK504" s="5">
        <v>-2.060648276</v>
      </c>
      <c r="AL504" s="5">
        <v>-1.546469115</v>
      </c>
      <c r="AM504" s="5">
        <v>-2.429404208</v>
      </c>
      <c r="AN504" s="5">
        <v>-1.108147686</v>
      </c>
      <c r="AO504" s="5">
        <v>-0.3234019297</v>
      </c>
      <c r="AP504" s="5">
        <v>-0.007267519413</v>
      </c>
      <c r="AQ504" s="5">
        <v>1.746405437</v>
      </c>
    </row>
    <row r="505">
      <c r="A505" s="342">
        <v>504.0</v>
      </c>
      <c r="B505" s="347"/>
      <c r="C505" s="347"/>
      <c r="D505" s="341">
        <v>-1.386042432</v>
      </c>
      <c r="E505" s="342">
        <v>0.17964246</v>
      </c>
      <c r="F505" s="342">
        <v>-1.025477011</v>
      </c>
      <c r="G505" s="342">
        <v>-0.3605654203</v>
      </c>
      <c r="H505" s="342">
        <v>0.609322001</v>
      </c>
      <c r="I505" s="343"/>
      <c r="J505" s="342" t="s">
        <v>2534</v>
      </c>
      <c r="K505" s="342" t="s">
        <v>110</v>
      </c>
      <c r="L505" s="342" t="s">
        <v>1380</v>
      </c>
      <c r="M505" s="343"/>
      <c r="N505" s="343"/>
      <c r="O505" s="342" t="s">
        <v>1378</v>
      </c>
      <c r="P505" s="343"/>
      <c r="Q505" s="343"/>
      <c r="R505" s="343"/>
      <c r="S505" s="342" t="s">
        <v>2232</v>
      </c>
      <c r="T505" s="342">
        <v>16.0</v>
      </c>
      <c r="U505" s="342">
        <v>16.0</v>
      </c>
      <c r="V505" s="342">
        <v>6.0</v>
      </c>
      <c r="W505" s="341">
        <v>2.375</v>
      </c>
      <c r="X505" s="5">
        <v>0.315</v>
      </c>
      <c r="Y505" s="5">
        <v>0.95125</v>
      </c>
      <c r="Z505" s="5">
        <v>0.3925</v>
      </c>
      <c r="AA505" s="5">
        <v>0.145625</v>
      </c>
      <c r="AB505" s="5">
        <v>0.04875</v>
      </c>
      <c r="AC505" s="5">
        <v>0.4195402299</v>
      </c>
      <c r="AD505" s="5">
        <v>2.06625</v>
      </c>
      <c r="AE505" s="5">
        <v>0.7180192572</v>
      </c>
      <c r="AF505" s="5">
        <v>0.454375</v>
      </c>
      <c r="AG505" s="5">
        <v>0.278125</v>
      </c>
      <c r="AH505" s="5">
        <v>18.3215777</v>
      </c>
      <c r="AI505" s="5">
        <v>-2.271089966</v>
      </c>
      <c r="AJ505" s="5">
        <v>-1.302406985</v>
      </c>
      <c r="AK505" s="5">
        <v>-1.934852857</v>
      </c>
      <c r="AL505" s="5">
        <v>-1.534922742</v>
      </c>
      <c r="AM505" s="5">
        <v>-2.510296981</v>
      </c>
      <c r="AN505" s="5">
        <v>-1.175567946</v>
      </c>
      <c r="AO505" s="5">
        <v>-0.2239663638</v>
      </c>
      <c r="AP505" s="5">
        <v>-0.1352356135</v>
      </c>
      <c r="AQ505" s="5">
        <v>1.859046351</v>
      </c>
    </row>
    <row r="506">
      <c r="A506" s="342">
        <v>505.0</v>
      </c>
      <c r="B506" s="347"/>
      <c r="C506" s="347"/>
      <c r="D506" s="341">
        <v>-1.391044734</v>
      </c>
      <c r="E506" s="342">
        <v>-0.003570164839</v>
      </c>
      <c r="F506" s="342">
        <v>-1.020471118</v>
      </c>
      <c r="G506" s="342">
        <v>-0.3705736161</v>
      </c>
      <c r="H506" s="342">
        <v>0.335541797</v>
      </c>
      <c r="I506" s="343"/>
      <c r="J506" s="342" t="s">
        <v>2535</v>
      </c>
      <c r="K506" s="342" t="s">
        <v>180</v>
      </c>
      <c r="L506" s="342" t="s">
        <v>1380</v>
      </c>
      <c r="M506" s="342" t="s">
        <v>2536</v>
      </c>
      <c r="N506" s="343"/>
      <c r="O506" s="342" t="s">
        <v>1368</v>
      </c>
      <c r="P506" s="342" t="s">
        <v>2413</v>
      </c>
      <c r="Q506" s="342">
        <v>4.0</v>
      </c>
      <c r="R506" s="343"/>
      <c r="S506" s="342" t="s">
        <v>2232</v>
      </c>
      <c r="T506" s="342">
        <v>16.0</v>
      </c>
      <c r="U506" s="342">
        <v>16.0</v>
      </c>
      <c r="V506" s="342">
        <v>5.0</v>
      </c>
      <c r="W506" s="341">
        <v>2.14875</v>
      </c>
      <c r="X506" s="5">
        <v>0.079375</v>
      </c>
      <c r="Y506" s="5">
        <v>0.791875</v>
      </c>
      <c r="Z506" s="5">
        <v>0.241875</v>
      </c>
      <c r="AA506" s="5">
        <v>0.14375</v>
      </c>
      <c r="AB506" s="5">
        <v>0.073125</v>
      </c>
      <c r="AC506" s="5">
        <v>0.5485141425</v>
      </c>
      <c r="AD506" s="5">
        <v>1.745625</v>
      </c>
      <c r="AE506" s="5">
        <v>0.600973236</v>
      </c>
      <c r="AF506" s="5">
        <v>0.256875</v>
      </c>
      <c r="AG506" s="5">
        <v>0.210625</v>
      </c>
      <c r="AH506" s="5">
        <v>17.3331988</v>
      </c>
      <c r="AI506" s="5">
        <v>-2.309074574</v>
      </c>
      <c r="AJ506" s="5">
        <v>-1.5337388</v>
      </c>
      <c r="AK506" s="5">
        <v>-1.998625883</v>
      </c>
      <c r="AL506" s="5">
        <v>-1.604489642</v>
      </c>
      <c r="AM506" s="5">
        <v>-2.516215965</v>
      </c>
      <c r="AN506" s="5">
        <v>-1.131002011</v>
      </c>
      <c r="AO506" s="5">
        <v>0.1536665591</v>
      </c>
      <c r="AP506" s="5">
        <v>-0.1888775583</v>
      </c>
      <c r="AQ506" s="5">
        <v>1.944117811</v>
      </c>
    </row>
    <row r="507">
      <c r="A507" s="342">
        <v>506.0</v>
      </c>
      <c r="B507" s="347"/>
      <c r="C507" s="347"/>
      <c r="D507" s="341">
        <v>-1.393146566</v>
      </c>
      <c r="E507" s="342">
        <v>0.1725383255</v>
      </c>
      <c r="F507" s="342">
        <v>-1.026452951</v>
      </c>
      <c r="G507" s="342">
        <v>-0.3666936153</v>
      </c>
      <c r="H507" s="343"/>
      <c r="I507" s="343"/>
      <c r="J507" s="342" t="s">
        <v>2537</v>
      </c>
      <c r="K507" s="342" t="s">
        <v>126</v>
      </c>
      <c r="L507" s="342" t="s">
        <v>1404</v>
      </c>
      <c r="M507" s="343"/>
      <c r="N507" s="343"/>
      <c r="O507" s="342" t="s">
        <v>1378</v>
      </c>
      <c r="P507" s="342" t="s">
        <v>2227</v>
      </c>
      <c r="Q507" s="343"/>
      <c r="R507" s="343"/>
      <c r="S507" s="342" t="s">
        <v>2232</v>
      </c>
      <c r="T507" s="342">
        <v>16.0</v>
      </c>
      <c r="U507" s="342">
        <v>15.0</v>
      </c>
      <c r="V507" s="342">
        <v>6.0</v>
      </c>
      <c r="W507" s="341">
        <v>2.16375</v>
      </c>
      <c r="X507" s="5">
        <v>0.416875</v>
      </c>
      <c r="Y507" s="5">
        <v>0.833125</v>
      </c>
      <c r="Z507" s="5">
        <v>0.214375</v>
      </c>
      <c r="AA507" s="5">
        <v>0.11375</v>
      </c>
      <c r="AB507" s="5">
        <v>0.063125</v>
      </c>
      <c r="AC507" s="5">
        <v>0.393977813</v>
      </c>
      <c r="AD507" s="5">
        <v>1.971875</v>
      </c>
      <c r="AE507" s="5">
        <v>0.8174603175</v>
      </c>
      <c r="AF507" s="5">
        <v>0.23625</v>
      </c>
      <c r="AG507" s="5">
        <v>0.24</v>
      </c>
      <c r="AH507" s="5">
        <v>16.61756328</v>
      </c>
      <c r="AI507" s="5">
        <v>-2.306556257</v>
      </c>
      <c r="AJ507" s="5">
        <v>-1.202388189</v>
      </c>
      <c r="AK507" s="5">
        <v>-1.982119923</v>
      </c>
      <c r="AL507" s="5">
        <v>-1.617190653</v>
      </c>
      <c r="AM507" s="5">
        <v>-2.610919699</v>
      </c>
      <c r="AN507" s="5">
        <v>-1.149285472</v>
      </c>
      <c r="AO507" s="5">
        <v>-0.2912409319</v>
      </c>
      <c r="AP507" s="5">
        <v>0.01452859614</v>
      </c>
      <c r="AQ507" s="5">
        <v>1.907095972</v>
      </c>
    </row>
    <row r="508">
      <c r="A508" s="342">
        <v>507.0</v>
      </c>
      <c r="B508" s="347"/>
      <c r="C508" s="347"/>
      <c r="D508" s="341">
        <v>-1.405812351</v>
      </c>
      <c r="E508" s="342">
        <v>-0.003526529928</v>
      </c>
      <c r="F508" s="342">
        <v>-1.038411603</v>
      </c>
      <c r="G508" s="342">
        <v>-0.3674007482</v>
      </c>
      <c r="H508" s="343"/>
      <c r="I508" s="343"/>
      <c r="J508" s="342" t="s">
        <v>2538</v>
      </c>
      <c r="K508" s="342" t="s">
        <v>40</v>
      </c>
      <c r="L508" s="342" t="s">
        <v>1404</v>
      </c>
      <c r="M508" s="342" t="s">
        <v>2539</v>
      </c>
      <c r="N508" s="343"/>
      <c r="O508" s="342" t="s">
        <v>1368</v>
      </c>
      <c r="P508" s="342" t="s">
        <v>2227</v>
      </c>
      <c r="Q508" s="342">
        <v>1.0</v>
      </c>
      <c r="R508" s="343"/>
      <c r="S508" s="342" t="s">
        <v>2232</v>
      </c>
      <c r="T508" s="342">
        <v>16.0</v>
      </c>
      <c r="U508" s="342">
        <v>16.0</v>
      </c>
      <c r="V508" s="342">
        <v>5.0</v>
      </c>
      <c r="W508" s="341">
        <v>1.6925</v>
      </c>
      <c r="X508" s="5">
        <v>0.374375</v>
      </c>
      <c r="Y508" s="5">
        <v>0.510625</v>
      </c>
      <c r="Z508" s="5">
        <v>0.224375</v>
      </c>
      <c r="AA508" s="5">
        <v>0.153125</v>
      </c>
      <c r="AB508" s="5">
        <v>0.091875</v>
      </c>
      <c r="AC508" s="5">
        <v>0.3856156034</v>
      </c>
      <c r="AD508" s="5">
        <v>1.538125</v>
      </c>
      <c r="AE508" s="5">
        <v>0.7128378378</v>
      </c>
      <c r="AF508" s="5">
        <v>0.185</v>
      </c>
      <c r="AG508" s="5">
        <v>0.245</v>
      </c>
      <c r="AH508" s="5">
        <v>16.3946017</v>
      </c>
      <c r="AI508" s="5">
        <v>-2.38567337</v>
      </c>
      <c r="AJ508" s="5">
        <v>-1.244113822</v>
      </c>
      <c r="AK508" s="5">
        <v>-2.111166516</v>
      </c>
      <c r="AL508" s="5">
        <v>-1.612572103</v>
      </c>
      <c r="AM508" s="5">
        <v>-2.486621048</v>
      </c>
      <c r="AN508" s="5">
        <v>-1.096720523</v>
      </c>
      <c r="AO508" s="5">
        <v>-0.2488655512</v>
      </c>
      <c r="AP508" s="5">
        <v>-0.0607658785</v>
      </c>
      <c r="AQ508" s="5">
        <v>1.900794382</v>
      </c>
    </row>
    <row r="509">
      <c r="A509" s="342">
        <v>508.0</v>
      </c>
      <c r="B509" s="347"/>
      <c r="C509" s="347"/>
      <c r="D509" s="341">
        <v>-1.406025868</v>
      </c>
      <c r="E509" s="342">
        <v>0.1596590236</v>
      </c>
      <c r="F509" s="342">
        <v>-1.024772908</v>
      </c>
      <c r="G509" s="342">
        <v>-0.3812529605</v>
      </c>
      <c r="H509" s="342">
        <v>0.07786631094</v>
      </c>
      <c r="I509" s="343"/>
      <c r="J509" s="342" t="s">
        <v>2540</v>
      </c>
      <c r="K509" s="342" t="s">
        <v>136</v>
      </c>
      <c r="L509" s="342" t="s">
        <v>1380</v>
      </c>
      <c r="M509" s="343"/>
      <c r="N509" s="343"/>
      <c r="O509" s="342" t="s">
        <v>1378</v>
      </c>
      <c r="P509" s="343"/>
      <c r="Q509" s="343"/>
      <c r="R509" s="343"/>
      <c r="S509" s="342" t="s">
        <v>2232</v>
      </c>
      <c r="T509" s="342">
        <v>16.0</v>
      </c>
      <c r="U509" s="342">
        <v>15.0</v>
      </c>
      <c r="V509" s="342">
        <v>5.0</v>
      </c>
      <c r="W509" s="341">
        <v>1.410625</v>
      </c>
      <c r="X509" s="5">
        <v>0.19375</v>
      </c>
      <c r="Y509" s="5">
        <v>0.71875</v>
      </c>
      <c r="Z509" s="5">
        <v>0.258125</v>
      </c>
      <c r="AA509" s="5">
        <v>0.139375</v>
      </c>
      <c r="AB509" s="5">
        <v>0.09125</v>
      </c>
      <c r="AC509" s="5">
        <v>0.433624031</v>
      </c>
      <c r="AD509" s="5">
        <v>1.29</v>
      </c>
      <c r="AE509" s="5">
        <v>0.7511961722</v>
      </c>
      <c r="AF509" s="5">
        <v>0.130625</v>
      </c>
      <c r="AG509" s="5">
        <v>0.14625</v>
      </c>
      <c r="AH509" s="5">
        <v>12.59486207</v>
      </c>
      <c r="AI509" s="5">
        <v>-2.432996735</v>
      </c>
      <c r="AJ509" s="5">
        <v>-1.42144776</v>
      </c>
      <c r="AK509" s="5">
        <v>-2.027886447</v>
      </c>
      <c r="AL509" s="5">
        <v>-1.596984499</v>
      </c>
      <c r="AM509" s="5">
        <v>-2.530026926</v>
      </c>
      <c r="AN509" s="5">
        <v>-1.09786324</v>
      </c>
      <c r="AO509" s="5">
        <v>-0.1154897592</v>
      </c>
      <c r="AP509" s="5">
        <v>-0.02551157809</v>
      </c>
      <c r="AQ509" s="5">
        <v>2.025250777</v>
      </c>
    </row>
    <row r="510">
      <c r="A510" s="342">
        <v>509.0</v>
      </c>
      <c r="B510" s="347"/>
      <c r="C510" s="347"/>
      <c r="D510" s="341">
        <v>-1.40770126</v>
      </c>
      <c r="E510" s="342">
        <v>-0.00414276488</v>
      </c>
      <c r="F510" s="342">
        <v>-1.030900815</v>
      </c>
      <c r="G510" s="342">
        <v>-0.3768004451</v>
      </c>
      <c r="H510" s="343"/>
      <c r="I510" s="343"/>
      <c r="J510" s="342" t="s">
        <v>2541</v>
      </c>
      <c r="K510" s="342" t="s">
        <v>159</v>
      </c>
      <c r="L510" s="342" t="s">
        <v>34</v>
      </c>
      <c r="M510" s="342" t="s">
        <v>2542</v>
      </c>
      <c r="N510" s="343"/>
      <c r="O510" s="342" t="s">
        <v>1368</v>
      </c>
      <c r="P510" s="342" t="s">
        <v>2227</v>
      </c>
      <c r="Q510" s="342">
        <v>2.0</v>
      </c>
      <c r="R510" s="343"/>
      <c r="S510" s="342" t="s">
        <v>2232</v>
      </c>
      <c r="T510" s="342">
        <v>16.0</v>
      </c>
      <c r="U510" s="342">
        <v>14.0</v>
      </c>
      <c r="V510" s="342">
        <v>4.0</v>
      </c>
      <c r="W510" s="341">
        <v>1.1125</v>
      </c>
      <c r="X510" s="5">
        <v>0.0</v>
      </c>
      <c r="Y510" s="5">
        <v>0.9475</v>
      </c>
      <c r="Z510" s="5">
        <v>0.163125</v>
      </c>
      <c r="AA510" s="5">
        <v>0.114375</v>
      </c>
      <c r="AB510" s="5">
        <v>0.188125</v>
      </c>
      <c r="AC510" s="5">
        <v>0.5503649635</v>
      </c>
      <c r="AD510" s="5">
        <v>0.85625</v>
      </c>
      <c r="AE510" s="5">
        <v>0.6601941748</v>
      </c>
      <c r="AF510" s="5">
        <v>0.2575</v>
      </c>
      <c r="AG510" s="5">
        <v>0.179375</v>
      </c>
      <c r="AH510" s="5">
        <v>12.75703156</v>
      </c>
      <c r="AI510" s="5">
        <v>-2.483048277</v>
      </c>
      <c r="AJ510" s="5">
        <v>-1.611667555</v>
      </c>
      <c r="AK510" s="5">
        <v>-1.936353399</v>
      </c>
      <c r="AL510" s="5">
        <v>-1.640860718</v>
      </c>
      <c r="AM510" s="5">
        <v>-2.608946705</v>
      </c>
      <c r="AN510" s="5">
        <v>-0.9207422181</v>
      </c>
      <c r="AO510" s="5">
        <v>0.0731235427</v>
      </c>
      <c r="AP510" s="5">
        <v>-0.1331147532</v>
      </c>
      <c r="AQ510" s="5">
        <v>1.983502746</v>
      </c>
    </row>
    <row r="511">
      <c r="A511" s="342">
        <v>510.0</v>
      </c>
      <c r="B511" s="347"/>
      <c r="C511" s="347"/>
      <c r="D511" s="341">
        <v>-1.408539018</v>
      </c>
      <c r="E511" s="342">
        <v>-0.003626604619</v>
      </c>
      <c r="F511" s="342">
        <v>-1.04223566</v>
      </c>
      <c r="G511" s="342">
        <v>-0.3663033579</v>
      </c>
      <c r="H511" s="343"/>
      <c r="I511" s="343"/>
      <c r="J511" s="342" t="s">
        <v>2543</v>
      </c>
      <c r="K511" s="342" t="s">
        <v>67</v>
      </c>
      <c r="L511" s="342" t="s">
        <v>1380</v>
      </c>
      <c r="M511" s="342" t="s">
        <v>2544</v>
      </c>
      <c r="N511" s="343"/>
      <c r="O511" s="342" t="s">
        <v>1368</v>
      </c>
      <c r="P511" s="342" t="s">
        <v>2227</v>
      </c>
      <c r="Q511" s="342">
        <v>4.0</v>
      </c>
      <c r="R511" s="343"/>
      <c r="S511" s="342" t="s">
        <v>2232</v>
      </c>
      <c r="T511" s="342">
        <v>16.0</v>
      </c>
      <c r="U511" s="342">
        <v>15.0</v>
      </c>
      <c r="V511" s="342">
        <v>5.0</v>
      </c>
      <c r="W511" s="341">
        <v>1.51375</v>
      </c>
      <c r="X511" s="5">
        <v>0.195625</v>
      </c>
      <c r="Y511" s="5">
        <v>0.79625</v>
      </c>
      <c r="Z511" s="5">
        <v>0.224375</v>
      </c>
      <c r="AA511" s="5">
        <v>0.163125</v>
      </c>
      <c r="AB511" s="5">
        <v>0.05125</v>
      </c>
      <c r="AC511" s="5">
        <v>0.4111160124</v>
      </c>
      <c r="AD511" s="5">
        <v>1.416875</v>
      </c>
      <c r="AE511" s="5">
        <v>0.7704402516</v>
      </c>
      <c r="AF511" s="5">
        <v>0.19875</v>
      </c>
      <c r="AG511" s="5">
        <v>0.255</v>
      </c>
      <c r="AH511" s="5">
        <v>15.47071963</v>
      </c>
      <c r="AI511" s="5">
        <v>-2.415683309</v>
      </c>
      <c r="AJ511" s="5">
        <v>-1.419606923</v>
      </c>
      <c r="AK511" s="5">
        <v>-1.996875251</v>
      </c>
      <c r="AL511" s="5">
        <v>-1.612572103</v>
      </c>
      <c r="AM511" s="5">
        <v>-2.455053136</v>
      </c>
      <c r="AN511" s="5">
        <v>-1.170997081</v>
      </c>
      <c r="AO511" s="5">
        <v>-0.1747164758</v>
      </c>
      <c r="AP511" s="5">
        <v>-0.02280786533</v>
      </c>
      <c r="AQ511" s="5">
        <v>1.888191203</v>
      </c>
    </row>
    <row r="512">
      <c r="A512" s="342">
        <v>511.0</v>
      </c>
      <c r="B512" s="347"/>
      <c r="C512" s="347"/>
      <c r="D512" s="341">
        <v>-1.410883757</v>
      </c>
      <c r="E512" s="342">
        <v>-0.003373834972</v>
      </c>
      <c r="F512" s="342">
        <v>-1.069426206</v>
      </c>
      <c r="G512" s="342">
        <v>-0.3414575513</v>
      </c>
      <c r="H512" s="342">
        <v>0.2228087719</v>
      </c>
      <c r="I512" s="343"/>
      <c r="J512" s="342" t="s">
        <v>2545</v>
      </c>
      <c r="K512" s="342" t="s">
        <v>110</v>
      </c>
      <c r="L512" s="342" t="s">
        <v>1404</v>
      </c>
      <c r="M512" s="343"/>
      <c r="N512" s="342" t="s">
        <v>2546</v>
      </c>
      <c r="O512" s="342" t="s">
        <v>1368</v>
      </c>
      <c r="P512" s="342" t="s">
        <v>2102</v>
      </c>
      <c r="Q512" s="342">
        <v>3.0</v>
      </c>
      <c r="R512" s="343"/>
      <c r="S512" s="342" t="s">
        <v>2232</v>
      </c>
      <c r="T512" s="342">
        <v>14.0</v>
      </c>
      <c r="U512" s="342">
        <v>16.0</v>
      </c>
      <c r="V512" s="342">
        <v>7.0</v>
      </c>
      <c r="W512" s="341">
        <v>2.619285714</v>
      </c>
      <c r="X512" s="5">
        <v>0.555</v>
      </c>
      <c r="Y512" s="5">
        <v>0.6992857143</v>
      </c>
      <c r="Z512" s="5">
        <v>0.4907142857</v>
      </c>
      <c r="AA512" s="5">
        <v>0.1042857143</v>
      </c>
      <c r="AB512" s="5">
        <v>0.09214285714</v>
      </c>
      <c r="AC512" s="5">
        <v>0.3489170629</v>
      </c>
      <c r="AD512" s="5">
        <v>2.704285714</v>
      </c>
      <c r="AE512" s="5">
        <v>0.654353562</v>
      </c>
      <c r="AF512" s="5">
        <v>0.2707142857</v>
      </c>
      <c r="AG512" s="5">
        <v>0.4342857143</v>
      </c>
      <c r="AH512" s="5">
        <v>20.10744755</v>
      </c>
      <c r="AI512" s="5">
        <v>-2.230077382</v>
      </c>
      <c r="AJ512" s="5">
        <v>-1.066779884</v>
      </c>
      <c r="AK512" s="5">
        <v>-2.035674974</v>
      </c>
      <c r="AL512" s="5">
        <v>-1.489561989</v>
      </c>
      <c r="AM512" s="5">
        <v>-2.640796473</v>
      </c>
      <c r="AN512" s="5">
        <v>-1.096230788</v>
      </c>
      <c r="AO512" s="5">
        <v>-0.582362084</v>
      </c>
      <c r="AP512" s="5">
        <v>-0.1455864837</v>
      </c>
      <c r="AQ512" s="5">
        <v>1.662234205</v>
      </c>
    </row>
    <row r="513">
      <c r="A513" s="342">
        <v>512.0</v>
      </c>
      <c r="B513" s="347"/>
      <c r="C513" s="347"/>
      <c r="D513" s="341">
        <v>-1.411722283</v>
      </c>
      <c r="E513" s="342">
        <v>-0.00352657203</v>
      </c>
      <c r="F513" s="342">
        <v>-1.065370351</v>
      </c>
      <c r="G513" s="342">
        <v>-0.3463519319</v>
      </c>
      <c r="H513" s="343"/>
      <c r="I513" s="343"/>
      <c r="J513" s="342" t="s">
        <v>2547</v>
      </c>
      <c r="K513" s="342" t="s">
        <v>1421</v>
      </c>
      <c r="L513" s="342" t="s">
        <v>1413</v>
      </c>
      <c r="M513" s="342" t="s">
        <v>2548</v>
      </c>
      <c r="N513" s="343"/>
      <c r="O513" s="342" t="s">
        <v>1368</v>
      </c>
      <c r="P513" s="342" t="s">
        <v>2413</v>
      </c>
      <c r="Q513" s="342">
        <v>4.0</v>
      </c>
      <c r="R513" s="343"/>
      <c r="S513" s="342" t="s">
        <v>2232</v>
      </c>
      <c r="T513" s="342">
        <v>16.0</v>
      </c>
      <c r="U513" s="342">
        <v>15.0</v>
      </c>
      <c r="V513" s="342">
        <v>5.0</v>
      </c>
      <c r="W513" s="341">
        <v>1.42125</v>
      </c>
      <c r="X513" s="5">
        <v>0.123125</v>
      </c>
      <c r="Y513" s="5">
        <v>0.7</v>
      </c>
      <c r="Z513" s="5">
        <v>0.32</v>
      </c>
      <c r="AA513" s="5">
        <v>0.19</v>
      </c>
      <c r="AB513" s="5">
        <v>0.06</v>
      </c>
      <c r="AC513" s="5">
        <v>0.4015711645</v>
      </c>
      <c r="AD513" s="5">
        <v>1.3525</v>
      </c>
      <c r="AE513" s="5">
        <v>0.7466960352</v>
      </c>
      <c r="AF513" s="5">
        <v>0.28375</v>
      </c>
      <c r="AG513" s="5">
        <v>0.4</v>
      </c>
      <c r="AH513" s="5">
        <v>16.75682647</v>
      </c>
      <c r="AI513" s="5">
        <v>-2.431212928</v>
      </c>
      <c r="AJ513" s="5">
        <v>-1.490785943</v>
      </c>
      <c r="AK513" s="5">
        <v>-2.035389156</v>
      </c>
      <c r="AL513" s="5">
        <v>-1.568407225</v>
      </c>
      <c r="AM513" s="5">
        <v>-2.370214374</v>
      </c>
      <c r="AN513" s="5">
        <v>-1.154999053</v>
      </c>
      <c r="AO513" s="5">
        <v>-0.1869374175</v>
      </c>
      <c r="AP513" s="5">
        <v>-0.05583216412</v>
      </c>
      <c r="AQ513" s="5">
        <v>1.705445105</v>
      </c>
    </row>
    <row r="514">
      <c r="A514" s="342">
        <v>513.0</v>
      </c>
      <c r="B514" s="347"/>
      <c r="C514" s="347"/>
      <c r="D514" s="341">
        <v>-1.418040023</v>
      </c>
      <c r="E514" s="342">
        <v>-0.003713766094</v>
      </c>
      <c r="F514" s="342">
        <v>-1.040365063</v>
      </c>
      <c r="G514" s="342">
        <v>-0.3776749607</v>
      </c>
      <c r="H514" s="342">
        <v>-0.06707614997</v>
      </c>
      <c r="I514" s="343"/>
      <c r="J514" s="342" t="s">
        <v>2549</v>
      </c>
      <c r="K514" s="342" t="s">
        <v>259</v>
      </c>
      <c r="L514" s="342" t="s">
        <v>1404</v>
      </c>
      <c r="M514" s="342" t="s">
        <v>2550</v>
      </c>
      <c r="N514" s="343"/>
      <c r="O514" s="342" t="s">
        <v>1368</v>
      </c>
      <c r="P514" s="342" t="s">
        <v>2102</v>
      </c>
      <c r="Q514" s="342">
        <v>3.0</v>
      </c>
      <c r="R514" s="343"/>
      <c r="S514" s="342" t="s">
        <v>1960</v>
      </c>
      <c r="T514" s="342">
        <v>15.0</v>
      </c>
      <c r="U514" s="342">
        <v>13.0</v>
      </c>
      <c r="V514" s="342">
        <v>6.0</v>
      </c>
      <c r="W514" s="341">
        <v>1.177333333</v>
      </c>
      <c r="X514" s="5">
        <v>0.2313333333</v>
      </c>
      <c r="Y514" s="5">
        <v>0.9186666667</v>
      </c>
      <c r="Z514" s="5">
        <v>0.2986666667</v>
      </c>
      <c r="AA514" s="5">
        <v>0.1326666667</v>
      </c>
      <c r="AB514" s="5">
        <v>0.156</v>
      </c>
      <c r="AC514" s="5">
        <v>0.3316557625</v>
      </c>
      <c r="AD514" s="5">
        <v>1.324666667</v>
      </c>
      <c r="AE514" s="5">
        <v>0.5642458101</v>
      </c>
      <c r="AF514" s="5">
        <v>0.1193333333</v>
      </c>
      <c r="AG514" s="5">
        <v>0.1813333333</v>
      </c>
      <c r="AH514" s="5">
        <v>11.18498666</v>
      </c>
      <c r="AI514" s="5">
        <v>-2.472163554</v>
      </c>
      <c r="AJ514" s="5">
        <v>-1.384549211</v>
      </c>
      <c r="AK514" s="5">
        <v>-1.947890898</v>
      </c>
      <c r="AL514" s="5">
        <v>-1.57826013</v>
      </c>
      <c r="AM514" s="5">
        <v>-2.551203733</v>
      </c>
      <c r="AN514" s="5">
        <v>-0.9794778342</v>
      </c>
      <c r="AO514" s="5">
        <v>-0.3249134085</v>
      </c>
      <c r="AP514" s="5">
        <v>-0.1058614187</v>
      </c>
      <c r="AQ514" s="5">
        <v>1.981034623</v>
      </c>
    </row>
    <row r="515">
      <c r="A515" s="342">
        <v>514.0</v>
      </c>
      <c r="B515" s="347"/>
      <c r="C515" s="347"/>
      <c r="D515" s="341">
        <v>-1.419259335</v>
      </c>
      <c r="E515" s="342">
        <v>-0.00390507004</v>
      </c>
      <c r="F515" s="342">
        <v>-1.041087137</v>
      </c>
      <c r="G515" s="342">
        <v>-0.3781721977</v>
      </c>
      <c r="H515" s="343"/>
      <c r="I515" s="343"/>
      <c r="J515" s="342" t="s">
        <v>2551</v>
      </c>
      <c r="K515" s="342" t="s">
        <v>45</v>
      </c>
      <c r="L515" s="342" t="s">
        <v>1413</v>
      </c>
      <c r="M515" s="342" t="s">
        <v>2552</v>
      </c>
      <c r="N515" s="343"/>
      <c r="O515" s="342" t="s">
        <v>1368</v>
      </c>
      <c r="P515" s="342" t="s">
        <v>2227</v>
      </c>
      <c r="Q515" s="342">
        <v>1.0</v>
      </c>
      <c r="R515" s="343"/>
      <c r="S515" s="342" t="s">
        <v>2232</v>
      </c>
      <c r="T515" s="342">
        <v>16.0</v>
      </c>
      <c r="U515" s="342">
        <v>16.0</v>
      </c>
      <c r="V515" s="342">
        <v>5.0</v>
      </c>
      <c r="W515" s="341">
        <v>1.46125</v>
      </c>
      <c r="X515" s="5">
        <v>0.284375</v>
      </c>
      <c r="Y515" s="5">
        <v>0.715625</v>
      </c>
      <c r="Z515" s="5">
        <v>0.210625</v>
      </c>
      <c r="AA515" s="5">
        <v>0.12625</v>
      </c>
      <c r="AB515" s="5">
        <v>0.041875</v>
      </c>
      <c r="AC515" s="5">
        <v>0.3946753853</v>
      </c>
      <c r="AD515" s="5">
        <v>1.338125</v>
      </c>
      <c r="AE515" s="5">
        <v>0.8212765957</v>
      </c>
      <c r="AF515" s="5">
        <v>0.146875</v>
      </c>
      <c r="AG515" s="5">
        <v>0.17875</v>
      </c>
      <c r="AH515" s="5">
        <v>13.78587929</v>
      </c>
      <c r="AI515" s="5">
        <v>-2.424497417</v>
      </c>
      <c r="AJ515" s="5">
        <v>-1.332473985</v>
      </c>
      <c r="AK515" s="5">
        <v>-2.029136899</v>
      </c>
      <c r="AL515" s="5">
        <v>-1.618922609</v>
      </c>
      <c r="AM515" s="5">
        <v>-2.57145981</v>
      </c>
      <c r="AN515" s="5">
        <v>-1.188137825</v>
      </c>
      <c r="AO515" s="5">
        <v>-0.1991594423</v>
      </c>
      <c r="AP515" s="5">
        <v>0.009713309547</v>
      </c>
      <c r="AQ515" s="5">
        <v>1.984290444</v>
      </c>
    </row>
    <row r="516">
      <c r="A516" s="342">
        <v>515.0</v>
      </c>
      <c r="B516" s="347"/>
      <c r="C516" s="347"/>
      <c r="D516" s="341">
        <v>-1.421498722</v>
      </c>
      <c r="E516" s="342">
        <v>-0.003760945238</v>
      </c>
      <c r="F516" s="342">
        <v>-1.043052697</v>
      </c>
      <c r="G516" s="342">
        <v>-0.3784460248</v>
      </c>
      <c r="H516" s="342">
        <v>0.1261804646</v>
      </c>
      <c r="I516" s="343"/>
      <c r="J516" s="342" t="s">
        <v>2553</v>
      </c>
      <c r="K516" s="342" t="s">
        <v>1421</v>
      </c>
      <c r="L516" s="342" t="s">
        <v>1404</v>
      </c>
      <c r="M516" s="342" t="s">
        <v>2554</v>
      </c>
      <c r="N516" s="342" t="s">
        <v>2365</v>
      </c>
      <c r="O516" s="342" t="s">
        <v>1378</v>
      </c>
      <c r="P516" s="342" t="s">
        <v>2287</v>
      </c>
      <c r="Q516" s="343"/>
      <c r="R516" s="343"/>
      <c r="S516" s="342" t="s">
        <v>2232</v>
      </c>
      <c r="T516" s="342">
        <v>7.0</v>
      </c>
      <c r="U516" s="342">
        <v>15.0</v>
      </c>
      <c r="V516" s="342">
        <v>5.0</v>
      </c>
      <c r="W516" s="341">
        <v>1.467142857</v>
      </c>
      <c r="X516" s="5">
        <v>0.1628571429</v>
      </c>
      <c r="Y516" s="5">
        <v>0.8742857143</v>
      </c>
      <c r="Z516" s="5">
        <v>0.2771428571</v>
      </c>
      <c r="AA516" s="5">
        <v>0.09428571429</v>
      </c>
      <c r="AB516" s="5">
        <v>0.1</v>
      </c>
      <c r="AC516" s="5">
        <v>0.437357631</v>
      </c>
      <c r="AD516" s="5">
        <v>1.254285714</v>
      </c>
      <c r="AE516" s="5">
        <v>0.7213930348</v>
      </c>
      <c r="AF516" s="5">
        <v>0.2871428571</v>
      </c>
      <c r="AG516" s="5">
        <v>0.1785714286</v>
      </c>
      <c r="AH516" s="5">
        <v>13.91708729</v>
      </c>
      <c r="AI516" s="5">
        <v>-2.423508078</v>
      </c>
      <c r="AJ516" s="5">
        <v>-1.451777737</v>
      </c>
      <c r="AK516" s="5">
        <v>-1.965649691</v>
      </c>
      <c r="AL516" s="5">
        <v>-1.588201008</v>
      </c>
      <c r="AM516" s="5">
        <v>-2.672364384</v>
      </c>
      <c r="AN516" s="5">
        <v>-1.081865212</v>
      </c>
      <c r="AO516" s="5">
        <v>-0.1053847782</v>
      </c>
      <c r="AP516" s="5">
        <v>-0.08323888826</v>
      </c>
      <c r="AQ516" s="5">
        <v>1.984515501</v>
      </c>
    </row>
    <row r="517">
      <c r="A517" s="342">
        <v>516.0</v>
      </c>
      <c r="B517" s="347"/>
      <c r="C517" s="347"/>
      <c r="D517" s="341">
        <v>-1.436171389</v>
      </c>
      <c r="E517" s="342">
        <v>-0.003877463002</v>
      </c>
      <c r="F517" s="342">
        <v>-1.078700771</v>
      </c>
      <c r="G517" s="342">
        <v>-0.3574706188</v>
      </c>
      <c r="H517" s="343"/>
      <c r="I517" s="343"/>
      <c r="J517" s="342" t="s">
        <v>2555</v>
      </c>
      <c r="K517" s="342" t="s">
        <v>1421</v>
      </c>
      <c r="L517" s="342" t="s">
        <v>1380</v>
      </c>
      <c r="M517" s="342" t="s">
        <v>2556</v>
      </c>
      <c r="N517" s="343"/>
      <c r="O517" s="342" t="s">
        <v>1368</v>
      </c>
      <c r="P517" s="343"/>
      <c r="Q517" s="342">
        <v>4.0</v>
      </c>
      <c r="R517" s="343"/>
      <c r="S517" s="342" t="s">
        <v>1960</v>
      </c>
      <c r="T517" s="342">
        <v>47.0</v>
      </c>
      <c r="U517" s="342">
        <v>15.0</v>
      </c>
      <c r="V517" s="342">
        <v>5.0</v>
      </c>
      <c r="W517" s="341">
        <v>1.372340426</v>
      </c>
      <c r="X517" s="5">
        <v>0.1906382979</v>
      </c>
      <c r="Y517" s="5">
        <v>0.66</v>
      </c>
      <c r="Z517" s="5">
        <v>0.2</v>
      </c>
      <c r="AA517" s="5">
        <v>0.14</v>
      </c>
      <c r="AB517" s="5">
        <v>0.04</v>
      </c>
      <c r="AC517" s="5">
        <v>0.3971933144</v>
      </c>
      <c r="AD517" s="5">
        <v>1.349361702</v>
      </c>
      <c r="AE517" s="5">
        <v>0.7392550143</v>
      </c>
      <c r="AF517" s="5">
        <v>0.1485106383</v>
      </c>
      <c r="AG517" s="5">
        <v>0.34</v>
      </c>
      <c r="AH517" s="5">
        <v>15.66213565</v>
      </c>
      <c r="AI517" s="5">
        <v>-2.439424247</v>
      </c>
      <c r="AJ517" s="5">
        <v>-1.424502766</v>
      </c>
      <c r="AK517" s="5">
        <v>-2.051394935</v>
      </c>
      <c r="AL517" s="5">
        <v>-1.623829818</v>
      </c>
      <c r="AM517" s="5">
        <v>-2.528053931</v>
      </c>
      <c r="AN517" s="5">
        <v>-1.191565973</v>
      </c>
      <c r="AO517" s="5">
        <v>-0.1955588997</v>
      </c>
      <c r="AP517" s="5">
        <v>-0.03504054474</v>
      </c>
      <c r="AQ517" s="5">
        <v>1.78106418</v>
      </c>
    </row>
    <row r="518">
      <c r="A518" s="342">
        <v>517.0</v>
      </c>
      <c r="B518" s="347"/>
      <c r="C518" s="347"/>
      <c r="D518" s="341">
        <v>-1.446669772</v>
      </c>
      <c r="E518" s="342">
        <v>0.0</v>
      </c>
      <c r="F518" s="342">
        <v>-1.071053383</v>
      </c>
      <c r="G518" s="342">
        <v>-0.3756163889</v>
      </c>
      <c r="H518" s="343"/>
      <c r="I518" s="343"/>
      <c r="J518" s="342" t="s">
        <v>2557</v>
      </c>
      <c r="K518" s="342" t="s">
        <v>180</v>
      </c>
      <c r="L518" s="342" t="s">
        <v>1380</v>
      </c>
      <c r="M518" s="343"/>
      <c r="N518" s="343"/>
      <c r="O518" s="342" t="s">
        <v>1368</v>
      </c>
      <c r="P518" s="343"/>
      <c r="Q518" s="343"/>
      <c r="R518" s="343"/>
      <c r="S518" s="342" t="s">
        <v>2232</v>
      </c>
      <c r="T518" s="342">
        <v>16.0</v>
      </c>
      <c r="U518" s="342">
        <v>16.0</v>
      </c>
      <c r="V518" s="342">
        <v>4.0</v>
      </c>
      <c r="W518" s="341">
        <v>1.59875</v>
      </c>
      <c r="X518" s="5">
        <v>0.204375</v>
      </c>
      <c r="Y518" s="5">
        <v>0.555625</v>
      </c>
      <c r="Z518" s="5">
        <v>0.2775</v>
      </c>
      <c r="AA518" s="5">
        <v>0.0925</v>
      </c>
      <c r="AB518" s="5">
        <v>0.03375</v>
      </c>
      <c r="AC518" s="5">
        <v>0.4080914688</v>
      </c>
      <c r="AD518" s="5">
        <v>1.42125</v>
      </c>
      <c r="AE518" s="5">
        <v>0.7845188285</v>
      </c>
      <c r="AF518" s="5">
        <v>0.29875</v>
      </c>
      <c r="AG518" s="5">
        <v>0.21875</v>
      </c>
      <c r="AH518" s="5">
        <v>18.54809958</v>
      </c>
      <c r="AI518" s="5">
        <v>-2.401412848</v>
      </c>
      <c r="AJ518" s="5">
        <v>-1.411016352</v>
      </c>
      <c r="AK518" s="5">
        <v>-2.093160015</v>
      </c>
      <c r="AL518" s="5">
        <v>-1.58803606</v>
      </c>
      <c r="AM518" s="5">
        <v>-2.678001511</v>
      </c>
      <c r="AN518" s="5">
        <v>-1.202993136</v>
      </c>
      <c r="AO518" s="5">
        <v>-0.1818014633</v>
      </c>
      <c r="AP518" s="5">
        <v>-0.01693679182</v>
      </c>
      <c r="AQ518" s="5">
        <v>1.933877728</v>
      </c>
    </row>
    <row r="519">
      <c r="A519" s="342">
        <v>518.0</v>
      </c>
      <c r="B519" s="347"/>
      <c r="C519" s="347"/>
      <c r="D519" s="341">
        <v>-1.450777591</v>
      </c>
      <c r="E519" s="342">
        <v>-0.003767757249</v>
      </c>
      <c r="F519" s="342">
        <v>-1.097022908</v>
      </c>
      <c r="G519" s="342">
        <v>-0.3537546834</v>
      </c>
      <c r="H519" s="342">
        <v>0.2228087719</v>
      </c>
      <c r="I519" s="343"/>
      <c r="J519" s="342" t="s">
        <v>2558</v>
      </c>
      <c r="K519" s="342" t="s">
        <v>159</v>
      </c>
      <c r="L519" s="342" t="s">
        <v>1380</v>
      </c>
      <c r="M519" s="342" t="s">
        <v>2559</v>
      </c>
      <c r="N519" s="343"/>
      <c r="O519" s="342" t="s">
        <v>1368</v>
      </c>
      <c r="P519" s="342" t="s">
        <v>2102</v>
      </c>
      <c r="Q519" s="342">
        <v>4.0</v>
      </c>
      <c r="R519" s="343"/>
      <c r="S519" s="342" t="s">
        <v>2232</v>
      </c>
      <c r="T519" s="342">
        <v>16.0</v>
      </c>
      <c r="U519" s="342">
        <v>14.0</v>
      </c>
      <c r="V519" s="342">
        <v>4.0</v>
      </c>
      <c r="W519" s="341">
        <v>1.005625</v>
      </c>
      <c r="X519" s="5">
        <v>0.1925</v>
      </c>
      <c r="Y519" s="5">
        <v>0.326875</v>
      </c>
      <c r="Z519" s="5">
        <v>0.59625</v>
      </c>
      <c r="AA519" s="5">
        <v>0.138125</v>
      </c>
      <c r="AB519" s="5">
        <v>0.025</v>
      </c>
      <c r="AC519" s="5">
        <v>0.3755806238</v>
      </c>
      <c r="AD519" s="5">
        <v>0.941875</v>
      </c>
      <c r="AE519" s="5">
        <v>0.5971731449</v>
      </c>
      <c r="AF519" s="5">
        <v>0.176875</v>
      </c>
      <c r="AG519" s="5">
        <v>0.378125</v>
      </c>
      <c r="AH519" s="5">
        <v>15.52068032</v>
      </c>
      <c r="AI519" s="5">
        <v>-2.500991283</v>
      </c>
      <c r="AJ519" s="5">
        <v>-1.422674985</v>
      </c>
      <c r="AK519" s="5">
        <v>-2.184693063</v>
      </c>
      <c r="AL519" s="5">
        <v>-1.440819798</v>
      </c>
      <c r="AM519" s="5">
        <v>-2.533972915</v>
      </c>
      <c r="AN519" s="5">
        <v>-1.218991164</v>
      </c>
      <c r="AO519" s="5">
        <v>-0.1704050723</v>
      </c>
      <c r="AP519" s="5">
        <v>-0.1336724478</v>
      </c>
      <c r="AQ519" s="5">
        <v>1.733014559</v>
      </c>
    </row>
    <row r="520">
      <c r="A520" s="342">
        <v>519.0</v>
      </c>
      <c r="B520" s="347"/>
      <c r="C520" s="347"/>
      <c r="D520" s="341">
        <v>-1.460096783</v>
      </c>
      <c r="E520" s="342">
        <v>-0.003782092712</v>
      </c>
      <c r="F520" s="342">
        <v>-1.109507693</v>
      </c>
      <c r="G520" s="342">
        <v>-0.3505890894</v>
      </c>
      <c r="H520" s="343"/>
      <c r="I520" s="343"/>
      <c r="J520" s="342" t="s">
        <v>2560</v>
      </c>
      <c r="K520" s="342" t="s">
        <v>102</v>
      </c>
      <c r="L520" s="342" t="s">
        <v>1404</v>
      </c>
      <c r="M520" s="342" t="s">
        <v>2561</v>
      </c>
      <c r="N520" s="342" t="s">
        <v>2562</v>
      </c>
      <c r="O520" s="342" t="s">
        <v>1368</v>
      </c>
      <c r="P520" s="342" t="s">
        <v>2227</v>
      </c>
      <c r="Q520" s="342">
        <v>1.0</v>
      </c>
      <c r="R520" s="343"/>
      <c r="S520" s="342" t="s">
        <v>2232</v>
      </c>
      <c r="T520" s="342">
        <v>16.0</v>
      </c>
      <c r="U520" s="342">
        <v>16.0</v>
      </c>
      <c r="V520" s="342">
        <v>5.0</v>
      </c>
      <c r="W520" s="341">
        <v>1.596875</v>
      </c>
      <c r="X520" s="5">
        <v>0.2125</v>
      </c>
      <c r="Y520" s="5">
        <v>0.765625</v>
      </c>
      <c r="Z520" s="5">
        <v>0.224375</v>
      </c>
      <c r="AA520" s="5">
        <v>0.101875</v>
      </c>
      <c r="AB520" s="5">
        <v>0.040625</v>
      </c>
      <c r="AC520" s="5">
        <v>0.3759519038</v>
      </c>
      <c r="AD520" s="5">
        <v>1.559375</v>
      </c>
      <c r="AE520" s="5">
        <v>0.678</v>
      </c>
      <c r="AF520" s="5">
        <v>0.3125</v>
      </c>
      <c r="AG520" s="5">
        <v>0.408125</v>
      </c>
      <c r="AH520" s="5">
        <v>18.72681463</v>
      </c>
      <c r="AI520" s="5">
        <v>-2.401727638</v>
      </c>
      <c r="AJ520" s="5">
        <v>-1.403039393</v>
      </c>
      <c r="AK520" s="5">
        <v>-2.009129675</v>
      </c>
      <c r="AL520" s="5">
        <v>-1.612572103</v>
      </c>
      <c r="AM520" s="5">
        <v>-2.648406594</v>
      </c>
      <c r="AN520" s="5">
        <v>-1.190423257</v>
      </c>
      <c r="AO520" s="5">
        <v>-0.2752222904</v>
      </c>
      <c r="AP520" s="5">
        <v>-0.1402533113</v>
      </c>
      <c r="AQ520" s="5">
        <v>1.695205022</v>
      </c>
    </row>
    <row r="521">
      <c r="A521" s="342">
        <v>535.0</v>
      </c>
      <c r="B521" s="347"/>
      <c r="C521" s="347"/>
      <c r="D521" s="341">
        <v>-1.570090591</v>
      </c>
      <c r="E521" s="342">
        <v>-0.004405699334</v>
      </c>
      <c r="F521" s="342">
        <v>-1.150128051</v>
      </c>
      <c r="G521" s="342">
        <v>-0.4199625404</v>
      </c>
      <c r="H521" s="342">
        <v>1.108568255</v>
      </c>
      <c r="I521" s="343"/>
      <c r="J521" s="342" t="s">
        <v>2563</v>
      </c>
      <c r="K521" s="342" t="s">
        <v>2564</v>
      </c>
      <c r="L521" s="342" t="s">
        <v>1404</v>
      </c>
      <c r="M521" s="343"/>
      <c r="N521" s="343"/>
      <c r="O521" s="342" t="s">
        <v>1378</v>
      </c>
      <c r="P521" s="343"/>
      <c r="Q521" s="343"/>
      <c r="R521" s="343"/>
      <c r="S521" s="342" t="s">
        <v>2565</v>
      </c>
      <c r="T521" s="342">
        <v>0.0</v>
      </c>
      <c r="U521" s="342">
        <v>0.0</v>
      </c>
      <c r="V521" s="342">
        <v>0.0</v>
      </c>
      <c r="W521" s="341">
        <v>0.0</v>
      </c>
      <c r="X521" s="5">
        <v>0.0</v>
      </c>
      <c r="Y521" s="5">
        <v>0.0</v>
      </c>
      <c r="Z521" s="5">
        <v>0.0</v>
      </c>
      <c r="AA521" s="5">
        <v>0.0</v>
      </c>
      <c r="AB521" s="5">
        <v>0.0</v>
      </c>
      <c r="AC521" s="5">
        <v>0.0</v>
      </c>
      <c r="AD521" s="5">
        <v>0.0</v>
      </c>
      <c r="AE521" s="5">
        <v>0.0</v>
      </c>
      <c r="AF521" s="5">
        <v>0.0</v>
      </c>
      <c r="AG521" s="5">
        <v>0.0</v>
      </c>
      <c r="AH521" s="5">
        <v>0.0</v>
      </c>
      <c r="AI521" s="5">
        <v>-2.669823423</v>
      </c>
      <c r="AJ521" s="5">
        <v>-1.611667555</v>
      </c>
      <c r="AK521" s="5">
        <v>-2.315490288</v>
      </c>
      <c r="AL521" s="5">
        <v>-1.716200805</v>
      </c>
      <c r="AM521" s="5">
        <v>-2.970004693</v>
      </c>
      <c r="AN521" s="5">
        <v>-1.264699815</v>
      </c>
      <c r="AO521" s="5">
        <v>-0.009176479962</v>
      </c>
      <c r="AP521" s="5">
        <v>-0.003661668577</v>
      </c>
      <c r="AQ521" s="5">
        <v>2.209572272</v>
      </c>
    </row>
    <row r="522">
      <c r="A522" s="342">
        <v>536.0</v>
      </c>
      <c r="B522" s="347"/>
      <c r="C522" s="347"/>
      <c r="D522" s="341">
        <v>-1.570090591</v>
      </c>
      <c r="E522" s="342">
        <v>-0.004405699334</v>
      </c>
      <c r="F522" s="342">
        <v>-1.150128051</v>
      </c>
      <c r="G522" s="342">
        <v>-0.4199625404</v>
      </c>
      <c r="H522" s="342">
        <v>0.99583523</v>
      </c>
      <c r="I522" s="343"/>
      <c r="J522" s="342" t="s">
        <v>2566</v>
      </c>
      <c r="K522" s="342" t="s">
        <v>2564</v>
      </c>
      <c r="L522" s="342" t="s">
        <v>1380</v>
      </c>
      <c r="M522" s="342" t="s">
        <v>2567</v>
      </c>
      <c r="N522" s="343"/>
      <c r="O522" s="342" t="s">
        <v>1368</v>
      </c>
      <c r="P522" s="342" t="s">
        <v>2102</v>
      </c>
      <c r="Q522" s="342">
        <v>2.0</v>
      </c>
      <c r="R522" s="343"/>
      <c r="S522" s="342" t="s">
        <v>2232</v>
      </c>
      <c r="T522" s="342">
        <v>0.0</v>
      </c>
      <c r="U522" s="342">
        <v>0.0</v>
      </c>
      <c r="V522" s="342">
        <v>0.0</v>
      </c>
      <c r="W522" s="341">
        <v>0.0</v>
      </c>
      <c r="X522" s="5">
        <v>0.0</v>
      </c>
      <c r="Y522" s="5">
        <v>0.0</v>
      </c>
      <c r="Z522" s="5">
        <v>0.0</v>
      </c>
      <c r="AA522" s="5">
        <v>0.0</v>
      </c>
      <c r="AB522" s="5">
        <v>0.0</v>
      </c>
      <c r="AC522" s="5">
        <v>0.0</v>
      </c>
      <c r="AD522" s="5">
        <v>0.0</v>
      </c>
      <c r="AE522" s="5">
        <v>0.0</v>
      </c>
      <c r="AF522" s="5">
        <v>0.0</v>
      </c>
      <c r="AG522" s="5">
        <v>0.0</v>
      </c>
      <c r="AH522" s="5">
        <v>0.0</v>
      </c>
      <c r="AI522" s="5">
        <v>-2.669823423</v>
      </c>
      <c r="AJ522" s="5">
        <v>-1.611667555</v>
      </c>
      <c r="AK522" s="5">
        <v>-2.315490288</v>
      </c>
      <c r="AL522" s="5">
        <v>-1.716200805</v>
      </c>
      <c r="AM522" s="5">
        <v>-2.970004693</v>
      </c>
      <c r="AN522" s="5">
        <v>-1.264699815</v>
      </c>
      <c r="AO522" s="5">
        <v>-0.009176479962</v>
      </c>
      <c r="AP522" s="5">
        <v>-0.003661668577</v>
      </c>
      <c r="AQ522" s="5">
        <v>2.209572272</v>
      </c>
    </row>
    <row r="523">
      <c r="A523" s="342">
        <v>537.0</v>
      </c>
      <c r="B523" s="347"/>
      <c r="C523" s="347"/>
      <c r="D523" s="341">
        <v>-1.570090591</v>
      </c>
      <c r="E523" s="342">
        <v>-0.004405699334</v>
      </c>
      <c r="F523" s="342">
        <v>-1.150128051</v>
      </c>
      <c r="G523" s="342">
        <v>-0.4199625404</v>
      </c>
      <c r="H523" s="342">
        <v>0.2389134897</v>
      </c>
      <c r="I523" s="343"/>
      <c r="J523" s="342" t="s">
        <v>2568</v>
      </c>
      <c r="K523" s="342" t="s">
        <v>2564</v>
      </c>
      <c r="L523" s="342" t="s">
        <v>34</v>
      </c>
      <c r="M523" s="342" t="s">
        <v>2569</v>
      </c>
      <c r="N523" s="343"/>
      <c r="O523" s="342" t="s">
        <v>1368</v>
      </c>
      <c r="P523" s="342" t="s">
        <v>2250</v>
      </c>
      <c r="Q523" s="342">
        <v>1.0</v>
      </c>
      <c r="R523" s="343"/>
      <c r="S523" s="342" t="s">
        <v>2232</v>
      </c>
      <c r="T523" s="342">
        <v>0.0</v>
      </c>
      <c r="U523" s="342">
        <v>0.0</v>
      </c>
      <c r="V523" s="342">
        <v>0.0</v>
      </c>
      <c r="W523" s="341">
        <v>0.0</v>
      </c>
      <c r="X523" s="5">
        <v>0.0</v>
      </c>
      <c r="Y523" s="5">
        <v>0.0</v>
      </c>
      <c r="Z523" s="5">
        <v>0.0</v>
      </c>
      <c r="AA523" s="5">
        <v>0.0</v>
      </c>
      <c r="AB523" s="5">
        <v>0.0</v>
      </c>
      <c r="AC523" s="5">
        <v>0.0</v>
      </c>
      <c r="AD523" s="5">
        <v>0.0</v>
      </c>
      <c r="AE523" s="5">
        <v>0.0</v>
      </c>
      <c r="AF523" s="5">
        <v>0.0</v>
      </c>
      <c r="AG523" s="5">
        <v>0.0</v>
      </c>
      <c r="AH523" s="5">
        <v>0.0</v>
      </c>
      <c r="AI523" s="5">
        <v>-2.669823423</v>
      </c>
      <c r="AJ523" s="5">
        <v>-1.611667555</v>
      </c>
      <c r="AK523" s="5">
        <v>-2.315490288</v>
      </c>
      <c r="AL523" s="5">
        <v>-1.716200805</v>
      </c>
      <c r="AM523" s="5">
        <v>-2.970004693</v>
      </c>
      <c r="AN523" s="5">
        <v>-1.264699815</v>
      </c>
      <c r="AO523" s="5">
        <v>-0.009176479962</v>
      </c>
      <c r="AP523" s="5">
        <v>-0.003661668577</v>
      </c>
      <c r="AQ523" s="5">
        <v>2.209572272</v>
      </c>
    </row>
    <row r="524">
      <c r="A524" s="342">
        <v>538.0</v>
      </c>
      <c r="B524" s="347"/>
      <c r="C524" s="347"/>
      <c r="D524" s="341">
        <v>-1.570090591</v>
      </c>
      <c r="E524" s="342">
        <v>-0.004405699334</v>
      </c>
      <c r="F524" s="342">
        <v>-1.150128051</v>
      </c>
      <c r="G524" s="342">
        <v>-0.4199625404</v>
      </c>
      <c r="H524" s="342">
        <v>0.2228087719</v>
      </c>
      <c r="I524" s="343"/>
      <c r="J524" s="342" t="s">
        <v>2570</v>
      </c>
      <c r="K524" s="342" t="s">
        <v>2564</v>
      </c>
      <c r="L524" s="342" t="s">
        <v>1380</v>
      </c>
      <c r="M524" s="343"/>
      <c r="N524" s="343"/>
      <c r="O524" s="342" t="s">
        <v>1368</v>
      </c>
      <c r="P524" s="342" t="s">
        <v>1812</v>
      </c>
      <c r="Q524" s="343"/>
      <c r="R524" s="343"/>
      <c r="S524" s="342" t="s">
        <v>2565</v>
      </c>
      <c r="T524" s="342">
        <v>0.0</v>
      </c>
      <c r="U524" s="342">
        <v>0.0</v>
      </c>
      <c r="V524" s="342">
        <v>0.0</v>
      </c>
      <c r="W524" s="341">
        <v>0.0</v>
      </c>
      <c r="X524" s="5">
        <v>0.0</v>
      </c>
      <c r="Y524" s="5">
        <v>0.0</v>
      </c>
      <c r="Z524" s="5">
        <v>0.0</v>
      </c>
      <c r="AA524" s="5">
        <v>0.0</v>
      </c>
      <c r="AB524" s="5">
        <v>0.0</v>
      </c>
      <c r="AC524" s="5">
        <v>0.0</v>
      </c>
      <c r="AD524" s="5">
        <v>0.0</v>
      </c>
      <c r="AE524" s="5">
        <v>0.0</v>
      </c>
      <c r="AF524" s="5">
        <v>0.0</v>
      </c>
      <c r="AG524" s="5">
        <v>0.0</v>
      </c>
      <c r="AH524" s="5">
        <v>0.0</v>
      </c>
      <c r="AI524" s="5">
        <v>-2.669823423</v>
      </c>
      <c r="AJ524" s="5">
        <v>-1.611667555</v>
      </c>
      <c r="AK524" s="5">
        <v>-2.315490288</v>
      </c>
      <c r="AL524" s="5">
        <v>-1.716200805</v>
      </c>
      <c r="AM524" s="5">
        <v>-2.970004693</v>
      </c>
      <c r="AN524" s="5">
        <v>-1.264699815</v>
      </c>
      <c r="AO524" s="5">
        <v>-0.009176479962</v>
      </c>
      <c r="AP524" s="5">
        <v>-0.003661668577</v>
      </c>
      <c r="AQ524" s="5">
        <v>2.209572272</v>
      </c>
    </row>
    <row r="525">
      <c r="A525" s="342">
        <v>539.0</v>
      </c>
      <c r="B525" s="347"/>
      <c r="C525" s="347"/>
      <c r="D525" s="341">
        <v>-1.570090591</v>
      </c>
      <c r="E525" s="342">
        <v>-0.004405699334</v>
      </c>
      <c r="F525" s="342">
        <v>-1.150128051</v>
      </c>
      <c r="G525" s="342">
        <v>-0.4199625404</v>
      </c>
      <c r="H525" s="342">
        <v>1.092463537</v>
      </c>
      <c r="I525" s="343"/>
      <c r="J525" s="342" t="s">
        <v>2571</v>
      </c>
      <c r="K525" s="342" t="s">
        <v>2564</v>
      </c>
      <c r="L525" s="342" t="s">
        <v>1366</v>
      </c>
      <c r="M525" s="343"/>
      <c r="N525" s="343"/>
      <c r="O525" s="342" t="s">
        <v>1378</v>
      </c>
      <c r="P525" s="343"/>
      <c r="Q525" s="343"/>
      <c r="R525" s="343"/>
      <c r="S525" s="342" t="s">
        <v>2565</v>
      </c>
      <c r="T525" s="342">
        <v>0.0</v>
      </c>
      <c r="U525" s="342">
        <v>0.0</v>
      </c>
      <c r="V525" s="342">
        <v>0.0</v>
      </c>
      <c r="W525" s="341">
        <v>0.0</v>
      </c>
      <c r="X525" s="5">
        <v>0.0</v>
      </c>
      <c r="Y525" s="5">
        <v>0.0</v>
      </c>
      <c r="Z525" s="5">
        <v>0.0</v>
      </c>
      <c r="AA525" s="5">
        <v>0.0</v>
      </c>
      <c r="AB525" s="5">
        <v>0.0</v>
      </c>
      <c r="AC525" s="5">
        <v>0.0</v>
      </c>
      <c r="AD525" s="5">
        <v>0.0</v>
      </c>
      <c r="AE525" s="5">
        <v>0.0</v>
      </c>
      <c r="AF525" s="5">
        <v>0.0</v>
      </c>
      <c r="AG525" s="5">
        <v>0.0</v>
      </c>
      <c r="AH525" s="5">
        <v>0.0</v>
      </c>
      <c r="AI525" s="5">
        <v>-2.669823423</v>
      </c>
      <c r="AJ525" s="5">
        <v>-1.611667555</v>
      </c>
      <c r="AK525" s="5">
        <v>-2.315490288</v>
      </c>
      <c r="AL525" s="5">
        <v>-1.716200805</v>
      </c>
      <c r="AM525" s="5">
        <v>-2.970004693</v>
      </c>
      <c r="AN525" s="5">
        <v>-1.264699815</v>
      </c>
      <c r="AO525" s="5">
        <v>-0.009176479962</v>
      </c>
      <c r="AP525" s="5">
        <v>-0.003661668577</v>
      </c>
      <c r="AQ525" s="5">
        <v>2.209572272</v>
      </c>
    </row>
    <row r="526">
      <c r="A526" s="342">
        <v>542.0</v>
      </c>
      <c r="B526" s="347"/>
      <c r="C526" s="347"/>
      <c r="D526" s="341">
        <v>-1.570090591</v>
      </c>
      <c r="E526" s="342">
        <v>-0.004405699334</v>
      </c>
      <c r="F526" s="342">
        <v>-1.150128051</v>
      </c>
      <c r="G526" s="342">
        <v>-0.4199625404</v>
      </c>
      <c r="H526" s="343"/>
      <c r="I526" s="343"/>
      <c r="J526" s="342" t="s">
        <v>2572</v>
      </c>
      <c r="K526" s="342" t="s">
        <v>40</v>
      </c>
      <c r="L526" s="342" t="s">
        <v>1404</v>
      </c>
      <c r="M526" s="343"/>
      <c r="N526" s="342" t="s">
        <v>2573</v>
      </c>
      <c r="O526" s="342" t="s">
        <v>1378</v>
      </c>
      <c r="P526" s="343"/>
      <c r="Q526" s="343"/>
      <c r="R526" s="343"/>
      <c r="S526" s="342" t="s">
        <v>2565</v>
      </c>
      <c r="T526" s="342">
        <v>0.0</v>
      </c>
      <c r="U526" s="342">
        <v>16.0</v>
      </c>
      <c r="V526" s="342">
        <v>0.0</v>
      </c>
      <c r="W526" s="341">
        <v>0.0</v>
      </c>
      <c r="X526" s="5">
        <v>0.0</v>
      </c>
      <c r="Y526" s="5">
        <v>0.0</v>
      </c>
      <c r="Z526" s="5">
        <v>0.0</v>
      </c>
      <c r="AA526" s="5">
        <v>0.0</v>
      </c>
      <c r="AB526" s="5">
        <v>0.0</v>
      </c>
      <c r="AC526" s="5">
        <v>0.0</v>
      </c>
      <c r="AD526" s="5">
        <v>0.0</v>
      </c>
      <c r="AE526" s="5">
        <v>0.0</v>
      </c>
      <c r="AF526" s="5">
        <v>0.0</v>
      </c>
      <c r="AG526" s="5">
        <v>0.0</v>
      </c>
      <c r="AH526" s="5">
        <v>0.0</v>
      </c>
      <c r="AI526" s="5">
        <v>-2.669823423</v>
      </c>
      <c r="AJ526" s="5">
        <v>-1.611667555</v>
      </c>
      <c r="AK526" s="5">
        <v>-2.315490288</v>
      </c>
      <c r="AL526" s="5">
        <v>-1.716200805</v>
      </c>
      <c r="AM526" s="5">
        <v>-2.970004693</v>
      </c>
      <c r="AN526" s="5">
        <v>-1.264699815</v>
      </c>
      <c r="AO526" s="5">
        <v>-0.009176479962</v>
      </c>
      <c r="AP526" s="5">
        <v>-0.003661668577</v>
      </c>
      <c r="AQ526" s="5">
        <v>2.209572272</v>
      </c>
    </row>
    <row r="527">
      <c r="A527" s="342">
        <v>541.0</v>
      </c>
      <c r="B527" s="347"/>
      <c r="C527" s="347"/>
      <c r="D527" s="341">
        <v>-1.570090591</v>
      </c>
      <c r="E527" s="342">
        <v>-0.004405699334</v>
      </c>
      <c r="F527" s="342">
        <v>-1.150128051</v>
      </c>
      <c r="G527" s="342">
        <v>-0.4199625404</v>
      </c>
      <c r="H527" s="343"/>
      <c r="I527" s="343"/>
      <c r="J527" s="342" t="s">
        <v>2574</v>
      </c>
      <c r="K527" s="342" t="s">
        <v>2564</v>
      </c>
      <c r="L527" s="342" t="s">
        <v>1380</v>
      </c>
      <c r="M527" s="343"/>
      <c r="N527" s="343"/>
      <c r="O527" s="342" t="s">
        <v>1378</v>
      </c>
      <c r="P527" s="343"/>
      <c r="Q527" s="343"/>
      <c r="R527" s="343"/>
      <c r="S527" s="342" t="s">
        <v>2565</v>
      </c>
      <c r="T527" s="342">
        <v>0.0</v>
      </c>
      <c r="U527" s="342">
        <v>0.0</v>
      </c>
      <c r="V527" s="342">
        <v>0.0</v>
      </c>
      <c r="W527" s="341">
        <v>0.0</v>
      </c>
      <c r="X527" s="5">
        <v>0.0</v>
      </c>
      <c r="Y527" s="5">
        <v>0.0</v>
      </c>
      <c r="Z527" s="5">
        <v>0.0</v>
      </c>
      <c r="AA527" s="5">
        <v>0.0</v>
      </c>
      <c r="AB527" s="5">
        <v>0.0</v>
      </c>
      <c r="AC527" s="5">
        <v>0.0</v>
      </c>
      <c r="AD527" s="5">
        <v>0.0</v>
      </c>
      <c r="AE527" s="5">
        <v>0.0</v>
      </c>
      <c r="AF527" s="5">
        <v>0.0</v>
      </c>
      <c r="AG527" s="5">
        <v>0.0</v>
      </c>
      <c r="AH527" s="5">
        <v>0.0</v>
      </c>
      <c r="AI527" s="5">
        <v>-2.669823423</v>
      </c>
      <c r="AJ527" s="5">
        <v>-1.611667555</v>
      </c>
      <c r="AK527" s="5">
        <v>-2.315490288</v>
      </c>
      <c r="AL527" s="5">
        <v>-1.716200805</v>
      </c>
      <c r="AM527" s="5">
        <v>-2.970004693</v>
      </c>
      <c r="AN527" s="5">
        <v>-1.264699815</v>
      </c>
      <c r="AO527" s="5">
        <v>-0.009176479962</v>
      </c>
      <c r="AP527" s="5">
        <v>-0.003661668577</v>
      </c>
      <c r="AQ527" s="5">
        <v>2.209572272</v>
      </c>
    </row>
    <row r="528">
      <c r="A528" s="342">
        <v>534.0</v>
      </c>
      <c r="B528" s="347"/>
      <c r="C528" s="347"/>
      <c r="D528" s="341">
        <v>-1.570090591</v>
      </c>
      <c r="E528" s="342">
        <v>-0.4407704918</v>
      </c>
      <c r="F528" s="342">
        <v>-1.150128051</v>
      </c>
      <c r="G528" s="342">
        <v>-0.4199625404</v>
      </c>
      <c r="H528" s="342">
        <v>0.8186833334</v>
      </c>
      <c r="I528" s="343"/>
      <c r="J528" s="342" t="s">
        <v>2575</v>
      </c>
      <c r="K528" s="342" t="s">
        <v>159</v>
      </c>
      <c r="L528" s="342" t="s">
        <v>1404</v>
      </c>
      <c r="M528" s="342" t="s">
        <v>2576</v>
      </c>
      <c r="N528" s="343"/>
      <c r="O528" s="342" t="s">
        <v>1368</v>
      </c>
      <c r="P528" s="342" t="s">
        <v>1796</v>
      </c>
      <c r="Q528" s="342">
        <v>5.0</v>
      </c>
      <c r="R528" s="343"/>
      <c r="S528" s="342" t="s">
        <v>2565</v>
      </c>
      <c r="T528" s="342">
        <v>0.0</v>
      </c>
      <c r="U528" s="342">
        <v>14.0</v>
      </c>
      <c r="V528" s="342">
        <v>0.0</v>
      </c>
      <c r="W528" s="341">
        <v>0.0</v>
      </c>
      <c r="X528" s="5">
        <v>0.0</v>
      </c>
      <c r="Y528" s="5">
        <v>0.0</v>
      </c>
      <c r="Z528" s="5">
        <v>0.0</v>
      </c>
      <c r="AA528" s="5">
        <v>0.0</v>
      </c>
      <c r="AB528" s="5">
        <v>0.0</v>
      </c>
      <c r="AC528" s="5">
        <v>0.0</v>
      </c>
      <c r="AD528" s="5">
        <v>0.0</v>
      </c>
      <c r="AE528" s="5">
        <v>0.0</v>
      </c>
      <c r="AF528" s="5">
        <v>0.0</v>
      </c>
      <c r="AG528" s="5">
        <v>0.0</v>
      </c>
      <c r="AH528" s="5">
        <v>0.0</v>
      </c>
      <c r="AI528" s="5">
        <v>-2.669823423</v>
      </c>
      <c r="AJ528" s="5">
        <v>-1.611667555</v>
      </c>
      <c r="AK528" s="5">
        <v>-2.315490288</v>
      </c>
      <c r="AL528" s="5">
        <v>-1.716200805</v>
      </c>
      <c r="AM528" s="5">
        <v>-2.970004693</v>
      </c>
      <c r="AN528" s="5">
        <v>-1.264699815</v>
      </c>
      <c r="AO528" s="5">
        <v>-0.009176479962</v>
      </c>
      <c r="AP528" s="5">
        <v>-0.003661668577</v>
      </c>
      <c r="AQ528" s="5">
        <v>2.209572272</v>
      </c>
    </row>
    <row r="529">
      <c r="A529" s="342">
        <v>543.0</v>
      </c>
      <c r="B529" s="347"/>
      <c r="C529" s="347"/>
      <c r="D529" s="341">
        <v>-1.570090591</v>
      </c>
      <c r="E529" s="342">
        <v>-0.004405699334</v>
      </c>
      <c r="F529" s="342">
        <v>-1.150128051</v>
      </c>
      <c r="G529" s="342">
        <v>-0.4199625404</v>
      </c>
      <c r="H529" s="342">
        <v>0.4804842579</v>
      </c>
      <c r="I529" s="343"/>
      <c r="J529" s="342" t="s">
        <v>2577</v>
      </c>
      <c r="K529" s="342" t="s">
        <v>2564</v>
      </c>
      <c r="L529" s="342" t="s">
        <v>1404</v>
      </c>
      <c r="M529" s="343"/>
      <c r="N529" s="343"/>
      <c r="O529" s="342" t="s">
        <v>1368</v>
      </c>
      <c r="P529" s="342" t="s">
        <v>1501</v>
      </c>
      <c r="Q529" s="342">
        <v>4.0</v>
      </c>
      <c r="R529" s="343"/>
      <c r="S529" s="342" t="s">
        <v>2232</v>
      </c>
      <c r="T529" s="342">
        <v>0.0</v>
      </c>
      <c r="U529" s="342">
        <v>0.0</v>
      </c>
      <c r="V529" s="342">
        <v>0.0</v>
      </c>
      <c r="W529" s="341">
        <v>0.0</v>
      </c>
      <c r="X529" s="5">
        <v>0.0</v>
      </c>
      <c r="Y529" s="5">
        <v>0.0</v>
      </c>
      <c r="Z529" s="5">
        <v>0.0</v>
      </c>
      <c r="AA529" s="5">
        <v>0.0</v>
      </c>
      <c r="AB529" s="5">
        <v>0.0</v>
      </c>
      <c r="AC529" s="5">
        <v>0.0</v>
      </c>
      <c r="AD529" s="5">
        <v>0.0</v>
      </c>
      <c r="AE529" s="5">
        <v>0.0</v>
      </c>
      <c r="AF529" s="5">
        <v>0.0</v>
      </c>
      <c r="AG529" s="5">
        <v>0.0</v>
      </c>
      <c r="AH529" s="5">
        <v>0.0</v>
      </c>
      <c r="AI529" s="5">
        <v>-2.669823423</v>
      </c>
      <c r="AJ529" s="5">
        <v>-1.611667555</v>
      </c>
      <c r="AK529" s="5">
        <v>-2.315490288</v>
      </c>
      <c r="AL529" s="5">
        <v>-1.716200805</v>
      </c>
      <c r="AM529" s="5">
        <v>-2.970004693</v>
      </c>
      <c r="AN529" s="5">
        <v>-1.264699815</v>
      </c>
      <c r="AO529" s="5">
        <v>-0.009176479962</v>
      </c>
      <c r="AP529" s="5">
        <v>-0.003661668577</v>
      </c>
      <c r="AQ529" s="5">
        <v>2.209572272</v>
      </c>
    </row>
    <row r="530">
      <c r="A530" s="342">
        <v>544.0</v>
      </c>
      <c r="B530" s="347"/>
      <c r="C530" s="347"/>
      <c r="D530" s="341">
        <v>-1.570090591</v>
      </c>
      <c r="E530" s="342">
        <v>-0.004405699334</v>
      </c>
      <c r="F530" s="342">
        <v>-1.150128051</v>
      </c>
      <c r="G530" s="342">
        <v>-0.4199625404</v>
      </c>
      <c r="H530" s="342">
        <v>0.1100757467</v>
      </c>
      <c r="I530" s="343"/>
      <c r="J530" s="342" t="s">
        <v>2578</v>
      </c>
      <c r="K530" s="342" t="s">
        <v>2564</v>
      </c>
      <c r="L530" s="342" t="s">
        <v>1404</v>
      </c>
      <c r="M530" s="343"/>
      <c r="N530" s="343"/>
      <c r="O530" s="342" t="s">
        <v>1374</v>
      </c>
      <c r="P530" s="343"/>
      <c r="Q530" s="342">
        <v>4.0</v>
      </c>
      <c r="R530" s="343"/>
      <c r="S530" s="342" t="s">
        <v>2232</v>
      </c>
      <c r="T530" s="342">
        <v>0.0</v>
      </c>
      <c r="U530" s="342">
        <v>0.0</v>
      </c>
      <c r="V530" s="342">
        <v>0.0</v>
      </c>
      <c r="W530" s="341">
        <v>0.0</v>
      </c>
      <c r="X530" s="5">
        <v>0.0</v>
      </c>
      <c r="Y530" s="5">
        <v>0.0</v>
      </c>
      <c r="Z530" s="5">
        <v>0.0</v>
      </c>
      <c r="AA530" s="5">
        <v>0.0</v>
      </c>
      <c r="AB530" s="5">
        <v>0.0</v>
      </c>
      <c r="AC530" s="5">
        <v>0.0</v>
      </c>
      <c r="AD530" s="5">
        <v>0.0</v>
      </c>
      <c r="AE530" s="5">
        <v>0.0</v>
      </c>
      <c r="AF530" s="5">
        <v>0.0</v>
      </c>
      <c r="AG530" s="5">
        <v>0.0</v>
      </c>
      <c r="AH530" s="5">
        <v>0.0</v>
      </c>
      <c r="AI530" s="5">
        <v>-2.669823423</v>
      </c>
      <c r="AJ530" s="5">
        <v>-1.611667555</v>
      </c>
      <c r="AK530" s="5">
        <v>-2.315490288</v>
      </c>
      <c r="AL530" s="5">
        <v>-1.716200805</v>
      </c>
      <c r="AM530" s="5">
        <v>-2.970004693</v>
      </c>
      <c r="AN530" s="5">
        <v>-1.264699815</v>
      </c>
      <c r="AO530" s="5">
        <v>-0.009176479962</v>
      </c>
      <c r="AP530" s="5">
        <v>-0.003661668577</v>
      </c>
      <c r="AQ530" s="5">
        <v>2.209572272</v>
      </c>
    </row>
    <row r="531">
      <c r="A531" s="342">
        <v>545.0</v>
      </c>
      <c r="B531" s="347"/>
      <c r="C531" s="347"/>
      <c r="D531" s="341">
        <v>-1.570090591</v>
      </c>
      <c r="E531" s="342">
        <v>-0.004405699334</v>
      </c>
      <c r="F531" s="342">
        <v>-1.150128051</v>
      </c>
      <c r="G531" s="342">
        <v>-0.4199625404</v>
      </c>
      <c r="H531" s="342">
        <v>-0.8723120439</v>
      </c>
      <c r="I531" s="343"/>
      <c r="J531" s="342" t="s">
        <v>2579</v>
      </c>
      <c r="K531" s="342" t="s">
        <v>93</v>
      </c>
      <c r="L531" s="342" t="s">
        <v>34</v>
      </c>
      <c r="M531" s="342" t="s">
        <v>2580</v>
      </c>
      <c r="N531" s="343"/>
      <c r="O531" s="342" t="s">
        <v>1368</v>
      </c>
      <c r="P531" s="342" t="s">
        <v>1416</v>
      </c>
      <c r="Q531" s="342">
        <v>5.0</v>
      </c>
      <c r="R531" s="343"/>
      <c r="S531" s="342" t="s">
        <v>2565</v>
      </c>
      <c r="T531" s="342">
        <v>0.0</v>
      </c>
      <c r="U531" s="342">
        <v>16.0</v>
      </c>
      <c r="V531" s="342">
        <v>0.0</v>
      </c>
      <c r="W531" s="341">
        <v>0.0</v>
      </c>
      <c r="X531" s="5">
        <v>0.0</v>
      </c>
      <c r="Y531" s="5">
        <v>0.0</v>
      </c>
      <c r="Z531" s="5">
        <v>0.0</v>
      </c>
      <c r="AA531" s="5">
        <v>0.0</v>
      </c>
      <c r="AB531" s="5">
        <v>0.0</v>
      </c>
      <c r="AC531" s="5">
        <v>0.0</v>
      </c>
      <c r="AD531" s="5">
        <v>0.0</v>
      </c>
      <c r="AE531" s="5">
        <v>0.0</v>
      </c>
      <c r="AF531" s="5">
        <v>0.0</v>
      </c>
      <c r="AG531" s="5">
        <v>0.0</v>
      </c>
      <c r="AH531" s="5">
        <v>0.0</v>
      </c>
      <c r="AI531" s="5">
        <v>-2.669823423</v>
      </c>
      <c r="AJ531" s="5">
        <v>-1.611667555</v>
      </c>
      <c r="AK531" s="5">
        <v>-2.315490288</v>
      </c>
      <c r="AL531" s="5">
        <v>-1.716200805</v>
      </c>
      <c r="AM531" s="5">
        <v>-2.970004693</v>
      </c>
      <c r="AN531" s="5">
        <v>-1.264699815</v>
      </c>
      <c r="AO531" s="5">
        <v>-0.009176479962</v>
      </c>
      <c r="AP531" s="5">
        <v>-0.003661668577</v>
      </c>
      <c r="AQ531" s="5">
        <v>2.209572272</v>
      </c>
    </row>
    <row r="532">
      <c r="A532" s="342">
        <v>540.0</v>
      </c>
      <c r="B532" s="347"/>
      <c r="C532" s="347"/>
      <c r="D532" s="341">
        <v>-1.570090591</v>
      </c>
      <c r="E532" s="342">
        <v>-0.004405699334</v>
      </c>
      <c r="F532" s="342">
        <v>-1.150128051</v>
      </c>
      <c r="G532" s="342">
        <v>-0.4199625404</v>
      </c>
      <c r="H532" s="342">
        <v>-0.3408563539</v>
      </c>
      <c r="I532" s="343"/>
      <c r="J532" s="342" t="s">
        <v>2581</v>
      </c>
      <c r="K532" s="342" t="s">
        <v>2564</v>
      </c>
      <c r="L532" s="342" t="s">
        <v>1380</v>
      </c>
      <c r="M532" s="343"/>
      <c r="N532" s="342" t="s">
        <v>2582</v>
      </c>
      <c r="O532" s="342" t="s">
        <v>1378</v>
      </c>
      <c r="P532" s="342" t="s">
        <v>1642</v>
      </c>
      <c r="Q532" s="343"/>
      <c r="R532" s="343"/>
      <c r="S532" s="342" t="s">
        <v>1434</v>
      </c>
      <c r="T532" s="342">
        <v>0.0</v>
      </c>
      <c r="U532" s="342">
        <v>0.0</v>
      </c>
      <c r="V532" s="342">
        <v>0.0</v>
      </c>
      <c r="W532" s="341">
        <v>0.0</v>
      </c>
      <c r="X532" s="5">
        <v>0.0</v>
      </c>
      <c r="Y532" s="5">
        <v>0.0</v>
      </c>
      <c r="Z532" s="5">
        <v>0.0</v>
      </c>
      <c r="AA532" s="5">
        <v>0.0</v>
      </c>
      <c r="AB532" s="5">
        <v>0.0</v>
      </c>
      <c r="AC532" s="5">
        <v>0.0</v>
      </c>
      <c r="AD532" s="5">
        <v>0.0</v>
      </c>
      <c r="AE532" s="5">
        <v>0.0</v>
      </c>
      <c r="AF532" s="5">
        <v>0.0</v>
      </c>
      <c r="AG532" s="5">
        <v>0.0</v>
      </c>
      <c r="AH532" s="5">
        <v>0.0</v>
      </c>
      <c r="AI532" s="5">
        <v>-2.669823423</v>
      </c>
      <c r="AJ532" s="5">
        <v>-1.611667555</v>
      </c>
      <c r="AK532" s="5">
        <v>-2.315490288</v>
      </c>
      <c r="AL532" s="5">
        <v>-1.716200805</v>
      </c>
      <c r="AM532" s="5">
        <v>-2.970004693</v>
      </c>
      <c r="AN532" s="5">
        <v>-1.264699815</v>
      </c>
      <c r="AO532" s="5">
        <v>-0.009176479962</v>
      </c>
      <c r="AP532" s="5">
        <v>-0.003661668577</v>
      </c>
      <c r="AQ532" s="5">
        <v>2.209572272</v>
      </c>
    </row>
    <row r="533">
      <c r="A533" s="342">
        <v>533.0</v>
      </c>
      <c r="B533" s="347"/>
      <c r="C533" s="347"/>
      <c r="D533" s="341">
        <v>-1.570090591</v>
      </c>
      <c r="E533" s="342">
        <v>-0.004405699334</v>
      </c>
      <c r="F533" s="342">
        <v>-1.150128051</v>
      </c>
      <c r="G533" s="342">
        <v>-0.4199625404</v>
      </c>
      <c r="H533" s="343"/>
      <c r="I533" s="343"/>
      <c r="J533" s="342" t="s">
        <v>2583</v>
      </c>
      <c r="K533" s="342" t="s">
        <v>2564</v>
      </c>
      <c r="L533" s="342" t="s">
        <v>1380</v>
      </c>
      <c r="M533" s="343"/>
      <c r="N533" s="343"/>
      <c r="O533" s="342" t="s">
        <v>1378</v>
      </c>
      <c r="P533" s="343"/>
      <c r="Q533" s="343"/>
      <c r="R533" s="343"/>
      <c r="S533" s="342" t="s">
        <v>2565</v>
      </c>
      <c r="T533" s="342">
        <v>0.0</v>
      </c>
      <c r="U533" s="342">
        <v>0.0</v>
      </c>
      <c r="V533" s="342">
        <v>0.0</v>
      </c>
      <c r="W533" s="341">
        <v>0.0</v>
      </c>
      <c r="X533" s="5">
        <v>0.0</v>
      </c>
      <c r="Y533" s="5">
        <v>0.0</v>
      </c>
      <c r="Z533" s="5">
        <v>0.0</v>
      </c>
      <c r="AA533" s="5">
        <v>0.0</v>
      </c>
      <c r="AB533" s="5">
        <v>0.0</v>
      </c>
      <c r="AC533" s="5">
        <v>0.0</v>
      </c>
      <c r="AD533" s="5">
        <v>0.0</v>
      </c>
      <c r="AE533" s="5">
        <v>0.0</v>
      </c>
      <c r="AF533" s="5">
        <v>0.0</v>
      </c>
      <c r="AG533" s="5">
        <v>0.0</v>
      </c>
      <c r="AH533" s="5">
        <v>0.0</v>
      </c>
      <c r="AI533" s="5">
        <v>-2.669823423</v>
      </c>
      <c r="AJ533" s="5">
        <v>-1.611667555</v>
      </c>
      <c r="AK533" s="5">
        <v>-2.315490288</v>
      </c>
      <c r="AL533" s="5">
        <v>-1.716200805</v>
      </c>
      <c r="AM533" s="5">
        <v>-2.970004693</v>
      </c>
      <c r="AN533" s="5">
        <v>-1.264699815</v>
      </c>
      <c r="AO533" s="5">
        <v>-0.009176479962</v>
      </c>
      <c r="AP533" s="5">
        <v>-0.003661668577</v>
      </c>
      <c r="AQ533" s="5">
        <v>2.209572272</v>
      </c>
    </row>
    <row r="534">
      <c r="A534" s="342">
        <v>530.0</v>
      </c>
      <c r="B534" s="347"/>
      <c r="C534" s="347"/>
      <c r="D534" s="341">
        <v>-1.570090591</v>
      </c>
      <c r="E534" s="342">
        <v>-0.004405699334</v>
      </c>
      <c r="F534" s="342">
        <v>-1.150128051</v>
      </c>
      <c r="G534" s="342">
        <v>-0.4199625404</v>
      </c>
      <c r="H534" s="343"/>
      <c r="I534" s="343"/>
      <c r="J534" s="342" t="s">
        <v>2584</v>
      </c>
      <c r="K534" s="342" t="s">
        <v>236</v>
      </c>
      <c r="L534" s="342" t="s">
        <v>1380</v>
      </c>
      <c r="M534" s="343"/>
      <c r="N534" s="343"/>
      <c r="O534" s="342" t="s">
        <v>1378</v>
      </c>
      <c r="P534" s="342" t="s">
        <v>2287</v>
      </c>
      <c r="Q534" s="343"/>
      <c r="R534" s="343"/>
      <c r="S534" s="342" t="s">
        <v>2232</v>
      </c>
      <c r="T534" s="342">
        <v>16.0</v>
      </c>
      <c r="U534" s="342">
        <v>13.0</v>
      </c>
      <c r="V534" s="342">
        <v>0.0</v>
      </c>
      <c r="W534" s="341">
        <v>0.0</v>
      </c>
      <c r="X534" s="5">
        <v>0.0</v>
      </c>
      <c r="Y534" s="5">
        <v>0.0</v>
      </c>
      <c r="Z534" s="5">
        <v>0.0</v>
      </c>
      <c r="AA534" s="5">
        <v>0.0</v>
      </c>
      <c r="AB534" s="5">
        <v>0.0</v>
      </c>
      <c r="AC534" s="5">
        <v>0.0</v>
      </c>
      <c r="AD534" s="5">
        <v>0.0</v>
      </c>
      <c r="AE534" s="5">
        <v>0.0</v>
      </c>
      <c r="AF534" s="5">
        <v>0.0</v>
      </c>
      <c r="AG534" s="5">
        <v>0.0</v>
      </c>
      <c r="AH534" s="5">
        <v>0.0</v>
      </c>
      <c r="AI534" s="5">
        <v>-2.669823423</v>
      </c>
      <c r="AJ534" s="5">
        <v>-1.611667555</v>
      </c>
      <c r="AK534" s="5">
        <v>-2.315490288</v>
      </c>
      <c r="AL534" s="5">
        <v>-1.716200805</v>
      </c>
      <c r="AM534" s="5">
        <v>-2.970004693</v>
      </c>
      <c r="AN534" s="5">
        <v>-1.264699815</v>
      </c>
      <c r="AO534" s="5">
        <v>-0.009176479962</v>
      </c>
      <c r="AP534" s="5">
        <v>-0.003661668577</v>
      </c>
      <c r="AQ534" s="5">
        <v>2.209572272</v>
      </c>
    </row>
    <row r="535">
      <c r="A535" s="342">
        <v>531.0</v>
      </c>
      <c r="B535" s="347"/>
      <c r="C535" s="347"/>
      <c r="D535" s="341">
        <v>-1.570090591</v>
      </c>
      <c r="E535" s="342">
        <v>-0.004405699334</v>
      </c>
      <c r="F535" s="342">
        <v>-1.150128051</v>
      </c>
      <c r="G535" s="342">
        <v>-0.4199625404</v>
      </c>
      <c r="H535" s="343"/>
      <c r="I535" s="343"/>
      <c r="J535" s="342" t="s">
        <v>2585</v>
      </c>
      <c r="K535" s="342" t="s">
        <v>2564</v>
      </c>
      <c r="L535" s="342" t="s">
        <v>1404</v>
      </c>
      <c r="M535" s="342" t="s">
        <v>2586</v>
      </c>
      <c r="N535" s="343"/>
      <c r="O535" s="342" t="s">
        <v>1368</v>
      </c>
      <c r="P535" s="342" t="s">
        <v>2227</v>
      </c>
      <c r="Q535" s="342">
        <v>4.0</v>
      </c>
      <c r="R535" s="343"/>
      <c r="S535" s="342" t="s">
        <v>2232</v>
      </c>
      <c r="T535" s="342">
        <v>0.0</v>
      </c>
      <c r="U535" s="342">
        <v>0.0</v>
      </c>
      <c r="V535" s="342">
        <v>0.0</v>
      </c>
      <c r="W535" s="341">
        <v>0.0</v>
      </c>
      <c r="X535" s="5">
        <v>0.0</v>
      </c>
      <c r="Y535" s="5">
        <v>0.0</v>
      </c>
      <c r="Z535" s="5">
        <v>0.0</v>
      </c>
      <c r="AA535" s="5">
        <v>0.0</v>
      </c>
      <c r="AB535" s="5">
        <v>0.0</v>
      </c>
      <c r="AC535" s="5">
        <v>0.0</v>
      </c>
      <c r="AD535" s="5">
        <v>0.0</v>
      </c>
      <c r="AE535" s="5">
        <v>0.0</v>
      </c>
      <c r="AF535" s="5">
        <v>0.0</v>
      </c>
      <c r="AG535" s="5">
        <v>0.0</v>
      </c>
      <c r="AH535" s="5">
        <v>0.0</v>
      </c>
      <c r="AI535" s="5">
        <v>-2.669823423</v>
      </c>
      <c r="AJ535" s="5">
        <v>-1.611667555</v>
      </c>
      <c r="AK535" s="5">
        <v>-2.315490288</v>
      </c>
      <c r="AL535" s="5">
        <v>-1.716200805</v>
      </c>
      <c r="AM535" s="5">
        <v>-2.970004693</v>
      </c>
      <c r="AN535" s="5">
        <v>-1.264699815</v>
      </c>
      <c r="AO535" s="5">
        <v>-0.009176479962</v>
      </c>
      <c r="AP535" s="5">
        <v>-0.003661668577</v>
      </c>
      <c r="AQ535" s="5">
        <v>2.209572272</v>
      </c>
    </row>
    <row r="536">
      <c r="A536" s="342">
        <v>546.0</v>
      </c>
      <c r="B536" s="347"/>
      <c r="C536" s="347"/>
      <c r="D536" s="341">
        <v>-1.570090591</v>
      </c>
      <c r="E536" s="342">
        <v>-0.004405699334</v>
      </c>
      <c r="F536" s="342">
        <v>-1.150128051</v>
      </c>
      <c r="G536" s="342">
        <v>-0.4199625404</v>
      </c>
      <c r="H536" s="342">
        <v>-0.5824271221</v>
      </c>
      <c r="I536" s="343"/>
      <c r="J536" s="342" t="s">
        <v>2587</v>
      </c>
      <c r="K536" s="342" t="s">
        <v>2564</v>
      </c>
      <c r="L536" s="342" t="s">
        <v>1404</v>
      </c>
      <c r="M536" s="343"/>
      <c r="N536" s="343"/>
      <c r="O536" s="342" t="s">
        <v>1378</v>
      </c>
      <c r="P536" s="342" t="s">
        <v>1642</v>
      </c>
      <c r="Q536" s="343"/>
      <c r="R536" s="343"/>
      <c r="S536" s="342" t="s">
        <v>2565</v>
      </c>
      <c r="T536" s="342">
        <v>0.0</v>
      </c>
      <c r="U536" s="342">
        <v>0.0</v>
      </c>
      <c r="V536" s="342">
        <v>0.0</v>
      </c>
      <c r="W536" s="341">
        <v>0.0</v>
      </c>
      <c r="X536" s="5">
        <v>0.0</v>
      </c>
      <c r="Y536" s="5">
        <v>0.0</v>
      </c>
      <c r="Z536" s="5">
        <v>0.0</v>
      </c>
      <c r="AA536" s="5">
        <v>0.0</v>
      </c>
      <c r="AB536" s="5">
        <v>0.0</v>
      </c>
      <c r="AC536" s="5">
        <v>0.0</v>
      </c>
      <c r="AD536" s="5">
        <v>0.0</v>
      </c>
      <c r="AE536" s="5">
        <v>0.0</v>
      </c>
      <c r="AF536" s="5">
        <v>0.0</v>
      </c>
      <c r="AG536" s="5">
        <v>0.0</v>
      </c>
      <c r="AH536" s="5">
        <v>0.0</v>
      </c>
      <c r="AI536" s="5">
        <v>-2.669823423</v>
      </c>
      <c r="AJ536" s="5">
        <v>-1.611667555</v>
      </c>
      <c r="AK536" s="5">
        <v>-2.315490288</v>
      </c>
      <c r="AL536" s="5">
        <v>-1.716200805</v>
      </c>
      <c r="AM536" s="5">
        <v>-2.970004693</v>
      </c>
      <c r="AN536" s="5">
        <v>-1.264699815</v>
      </c>
      <c r="AO536" s="5">
        <v>-0.009176479962</v>
      </c>
      <c r="AP536" s="5">
        <v>-0.003661668577</v>
      </c>
      <c r="AQ536" s="5">
        <v>2.209572272</v>
      </c>
    </row>
    <row r="537">
      <c r="A537" s="342">
        <v>529.0</v>
      </c>
      <c r="B537" s="347"/>
      <c r="C537" s="347"/>
      <c r="D537" s="341">
        <v>-1.570090591</v>
      </c>
      <c r="E537" s="342">
        <v>-0.004405699334</v>
      </c>
      <c r="F537" s="342">
        <v>-1.150128051</v>
      </c>
      <c r="G537" s="342">
        <v>-0.4199625404</v>
      </c>
      <c r="H537" s="342">
        <v>-0.4535893791</v>
      </c>
      <c r="I537" s="343"/>
      <c r="J537" s="342" t="s">
        <v>2588</v>
      </c>
      <c r="K537" s="342" t="s">
        <v>2564</v>
      </c>
      <c r="L537" s="342" t="s">
        <v>1380</v>
      </c>
      <c r="M537" s="343"/>
      <c r="N537" s="343"/>
      <c r="O537" s="342" t="s">
        <v>1378</v>
      </c>
      <c r="P537" s="343"/>
      <c r="Q537" s="343"/>
      <c r="R537" s="343"/>
      <c r="S537" s="342" t="s">
        <v>2565</v>
      </c>
      <c r="T537" s="342">
        <v>0.0</v>
      </c>
      <c r="U537" s="342">
        <v>0.0</v>
      </c>
      <c r="V537" s="342">
        <v>0.0</v>
      </c>
      <c r="W537" s="341">
        <v>0.0</v>
      </c>
      <c r="X537" s="5">
        <v>0.0</v>
      </c>
      <c r="Y537" s="5">
        <v>0.0</v>
      </c>
      <c r="Z537" s="5">
        <v>0.0</v>
      </c>
      <c r="AA537" s="5">
        <v>0.0</v>
      </c>
      <c r="AB537" s="5">
        <v>0.0</v>
      </c>
      <c r="AC537" s="5">
        <v>0.0</v>
      </c>
      <c r="AD537" s="5">
        <v>0.0</v>
      </c>
      <c r="AE537" s="5">
        <v>0.0</v>
      </c>
      <c r="AF537" s="5">
        <v>0.0</v>
      </c>
      <c r="AG537" s="5">
        <v>0.0</v>
      </c>
      <c r="AH537" s="5">
        <v>0.0</v>
      </c>
      <c r="AI537" s="5">
        <v>-2.669823423</v>
      </c>
      <c r="AJ537" s="5">
        <v>-1.611667555</v>
      </c>
      <c r="AK537" s="5">
        <v>-2.315490288</v>
      </c>
      <c r="AL537" s="5">
        <v>-1.716200805</v>
      </c>
      <c r="AM537" s="5">
        <v>-2.970004693</v>
      </c>
      <c r="AN537" s="5">
        <v>-1.264699815</v>
      </c>
      <c r="AO537" s="5">
        <v>-0.009176479962</v>
      </c>
      <c r="AP537" s="5">
        <v>-0.003661668577</v>
      </c>
      <c r="AQ537" s="5">
        <v>2.209572272</v>
      </c>
    </row>
    <row r="538">
      <c r="A538" s="342">
        <v>528.0</v>
      </c>
      <c r="B538" s="347"/>
      <c r="C538" s="347"/>
      <c r="D538" s="341">
        <v>-1.570090591</v>
      </c>
      <c r="E538" s="342">
        <v>-0.004405699334</v>
      </c>
      <c r="F538" s="342">
        <v>-1.150128051</v>
      </c>
      <c r="G538" s="342">
        <v>-0.4199625404</v>
      </c>
      <c r="H538" s="342">
        <v>1.156882409</v>
      </c>
      <c r="I538" s="343"/>
      <c r="J538" s="342" t="s">
        <v>2589</v>
      </c>
      <c r="K538" s="342" t="s">
        <v>2564</v>
      </c>
      <c r="L538" s="342" t="s">
        <v>1404</v>
      </c>
      <c r="M538" s="343"/>
      <c r="N538" s="342" t="s">
        <v>2590</v>
      </c>
      <c r="O538" s="342" t="s">
        <v>1378</v>
      </c>
      <c r="P538" s="343"/>
      <c r="Q538" s="343"/>
      <c r="R538" s="343"/>
      <c r="S538" s="342" t="s">
        <v>1960</v>
      </c>
      <c r="T538" s="342">
        <v>0.0</v>
      </c>
      <c r="U538" s="342">
        <v>0.0</v>
      </c>
      <c r="V538" s="342">
        <v>0.0</v>
      </c>
      <c r="W538" s="341">
        <v>0.0</v>
      </c>
      <c r="X538" s="5">
        <v>0.0</v>
      </c>
      <c r="Y538" s="5">
        <v>0.0</v>
      </c>
      <c r="Z538" s="5">
        <v>0.0</v>
      </c>
      <c r="AA538" s="5">
        <v>0.0</v>
      </c>
      <c r="AB538" s="5">
        <v>0.0</v>
      </c>
      <c r="AC538" s="5">
        <v>0.0</v>
      </c>
      <c r="AD538" s="5">
        <v>0.0</v>
      </c>
      <c r="AE538" s="5">
        <v>0.0</v>
      </c>
      <c r="AF538" s="5">
        <v>0.0</v>
      </c>
      <c r="AG538" s="5">
        <v>0.0</v>
      </c>
      <c r="AH538" s="5">
        <v>0.0</v>
      </c>
      <c r="AI538" s="5">
        <v>-2.669823423</v>
      </c>
      <c r="AJ538" s="5">
        <v>-1.611667555</v>
      </c>
      <c r="AK538" s="5">
        <v>-2.315490288</v>
      </c>
      <c r="AL538" s="5">
        <v>-1.716200805</v>
      </c>
      <c r="AM538" s="5">
        <v>-2.970004693</v>
      </c>
      <c r="AN538" s="5">
        <v>-1.264699815</v>
      </c>
      <c r="AO538" s="5">
        <v>-0.009176479962</v>
      </c>
      <c r="AP538" s="5">
        <v>-0.003661668577</v>
      </c>
      <c r="AQ538" s="5">
        <v>2.209572272</v>
      </c>
    </row>
    <row r="539">
      <c r="A539" s="342">
        <v>527.0</v>
      </c>
      <c r="B539" s="347"/>
      <c r="C539" s="347"/>
      <c r="D539" s="341">
        <v>-1.570090591</v>
      </c>
      <c r="E539" s="342">
        <v>-0.004405699334</v>
      </c>
      <c r="F539" s="342">
        <v>-1.150128051</v>
      </c>
      <c r="G539" s="342">
        <v>-0.4199625404</v>
      </c>
      <c r="H539" s="343"/>
      <c r="I539" s="343"/>
      <c r="J539" s="342" t="s">
        <v>2591</v>
      </c>
      <c r="K539" s="342" t="s">
        <v>2564</v>
      </c>
      <c r="L539" s="343"/>
      <c r="M539" s="343"/>
      <c r="N539" s="343"/>
      <c r="O539" s="342" t="s">
        <v>1378</v>
      </c>
      <c r="P539" s="343"/>
      <c r="Q539" s="343"/>
      <c r="R539" s="343"/>
      <c r="S539" s="342" t="s">
        <v>2565</v>
      </c>
      <c r="T539" s="342">
        <v>0.0</v>
      </c>
      <c r="U539" s="342">
        <v>0.0</v>
      </c>
      <c r="V539" s="342">
        <v>0.0</v>
      </c>
      <c r="W539" s="341">
        <v>0.0</v>
      </c>
      <c r="X539" s="5">
        <v>0.0</v>
      </c>
      <c r="Y539" s="5">
        <v>0.0</v>
      </c>
      <c r="Z539" s="5">
        <v>0.0</v>
      </c>
      <c r="AA539" s="5">
        <v>0.0</v>
      </c>
      <c r="AB539" s="5">
        <v>0.0</v>
      </c>
      <c r="AC539" s="5">
        <v>0.0</v>
      </c>
      <c r="AD539" s="5">
        <v>0.0</v>
      </c>
      <c r="AE539" s="5">
        <v>0.0</v>
      </c>
      <c r="AF539" s="5">
        <v>0.0</v>
      </c>
      <c r="AG539" s="5">
        <v>0.0</v>
      </c>
      <c r="AH539" s="5">
        <v>0.0</v>
      </c>
      <c r="AI539" s="5">
        <v>-2.669823423</v>
      </c>
      <c r="AJ539" s="5">
        <v>-1.611667555</v>
      </c>
      <c r="AK539" s="5">
        <v>-2.315490288</v>
      </c>
      <c r="AL539" s="5">
        <v>-1.716200805</v>
      </c>
      <c r="AM539" s="5">
        <v>-2.970004693</v>
      </c>
      <c r="AN539" s="5">
        <v>-1.264699815</v>
      </c>
      <c r="AO539" s="5">
        <v>-0.009176479962</v>
      </c>
      <c r="AP539" s="5">
        <v>-0.003661668577</v>
      </c>
      <c r="AQ539" s="5">
        <v>2.209572272</v>
      </c>
    </row>
    <row r="540">
      <c r="A540" s="342">
        <v>526.0</v>
      </c>
      <c r="B540" s="347"/>
      <c r="C540" s="347"/>
      <c r="D540" s="341">
        <v>-1.570090591</v>
      </c>
      <c r="E540" s="342">
        <v>-0.004405699334</v>
      </c>
      <c r="F540" s="342">
        <v>-1.150128051</v>
      </c>
      <c r="G540" s="342">
        <v>-0.4199625404</v>
      </c>
      <c r="H540" s="342">
        <v>0.206704054</v>
      </c>
      <c r="I540" s="343"/>
      <c r="J540" s="342" t="s">
        <v>2592</v>
      </c>
      <c r="K540" s="342" t="s">
        <v>2564</v>
      </c>
      <c r="L540" s="342" t="s">
        <v>1404</v>
      </c>
      <c r="M540" s="343"/>
      <c r="N540" s="343"/>
      <c r="O540" s="342" t="s">
        <v>1368</v>
      </c>
      <c r="P540" s="342" t="s">
        <v>2593</v>
      </c>
      <c r="Q540" s="343"/>
      <c r="R540" s="343"/>
      <c r="S540" s="342" t="s">
        <v>2565</v>
      </c>
      <c r="T540" s="342">
        <v>0.0</v>
      </c>
      <c r="U540" s="342">
        <v>0.0</v>
      </c>
      <c r="V540" s="342">
        <v>0.0</v>
      </c>
      <c r="W540" s="341">
        <v>0.0</v>
      </c>
      <c r="X540" s="5">
        <v>0.0</v>
      </c>
      <c r="Y540" s="5">
        <v>0.0</v>
      </c>
      <c r="Z540" s="5">
        <v>0.0</v>
      </c>
      <c r="AA540" s="5">
        <v>0.0</v>
      </c>
      <c r="AB540" s="5">
        <v>0.0</v>
      </c>
      <c r="AC540" s="5">
        <v>0.0</v>
      </c>
      <c r="AD540" s="5">
        <v>0.0</v>
      </c>
      <c r="AE540" s="5">
        <v>0.0</v>
      </c>
      <c r="AF540" s="5">
        <v>0.0</v>
      </c>
      <c r="AG540" s="5">
        <v>0.0</v>
      </c>
      <c r="AH540" s="5">
        <v>0.0</v>
      </c>
      <c r="AI540" s="5">
        <v>-2.669823423</v>
      </c>
      <c r="AJ540" s="5">
        <v>-1.611667555</v>
      </c>
      <c r="AK540" s="5">
        <v>-2.315490288</v>
      </c>
      <c r="AL540" s="5">
        <v>-1.716200805</v>
      </c>
      <c r="AM540" s="5">
        <v>-2.970004693</v>
      </c>
      <c r="AN540" s="5">
        <v>-1.264699815</v>
      </c>
      <c r="AO540" s="5">
        <v>-0.009176479962</v>
      </c>
      <c r="AP540" s="5">
        <v>-0.003661668577</v>
      </c>
      <c r="AQ540" s="5">
        <v>2.209572272</v>
      </c>
    </row>
    <row r="541">
      <c r="A541" s="342">
        <v>525.0</v>
      </c>
      <c r="B541" s="341">
        <v>1.0</v>
      </c>
      <c r="C541" s="341">
        <v>-0.1</v>
      </c>
      <c r="D541" s="341">
        <v>-1.570090591</v>
      </c>
      <c r="E541" s="342">
        <v>-0.004405699334</v>
      </c>
      <c r="F541" s="342">
        <v>-1.150128051</v>
      </c>
      <c r="G541" s="342">
        <v>-0.4199625404</v>
      </c>
      <c r="H541" s="342">
        <v>0.1905993361</v>
      </c>
      <c r="I541" s="343"/>
      <c r="J541" s="342" t="s">
        <v>2594</v>
      </c>
      <c r="K541" s="342" t="s">
        <v>102</v>
      </c>
      <c r="L541" s="342" t="s">
        <v>1404</v>
      </c>
      <c r="M541" s="342" t="s">
        <v>2595</v>
      </c>
      <c r="N541" s="342" t="s">
        <v>2596</v>
      </c>
      <c r="O541" s="342" t="s">
        <v>1368</v>
      </c>
      <c r="P541" s="342" t="s">
        <v>1551</v>
      </c>
      <c r="Q541" s="342">
        <v>5.0</v>
      </c>
      <c r="R541" s="343"/>
      <c r="S541" s="342" t="s">
        <v>2565</v>
      </c>
      <c r="T541" s="342">
        <v>0.0</v>
      </c>
      <c r="U541" s="342">
        <v>16.0</v>
      </c>
      <c r="V541" s="342">
        <v>0.0</v>
      </c>
      <c r="W541" s="341">
        <v>0.0</v>
      </c>
      <c r="X541" s="5">
        <v>0.0</v>
      </c>
      <c r="Y541" s="5">
        <v>0.0</v>
      </c>
      <c r="Z541" s="5">
        <v>0.0</v>
      </c>
      <c r="AA541" s="5">
        <v>0.0</v>
      </c>
      <c r="AB541" s="5">
        <v>0.0</v>
      </c>
      <c r="AC541" s="5">
        <v>0.0</v>
      </c>
      <c r="AD541" s="5">
        <v>0.0</v>
      </c>
      <c r="AE541" s="5">
        <v>0.0</v>
      </c>
      <c r="AF541" s="5">
        <v>0.0</v>
      </c>
      <c r="AG541" s="5">
        <v>0.0</v>
      </c>
      <c r="AH541" s="5">
        <v>0.0</v>
      </c>
      <c r="AI541" s="5">
        <v>-2.669823423</v>
      </c>
      <c r="AJ541" s="5">
        <v>-1.611667555</v>
      </c>
      <c r="AK541" s="5">
        <v>-2.315490288</v>
      </c>
      <c r="AL541" s="5">
        <v>-1.716200805</v>
      </c>
      <c r="AM541" s="5">
        <v>-2.970004693</v>
      </c>
      <c r="AN541" s="5">
        <v>-1.264699815</v>
      </c>
      <c r="AO541" s="5">
        <v>-0.009176479962</v>
      </c>
      <c r="AP541" s="5">
        <v>-0.003661668577</v>
      </c>
      <c r="AQ541" s="5">
        <v>2.209572272</v>
      </c>
    </row>
    <row r="542">
      <c r="A542" s="342">
        <v>524.0</v>
      </c>
      <c r="B542" s="347"/>
      <c r="C542" s="347"/>
      <c r="D542" s="341">
        <v>-1.570090591</v>
      </c>
      <c r="E542" s="342">
        <v>-0.004405699334</v>
      </c>
      <c r="F542" s="342">
        <v>-1.150128051</v>
      </c>
      <c r="G542" s="342">
        <v>-0.4199625404</v>
      </c>
      <c r="H542" s="342">
        <v>0.738159744</v>
      </c>
      <c r="I542" s="343"/>
      <c r="J542" s="342" t="s">
        <v>2597</v>
      </c>
      <c r="K542" s="342" t="s">
        <v>2564</v>
      </c>
      <c r="L542" s="342" t="s">
        <v>1404</v>
      </c>
      <c r="M542" s="343"/>
      <c r="N542" s="342" t="s">
        <v>2590</v>
      </c>
      <c r="O542" s="342" t="s">
        <v>1378</v>
      </c>
      <c r="P542" s="342" t="s">
        <v>1642</v>
      </c>
      <c r="Q542" s="343"/>
      <c r="R542" s="343"/>
      <c r="S542" s="342" t="s">
        <v>2232</v>
      </c>
      <c r="T542" s="342">
        <v>0.0</v>
      </c>
      <c r="U542" s="342">
        <v>0.0</v>
      </c>
      <c r="V542" s="342">
        <v>0.0</v>
      </c>
      <c r="W542" s="341">
        <v>0.0</v>
      </c>
      <c r="X542" s="5">
        <v>0.0</v>
      </c>
      <c r="Y542" s="5">
        <v>0.0</v>
      </c>
      <c r="Z542" s="5">
        <v>0.0</v>
      </c>
      <c r="AA542" s="5">
        <v>0.0</v>
      </c>
      <c r="AB542" s="5">
        <v>0.0</v>
      </c>
      <c r="AC542" s="5">
        <v>0.0</v>
      </c>
      <c r="AD542" s="5">
        <v>0.0</v>
      </c>
      <c r="AE542" s="5">
        <v>0.0</v>
      </c>
      <c r="AF542" s="5">
        <v>0.0</v>
      </c>
      <c r="AG542" s="5">
        <v>0.0</v>
      </c>
      <c r="AH542" s="5">
        <v>0.0</v>
      </c>
      <c r="AI542" s="5">
        <v>-2.669823423</v>
      </c>
      <c r="AJ542" s="5">
        <v>-1.611667555</v>
      </c>
      <c r="AK542" s="5">
        <v>-2.315490288</v>
      </c>
      <c r="AL542" s="5">
        <v>-1.716200805</v>
      </c>
      <c r="AM542" s="5">
        <v>-2.970004693</v>
      </c>
      <c r="AN542" s="5">
        <v>-1.264699815</v>
      </c>
      <c r="AO542" s="5">
        <v>-0.009176479962</v>
      </c>
      <c r="AP542" s="5">
        <v>-0.003661668577</v>
      </c>
      <c r="AQ542" s="5">
        <v>2.209572272</v>
      </c>
    </row>
    <row r="543">
      <c r="A543" s="342">
        <v>523.0</v>
      </c>
      <c r="B543" s="347"/>
      <c r="C543" s="347"/>
      <c r="D543" s="341">
        <v>-1.570090591</v>
      </c>
      <c r="E543" s="342">
        <v>-0.004405699334</v>
      </c>
      <c r="F543" s="342">
        <v>-1.150128051</v>
      </c>
      <c r="G543" s="342">
        <v>-0.4199625404</v>
      </c>
      <c r="H543" s="342">
        <v>0.609322001</v>
      </c>
      <c r="I543" s="343"/>
      <c r="J543" s="342" t="s">
        <v>2598</v>
      </c>
      <c r="K543" s="342" t="s">
        <v>2564</v>
      </c>
      <c r="L543" s="342" t="s">
        <v>1380</v>
      </c>
      <c r="M543" s="343"/>
      <c r="N543" s="342" t="s">
        <v>2599</v>
      </c>
      <c r="O543" s="342" t="s">
        <v>1374</v>
      </c>
      <c r="P543" s="342" t="s">
        <v>1642</v>
      </c>
      <c r="Q543" s="343"/>
      <c r="R543" s="343"/>
      <c r="S543" s="342" t="s">
        <v>2565</v>
      </c>
      <c r="T543" s="342">
        <v>0.0</v>
      </c>
      <c r="U543" s="342">
        <v>0.0</v>
      </c>
      <c r="V543" s="342">
        <v>0.0</v>
      </c>
      <c r="W543" s="341">
        <v>0.0</v>
      </c>
      <c r="X543" s="5">
        <v>0.0</v>
      </c>
      <c r="Y543" s="5">
        <v>0.0</v>
      </c>
      <c r="Z543" s="5">
        <v>0.0</v>
      </c>
      <c r="AA543" s="5">
        <v>0.0</v>
      </c>
      <c r="AB543" s="5">
        <v>0.0</v>
      </c>
      <c r="AC543" s="5">
        <v>0.0</v>
      </c>
      <c r="AD543" s="5">
        <v>0.0</v>
      </c>
      <c r="AE543" s="5">
        <v>0.0</v>
      </c>
      <c r="AF543" s="5">
        <v>0.0</v>
      </c>
      <c r="AG543" s="5">
        <v>0.0</v>
      </c>
      <c r="AH543" s="5">
        <v>0.0</v>
      </c>
      <c r="AI543" s="5">
        <v>-2.669823423</v>
      </c>
      <c r="AJ543" s="5">
        <v>-1.611667555</v>
      </c>
      <c r="AK543" s="5">
        <v>-2.315490288</v>
      </c>
      <c r="AL543" s="5">
        <v>-1.716200805</v>
      </c>
      <c r="AM543" s="5">
        <v>-2.970004693</v>
      </c>
      <c r="AN543" s="5">
        <v>-1.264699815</v>
      </c>
      <c r="AO543" s="5">
        <v>-0.009176479962</v>
      </c>
      <c r="AP543" s="5">
        <v>-0.003661668577</v>
      </c>
      <c r="AQ543" s="5">
        <v>2.209572272</v>
      </c>
    </row>
    <row r="544">
      <c r="A544" s="342">
        <v>522.0</v>
      </c>
      <c r="B544" s="347"/>
      <c r="C544" s="347"/>
      <c r="D544" s="341">
        <v>-1.570090591</v>
      </c>
      <c r="E544" s="342">
        <v>-0.004405699334</v>
      </c>
      <c r="F544" s="342">
        <v>-1.150128051</v>
      </c>
      <c r="G544" s="342">
        <v>-0.4199625404</v>
      </c>
      <c r="H544" s="342">
        <v>-0.05097143209</v>
      </c>
      <c r="I544" s="343"/>
      <c r="J544" s="342" t="s">
        <v>2600</v>
      </c>
      <c r="K544" s="342" t="s">
        <v>2564</v>
      </c>
      <c r="L544" s="342" t="s">
        <v>1380</v>
      </c>
      <c r="M544" s="342" t="s">
        <v>2601</v>
      </c>
      <c r="N544" s="342" t="s">
        <v>2602</v>
      </c>
      <c r="O544" s="342" t="s">
        <v>1378</v>
      </c>
      <c r="P544" s="342" t="s">
        <v>1642</v>
      </c>
      <c r="Q544" s="343"/>
      <c r="R544" s="343"/>
      <c r="S544" s="342" t="s">
        <v>2565</v>
      </c>
      <c r="T544" s="342">
        <v>0.0</v>
      </c>
      <c r="U544" s="342">
        <v>0.0</v>
      </c>
      <c r="V544" s="342">
        <v>0.0</v>
      </c>
      <c r="W544" s="341">
        <v>0.0</v>
      </c>
      <c r="X544" s="5">
        <v>0.0</v>
      </c>
      <c r="Y544" s="5">
        <v>0.0</v>
      </c>
      <c r="Z544" s="5">
        <v>0.0</v>
      </c>
      <c r="AA544" s="5">
        <v>0.0</v>
      </c>
      <c r="AB544" s="5">
        <v>0.0</v>
      </c>
      <c r="AC544" s="5">
        <v>0.0</v>
      </c>
      <c r="AD544" s="5">
        <v>0.0</v>
      </c>
      <c r="AE544" s="5">
        <v>0.0</v>
      </c>
      <c r="AF544" s="5">
        <v>0.0</v>
      </c>
      <c r="AG544" s="5">
        <v>0.0</v>
      </c>
      <c r="AH544" s="5">
        <v>0.0</v>
      </c>
      <c r="AI544" s="5">
        <v>-2.669823423</v>
      </c>
      <c r="AJ544" s="5">
        <v>-1.611667555</v>
      </c>
      <c r="AK544" s="5">
        <v>-2.315490288</v>
      </c>
      <c r="AL544" s="5">
        <v>-1.716200805</v>
      </c>
      <c r="AM544" s="5">
        <v>-2.970004693</v>
      </c>
      <c r="AN544" s="5">
        <v>-1.264699815</v>
      </c>
      <c r="AO544" s="5">
        <v>-0.009176479962</v>
      </c>
      <c r="AP544" s="5">
        <v>-0.003661668577</v>
      </c>
      <c r="AQ544" s="5">
        <v>2.209572272</v>
      </c>
    </row>
    <row r="545">
      <c r="A545" s="342">
        <v>521.0</v>
      </c>
      <c r="B545" s="341">
        <v>4.0</v>
      </c>
      <c r="C545" s="341">
        <v>-0.4</v>
      </c>
      <c r="D545" s="341">
        <v>-1.570090591</v>
      </c>
      <c r="E545" s="342">
        <v>-0.004405699334</v>
      </c>
      <c r="F545" s="342">
        <v>-1.150128051</v>
      </c>
      <c r="G545" s="342">
        <v>-0.4199625404</v>
      </c>
      <c r="H545" s="342">
        <v>0.99583523</v>
      </c>
      <c r="I545" s="343"/>
      <c r="J545" s="342" t="s">
        <v>2603</v>
      </c>
      <c r="K545" s="342" t="s">
        <v>287</v>
      </c>
      <c r="L545" s="342" t="s">
        <v>1404</v>
      </c>
      <c r="M545" s="343"/>
      <c r="N545" s="342" t="s">
        <v>2604</v>
      </c>
      <c r="O545" s="342" t="s">
        <v>1374</v>
      </c>
      <c r="P545" s="342" t="s">
        <v>1416</v>
      </c>
      <c r="Q545" s="343"/>
      <c r="R545" s="343"/>
      <c r="S545" s="342" t="s">
        <v>2565</v>
      </c>
      <c r="T545" s="342">
        <v>0.0</v>
      </c>
      <c r="U545" s="342">
        <v>16.0</v>
      </c>
      <c r="V545" s="342">
        <v>0.0</v>
      </c>
      <c r="W545" s="341">
        <v>0.0</v>
      </c>
      <c r="X545" s="5">
        <v>0.0</v>
      </c>
      <c r="Y545" s="5">
        <v>0.0</v>
      </c>
      <c r="Z545" s="5">
        <v>0.0</v>
      </c>
      <c r="AA545" s="5">
        <v>0.0</v>
      </c>
      <c r="AB545" s="5">
        <v>0.0</v>
      </c>
      <c r="AC545" s="5">
        <v>0.0</v>
      </c>
      <c r="AD545" s="5">
        <v>0.0</v>
      </c>
      <c r="AE545" s="5">
        <v>0.0</v>
      </c>
      <c r="AF545" s="5">
        <v>0.0</v>
      </c>
      <c r="AG545" s="5">
        <v>0.0</v>
      </c>
      <c r="AH545" s="5">
        <v>0.0</v>
      </c>
      <c r="AI545" s="5">
        <v>-2.669823423</v>
      </c>
      <c r="AJ545" s="5">
        <v>-1.611667555</v>
      </c>
      <c r="AK545" s="5">
        <v>-2.315490288</v>
      </c>
      <c r="AL545" s="5">
        <v>-1.716200805</v>
      </c>
      <c r="AM545" s="5">
        <v>-2.970004693</v>
      </c>
      <c r="AN545" s="5">
        <v>-1.264699815</v>
      </c>
      <c r="AO545" s="5">
        <v>-0.009176479962</v>
      </c>
      <c r="AP545" s="5">
        <v>-0.003661668577</v>
      </c>
      <c r="AQ545" s="5">
        <v>2.209572272</v>
      </c>
    </row>
    <row r="546">
      <c r="A546" s="342">
        <v>520.0</v>
      </c>
      <c r="B546" s="341">
        <v>1.0</v>
      </c>
      <c r="C546" s="341">
        <v>-0.1</v>
      </c>
      <c r="D546" s="341">
        <v>-1.570090591</v>
      </c>
      <c r="E546" s="342">
        <v>-0.004405699334</v>
      </c>
      <c r="F546" s="342">
        <v>-1.150128051</v>
      </c>
      <c r="G546" s="342">
        <v>-0.4199625404</v>
      </c>
      <c r="H546" s="343"/>
      <c r="I546" s="343"/>
      <c r="J546" s="342" t="s">
        <v>2605</v>
      </c>
      <c r="K546" s="342" t="s">
        <v>45</v>
      </c>
      <c r="L546" s="342" t="s">
        <v>1380</v>
      </c>
      <c r="M546" s="343"/>
      <c r="N546" s="342" t="s">
        <v>2606</v>
      </c>
      <c r="O546" s="342" t="s">
        <v>1378</v>
      </c>
      <c r="P546" s="343"/>
      <c r="Q546" s="343"/>
      <c r="R546" s="343"/>
      <c r="S546" s="342" t="s">
        <v>2565</v>
      </c>
      <c r="T546" s="342">
        <v>0.0</v>
      </c>
      <c r="U546" s="342">
        <v>16.0</v>
      </c>
      <c r="V546" s="342">
        <v>0.0</v>
      </c>
      <c r="W546" s="341">
        <v>0.0</v>
      </c>
      <c r="X546" s="5">
        <v>0.0</v>
      </c>
      <c r="Y546" s="5">
        <v>0.0</v>
      </c>
      <c r="Z546" s="5">
        <v>0.0</v>
      </c>
      <c r="AA546" s="5">
        <v>0.0</v>
      </c>
      <c r="AB546" s="5">
        <v>0.0</v>
      </c>
      <c r="AC546" s="5">
        <v>0.0</v>
      </c>
      <c r="AD546" s="5">
        <v>0.0</v>
      </c>
      <c r="AE546" s="5">
        <v>0.0</v>
      </c>
      <c r="AF546" s="5">
        <v>0.0</v>
      </c>
      <c r="AG546" s="5">
        <v>0.0</v>
      </c>
      <c r="AH546" s="5">
        <v>0.0</v>
      </c>
      <c r="AI546" s="5">
        <v>-2.669823423</v>
      </c>
      <c r="AJ546" s="5">
        <v>-1.611667555</v>
      </c>
      <c r="AK546" s="5">
        <v>-2.315490288</v>
      </c>
      <c r="AL546" s="5">
        <v>-1.716200805</v>
      </c>
      <c r="AM546" s="5">
        <v>-2.970004693</v>
      </c>
      <c r="AN546" s="5">
        <v>-1.264699815</v>
      </c>
      <c r="AO546" s="5">
        <v>-0.009176479962</v>
      </c>
      <c r="AP546" s="5">
        <v>-0.003661668577</v>
      </c>
      <c r="AQ546" s="5">
        <v>2.209572272</v>
      </c>
    </row>
    <row r="547">
      <c r="A547" s="342">
        <v>532.0</v>
      </c>
      <c r="B547" s="347"/>
      <c r="C547" s="347"/>
      <c r="D547" s="341">
        <v>-1.570090591</v>
      </c>
      <c r="E547" s="342">
        <v>-0.004405699334</v>
      </c>
      <c r="F547" s="342">
        <v>-1.150128051</v>
      </c>
      <c r="G547" s="342">
        <v>-0.4199625404</v>
      </c>
      <c r="H547" s="342">
        <v>0.3516465149</v>
      </c>
      <c r="I547" s="343"/>
      <c r="J547" s="342" t="s">
        <v>2607</v>
      </c>
      <c r="K547" s="342" t="s">
        <v>2564</v>
      </c>
      <c r="L547" s="342" t="s">
        <v>1380</v>
      </c>
      <c r="M547" s="342" t="s">
        <v>2608</v>
      </c>
      <c r="N547" s="343"/>
      <c r="O547" s="342" t="s">
        <v>1368</v>
      </c>
      <c r="P547" s="343"/>
      <c r="Q547" s="342">
        <v>5.0</v>
      </c>
      <c r="R547" s="343"/>
      <c r="S547" s="342" t="s">
        <v>2232</v>
      </c>
      <c r="T547" s="342">
        <v>0.0</v>
      </c>
      <c r="U547" s="342">
        <v>0.0</v>
      </c>
      <c r="V547" s="342">
        <v>0.0</v>
      </c>
      <c r="W547" s="341">
        <v>0.0</v>
      </c>
      <c r="X547" s="5">
        <v>0.0</v>
      </c>
      <c r="Y547" s="5">
        <v>0.0</v>
      </c>
      <c r="Z547" s="5">
        <v>0.0</v>
      </c>
      <c r="AA547" s="5">
        <v>0.0</v>
      </c>
      <c r="AB547" s="5">
        <v>0.0</v>
      </c>
      <c r="AC547" s="5">
        <v>0.0</v>
      </c>
      <c r="AD547" s="5">
        <v>0.0</v>
      </c>
      <c r="AE547" s="5">
        <v>0.0</v>
      </c>
      <c r="AF547" s="5">
        <v>0.0</v>
      </c>
      <c r="AG547" s="5">
        <v>0.0</v>
      </c>
      <c r="AH547" s="5">
        <v>0.0</v>
      </c>
      <c r="AI547" s="5">
        <v>-2.669823423</v>
      </c>
      <c r="AJ547" s="5">
        <v>-1.611667555</v>
      </c>
      <c r="AK547" s="5">
        <v>-2.315490288</v>
      </c>
      <c r="AL547" s="5">
        <v>-1.716200805</v>
      </c>
      <c r="AM547" s="5">
        <v>-2.970004693</v>
      </c>
      <c r="AN547" s="5">
        <v>-1.264699815</v>
      </c>
      <c r="AO547" s="5">
        <v>-0.009176479962</v>
      </c>
      <c r="AP547" s="5">
        <v>-0.003661668577</v>
      </c>
      <c r="AQ547" s="5">
        <v>2.209572272</v>
      </c>
    </row>
    <row r="548">
      <c r="A548" s="342">
        <v>547.0</v>
      </c>
      <c r="B548" s="347"/>
      <c r="C548" s="347"/>
      <c r="D548" s="341">
        <v>-1.570090591</v>
      </c>
      <c r="E548" s="342">
        <v>-0.004405699334</v>
      </c>
      <c r="F548" s="342">
        <v>-1.150128051</v>
      </c>
      <c r="G548" s="342">
        <v>-0.4199625404</v>
      </c>
      <c r="H548" s="342">
        <v>0.7864738976</v>
      </c>
      <c r="I548" s="343"/>
      <c r="J548" s="342" t="s">
        <v>2609</v>
      </c>
      <c r="K548" s="342" t="s">
        <v>2564</v>
      </c>
      <c r="L548" s="342" t="s">
        <v>1404</v>
      </c>
      <c r="M548" s="342" t="s">
        <v>2610</v>
      </c>
      <c r="N548" s="343"/>
      <c r="O548" s="342" t="s">
        <v>1368</v>
      </c>
      <c r="P548" s="342" t="s">
        <v>1796</v>
      </c>
      <c r="Q548" s="342">
        <v>3.0</v>
      </c>
      <c r="R548" s="343"/>
      <c r="S548" s="342" t="s">
        <v>1960</v>
      </c>
      <c r="T548" s="342">
        <v>0.0</v>
      </c>
      <c r="U548" s="342">
        <v>0.0</v>
      </c>
      <c r="V548" s="342">
        <v>0.0</v>
      </c>
      <c r="W548" s="341">
        <v>0.0</v>
      </c>
      <c r="X548" s="5">
        <v>0.0</v>
      </c>
      <c r="Y548" s="5">
        <v>0.0</v>
      </c>
      <c r="Z548" s="5">
        <v>0.0</v>
      </c>
      <c r="AA548" s="5">
        <v>0.0</v>
      </c>
      <c r="AB548" s="5">
        <v>0.0</v>
      </c>
      <c r="AC548" s="5">
        <v>0.0</v>
      </c>
      <c r="AD548" s="5">
        <v>0.0</v>
      </c>
      <c r="AE548" s="5">
        <v>0.0</v>
      </c>
      <c r="AF548" s="5">
        <v>0.0</v>
      </c>
      <c r="AG548" s="5">
        <v>0.0</v>
      </c>
      <c r="AH548" s="5">
        <v>0.0</v>
      </c>
      <c r="AI548" s="5">
        <v>-2.669823423</v>
      </c>
      <c r="AJ548" s="5">
        <v>-1.611667555</v>
      </c>
      <c r="AK548" s="5">
        <v>-2.315490288</v>
      </c>
      <c r="AL548" s="5">
        <v>-1.716200805</v>
      </c>
      <c r="AM548" s="5">
        <v>-2.970004693</v>
      </c>
      <c r="AN548" s="5">
        <v>-1.264699815</v>
      </c>
      <c r="AO548" s="5">
        <v>-0.009176479962</v>
      </c>
      <c r="AP548" s="5">
        <v>-0.003661668577</v>
      </c>
      <c r="AQ548" s="5">
        <v>2.209572272</v>
      </c>
    </row>
    <row r="549">
      <c r="A549" s="343"/>
      <c r="B549" s="347"/>
      <c r="C549" s="347"/>
      <c r="D549" s="347"/>
      <c r="E549" s="343"/>
      <c r="F549" s="343"/>
      <c r="G549" s="343"/>
      <c r="H549" s="343"/>
      <c r="I549" s="343"/>
      <c r="J549" s="343"/>
      <c r="K549" s="343"/>
      <c r="L549" s="343"/>
      <c r="M549" s="343"/>
      <c r="N549" s="343"/>
      <c r="O549" s="343"/>
      <c r="P549" s="343"/>
      <c r="Q549" s="343"/>
      <c r="R549" s="343"/>
      <c r="S549" s="343"/>
      <c r="T549" s="343"/>
      <c r="U549" s="343"/>
      <c r="V549" s="343"/>
      <c r="W549" s="347"/>
    </row>
    <row r="550">
      <c r="A550" s="343"/>
      <c r="B550" s="347"/>
      <c r="C550" s="347"/>
      <c r="D550" s="347"/>
      <c r="E550" s="343"/>
      <c r="F550" s="343"/>
      <c r="G550" s="343"/>
      <c r="H550" s="343"/>
      <c r="I550" s="343"/>
      <c r="J550" s="343"/>
      <c r="K550" s="343"/>
      <c r="L550" s="343"/>
      <c r="M550" s="343"/>
      <c r="N550" s="343"/>
      <c r="O550" s="343"/>
      <c r="P550" s="343"/>
      <c r="Q550" s="343"/>
      <c r="R550" s="343"/>
      <c r="S550" s="343"/>
      <c r="T550" s="343"/>
      <c r="U550" s="343"/>
      <c r="V550" s="343"/>
      <c r="W550" s="347"/>
    </row>
    <row r="551">
      <c r="A551" s="343"/>
      <c r="B551" s="347"/>
      <c r="C551" s="347"/>
      <c r="D551" s="347"/>
      <c r="E551" s="343"/>
      <c r="F551" s="343"/>
      <c r="G551" s="343"/>
      <c r="H551" s="343"/>
      <c r="I551" s="343"/>
      <c r="J551" s="343"/>
      <c r="K551" s="343"/>
      <c r="L551" s="343"/>
      <c r="M551" s="343"/>
      <c r="N551" s="343"/>
      <c r="O551" s="343"/>
      <c r="P551" s="343"/>
      <c r="Q551" s="343"/>
      <c r="R551" s="343"/>
      <c r="S551" s="343"/>
      <c r="T551" s="343"/>
      <c r="U551" s="343"/>
      <c r="V551" s="343"/>
      <c r="W551" s="347"/>
    </row>
    <row r="552">
      <c r="A552" s="343"/>
      <c r="B552" s="347"/>
      <c r="C552" s="347"/>
      <c r="D552" s="347"/>
      <c r="E552" s="343"/>
      <c r="F552" s="343"/>
      <c r="G552" s="343"/>
      <c r="H552" s="343"/>
      <c r="I552" s="343"/>
      <c r="J552" s="343"/>
      <c r="K552" s="343"/>
      <c r="L552" s="343"/>
      <c r="M552" s="343"/>
      <c r="N552" s="343"/>
      <c r="O552" s="343"/>
      <c r="P552" s="343"/>
      <c r="Q552" s="343"/>
      <c r="R552" s="343"/>
      <c r="S552" s="343"/>
      <c r="T552" s="343"/>
      <c r="U552" s="343"/>
      <c r="V552" s="343"/>
      <c r="W552" s="347"/>
    </row>
    <row r="553">
      <c r="A553" s="343"/>
      <c r="B553" s="347"/>
      <c r="C553" s="347"/>
      <c r="D553" s="347"/>
      <c r="E553" s="343"/>
      <c r="F553" s="343"/>
      <c r="G553" s="343"/>
      <c r="H553" s="343"/>
      <c r="I553" s="343"/>
      <c r="J553" s="343"/>
      <c r="K553" s="343"/>
      <c r="L553" s="343"/>
      <c r="M553" s="343"/>
      <c r="N553" s="343"/>
      <c r="O553" s="343"/>
      <c r="P553" s="343"/>
      <c r="Q553" s="343"/>
      <c r="R553" s="343"/>
      <c r="S553" s="343"/>
      <c r="T553" s="343"/>
      <c r="U553" s="343"/>
      <c r="V553" s="343"/>
      <c r="W553" s="347"/>
    </row>
    <row r="554">
      <c r="A554" s="343"/>
      <c r="B554" s="347"/>
      <c r="C554" s="347"/>
      <c r="D554" s="347"/>
      <c r="E554" s="343"/>
      <c r="F554" s="343"/>
      <c r="G554" s="343"/>
      <c r="H554" s="343"/>
      <c r="I554" s="343"/>
      <c r="J554" s="343"/>
      <c r="K554" s="343"/>
      <c r="L554" s="343"/>
      <c r="M554" s="343"/>
      <c r="N554" s="343"/>
      <c r="O554" s="343"/>
      <c r="P554" s="343"/>
      <c r="Q554" s="343"/>
      <c r="R554" s="343"/>
      <c r="S554" s="343"/>
      <c r="T554" s="343"/>
      <c r="U554" s="343"/>
      <c r="V554" s="343"/>
      <c r="W554" s="347"/>
    </row>
    <row r="555">
      <c r="A555" s="343"/>
      <c r="B555" s="347"/>
      <c r="C555" s="347"/>
      <c r="D555" s="347"/>
      <c r="E555" s="343"/>
      <c r="F555" s="343"/>
      <c r="G555" s="343"/>
      <c r="H555" s="343"/>
      <c r="I555" s="343"/>
      <c r="J555" s="343"/>
      <c r="K555" s="343"/>
      <c r="L555" s="343"/>
      <c r="M555" s="343"/>
      <c r="N555" s="343"/>
      <c r="O555" s="343"/>
      <c r="P555" s="343"/>
      <c r="Q555" s="343"/>
      <c r="R555" s="343"/>
      <c r="S555" s="343"/>
      <c r="T555" s="343"/>
      <c r="U555" s="343"/>
      <c r="V555" s="343"/>
      <c r="W555" s="347"/>
    </row>
    <row r="556">
      <c r="A556" s="343"/>
      <c r="B556" s="347"/>
      <c r="C556" s="347"/>
      <c r="D556" s="347"/>
      <c r="E556" s="343"/>
      <c r="F556" s="343"/>
      <c r="G556" s="343"/>
      <c r="H556" s="343"/>
      <c r="I556" s="343"/>
      <c r="J556" s="343"/>
      <c r="K556" s="343"/>
      <c r="L556" s="343"/>
      <c r="M556" s="343"/>
      <c r="N556" s="343"/>
      <c r="O556" s="343"/>
      <c r="P556" s="343"/>
      <c r="Q556" s="343"/>
      <c r="R556" s="343"/>
      <c r="S556" s="343"/>
      <c r="T556" s="343"/>
      <c r="U556" s="343"/>
      <c r="V556" s="343"/>
      <c r="W556" s="347"/>
    </row>
    <row r="557">
      <c r="A557" s="343"/>
      <c r="B557" s="347"/>
      <c r="C557" s="347"/>
      <c r="D557" s="347"/>
      <c r="E557" s="343"/>
      <c r="F557" s="343"/>
      <c r="G557" s="343"/>
      <c r="H557" s="343"/>
      <c r="I557" s="343"/>
      <c r="J557" s="343"/>
      <c r="K557" s="343"/>
      <c r="L557" s="343"/>
      <c r="M557" s="343"/>
      <c r="N557" s="343"/>
      <c r="O557" s="343"/>
      <c r="P557" s="343"/>
      <c r="Q557" s="343"/>
      <c r="R557" s="343"/>
      <c r="S557" s="343"/>
      <c r="T557" s="343"/>
      <c r="U557" s="343"/>
      <c r="V557" s="343"/>
      <c r="W557" s="347"/>
    </row>
    <row r="558">
      <c r="A558" s="343"/>
      <c r="B558" s="347"/>
      <c r="C558" s="347"/>
      <c r="D558" s="347"/>
      <c r="E558" s="343"/>
      <c r="F558" s="343"/>
      <c r="G558" s="343"/>
      <c r="H558" s="343"/>
      <c r="I558" s="343"/>
      <c r="J558" s="343"/>
      <c r="K558" s="343"/>
      <c r="L558" s="343"/>
      <c r="M558" s="343"/>
      <c r="N558" s="343"/>
      <c r="O558" s="343"/>
      <c r="P558" s="343"/>
      <c r="Q558" s="343"/>
      <c r="R558" s="343"/>
      <c r="S558" s="343"/>
      <c r="T558" s="343"/>
      <c r="U558" s="343"/>
      <c r="V558" s="343"/>
      <c r="W558" s="347"/>
    </row>
    <row r="559">
      <c r="A559" s="343"/>
      <c r="B559" s="347"/>
      <c r="C559" s="347"/>
      <c r="D559" s="347"/>
      <c r="E559" s="343"/>
      <c r="F559" s="343"/>
      <c r="G559" s="343"/>
      <c r="H559" s="343"/>
      <c r="I559" s="343"/>
      <c r="J559" s="343"/>
      <c r="K559" s="343"/>
      <c r="L559" s="343"/>
      <c r="M559" s="343"/>
      <c r="N559" s="343"/>
      <c r="O559" s="343"/>
      <c r="P559" s="343"/>
      <c r="Q559" s="343"/>
      <c r="R559" s="343"/>
      <c r="S559" s="343"/>
      <c r="T559" s="343"/>
      <c r="U559" s="343"/>
      <c r="V559" s="343"/>
      <c r="W559" s="347"/>
    </row>
    <row r="560">
      <c r="A560" s="343"/>
      <c r="B560" s="347"/>
      <c r="C560" s="347"/>
      <c r="D560" s="347"/>
      <c r="E560" s="343"/>
      <c r="F560" s="343"/>
      <c r="G560" s="343"/>
      <c r="H560" s="343"/>
      <c r="I560" s="343"/>
      <c r="J560" s="343"/>
      <c r="K560" s="343"/>
      <c r="L560" s="343"/>
      <c r="M560" s="343"/>
      <c r="N560" s="343"/>
      <c r="O560" s="343"/>
      <c r="P560" s="343"/>
      <c r="Q560" s="343"/>
      <c r="R560" s="343"/>
      <c r="S560" s="343"/>
      <c r="T560" s="343"/>
      <c r="U560" s="343"/>
      <c r="V560" s="343"/>
      <c r="W560" s="347"/>
    </row>
    <row r="561">
      <c r="A561" s="343"/>
      <c r="B561" s="347"/>
      <c r="C561" s="347"/>
      <c r="D561" s="347"/>
      <c r="E561" s="343"/>
      <c r="F561" s="343"/>
      <c r="G561" s="343"/>
      <c r="H561" s="343"/>
      <c r="I561" s="343"/>
      <c r="J561" s="343"/>
      <c r="K561" s="343"/>
      <c r="L561" s="343"/>
      <c r="M561" s="343"/>
      <c r="N561" s="343"/>
      <c r="O561" s="343"/>
      <c r="P561" s="343"/>
      <c r="Q561" s="343"/>
      <c r="R561" s="343"/>
      <c r="S561" s="343"/>
      <c r="T561" s="343"/>
      <c r="U561" s="343"/>
      <c r="V561" s="343"/>
      <c r="W561" s="347"/>
    </row>
    <row r="562">
      <c r="A562" s="343"/>
      <c r="B562" s="347"/>
      <c r="C562" s="347"/>
      <c r="D562" s="347"/>
      <c r="E562" s="343"/>
      <c r="F562" s="343"/>
      <c r="G562" s="343"/>
      <c r="H562" s="343"/>
      <c r="I562" s="343"/>
      <c r="J562" s="343"/>
      <c r="K562" s="343"/>
      <c r="L562" s="343"/>
      <c r="M562" s="343"/>
      <c r="N562" s="343"/>
      <c r="O562" s="343"/>
      <c r="P562" s="343"/>
      <c r="Q562" s="343"/>
      <c r="R562" s="343"/>
      <c r="S562" s="343"/>
      <c r="T562" s="343"/>
      <c r="U562" s="343"/>
      <c r="V562" s="343"/>
      <c r="W562" s="347"/>
    </row>
    <row r="563">
      <c r="A563" s="343"/>
      <c r="B563" s="347"/>
      <c r="C563" s="347"/>
      <c r="D563" s="347"/>
      <c r="E563" s="343"/>
      <c r="F563" s="343"/>
      <c r="G563" s="343"/>
      <c r="H563" s="343"/>
      <c r="I563" s="343"/>
      <c r="J563" s="343"/>
      <c r="K563" s="343"/>
      <c r="L563" s="343"/>
      <c r="M563" s="343"/>
      <c r="N563" s="343"/>
      <c r="O563" s="343"/>
      <c r="P563" s="343"/>
      <c r="Q563" s="343"/>
      <c r="R563" s="343"/>
      <c r="S563" s="343"/>
      <c r="T563" s="343"/>
      <c r="U563" s="343"/>
      <c r="V563" s="343"/>
      <c r="W563" s="347"/>
    </row>
    <row r="564">
      <c r="A564" s="343"/>
      <c r="B564" s="347"/>
      <c r="C564" s="347"/>
      <c r="D564" s="347"/>
      <c r="E564" s="343"/>
      <c r="F564" s="343"/>
      <c r="G564" s="343"/>
      <c r="H564" s="343"/>
      <c r="I564" s="343"/>
      <c r="J564" s="343"/>
      <c r="K564" s="343"/>
      <c r="L564" s="343"/>
      <c r="M564" s="343"/>
      <c r="N564" s="343"/>
      <c r="O564" s="343"/>
      <c r="P564" s="343"/>
      <c r="Q564" s="343"/>
      <c r="R564" s="343"/>
      <c r="S564" s="343"/>
      <c r="T564" s="343"/>
      <c r="U564" s="343"/>
      <c r="V564" s="343"/>
      <c r="W564" s="347"/>
    </row>
    <row r="565">
      <c r="A565" s="343"/>
      <c r="B565" s="347"/>
      <c r="C565" s="347"/>
      <c r="D565" s="347"/>
      <c r="E565" s="343"/>
      <c r="F565" s="343"/>
      <c r="G565" s="343"/>
      <c r="H565" s="343"/>
      <c r="I565" s="343"/>
      <c r="J565" s="343"/>
      <c r="K565" s="343"/>
      <c r="L565" s="343"/>
      <c r="M565" s="343"/>
      <c r="N565" s="343"/>
      <c r="O565" s="343"/>
      <c r="P565" s="343"/>
      <c r="Q565" s="343"/>
      <c r="R565" s="343"/>
      <c r="S565" s="343"/>
      <c r="T565" s="343"/>
      <c r="U565" s="343"/>
      <c r="V565" s="343"/>
      <c r="W565" s="347"/>
    </row>
    <row r="566">
      <c r="A566" s="343"/>
      <c r="B566" s="347"/>
      <c r="C566" s="347"/>
      <c r="D566" s="347"/>
      <c r="E566" s="343"/>
      <c r="F566" s="343"/>
      <c r="G566" s="343"/>
      <c r="H566" s="343"/>
      <c r="I566" s="343"/>
      <c r="J566" s="343"/>
      <c r="K566" s="343"/>
      <c r="L566" s="343"/>
      <c r="M566" s="343"/>
      <c r="N566" s="343"/>
      <c r="O566" s="343"/>
      <c r="P566" s="343"/>
      <c r="Q566" s="343"/>
      <c r="R566" s="343"/>
      <c r="S566" s="343"/>
      <c r="T566" s="343"/>
      <c r="U566" s="343"/>
      <c r="V566" s="343"/>
      <c r="W566" s="347"/>
    </row>
    <row r="567">
      <c r="A567" s="343"/>
      <c r="B567" s="347"/>
      <c r="C567" s="347"/>
      <c r="D567" s="347"/>
      <c r="E567" s="343"/>
      <c r="F567" s="343"/>
      <c r="G567" s="343"/>
      <c r="H567" s="343"/>
      <c r="I567" s="343"/>
      <c r="J567" s="343"/>
      <c r="K567" s="343"/>
      <c r="L567" s="343"/>
      <c r="M567" s="343"/>
      <c r="N567" s="343"/>
      <c r="O567" s="343"/>
      <c r="P567" s="343"/>
      <c r="Q567" s="343"/>
      <c r="R567" s="343"/>
      <c r="S567" s="343"/>
      <c r="T567" s="343"/>
      <c r="U567" s="343"/>
      <c r="V567" s="343"/>
      <c r="W567" s="347"/>
    </row>
    <row r="568">
      <c r="A568" s="343"/>
      <c r="B568" s="347"/>
      <c r="C568" s="347"/>
      <c r="D568" s="347"/>
      <c r="E568" s="343"/>
      <c r="F568" s="343"/>
      <c r="G568" s="343"/>
      <c r="H568" s="343"/>
      <c r="I568" s="343"/>
      <c r="J568" s="343"/>
      <c r="K568" s="343"/>
      <c r="L568" s="343"/>
      <c r="M568" s="343"/>
      <c r="N568" s="343"/>
      <c r="O568" s="343"/>
      <c r="P568" s="343"/>
      <c r="Q568" s="343"/>
      <c r="R568" s="343"/>
      <c r="S568" s="343"/>
      <c r="T568" s="343"/>
      <c r="U568" s="343"/>
      <c r="V568" s="343"/>
      <c r="W568" s="347"/>
    </row>
    <row r="569">
      <c r="A569" s="343"/>
      <c r="B569" s="347"/>
      <c r="C569" s="347"/>
      <c r="D569" s="347"/>
      <c r="E569" s="343"/>
      <c r="F569" s="343"/>
      <c r="G569" s="343"/>
      <c r="H569" s="343"/>
      <c r="I569" s="343"/>
      <c r="J569" s="343"/>
      <c r="K569" s="343"/>
      <c r="L569" s="343"/>
      <c r="M569" s="343"/>
      <c r="N569" s="343"/>
      <c r="O569" s="343"/>
      <c r="P569" s="343"/>
      <c r="Q569" s="343"/>
      <c r="R569" s="343"/>
      <c r="S569" s="343"/>
      <c r="T569" s="343"/>
      <c r="U569" s="343"/>
      <c r="V569" s="343"/>
      <c r="W569" s="347"/>
    </row>
    <row r="570">
      <c r="A570" s="343"/>
      <c r="B570" s="347"/>
      <c r="C570" s="347"/>
      <c r="D570" s="347"/>
      <c r="E570" s="343"/>
      <c r="F570" s="343"/>
      <c r="G570" s="343"/>
      <c r="H570" s="343"/>
      <c r="I570" s="343"/>
      <c r="J570" s="343"/>
      <c r="K570" s="343"/>
      <c r="L570" s="343"/>
      <c r="M570" s="343"/>
      <c r="N570" s="343"/>
      <c r="O570" s="343"/>
      <c r="P570" s="343"/>
      <c r="Q570" s="343"/>
      <c r="R570" s="343"/>
      <c r="S570" s="343"/>
      <c r="T570" s="343"/>
      <c r="U570" s="343"/>
      <c r="V570" s="343"/>
      <c r="W570" s="347"/>
    </row>
    <row r="571">
      <c r="A571" s="343"/>
      <c r="B571" s="347"/>
      <c r="C571" s="347"/>
      <c r="D571" s="347"/>
      <c r="E571" s="343"/>
      <c r="F571" s="343"/>
      <c r="G571" s="343"/>
      <c r="H571" s="343"/>
      <c r="I571" s="343"/>
      <c r="J571" s="343"/>
      <c r="K571" s="343"/>
      <c r="L571" s="343"/>
      <c r="M571" s="343"/>
      <c r="N571" s="343"/>
      <c r="O571" s="343"/>
      <c r="P571" s="343"/>
      <c r="Q571" s="343"/>
      <c r="R571" s="343"/>
      <c r="S571" s="343"/>
      <c r="T571" s="343"/>
      <c r="U571" s="343"/>
      <c r="V571" s="343"/>
      <c r="W571" s="347"/>
    </row>
    <row r="572">
      <c r="A572" s="343"/>
      <c r="B572" s="347"/>
      <c r="C572" s="347"/>
      <c r="D572" s="347"/>
      <c r="E572" s="343"/>
      <c r="F572" s="343"/>
      <c r="G572" s="343"/>
      <c r="H572" s="343"/>
      <c r="I572" s="343"/>
      <c r="J572" s="343"/>
      <c r="K572" s="343"/>
      <c r="L572" s="343"/>
      <c r="M572" s="343"/>
      <c r="N572" s="343"/>
      <c r="O572" s="343"/>
      <c r="P572" s="343"/>
      <c r="Q572" s="343"/>
      <c r="R572" s="343"/>
      <c r="S572" s="343"/>
      <c r="T572" s="343"/>
      <c r="U572" s="343"/>
      <c r="V572" s="343"/>
      <c r="W572" s="347"/>
    </row>
    <row r="573">
      <c r="A573" s="343"/>
      <c r="B573" s="347"/>
      <c r="C573" s="347"/>
      <c r="D573" s="347"/>
      <c r="E573" s="343"/>
      <c r="F573" s="343"/>
      <c r="G573" s="343"/>
      <c r="H573" s="343"/>
      <c r="I573" s="343"/>
      <c r="J573" s="343"/>
      <c r="K573" s="343"/>
      <c r="L573" s="343"/>
      <c r="M573" s="343"/>
      <c r="N573" s="343"/>
      <c r="O573" s="343"/>
      <c r="P573" s="343"/>
      <c r="Q573" s="343"/>
      <c r="R573" s="343"/>
      <c r="S573" s="343"/>
      <c r="T573" s="343"/>
      <c r="U573" s="343"/>
      <c r="V573" s="343"/>
      <c r="W573" s="347"/>
    </row>
    <row r="574">
      <c r="A574" s="343"/>
      <c r="B574" s="347"/>
      <c r="C574" s="347"/>
      <c r="D574" s="347"/>
      <c r="E574" s="343"/>
      <c r="F574" s="343"/>
      <c r="G574" s="343"/>
      <c r="H574" s="343"/>
      <c r="I574" s="343"/>
      <c r="J574" s="343"/>
      <c r="K574" s="343"/>
      <c r="L574" s="343"/>
      <c r="M574" s="343"/>
      <c r="N574" s="343"/>
      <c r="O574" s="343"/>
      <c r="P574" s="343"/>
      <c r="Q574" s="343"/>
      <c r="R574" s="343"/>
      <c r="S574" s="343"/>
      <c r="T574" s="343"/>
      <c r="U574" s="343"/>
      <c r="V574" s="343"/>
      <c r="W574" s="347"/>
    </row>
    <row r="575">
      <c r="A575" s="343"/>
      <c r="B575" s="347"/>
      <c r="C575" s="347"/>
      <c r="D575" s="347"/>
      <c r="E575" s="343"/>
      <c r="F575" s="343"/>
      <c r="G575" s="343"/>
      <c r="H575" s="343"/>
      <c r="I575" s="343"/>
      <c r="J575" s="343"/>
      <c r="K575" s="343"/>
      <c r="L575" s="343"/>
      <c r="M575" s="343"/>
      <c r="N575" s="343"/>
      <c r="O575" s="343"/>
      <c r="P575" s="343"/>
      <c r="Q575" s="343"/>
      <c r="R575" s="343"/>
      <c r="S575" s="343"/>
      <c r="T575" s="343"/>
      <c r="U575" s="343"/>
      <c r="V575" s="343"/>
      <c r="W575" s="347"/>
    </row>
    <row r="576">
      <c r="A576" s="343"/>
      <c r="B576" s="347"/>
      <c r="C576" s="347"/>
      <c r="D576" s="347"/>
      <c r="E576" s="343"/>
      <c r="F576" s="343"/>
      <c r="G576" s="343"/>
      <c r="H576" s="343"/>
      <c r="I576" s="343"/>
      <c r="J576" s="343"/>
      <c r="K576" s="343"/>
      <c r="L576" s="343"/>
      <c r="M576" s="343"/>
      <c r="N576" s="343"/>
      <c r="O576" s="343"/>
      <c r="P576" s="343"/>
      <c r="Q576" s="343"/>
      <c r="R576" s="343"/>
      <c r="S576" s="343"/>
      <c r="T576" s="343"/>
      <c r="U576" s="343"/>
      <c r="V576" s="343"/>
      <c r="W576" s="347"/>
    </row>
    <row r="577">
      <c r="A577" s="343"/>
      <c r="B577" s="347"/>
      <c r="C577" s="347"/>
      <c r="D577" s="347"/>
      <c r="E577" s="343"/>
      <c r="F577" s="343"/>
      <c r="G577" s="343"/>
      <c r="H577" s="343"/>
      <c r="I577" s="343"/>
      <c r="J577" s="343"/>
      <c r="K577" s="343"/>
      <c r="L577" s="343"/>
      <c r="M577" s="343"/>
      <c r="N577" s="343"/>
      <c r="O577" s="343"/>
      <c r="P577" s="343"/>
      <c r="Q577" s="343"/>
      <c r="R577" s="343"/>
      <c r="S577" s="343"/>
      <c r="T577" s="343"/>
      <c r="U577" s="343"/>
      <c r="V577" s="343"/>
      <c r="W577" s="347"/>
    </row>
    <row r="578">
      <c r="A578" s="343"/>
      <c r="B578" s="347"/>
      <c r="C578" s="347"/>
      <c r="D578" s="347"/>
      <c r="E578" s="343"/>
      <c r="F578" s="343"/>
      <c r="G578" s="343"/>
      <c r="H578" s="343"/>
      <c r="I578" s="343"/>
      <c r="J578" s="343"/>
      <c r="K578" s="343"/>
      <c r="L578" s="343"/>
      <c r="M578" s="343"/>
      <c r="N578" s="343"/>
      <c r="O578" s="343"/>
      <c r="P578" s="343"/>
      <c r="Q578" s="343"/>
      <c r="R578" s="343"/>
      <c r="S578" s="343"/>
      <c r="T578" s="343"/>
      <c r="U578" s="343"/>
      <c r="V578" s="343"/>
      <c r="W578" s="347"/>
    </row>
    <row r="579">
      <c r="A579" s="343"/>
      <c r="B579" s="347"/>
      <c r="C579" s="347"/>
      <c r="D579" s="347"/>
      <c r="E579" s="343"/>
      <c r="F579" s="343"/>
      <c r="G579" s="343"/>
      <c r="H579" s="343"/>
      <c r="I579" s="343"/>
      <c r="J579" s="343"/>
      <c r="K579" s="343"/>
      <c r="L579" s="343"/>
      <c r="M579" s="343"/>
      <c r="N579" s="343"/>
      <c r="O579" s="343"/>
      <c r="P579" s="343"/>
      <c r="Q579" s="343"/>
      <c r="R579" s="343"/>
      <c r="S579" s="343"/>
      <c r="T579" s="343"/>
      <c r="U579" s="343"/>
      <c r="V579" s="343"/>
      <c r="W579" s="347"/>
    </row>
    <row r="580">
      <c r="A580" s="343"/>
      <c r="B580" s="347"/>
      <c r="C580" s="347"/>
      <c r="D580" s="347"/>
      <c r="E580" s="343"/>
      <c r="F580" s="343"/>
      <c r="G580" s="343"/>
      <c r="H580" s="343"/>
      <c r="I580" s="343"/>
      <c r="J580" s="343"/>
      <c r="K580" s="343"/>
      <c r="L580" s="343"/>
      <c r="M580" s="343"/>
      <c r="N580" s="343"/>
      <c r="O580" s="343"/>
      <c r="P580" s="343"/>
      <c r="Q580" s="343"/>
      <c r="R580" s="343"/>
      <c r="S580" s="343"/>
      <c r="T580" s="343"/>
      <c r="U580" s="343"/>
      <c r="V580" s="343"/>
      <c r="W580" s="347"/>
    </row>
    <row r="581">
      <c r="A581" s="343"/>
      <c r="B581" s="347"/>
      <c r="C581" s="347"/>
      <c r="D581" s="347"/>
      <c r="E581" s="343"/>
      <c r="F581" s="343"/>
      <c r="G581" s="343"/>
      <c r="H581" s="343"/>
      <c r="I581" s="343"/>
      <c r="J581" s="343"/>
      <c r="K581" s="343"/>
      <c r="L581" s="343"/>
      <c r="M581" s="343"/>
      <c r="N581" s="343"/>
      <c r="O581" s="343"/>
      <c r="P581" s="343"/>
      <c r="Q581" s="343"/>
      <c r="R581" s="343"/>
      <c r="S581" s="343"/>
      <c r="T581" s="343"/>
      <c r="U581" s="343"/>
      <c r="V581" s="343"/>
      <c r="W581" s="347"/>
    </row>
    <row r="582">
      <c r="A582" s="343"/>
      <c r="B582" s="347"/>
      <c r="C582" s="347"/>
      <c r="D582" s="347"/>
      <c r="E582" s="343"/>
      <c r="F582" s="343"/>
      <c r="G582" s="343"/>
      <c r="H582" s="343"/>
      <c r="I582" s="343"/>
      <c r="J582" s="343"/>
      <c r="K582" s="343"/>
      <c r="L582" s="343"/>
      <c r="M582" s="343"/>
      <c r="N582" s="343"/>
      <c r="O582" s="343"/>
      <c r="P582" s="343"/>
      <c r="Q582" s="343"/>
      <c r="R582" s="343"/>
      <c r="S582" s="343"/>
      <c r="T582" s="343"/>
      <c r="U582" s="343"/>
      <c r="V582" s="343"/>
      <c r="W582" s="347"/>
    </row>
    <row r="583">
      <c r="A583" s="343"/>
      <c r="B583" s="347"/>
      <c r="C583" s="347"/>
      <c r="D583" s="347"/>
      <c r="E583" s="343"/>
      <c r="F583" s="343"/>
      <c r="G583" s="343"/>
      <c r="H583" s="343"/>
      <c r="I583" s="343"/>
      <c r="J583" s="343"/>
      <c r="K583" s="343"/>
      <c r="L583" s="343"/>
      <c r="M583" s="343"/>
      <c r="N583" s="343"/>
      <c r="O583" s="343"/>
      <c r="P583" s="343"/>
      <c r="Q583" s="343"/>
      <c r="R583" s="343"/>
      <c r="S583" s="343"/>
      <c r="T583" s="343"/>
      <c r="U583" s="343"/>
      <c r="V583" s="343"/>
      <c r="W583" s="347"/>
    </row>
    <row r="584">
      <c r="A584" s="343"/>
      <c r="B584" s="347"/>
      <c r="C584" s="347"/>
      <c r="D584" s="347"/>
      <c r="E584" s="343"/>
      <c r="F584" s="343"/>
      <c r="G584" s="343"/>
      <c r="H584" s="343"/>
      <c r="I584" s="343"/>
      <c r="J584" s="343"/>
      <c r="K584" s="343"/>
      <c r="L584" s="343"/>
      <c r="M584" s="343"/>
      <c r="N584" s="343"/>
      <c r="O584" s="343"/>
      <c r="P584" s="343"/>
      <c r="Q584" s="343"/>
      <c r="R584" s="343"/>
      <c r="S584" s="343"/>
      <c r="T584" s="343"/>
      <c r="U584" s="343"/>
      <c r="V584" s="343"/>
      <c r="W584" s="347"/>
    </row>
    <row r="585">
      <c r="A585" s="343"/>
      <c r="B585" s="347"/>
      <c r="C585" s="347"/>
      <c r="D585" s="347"/>
      <c r="E585" s="343"/>
      <c r="F585" s="343"/>
      <c r="G585" s="343"/>
      <c r="H585" s="343"/>
      <c r="I585" s="343"/>
      <c r="J585" s="343"/>
      <c r="K585" s="343"/>
      <c r="L585" s="343"/>
      <c r="M585" s="343"/>
      <c r="N585" s="343"/>
      <c r="O585" s="343"/>
      <c r="P585" s="343"/>
      <c r="Q585" s="343"/>
      <c r="R585" s="343"/>
      <c r="S585" s="343"/>
      <c r="T585" s="343"/>
      <c r="U585" s="343"/>
      <c r="V585" s="343"/>
      <c r="W585" s="347"/>
    </row>
    <row r="586">
      <c r="A586" s="343"/>
      <c r="B586" s="347"/>
      <c r="C586" s="347"/>
      <c r="D586" s="347"/>
      <c r="E586" s="343"/>
      <c r="F586" s="343"/>
      <c r="G586" s="343"/>
      <c r="H586" s="343"/>
      <c r="I586" s="343"/>
      <c r="J586" s="343"/>
      <c r="K586" s="343"/>
      <c r="L586" s="343"/>
      <c r="M586" s="343"/>
      <c r="N586" s="343"/>
      <c r="O586" s="343"/>
      <c r="P586" s="343"/>
      <c r="Q586" s="343"/>
      <c r="R586" s="343"/>
      <c r="S586" s="343"/>
      <c r="T586" s="343"/>
      <c r="U586" s="343"/>
      <c r="V586" s="343"/>
      <c r="W586" s="347"/>
    </row>
    <row r="587">
      <c r="A587" s="343"/>
      <c r="B587" s="347"/>
      <c r="C587" s="347"/>
      <c r="D587" s="347"/>
      <c r="E587" s="343"/>
      <c r="F587" s="343"/>
      <c r="G587" s="343"/>
      <c r="H587" s="343"/>
      <c r="I587" s="343"/>
      <c r="J587" s="343"/>
      <c r="K587" s="343"/>
      <c r="L587" s="343"/>
      <c r="M587" s="343"/>
      <c r="N587" s="343"/>
      <c r="O587" s="343"/>
      <c r="P587" s="343"/>
      <c r="Q587" s="343"/>
      <c r="R587" s="343"/>
      <c r="S587" s="343"/>
      <c r="T587" s="343"/>
      <c r="U587" s="343"/>
      <c r="V587" s="343"/>
      <c r="W587" s="347"/>
    </row>
    <row r="588">
      <c r="A588" s="343"/>
      <c r="B588" s="347"/>
      <c r="C588" s="347"/>
      <c r="D588" s="347"/>
      <c r="E588" s="343"/>
      <c r="F588" s="343"/>
      <c r="G588" s="343"/>
      <c r="H588" s="343"/>
      <c r="I588" s="343"/>
      <c r="J588" s="343"/>
      <c r="K588" s="343"/>
      <c r="L588" s="343"/>
      <c r="M588" s="343"/>
      <c r="N588" s="343"/>
      <c r="O588" s="343"/>
      <c r="P588" s="343"/>
      <c r="Q588" s="343"/>
      <c r="R588" s="343"/>
      <c r="S588" s="343"/>
      <c r="T588" s="343"/>
      <c r="U588" s="343"/>
      <c r="V588" s="343"/>
      <c r="W588" s="347"/>
    </row>
    <row r="589">
      <c r="A589" s="343"/>
      <c r="B589" s="347"/>
      <c r="C589" s="347"/>
      <c r="D589" s="347"/>
      <c r="E589" s="343"/>
      <c r="F589" s="343"/>
      <c r="G589" s="343"/>
      <c r="H589" s="343"/>
      <c r="I589" s="343"/>
      <c r="J589" s="343"/>
      <c r="K589" s="343"/>
      <c r="L589" s="343"/>
      <c r="M589" s="343"/>
      <c r="N589" s="343"/>
      <c r="O589" s="343"/>
      <c r="P589" s="343"/>
      <c r="Q589" s="343"/>
      <c r="R589" s="343"/>
      <c r="S589" s="343"/>
      <c r="T589" s="343"/>
      <c r="U589" s="343"/>
      <c r="V589" s="343"/>
      <c r="W589" s="347"/>
    </row>
    <row r="590">
      <c r="A590" s="343"/>
      <c r="B590" s="347"/>
      <c r="C590" s="347"/>
      <c r="D590" s="347"/>
      <c r="E590" s="343"/>
      <c r="F590" s="343"/>
      <c r="G590" s="343"/>
      <c r="H590" s="343"/>
      <c r="I590" s="343"/>
      <c r="J590" s="343"/>
      <c r="K590" s="343"/>
      <c r="L590" s="343"/>
      <c r="M590" s="343"/>
      <c r="N590" s="343"/>
      <c r="O590" s="343"/>
      <c r="P590" s="343"/>
      <c r="Q590" s="343"/>
      <c r="R590" s="343"/>
      <c r="S590" s="343"/>
      <c r="T590" s="343"/>
      <c r="U590" s="343"/>
      <c r="V590" s="343"/>
      <c r="W590" s="347"/>
    </row>
    <row r="591">
      <c r="A591" s="343"/>
      <c r="B591" s="347"/>
      <c r="C591" s="347"/>
      <c r="D591" s="347"/>
      <c r="E591" s="343"/>
      <c r="F591" s="343"/>
      <c r="G591" s="343"/>
      <c r="H591" s="343"/>
      <c r="I591" s="343"/>
      <c r="J591" s="343"/>
      <c r="K591" s="343"/>
      <c r="L591" s="343"/>
      <c r="M591" s="343"/>
      <c r="N591" s="343"/>
      <c r="O591" s="343"/>
      <c r="P591" s="343"/>
      <c r="Q591" s="343"/>
      <c r="R591" s="343"/>
      <c r="S591" s="343"/>
      <c r="T591" s="343"/>
      <c r="U591" s="343"/>
      <c r="V591" s="343"/>
      <c r="W591" s="347"/>
    </row>
    <row r="592">
      <c r="A592" s="343"/>
      <c r="B592" s="347"/>
      <c r="C592" s="347"/>
      <c r="D592" s="347"/>
      <c r="E592" s="343"/>
      <c r="F592" s="343"/>
      <c r="G592" s="343"/>
      <c r="H592" s="343"/>
      <c r="I592" s="343"/>
      <c r="J592" s="343"/>
      <c r="K592" s="343"/>
      <c r="L592" s="343"/>
      <c r="M592" s="343"/>
      <c r="N592" s="343"/>
      <c r="O592" s="343"/>
      <c r="P592" s="343"/>
      <c r="Q592" s="343"/>
      <c r="R592" s="343"/>
      <c r="S592" s="343"/>
      <c r="T592" s="343"/>
      <c r="U592" s="343"/>
      <c r="V592" s="343"/>
      <c r="W592" s="347"/>
    </row>
    <row r="593">
      <c r="A593" s="343"/>
      <c r="B593" s="347"/>
      <c r="C593" s="347"/>
      <c r="D593" s="347"/>
      <c r="E593" s="343"/>
      <c r="F593" s="343"/>
      <c r="G593" s="343"/>
      <c r="H593" s="343"/>
      <c r="I593" s="343"/>
      <c r="J593" s="343"/>
      <c r="K593" s="343"/>
      <c r="L593" s="343"/>
      <c r="M593" s="343"/>
      <c r="N593" s="343"/>
      <c r="O593" s="343"/>
      <c r="P593" s="343"/>
      <c r="Q593" s="343"/>
      <c r="R593" s="343"/>
      <c r="S593" s="343"/>
      <c r="T593" s="343"/>
      <c r="U593" s="343"/>
      <c r="V593" s="343"/>
      <c r="W593" s="347"/>
    </row>
    <row r="594">
      <c r="A594" s="343"/>
      <c r="B594" s="347"/>
      <c r="C594" s="347"/>
      <c r="D594" s="347"/>
      <c r="E594" s="343"/>
      <c r="F594" s="343"/>
      <c r="G594" s="343"/>
      <c r="H594" s="343"/>
      <c r="I594" s="343"/>
      <c r="J594" s="343"/>
      <c r="K594" s="343"/>
      <c r="L594" s="343"/>
      <c r="M594" s="343"/>
      <c r="N594" s="343"/>
      <c r="O594" s="343"/>
      <c r="P594" s="343"/>
      <c r="Q594" s="343"/>
      <c r="R594" s="343"/>
      <c r="S594" s="343"/>
      <c r="T594" s="343"/>
      <c r="U594" s="343"/>
      <c r="V594" s="343"/>
      <c r="W594" s="347"/>
    </row>
    <row r="595">
      <c r="A595" s="343"/>
      <c r="B595" s="347"/>
      <c r="C595" s="347"/>
      <c r="D595" s="347"/>
      <c r="E595" s="343"/>
      <c r="F595" s="343"/>
      <c r="G595" s="343"/>
      <c r="H595" s="343"/>
      <c r="I595" s="343"/>
      <c r="J595" s="343"/>
      <c r="K595" s="343"/>
      <c r="L595" s="343"/>
      <c r="M595" s="343"/>
      <c r="N595" s="343"/>
      <c r="O595" s="343"/>
      <c r="P595" s="343"/>
      <c r="Q595" s="343"/>
      <c r="R595" s="343"/>
      <c r="S595" s="343"/>
      <c r="T595" s="343"/>
      <c r="U595" s="343"/>
      <c r="V595" s="343"/>
      <c r="W595" s="347"/>
    </row>
    <row r="596">
      <c r="A596" s="343"/>
      <c r="B596" s="347"/>
      <c r="C596" s="347"/>
      <c r="D596" s="347"/>
      <c r="E596" s="343"/>
      <c r="F596" s="343"/>
      <c r="G596" s="343"/>
      <c r="H596" s="343"/>
      <c r="I596" s="343"/>
      <c r="J596" s="343"/>
      <c r="K596" s="343"/>
      <c r="L596" s="343"/>
      <c r="M596" s="343"/>
      <c r="N596" s="343"/>
      <c r="O596" s="343"/>
      <c r="P596" s="343"/>
      <c r="Q596" s="343"/>
      <c r="R596" s="343"/>
      <c r="S596" s="343"/>
      <c r="T596" s="343"/>
      <c r="U596" s="343"/>
      <c r="V596" s="343"/>
      <c r="W596" s="347"/>
    </row>
    <row r="597">
      <c r="A597" s="343"/>
      <c r="B597" s="347"/>
      <c r="C597" s="347"/>
      <c r="D597" s="347"/>
      <c r="E597" s="343"/>
      <c r="F597" s="343"/>
      <c r="G597" s="343"/>
      <c r="H597" s="343"/>
      <c r="I597" s="343"/>
      <c r="J597" s="343"/>
      <c r="K597" s="343"/>
      <c r="L597" s="343"/>
      <c r="M597" s="343"/>
      <c r="N597" s="343"/>
      <c r="O597" s="343"/>
      <c r="P597" s="343"/>
      <c r="Q597" s="343"/>
      <c r="R597" s="343"/>
      <c r="S597" s="343"/>
      <c r="T597" s="343"/>
      <c r="U597" s="343"/>
      <c r="V597" s="343"/>
      <c r="W597" s="347"/>
    </row>
    <row r="598">
      <c r="A598" s="343"/>
      <c r="B598" s="347"/>
      <c r="C598" s="347"/>
      <c r="D598" s="347"/>
      <c r="E598" s="343"/>
      <c r="F598" s="343"/>
      <c r="G598" s="343"/>
      <c r="H598" s="343"/>
      <c r="I598" s="343"/>
      <c r="J598" s="343"/>
      <c r="K598" s="343"/>
      <c r="L598" s="343"/>
      <c r="M598" s="343"/>
      <c r="N598" s="343"/>
      <c r="O598" s="343"/>
      <c r="P598" s="343"/>
      <c r="Q598" s="343"/>
      <c r="R598" s="343"/>
      <c r="S598" s="343"/>
      <c r="T598" s="343"/>
      <c r="U598" s="343"/>
      <c r="V598" s="343"/>
      <c r="W598" s="347"/>
    </row>
    <row r="599">
      <c r="A599" s="343"/>
      <c r="B599" s="347"/>
      <c r="C599" s="347"/>
      <c r="D599" s="347"/>
      <c r="E599" s="343"/>
      <c r="F599" s="343"/>
      <c r="G599" s="343"/>
      <c r="H599" s="343"/>
      <c r="I599" s="343"/>
      <c r="J599" s="343"/>
      <c r="K599" s="343"/>
      <c r="L599" s="343"/>
      <c r="M599" s="343"/>
      <c r="N599" s="343"/>
      <c r="O599" s="343"/>
      <c r="P599" s="343"/>
      <c r="Q599" s="343"/>
      <c r="R599" s="343"/>
      <c r="S599" s="343"/>
      <c r="T599" s="343"/>
      <c r="U599" s="343"/>
      <c r="V599" s="343"/>
      <c r="W599" s="347"/>
    </row>
    <row r="600">
      <c r="A600" s="343"/>
      <c r="B600" s="347"/>
      <c r="C600" s="347"/>
      <c r="D600" s="347"/>
      <c r="E600" s="343"/>
      <c r="F600" s="343"/>
      <c r="G600" s="343"/>
      <c r="H600" s="343"/>
      <c r="I600" s="343"/>
      <c r="J600" s="343"/>
      <c r="K600" s="343"/>
      <c r="L600" s="343"/>
      <c r="M600" s="343"/>
      <c r="N600" s="343"/>
      <c r="O600" s="343"/>
      <c r="P600" s="343"/>
      <c r="Q600" s="343"/>
      <c r="R600" s="343"/>
      <c r="S600" s="343"/>
      <c r="T600" s="343"/>
      <c r="U600" s="343"/>
      <c r="V600" s="343"/>
      <c r="W600" s="347"/>
    </row>
    <row r="601">
      <c r="A601" s="343"/>
      <c r="B601" s="347"/>
      <c r="C601" s="347"/>
      <c r="D601" s="347"/>
      <c r="E601" s="343"/>
      <c r="F601" s="343"/>
      <c r="G601" s="343"/>
      <c r="H601" s="343"/>
      <c r="I601" s="343"/>
      <c r="J601" s="343"/>
      <c r="K601" s="343"/>
      <c r="L601" s="343"/>
      <c r="M601" s="343"/>
      <c r="N601" s="343"/>
      <c r="O601" s="343"/>
      <c r="P601" s="343"/>
      <c r="Q601" s="343"/>
      <c r="R601" s="343"/>
      <c r="S601" s="343"/>
      <c r="T601" s="343"/>
      <c r="U601" s="343"/>
      <c r="V601" s="343"/>
      <c r="W601" s="347"/>
    </row>
    <row r="602">
      <c r="A602" s="343"/>
      <c r="B602" s="347"/>
      <c r="C602" s="347"/>
      <c r="D602" s="347"/>
      <c r="E602" s="343"/>
      <c r="F602" s="343"/>
      <c r="G602" s="343"/>
      <c r="H602" s="343"/>
      <c r="I602" s="343"/>
      <c r="J602" s="343"/>
      <c r="K602" s="343"/>
      <c r="L602" s="343"/>
      <c r="M602" s="343"/>
      <c r="N602" s="343"/>
      <c r="O602" s="343"/>
      <c r="P602" s="343"/>
      <c r="Q602" s="343"/>
      <c r="R602" s="343"/>
      <c r="S602" s="343"/>
      <c r="T602" s="343"/>
      <c r="U602" s="343"/>
      <c r="V602" s="343"/>
      <c r="W602" s="347"/>
    </row>
    <row r="603">
      <c r="A603" s="343"/>
      <c r="B603" s="347"/>
      <c r="C603" s="347"/>
      <c r="D603" s="347"/>
      <c r="E603" s="343"/>
      <c r="F603" s="343"/>
      <c r="G603" s="343"/>
      <c r="H603" s="343"/>
      <c r="I603" s="343"/>
      <c r="J603" s="343"/>
      <c r="K603" s="343"/>
      <c r="L603" s="343"/>
      <c r="M603" s="343"/>
      <c r="N603" s="343"/>
      <c r="O603" s="343"/>
      <c r="P603" s="343"/>
      <c r="Q603" s="343"/>
      <c r="R603" s="343"/>
      <c r="S603" s="343"/>
      <c r="T603" s="343"/>
      <c r="U603" s="343"/>
      <c r="V603" s="343"/>
      <c r="W603" s="347"/>
    </row>
    <row r="604">
      <c r="A604" s="343"/>
      <c r="B604" s="347"/>
      <c r="C604" s="347"/>
      <c r="D604" s="347"/>
      <c r="E604" s="343"/>
      <c r="F604" s="343"/>
      <c r="G604" s="343"/>
      <c r="H604" s="343"/>
      <c r="I604" s="343"/>
      <c r="J604" s="343"/>
      <c r="K604" s="343"/>
      <c r="L604" s="343"/>
      <c r="M604" s="343"/>
      <c r="N604" s="343"/>
      <c r="O604" s="343"/>
      <c r="P604" s="343"/>
      <c r="Q604" s="343"/>
      <c r="R604" s="343"/>
      <c r="S604" s="343"/>
      <c r="T604" s="343"/>
      <c r="U604" s="343"/>
      <c r="V604" s="343"/>
      <c r="W604" s="347"/>
    </row>
    <row r="605">
      <c r="A605" s="343"/>
      <c r="B605" s="347"/>
      <c r="C605" s="347"/>
      <c r="D605" s="347"/>
      <c r="E605" s="343"/>
      <c r="F605" s="343"/>
      <c r="G605" s="343"/>
      <c r="H605" s="343"/>
      <c r="I605" s="343"/>
      <c r="J605" s="343"/>
      <c r="K605" s="343"/>
      <c r="L605" s="343"/>
      <c r="M605" s="343"/>
      <c r="N605" s="343"/>
      <c r="O605" s="343"/>
      <c r="P605" s="343"/>
      <c r="Q605" s="343"/>
      <c r="R605" s="343"/>
      <c r="S605" s="343"/>
      <c r="T605" s="343"/>
      <c r="U605" s="343"/>
      <c r="V605" s="343"/>
      <c r="W605" s="347"/>
    </row>
    <row r="606">
      <c r="A606" s="343"/>
      <c r="B606" s="347"/>
      <c r="C606" s="347"/>
      <c r="D606" s="347"/>
      <c r="E606" s="343"/>
      <c r="F606" s="343"/>
      <c r="G606" s="343"/>
      <c r="H606" s="343"/>
      <c r="I606" s="343"/>
      <c r="J606" s="343"/>
      <c r="K606" s="343"/>
      <c r="L606" s="343"/>
      <c r="M606" s="343"/>
      <c r="N606" s="343"/>
      <c r="O606" s="343"/>
      <c r="P606" s="343"/>
      <c r="Q606" s="343"/>
      <c r="R606" s="343"/>
      <c r="S606" s="343"/>
      <c r="T606" s="343"/>
      <c r="U606" s="343"/>
      <c r="V606" s="343"/>
      <c r="W606" s="347"/>
    </row>
    <row r="607">
      <c r="A607" s="343"/>
      <c r="B607" s="347"/>
      <c r="C607" s="347"/>
      <c r="D607" s="347"/>
      <c r="E607" s="343"/>
      <c r="F607" s="343"/>
      <c r="G607" s="343"/>
      <c r="H607" s="343"/>
      <c r="I607" s="343"/>
      <c r="J607" s="343"/>
      <c r="K607" s="343"/>
      <c r="L607" s="343"/>
      <c r="M607" s="343"/>
      <c r="N607" s="343"/>
      <c r="O607" s="343"/>
      <c r="P607" s="343"/>
      <c r="Q607" s="343"/>
      <c r="R607" s="343"/>
      <c r="S607" s="343"/>
      <c r="T607" s="343"/>
      <c r="U607" s="343"/>
      <c r="V607" s="343"/>
      <c r="W607" s="347"/>
    </row>
    <row r="608">
      <c r="A608" s="343"/>
      <c r="B608" s="347"/>
      <c r="C608" s="347"/>
      <c r="D608" s="347"/>
      <c r="E608" s="343"/>
      <c r="F608" s="343"/>
      <c r="G608" s="343"/>
      <c r="H608" s="343"/>
      <c r="I608" s="343"/>
      <c r="J608" s="343"/>
      <c r="K608" s="343"/>
      <c r="L608" s="343"/>
      <c r="M608" s="343"/>
      <c r="N608" s="343"/>
      <c r="O608" s="343"/>
      <c r="P608" s="343"/>
      <c r="Q608" s="343"/>
      <c r="R608" s="343"/>
      <c r="S608" s="343"/>
      <c r="T608" s="343"/>
      <c r="U608" s="343"/>
      <c r="V608" s="343"/>
      <c r="W608" s="347"/>
    </row>
    <row r="609">
      <c r="A609" s="343"/>
      <c r="B609" s="347"/>
      <c r="C609" s="347"/>
      <c r="D609" s="347"/>
      <c r="E609" s="343"/>
      <c r="F609" s="343"/>
      <c r="G609" s="343"/>
      <c r="H609" s="343"/>
      <c r="I609" s="343"/>
      <c r="J609" s="343"/>
      <c r="K609" s="343"/>
      <c r="L609" s="343"/>
      <c r="M609" s="343"/>
      <c r="N609" s="343"/>
      <c r="O609" s="343"/>
      <c r="P609" s="343"/>
      <c r="Q609" s="343"/>
      <c r="R609" s="343"/>
      <c r="S609" s="343"/>
      <c r="T609" s="343"/>
      <c r="U609" s="343"/>
      <c r="V609" s="343"/>
      <c r="W609" s="347"/>
    </row>
    <row r="610">
      <c r="A610" s="343"/>
      <c r="B610" s="347"/>
      <c r="C610" s="347"/>
      <c r="D610" s="347"/>
      <c r="E610" s="343"/>
      <c r="F610" s="343"/>
      <c r="G610" s="343"/>
      <c r="H610" s="343"/>
      <c r="I610" s="343"/>
      <c r="J610" s="343"/>
      <c r="K610" s="343"/>
      <c r="L610" s="343"/>
      <c r="M610" s="343"/>
      <c r="N610" s="343"/>
      <c r="O610" s="343"/>
      <c r="P610" s="343"/>
      <c r="Q610" s="343"/>
      <c r="R610" s="343"/>
      <c r="S610" s="343"/>
      <c r="T610" s="343"/>
      <c r="U610" s="343"/>
      <c r="V610" s="343"/>
      <c r="W610" s="347"/>
    </row>
    <row r="611">
      <c r="A611" s="343"/>
      <c r="B611" s="347"/>
      <c r="C611" s="347"/>
      <c r="D611" s="347"/>
      <c r="E611" s="343"/>
      <c r="F611" s="343"/>
      <c r="G611" s="343"/>
      <c r="H611" s="343"/>
      <c r="I611" s="343"/>
      <c r="J611" s="343"/>
      <c r="K611" s="343"/>
      <c r="L611" s="343"/>
      <c r="M611" s="343"/>
      <c r="N611" s="343"/>
      <c r="O611" s="343"/>
      <c r="P611" s="343"/>
      <c r="Q611" s="343"/>
      <c r="R611" s="343"/>
      <c r="S611" s="343"/>
      <c r="T611" s="343"/>
      <c r="U611" s="343"/>
      <c r="V611" s="343"/>
      <c r="W611" s="347"/>
    </row>
    <row r="612">
      <c r="A612" s="347"/>
      <c r="B612" s="347"/>
      <c r="C612" s="347"/>
      <c r="D612" s="347"/>
      <c r="E612" s="347"/>
      <c r="F612" s="347"/>
      <c r="G612" s="347"/>
      <c r="H612" s="347"/>
      <c r="I612" s="347"/>
      <c r="J612" s="347"/>
      <c r="K612" s="347"/>
      <c r="L612" s="347"/>
      <c r="M612" s="347"/>
      <c r="N612" s="347"/>
      <c r="O612" s="347"/>
      <c r="P612" s="347"/>
      <c r="Q612" s="347"/>
      <c r="R612" s="347"/>
      <c r="S612" s="347"/>
      <c r="T612" s="347"/>
      <c r="U612" s="347"/>
      <c r="V612" s="347"/>
      <c r="W612" s="347"/>
    </row>
    <row r="613">
      <c r="A613" s="347"/>
      <c r="B613" s="347"/>
      <c r="C613" s="347"/>
      <c r="D613" s="347"/>
      <c r="E613" s="347"/>
      <c r="F613" s="347"/>
      <c r="G613" s="347"/>
      <c r="H613" s="347"/>
      <c r="I613" s="347"/>
      <c r="J613" s="347"/>
      <c r="K613" s="347"/>
      <c r="L613" s="347"/>
      <c r="M613" s="347"/>
      <c r="N613" s="347"/>
      <c r="O613" s="347"/>
      <c r="P613" s="347"/>
      <c r="Q613" s="347"/>
      <c r="R613" s="347"/>
      <c r="S613" s="347"/>
      <c r="T613" s="347"/>
      <c r="U613" s="347"/>
      <c r="V613" s="347"/>
      <c r="W613" s="347"/>
    </row>
    <row r="614">
      <c r="A614" s="347"/>
      <c r="B614" s="347"/>
      <c r="C614" s="347"/>
      <c r="D614" s="347"/>
      <c r="E614" s="347"/>
      <c r="F614" s="347"/>
      <c r="G614" s="347"/>
      <c r="H614" s="347"/>
      <c r="I614" s="347"/>
      <c r="J614" s="347"/>
      <c r="K614" s="347"/>
      <c r="L614" s="347"/>
      <c r="M614" s="347"/>
      <c r="N614" s="347"/>
      <c r="O614" s="347"/>
      <c r="P614" s="347"/>
      <c r="Q614" s="347"/>
      <c r="R614" s="347"/>
      <c r="S614" s="347"/>
      <c r="T614" s="347"/>
      <c r="U614" s="347"/>
      <c r="V614" s="347"/>
      <c r="W614" s="347"/>
    </row>
    <row r="615">
      <c r="A615" s="347"/>
      <c r="B615" s="347"/>
      <c r="C615" s="347"/>
      <c r="D615" s="347"/>
      <c r="E615" s="347"/>
      <c r="F615" s="347"/>
      <c r="G615" s="347"/>
      <c r="H615" s="347"/>
      <c r="I615" s="347"/>
      <c r="J615" s="347"/>
      <c r="K615" s="347"/>
      <c r="L615" s="347"/>
      <c r="M615" s="347"/>
      <c r="N615" s="347"/>
      <c r="O615" s="347"/>
      <c r="P615" s="347"/>
      <c r="Q615" s="347"/>
      <c r="R615" s="347"/>
      <c r="S615" s="347"/>
      <c r="T615" s="347"/>
      <c r="U615" s="347"/>
      <c r="V615" s="347"/>
      <c r="W615" s="347"/>
    </row>
    <row r="616">
      <c r="A616" s="347"/>
      <c r="B616" s="347"/>
      <c r="C616" s="347"/>
      <c r="D616" s="347"/>
      <c r="E616" s="347"/>
      <c r="F616" s="347"/>
      <c r="G616" s="347"/>
      <c r="H616" s="347"/>
      <c r="I616" s="347"/>
      <c r="J616" s="347"/>
      <c r="K616" s="347"/>
      <c r="L616" s="347"/>
      <c r="M616" s="347"/>
      <c r="N616" s="347"/>
      <c r="O616" s="347"/>
      <c r="P616" s="347"/>
      <c r="Q616" s="347"/>
      <c r="R616" s="347"/>
      <c r="S616" s="347"/>
      <c r="T616" s="347"/>
      <c r="U616" s="347"/>
      <c r="V616" s="347"/>
      <c r="W616" s="347"/>
    </row>
    <row r="617">
      <c r="A617" s="347"/>
      <c r="B617" s="347"/>
      <c r="C617" s="347"/>
      <c r="D617" s="347"/>
      <c r="E617" s="347"/>
      <c r="F617" s="347"/>
      <c r="G617" s="347"/>
      <c r="H617" s="347"/>
      <c r="I617" s="347"/>
      <c r="J617" s="347"/>
      <c r="K617" s="347"/>
      <c r="L617" s="347"/>
      <c r="M617" s="347"/>
      <c r="N617" s="347"/>
      <c r="O617" s="347"/>
      <c r="P617" s="347"/>
      <c r="Q617" s="347"/>
      <c r="R617" s="347"/>
      <c r="S617" s="347"/>
      <c r="T617" s="347"/>
      <c r="U617" s="347"/>
      <c r="V617" s="347"/>
      <c r="W617" s="347"/>
    </row>
    <row r="618">
      <c r="A618" s="347"/>
      <c r="B618" s="347"/>
      <c r="C618" s="347"/>
      <c r="D618" s="347"/>
      <c r="E618" s="347"/>
      <c r="F618" s="347"/>
      <c r="G618" s="347"/>
      <c r="H618" s="347"/>
      <c r="I618" s="347"/>
      <c r="J618" s="347"/>
      <c r="K618" s="347"/>
      <c r="L618" s="347"/>
      <c r="M618" s="347"/>
      <c r="N618" s="347"/>
      <c r="O618" s="347"/>
      <c r="P618" s="347"/>
      <c r="Q618" s="347"/>
      <c r="R618" s="347"/>
      <c r="S618" s="347"/>
      <c r="T618" s="347"/>
      <c r="U618" s="347"/>
      <c r="V618" s="347"/>
      <c r="W618" s="347"/>
    </row>
    <row r="619">
      <c r="A619" s="347"/>
      <c r="B619" s="347"/>
      <c r="C619" s="347"/>
      <c r="D619" s="347"/>
      <c r="E619" s="347"/>
      <c r="F619" s="347"/>
      <c r="G619" s="347"/>
      <c r="H619" s="347"/>
      <c r="I619" s="347"/>
      <c r="J619" s="347"/>
      <c r="K619" s="347"/>
      <c r="L619" s="347"/>
      <c r="M619" s="347"/>
      <c r="N619" s="347"/>
      <c r="O619" s="347"/>
      <c r="P619" s="347"/>
      <c r="Q619" s="347"/>
      <c r="R619" s="347"/>
      <c r="S619" s="347"/>
      <c r="T619" s="347"/>
      <c r="U619" s="347"/>
      <c r="V619" s="347"/>
      <c r="W619" s="347"/>
    </row>
    <row r="620">
      <c r="A620" s="347"/>
      <c r="B620" s="347"/>
      <c r="C620" s="347"/>
      <c r="D620" s="347"/>
      <c r="E620" s="347"/>
      <c r="F620" s="347"/>
      <c r="G620" s="347"/>
      <c r="H620" s="347"/>
      <c r="I620" s="347"/>
      <c r="J620" s="347"/>
      <c r="K620" s="347"/>
      <c r="L620" s="347"/>
      <c r="M620" s="347"/>
      <c r="N620" s="347"/>
      <c r="O620" s="347"/>
      <c r="P620" s="347"/>
      <c r="Q620" s="347"/>
      <c r="R620" s="347"/>
      <c r="S620" s="347"/>
      <c r="T620" s="347"/>
      <c r="U620" s="347"/>
      <c r="V620" s="347"/>
      <c r="W620" s="347"/>
    </row>
    <row r="621">
      <c r="A621" s="347"/>
      <c r="B621" s="347"/>
      <c r="C621" s="347"/>
      <c r="D621" s="347"/>
      <c r="E621" s="347"/>
      <c r="F621" s="347"/>
      <c r="G621" s="347"/>
      <c r="H621" s="347"/>
      <c r="I621" s="347"/>
      <c r="J621" s="347"/>
      <c r="K621" s="347"/>
      <c r="L621" s="347"/>
      <c r="M621" s="347"/>
      <c r="N621" s="347"/>
      <c r="O621" s="347"/>
      <c r="P621" s="347"/>
      <c r="Q621" s="347"/>
      <c r="R621" s="347"/>
      <c r="S621" s="347"/>
      <c r="T621" s="347"/>
      <c r="U621" s="347"/>
      <c r="V621" s="347"/>
      <c r="W621" s="347"/>
    </row>
    <row r="622">
      <c r="A622" s="347"/>
      <c r="B622" s="347"/>
      <c r="C622" s="347"/>
      <c r="D622" s="347"/>
      <c r="E622" s="347"/>
      <c r="F622" s="347"/>
      <c r="G622" s="347"/>
      <c r="H622" s="347"/>
      <c r="I622" s="347"/>
      <c r="J622" s="347"/>
      <c r="K622" s="347"/>
      <c r="L622" s="347"/>
      <c r="M622" s="347"/>
      <c r="N622" s="347"/>
      <c r="O622" s="347"/>
      <c r="P622" s="347"/>
      <c r="Q622" s="347"/>
      <c r="R622" s="347"/>
      <c r="S622" s="347"/>
      <c r="T622" s="347"/>
      <c r="U622" s="347"/>
      <c r="V622" s="347"/>
      <c r="W622" s="347"/>
    </row>
    <row r="623">
      <c r="A623" s="347"/>
      <c r="B623" s="347"/>
      <c r="C623" s="347"/>
      <c r="D623" s="347"/>
      <c r="E623" s="347"/>
      <c r="F623" s="347"/>
      <c r="G623" s="347"/>
      <c r="H623" s="347"/>
      <c r="I623" s="347"/>
      <c r="J623" s="347"/>
      <c r="K623" s="347"/>
      <c r="L623" s="347"/>
      <c r="M623" s="347"/>
      <c r="N623" s="347"/>
      <c r="O623" s="347"/>
      <c r="P623" s="347"/>
      <c r="Q623" s="347"/>
      <c r="R623" s="347"/>
      <c r="S623" s="347"/>
      <c r="T623" s="347"/>
      <c r="U623" s="347"/>
      <c r="V623" s="347"/>
      <c r="W623" s="347"/>
    </row>
    <row r="624">
      <c r="A624" s="347"/>
      <c r="B624" s="347"/>
      <c r="C624" s="347"/>
      <c r="D624" s="347"/>
      <c r="E624" s="347"/>
      <c r="F624" s="347"/>
      <c r="G624" s="347"/>
      <c r="H624" s="347"/>
      <c r="I624" s="347"/>
      <c r="J624" s="347"/>
      <c r="K624" s="347"/>
      <c r="L624" s="347"/>
      <c r="M624" s="347"/>
      <c r="N624" s="347"/>
      <c r="O624" s="347"/>
      <c r="P624" s="347"/>
      <c r="Q624" s="347"/>
      <c r="R624" s="347"/>
      <c r="S624" s="347"/>
      <c r="T624" s="347"/>
      <c r="U624" s="347"/>
      <c r="V624" s="347"/>
      <c r="W624" s="347"/>
    </row>
    <row r="625">
      <c r="A625" s="347"/>
      <c r="B625" s="347"/>
      <c r="C625" s="347"/>
      <c r="D625" s="347"/>
      <c r="E625" s="347"/>
      <c r="F625" s="347"/>
      <c r="G625" s="347"/>
      <c r="H625" s="347"/>
      <c r="I625" s="347"/>
      <c r="J625" s="347"/>
      <c r="K625" s="347"/>
      <c r="L625" s="347"/>
      <c r="M625" s="347"/>
      <c r="N625" s="347"/>
      <c r="O625" s="347"/>
      <c r="P625" s="347"/>
      <c r="Q625" s="347"/>
      <c r="R625" s="347"/>
      <c r="S625" s="347"/>
      <c r="T625" s="347"/>
      <c r="U625" s="347"/>
      <c r="V625" s="347"/>
      <c r="W625" s="347"/>
    </row>
    <row r="626">
      <c r="A626" s="347"/>
      <c r="B626" s="347"/>
      <c r="C626" s="347"/>
      <c r="D626" s="347"/>
      <c r="E626" s="347"/>
      <c r="F626" s="347"/>
      <c r="G626" s="347"/>
      <c r="H626" s="347"/>
      <c r="I626" s="347"/>
      <c r="J626" s="347"/>
      <c r="K626" s="347"/>
      <c r="L626" s="347"/>
      <c r="M626" s="347"/>
      <c r="N626" s="347"/>
      <c r="O626" s="347"/>
      <c r="P626" s="347"/>
      <c r="Q626" s="347"/>
      <c r="R626" s="347"/>
      <c r="S626" s="347"/>
      <c r="T626" s="347"/>
      <c r="U626" s="347"/>
      <c r="V626" s="347"/>
      <c r="W626" s="347"/>
    </row>
    <row r="627">
      <c r="A627" s="347"/>
      <c r="B627" s="347"/>
      <c r="C627" s="347"/>
      <c r="D627" s="347"/>
      <c r="E627" s="347"/>
      <c r="F627" s="347"/>
      <c r="G627" s="347"/>
      <c r="H627" s="347"/>
      <c r="I627" s="347"/>
      <c r="J627" s="347"/>
      <c r="K627" s="347"/>
      <c r="L627" s="347"/>
      <c r="M627" s="347"/>
      <c r="N627" s="347"/>
      <c r="O627" s="347"/>
      <c r="P627" s="347"/>
      <c r="Q627" s="347"/>
      <c r="R627" s="347"/>
      <c r="S627" s="347"/>
      <c r="T627" s="347"/>
      <c r="U627" s="347"/>
      <c r="V627" s="347"/>
      <c r="W627" s="347"/>
    </row>
    <row r="628">
      <c r="A628" s="347"/>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row>
    <row r="629">
      <c r="A629" s="347"/>
      <c r="B629" s="347"/>
      <c r="C629" s="347"/>
      <c r="D629" s="347"/>
      <c r="E629" s="347"/>
      <c r="F629" s="347"/>
      <c r="G629" s="347"/>
      <c r="H629" s="347"/>
      <c r="I629" s="347"/>
      <c r="J629" s="347"/>
      <c r="K629" s="347"/>
      <c r="L629" s="347"/>
      <c r="M629" s="347"/>
      <c r="N629" s="347"/>
      <c r="O629" s="347"/>
      <c r="P629" s="347"/>
      <c r="Q629" s="347"/>
      <c r="R629" s="347"/>
      <c r="S629" s="347"/>
      <c r="T629" s="347"/>
      <c r="U629" s="347"/>
      <c r="V629" s="347"/>
      <c r="W629" s="347"/>
    </row>
    <row r="630">
      <c r="A630" s="347"/>
      <c r="B630" s="347"/>
      <c r="C630" s="347"/>
      <c r="D630" s="347"/>
      <c r="E630" s="347"/>
      <c r="F630" s="347"/>
      <c r="G630" s="347"/>
      <c r="H630" s="347"/>
      <c r="I630" s="347"/>
      <c r="J630" s="347"/>
      <c r="K630" s="347"/>
      <c r="L630" s="347"/>
      <c r="M630" s="347"/>
      <c r="N630" s="347"/>
      <c r="O630" s="347"/>
      <c r="P630" s="347"/>
      <c r="Q630" s="347"/>
      <c r="R630" s="347"/>
      <c r="S630" s="347"/>
      <c r="T630" s="347"/>
      <c r="U630" s="347"/>
      <c r="V630" s="347"/>
      <c r="W630" s="347"/>
    </row>
    <row r="631">
      <c r="A631" s="347"/>
      <c r="B631" s="347"/>
      <c r="C631" s="347"/>
      <c r="D631" s="347"/>
      <c r="E631" s="347"/>
      <c r="F631" s="347"/>
      <c r="G631" s="347"/>
      <c r="H631" s="347"/>
      <c r="I631" s="347"/>
      <c r="J631" s="347"/>
      <c r="K631" s="347"/>
      <c r="L631" s="347"/>
      <c r="M631" s="347"/>
      <c r="N631" s="347"/>
      <c r="O631" s="347"/>
      <c r="P631" s="347"/>
      <c r="Q631" s="347"/>
      <c r="R631" s="347"/>
      <c r="S631" s="347"/>
      <c r="T631" s="347"/>
      <c r="U631" s="347"/>
      <c r="V631" s="347"/>
      <c r="W631" s="347"/>
    </row>
    <row r="632">
      <c r="A632" s="347"/>
      <c r="B632" s="347"/>
      <c r="C632" s="347"/>
      <c r="D632" s="347"/>
      <c r="E632" s="347"/>
      <c r="F632" s="347"/>
      <c r="G632" s="347"/>
      <c r="H632" s="347"/>
      <c r="I632" s="347"/>
      <c r="J632" s="347"/>
      <c r="K632" s="347"/>
      <c r="L632" s="347"/>
      <c r="M632" s="347"/>
      <c r="N632" s="347"/>
      <c r="O632" s="347"/>
      <c r="P632" s="347"/>
      <c r="Q632" s="347"/>
      <c r="R632" s="347"/>
      <c r="S632" s="347"/>
      <c r="T632" s="347"/>
      <c r="U632" s="347"/>
      <c r="V632" s="347"/>
      <c r="W632" s="347"/>
    </row>
    <row r="633">
      <c r="A633" s="347"/>
      <c r="B633" s="347"/>
      <c r="C633" s="347"/>
      <c r="D633" s="347"/>
      <c r="E633" s="347"/>
      <c r="F633" s="347"/>
      <c r="G633" s="347"/>
      <c r="H633" s="347"/>
      <c r="I633" s="347"/>
      <c r="J633" s="347"/>
      <c r="K633" s="347"/>
      <c r="L633" s="347"/>
      <c r="M633" s="347"/>
      <c r="N633" s="347"/>
      <c r="O633" s="347"/>
      <c r="P633" s="347"/>
      <c r="Q633" s="347"/>
      <c r="R633" s="347"/>
      <c r="S633" s="347"/>
      <c r="T633" s="347"/>
      <c r="U633" s="347"/>
      <c r="V633" s="347"/>
      <c r="W633" s="347"/>
    </row>
    <row r="634">
      <c r="A634" s="347"/>
      <c r="B634" s="347"/>
      <c r="C634" s="347"/>
      <c r="D634" s="347"/>
      <c r="E634" s="347"/>
      <c r="F634" s="347"/>
      <c r="G634" s="347"/>
      <c r="H634" s="347"/>
      <c r="I634" s="347"/>
      <c r="J634" s="347"/>
      <c r="K634" s="347"/>
      <c r="L634" s="347"/>
      <c r="M634" s="347"/>
      <c r="N634" s="347"/>
      <c r="O634" s="347"/>
      <c r="P634" s="347"/>
      <c r="Q634" s="347"/>
      <c r="R634" s="347"/>
      <c r="S634" s="347"/>
      <c r="T634" s="347"/>
      <c r="U634" s="347"/>
      <c r="V634" s="347"/>
      <c r="W634" s="347"/>
    </row>
    <row r="635">
      <c r="A635" s="347"/>
      <c r="B635" s="347"/>
      <c r="C635" s="347"/>
      <c r="D635" s="347"/>
      <c r="E635" s="347"/>
      <c r="F635" s="347"/>
      <c r="G635" s="347"/>
      <c r="H635" s="347"/>
      <c r="I635" s="347"/>
      <c r="J635" s="347"/>
      <c r="K635" s="347"/>
      <c r="L635" s="347"/>
      <c r="M635" s="347"/>
      <c r="N635" s="347"/>
      <c r="O635" s="347"/>
      <c r="P635" s="347"/>
      <c r="Q635" s="347"/>
      <c r="R635" s="347"/>
      <c r="S635" s="347"/>
      <c r="T635" s="347"/>
      <c r="U635" s="347"/>
      <c r="V635" s="347"/>
      <c r="W635" s="347"/>
    </row>
    <row r="636">
      <c r="A636" s="347"/>
      <c r="B636" s="347"/>
      <c r="C636" s="347"/>
      <c r="D636" s="347"/>
      <c r="E636" s="347"/>
      <c r="F636" s="347"/>
      <c r="G636" s="347"/>
      <c r="H636" s="347"/>
      <c r="I636" s="347"/>
      <c r="J636" s="347"/>
      <c r="K636" s="347"/>
      <c r="L636" s="347"/>
      <c r="M636" s="347"/>
      <c r="N636" s="347"/>
      <c r="O636" s="347"/>
      <c r="P636" s="347"/>
      <c r="Q636" s="347"/>
      <c r="R636" s="347"/>
      <c r="S636" s="347"/>
      <c r="T636" s="347"/>
      <c r="U636" s="347"/>
      <c r="V636" s="347"/>
      <c r="W636" s="347"/>
    </row>
    <row r="637">
      <c r="A637" s="347"/>
      <c r="B637" s="347"/>
      <c r="C637" s="347"/>
      <c r="D637" s="347"/>
      <c r="E637" s="347"/>
      <c r="F637" s="347"/>
      <c r="G637" s="347"/>
      <c r="H637" s="347"/>
      <c r="I637" s="347"/>
      <c r="J637" s="347"/>
      <c r="K637" s="347"/>
      <c r="L637" s="347"/>
      <c r="M637" s="347"/>
      <c r="N637" s="347"/>
      <c r="O637" s="347"/>
      <c r="P637" s="347"/>
      <c r="Q637" s="347"/>
      <c r="R637" s="347"/>
      <c r="S637" s="347"/>
      <c r="T637" s="347"/>
      <c r="U637" s="347"/>
      <c r="V637" s="347"/>
      <c r="W637" s="347"/>
    </row>
    <row r="638">
      <c r="A638" s="347"/>
      <c r="B638" s="347"/>
      <c r="C638" s="347"/>
      <c r="D638" s="347"/>
      <c r="E638" s="347"/>
      <c r="F638" s="347"/>
      <c r="G638" s="347"/>
      <c r="H638" s="347"/>
      <c r="I638" s="347"/>
      <c r="J638" s="347"/>
      <c r="K638" s="347"/>
      <c r="L638" s="347"/>
      <c r="M638" s="347"/>
      <c r="N638" s="347"/>
      <c r="O638" s="347"/>
      <c r="P638" s="347"/>
      <c r="Q638" s="347"/>
      <c r="R638" s="347"/>
      <c r="S638" s="347"/>
      <c r="T638" s="347"/>
      <c r="U638" s="347"/>
      <c r="V638" s="347"/>
      <c r="W638" s="347"/>
    </row>
    <row r="639">
      <c r="A639" s="347"/>
      <c r="B639" s="347"/>
      <c r="C639" s="347"/>
      <c r="D639" s="347"/>
      <c r="E639" s="347"/>
      <c r="F639" s="347"/>
      <c r="G639" s="347"/>
      <c r="H639" s="347"/>
      <c r="I639" s="347"/>
      <c r="J639" s="347"/>
      <c r="K639" s="347"/>
      <c r="L639" s="347"/>
      <c r="M639" s="347"/>
      <c r="N639" s="347"/>
      <c r="O639" s="347"/>
      <c r="P639" s="347"/>
      <c r="Q639" s="347"/>
      <c r="R639" s="347"/>
      <c r="S639" s="347"/>
      <c r="T639" s="347"/>
      <c r="U639" s="347"/>
      <c r="V639" s="347"/>
      <c r="W639" s="347"/>
    </row>
    <row r="640">
      <c r="A640" s="347"/>
      <c r="B640" s="347"/>
      <c r="C640" s="347"/>
      <c r="D640" s="347"/>
      <c r="E640" s="347"/>
      <c r="F640" s="347"/>
      <c r="G640" s="347"/>
      <c r="H640" s="347"/>
      <c r="I640" s="347"/>
      <c r="J640" s="347"/>
      <c r="K640" s="347"/>
      <c r="L640" s="347"/>
      <c r="M640" s="347"/>
      <c r="N640" s="347"/>
      <c r="O640" s="347"/>
      <c r="P640" s="347"/>
      <c r="Q640" s="347"/>
      <c r="R640" s="347"/>
      <c r="S640" s="347"/>
      <c r="T640" s="347"/>
      <c r="U640" s="347"/>
      <c r="V640" s="347"/>
      <c r="W640" s="347"/>
    </row>
    <row r="641">
      <c r="A641" s="347"/>
      <c r="B641" s="347"/>
      <c r="C641" s="347"/>
      <c r="D641" s="347"/>
      <c r="E641" s="347"/>
      <c r="F641" s="347"/>
      <c r="G641" s="347"/>
      <c r="H641" s="347"/>
      <c r="I641" s="347"/>
      <c r="J641" s="347"/>
      <c r="K641" s="347"/>
      <c r="L641" s="347"/>
      <c r="M641" s="347"/>
      <c r="N641" s="347"/>
      <c r="O641" s="347"/>
      <c r="P641" s="347"/>
      <c r="Q641" s="347"/>
      <c r="R641" s="347"/>
      <c r="S641" s="347"/>
      <c r="T641" s="347"/>
      <c r="U641" s="347"/>
      <c r="V641" s="347"/>
      <c r="W641" s="347"/>
    </row>
    <row r="642">
      <c r="A642" s="347"/>
      <c r="B642" s="347"/>
      <c r="C642" s="347"/>
      <c r="D642" s="347"/>
      <c r="E642" s="347"/>
      <c r="F642" s="347"/>
      <c r="G642" s="347"/>
      <c r="H642" s="347"/>
      <c r="I642" s="347"/>
      <c r="J642" s="347"/>
      <c r="K642" s="347"/>
      <c r="L642" s="347"/>
      <c r="M642" s="347"/>
      <c r="N642" s="347"/>
      <c r="O642" s="347"/>
      <c r="P642" s="347"/>
      <c r="Q642" s="347"/>
      <c r="R642" s="347"/>
      <c r="S642" s="347"/>
      <c r="T642" s="347"/>
      <c r="U642" s="347"/>
      <c r="V642" s="347"/>
      <c r="W642" s="347"/>
    </row>
    <row r="643">
      <c r="A643" s="347"/>
      <c r="B643" s="347"/>
      <c r="C643" s="347"/>
      <c r="D643" s="347"/>
      <c r="E643" s="347"/>
      <c r="F643" s="347"/>
      <c r="G643" s="347"/>
      <c r="H643" s="347"/>
      <c r="I643" s="347"/>
      <c r="J643" s="347"/>
      <c r="K643" s="347"/>
      <c r="L643" s="347"/>
      <c r="M643" s="347"/>
      <c r="N643" s="347"/>
      <c r="O643" s="347"/>
      <c r="P643" s="347"/>
      <c r="Q643" s="347"/>
      <c r="R643" s="347"/>
      <c r="S643" s="347"/>
      <c r="T643" s="347"/>
      <c r="U643" s="347"/>
      <c r="V643" s="347"/>
      <c r="W643" s="347"/>
    </row>
    <row r="644">
      <c r="A644" s="347"/>
      <c r="B644" s="347"/>
      <c r="C644" s="347"/>
      <c r="D644" s="347"/>
      <c r="E644" s="347"/>
      <c r="F644" s="347"/>
      <c r="G644" s="347"/>
      <c r="H644" s="347"/>
      <c r="I644" s="347"/>
      <c r="J644" s="347"/>
      <c r="K644" s="347"/>
      <c r="L644" s="347"/>
      <c r="M644" s="347"/>
      <c r="N644" s="347"/>
      <c r="O644" s="347"/>
      <c r="P644" s="347"/>
      <c r="Q644" s="347"/>
      <c r="R644" s="347"/>
      <c r="S644" s="347"/>
      <c r="T644" s="347"/>
      <c r="U644" s="347"/>
      <c r="V644" s="347"/>
      <c r="W644" s="347"/>
    </row>
    <row r="645">
      <c r="A645" s="347"/>
      <c r="B645" s="347"/>
      <c r="C645" s="347"/>
      <c r="D645" s="347"/>
      <c r="E645" s="347"/>
      <c r="F645" s="347"/>
      <c r="G645" s="347"/>
      <c r="H645" s="347"/>
      <c r="I645" s="347"/>
      <c r="J645" s="347"/>
      <c r="K645" s="347"/>
      <c r="L645" s="347"/>
      <c r="M645" s="347"/>
      <c r="N645" s="347"/>
      <c r="O645" s="347"/>
      <c r="P645" s="347"/>
      <c r="Q645" s="347"/>
      <c r="R645" s="347"/>
      <c r="S645" s="347"/>
      <c r="T645" s="347"/>
      <c r="U645" s="347"/>
      <c r="V645" s="347"/>
      <c r="W645" s="347"/>
    </row>
    <row r="646">
      <c r="A646" s="347"/>
      <c r="B646" s="347"/>
      <c r="C646" s="347"/>
      <c r="D646" s="347"/>
      <c r="E646" s="347"/>
      <c r="F646" s="347"/>
      <c r="G646" s="347"/>
      <c r="H646" s="347"/>
      <c r="I646" s="347"/>
      <c r="J646" s="347"/>
      <c r="K646" s="347"/>
      <c r="L646" s="347"/>
      <c r="M646" s="347"/>
      <c r="N646" s="347"/>
      <c r="O646" s="347"/>
      <c r="P646" s="347"/>
      <c r="Q646" s="347"/>
      <c r="R646" s="347"/>
      <c r="S646" s="347"/>
      <c r="T646" s="347"/>
      <c r="U646" s="347"/>
      <c r="V646" s="347"/>
      <c r="W646" s="347"/>
    </row>
    <row r="647">
      <c r="A647" s="347"/>
      <c r="B647" s="347"/>
      <c r="C647" s="347"/>
      <c r="D647" s="347"/>
      <c r="E647" s="347"/>
      <c r="F647" s="347"/>
      <c r="G647" s="347"/>
      <c r="H647" s="347"/>
      <c r="I647" s="347"/>
      <c r="J647" s="347"/>
      <c r="K647" s="347"/>
      <c r="L647" s="347"/>
      <c r="M647" s="347"/>
      <c r="N647" s="347"/>
      <c r="O647" s="347"/>
      <c r="P647" s="347"/>
      <c r="Q647" s="347"/>
      <c r="R647" s="347"/>
      <c r="S647" s="347"/>
      <c r="T647" s="347"/>
      <c r="U647" s="347"/>
      <c r="V647" s="347"/>
      <c r="W647" s="347"/>
    </row>
    <row r="648">
      <c r="A648" s="347"/>
      <c r="B648" s="347"/>
      <c r="C648" s="347"/>
      <c r="D648" s="347"/>
      <c r="E648" s="347"/>
      <c r="F648" s="347"/>
      <c r="G648" s="347"/>
      <c r="H648" s="347"/>
      <c r="I648" s="347"/>
      <c r="J648" s="347"/>
      <c r="K648" s="347"/>
      <c r="L648" s="347"/>
      <c r="M648" s="347"/>
      <c r="N648" s="347"/>
      <c r="O648" s="347"/>
      <c r="P648" s="347"/>
      <c r="Q648" s="347"/>
      <c r="R648" s="347"/>
      <c r="S648" s="347"/>
      <c r="T648" s="347"/>
      <c r="U648" s="347"/>
      <c r="V648" s="347"/>
      <c r="W648" s="347"/>
    </row>
    <row r="649">
      <c r="A649" s="347"/>
      <c r="B649" s="347"/>
      <c r="C649" s="347"/>
      <c r="D649" s="347"/>
      <c r="E649" s="347"/>
      <c r="F649" s="347"/>
      <c r="G649" s="347"/>
      <c r="H649" s="347"/>
      <c r="I649" s="347"/>
      <c r="J649" s="347"/>
      <c r="K649" s="347"/>
      <c r="L649" s="347"/>
      <c r="M649" s="347"/>
      <c r="N649" s="347"/>
      <c r="O649" s="347"/>
      <c r="P649" s="347"/>
      <c r="Q649" s="347"/>
      <c r="R649" s="347"/>
      <c r="S649" s="347"/>
      <c r="T649" s="347"/>
      <c r="U649" s="347"/>
      <c r="V649" s="347"/>
      <c r="W649" s="347"/>
    </row>
    <row r="650">
      <c r="A650" s="347"/>
      <c r="B650" s="347"/>
      <c r="C650" s="347"/>
      <c r="D650" s="347"/>
      <c r="E650" s="347"/>
      <c r="F650" s="347"/>
      <c r="G650" s="347"/>
      <c r="H650" s="347"/>
      <c r="I650" s="347"/>
      <c r="J650" s="347"/>
      <c r="K650" s="347"/>
      <c r="L650" s="347"/>
      <c r="M650" s="347"/>
      <c r="N650" s="347"/>
      <c r="O650" s="347"/>
      <c r="P650" s="347"/>
      <c r="Q650" s="347"/>
      <c r="R650" s="347"/>
      <c r="S650" s="347"/>
      <c r="T650" s="347"/>
      <c r="U650" s="347"/>
      <c r="V650" s="347"/>
      <c r="W650" s="347"/>
    </row>
    <row r="651">
      <c r="A651" s="347"/>
      <c r="B651" s="347"/>
      <c r="C651" s="347"/>
      <c r="D651" s="347"/>
      <c r="E651" s="347"/>
      <c r="F651" s="347"/>
      <c r="G651" s="347"/>
      <c r="H651" s="347"/>
      <c r="I651" s="347"/>
      <c r="J651" s="347"/>
      <c r="K651" s="347"/>
      <c r="L651" s="347"/>
      <c r="M651" s="347"/>
      <c r="N651" s="347"/>
      <c r="O651" s="347"/>
      <c r="P651" s="347"/>
      <c r="Q651" s="347"/>
      <c r="R651" s="347"/>
      <c r="S651" s="347"/>
      <c r="T651" s="347"/>
      <c r="U651" s="347"/>
      <c r="V651" s="347"/>
      <c r="W651" s="347"/>
    </row>
    <row r="652">
      <c r="A652" s="347"/>
      <c r="B652" s="347"/>
      <c r="C652" s="347"/>
      <c r="D652" s="347"/>
      <c r="E652" s="347"/>
      <c r="F652" s="347"/>
      <c r="G652" s="347"/>
      <c r="H652" s="347"/>
      <c r="I652" s="347"/>
      <c r="J652" s="347"/>
      <c r="K652" s="347"/>
      <c r="L652" s="347"/>
      <c r="M652" s="347"/>
      <c r="N652" s="347"/>
      <c r="O652" s="347"/>
      <c r="P652" s="347"/>
      <c r="Q652" s="347"/>
      <c r="R652" s="347"/>
      <c r="S652" s="347"/>
      <c r="T652" s="347"/>
      <c r="U652" s="347"/>
      <c r="V652" s="347"/>
      <c r="W652" s="347"/>
    </row>
    <row r="653">
      <c r="A653" s="347"/>
      <c r="B653" s="347"/>
      <c r="C653" s="347"/>
      <c r="D653" s="347"/>
      <c r="E653" s="347"/>
      <c r="F653" s="347"/>
      <c r="G653" s="347"/>
      <c r="H653" s="347"/>
      <c r="I653" s="347"/>
      <c r="J653" s="347"/>
      <c r="K653" s="347"/>
      <c r="L653" s="347"/>
      <c r="M653" s="347"/>
      <c r="N653" s="347"/>
      <c r="O653" s="347"/>
      <c r="P653" s="347"/>
      <c r="Q653" s="347"/>
      <c r="R653" s="347"/>
      <c r="S653" s="347"/>
      <c r="T653" s="347"/>
      <c r="U653" s="347"/>
      <c r="V653" s="347"/>
      <c r="W653" s="347"/>
    </row>
    <row r="654">
      <c r="A654" s="347"/>
      <c r="B654" s="347"/>
      <c r="C654" s="347"/>
      <c r="D654" s="347"/>
      <c r="E654" s="347"/>
      <c r="F654" s="347"/>
      <c r="G654" s="347"/>
      <c r="H654" s="347"/>
      <c r="I654" s="347"/>
      <c r="J654" s="347"/>
      <c r="K654" s="347"/>
      <c r="L654" s="347"/>
      <c r="M654" s="347"/>
      <c r="N654" s="347"/>
      <c r="O654" s="347"/>
      <c r="P654" s="347"/>
      <c r="Q654" s="347"/>
      <c r="R654" s="347"/>
      <c r="S654" s="347"/>
      <c r="T654" s="347"/>
      <c r="U654" s="347"/>
      <c r="V654" s="347"/>
      <c r="W654" s="347"/>
    </row>
    <row r="655">
      <c r="A655" s="347"/>
      <c r="B655" s="347"/>
      <c r="C655" s="347"/>
      <c r="D655" s="347"/>
      <c r="E655" s="347"/>
      <c r="F655" s="347"/>
      <c r="G655" s="347"/>
      <c r="H655" s="347"/>
      <c r="I655" s="347"/>
      <c r="J655" s="347"/>
      <c r="K655" s="347"/>
      <c r="L655" s="347"/>
      <c r="M655" s="347"/>
      <c r="N655" s="347"/>
      <c r="O655" s="347"/>
      <c r="P655" s="347"/>
      <c r="Q655" s="347"/>
      <c r="R655" s="347"/>
      <c r="S655" s="347"/>
      <c r="T655" s="347"/>
      <c r="U655" s="347"/>
      <c r="V655" s="347"/>
      <c r="W655" s="347"/>
    </row>
    <row r="656">
      <c r="A656" s="347"/>
      <c r="B656" s="347"/>
      <c r="C656" s="347"/>
      <c r="D656" s="347"/>
      <c r="E656" s="347"/>
      <c r="F656" s="347"/>
      <c r="G656" s="347"/>
      <c r="H656" s="347"/>
      <c r="I656" s="347"/>
      <c r="J656" s="347"/>
      <c r="K656" s="347"/>
      <c r="L656" s="347"/>
      <c r="M656" s="347"/>
      <c r="N656" s="347"/>
      <c r="O656" s="347"/>
      <c r="P656" s="347"/>
      <c r="Q656" s="347"/>
      <c r="R656" s="347"/>
      <c r="S656" s="347"/>
      <c r="T656" s="347"/>
      <c r="U656" s="347"/>
      <c r="V656" s="347"/>
      <c r="W656" s="347"/>
    </row>
    <row r="657">
      <c r="A657" s="347"/>
      <c r="B657" s="347"/>
      <c r="C657" s="347"/>
      <c r="D657" s="347"/>
      <c r="E657" s="347"/>
      <c r="F657" s="347"/>
      <c r="G657" s="347"/>
      <c r="H657" s="347"/>
      <c r="I657" s="347"/>
      <c r="J657" s="347"/>
      <c r="K657" s="347"/>
      <c r="L657" s="347"/>
      <c r="M657" s="347"/>
      <c r="N657" s="347"/>
      <c r="O657" s="347"/>
      <c r="P657" s="347"/>
      <c r="Q657" s="347"/>
      <c r="R657" s="347"/>
      <c r="S657" s="347"/>
      <c r="T657" s="347"/>
      <c r="U657" s="347"/>
      <c r="V657" s="347"/>
      <c r="W657" s="347"/>
    </row>
    <row r="658">
      <c r="A658" s="347"/>
      <c r="B658" s="347"/>
      <c r="C658" s="347"/>
      <c r="D658" s="347"/>
      <c r="E658" s="347"/>
      <c r="F658" s="347"/>
      <c r="G658" s="347"/>
      <c r="H658" s="347"/>
      <c r="I658" s="347"/>
      <c r="J658" s="347"/>
      <c r="K658" s="347"/>
      <c r="L658" s="347"/>
      <c r="M658" s="347"/>
      <c r="N658" s="347"/>
      <c r="O658" s="347"/>
      <c r="P658" s="347"/>
      <c r="Q658" s="347"/>
      <c r="R658" s="347"/>
      <c r="S658" s="347"/>
      <c r="T658" s="347"/>
      <c r="U658" s="347"/>
      <c r="V658" s="347"/>
      <c r="W658" s="347"/>
    </row>
    <row r="659">
      <c r="A659" s="347"/>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row>
    <row r="660">
      <c r="A660" s="347"/>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row>
    <row r="661">
      <c r="A661" s="347"/>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row>
    <row r="662">
      <c r="A662" s="347"/>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row>
    <row r="663">
      <c r="A663" s="347"/>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row>
    <row r="664">
      <c r="A664" s="347"/>
      <c r="B664" s="347"/>
      <c r="C664" s="347"/>
      <c r="D664" s="347"/>
      <c r="E664" s="347"/>
      <c r="F664" s="347"/>
      <c r="G664" s="347"/>
      <c r="H664" s="347"/>
      <c r="I664" s="347"/>
      <c r="J664" s="347"/>
      <c r="K664" s="347"/>
      <c r="L664" s="347"/>
      <c r="M664" s="347"/>
      <c r="N664" s="347"/>
      <c r="O664" s="347"/>
      <c r="P664" s="347"/>
      <c r="Q664" s="347"/>
      <c r="R664" s="347"/>
      <c r="S664" s="347"/>
      <c r="T664" s="347"/>
      <c r="U664" s="347"/>
      <c r="V664" s="347"/>
      <c r="W664" s="347"/>
    </row>
    <row r="665">
      <c r="A665" s="347"/>
      <c r="B665" s="347"/>
      <c r="C665" s="347"/>
      <c r="D665" s="347"/>
      <c r="E665" s="347"/>
      <c r="F665" s="347"/>
      <c r="G665" s="347"/>
      <c r="H665" s="347"/>
      <c r="I665" s="347"/>
      <c r="J665" s="347"/>
      <c r="K665" s="347"/>
      <c r="L665" s="347"/>
      <c r="M665" s="347"/>
      <c r="N665" s="347"/>
      <c r="O665" s="347"/>
      <c r="P665" s="347"/>
      <c r="Q665" s="347"/>
      <c r="R665" s="347"/>
      <c r="S665" s="347"/>
      <c r="T665" s="347"/>
      <c r="U665" s="347"/>
      <c r="V665" s="347"/>
      <c r="W665" s="347"/>
    </row>
    <row r="666">
      <c r="A666" s="347"/>
      <c r="B666" s="347"/>
      <c r="C666" s="347"/>
      <c r="D666" s="347"/>
      <c r="E666" s="347"/>
      <c r="F666" s="347"/>
      <c r="G666" s="347"/>
      <c r="H666" s="347"/>
      <c r="I666" s="347"/>
      <c r="J666" s="347"/>
      <c r="K666" s="347"/>
      <c r="L666" s="347"/>
      <c r="M666" s="347"/>
      <c r="N666" s="347"/>
      <c r="O666" s="347"/>
      <c r="P666" s="347"/>
      <c r="Q666" s="347"/>
      <c r="R666" s="347"/>
      <c r="S666" s="347"/>
      <c r="T666" s="347"/>
      <c r="U666" s="347"/>
      <c r="V666" s="347"/>
      <c r="W666" s="347"/>
    </row>
    <row r="667">
      <c r="A667" s="347"/>
      <c r="B667" s="347"/>
      <c r="C667" s="347"/>
      <c r="D667" s="347"/>
      <c r="E667" s="347"/>
      <c r="F667" s="347"/>
      <c r="G667" s="347"/>
      <c r="H667" s="347"/>
      <c r="I667" s="347"/>
      <c r="J667" s="347"/>
      <c r="K667" s="347"/>
      <c r="L667" s="347"/>
      <c r="M667" s="347"/>
      <c r="N667" s="347"/>
      <c r="O667" s="347"/>
      <c r="P667" s="347"/>
      <c r="Q667" s="347"/>
      <c r="R667" s="347"/>
      <c r="S667" s="347"/>
      <c r="T667" s="347"/>
      <c r="U667" s="347"/>
      <c r="V667" s="347"/>
      <c r="W667" s="347"/>
    </row>
    <row r="668">
      <c r="A668" s="347"/>
      <c r="B668" s="347"/>
      <c r="C668" s="347"/>
      <c r="D668" s="347"/>
      <c r="E668" s="347"/>
      <c r="F668" s="347"/>
      <c r="G668" s="347"/>
      <c r="H668" s="347"/>
      <c r="I668" s="347"/>
      <c r="J668" s="347"/>
      <c r="K668" s="347"/>
      <c r="L668" s="347"/>
      <c r="M668" s="347"/>
      <c r="N668" s="347"/>
      <c r="O668" s="347"/>
      <c r="P668" s="347"/>
      <c r="Q668" s="347"/>
      <c r="R668" s="347"/>
      <c r="S668" s="347"/>
      <c r="T668" s="347"/>
      <c r="U668" s="347"/>
      <c r="V668" s="347"/>
      <c r="W668" s="347"/>
    </row>
    <row r="669">
      <c r="A669" s="347"/>
      <c r="B669" s="347"/>
      <c r="C669" s="347"/>
      <c r="D669" s="347"/>
      <c r="E669" s="347"/>
      <c r="F669" s="347"/>
      <c r="G669" s="347"/>
      <c r="H669" s="347"/>
      <c r="I669" s="347"/>
      <c r="J669" s="347"/>
      <c r="K669" s="347"/>
      <c r="L669" s="347"/>
      <c r="M669" s="347"/>
      <c r="N669" s="347"/>
      <c r="O669" s="347"/>
      <c r="P669" s="347"/>
      <c r="Q669" s="347"/>
      <c r="R669" s="347"/>
      <c r="S669" s="347"/>
      <c r="T669" s="347"/>
      <c r="U669" s="347"/>
      <c r="V669" s="347"/>
      <c r="W669" s="347"/>
    </row>
    <row r="670">
      <c r="A670" s="347"/>
      <c r="B670" s="347"/>
      <c r="C670" s="347"/>
      <c r="D670" s="347"/>
      <c r="E670" s="347"/>
      <c r="F670" s="347"/>
      <c r="G670" s="347"/>
      <c r="H670" s="347"/>
      <c r="I670" s="347"/>
      <c r="J670" s="347"/>
      <c r="K670" s="347"/>
      <c r="L670" s="347"/>
      <c r="M670" s="347"/>
      <c r="N670" s="347"/>
      <c r="O670" s="347"/>
      <c r="P670" s="347"/>
      <c r="Q670" s="347"/>
      <c r="R670" s="347"/>
      <c r="S670" s="347"/>
      <c r="T670" s="347"/>
      <c r="U670" s="347"/>
      <c r="V670" s="347"/>
      <c r="W670" s="347"/>
    </row>
    <row r="671">
      <c r="A671" s="347"/>
      <c r="B671" s="347"/>
      <c r="C671" s="347"/>
      <c r="D671" s="347"/>
      <c r="E671" s="347"/>
      <c r="F671" s="347"/>
      <c r="G671" s="347"/>
      <c r="H671" s="347"/>
      <c r="I671" s="347"/>
      <c r="J671" s="347"/>
      <c r="K671" s="347"/>
      <c r="L671" s="347"/>
      <c r="M671" s="347"/>
      <c r="N671" s="347"/>
      <c r="O671" s="347"/>
      <c r="P671" s="347"/>
      <c r="Q671" s="347"/>
      <c r="R671" s="347"/>
      <c r="S671" s="347"/>
      <c r="T671" s="347"/>
      <c r="U671" s="347"/>
      <c r="V671" s="347"/>
      <c r="W671" s="347"/>
    </row>
    <row r="672">
      <c r="A672" s="347"/>
      <c r="B672" s="347"/>
      <c r="C672" s="347"/>
      <c r="D672" s="347"/>
      <c r="E672" s="347"/>
      <c r="F672" s="347"/>
      <c r="G672" s="347"/>
      <c r="H672" s="347"/>
      <c r="I672" s="347"/>
      <c r="J672" s="347"/>
      <c r="K672" s="347"/>
      <c r="L672" s="347"/>
      <c r="M672" s="347"/>
      <c r="N672" s="347"/>
      <c r="O672" s="347"/>
      <c r="P672" s="347"/>
      <c r="Q672" s="347"/>
      <c r="R672" s="347"/>
      <c r="S672" s="347"/>
      <c r="T672" s="347"/>
      <c r="U672" s="347"/>
      <c r="V672" s="347"/>
      <c r="W672" s="347"/>
    </row>
    <row r="673">
      <c r="A673" s="347"/>
      <c r="B673" s="347"/>
      <c r="C673" s="347"/>
      <c r="D673" s="347"/>
      <c r="E673" s="347"/>
      <c r="F673" s="347"/>
      <c r="G673" s="347"/>
      <c r="H673" s="347"/>
      <c r="I673" s="347"/>
      <c r="J673" s="347"/>
      <c r="K673" s="347"/>
      <c r="L673" s="347"/>
      <c r="M673" s="347"/>
      <c r="N673" s="347"/>
      <c r="O673" s="347"/>
      <c r="P673" s="347"/>
      <c r="Q673" s="347"/>
      <c r="R673" s="347"/>
      <c r="S673" s="347"/>
      <c r="T673" s="347"/>
      <c r="U673" s="347"/>
      <c r="V673" s="347"/>
      <c r="W673" s="347"/>
    </row>
    <row r="674">
      <c r="A674" s="347"/>
      <c r="B674" s="347"/>
      <c r="C674" s="347"/>
      <c r="D674" s="347"/>
      <c r="E674" s="347"/>
      <c r="F674" s="347"/>
      <c r="G674" s="347"/>
      <c r="H674" s="347"/>
      <c r="I674" s="347"/>
      <c r="J674" s="347"/>
      <c r="K674" s="347"/>
      <c r="L674" s="347"/>
      <c r="M674" s="347"/>
      <c r="N674" s="347"/>
      <c r="O674" s="347"/>
      <c r="P674" s="347"/>
      <c r="Q674" s="347"/>
      <c r="R674" s="347"/>
      <c r="S674" s="347"/>
      <c r="T674" s="347"/>
      <c r="U674" s="347"/>
      <c r="V674" s="347"/>
      <c r="W674" s="347"/>
    </row>
    <row r="675">
      <c r="A675" s="347"/>
      <c r="B675" s="347"/>
      <c r="C675" s="347"/>
      <c r="D675" s="347"/>
      <c r="E675" s="347"/>
      <c r="F675" s="347"/>
      <c r="G675" s="347"/>
      <c r="H675" s="347"/>
      <c r="I675" s="347"/>
      <c r="J675" s="347"/>
      <c r="K675" s="347"/>
      <c r="L675" s="347"/>
      <c r="M675" s="347"/>
      <c r="N675" s="347"/>
      <c r="O675" s="347"/>
      <c r="P675" s="347"/>
      <c r="Q675" s="347"/>
      <c r="R675" s="347"/>
      <c r="S675" s="347"/>
      <c r="T675" s="347"/>
      <c r="U675" s="347"/>
      <c r="V675" s="347"/>
      <c r="W675" s="347"/>
    </row>
    <row r="676">
      <c r="A676" s="347"/>
      <c r="B676" s="347"/>
      <c r="C676" s="347"/>
      <c r="D676" s="347"/>
      <c r="E676" s="347"/>
      <c r="F676" s="347"/>
      <c r="G676" s="347"/>
      <c r="H676" s="347"/>
      <c r="I676" s="347"/>
      <c r="J676" s="347"/>
      <c r="K676" s="347"/>
      <c r="L676" s="347"/>
      <c r="M676" s="347"/>
      <c r="N676" s="347"/>
      <c r="O676" s="347"/>
      <c r="P676" s="347"/>
      <c r="Q676" s="347"/>
      <c r="R676" s="347"/>
      <c r="S676" s="347"/>
      <c r="T676" s="347"/>
      <c r="U676" s="347"/>
      <c r="V676" s="347"/>
      <c r="W676" s="347"/>
    </row>
    <row r="677">
      <c r="A677" s="347"/>
      <c r="B677" s="347"/>
      <c r="C677" s="347"/>
      <c r="D677" s="347"/>
      <c r="E677" s="347"/>
      <c r="F677" s="347"/>
      <c r="G677" s="347"/>
      <c r="H677" s="347"/>
      <c r="I677" s="347"/>
      <c r="J677" s="347"/>
      <c r="K677" s="347"/>
      <c r="L677" s="347"/>
      <c r="M677" s="347"/>
      <c r="N677" s="347"/>
      <c r="O677" s="347"/>
      <c r="P677" s="347"/>
      <c r="Q677" s="347"/>
      <c r="R677" s="347"/>
      <c r="S677" s="347"/>
      <c r="T677" s="347"/>
      <c r="U677" s="347"/>
      <c r="V677" s="347"/>
      <c r="W677" s="347"/>
    </row>
    <row r="678">
      <c r="A678" s="347"/>
      <c r="B678" s="347"/>
      <c r="C678" s="347"/>
      <c r="D678" s="347"/>
      <c r="E678" s="347"/>
      <c r="F678" s="347"/>
      <c r="G678" s="347"/>
      <c r="H678" s="347"/>
      <c r="I678" s="347"/>
      <c r="J678" s="347"/>
      <c r="K678" s="347"/>
      <c r="L678" s="347"/>
      <c r="M678" s="347"/>
      <c r="N678" s="347"/>
      <c r="O678" s="347"/>
      <c r="P678" s="347"/>
      <c r="Q678" s="347"/>
      <c r="R678" s="347"/>
      <c r="S678" s="347"/>
      <c r="T678" s="347"/>
      <c r="U678" s="347"/>
      <c r="V678" s="347"/>
      <c r="W678" s="347"/>
    </row>
    <row r="679">
      <c r="A679" s="347"/>
      <c r="B679" s="347"/>
      <c r="C679" s="347"/>
      <c r="D679" s="347"/>
      <c r="E679" s="347"/>
      <c r="F679" s="347"/>
      <c r="G679" s="347"/>
      <c r="H679" s="347"/>
      <c r="I679" s="347"/>
      <c r="J679" s="347"/>
      <c r="K679" s="347"/>
      <c r="L679" s="347"/>
      <c r="M679" s="347"/>
      <c r="N679" s="347"/>
      <c r="O679" s="347"/>
      <c r="P679" s="347"/>
      <c r="Q679" s="347"/>
      <c r="R679" s="347"/>
      <c r="S679" s="347"/>
      <c r="T679" s="347"/>
      <c r="U679" s="347"/>
      <c r="V679" s="347"/>
      <c r="W679" s="347"/>
    </row>
    <row r="680">
      <c r="A680" s="347"/>
      <c r="B680" s="347"/>
      <c r="C680" s="347"/>
      <c r="D680" s="347"/>
      <c r="E680" s="347"/>
      <c r="F680" s="347"/>
      <c r="G680" s="347"/>
      <c r="H680" s="347"/>
      <c r="I680" s="347"/>
      <c r="J680" s="347"/>
      <c r="K680" s="347"/>
      <c r="L680" s="347"/>
      <c r="M680" s="347"/>
      <c r="N680" s="347"/>
      <c r="O680" s="347"/>
      <c r="P680" s="347"/>
      <c r="Q680" s="347"/>
      <c r="R680" s="347"/>
      <c r="S680" s="347"/>
      <c r="T680" s="347"/>
      <c r="U680" s="347"/>
      <c r="V680" s="347"/>
      <c r="W680" s="347"/>
    </row>
    <row r="681">
      <c r="A681" s="347"/>
      <c r="B681" s="347"/>
      <c r="C681" s="347"/>
      <c r="D681" s="347"/>
      <c r="E681" s="347"/>
      <c r="F681" s="347"/>
      <c r="G681" s="347"/>
      <c r="H681" s="347"/>
      <c r="I681" s="347"/>
      <c r="J681" s="347"/>
      <c r="K681" s="347"/>
      <c r="L681" s="347"/>
      <c r="M681" s="347"/>
      <c r="N681" s="347"/>
      <c r="O681" s="347"/>
      <c r="P681" s="347"/>
      <c r="Q681" s="347"/>
      <c r="R681" s="347"/>
      <c r="S681" s="347"/>
      <c r="T681" s="347"/>
      <c r="U681" s="347"/>
      <c r="V681" s="347"/>
      <c r="W681" s="347"/>
    </row>
    <row r="682">
      <c r="A682" s="347"/>
      <c r="B682" s="347"/>
      <c r="C682" s="347"/>
      <c r="D682" s="347"/>
      <c r="E682" s="347"/>
      <c r="F682" s="347"/>
      <c r="G682" s="347"/>
      <c r="H682" s="347"/>
      <c r="I682" s="347"/>
      <c r="J682" s="347"/>
      <c r="K682" s="347"/>
      <c r="L682" s="347"/>
      <c r="M682" s="347"/>
      <c r="N682" s="347"/>
      <c r="O682" s="347"/>
      <c r="P682" s="347"/>
      <c r="Q682" s="347"/>
      <c r="R682" s="347"/>
      <c r="S682" s="347"/>
      <c r="T682" s="347"/>
      <c r="U682" s="347"/>
      <c r="V682" s="347"/>
      <c r="W682" s="347"/>
    </row>
    <row r="683">
      <c r="A683" s="347"/>
      <c r="B683" s="347"/>
      <c r="C683" s="347"/>
      <c r="D683" s="347"/>
      <c r="E683" s="347"/>
      <c r="F683" s="347"/>
      <c r="G683" s="347"/>
      <c r="H683" s="347"/>
      <c r="I683" s="347"/>
      <c r="J683" s="347"/>
      <c r="K683" s="347"/>
      <c r="L683" s="347"/>
      <c r="M683" s="347"/>
      <c r="N683" s="347"/>
      <c r="O683" s="347"/>
      <c r="P683" s="347"/>
      <c r="Q683" s="347"/>
      <c r="R683" s="347"/>
      <c r="S683" s="347"/>
      <c r="T683" s="347"/>
      <c r="U683" s="347"/>
      <c r="V683" s="347"/>
      <c r="W683" s="347"/>
    </row>
    <row r="684">
      <c r="A684" s="347"/>
      <c r="B684" s="347"/>
      <c r="C684" s="347"/>
      <c r="D684" s="347"/>
      <c r="E684" s="347"/>
      <c r="F684" s="347"/>
      <c r="G684" s="347"/>
      <c r="H684" s="347"/>
      <c r="I684" s="347"/>
      <c r="J684" s="347"/>
      <c r="K684" s="347"/>
      <c r="L684" s="347"/>
      <c r="M684" s="347"/>
      <c r="N684" s="347"/>
      <c r="O684" s="347"/>
      <c r="P684" s="347"/>
      <c r="Q684" s="347"/>
      <c r="R684" s="347"/>
      <c r="S684" s="347"/>
      <c r="T684" s="347"/>
      <c r="U684" s="347"/>
      <c r="V684" s="347"/>
      <c r="W684" s="347"/>
    </row>
    <row r="685">
      <c r="A685" s="347"/>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row>
    <row r="686">
      <c r="A686" s="347"/>
      <c r="B686" s="347"/>
      <c r="C686" s="347"/>
      <c r="D686" s="347"/>
      <c r="E686" s="347"/>
      <c r="F686" s="347"/>
      <c r="G686" s="347"/>
      <c r="H686" s="347"/>
      <c r="I686" s="347"/>
      <c r="J686" s="347"/>
      <c r="K686" s="347"/>
      <c r="L686" s="347"/>
      <c r="M686" s="347"/>
      <c r="N686" s="347"/>
      <c r="O686" s="347"/>
      <c r="P686" s="347"/>
      <c r="Q686" s="347"/>
      <c r="R686" s="347"/>
      <c r="S686" s="347"/>
      <c r="T686" s="347"/>
      <c r="U686" s="347"/>
      <c r="V686" s="347"/>
      <c r="W686" s="347"/>
    </row>
    <row r="687">
      <c r="A687" s="347"/>
      <c r="B687" s="347"/>
      <c r="C687" s="347"/>
      <c r="D687" s="347"/>
      <c r="E687" s="347"/>
      <c r="F687" s="347"/>
      <c r="G687" s="347"/>
      <c r="H687" s="347"/>
      <c r="I687" s="347"/>
      <c r="J687" s="347"/>
      <c r="K687" s="347"/>
      <c r="L687" s="347"/>
      <c r="M687" s="347"/>
      <c r="N687" s="347"/>
      <c r="O687" s="347"/>
      <c r="P687" s="347"/>
      <c r="Q687" s="347"/>
      <c r="R687" s="347"/>
      <c r="S687" s="347"/>
      <c r="T687" s="347"/>
      <c r="U687" s="347"/>
      <c r="V687" s="347"/>
      <c r="W687" s="347"/>
    </row>
    <row r="688">
      <c r="A688" s="347"/>
      <c r="B688" s="347"/>
      <c r="C688" s="347"/>
      <c r="D688" s="347"/>
      <c r="E688" s="347"/>
      <c r="F688" s="347"/>
      <c r="G688" s="347"/>
      <c r="H688" s="347"/>
      <c r="I688" s="347"/>
      <c r="J688" s="347"/>
      <c r="K688" s="347"/>
      <c r="L688" s="347"/>
      <c r="M688" s="347"/>
      <c r="N688" s="347"/>
      <c r="O688" s="347"/>
      <c r="P688" s="347"/>
      <c r="Q688" s="347"/>
      <c r="R688" s="347"/>
      <c r="S688" s="347"/>
      <c r="T688" s="347"/>
      <c r="U688" s="347"/>
      <c r="V688" s="347"/>
      <c r="W688" s="347"/>
    </row>
    <row r="689">
      <c r="A689" s="347"/>
      <c r="B689" s="347"/>
      <c r="C689" s="347"/>
      <c r="D689" s="347"/>
      <c r="E689" s="347"/>
      <c r="F689" s="347"/>
      <c r="G689" s="347"/>
      <c r="H689" s="347"/>
      <c r="I689" s="347"/>
      <c r="J689" s="347"/>
      <c r="K689" s="347"/>
      <c r="L689" s="347"/>
      <c r="M689" s="347"/>
      <c r="N689" s="347"/>
      <c r="O689" s="347"/>
      <c r="P689" s="347"/>
      <c r="Q689" s="347"/>
      <c r="R689" s="347"/>
      <c r="S689" s="347"/>
      <c r="T689" s="347"/>
      <c r="U689" s="347"/>
      <c r="V689" s="347"/>
      <c r="W689" s="347"/>
    </row>
    <row r="690">
      <c r="A690" s="347"/>
      <c r="B690" s="347"/>
      <c r="C690" s="347"/>
      <c r="D690" s="347"/>
      <c r="E690" s="347"/>
      <c r="F690" s="347"/>
      <c r="G690" s="347"/>
      <c r="H690" s="347"/>
      <c r="I690" s="347"/>
      <c r="J690" s="347"/>
      <c r="K690" s="347"/>
      <c r="L690" s="347"/>
      <c r="M690" s="347"/>
      <c r="N690" s="347"/>
      <c r="O690" s="347"/>
      <c r="P690" s="347"/>
      <c r="Q690" s="347"/>
      <c r="R690" s="347"/>
      <c r="S690" s="347"/>
      <c r="T690" s="347"/>
      <c r="U690" s="347"/>
      <c r="V690" s="347"/>
      <c r="W690" s="347"/>
    </row>
    <row r="691">
      <c r="A691" s="347"/>
      <c r="B691" s="347"/>
      <c r="C691" s="347"/>
      <c r="D691" s="347"/>
      <c r="E691" s="347"/>
      <c r="F691" s="347"/>
      <c r="G691" s="347"/>
      <c r="H691" s="347"/>
      <c r="I691" s="347"/>
      <c r="J691" s="347"/>
      <c r="K691" s="347"/>
      <c r="L691" s="347"/>
      <c r="M691" s="347"/>
      <c r="N691" s="347"/>
      <c r="O691" s="347"/>
      <c r="P691" s="347"/>
      <c r="Q691" s="347"/>
      <c r="R691" s="347"/>
      <c r="S691" s="347"/>
      <c r="T691" s="347"/>
      <c r="U691" s="347"/>
      <c r="V691" s="347"/>
      <c r="W691" s="347"/>
    </row>
    <row r="692">
      <c r="A692" s="347"/>
      <c r="B692" s="347"/>
      <c r="C692" s="347"/>
      <c r="D692" s="347"/>
      <c r="E692" s="347"/>
      <c r="F692" s="347"/>
      <c r="G692" s="347"/>
      <c r="H692" s="347"/>
      <c r="I692" s="347"/>
      <c r="J692" s="347"/>
      <c r="K692" s="347"/>
      <c r="L692" s="347"/>
      <c r="M692" s="347"/>
      <c r="N692" s="347"/>
      <c r="O692" s="347"/>
      <c r="P692" s="347"/>
      <c r="Q692" s="347"/>
      <c r="R692" s="347"/>
      <c r="S692" s="347"/>
      <c r="T692" s="347"/>
      <c r="U692" s="347"/>
      <c r="V692" s="347"/>
      <c r="W692" s="347"/>
    </row>
    <row r="693">
      <c r="A693" s="347"/>
      <c r="B693" s="347"/>
      <c r="C693" s="347"/>
      <c r="D693" s="347"/>
      <c r="E693" s="347"/>
      <c r="F693" s="347"/>
      <c r="G693" s="347"/>
      <c r="H693" s="347"/>
      <c r="I693" s="347"/>
      <c r="J693" s="347"/>
      <c r="K693" s="347"/>
      <c r="L693" s="347"/>
      <c r="M693" s="347"/>
      <c r="N693" s="347"/>
      <c r="O693" s="347"/>
      <c r="P693" s="347"/>
      <c r="Q693" s="347"/>
      <c r="R693" s="347"/>
      <c r="S693" s="347"/>
      <c r="T693" s="347"/>
      <c r="U693" s="347"/>
      <c r="V693" s="347"/>
      <c r="W693" s="347"/>
    </row>
    <row r="694">
      <c r="A694" s="347"/>
      <c r="B694" s="347"/>
      <c r="C694" s="347"/>
      <c r="D694" s="347"/>
      <c r="E694" s="347"/>
      <c r="F694" s="347"/>
      <c r="G694" s="347"/>
      <c r="H694" s="347"/>
      <c r="I694" s="347"/>
      <c r="J694" s="347"/>
      <c r="K694" s="347"/>
      <c r="L694" s="347"/>
      <c r="M694" s="347"/>
      <c r="N694" s="347"/>
      <c r="O694" s="347"/>
      <c r="P694" s="347"/>
      <c r="Q694" s="347"/>
      <c r="R694" s="347"/>
      <c r="S694" s="347"/>
      <c r="T694" s="347"/>
      <c r="U694" s="347"/>
      <c r="V694" s="347"/>
      <c r="W694" s="347"/>
    </row>
    <row r="695">
      <c r="A695" s="347"/>
      <c r="B695" s="347"/>
      <c r="C695" s="347"/>
      <c r="D695" s="347"/>
      <c r="E695" s="347"/>
      <c r="F695" s="347"/>
      <c r="G695" s="347"/>
      <c r="H695" s="347"/>
      <c r="I695" s="347"/>
      <c r="J695" s="347"/>
      <c r="K695" s="347"/>
      <c r="L695" s="347"/>
      <c r="M695" s="347"/>
      <c r="N695" s="347"/>
      <c r="O695" s="347"/>
      <c r="P695" s="347"/>
      <c r="Q695" s="347"/>
      <c r="R695" s="347"/>
      <c r="S695" s="347"/>
      <c r="T695" s="347"/>
      <c r="U695" s="347"/>
      <c r="V695" s="347"/>
      <c r="W695" s="347"/>
    </row>
    <row r="696">
      <c r="A696" s="347"/>
      <c r="B696" s="347"/>
      <c r="C696" s="347"/>
      <c r="D696" s="347"/>
      <c r="E696" s="347"/>
      <c r="F696" s="347"/>
      <c r="G696" s="347"/>
      <c r="H696" s="347"/>
      <c r="I696" s="347"/>
      <c r="J696" s="347"/>
      <c r="K696" s="347"/>
      <c r="L696" s="347"/>
      <c r="M696" s="347"/>
      <c r="N696" s="347"/>
      <c r="O696" s="347"/>
      <c r="P696" s="347"/>
      <c r="Q696" s="347"/>
      <c r="R696" s="347"/>
      <c r="S696" s="347"/>
      <c r="T696" s="347"/>
      <c r="U696" s="347"/>
      <c r="V696" s="347"/>
      <c r="W696" s="347"/>
    </row>
    <row r="697">
      <c r="A697" s="347"/>
      <c r="B697" s="347"/>
      <c r="C697" s="347"/>
      <c r="D697" s="347"/>
      <c r="E697" s="347"/>
      <c r="F697" s="347"/>
      <c r="G697" s="347"/>
      <c r="H697" s="347"/>
      <c r="I697" s="347"/>
      <c r="J697" s="347"/>
      <c r="K697" s="347"/>
      <c r="L697" s="347"/>
      <c r="M697" s="347"/>
      <c r="N697" s="347"/>
      <c r="O697" s="347"/>
      <c r="P697" s="347"/>
      <c r="Q697" s="347"/>
      <c r="R697" s="347"/>
      <c r="S697" s="347"/>
      <c r="T697" s="347"/>
      <c r="U697" s="347"/>
      <c r="V697" s="347"/>
      <c r="W697" s="347"/>
    </row>
    <row r="698">
      <c r="A698" s="347"/>
      <c r="B698" s="347"/>
      <c r="C698" s="347"/>
      <c r="D698" s="347"/>
      <c r="E698" s="347"/>
      <c r="F698" s="347"/>
      <c r="G698" s="347"/>
      <c r="H698" s="347"/>
      <c r="I698" s="347"/>
      <c r="J698" s="347"/>
      <c r="K698" s="347"/>
      <c r="L698" s="347"/>
      <c r="M698" s="347"/>
      <c r="N698" s="347"/>
      <c r="O698" s="347"/>
      <c r="P698" s="347"/>
      <c r="Q698" s="347"/>
      <c r="R698" s="347"/>
      <c r="S698" s="347"/>
      <c r="T698" s="347"/>
      <c r="U698" s="347"/>
      <c r="V698" s="347"/>
      <c r="W698" s="347"/>
    </row>
    <row r="699">
      <c r="A699" s="347"/>
      <c r="B699" s="347"/>
      <c r="C699" s="347"/>
      <c r="D699" s="347"/>
      <c r="E699" s="347"/>
      <c r="F699" s="347"/>
      <c r="G699" s="347"/>
      <c r="H699" s="347"/>
      <c r="I699" s="347"/>
      <c r="J699" s="347"/>
      <c r="K699" s="347"/>
      <c r="L699" s="347"/>
      <c r="M699" s="347"/>
      <c r="N699" s="347"/>
      <c r="O699" s="347"/>
      <c r="P699" s="347"/>
      <c r="Q699" s="347"/>
      <c r="R699" s="347"/>
      <c r="S699" s="347"/>
      <c r="T699" s="347"/>
      <c r="U699" s="347"/>
      <c r="V699" s="347"/>
      <c r="W699" s="347"/>
    </row>
    <row r="700">
      <c r="A700" s="347"/>
      <c r="B700" s="347"/>
      <c r="C700" s="347"/>
      <c r="D700" s="347"/>
      <c r="E700" s="347"/>
      <c r="F700" s="347"/>
      <c r="G700" s="347"/>
      <c r="H700" s="347"/>
      <c r="I700" s="347"/>
      <c r="J700" s="347"/>
      <c r="K700" s="347"/>
      <c r="L700" s="347"/>
      <c r="M700" s="347"/>
      <c r="N700" s="347"/>
      <c r="O700" s="347"/>
      <c r="P700" s="347"/>
      <c r="Q700" s="347"/>
      <c r="R700" s="347"/>
      <c r="S700" s="347"/>
      <c r="T700" s="347"/>
      <c r="U700" s="347"/>
      <c r="V700" s="347"/>
      <c r="W700" s="347"/>
    </row>
    <row r="701">
      <c r="A701" s="347"/>
      <c r="B701" s="347"/>
      <c r="C701" s="347"/>
      <c r="D701" s="347"/>
      <c r="E701" s="347"/>
      <c r="F701" s="347"/>
      <c r="G701" s="347"/>
      <c r="H701" s="347"/>
      <c r="I701" s="347"/>
      <c r="J701" s="347"/>
      <c r="K701" s="347"/>
      <c r="L701" s="347"/>
      <c r="M701" s="347"/>
      <c r="N701" s="347"/>
      <c r="O701" s="347"/>
      <c r="P701" s="347"/>
      <c r="Q701" s="347"/>
      <c r="R701" s="347"/>
      <c r="S701" s="347"/>
      <c r="T701" s="347"/>
      <c r="U701" s="347"/>
      <c r="V701" s="347"/>
      <c r="W701" s="347"/>
    </row>
    <row r="702">
      <c r="A702" s="347"/>
      <c r="B702" s="347"/>
      <c r="C702" s="347"/>
      <c r="D702" s="347"/>
      <c r="E702" s="347"/>
      <c r="F702" s="347"/>
      <c r="G702" s="347"/>
      <c r="H702" s="347"/>
      <c r="I702" s="347"/>
      <c r="J702" s="347"/>
      <c r="K702" s="347"/>
      <c r="L702" s="347"/>
      <c r="M702" s="347"/>
      <c r="N702" s="347"/>
      <c r="O702" s="347"/>
      <c r="P702" s="347"/>
      <c r="Q702" s="347"/>
      <c r="R702" s="347"/>
      <c r="S702" s="347"/>
      <c r="T702" s="347"/>
      <c r="U702" s="347"/>
      <c r="V702" s="347"/>
      <c r="W702" s="347"/>
    </row>
    <row r="703">
      <c r="A703" s="347"/>
      <c r="B703" s="347"/>
      <c r="C703" s="347"/>
      <c r="D703" s="347"/>
      <c r="E703" s="347"/>
      <c r="F703" s="347"/>
      <c r="G703" s="347"/>
      <c r="H703" s="347"/>
      <c r="I703" s="347"/>
      <c r="J703" s="347"/>
      <c r="K703" s="347"/>
      <c r="L703" s="347"/>
      <c r="M703" s="347"/>
      <c r="N703" s="347"/>
      <c r="O703" s="347"/>
      <c r="P703" s="347"/>
      <c r="Q703" s="347"/>
      <c r="R703" s="347"/>
      <c r="S703" s="347"/>
      <c r="T703" s="347"/>
      <c r="U703" s="347"/>
      <c r="V703" s="347"/>
      <c r="W703" s="347"/>
    </row>
    <row r="704">
      <c r="A704" s="347"/>
      <c r="B704" s="347"/>
      <c r="C704" s="347"/>
      <c r="D704" s="347"/>
      <c r="E704" s="347"/>
      <c r="F704" s="347"/>
      <c r="G704" s="347"/>
      <c r="H704" s="347"/>
      <c r="I704" s="347"/>
      <c r="J704" s="347"/>
      <c r="K704" s="347"/>
      <c r="L704" s="347"/>
      <c r="M704" s="347"/>
      <c r="N704" s="347"/>
      <c r="O704" s="347"/>
      <c r="P704" s="347"/>
      <c r="Q704" s="347"/>
      <c r="R704" s="347"/>
      <c r="S704" s="347"/>
      <c r="T704" s="347"/>
      <c r="U704" s="347"/>
      <c r="V704" s="347"/>
      <c r="W704" s="347"/>
    </row>
    <row r="705">
      <c r="A705" s="347"/>
      <c r="B705" s="347"/>
      <c r="C705" s="347"/>
      <c r="D705" s="347"/>
      <c r="E705" s="347"/>
      <c r="F705" s="347"/>
      <c r="G705" s="347"/>
      <c r="H705" s="347"/>
      <c r="I705" s="347"/>
      <c r="J705" s="347"/>
      <c r="K705" s="347"/>
      <c r="L705" s="347"/>
      <c r="M705" s="347"/>
      <c r="N705" s="347"/>
      <c r="O705" s="347"/>
      <c r="P705" s="347"/>
      <c r="Q705" s="347"/>
      <c r="R705" s="347"/>
      <c r="S705" s="347"/>
      <c r="T705" s="347"/>
      <c r="U705" s="347"/>
      <c r="V705" s="347"/>
      <c r="W705" s="347"/>
    </row>
    <row r="706">
      <c r="A706" s="347"/>
      <c r="B706" s="347"/>
      <c r="C706" s="347"/>
      <c r="D706" s="347"/>
      <c r="E706" s="347"/>
      <c r="F706" s="347"/>
      <c r="G706" s="347"/>
      <c r="H706" s="347"/>
      <c r="I706" s="347"/>
      <c r="J706" s="347"/>
      <c r="K706" s="347"/>
      <c r="L706" s="347"/>
      <c r="M706" s="347"/>
      <c r="N706" s="347"/>
      <c r="O706" s="347"/>
      <c r="P706" s="347"/>
      <c r="Q706" s="347"/>
      <c r="R706" s="347"/>
      <c r="S706" s="347"/>
      <c r="T706" s="347"/>
      <c r="U706" s="347"/>
      <c r="V706" s="347"/>
      <c r="W706" s="347"/>
    </row>
    <row r="707">
      <c r="A707" s="347"/>
      <c r="B707" s="347"/>
      <c r="C707" s="347"/>
      <c r="D707" s="347"/>
      <c r="E707" s="347"/>
      <c r="F707" s="347"/>
      <c r="G707" s="347"/>
      <c r="H707" s="347"/>
      <c r="I707" s="347"/>
      <c r="J707" s="347"/>
      <c r="K707" s="347"/>
      <c r="L707" s="347"/>
      <c r="M707" s="347"/>
      <c r="N707" s="347"/>
      <c r="O707" s="347"/>
      <c r="P707" s="347"/>
      <c r="Q707" s="347"/>
      <c r="R707" s="347"/>
      <c r="S707" s="347"/>
      <c r="T707" s="347"/>
      <c r="U707" s="347"/>
      <c r="V707" s="347"/>
      <c r="W707" s="347"/>
    </row>
    <row r="708">
      <c r="A708" s="347"/>
      <c r="B708" s="347"/>
      <c r="C708" s="347"/>
      <c r="D708" s="347"/>
      <c r="E708" s="347"/>
      <c r="F708" s="347"/>
      <c r="G708" s="347"/>
      <c r="H708" s="347"/>
      <c r="I708" s="347"/>
      <c r="J708" s="347"/>
      <c r="K708" s="347"/>
      <c r="L708" s="347"/>
      <c r="M708" s="347"/>
      <c r="N708" s="347"/>
      <c r="O708" s="347"/>
      <c r="P708" s="347"/>
      <c r="Q708" s="347"/>
      <c r="R708" s="347"/>
      <c r="S708" s="347"/>
      <c r="T708" s="347"/>
      <c r="U708" s="347"/>
      <c r="V708" s="347"/>
      <c r="W708" s="347"/>
    </row>
    <row r="709">
      <c r="A709" s="347"/>
      <c r="B709" s="347"/>
      <c r="C709" s="347"/>
      <c r="D709" s="347"/>
      <c r="E709" s="347"/>
      <c r="F709" s="347"/>
      <c r="G709" s="347"/>
      <c r="H709" s="347"/>
      <c r="I709" s="347"/>
      <c r="J709" s="347"/>
      <c r="K709" s="347"/>
      <c r="L709" s="347"/>
      <c r="M709" s="347"/>
      <c r="N709" s="347"/>
      <c r="O709" s="347"/>
      <c r="P709" s="347"/>
      <c r="Q709" s="347"/>
      <c r="R709" s="347"/>
      <c r="S709" s="347"/>
      <c r="T709" s="347"/>
      <c r="U709" s="347"/>
      <c r="V709" s="347"/>
      <c r="W709" s="347"/>
    </row>
    <row r="710">
      <c r="A710" s="347"/>
      <c r="B710" s="347"/>
      <c r="C710" s="347"/>
      <c r="D710" s="347"/>
      <c r="E710" s="347"/>
      <c r="F710" s="347"/>
      <c r="G710" s="347"/>
      <c r="H710" s="347"/>
      <c r="I710" s="347"/>
      <c r="J710" s="347"/>
      <c r="K710" s="347"/>
      <c r="L710" s="347"/>
      <c r="M710" s="347"/>
      <c r="N710" s="347"/>
      <c r="O710" s="347"/>
      <c r="P710" s="347"/>
      <c r="Q710" s="347"/>
      <c r="R710" s="347"/>
      <c r="S710" s="347"/>
      <c r="T710" s="347"/>
      <c r="U710" s="347"/>
      <c r="V710" s="347"/>
      <c r="W710" s="347"/>
    </row>
    <row r="711">
      <c r="A711" s="347"/>
      <c r="B711" s="347"/>
      <c r="C711" s="347"/>
      <c r="D711" s="347"/>
      <c r="E711" s="347"/>
      <c r="F711" s="347"/>
      <c r="G711" s="347"/>
      <c r="H711" s="347"/>
      <c r="I711" s="347"/>
      <c r="J711" s="347"/>
      <c r="K711" s="347"/>
      <c r="L711" s="347"/>
      <c r="M711" s="347"/>
      <c r="N711" s="347"/>
      <c r="O711" s="347"/>
      <c r="P711" s="347"/>
      <c r="Q711" s="347"/>
      <c r="R711" s="347"/>
      <c r="S711" s="347"/>
      <c r="T711" s="347"/>
      <c r="U711" s="347"/>
      <c r="V711" s="347"/>
      <c r="W711" s="347"/>
    </row>
    <row r="712">
      <c r="A712" s="347"/>
      <c r="B712" s="347"/>
      <c r="C712" s="347"/>
      <c r="D712" s="347"/>
      <c r="E712" s="347"/>
      <c r="F712" s="347"/>
      <c r="G712" s="347"/>
      <c r="H712" s="347"/>
      <c r="I712" s="347"/>
      <c r="J712" s="347"/>
      <c r="K712" s="347"/>
      <c r="L712" s="347"/>
      <c r="M712" s="347"/>
      <c r="N712" s="347"/>
      <c r="O712" s="347"/>
      <c r="P712" s="347"/>
      <c r="Q712" s="347"/>
      <c r="R712" s="347"/>
      <c r="S712" s="347"/>
      <c r="T712" s="347"/>
      <c r="U712" s="347"/>
      <c r="V712" s="347"/>
      <c r="W712" s="347"/>
    </row>
    <row r="713">
      <c r="A713" s="347"/>
      <c r="B713" s="347"/>
      <c r="C713" s="347"/>
      <c r="D713" s="347"/>
      <c r="E713" s="347"/>
      <c r="F713" s="347"/>
      <c r="G713" s="347"/>
      <c r="H713" s="347"/>
      <c r="I713" s="347"/>
      <c r="J713" s="347"/>
      <c r="K713" s="347"/>
      <c r="L713" s="347"/>
      <c r="M713" s="347"/>
      <c r="N713" s="347"/>
      <c r="O713" s="347"/>
      <c r="P713" s="347"/>
      <c r="Q713" s="347"/>
      <c r="R713" s="347"/>
      <c r="S713" s="347"/>
      <c r="T713" s="347"/>
      <c r="U713" s="347"/>
      <c r="V713" s="347"/>
      <c r="W713" s="347"/>
    </row>
    <row r="714">
      <c r="A714" s="347"/>
      <c r="B714" s="347"/>
      <c r="C714" s="347"/>
      <c r="D714" s="347"/>
      <c r="E714" s="347"/>
      <c r="F714" s="347"/>
      <c r="G714" s="347"/>
      <c r="H714" s="347"/>
      <c r="I714" s="347"/>
      <c r="J714" s="347"/>
      <c r="K714" s="347"/>
      <c r="L714" s="347"/>
      <c r="M714" s="347"/>
      <c r="N714" s="347"/>
      <c r="O714" s="347"/>
      <c r="P714" s="347"/>
      <c r="Q714" s="347"/>
      <c r="R714" s="347"/>
      <c r="S714" s="347"/>
      <c r="T714" s="347"/>
      <c r="U714" s="347"/>
      <c r="V714" s="347"/>
      <c r="W714" s="347"/>
    </row>
    <row r="715">
      <c r="A715" s="347"/>
      <c r="B715" s="347"/>
      <c r="C715" s="347"/>
      <c r="D715" s="347"/>
      <c r="E715" s="347"/>
      <c r="F715" s="347"/>
      <c r="G715" s="347"/>
      <c r="H715" s="347"/>
      <c r="I715" s="347"/>
      <c r="J715" s="347"/>
      <c r="K715" s="347"/>
      <c r="L715" s="347"/>
      <c r="M715" s="347"/>
      <c r="N715" s="347"/>
      <c r="O715" s="347"/>
      <c r="P715" s="347"/>
      <c r="Q715" s="347"/>
      <c r="R715" s="347"/>
      <c r="S715" s="347"/>
      <c r="T715" s="347"/>
      <c r="U715" s="347"/>
      <c r="V715" s="347"/>
      <c r="W715" s="347"/>
    </row>
    <row r="716">
      <c r="A716" s="347"/>
      <c r="B716" s="347"/>
      <c r="C716" s="347"/>
      <c r="D716" s="347"/>
      <c r="E716" s="347"/>
      <c r="F716" s="347"/>
      <c r="G716" s="347"/>
      <c r="H716" s="347"/>
      <c r="I716" s="347"/>
      <c r="J716" s="347"/>
      <c r="K716" s="347"/>
      <c r="L716" s="347"/>
      <c r="M716" s="347"/>
      <c r="N716" s="347"/>
      <c r="O716" s="347"/>
      <c r="P716" s="347"/>
      <c r="Q716" s="347"/>
      <c r="R716" s="347"/>
      <c r="S716" s="347"/>
      <c r="T716" s="347"/>
      <c r="U716" s="347"/>
      <c r="V716" s="347"/>
      <c r="W716" s="347"/>
    </row>
    <row r="717">
      <c r="A717" s="347"/>
      <c r="B717" s="347"/>
      <c r="C717" s="347"/>
      <c r="D717" s="347"/>
      <c r="E717" s="347"/>
      <c r="F717" s="347"/>
      <c r="G717" s="347"/>
      <c r="H717" s="347"/>
      <c r="I717" s="347"/>
      <c r="J717" s="347"/>
      <c r="K717" s="347"/>
      <c r="L717" s="347"/>
      <c r="M717" s="347"/>
      <c r="N717" s="347"/>
      <c r="O717" s="347"/>
      <c r="P717" s="347"/>
      <c r="Q717" s="347"/>
      <c r="R717" s="347"/>
      <c r="S717" s="347"/>
      <c r="T717" s="347"/>
      <c r="U717" s="347"/>
      <c r="V717" s="347"/>
      <c r="W717" s="347"/>
    </row>
    <row r="718">
      <c r="A718" s="347"/>
      <c r="B718" s="347"/>
      <c r="C718" s="347"/>
      <c r="D718" s="347"/>
      <c r="E718" s="347"/>
      <c r="F718" s="347"/>
      <c r="G718" s="347"/>
      <c r="H718" s="347"/>
      <c r="I718" s="347"/>
      <c r="J718" s="347"/>
      <c r="K718" s="347"/>
      <c r="L718" s="347"/>
      <c r="M718" s="347"/>
      <c r="N718" s="347"/>
      <c r="O718" s="347"/>
      <c r="P718" s="347"/>
      <c r="Q718" s="347"/>
      <c r="R718" s="347"/>
      <c r="S718" s="347"/>
      <c r="T718" s="347"/>
      <c r="U718" s="347"/>
      <c r="V718" s="347"/>
      <c r="W718" s="347"/>
    </row>
    <row r="719">
      <c r="A719" s="347"/>
      <c r="B719" s="347"/>
      <c r="C719" s="347"/>
      <c r="D719" s="347"/>
      <c r="E719" s="347"/>
      <c r="F719" s="347"/>
      <c r="G719" s="347"/>
      <c r="H719" s="347"/>
      <c r="I719" s="347"/>
      <c r="J719" s="347"/>
      <c r="K719" s="347"/>
      <c r="L719" s="347"/>
      <c r="M719" s="347"/>
      <c r="N719" s="347"/>
      <c r="O719" s="347"/>
      <c r="P719" s="347"/>
      <c r="Q719" s="347"/>
      <c r="R719" s="347"/>
      <c r="S719" s="347"/>
      <c r="T719" s="347"/>
      <c r="U719" s="347"/>
      <c r="V719" s="347"/>
      <c r="W719" s="347"/>
    </row>
    <row r="720">
      <c r="A720" s="347"/>
      <c r="B720" s="347"/>
      <c r="C720" s="347"/>
      <c r="D720" s="347"/>
      <c r="E720" s="347"/>
      <c r="F720" s="347"/>
      <c r="G720" s="347"/>
      <c r="H720" s="347"/>
      <c r="I720" s="347"/>
      <c r="J720" s="347"/>
      <c r="K720" s="347"/>
      <c r="L720" s="347"/>
      <c r="M720" s="347"/>
      <c r="N720" s="347"/>
      <c r="O720" s="347"/>
      <c r="P720" s="347"/>
      <c r="Q720" s="347"/>
      <c r="R720" s="347"/>
      <c r="S720" s="347"/>
      <c r="T720" s="347"/>
      <c r="U720" s="347"/>
      <c r="V720" s="347"/>
      <c r="W720" s="347"/>
    </row>
    <row r="721">
      <c r="A721" s="347"/>
      <c r="B721" s="347"/>
      <c r="C721" s="347"/>
      <c r="D721" s="347"/>
      <c r="E721" s="347"/>
      <c r="F721" s="347"/>
      <c r="G721" s="347"/>
      <c r="H721" s="347"/>
      <c r="I721" s="347"/>
      <c r="J721" s="347"/>
      <c r="K721" s="347"/>
      <c r="L721" s="347"/>
      <c r="M721" s="347"/>
      <c r="N721" s="347"/>
      <c r="O721" s="347"/>
      <c r="P721" s="347"/>
      <c r="Q721" s="347"/>
      <c r="R721" s="347"/>
      <c r="S721" s="347"/>
      <c r="T721" s="347"/>
      <c r="U721" s="347"/>
      <c r="V721" s="347"/>
      <c r="W721" s="347"/>
    </row>
    <row r="722">
      <c r="A722" s="347"/>
      <c r="B722" s="347"/>
      <c r="C722" s="347"/>
      <c r="D722" s="347"/>
      <c r="E722" s="347"/>
      <c r="F722" s="347"/>
      <c r="G722" s="347"/>
      <c r="H722" s="347"/>
      <c r="I722" s="347"/>
      <c r="J722" s="347"/>
      <c r="K722" s="347"/>
      <c r="L722" s="347"/>
      <c r="M722" s="347"/>
      <c r="N722" s="347"/>
      <c r="O722" s="347"/>
      <c r="P722" s="347"/>
      <c r="Q722" s="347"/>
      <c r="R722" s="347"/>
      <c r="S722" s="347"/>
      <c r="T722" s="347"/>
      <c r="U722" s="347"/>
      <c r="V722" s="347"/>
      <c r="W722" s="347"/>
    </row>
    <row r="723">
      <c r="A723" s="347"/>
      <c r="B723" s="347"/>
      <c r="C723" s="347"/>
      <c r="D723" s="347"/>
      <c r="E723" s="347"/>
      <c r="F723" s="347"/>
      <c r="G723" s="347"/>
      <c r="H723" s="347"/>
      <c r="I723" s="347"/>
      <c r="J723" s="347"/>
      <c r="K723" s="347"/>
      <c r="L723" s="347"/>
      <c r="M723" s="347"/>
      <c r="N723" s="347"/>
      <c r="O723" s="347"/>
      <c r="P723" s="347"/>
      <c r="Q723" s="347"/>
      <c r="R723" s="347"/>
      <c r="S723" s="347"/>
      <c r="T723" s="347"/>
      <c r="U723" s="347"/>
      <c r="V723" s="347"/>
      <c r="W723" s="347"/>
    </row>
    <row r="724">
      <c r="A724" s="347"/>
      <c r="B724" s="347"/>
      <c r="C724" s="347"/>
      <c r="D724" s="347"/>
      <c r="E724" s="347"/>
      <c r="F724" s="347"/>
      <c r="G724" s="347"/>
      <c r="H724" s="347"/>
      <c r="I724" s="347"/>
      <c r="J724" s="347"/>
      <c r="K724" s="347"/>
      <c r="L724" s="347"/>
      <c r="M724" s="347"/>
      <c r="N724" s="347"/>
      <c r="O724" s="347"/>
      <c r="P724" s="347"/>
      <c r="Q724" s="347"/>
      <c r="R724" s="347"/>
      <c r="S724" s="347"/>
      <c r="T724" s="347"/>
      <c r="U724" s="347"/>
      <c r="V724" s="347"/>
      <c r="W724" s="347"/>
    </row>
    <row r="725">
      <c r="A725" s="347"/>
      <c r="B725" s="347"/>
      <c r="C725" s="347"/>
      <c r="D725" s="347"/>
      <c r="E725" s="347"/>
      <c r="F725" s="347"/>
      <c r="G725" s="347"/>
      <c r="H725" s="347"/>
      <c r="I725" s="347"/>
      <c r="J725" s="347"/>
      <c r="K725" s="347"/>
      <c r="L725" s="347"/>
      <c r="M725" s="347"/>
      <c r="N725" s="347"/>
      <c r="O725" s="347"/>
      <c r="P725" s="347"/>
      <c r="Q725" s="347"/>
      <c r="R725" s="347"/>
      <c r="S725" s="347"/>
      <c r="T725" s="347"/>
      <c r="U725" s="347"/>
      <c r="V725" s="347"/>
      <c r="W725" s="347"/>
    </row>
    <row r="726">
      <c r="A726" s="347"/>
      <c r="B726" s="347"/>
      <c r="C726" s="347"/>
      <c r="D726" s="347"/>
      <c r="E726" s="347"/>
      <c r="F726" s="347"/>
      <c r="G726" s="347"/>
      <c r="H726" s="347"/>
      <c r="I726" s="347"/>
      <c r="J726" s="347"/>
      <c r="K726" s="347"/>
      <c r="L726" s="347"/>
      <c r="M726" s="347"/>
      <c r="N726" s="347"/>
      <c r="O726" s="347"/>
      <c r="P726" s="347"/>
      <c r="Q726" s="347"/>
      <c r="R726" s="347"/>
      <c r="S726" s="347"/>
      <c r="T726" s="347"/>
      <c r="U726" s="347"/>
      <c r="V726" s="347"/>
      <c r="W726" s="347"/>
    </row>
    <row r="727">
      <c r="A727" s="347"/>
      <c r="B727" s="347"/>
      <c r="C727" s="347"/>
      <c r="D727" s="347"/>
      <c r="E727" s="347"/>
      <c r="F727" s="347"/>
      <c r="G727" s="347"/>
      <c r="H727" s="347"/>
      <c r="I727" s="347"/>
      <c r="J727" s="347"/>
      <c r="K727" s="347"/>
      <c r="L727" s="347"/>
      <c r="M727" s="347"/>
      <c r="N727" s="347"/>
      <c r="O727" s="347"/>
      <c r="P727" s="347"/>
      <c r="Q727" s="347"/>
      <c r="R727" s="347"/>
      <c r="S727" s="347"/>
      <c r="T727" s="347"/>
      <c r="U727" s="347"/>
      <c r="V727" s="347"/>
      <c r="W727" s="347"/>
    </row>
    <row r="728">
      <c r="A728" s="347"/>
      <c r="B728" s="347"/>
      <c r="C728" s="347"/>
      <c r="D728" s="347"/>
      <c r="E728" s="347"/>
      <c r="F728" s="347"/>
      <c r="G728" s="347"/>
      <c r="H728" s="347"/>
      <c r="I728" s="347"/>
      <c r="J728" s="347"/>
      <c r="K728" s="347"/>
      <c r="L728" s="347"/>
      <c r="M728" s="347"/>
      <c r="N728" s="347"/>
      <c r="O728" s="347"/>
      <c r="P728" s="347"/>
      <c r="Q728" s="347"/>
      <c r="R728" s="347"/>
      <c r="S728" s="347"/>
      <c r="T728" s="347"/>
      <c r="U728" s="347"/>
      <c r="V728" s="347"/>
      <c r="W728" s="347"/>
    </row>
    <row r="729">
      <c r="A729" s="347"/>
      <c r="B729" s="347"/>
      <c r="C729" s="347"/>
      <c r="D729" s="347"/>
      <c r="E729" s="347"/>
      <c r="F729" s="347"/>
      <c r="G729" s="347"/>
      <c r="H729" s="347"/>
      <c r="I729" s="347"/>
      <c r="J729" s="347"/>
      <c r="K729" s="347"/>
      <c r="L729" s="347"/>
      <c r="M729" s="347"/>
      <c r="N729" s="347"/>
      <c r="O729" s="347"/>
      <c r="P729" s="347"/>
      <c r="Q729" s="347"/>
      <c r="R729" s="347"/>
      <c r="S729" s="347"/>
      <c r="T729" s="347"/>
      <c r="U729" s="347"/>
      <c r="V729" s="347"/>
      <c r="W729" s="347"/>
    </row>
    <row r="730">
      <c r="A730" s="347"/>
      <c r="B730" s="347"/>
      <c r="C730" s="347"/>
      <c r="D730" s="347"/>
      <c r="E730" s="347"/>
      <c r="F730" s="347"/>
      <c r="G730" s="347"/>
      <c r="H730" s="347"/>
      <c r="I730" s="347"/>
      <c r="J730" s="347"/>
      <c r="K730" s="347"/>
      <c r="L730" s="347"/>
      <c r="M730" s="347"/>
      <c r="N730" s="347"/>
      <c r="O730" s="347"/>
      <c r="P730" s="347"/>
      <c r="Q730" s="347"/>
      <c r="R730" s="347"/>
      <c r="S730" s="347"/>
      <c r="T730" s="347"/>
      <c r="U730" s="347"/>
      <c r="V730" s="347"/>
      <c r="W730" s="347"/>
    </row>
    <row r="731">
      <c r="A731" s="347"/>
      <c r="B731" s="347"/>
      <c r="C731" s="347"/>
      <c r="D731" s="347"/>
      <c r="E731" s="347"/>
      <c r="F731" s="347"/>
      <c r="G731" s="347"/>
      <c r="H731" s="347"/>
      <c r="I731" s="347"/>
      <c r="J731" s="347"/>
      <c r="K731" s="347"/>
      <c r="L731" s="347"/>
      <c r="M731" s="347"/>
      <c r="N731" s="347"/>
      <c r="O731" s="347"/>
      <c r="P731" s="347"/>
      <c r="Q731" s="347"/>
      <c r="R731" s="347"/>
      <c r="S731" s="347"/>
      <c r="T731" s="347"/>
      <c r="U731" s="347"/>
      <c r="V731" s="347"/>
      <c r="W731" s="347"/>
    </row>
    <row r="732">
      <c r="A732" s="347"/>
      <c r="B732" s="347"/>
      <c r="C732" s="347"/>
      <c r="D732" s="347"/>
      <c r="E732" s="347"/>
      <c r="F732" s="347"/>
      <c r="G732" s="347"/>
      <c r="H732" s="347"/>
      <c r="I732" s="347"/>
      <c r="J732" s="347"/>
      <c r="K732" s="347"/>
      <c r="L732" s="347"/>
      <c r="M732" s="347"/>
      <c r="N732" s="347"/>
      <c r="O732" s="347"/>
      <c r="P732" s="347"/>
      <c r="Q732" s="347"/>
      <c r="R732" s="347"/>
      <c r="S732" s="347"/>
      <c r="T732" s="347"/>
      <c r="U732" s="347"/>
      <c r="V732" s="347"/>
      <c r="W732" s="347"/>
    </row>
    <row r="733">
      <c r="A733" s="347"/>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row>
    <row r="734">
      <c r="A734" s="347"/>
      <c r="B734" s="347"/>
      <c r="C734" s="347"/>
      <c r="D734" s="347"/>
      <c r="E734" s="347"/>
      <c r="F734" s="347"/>
      <c r="G734" s="347"/>
      <c r="H734" s="347"/>
      <c r="I734" s="347"/>
      <c r="J734" s="347"/>
      <c r="K734" s="347"/>
      <c r="L734" s="347"/>
      <c r="M734" s="347"/>
      <c r="N734" s="347"/>
      <c r="O734" s="347"/>
      <c r="P734" s="347"/>
      <c r="Q734" s="347"/>
      <c r="R734" s="347"/>
      <c r="S734" s="347"/>
      <c r="T734" s="347"/>
      <c r="U734" s="347"/>
      <c r="V734" s="347"/>
      <c r="W734" s="347"/>
    </row>
    <row r="735">
      <c r="A735" s="347"/>
      <c r="B735" s="347"/>
      <c r="C735" s="347"/>
      <c r="D735" s="347"/>
      <c r="E735" s="347"/>
      <c r="F735" s="347"/>
      <c r="G735" s="347"/>
      <c r="H735" s="347"/>
      <c r="I735" s="347"/>
      <c r="J735" s="347"/>
      <c r="K735" s="347"/>
      <c r="L735" s="347"/>
      <c r="M735" s="347"/>
      <c r="N735" s="347"/>
      <c r="O735" s="347"/>
      <c r="P735" s="347"/>
      <c r="Q735" s="347"/>
      <c r="R735" s="347"/>
      <c r="S735" s="347"/>
      <c r="T735" s="347"/>
      <c r="U735" s="347"/>
      <c r="V735" s="347"/>
      <c r="W735" s="347"/>
    </row>
    <row r="736">
      <c r="A736" s="347"/>
      <c r="B736" s="347"/>
      <c r="C736" s="347"/>
      <c r="D736" s="347"/>
      <c r="E736" s="347"/>
      <c r="F736" s="347"/>
      <c r="G736" s="347"/>
      <c r="H736" s="347"/>
      <c r="I736" s="347"/>
      <c r="J736" s="347"/>
      <c r="K736" s="347"/>
      <c r="L736" s="347"/>
      <c r="M736" s="347"/>
      <c r="N736" s="347"/>
      <c r="O736" s="347"/>
      <c r="P736" s="347"/>
      <c r="Q736" s="347"/>
      <c r="R736" s="347"/>
      <c r="S736" s="347"/>
      <c r="T736" s="347"/>
      <c r="U736" s="347"/>
      <c r="V736" s="347"/>
      <c r="W736" s="347"/>
    </row>
    <row r="737">
      <c r="A737" s="347"/>
      <c r="B737" s="347"/>
      <c r="C737" s="347"/>
      <c r="D737" s="347"/>
      <c r="E737" s="347"/>
      <c r="F737" s="347"/>
      <c r="G737" s="347"/>
      <c r="H737" s="347"/>
      <c r="I737" s="347"/>
      <c r="J737" s="347"/>
      <c r="K737" s="347"/>
      <c r="L737" s="347"/>
      <c r="M737" s="347"/>
      <c r="N737" s="347"/>
      <c r="O737" s="347"/>
      <c r="P737" s="347"/>
      <c r="Q737" s="347"/>
      <c r="R737" s="347"/>
      <c r="S737" s="347"/>
      <c r="T737" s="347"/>
      <c r="U737" s="347"/>
      <c r="V737" s="347"/>
      <c r="W737" s="347"/>
    </row>
    <row r="738">
      <c r="A738" s="347"/>
      <c r="B738" s="347"/>
      <c r="C738" s="347"/>
      <c r="D738" s="347"/>
      <c r="E738" s="347"/>
      <c r="F738" s="347"/>
      <c r="G738" s="347"/>
      <c r="H738" s="347"/>
      <c r="I738" s="347"/>
      <c r="J738" s="347"/>
      <c r="K738" s="347"/>
      <c r="L738" s="347"/>
      <c r="M738" s="347"/>
      <c r="N738" s="347"/>
      <c r="O738" s="347"/>
      <c r="P738" s="347"/>
      <c r="Q738" s="347"/>
      <c r="R738" s="347"/>
      <c r="S738" s="347"/>
      <c r="T738" s="347"/>
      <c r="U738" s="347"/>
      <c r="V738" s="347"/>
      <c r="W738" s="347"/>
    </row>
    <row r="739">
      <c r="A739" s="347"/>
      <c r="B739" s="347"/>
      <c r="C739" s="347"/>
      <c r="D739" s="347"/>
      <c r="E739" s="347"/>
      <c r="F739" s="347"/>
      <c r="G739" s="347"/>
      <c r="H739" s="347"/>
      <c r="I739" s="347"/>
      <c r="J739" s="347"/>
      <c r="K739" s="347"/>
      <c r="L739" s="347"/>
      <c r="M739" s="347"/>
      <c r="N739" s="347"/>
      <c r="O739" s="347"/>
      <c r="P739" s="347"/>
      <c r="Q739" s="347"/>
      <c r="R739" s="347"/>
      <c r="S739" s="347"/>
      <c r="T739" s="347"/>
      <c r="U739" s="347"/>
      <c r="V739" s="347"/>
      <c r="W739" s="347"/>
    </row>
    <row r="740">
      <c r="A740" s="347"/>
      <c r="B740" s="347"/>
      <c r="C740" s="347"/>
      <c r="D740" s="347"/>
      <c r="E740" s="347"/>
      <c r="F740" s="347"/>
      <c r="G740" s="347"/>
      <c r="H740" s="347"/>
      <c r="I740" s="347"/>
      <c r="J740" s="347"/>
      <c r="K740" s="347"/>
      <c r="L740" s="347"/>
      <c r="M740" s="347"/>
      <c r="N740" s="347"/>
      <c r="O740" s="347"/>
      <c r="P740" s="347"/>
      <c r="Q740" s="347"/>
      <c r="R740" s="347"/>
      <c r="S740" s="347"/>
      <c r="T740" s="347"/>
      <c r="U740" s="347"/>
      <c r="V740" s="347"/>
      <c r="W740" s="347"/>
    </row>
    <row r="741">
      <c r="A741" s="347"/>
      <c r="B741" s="347"/>
      <c r="C741" s="347"/>
      <c r="D741" s="347"/>
      <c r="E741" s="347"/>
      <c r="F741" s="347"/>
      <c r="G741" s="347"/>
      <c r="H741" s="347"/>
      <c r="I741" s="347"/>
      <c r="J741" s="347"/>
      <c r="K741" s="347"/>
      <c r="L741" s="347"/>
      <c r="M741" s="347"/>
      <c r="N741" s="347"/>
      <c r="O741" s="347"/>
      <c r="P741" s="347"/>
      <c r="Q741" s="347"/>
      <c r="R741" s="347"/>
      <c r="S741" s="347"/>
      <c r="T741" s="347"/>
      <c r="U741" s="347"/>
      <c r="V741" s="347"/>
      <c r="W741" s="347"/>
    </row>
    <row r="742">
      <c r="A742" s="347"/>
      <c r="B742" s="347"/>
      <c r="C742" s="347"/>
      <c r="D742" s="347"/>
      <c r="E742" s="347"/>
      <c r="F742" s="347"/>
      <c r="G742" s="347"/>
      <c r="H742" s="347"/>
      <c r="I742" s="347"/>
      <c r="J742" s="347"/>
      <c r="K742" s="347"/>
      <c r="L742" s="347"/>
      <c r="M742" s="347"/>
      <c r="N742" s="347"/>
      <c r="O742" s="347"/>
      <c r="P742" s="347"/>
      <c r="Q742" s="347"/>
      <c r="R742" s="347"/>
      <c r="S742" s="347"/>
      <c r="T742" s="347"/>
      <c r="U742" s="347"/>
      <c r="V742" s="347"/>
      <c r="W742" s="347"/>
    </row>
    <row r="743">
      <c r="A743" s="347"/>
      <c r="B743" s="347"/>
      <c r="C743" s="347"/>
      <c r="D743" s="347"/>
      <c r="E743" s="347"/>
      <c r="F743" s="347"/>
      <c r="G743" s="347"/>
      <c r="H743" s="347"/>
      <c r="I743" s="347"/>
      <c r="J743" s="347"/>
      <c r="K743" s="347"/>
      <c r="L743" s="347"/>
      <c r="M743" s="347"/>
      <c r="N743" s="347"/>
      <c r="O743" s="347"/>
      <c r="P743" s="347"/>
      <c r="Q743" s="347"/>
      <c r="R743" s="347"/>
      <c r="S743" s="347"/>
      <c r="T743" s="347"/>
      <c r="U743" s="347"/>
      <c r="V743" s="347"/>
      <c r="W743" s="347"/>
    </row>
    <row r="744">
      <c r="A744" s="347"/>
      <c r="B744" s="347"/>
      <c r="C744" s="347"/>
      <c r="D744" s="347"/>
      <c r="E744" s="347"/>
      <c r="F744" s="347"/>
      <c r="G744" s="347"/>
      <c r="H744" s="347"/>
      <c r="I744" s="347"/>
      <c r="J744" s="347"/>
      <c r="K744" s="347"/>
      <c r="L744" s="347"/>
      <c r="M744" s="347"/>
      <c r="N744" s="347"/>
      <c r="O744" s="347"/>
      <c r="P744" s="347"/>
      <c r="Q744" s="347"/>
      <c r="R744" s="347"/>
      <c r="S744" s="347"/>
      <c r="T744" s="347"/>
      <c r="U744" s="347"/>
      <c r="V744" s="347"/>
      <c r="W744" s="347"/>
    </row>
    <row r="745">
      <c r="A745" s="347"/>
      <c r="B745" s="347"/>
      <c r="C745" s="347"/>
      <c r="D745" s="347"/>
      <c r="E745" s="347"/>
      <c r="F745" s="347"/>
      <c r="G745" s="347"/>
      <c r="H745" s="347"/>
      <c r="I745" s="347"/>
      <c r="J745" s="347"/>
      <c r="K745" s="347"/>
      <c r="L745" s="347"/>
      <c r="M745" s="347"/>
      <c r="N745" s="347"/>
      <c r="O745" s="347"/>
      <c r="P745" s="347"/>
      <c r="Q745" s="347"/>
      <c r="R745" s="347"/>
      <c r="S745" s="347"/>
      <c r="T745" s="347"/>
      <c r="U745" s="347"/>
      <c r="V745" s="347"/>
      <c r="W745" s="347"/>
    </row>
    <row r="746">
      <c r="A746" s="347"/>
      <c r="B746" s="347"/>
      <c r="C746" s="347"/>
      <c r="D746" s="347"/>
      <c r="E746" s="347"/>
      <c r="F746" s="347"/>
      <c r="G746" s="347"/>
      <c r="H746" s="347"/>
      <c r="I746" s="347"/>
      <c r="J746" s="347"/>
      <c r="K746" s="347"/>
      <c r="L746" s="347"/>
      <c r="M746" s="347"/>
      <c r="N746" s="347"/>
      <c r="O746" s="347"/>
      <c r="P746" s="347"/>
      <c r="Q746" s="347"/>
      <c r="R746" s="347"/>
      <c r="S746" s="347"/>
      <c r="T746" s="347"/>
      <c r="U746" s="347"/>
      <c r="V746" s="347"/>
      <c r="W746" s="347"/>
    </row>
    <row r="747">
      <c r="A747" s="347"/>
      <c r="B747" s="347"/>
      <c r="C747" s="347"/>
      <c r="D747" s="347"/>
      <c r="E747" s="347"/>
      <c r="F747" s="347"/>
      <c r="G747" s="347"/>
      <c r="H747" s="347"/>
      <c r="I747" s="347"/>
      <c r="J747" s="347"/>
      <c r="K747" s="347"/>
      <c r="L747" s="347"/>
      <c r="M747" s="347"/>
      <c r="N747" s="347"/>
      <c r="O747" s="347"/>
      <c r="P747" s="347"/>
      <c r="Q747" s="347"/>
      <c r="R747" s="347"/>
      <c r="S747" s="347"/>
      <c r="T747" s="347"/>
      <c r="U747" s="347"/>
      <c r="V747" s="347"/>
      <c r="W747" s="347"/>
    </row>
    <row r="748">
      <c r="A748" s="347"/>
      <c r="B748" s="347"/>
      <c r="C748" s="347"/>
      <c r="D748" s="347"/>
      <c r="E748" s="347"/>
      <c r="F748" s="347"/>
      <c r="G748" s="347"/>
      <c r="H748" s="347"/>
      <c r="I748" s="347"/>
      <c r="J748" s="347"/>
      <c r="K748" s="347"/>
      <c r="L748" s="347"/>
      <c r="M748" s="347"/>
      <c r="N748" s="347"/>
      <c r="O748" s="347"/>
      <c r="P748" s="347"/>
      <c r="Q748" s="347"/>
      <c r="R748" s="347"/>
      <c r="S748" s="347"/>
      <c r="T748" s="347"/>
      <c r="U748" s="347"/>
      <c r="V748" s="347"/>
      <c r="W748" s="347"/>
    </row>
    <row r="749">
      <c r="A749" s="347"/>
      <c r="B749" s="347"/>
      <c r="C749" s="347"/>
      <c r="D749" s="347"/>
      <c r="E749" s="347"/>
      <c r="F749" s="347"/>
      <c r="G749" s="347"/>
      <c r="H749" s="347"/>
      <c r="I749" s="347"/>
      <c r="J749" s="347"/>
      <c r="K749" s="347"/>
      <c r="L749" s="347"/>
      <c r="M749" s="347"/>
      <c r="N749" s="347"/>
      <c r="O749" s="347"/>
      <c r="P749" s="347"/>
      <c r="Q749" s="347"/>
      <c r="R749" s="347"/>
      <c r="S749" s="347"/>
      <c r="T749" s="347"/>
      <c r="U749" s="347"/>
      <c r="V749" s="347"/>
      <c r="W749" s="347"/>
    </row>
    <row r="750">
      <c r="A750" s="347"/>
      <c r="B750" s="347"/>
      <c r="C750" s="347"/>
      <c r="D750" s="347"/>
      <c r="E750" s="347"/>
      <c r="F750" s="347"/>
      <c r="G750" s="347"/>
      <c r="H750" s="347"/>
      <c r="I750" s="347"/>
      <c r="J750" s="347"/>
      <c r="K750" s="347"/>
      <c r="L750" s="347"/>
      <c r="M750" s="347"/>
      <c r="N750" s="347"/>
      <c r="O750" s="347"/>
      <c r="P750" s="347"/>
      <c r="Q750" s="347"/>
      <c r="R750" s="347"/>
      <c r="S750" s="347"/>
      <c r="T750" s="347"/>
      <c r="U750" s="347"/>
      <c r="V750" s="347"/>
      <c r="W750" s="347"/>
    </row>
    <row r="751">
      <c r="A751" s="347"/>
      <c r="B751" s="347"/>
      <c r="C751" s="347"/>
      <c r="D751" s="347"/>
      <c r="E751" s="347"/>
      <c r="F751" s="347"/>
      <c r="G751" s="347"/>
      <c r="H751" s="347"/>
      <c r="I751" s="347"/>
      <c r="J751" s="347"/>
      <c r="K751" s="347"/>
      <c r="L751" s="347"/>
      <c r="M751" s="347"/>
      <c r="N751" s="347"/>
      <c r="O751" s="347"/>
      <c r="P751" s="347"/>
      <c r="Q751" s="347"/>
      <c r="R751" s="347"/>
      <c r="S751" s="347"/>
      <c r="T751" s="347"/>
      <c r="U751" s="347"/>
      <c r="V751" s="347"/>
      <c r="W751" s="347"/>
    </row>
    <row r="752">
      <c r="A752" s="347"/>
      <c r="B752" s="347"/>
      <c r="C752" s="347"/>
      <c r="D752" s="347"/>
      <c r="E752" s="347"/>
      <c r="F752" s="347"/>
      <c r="G752" s="347"/>
      <c r="H752" s="347"/>
      <c r="I752" s="347"/>
      <c r="J752" s="347"/>
      <c r="K752" s="347"/>
      <c r="L752" s="347"/>
      <c r="M752" s="347"/>
      <c r="N752" s="347"/>
      <c r="O752" s="347"/>
      <c r="P752" s="347"/>
      <c r="Q752" s="347"/>
      <c r="R752" s="347"/>
      <c r="S752" s="347"/>
      <c r="T752" s="347"/>
      <c r="U752" s="347"/>
      <c r="V752" s="347"/>
      <c r="W752" s="347"/>
    </row>
    <row r="753">
      <c r="A753" s="347"/>
      <c r="B753" s="347"/>
      <c r="C753" s="347"/>
      <c r="D753" s="347"/>
      <c r="E753" s="347"/>
      <c r="F753" s="347"/>
      <c r="G753" s="347"/>
      <c r="H753" s="347"/>
      <c r="I753" s="347"/>
      <c r="J753" s="347"/>
      <c r="K753" s="347"/>
      <c r="L753" s="347"/>
      <c r="M753" s="347"/>
      <c r="N753" s="347"/>
      <c r="O753" s="347"/>
      <c r="P753" s="347"/>
      <c r="Q753" s="347"/>
      <c r="R753" s="347"/>
      <c r="S753" s="347"/>
      <c r="T753" s="347"/>
      <c r="U753" s="347"/>
      <c r="V753" s="347"/>
      <c r="W753" s="347"/>
    </row>
    <row r="754">
      <c r="A754" s="347"/>
      <c r="B754" s="347"/>
      <c r="C754" s="347"/>
      <c r="D754" s="347"/>
      <c r="E754" s="347"/>
      <c r="F754" s="347"/>
      <c r="G754" s="347"/>
      <c r="H754" s="347"/>
      <c r="I754" s="347"/>
      <c r="J754" s="347"/>
      <c r="K754" s="347"/>
      <c r="L754" s="347"/>
      <c r="M754" s="347"/>
      <c r="N754" s="347"/>
      <c r="O754" s="347"/>
      <c r="P754" s="347"/>
      <c r="Q754" s="347"/>
      <c r="R754" s="347"/>
      <c r="S754" s="347"/>
      <c r="T754" s="347"/>
      <c r="U754" s="347"/>
      <c r="V754" s="347"/>
      <c r="W754" s="347"/>
    </row>
    <row r="755">
      <c r="A755" s="347"/>
      <c r="B755" s="347"/>
      <c r="C755" s="347"/>
      <c r="D755" s="347"/>
      <c r="E755" s="347"/>
      <c r="F755" s="347"/>
      <c r="G755" s="347"/>
      <c r="H755" s="347"/>
      <c r="I755" s="347"/>
      <c r="J755" s="347"/>
      <c r="K755" s="347"/>
      <c r="L755" s="347"/>
      <c r="M755" s="347"/>
      <c r="N755" s="347"/>
      <c r="O755" s="347"/>
      <c r="P755" s="347"/>
      <c r="Q755" s="347"/>
      <c r="R755" s="347"/>
      <c r="S755" s="347"/>
      <c r="T755" s="347"/>
      <c r="U755" s="347"/>
      <c r="V755" s="347"/>
      <c r="W755" s="347"/>
    </row>
    <row r="756">
      <c r="A756" s="347"/>
      <c r="B756" s="347"/>
      <c r="C756" s="347"/>
      <c r="D756" s="347"/>
      <c r="E756" s="347"/>
      <c r="F756" s="347"/>
      <c r="G756" s="347"/>
      <c r="H756" s="347"/>
      <c r="I756" s="347"/>
      <c r="J756" s="347"/>
      <c r="K756" s="347"/>
      <c r="L756" s="347"/>
      <c r="M756" s="347"/>
      <c r="N756" s="347"/>
      <c r="O756" s="347"/>
      <c r="P756" s="347"/>
      <c r="Q756" s="347"/>
      <c r="R756" s="347"/>
      <c r="S756" s="347"/>
      <c r="T756" s="347"/>
      <c r="U756" s="347"/>
      <c r="V756" s="347"/>
      <c r="W756" s="347"/>
    </row>
    <row r="757">
      <c r="A757" s="347"/>
      <c r="B757" s="347"/>
      <c r="C757" s="347"/>
      <c r="D757" s="347"/>
      <c r="E757" s="347"/>
      <c r="F757" s="347"/>
      <c r="G757" s="347"/>
      <c r="H757" s="347"/>
      <c r="I757" s="347"/>
      <c r="J757" s="347"/>
      <c r="K757" s="347"/>
      <c r="L757" s="347"/>
      <c r="M757" s="347"/>
      <c r="N757" s="347"/>
      <c r="O757" s="347"/>
      <c r="P757" s="347"/>
      <c r="Q757" s="347"/>
      <c r="R757" s="347"/>
      <c r="S757" s="347"/>
      <c r="T757" s="347"/>
      <c r="U757" s="347"/>
      <c r="V757" s="347"/>
      <c r="W757" s="347"/>
    </row>
    <row r="758">
      <c r="A758" s="347"/>
      <c r="B758" s="347"/>
      <c r="C758" s="347"/>
      <c r="D758" s="347"/>
      <c r="E758" s="347"/>
      <c r="F758" s="347"/>
      <c r="G758" s="347"/>
      <c r="H758" s="347"/>
      <c r="I758" s="347"/>
      <c r="J758" s="347"/>
      <c r="K758" s="347"/>
      <c r="L758" s="347"/>
      <c r="M758" s="347"/>
      <c r="N758" s="347"/>
      <c r="O758" s="347"/>
      <c r="P758" s="347"/>
      <c r="Q758" s="347"/>
      <c r="R758" s="347"/>
      <c r="S758" s="347"/>
      <c r="T758" s="347"/>
      <c r="U758" s="347"/>
      <c r="V758" s="347"/>
      <c r="W758" s="347"/>
    </row>
    <row r="759">
      <c r="A759" s="347"/>
      <c r="B759" s="347"/>
      <c r="C759" s="347"/>
      <c r="D759" s="347"/>
      <c r="E759" s="347"/>
      <c r="F759" s="347"/>
      <c r="G759" s="347"/>
      <c r="H759" s="347"/>
      <c r="I759" s="347"/>
      <c r="J759" s="347"/>
      <c r="K759" s="347"/>
      <c r="L759" s="347"/>
      <c r="M759" s="347"/>
      <c r="N759" s="347"/>
      <c r="O759" s="347"/>
      <c r="P759" s="347"/>
      <c r="Q759" s="347"/>
      <c r="R759" s="347"/>
      <c r="S759" s="347"/>
      <c r="T759" s="347"/>
      <c r="U759" s="347"/>
      <c r="V759" s="347"/>
      <c r="W759" s="347"/>
    </row>
    <row r="760">
      <c r="A760" s="347"/>
      <c r="B760" s="347"/>
      <c r="C760" s="347"/>
      <c r="D760" s="347"/>
      <c r="E760" s="347"/>
      <c r="F760" s="347"/>
      <c r="G760" s="347"/>
      <c r="H760" s="347"/>
      <c r="I760" s="347"/>
      <c r="J760" s="347"/>
      <c r="K760" s="347"/>
      <c r="L760" s="347"/>
      <c r="M760" s="347"/>
      <c r="N760" s="347"/>
      <c r="O760" s="347"/>
      <c r="P760" s="347"/>
      <c r="Q760" s="347"/>
      <c r="R760" s="347"/>
      <c r="S760" s="347"/>
      <c r="T760" s="347"/>
      <c r="U760" s="347"/>
      <c r="V760" s="347"/>
      <c r="W760" s="347"/>
    </row>
    <row r="761">
      <c r="A761" s="347"/>
      <c r="B761" s="347"/>
      <c r="C761" s="347"/>
      <c r="D761" s="347"/>
      <c r="E761" s="347"/>
      <c r="F761" s="347"/>
      <c r="G761" s="347"/>
      <c r="H761" s="347"/>
      <c r="I761" s="347"/>
      <c r="J761" s="347"/>
      <c r="K761" s="347"/>
      <c r="L761" s="347"/>
      <c r="M761" s="347"/>
      <c r="N761" s="347"/>
      <c r="O761" s="347"/>
      <c r="P761" s="347"/>
      <c r="Q761" s="347"/>
      <c r="R761" s="347"/>
      <c r="S761" s="347"/>
      <c r="T761" s="347"/>
      <c r="U761" s="347"/>
      <c r="V761" s="347"/>
      <c r="W761" s="347"/>
    </row>
    <row r="762">
      <c r="A762" s="347"/>
      <c r="B762" s="347"/>
      <c r="C762" s="347"/>
      <c r="D762" s="347"/>
      <c r="E762" s="347"/>
      <c r="F762" s="347"/>
      <c r="G762" s="347"/>
      <c r="H762" s="347"/>
      <c r="I762" s="347"/>
      <c r="J762" s="347"/>
      <c r="K762" s="347"/>
      <c r="L762" s="347"/>
      <c r="M762" s="347"/>
      <c r="N762" s="347"/>
      <c r="O762" s="347"/>
      <c r="P762" s="347"/>
      <c r="Q762" s="347"/>
      <c r="R762" s="347"/>
      <c r="S762" s="347"/>
      <c r="T762" s="347"/>
      <c r="U762" s="347"/>
      <c r="V762" s="347"/>
      <c r="W762" s="347"/>
    </row>
    <row r="763">
      <c r="A763" s="347"/>
      <c r="B763" s="347"/>
      <c r="C763" s="347"/>
      <c r="D763" s="347"/>
      <c r="E763" s="347"/>
      <c r="F763" s="347"/>
      <c r="G763" s="347"/>
      <c r="H763" s="347"/>
      <c r="I763" s="347"/>
      <c r="J763" s="347"/>
      <c r="K763" s="347"/>
      <c r="L763" s="347"/>
      <c r="M763" s="347"/>
      <c r="N763" s="347"/>
      <c r="O763" s="347"/>
      <c r="P763" s="347"/>
      <c r="Q763" s="347"/>
      <c r="R763" s="347"/>
      <c r="S763" s="347"/>
      <c r="T763" s="347"/>
      <c r="U763" s="347"/>
      <c r="V763" s="347"/>
      <c r="W763" s="347"/>
    </row>
    <row r="764">
      <c r="A764" s="347"/>
      <c r="B764" s="347"/>
      <c r="C764" s="347"/>
      <c r="D764" s="347"/>
      <c r="E764" s="347"/>
      <c r="F764" s="347"/>
      <c r="G764" s="347"/>
      <c r="H764" s="347"/>
      <c r="I764" s="347"/>
      <c r="J764" s="347"/>
      <c r="K764" s="347"/>
      <c r="L764" s="347"/>
      <c r="M764" s="347"/>
      <c r="N764" s="347"/>
      <c r="O764" s="347"/>
      <c r="P764" s="347"/>
      <c r="Q764" s="347"/>
      <c r="R764" s="347"/>
      <c r="S764" s="347"/>
      <c r="T764" s="347"/>
      <c r="U764" s="347"/>
      <c r="V764" s="347"/>
      <c r="W764" s="347"/>
    </row>
    <row r="765">
      <c r="A765" s="347"/>
      <c r="B765" s="347"/>
      <c r="C765" s="347"/>
      <c r="D765" s="347"/>
      <c r="E765" s="347"/>
      <c r="F765" s="347"/>
      <c r="G765" s="347"/>
      <c r="H765" s="347"/>
      <c r="I765" s="347"/>
      <c r="J765" s="347"/>
      <c r="K765" s="347"/>
      <c r="L765" s="347"/>
      <c r="M765" s="347"/>
      <c r="N765" s="347"/>
      <c r="O765" s="347"/>
      <c r="P765" s="347"/>
      <c r="Q765" s="347"/>
      <c r="R765" s="347"/>
      <c r="S765" s="347"/>
      <c r="T765" s="347"/>
      <c r="U765" s="347"/>
      <c r="V765" s="347"/>
      <c r="W765" s="347"/>
    </row>
    <row r="766">
      <c r="A766" s="347"/>
      <c r="B766" s="347"/>
      <c r="C766" s="347"/>
      <c r="D766" s="347"/>
      <c r="E766" s="347"/>
      <c r="F766" s="347"/>
      <c r="G766" s="347"/>
      <c r="H766" s="347"/>
      <c r="I766" s="347"/>
      <c r="J766" s="347"/>
      <c r="K766" s="347"/>
      <c r="L766" s="347"/>
      <c r="M766" s="347"/>
      <c r="N766" s="347"/>
      <c r="O766" s="347"/>
      <c r="P766" s="347"/>
      <c r="Q766" s="347"/>
      <c r="R766" s="347"/>
      <c r="S766" s="347"/>
      <c r="T766" s="347"/>
      <c r="U766" s="347"/>
      <c r="V766" s="347"/>
      <c r="W766" s="347"/>
    </row>
    <row r="767">
      <c r="A767" s="347"/>
      <c r="B767" s="347"/>
      <c r="C767" s="347"/>
      <c r="D767" s="347"/>
      <c r="E767" s="347"/>
      <c r="F767" s="347"/>
      <c r="G767" s="347"/>
      <c r="H767" s="347"/>
      <c r="I767" s="347"/>
      <c r="J767" s="347"/>
      <c r="K767" s="347"/>
      <c r="L767" s="347"/>
      <c r="M767" s="347"/>
      <c r="N767" s="347"/>
      <c r="O767" s="347"/>
      <c r="P767" s="347"/>
      <c r="Q767" s="347"/>
      <c r="R767" s="347"/>
      <c r="S767" s="347"/>
      <c r="T767" s="347"/>
      <c r="U767" s="347"/>
      <c r="V767" s="347"/>
      <c r="W767" s="347"/>
    </row>
    <row r="768">
      <c r="A768" s="347"/>
      <c r="B768" s="347"/>
      <c r="C768" s="347"/>
      <c r="D768" s="347"/>
      <c r="E768" s="347"/>
      <c r="F768" s="347"/>
      <c r="G768" s="347"/>
      <c r="H768" s="347"/>
      <c r="I768" s="347"/>
      <c r="J768" s="347"/>
      <c r="K768" s="347"/>
      <c r="L768" s="347"/>
      <c r="M768" s="347"/>
      <c r="N768" s="347"/>
      <c r="O768" s="347"/>
      <c r="P768" s="347"/>
      <c r="Q768" s="347"/>
      <c r="R768" s="347"/>
      <c r="S768" s="347"/>
      <c r="T768" s="347"/>
      <c r="U768" s="347"/>
      <c r="V768" s="347"/>
      <c r="W768" s="347"/>
    </row>
    <row r="769">
      <c r="A769" s="347"/>
      <c r="B769" s="347"/>
      <c r="C769" s="347"/>
      <c r="D769" s="347"/>
      <c r="E769" s="347"/>
      <c r="F769" s="347"/>
      <c r="G769" s="347"/>
      <c r="H769" s="347"/>
      <c r="I769" s="347"/>
      <c r="J769" s="347"/>
      <c r="K769" s="347"/>
      <c r="L769" s="347"/>
      <c r="M769" s="347"/>
      <c r="N769" s="347"/>
      <c r="O769" s="347"/>
      <c r="P769" s="347"/>
      <c r="Q769" s="347"/>
      <c r="R769" s="347"/>
      <c r="S769" s="347"/>
      <c r="T769" s="347"/>
      <c r="U769" s="347"/>
      <c r="V769" s="347"/>
      <c r="W769" s="347"/>
    </row>
    <row r="770">
      <c r="A770" s="347"/>
      <c r="B770" s="347"/>
      <c r="C770" s="347"/>
      <c r="D770" s="347"/>
      <c r="E770" s="347"/>
      <c r="F770" s="347"/>
      <c r="G770" s="347"/>
      <c r="H770" s="347"/>
      <c r="I770" s="347"/>
      <c r="J770" s="347"/>
      <c r="K770" s="347"/>
      <c r="L770" s="347"/>
      <c r="M770" s="347"/>
      <c r="N770" s="347"/>
      <c r="O770" s="347"/>
      <c r="P770" s="347"/>
      <c r="Q770" s="347"/>
      <c r="R770" s="347"/>
      <c r="S770" s="347"/>
      <c r="T770" s="347"/>
      <c r="U770" s="347"/>
      <c r="V770" s="347"/>
      <c r="W770" s="347"/>
    </row>
    <row r="771">
      <c r="A771" s="347"/>
      <c r="B771" s="347"/>
      <c r="C771" s="347"/>
      <c r="D771" s="347"/>
      <c r="E771" s="347"/>
      <c r="F771" s="347"/>
      <c r="G771" s="347"/>
      <c r="H771" s="347"/>
      <c r="I771" s="347"/>
      <c r="J771" s="347"/>
      <c r="K771" s="347"/>
      <c r="L771" s="347"/>
      <c r="M771" s="347"/>
      <c r="N771" s="347"/>
      <c r="O771" s="347"/>
      <c r="P771" s="347"/>
      <c r="Q771" s="347"/>
      <c r="R771" s="347"/>
      <c r="S771" s="347"/>
      <c r="T771" s="347"/>
      <c r="U771" s="347"/>
      <c r="V771" s="347"/>
      <c r="W771" s="347"/>
    </row>
    <row r="772">
      <c r="A772" s="347"/>
      <c r="B772" s="347"/>
      <c r="C772" s="347"/>
      <c r="D772" s="347"/>
      <c r="E772" s="347"/>
      <c r="F772" s="347"/>
      <c r="G772" s="347"/>
      <c r="H772" s="347"/>
      <c r="I772" s="347"/>
      <c r="J772" s="347"/>
      <c r="K772" s="347"/>
      <c r="L772" s="347"/>
      <c r="M772" s="347"/>
      <c r="N772" s="347"/>
      <c r="O772" s="347"/>
      <c r="P772" s="347"/>
      <c r="Q772" s="347"/>
      <c r="R772" s="347"/>
      <c r="S772" s="347"/>
      <c r="T772" s="347"/>
      <c r="U772" s="347"/>
      <c r="V772" s="347"/>
      <c r="W772" s="347"/>
    </row>
    <row r="773">
      <c r="A773" s="347"/>
      <c r="B773" s="347"/>
      <c r="C773" s="347"/>
      <c r="D773" s="347"/>
      <c r="E773" s="347"/>
      <c r="F773" s="347"/>
      <c r="G773" s="347"/>
      <c r="H773" s="347"/>
      <c r="I773" s="347"/>
      <c r="J773" s="347"/>
      <c r="K773" s="347"/>
      <c r="L773" s="347"/>
      <c r="M773" s="347"/>
      <c r="N773" s="347"/>
      <c r="O773" s="347"/>
      <c r="P773" s="347"/>
      <c r="Q773" s="347"/>
      <c r="R773" s="347"/>
      <c r="S773" s="347"/>
      <c r="T773" s="347"/>
      <c r="U773" s="347"/>
      <c r="V773" s="347"/>
      <c r="W773" s="347"/>
    </row>
    <row r="774">
      <c r="A774" s="347"/>
      <c r="B774" s="347"/>
      <c r="C774" s="347"/>
      <c r="D774" s="347"/>
      <c r="E774" s="347"/>
      <c r="F774" s="347"/>
      <c r="G774" s="347"/>
      <c r="H774" s="347"/>
      <c r="I774" s="347"/>
      <c r="J774" s="347"/>
      <c r="K774" s="347"/>
      <c r="L774" s="347"/>
      <c r="M774" s="347"/>
      <c r="N774" s="347"/>
      <c r="O774" s="347"/>
      <c r="P774" s="347"/>
      <c r="Q774" s="347"/>
      <c r="R774" s="347"/>
      <c r="S774" s="347"/>
      <c r="T774" s="347"/>
      <c r="U774" s="347"/>
      <c r="V774" s="347"/>
      <c r="W774" s="347"/>
    </row>
    <row r="775">
      <c r="A775" s="347"/>
      <c r="B775" s="347"/>
      <c r="C775" s="347"/>
      <c r="D775" s="347"/>
      <c r="E775" s="347"/>
      <c r="F775" s="347"/>
      <c r="G775" s="347"/>
      <c r="H775" s="347"/>
      <c r="I775" s="347"/>
      <c r="J775" s="347"/>
      <c r="K775" s="347"/>
      <c r="L775" s="347"/>
      <c r="M775" s="347"/>
      <c r="N775" s="347"/>
      <c r="O775" s="347"/>
      <c r="P775" s="347"/>
      <c r="Q775" s="347"/>
      <c r="R775" s="347"/>
      <c r="S775" s="347"/>
      <c r="T775" s="347"/>
      <c r="U775" s="347"/>
      <c r="V775" s="347"/>
      <c r="W775" s="347"/>
    </row>
    <row r="776">
      <c r="A776" s="347"/>
      <c r="B776" s="347"/>
      <c r="C776" s="347"/>
      <c r="D776" s="347"/>
      <c r="E776" s="347"/>
      <c r="F776" s="347"/>
      <c r="G776" s="347"/>
      <c r="H776" s="347"/>
      <c r="I776" s="347"/>
      <c r="J776" s="347"/>
      <c r="K776" s="347"/>
      <c r="L776" s="347"/>
      <c r="M776" s="347"/>
      <c r="N776" s="347"/>
      <c r="O776" s="347"/>
      <c r="P776" s="347"/>
      <c r="Q776" s="347"/>
      <c r="R776" s="347"/>
      <c r="S776" s="347"/>
      <c r="T776" s="347"/>
      <c r="U776" s="347"/>
      <c r="V776" s="347"/>
      <c r="W776" s="347"/>
    </row>
    <row r="777">
      <c r="A777" s="347"/>
      <c r="B777" s="347"/>
      <c r="C777" s="347"/>
      <c r="D777" s="347"/>
      <c r="E777" s="347"/>
      <c r="F777" s="347"/>
      <c r="G777" s="347"/>
      <c r="H777" s="347"/>
      <c r="I777" s="347"/>
      <c r="J777" s="347"/>
      <c r="K777" s="347"/>
      <c r="L777" s="347"/>
      <c r="M777" s="347"/>
      <c r="N777" s="347"/>
      <c r="O777" s="347"/>
      <c r="P777" s="347"/>
      <c r="Q777" s="347"/>
      <c r="R777" s="347"/>
      <c r="S777" s="347"/>
      <c r="T777" s="347"/>
      <c r="U777" s="347"/>
      <c r="V777" s="347"/>
      <c r="W777" s="347"/>
    </row>
    <row r="778">
      <c r="A778" s="347"/>
      <c r="B778" s="347"/>
      <c r="C778" s="347"/>
      <c r="D778" s="347"/>
      <c r="E778" s="347"/>
      <c r="F778" s="347"/>
      <c r="G778" s="347"/>
      <c r="H778" s="347"/>
      <c r="I778" s="347"/>
      <c r="J778" s="347"/>
      <c r="K778" s="347"/>
      <c r="L778" s="347"/>
      <c r="M778" s="347"/>
      <c r="N778" s="347"/>
      <c r="O778" s="347"/>
      <c r="P778" s="347"/>
      <c r="Q778" s="347"/>
      <c r="R778" s="347"/>
      <c r="S778" s="347"/>
      <c r="T778" s="347"/>
      <c r="U778" s="347"/>
      <c r="V778" s="347"/>
      <c r="W778" s="347"/>
    </row>
    <row r="779">
      <c r="A779" s="347"/>
      <c r="B779" s="347"/>
      <c r="C779" s="347"/>
      <c r="D779" s="347"/>
      <c r="E779" s="347"/>
      <c r="F779" s="347"/>
      <c r="G779" s="347"/>
      <c r="H779" s="347"/>
      <c r="I779" s="347"/>
      <c r="J779" s="347"/>
      <c r="K779" s="347"/>
      <c r="L779" s="347"/>
      <c r="M779" s="347"/>
      <c r="N779" s="347"/>
      <c r="O779" s="347"/>
      <c r="P779" s="347"/>
      <c r="Q779" s="347"/>
      <c r="R779" s="347"/>
      <c r="S779" s="347"/>
      <c r="T779" s="347"/>
      <c r="U779" s="347"/>
      <c r="V779" s="347"/>
      <c r="W779" s="347"/>
    </row>
    <row r="780">
      <c r="A780" s="347"/>
      <c r="B780" s="347"/>
      <c r="C780" s="347"/>
      <c r="D780" s="347"/>
      <c r="E780" s="347"/>
      <c r="F780" s="347"/>
      <c r="G780" s="347"/>
      <c r="H780" s="347"/>
      <c r="I780" s="347"/>
      <c r="J780" s="347"/>
      <c r="K780" s="347"/>
      <c r="L780" s="347"/>
      <c r="M780" s="347"/>
      <c r="N780" s="347"/>
      <c r="O780" s="347"/>
      <c r="P780" s="347"/>
      <c r="Q780" s="347"/>
      <c r="R780" s="347"/>
      <c r="S780" s="347"/>
      <c r="T780" s="347"/>
      <c r="U780" s="347"/>
      <c r="V780" s="347"/>
      <c r="W780" s="347"/>
    </row>
    <row r="781">
      <c r="A781" s="347"/>
      <c r="B781" s="347"/>
      <c r="C781" s="347"/>
      <c r="D781" s="347"/>
      <c r="E781" s="347"/>
      <c r="F781" s="347"/>
      <c r="G781" s="347"/>
      <c r="H781" s="347"/>
      <c r="I781" s="347"/>
      <c r="J781" s="347"/>
      <c r="K781" s="347"/>
      <c r="L781" s="347"/>
      <c r="M781" s="347"/>
      <c r="N781" s="347"/>
      <c r="O781" s="347"/>
      <c r="P781" s="347"/>
      <c r="Q781" s="347"/>
      <c r="R781" s="347"/>
      <c r="S781" s="347"/>
      <c r="T781" s="347"/>
      <c r="U781" s="347"/>
      <c r="V781" s="347"/>
      <c r="W781" s="347"/>
    </row>
    <row r="782">
      <c r="A782" s="347"/>
      <c r="B782" s="347"/>
      <c r="C782" s="347"/>
      <c r="D782" s="347"/>
      <c r="E782" s="347"/>
      <c r="F782" s="347"/>
      <c r="G782" s="347"/>
      <c r="H782" s="347"/>
      <c r="I782" s="347"/>
      <c r="J782" s="347"/>
      <c r="K782" s="347"/>
      <c r="L782" s="347"/>
      <c r="M782" s="347"/>
      <c r="N782" s="347"/>
      <c r="O782" s="347"/>
      <c r="P782" s="347"/>
      <c r="Q782" s="347"/>
      <c r="R782" s="347"/>
      <c r="S782" s="347"/>
      <c r="T782" s="347"/>
      <c r="U782" s="347"/>
      <c r="V782" s="347"/>
      <c r="W782" s="347"/>
    </row>
    <row r="783">
      <c r="A783" s="347"/>
      <c r="B783" s="347"/>
      <c r="C783" s="347"/>
      <c r="D783" s="347"/>
      <c r="E783" s="347"/>
      <c r="F783" s="347"/>
      <c r="G783" s="347"/>
      <c r="H783" s="347"/>
      <c r="I783" s="347"/>
      <c r="J783" s="347"/>
      <c r="K783" s="347"/>
      <c r="L783" s="347"/>
      <c r="M783" s="347"/>
      <c r="N783" s="347"/>
      <c r="O783" s="347"/>
      <c r="P783" s="347"/>
      <c r="Q783" s="347"/>
      <c r="R783" s="347"/>
      <c r="S783" s="347"/>
      <c r="T783" s="347"/>
      <c r="U783" s="347"/>
      <c r="V783" s="347"/>
      <c r="W783" s="347"/>
    </row>
    <row r="784">
      <c r="A784" s="347"/>
      <c r="B784" s="347"/>
      <c r="C784" s="347"/>
      <c r="D784" s="347"/>
      <c r="E784" s="347"/>
      <c r="F784" s="347"/>
      <c r="G784" s="347"/>
      <c r="H784" s="347"/>
      <c r="I784" s="347"/>
      <c r="J784" s="347"/>
      <c r="K784" s="347"/>
      <c r="L784" s="347"/>
      <c r="M784" s="347"/>
      <c r="N784" s="347"/>
      <c r="O784" s="347"/>
      <c r="P784" s="347"/>
      <c r="Q784" s="347"/>
      <c r="R784" s="347"/>
      <c r="S784" s="347"/>
      <c r="T784" s="347"/>
      <c r="U784" s="347"/>
      <c r="V784" s="347"/>
      <c r="W784" s="347"/>
    </row>
    <row r="785">
      <c r="A785" s="347"/>
      <c r="B785" s="347"/>
      <c r="C785" s="347"/>
      <c r="D785" s="347"/>
      <c r="E785" s="347"/>
      <c r="F785" s="347"/>
      <c r="G785" s="347"/>
      <c r="H785" s="347"/>
      <c r="I785" s="347"/>
      <c r="J785" s="347"/>
      <c r="K785" s="347"/>
      <c r="L785" s="347"/>
      <c r="M785" s="347"/>
      <c r="N785" s="347"/>
      <c r="O785" s="347"/>
      <c r="P785" s="347"/>
      <c r="Q785" s="347"/>
      <c r="R785" s="347"/>
      <c r="S785" s="347"/>
      <c r="T785" s="347"/>
      <c r="U785" s="347"/>
      <c r="V785" s="347"/>
      <c r="W785" s="347"/>
    </row>
    <row r="786">
      <c r="A786" s="347"/>
      <c r="B786" s="347"/>
      <c r="C786" s="347"/>
      <c r="D786" s="347"/>
      <c r="E786" s="347"/>
      <c r="F786" s="347"/>
      <c r="G786" s="347"/>
      <c r="H786" s="347"/>
      <c r="I786" s="347"/>
      <c r="J786" s="347"/>
      <c r="K786" s="347"/>
      <c r="L786" s="347"/>
      <c r="M786" s="347"/>
      <c r="N786" s="347"/>
      <c r="O786" s="347"/>
      <c r="P786" s="347"/>
      <c r="Q786" s="347"/>
      <c r="R786" s="347"/>
      <c r="S786" s="347"/>
      <c r="T786" s="347"/>
      <c r="U786" s="347"/>
      <c r="V786" s="347"/>
      <c r="W786" s="347"/>
    </row>
    <row r="787">
      <c r="A787" s="347"/>
      <c r="B787" s="347"/>
      <c r="C787" s="347"/>
      <c r="D787" s="347"/>
      <c r="E787" s="347"/>
      <c r="F787" s="347"/>
      <c r="G787" s="347"/>
      <c r="H787" s="347"/>
      <c r="I787" s="347"/>
      <c r="J787" s="347"/>
      <c r="K787" s="347"/>
      <c r="L787" s="347"/>
      <c r="M787" s="347"/>
      <c r="N787" s="347"/>
      <c r="O787" s="347"/>
      <c r="P787" s="347"/>
      <c r="Q787" s="347"/>
      <c r="R787" s="347"/>
      <c r="S787" s="347"/>
      <c r="T787" s="347"/>
      <c r="U787" s="347"/>
      <c r="V787" s="347"/>
      <c r="W787" s="347"/>
    </row>
    <row r="788">
      <c r="A788" s="347"/>
      <c r="B788" s="347"/>
      <c r="C788" s="347"/>
      <c r="D788" s="347"/>
      <c r="E788" s="347"/>
      <c r="F788" s="347"/>
      <c r="G788" s="347"/>
      <c r="H788" s="347"/>
      <c r="I788" s="347"/>
      <c r="J788" s="347"/>
      <c r="K788" s="347"/>
      <c r="L788" s="347"/>
      <c r="M788" s="347"/>
      <c r="N788" s="347"/>
      <c r="O788" s="347"/>
      <c r="P788" s="347"/>
      <c r="Q788" s="347"/>
      <c r="R788" s="347"/>
      <c r="S788" s="347"/>
      <c r="T788" s="347"/>
      <c r="U788" s="347"/>
      <c r="V788" s="347"/>
      <c r="W788" s="347"/>
    </row>
    <row r="789">
      <c r="A789" s="347"/>
      <c r="B789" s="347"/>
      <c r="C789" s="347"/>
      <c r="D789" s="347"/>
      <c r="E789" s="347"/>
      <c r="F789" s="347"/>
      <c r="G789" s="347"/>
      <c r="H789" s="347"/>
      <c r="I789" s="347"/>
      <c r="J789" s="347"/>
      <c r="K789" s="347"/>
      <c r="L789" s="347"/>
      <c r="M789" s="347"/>
      <c r="N789" s="347"/>
      <c r="O789" s="347"/>
      <c r="P789" s="347"/>
      <c r="Q789" s="347"/>
      <c r="R789" s="347"/>
      <c r="S789" s="347"/>
      <c r="T789" s="347"/>
      <c r="U789" s="347"/>
      <c r="V789" s="347"/>
      <c r="W789" s="347"/>
    </row>
    <row r="790">
      <c r="A790" s="347"/>
      <c r="B790" s="347"/>
      <c r="C790" s="347"/>
      <c r="D790" s="347"/>
      <c r="E790" s="347"/>
      <c r="F790" s="347"/>
      <c r="G790" s="347"/>
      <c r="H790" s="347"/>
      <c r="I790" s="347"/>
      <c r="J790" s="347"/>
      <c r="K790" s="347"/>
      <c r="L790" s="347"/>
      <c r="M790" s="347"/>
      <c r="N790" s="347"/>
      <c r="O790" s="347"/>
      <c r="P790" s="347"/>
      <c r="Q790" s="347"/>
      <c r="R790" s="347"/>
      <c r="S790" s="347"/>
      <c r="T790" s="347"/>
      <c r="U790" s="347"/>
      <c r="V790" s="347"/>
      <c r="W790" s="347"/>
    </row>
    <row r="791">
      <c r="A791" s="347"/>
      <c r="B791" s="347"/>
      <c r="C791" s="347"/>
      <c r="D791" s="347"/>
      <c r="E791" s="347"/>
      <c r="F791" s="347"/>
      <c r="G791" s="347"/>
      <c r="H791" s="347"/>
      <c r="I791" s="347"/>
      <c r="J791" s="347"/>
      <c r="K791" s="347"/>
      <c r="L791" s="347"/>
      <c r="M791" s="347"/>
      <c r="N791" s="347"/>
      <c r="O791" s="347"/>
      <c r="P791" s="347"/>
      <c r="Q791" s="347"/>
      <c r="R791" s="347"/>
      <c r="S791" s="347"/>
      <c r="T791" s="347"/>
      <c r="U791" s="347"/>
      <c r="V791" s="347"/>
      <c r="W791" s="347"/>
    </row>
    <row r="792">
      <c r="A792" s="347"/>
      <c r="B792" s="347"/>
      <c r="C792" s="347"/>
      <c r="D792" s="347"/>
      <c r="E792" s="347"/>
      <c r="F792" s="347"/>
      <c r="G792" s="347"/>
      <c r="H792" s="347"/>
      <c r="I792" s="347"/>
      <c r="J792" s="347"/>
      <c r="K792" s="347"/>
      <c r="L792" s="347"/>
      <c r="M792" s="347"/>
      <c r="N792" s="347"/>
      <c r="O792" s="347"/>
      <c r="P792" s="347"/>
      <c r="Q792" s="347"/>
      <c r="R792" s="347"/>
      <c r="S792" s="347"/>
      <c r="T792" s="347"/>
      <c r="U792" s="347"/>
      <c r="V792" s="347"/>
      <c r="W792" s="347"/>
    </row>
    <row r="793">
      <c r="A793" s="347"/>
      <c r="B793" s="347"/>
      <c r="C793" s="347"/>
      <c r="D793" s="347"/>
      <c r="E793" s="347"/>
      <c r="F793" s="347"/>
      <c r="G793" s="347"/>
      <c r="H793" s="347"/>
      <c r="I793" s="347"/>
      <c r="J793" s="347"/>
      <c r="K793" s="347"/>
      <c r="L793" s="347"/>
      <c r="M793" s="347"/>
      <c r="N793" s="347"/>
      <c r="O793" s="347"/>
      <c r="P793" s="347"/>
      <c r="Q793" s="347"/>
      <c r="R793" s="347"/>
      <c r="S793" s="347"/>
      <c r="T793" s="347"/>
      <c r="U793" s="347"/>
      <c r="V793" s="347"/>
      <c r="W793" s="347"/>
    </row>
    <row r="794">
      <c r="A794" s="347"/>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row>
    <row r="795">
      <c r="A795" s="347"/>
      <c r="B795" s="347"/>
      <c r="C795" s="347"/>
      <c r="D795" s="347"/>
      <c r="E795" s="347"/>
      <c r="F795" s="347"/>
      <c r="G795" s="347"/>
      <c r="H795" s="347"/>
      <c r="I795" s="347"/>
      <c r="J795" s="347"/>
      <c r="K795" s="347"/>
      <c r="L795" s="347"/>
      <c r="M795" s="347"/>
      <c r="N795" s="347"/>
      <c r="O795" s="347"/>
      <c r="P795" s="347"/>
      <c r="Q795" s="347"/>
      <c r="R795" s="347"/>
      <c r="S795" s="347"/>
      <c r="T795" s="347"/>
      <c r="U795" s="347"/>
      <c r="V795" s="347"/>
      <c r="W795" s="347"/>
    </row>
    <row r="796">
      <c r="A796" s="347"/>
      <c r="B796" s="347"/>
      <c r="C796" s="347"/>
      <c r="D796" s="347"/>
      <c r="E796" s="347"/>
      <c r="F796" s="347"/>
      <c r="G796" s="347"/>
      <c r="H796" s="347"/>
      <c r="I796" s="347"/>
      <c r="J796" s="347"/>
      <c r="K796" s="347"/>
      <c r="L796" s="347"/>
      <c r="M796" s="347"/>
      <c r="N796" s="347"/>
      <c r="O796" s="347"/>
      <c r="P796" s="347"/>
      <c r="Q796" s="347"/>
      <c r="R796" s="347"/>
      <c r="S796" s="347"/>
      <c r="T796" s="347"/>
      <c r="U796" s="347"/>
      <c r="V796" s="347"/>
      <c r="W796" s="347"/>
    </row>
    <row r="797">
      <c r="A797" s="347"/>
      <c r="B797" s="347"/>
      <c r="C797" s="347"/>
      <c r="D797" s="347"/>
      <c r="E797" s="347"/>
      <c r="F797" s="347"/>
      <c r="G797" s="347"/>
      <c r="H797" s="347"/>
      <c r="I797" s="347"/>
      <c r="J797" s="347"/>
      <c r="K797" s="347"/>
      <c r="L797" s="347"/>
      <c r="M797" s="347"/>
      <c r="N797" s="347"/>
      <c r="O797" s="347"/>
      <c r="P797" s="347"/>
      <c r="Q797" s="347"/>
      <c r="R797" s="347"/>
      <c r="S797" s="347"/>
      <c r="T797" s="347"/>
      <c r="U797" s="347"/>
      <c r="V797" s="347"/>
      <c r="W797" s="347"/>
    </row>
    <row r="798">
      <c r="A798" s="347"/>
      <c r="B798" s="347"/>
      <c r="C798" s="347"/>
      <c r="D798" s="347"/>
      <c r="E798" s="347"/>
      <c r="F798" s="347"/>
      <c r="G798" s="347"/>
      <c r="H798" s="347"/>
      <c r="I798" s="347"/>
      <c r="J798" s="347"/>
      <c r="K798" s="347"/>
      <c r="L798" s="347"/>
      <c r="M798" s="347"/>
      <c r="N798" s="347"/>
      <c r="O798" s="347"/>
      <c r="P798" s="347"/>
      <c r="Q798" s="347"/>
      <c r="R798" s="347"/>
      <c r="S798" s="347"/>
      <c r="T798" s="347"/>
      <c r="U798" s="347"/>
      <c r="V798" s="347"/>
      <c r="W798" s="347"/>
    </row>
    <row r="799">
      <c r="A799" s="347"/>
      <c r="B799" s="347"/>
      <c r="C799" s="347"/>
      <c r="D799" s="347"/>
      <c r="E799" s="347"/>
      <c r="F799" s="347"/>
      <c r="G799" s="347"/>
      <c r="H799" s="347"/>
      <c r="I799" s="347"/>
      <c r="J799" s="347"/>
      <c r="K799" s="347"/>
      <c r="L799" s="347"/>
      <c r="M799" s="347"/>
      <c r="N799" s="347"/>
      <c r="O799" s="347"/>
      <c r="P799" s="347"/>
      <c r="Q799" s="347"/>
      <c r="R799" s="347"/>
      <c r="S799" s="347"/>
      <c r="T799" s="347"/>
      <c r="U799" s="347"/>
      <c r="V799" s="347"/>
      <c r="W799" s="347"/>
    </row>
    <row r="800">
      <c r="A800" s="347"/>
      <c r="B800" s="347"/>
      <c r="C800" s="347"/>
      <c r="D800" s="347"/>
      <c r="E800" s="347"/>
      <c r="F800" s="347"/>
      <c r="G800" s="347"/>
      <c r="H800" s="347"/>
      <c r="I800" s="347"/>
      <c r="J800" s="347"/>
      <c r="K800" s="347"/>
      <c r="L800" s="347"/>
      <c r="M800" s="347"/>
      <c r="N800" s="347"/>
      <c r="O800" s="347"/>
      <c r="P800" s="347"/>
      <c r="Q800" s="347"/>
      <c r="R800" s="347"/>
      <c r="S800" s="347"/>
      <c r="T800" s="347"/>
      <c r="U800" s="347"/>
      <c r="V800" s="347"/>
      <c r="W800" s="347"/>
    </row>
    <row r="801">
      <c r="A801" s="347"/>
      <c r="B801" s="347"/>
      <c r="C801" s="347"/>
      <c r="D801" s="347"/>
      <c r="E801" s="347"/>
      <c r="F801" s="347"/>
      <c r="G801" s="347"/>
      <c r="H801" s="347"/>
      <c r="I801" s="347"/>
      <c r="J801" s="347"/>
      <c r="K801" s="347"/>
      <c r="L801" s="347"/>
      <c r="M801" s="347"/>
      <c r="N801" s="347"/>
      <c r="O801" s="347"/>
      <c r="P801" s="347"/>
      <c r="Q801" s="347"/>
      <c r="R801" s="347"/>
      <c r="S801" s="347"/>
      <c r="T801" s="347"/>
      <c r="U801" s="347"/>
      <c r="V801" s="347"/>
      <c r="W801" s="347"/>
    </row>
    <row r="802">
      <c r="A802" s="347"/>
      <c r="B802" s="347"/>
      <c r="C802" s="347"/>
      <c r="D802" s="347"/>
      <c r="E802" s="347"/>
      <c r="F802" s="347"/>
      <c r="G802" s="347"/>
      <c r="H802" s="347"/>
      <c r="I802" s="347"/>
      <c r="J802" s="347"/>
      <c r="K802" s="347"/>
      <c r="L802" s="347"/>
      <c r="M802" s="347"/>
      <c r="N802" s="347"/>
      <c r="O802" s="347"/>
      <c r="P802" s="347"/>
      <c r="Q802" s="347"/>
      <c r="R802" s="347"/>
      <c r="S802" s="347"/>
      <c r="T802" s="347"/>
      <c r="U802" s="347"/>
      <c r="V802" s="347"/>
      <c r="W802" s="347"/>
    </row>
    <row r="803">
      <c r="A803" s="347"/>
      <c r="B803" s="347"/>
      <c r="C803" s="347"/>
      <c r="D803" s="347"/>
      <c r="E803" s="347"/>
      <c r="F803" s="347"/>
      <c r="G803" s="347"/>
      <c r="H803" s="347"/>
      <c r="I803" s="347"/>
      <c r="J803" s="347"/>
      <c r="K803" s="347"/>
      <c r="L803" s="347"/>
      <c r="M803" s="347"/>
      <c r="N803" s="347"/>
      <c r="O803" s="347"/>
      <c r="P803" s="347"/>
      <c r="Q803" s="347"/>
      <c r="R803" s="347"/>
      <c r="S803" s="347"/>
      <c r="T803" s="347"/>
      <c r="U803" s="347"/>
      <c r="V803" s="347"/>
      <c r="W803" s="347"/>
    </row>
    <row r="804">
      <c r="A804" s="347"/>
      <c r="B804" s="347"/>
      <c r="C804" s="347"/>
      <c r="D804" s="347"/>
      <c r="E804" s="347"/>
      <c r="F804" s="347"/>
      <c r="G804" s="347"/>
      <c r="H804" s="347"/>
      <c r="I804" s="347"/>
      <c r="J804" s="347"/>
      <c r="K804" s="347"/>
      <c r="L804" s="347"/>
      <c r="M804" s="347"/>
      <c r="N804" s="347"/>
      <c r="O804" s="347"/>
      <c r="P804" s="347"/>
      <c r="Q804" s="347"/>
      <c r="R804" s="347"/>
      <c r="S804" s="347"/>
      <c r="T804" s="347"/>
      <c r="U804" s="347"/>
      <c r="V804" s="347"/>
      <c r="W804" s="347"/>
    </row>
    <row r="805">
      <c r="A805" s="347"/>
      <c r="B805" s="347"/>
      <c r="C805" s="347"/>
      <c r="D805" s="347"/>
      <c r="E805" s="347"/>
      <c r="F805" s="347"/>
      <c r="G805" s="347"/>
      <c r="H805" s="347"/>
      <c r="I805" s="347"/>
      <c r="J805" s="347"/>
      <c r="K805" s="347"/>
      <c r="L805" s="347"/>
      <c r="M805" s="347"/>
      <c r="N805" s="347"/>
      <c r="O805" s="347"/>
      <c r="P805" s="347"/>
      <c r="Q805" s="347"/>
      <c r="R805" s="347"/>
      <c r="S805" s="347"/>
      <c r="T805" s="347"/>
      <c r="U805" s="347"/>
      <c r="V805" s="347"/>
      <c r="W805" s="347"/>
    </row>
    <row r="806">
      <c r="A806" s="347"/>
      <c r="B806" s="347"/>
      <c r="C806" s="347"/>
      <c r="D806" s="347"/>
      <c r="E806" s="347"/>
      <c r="F806" s="347"/>
      <c r="G806" s="347"/>
      <c r="H806" s="347"/>
      <c r="I806" s="347"/>
      <c r="J806" s="347"/>
      <c r="K806" s="347"/>
      <c r="L806" s="347"/>
      <c r="M806" s="347"/>
      <c r="N806" s="347"/>
      <c r="O806" s="347"/>
      <c r="P806" s="347"/>
      <c r="Q806" s="347"/>
      <c r="R806" s="347"/>
      <c r="S806" s="347"/>
      <c r="T806" s="347"/>
      <c r="U806" s="347"/>
      <c r="V806" s="347"/>
      <c r="W806" s="347"/>
    </row>
    <row r="807">
      <c r="A807" s="347"/>
      <c r="B807" s="347"/>
      <c r="C807" s="347"/>
      <c r="D807" s="347"/>
      <c r="E807" s="347"/>
      <c r="F807" s="347"/>
      <c r="G807" s="347"/>
      <c r="H807" s="347"/>
      <c r="I807" s="347"/>
      <c r="J807" s="347"/>
      <c r="K807" s="347"/>
      <c r="L807" s="347"/>
      <c r="M807" s="347"/>
      <c r="N807" s="347"/>
      <c r="O807" s="347"/>
      <c r="P807" s="347"/>
      <c r="Q807" s="347"/>
      <c r="R807" s="347"/>
      <c r="S807" s="347"/>
      <c r="T807" s="347"/>
      <c r="U807" s="347"/>
      <c r="V807" s="347"/>
      <c r="W807" s="347"/>
    </row>
    <row r="808">
      <c r="A808" s="347"/>
      <c r="B808" s="347"/>
      <c r="C808" s="347"/>
      <c r="D808" s="347"/>
      <c r="E808" s="347"/>
      <c r="F808" s="347"/>
      <c r="G808" s="347"/>
      <c r="H808" s="347"/>
      <c r="I808" s="347"/>
      <c r="J808" s="347"/>
      <c r="K808" s="347"/>
      <c r="L808" s="347"/>
      <c r="M808" s="347"/>
      <c r="N808" s="347"/>
      <c r="O808" s="347"/>
      <c r="P808" s="347"/>
      <c r="Q808" s="347"/>
      <c r="R808" s="347"/>
      <c r="S808" s="347"/>
      <c r="T808" s="347"/>
      <c r="U808" s="347"/>
      <c r="V808" s="347"/>
      <c r="W808" s="347"/>
    </row>
    <row r="809">
      <c r="A809" s="347"/>
      <c r="B809" s="347"/>
      <c r="C809" s="347"/>
      <c r="D809" s="347"/>
      <c r="E809" s="347"/>
      <c r="F809" s="347"/>
      <c r="G809" s="347"/>
      <c r="H809" s="347"/>
      <c r="I809" s="347"/>
      <c r="J809" s="347"/>
      <c r="K809" s="347"/>
      <c r="L809" s="347"/>
      <c r="M809" s="347"/>
      <c r="N809" s="347"/>
      <c r="O809" s="347"/>
      <c r="P809" s="347"/>
      <c r="Q809" s="347"/>
      <c r="R809" s="347"/>
      <c r="S809" s="347"/>
      <c r="T809" s="347"/>
      <c r="U809" s="347"/>
      <c r="V809" s="347"/>
      <c r="W809" s="347"/>
    </row>
    <row r="810">
      <c r="A810" s="347"/>
      <c r="B810" s="347"/>
      <c r="C810" s="347"/>
      <c r="D810" s="347"/>
      <c r="E810" s="347"/>
      <c r="F810" s="347"/>
      <c r="G810" s="347"/>
      <c r="H810" s="347"/>
      <c r="I810" s="347"/>
      <c r="J810" s="347"/>
      <c r="K810" s="347"/>
      <c r="L810" s="347"/>
      <c r="M810" s="347"/>
      <c r="N810" s="347"/>
      <c r="O810" s="347"/>
      <c r="P810" s="347"/>
      <c r="Q810" s="347"/>
      <c r="R810" s="347"/>
      <c r="S810" s="347"/>
      <c r="T810" s="347"/>
      <c r="U810" s="347"/>
      <c r="V810" s="347"/>
      <c r="W810" s="347"/>
    </row>
    <row r="811">
      <c r="A811" s="347"/>
      <c r="B811" s="347"/>
      <c r="C811" s="347"/>
      <c r="D811" s="347"/>
      <c r="E811" s="347"/>
      <c r="F811" s="347"/>
      <c r="G811" s="347"/>
      <c r="H811" s="347"/>
      <c r="I811" s="347"/>
      <c r="J811" s="347"/>
      <c r="K811" s="347"/>
      <c r="L811" s="347"/>
      <c r="M811" s="347"/>
      <c r="N811" s="347"/>
      <c r="O811" s="347"/>
      <c r="P811" s="347"/>
      <c r="Q811" s="347"/>
      <c r="R811" s="347"/>
      <c r="S811" s="347"/>
      <c r="T811" s="347"/>
      <c r="U811" s="347"/>
      <c r="V811" s="347"/>
      <c r="W811" s="347"/>
    </row>
    <row r="812">
      <c r="A812" s="347"/>
      <c r="B812" s="347"/>
      <c r="C812" s="347"/>
      <c r="D812" s="347"/>
      <c r="E812" s="347"/>
      <c r="F812" s="347"/>
      <c r="G812" s="347"/>
      <c r="H812" s="347"/>
      <c r="I812" s="347"/>
      <c r="J812" s="347"/>
      <c r="K812" s="347"/>
      <c r="L812" s="347"/>
      <c r="M812" s="347"/>
      <c r="N812" s="347"/>
      <c r="O812" s="347"/>
      <c r="P812" s="347"/>
      <c r="Q812" s="347"/>
      <c r="R812" s="347"/>
      <c r="S812" s="347"/>
      <c r="T812" s="347"/>
      <c r="U812" s="347"/>
      <c r="V812" s="347"/>
      <c r="W812" s="347"/>
    </row>
    <row r="813">
      <c r="A813" s="347"/>
      <c r="B813" s="347"/>
      <c r="C813" s="347"/>
      <c r="D813" s="347"/>
      <c r="E813" s="347"/>
      <c r="F813" s="347"/>
      <c r="G813" s="347"/>
      <c r="H813" s="347"/>
      <c r="I813" s="347"/>
      <c r="J813" s="347"/>
      <c r="K813" s="347"/>
      <c r="L813" s="347"/>
      <c r="M813" s="347"/>
      <c r="N813" s="347"/>
      <c r="O813" s="347"/>
      <c r="P813" s="347"/>
      <c r="Q813" s="347"/>
      <c r="R813" s="347"/>
      <c r="S813" s="347"/>
      <c r="T813" s="347"/>
      <c r="U813" s="347"/>
      <c r="V813" s="347"/>
      <c r="W813" s="347"/>
    </row>
    <row r="814">
      <c r="A814" s="347"/>
      <c r="B814" s="347"/>
      <c r="C814" s="347"/>
      <c r="D814" s="347"/>
      <c r="E814" s="347"/>
      <c r="F814" s="347"/>
      <c r="G814" s="347"/>
      <c r="H814" s="347"/>
      <c r="I814" s="347"/>
      <c r="J814" s="347"/>
      <c r="K814" s="347"/>
      <c r="L814" s="347"/>
      <c r="M814" s="347"/>
      <c r="N814" s="347"/>
      <c r="O814" s="347"/>
      <c r="P814" s="347"/>
      <c r="Q814" s="347"/>
      <c r="R814" s="347"/>
      <c r="S814" s="347"/>
      <c r="T814" s="347"/>
      <c r="U814" s="347"/>
      <c r="V814" s="347"/>
      <c r="W814" s="347"/>
    </row>
    <row r="815">
      <c r="A815" s="347"/>
      <c r="B815" s="347"/>
      <c r="C815" s="347"/>
      <c r="D815" s="347"/>
      <c r="E815" s="347"/>
      <c r="F815" s="347"/>
      <c r="G815" s="347"/>
      <c r="H815" s="347"/>
      <c r="I815" s="347"/>
      <c r="J815" s="347"/>
      <c r="K815" s="347"/>
      <c r="L815" s="347"/>
      <c r="M815" s="347"/>
      <c r="N815" s="347"/>
      <c r="O815" s="347"/>
      <c r="P815" s="347"/>
      <c r="Q815" s="347"/>
      <c r="R815" s="347"/>
      <c r="S815" s="347"/>
      <c r="T815" s="347"/>
      <c r="U815" s="347"/>
      <c r="V815" s="347"/>
      <c r="W815" s="347"/>
    </row>
    <row r="816">
      <c r="A816" s="347"/>
      <c r="B816" s="347"/>
      <c r="C816" s="347"/>
      <c r="D816" s="347"/>
      <c r="E816" s="347"/>
      <c r="F816" s="347"/>
      <c r="G816" s="347"/>
      <c r="H816" s="347"/>
      <c r="I816" s="347"/>
      <c r="J816" s="347"/>
      <c r="K816" s="347"/>
      <c r="L816" s="347"/>
      <c r="M816" s="347"/>
      <c r="N816" s="347"/>
      <c r="O816" s="347"/>
      <c r="P816" s="347"/>
      <c r="Q816" s="347"/>
      <c r="R816" s="347"/>
      <c r="S816" s="347"/>
      <c r="T816" s="347"/>
      <c r="U816" s="347"/>
      <c r="V816" s="347"/>
      <c r="W816" s="347"/>
    </row>
    <row r="817">
      <c r="A817" s="347"/>
      <c r="B817" s="347"/>
      <c r="C817" s="347"/>
      <c r="D817" s="347"/>
      <c r="E817" s="347"/>
      <c r="F817" s="347"/>
      <c r="G817" s="347"/>
      <c r="H817" s="347"/>
      <c r="I817" s="347"/>
      <c r="J817" s="347"/>
      <c r="K817" s="347"/>
      <c r="L817" s="347"/>
      <c r="M817" s="347"/>
      <c r="N817" s="347"/>
      <c r="O817" s="347"/>
      <c r="P817" s="347"/>
      <c r="Q817" s="347"/>
      <c r="R817" s="347"/>
      <c r="S817" s="347"/>
      <c r="T817" s="347"/>
      <c r="U817" s="347"/>
      <c r="V817" s="347"/>
      <c r="W817" s="347"/>
    </row>
    <row r="818">
      <c r="A818" s="347"/>
      <c r="B818" s="347"/>
      <c r="C818" s="347"/>
      <c r="D818" s="347"/>
      <c r="E818" s="347"/>
      <c r="F818" s="347"/>
      <c r="G818" s="347"/>
      <c r="H818" s="347"/>
      <c r="I818" s="347"/>
      <c r="J818" s="347"/>
      <c r="K818" s="347"/>
      <c r="L818" s="347"/>
      <c r="M818" s="347"/>
      <c r="N818" s="347"/>
      <c r="O818" s="347"/>
      <c r="P818" s="347"/>
      <c r="Q818" s="347"/>
      <c r="R818" s="347"/>
      <c r="S818" s="347"/>
      <c r="T818" s="347"/>
      <c r="U818" s="347"/>
      <c r="V818" s="347"/>
      <c r="W818" s="347"/>
    </row>
    <row r="819">
      <c r="A819" s="347"/>
      <c r="B819" s="347"/>
      <c r="C819" s="347"/>
      <c r="D819" s="347"/>
      <c r="E819" s="347"/>
      <c r="F819" s="347"/>
      <c r="G819" s="347"/>
      <c r="H819" s="347"/>
      <c r="I819" s="347"/>
      <c r="J819" s="347"/>
      <c r="K819" s="347"/>
      <c r="L819" s="347"/>
      <c r="M819" s="347"/>
      <c r="N819" s="347"/>
      <c r="O819" s="347"/>
      <c r="P819" s="347"/>
      <c r="Q819" s="347"/>
      <c r="R819" s="347"/>
      <c r="S819" s="347"/>
      <c r="T819" s="347"/>
      <c r="U819" s="347"/>
      <c r="V819" s="347"/>
      <c r="W819" s="347"/>
    </row>
    <row r="820">
      <c r="A820" s="347"/>
      <c r="B820" s="347"/>
      <c r="C820" s="347"/>
      <c r="D820" s="347"/>
      <c r="E820" s="347"/>
      <c r="F820" s="347"/>
      <c r="G820" s="347"/>
      <c r="H820" s="347"/>
      <c r="I820" s="347"/>
      <c r="J820" s="347"/>
      <c r="K820" s="347"/>
      <c r="L820" s="347"/>
      <c r="M820" s="347"/>
      <c r="N820" s="347"/>
      <c r="O820" s="347"/>
      <c r="P820" s="347"/>
      <c r="Q820" s="347"/>
      <c r="R820" s="347"/>
      <c r="S820" s="347"/>
      <c r="T820" s="347"/>
      <c r="U820" s="347"/>
      <c r="V820" s="347"/>
      <c r="W820" s="347"/>
    </row>
    <row r="821">
      <c r="A821" s="347"/>
      <c r="B821" s="347"/>
      <c r="C821" s="347"/>
      <c r="D821" s="347"/>
      <c r="E821" s="347"/>
      <c r="F821" s="347"/>
      <c r="G821" s="347"/>
      <c r="H821" s="347"/>
      <c r="I821" s="347"/>
      <c r="J821" s="347"/>
      <c r="K821" s="347"/>
      <c r="L821" s="347"/>
      <c r="M821" s="347"/>
      <c r="N821" s="347"/>
      <c r="O821" s="347"/>
      <c r="P821" s="347"/>
      <c r="Q821" s="347"/>
      <c r="R821" s="347"/>
      <c r="S821" s="347"/>
      <c r="T821" s="347"/>
      <c r="U821" s="347"/>
      <c r="V821" s="347"/>
      <c r="W821" s="347"/>
    </row>
    <row r="822">
      <c r="A822" s="347"/>
      <c r="B822" s="347"/>
      <c r="C822" s="347"/>
      <c r="D822" s="347"/>
      <c r="E822" s="347"/>
      <c r="F822" s="347"/>
      <c r="G822" s="347"/>
      <c r="H822" s="347"/>
      <c r="I822" s="347"/>
      <c r="J822" s="347"/>
      <c r="K822" s="347"/>
      <c r="L822" s="347"/>
      <c r="M822" s="347"/>
      <c r="N822" s="347"/>
      <c r="O822" s="347"/>
      <c r="P822" s="347"/>
      <c r="Q822" s="347"/>
      <c r="R822" s="347"/>
      <c r="S822" s="347"/>
      <c r="T822" s="347"/>
      <c r="U822" s="347"/>
      <c r="V822" s="347"/>
      <c r="W822" s="347"/>
    </row>
    <row r="823">
      <c r="A823" s="347"/>
      <c r="B823" s="347"/>
      <c r="C823" s="347"/>
      <c r="D823" s="347"/>
      <c r="E823" s="347"/>
      <c r="F823" s="347"/>
      <c r="G823" s="347"/>
      <c r="H823" s="347"/>
      <c r="I823" s="347"/>
      <c r="J823" s="347"/>
      <c r="K823" s="347"/>
      <c r="L823" s="347"/>
      <c r="M823" s="347"/>
      <c r="N823" s="347"/>
      <c r="O823" s="347"/>
      <c r="P823" s="347"/>
      <c r="Q823" s="347"/>
      <c r="R823" s="347"/>
      <c r="S823" s="347"/>
      <c r="T823" s="347"/>
      <c r="U823" s="347"/>
      <c r="V823" s="347"/>
      <c r="W823" s="347"/>
    </row>
    <row r="824">
      <c r="A824" s="347"/>
      <c r="B824" s="347"/>
      <c r="C824" s="347"/>
      <c r="D824" s="347"/>
      <c r="E824" s="347"/>
      <c r="F824" s="347"/>
      <c r="G824" s="347"/>
      <c r="H824" s="347"/>
      <c r="I824" s="347"/>
      <c r="J824" s="347"/>
      <c r="K824" s="347"/>
      <c r="L824" s="347"/>
      <c r="M824" s="347"/>
      <c r="N824" s="347"/>
      <c r="O824" s="347"/>
      <c r="P824" s="347"/>
      <c r="Q824" s="347"/>
      <c r="R824" s="347"/>
      <c r="S824" s="347"/>
      <c r="T824" s="347"/>
      <c r="U824" s="347"/>
      <c r="V824" s="347"/>
      <c r="W824" s="347"/>
    </row>
    <row r="825">
      <c r="A825" s="347"/>
      <c r="B825" s="347"/>
      <c r="C825" s="347"/>
      <c r="D825" s="347"/>
      <c r="E825" s="347"/>
      <c r="F825" s="347"/>
      <c r="G825" s="347"/>
      <c r="H825" s="347"/>
      <c r="I825" s="347"/>
      <c r="J825" s="347"/>
      <c r="K825" s="347"/>
      <c r="L825" s="347"/>
      <c r="M825" s="347"/>
      <c r="N825" s="347"/>
      <c r="O825" s="347"/>
      <c r="P825" s="347"/>
      <c r="Q825" s="347"/>
      <c r="R825" s="347"/>
      <c r="S825" s="347"/>
      <c r="T825" s="347"/>
      <c r="U825" s="347"/>
      <c r="V825" s="347"/>
      <c r="W825" s="347"/>
    </row>
    <row r="826">
      <c r="A826" s="347"/>
      <c r="B826" s="347"/>
      <c r="C826" s="347"/>
      <c r="D826" s="347"/>
      <c r="E826" s="347"/>
      <c r="F826" s="347"/>
      <c r="G826" s="347"/>
      <c r="H826" s="347"/>
      <c r="I826" s="347"/>
      <c r="J826" s="347"/>
      <c r="K826" s="347"/>
      <c r="L826" s="347"/>
      <c r="M826" s="347"/>
      <c r="N826" s="347"/>
      <c r="O826" s="347"/>
      <c r="P826" s="347"/>
      <c r="Q826" s="347"/>
      <c r="R826" s="347"/>
      <c r="S826" s="347"/>
      <c r="T826" s="347"/>
      <c r="U826" s="347"/>
      <c r="V826" s="347"/>
      <c r="W826" s="347"/>
    </row>
    <row r="827">
      <c r="A827" s="347"/>
      <c r="B827" s="347"/>
      <c r="C827" s="347"/>
      <c r="D827" s="347"/>
      <c r="E827" s="347"/>
      <c r="F827" s="347"/>
      <c r="G827" s="347"/>
      <c r="H827" s="347"/>
      <c r="I827" s="347"/>
      <c r="J827" s="347"/>
      <c r="K827" s="347"/>
      <c r="L827" s="347"/>
      <c r="M827" s="347"/>
      <c r="N827" s="347"/>
      <c r="O827" s="347"/>
      <c r="P827" s="347"/>
      <c r="Q827" s="347"/>
      <c r="R827" s="347"/>
      <c r="S827" s="347"/>
      <c r="T827" s="347"/>
      <c r="U827" s="347"/>
      <c r="V827" s="347"/>
      <c r="W827" s="347"/>
    </row>
    <row r="828">
      <c r="A828" s="347"/>
      <c r="B828" s="347"/>
      <c r="C828" s="347"/>
      <c r="D828" s="347"/>
      <c r="E828" s="347"/>
      <c r="F828" s="347"/>
      <c r="G828" s="347"/>
      <c r="H828" s="347"/>
      <c r="I828" s="347"/>
      <c r="J828" s="347"/>
      <c r="K828" s="347"/>
      <c r="L828" s="347"/>
      <c r="M828" s="347"/>
      <c r="N828" s="347"/>
      <c r="O828" s="347"/>
      <c r="P828" s="347"/>
      <c r="Q828" s="347"/>
      <c r="R828" s="347"/>
      <c r="S828" s="347"/>
      <c r="T828" s="347"/>
      <c r="U828" s="347"/>
      <c r="V828" s="347"/>
      <c r="W828" s="347"/>
    </row>
    <row r="829">
      <c r="A829" s="347"/>
      <c r="B829" s="347"/>
      <c r="C829" s="347"/>
      <c r="D829" s="347"/>
      <c r="E829" s="347"/>
      <c r="F829" s="347"/>
      <c r="G829" s="347"/>
      <c r="H829" s="347"/>
      <c r="I829" s="347"/>
      <c r="J829" s="347"/>
      <c r="K829" s="347"/>
      <c r="L829" s="347"/>
      <c r="M829" s="347"/>
      <c r="N829" s="347"/>
      <c r="O829" s="347"/>
      <c r="P829" s="347"/>
      <c r="Q829" s="347"/>
      <c r="R829" s="347"/>
      <c r="S829" s="347"/>
      <c r="T829" s="347"/>
      <c r="U829" s="347"/>
      <c r="V829" s="347"/>
      <c r="W829" s="347"/>
    </row>
    <row r="830">
      <c r="A830" s="347"/>
      <c r="B830" s="347"/>
      <c r="C830" s="347"/>
      <c r="D830" s="347"/>
      <c r="E830" s="347"/>
      <c r="F830" s="347"/>
      <c r="G830" s="347"/>
      <c r="H830" s="347"/>
      <c r="I830" s="347"/>
      <c r="J830" s="347"/>
      <c r="K830" s="347"/>
      <c r="L830" s="347"/>
      <c r="M830" s="347"/>
      <c r="N830" s="347"/>
      <c r="O830" s="347"/>
      <c r="P830" s="347"/>
      <c r="Q830" s="347"/>
      <c r="R830" s="347"/>
      <c r="S830" s="347"/>
      <c r="T830" s="347"/>
      <c r="U830" s="347"/>
      <c r="V830" s="347"/>
      <c r="W830" s="347"/>
    </row>
    <row r="831">
      <c r="A831" s="347"/>
      <c r="B831" s="347"/>
      <c r="C831" s="347"/>
      <c r="D831" s="347"/>
      <c r="E831" s="347"/>
      <c r="F831" s="347"/>
      <c r="G831" s="347"/>
      <c r="H831" s="347"/>
      <c r="I831" s="347"/>
      <c r="J831" s="347"/>
      <c r="K831" s="347"/>
      <c r="L831" s="347"/>
      <c r="M831" s="347"/>
      <c r="N831" s="347"/>
      <c r="O831" s="347"/>
      <c r="P831" s="347"/>
      <c r="Q831" s="347"/>
      <c r="R831" s="347"/>
      <c r="S831" s="347"/>
      <c r="T831" s="347"/>
      <c r="U831" s="347"/>
      <c r="V831" s="347"/>
      <c r="W831" s="347"/>
    </row>
    <row r="832">
      <c r="A832" s="347"/>
      <c r="B832" s="347"/>
      <c r="C832" s="347"/>
      <c r="D832" s="347"/>
      <c r="E832" s="347"/>
      <c r="F832" s="347"/>
      <c r="G832" s="347"/>
      <c r="H832" s="347"/>
      <c r="I832" s="347"/>
      <c r="J832" s="347"/>
      <c r="K832" s="347"/>
      <c r="L832" s="347"/>
      <c r="M832" s="347"/>
      <c r="N832" s="347"/>
      <c r="O832" s="347"/>
      <c r="P832" s="347"/>
      <c r="Q832" s="347"/>
      <c r="R832" s="347"/>
      <c r="S832" s="347"/>
      <c r="T832" s="347"/>
      <c r="U832" s="347"/>
      <c r="V832" s="347"/>
      <c r="W832" s="347"/>
    </row>
    <row r="833">
      <c r="A833" s="347"/>
      <c r="B833" s="347"/>
      <c r="C833" s="347"/>
      <c r="D833" s="347"/>
      <c r="E833" s="347"/>
      <c r="F833" s="347"/>
      <c r="G833" s="347"/>
      <c r="H833" s="347"/>
      <c r="I833" s="347"/>
      <c r="J833" s="347"/>
      <c r="K833" s="347"/>
      <c r="L833" s="347"/>
      <c r="M833" s="347"/>
      <c r="N833" s="347"/>
      <c r="O833" s="347"/>
      <c r="P833" s="347"/>
      <c r="Q833" s="347"/>
      <c r="R833" s="347"/>
      <c r="S833" s="347"/>
      <c r="T833" s="347"/>
      <c r="U833" s="347"/>
      <c r="V833" s="347"/>
      <c r="W833" s="347"/>
    </row>
    <row r="834">
      <c r="A834" s="347"/>
      <c r="B834" s="347"/>
      <c r="C834" s="347"/>
      <c r="D834" s="347"/>
      <c r="E834" s="347"/>
      <c r="F834" s="347"/>
      <c r="G834" s="347"/>
      <c r="H834" s="347"/>
      <c r="I834" s="347"/>
      <c r="J834" s="347"/>
      <c r="K834" s="347"/>
      <c r="L834" s="347"/>
      <c r="M834" s="347"/>
      <c r="N834" s="347"/>
      <c r="O834" s="347"/>
      <c r="P834" s="347"/>
      <c r="Q834" s="347"/>
      <c r="R834" s="347"/>
      <c r="S834" s="347"/>
      <c r="T834" s="347"/>
      <c r="U834" s="347"/>
      <c r="V834" s="347"/>
      <c r="W834" s="347"/>
    </row>
    <row r="835">
      <c r="A835" s="347"/>
      <c r="B835" s="347"/>
      <c r="C835" s="347"/>
      <c r="D835" s="347"/>
      <c r="E835" s="347"/>
      <c r="F835" s="347"/>
      <c r="G835" s="347"/>
      <c r="H835" s="347"/>
      <c r="I835" s="347"/>
      <c r="J835" s="347"/>
      <c r="K835" s="347"/>
      <c r="L835" s="347"/>
      <c r="M835" s="347"/>
      <c r="N835" s="347"/>
      <c r="O835" s="347"/>
      <c r="P835" s="347"/>
      <c r="Q835" s="347"/>
      <c r="R835" s="347"/>
      <c r="S835" s="347"/>
      <c r="T835" s="347"/>
      <c r="U835" s="347"/>
      <c r="V835" s="347"/>
      <c r="W835" s="347"/>
    </row>
    <row r="836">
      <c r="A836" s="347"/>
      <c r="B836" s="347"/>
      <c r="C836" s="347"/>
      <c r="D836" s="347"/>
      <c r="E836" s="347"/>
      <c r="F836" s="347"/>
      <c r="G836" s="347"/>
      <c r="H836" s="347"/>
      <c r="I836" s="347"/>
      <c r="J836" s="347"/>
      <c r="K836" s="347"/>
      <c r="L836" s="347"/>
      <c r="M836" s="347"/>
      <c r="N836" s="347"/>
      <c r="O836" s="347"/>
      <c r="P836" s="347"/>
      <c r="Q836" s="347"/>
      <c r="R836" s="347"/>
      <c r="S836" s="347"/>
      <c r="T836" s="347"/>
      <c r="U836" s="347"/>
      <c r="V836" s="347"/>
      <c r="W836" s="347"/>
    </row>
    <row r="837">
      <c r="A837" s="347"/>
      <c r="B837" s="347"/>
      <c r="C837" s="347"/>
      <c r="D837" s="347"/>
      <c r="E837" s="347"/>
      <c r="F837" s="347"/>
      <c r="G837" s="347"/>
      <c r="H837" s="347"/>
      <c r="I837" s="347"/>
      <c r="J837" s="347"/>
      <c r="K837" s="347"/>
      <c r="L837" s="347"/>
      <c r="M837" s="347"/>
      <c r="N837" s="347"/>
      <c r="O837" s="347"/>
      <c r="P837" s="347"/>
      <c r="Q837" s="347"/>
      <c r="R837" s="347"/>
      <c r="S837" s="347"/>
      <c r="T837" s="347"/>
      <c r="U837" s="347"/>
      <c r="V837" s="347"/>
      <c r="W837" s="347"/>
    </row>
    <row r="838">
      <c r="A838" s="347"/>
      <c r="B838" s="347"/>
      <c r="C838" s="347"/>
      <c r="D838" s="347"/>
      <c r="E838" s="347"/>
      <c r="F838" s="347"/>
      <c r="G838" s="347"/>
      <c r="H838" s="347"/>
      <c r="I838" s="347"/>
      <c r="J838" s="347"/>
      <c r="K838" s="347"/>
      <c r="L838" s="347"/>
      <c r="M838" s="347"/>
      <c r="N838" s="347"/>
      <c r="O838" s="347"/>
      <c r="P838" s="347"/>
      <c r="Q838" s="347"/>
      <c r="R838" s="347"/>
      <c r="S838" s="347"/>
      <c r="T838" s="347"/>
      <c r="U838" s="347"/>
      <c r="V838" s="347"/>
      <c r="W838" s="347"/>
    </row>
    <row r="839">
      <c r="A839" s="347"/>
      <c r="B839" s="347"/>
      <c r="C839" s="347"/>
      <c r="D839" s="347"/>
      <c r="E839" s="347"/>
      <c r="F839" s="347"/>
      <c r="G839" s="347"/>
      <c r="H839" s="347"/>
      <c r="I839" s="347"/>
      <c r="J839" s="347"/>
      <c r="K839" s="347"/>
      <c r="L839" s="347"/>
      <c r="M839" s="347"/>
      <c r="N839" s="347"/>
      <c r="O839" s="347"/>
      <c r="P839" s="347"/>
      <c r="Q839" s="347"/>
      <c r="R839" s="347"/>
      <c r="S839" s="347"/>
      <c r="T839" s="347"/>
      <c r="U839" s="347"/>
      <c r="V839" s="347"/>
      <c r="W839" s="347"/>
    </row>
    <row r="840">
      <c r="A840" s="347"/>
      <c r="B840" s="347"/>
      <c r="C840" s="347"/>
      <c r="D840" s="347"/>
      <c r="E840" s="347"/>
      <c r="F840" s="347"/>
      <c r="G840" s="347"/>
      <c r="H840" s="347"/>
      <c r="I840" s="347"/>
      <c r="J840" s="347"/>
      <c r="K840" s="347"/>
      <c r="L840" s="347"/>
      <c r="M840" s="347"/>
      <c r="N840" s="347"/>
      <c r="O840" s="347"/>
      <c r="P840" s="347"/>
      <c r="Q840" s="347"/>
      <c r="R840" s="347"/>
      <c r="S840" s="347"/>
      <c r="T840" s="347"/>
      <c r="U840" s="347"/>
      <c r="V840" s="347"/>
      <c r="W840" s="347"/>
    </row>
    <row r="841">
      <c r="A841" s="347"/>
      <c r="B841" s="347"/>
      <c r="C841" s="347"/>
      <c r="D841" s="347"/>
      <c r="E841" s="347"/>
      <c r="F841" s="347"/>
      <c r="G841" s="347"/>
      <c r="H841" s="347"/>
      <c r="I841" s="347"/>
      <c r="J841" s="347"/>
      <c r="K841" s="347"/>
      <c r="L841" s="347"/>
      <c r="M841" s="347"/>
      <c r="N841" s="347"/>
      <c r="O841" s="347"/>
      <c r="P841" s="347"/>
      <c r="Q841" s="347"/>
      <c r="R841" s="347"/>
      <c r="S841" s="347"/>
      <c r="T841" s="347"/>
      <c r="U841" s="347"/>
      <c r="V841" s="347"/>
      <c r="W841" s="347"/>
    </row>
    <row r="842">
      <c r="A842" s="347"/>
      <c r="B842" s="347"/>
      <c r="C842" s="347"/>
      <c r="D842" s="347"/>
      <c r="E842" s="347"/>
      <c r="F842" s="347"/>
      <c r="G842" s="347"/>
      <c r="H842" s="347"/>
      <c r="I842" s="347"/>
      <c r="J842" s="347"/>
      <c r="K842" s="347"/>
      <c r="L842" s="347"/>
      <c r="M842" s="347"/>
      <c r="N842" s="347"/>
      <c r="O842" s="347"/>
      <c r="P842" s="347"/>
      <c r="Q842" s="347"/>
      <c r="R842" s="347"/>
      <c r="S842" s="347"/>
      <c r="T842" s="347"/>
      <c r="U842" s="347"/>
      <c r="V842" s="347"/>
      <c r="W842" s="347"/>
    </row>
    <row r="843">
      <c r="A843" s="347"/>
      <c r="B843" s="347"/>
      <c r="C843" s="347"/>
      <c r="D843" s="347"/>
      <c r="E843" s="347"/>
      <c r="F843" s="347"/>
      <c r="G843" s="347"/>
      <c r="H843" s="347"/>
      <c r="I843" s="347"/>
      <c r="J843" s="347"/>
      <c r="K843" s="347"/>
      <c r="L843" s="347"/>
      <c r="M843" s="347"/>
      <c r="N843" s="347"/>
      <c r="O843" s="347"/>
      <c r="P843" s="347"/>
      <c r="Q843" s="347"/>
      <c r="R843" s="347"/>
      <c r="S843" s="347"/>
      <c r="T843" s="347"/>
      <c r="U843" s="347"/>
      <c r="V843" s="347"/>
      <c r="W843" s="347"/>
    </row>
    <row r="844">
      <c r="A844" s="347"/>
      <c r="B844" s="347"/>
      <c r="C844" s="347"/>
      <c r="D844" s="347"/>
      <c r="E844" s="347"/>
      <c r="F844" s="347"/>
      <c r="G844" s="347"/>
      <c r="H844" s="347"/>
      <c r="I844" s="347"/>
      <c r="J844" s="347"/>
      <c r="K844" s="347"/>
      <c r="L844" s="347"/>
      <c r="M844" s="347"/>
      <c r="N844" s="347"/>
      <c r="O844" s="347"/>
      <c r="P844" s="347"/>
      <c r="Q844" s="347"/>
      <c r="R844" s="347"/>
      <c r="S844" s="347"/>
      <c r="T844" s="347"/>
      <c r="U844" s="347"/>
      <c r="V844" s="347"/>
      <c r="W844" s="347"/>
    </row>
    <row r="845">
      <c r="A845" s="347"/>
      <c r="B845" s="347"/>
      <c r="C845" s="347"/>
      <c r="D845" s="347"/>
      <c r="E845" s="347"/>
      <c r="F845" s="347"/>
      <c r="G845" s="347"/>
      <c r="H845" s="347"/>
      <c r="I845" s="347"/>
      <c r="J845" s="347"/>
      <c r="K845" s="347"/>
      <c r="L845" s="347"/>
      <c r="M845" s="347"/>
      <c r="N845" s="347"/>
      <c r="O845" s="347"/>
      <c r="P845" s="347"/>
      <c r="Q845" s="347"/>
      <c r="R845" s="347"/>
      <c r="S845" s="347"/>
      <c r="T845" s="347"/>
      <c r="U845" s="347"/>
      <c r="V845" s="347"/>
      <c r="W845" s="347"/>
    </row>
    <row r="846">
      <c r="A846" s="347"/>
      <c r="B846" s="347"/>
      <c r="C846" s="347"/>
      <c r="D846" s="347"/>
      <c r="E846" s="347"/>
      <c r="F846" s="347"/>
      <c r="G846" s="347"/>
      <c r="H846" s="347"/>
      <c r="I846" s="347"/>
      <c r="J846" s="347"/>
      <c r="K846" s="347"/>
      <c r="L846" s="347"/>
      <c r="M846" s="347"/>
      <c r="N846" s="347"/>
      <c r="O846" s="347"/>
      <c r="P846" s="347"/>
      <c r="Q846" s="347"/>
      <c r="R846" s="347"/>
      <c r="S846" s="347"/>
      <c r="T846" s="347"/>
      <c r="U846" s="347"/>
      <c r="V846" s="347"/>
      <c r="W846" s="347"/>
    </row>
    <row r="847">
      <c r="A847" s="347"/>
      <c r="B847" s="347"/>
      <c r="C847" s="347"/>
      <c r="D847" s="347"/>
      <c r="E847" s="347"/>
      <c r="F847" s="347"/>
      <c r="G847" s="347"/>
      <c r="H847" s="347"/>
      <c r="I847" s="347"/>
      <c r="J847" s="347"/>
      <c r="K847" s="347"/>
      <c r="L847" s="347"/>
      <c r="M847" s="347"/>
      <c r="N847" s="347"/>
      <c r="O847" s="347"/>
      <c r="P847" s="347"/>
      <c r="Q847" s="347"/>
      <c r="R847" s="347"/>
      <c r="S847" s="347"/>
      <c r="T847" s="347"/>
      <c r="U847" s="347"/>
      <c r="V847" s="347"/>
      <c r="W847" s="347"/>
    </row>
    <row r="848">
      <c r="A848" s="347"/>
      <c r="B848" s="347"/>
      <c r="C848" s="347"/>
      <c r="D848" s="347"/>
      <c r="E848" s="347"/>
      <c r="F848" s="347"/>
      <c r="G848" s="347"/>
      <c r="H848" s="347"/>
      <c r="I848" s="347"/>
      <c r="J848" s="347"/>
      <c r="K848" s="347"/>
      <c r="L848" s="347"/>
      <c r="M848" s="347"/>
      <c r="N848" s="347"/>
      <c r="O848" s="347"/>
      <c r="P848" s="347"/>
      <c r="Q848" s="347"/>
      <c r="R848" s="347"/>
      <c r="S848" s="347"/>
      <c r="T848" s="347"/>
      <c r="U848" s="347"/>
      <c r="V848" s="347"/>
      <c r="W848" s="347"/>
    </row>
    <row r="849">
      <c r="A849" s="347"/>
      <c r="B849" s="347"/>
      <c r="C849" s="347"/>
      <c r="D849" s="347"/>
      <c r="E849" s="347"/>
      <c r="F849" s="347"/>
      <c r="G849" s="347"/>
      <c r="H849" s="347"/>
      <c r="I849" s="347"/>
      <c r="J849" s="347"/>
      <c r="K849" s="347"/>
      <c r="L849" s="347"/>
      <c r="M849" s="347"/>
      <c r="N849" s="347"/>
      <c r="O849" s="347"/>
      <c r="P849" s="347"/>
      <c r="Q849" s="347"/>
      <c r="R849" s="347"/>
      <c r="S849" s="347"/>
      <c r="T849" s="347"/>
      <c r="U849" s="347"/>
      <c r="V849" s="347"/>
      <c r="W849" s="347"/>
    </row>
    <row r="850">
      <c r="A850" s="347"/>
      <c r="B850" s="347"/>
      <c r="C850" s="347"/>
      <c r="D850" s="347"/>
      <c r="E850" s="347"/>
      <c r="F850" s="347"/>
      <c r="G850" s="347"/>
      <c r="H850" s="347"/>
      <c r="I850" s="347"/>
      <c r="J850" s="347"/>
      <c r="K850" s="347"/>
      <c r="L850" s="347"/>
      <c r="M850" s="347"/>
      <c r="N850" s="347"/>
      <c r="O850" s="347"/>
      <c r="P850" s="347"/>
      <c r="Q850" s="347"/>
      <c r="R850" s="347"/>
      <c r="S850" s="347"/>
      <c r="T850" s="347"/>
      <c r="U850" s="347"/>
      <c r="V850" s="347"/>
      <c r="W850" s="347"/>
    </row>
    <row r="851">
      <c r="A851" s="347"/>
      <c r="B851" s="347"/>
      <c r="C851" s="347"/>
      <c r="D851" s="347"/>
      <c r="E851" s="347"/>
      <c r="F851" s="347"/>
      <c r="G851" s="347"/>
      <c r="H851" s="347"/>
      <c r="I851" s="347"/>
      <c r="J851" s="347"/>
      <c r="K851" s="347"/>
      <c r="L851" s="347"/>
      <c r="M851" s="347"/>
      <c r="N851" s="347"/>
      <c r="O851" s="347"/>
      <c r="P851" s="347"/>
      <c r="Q851" s="347"/>
      <c r="R851" s="347"/>
      <c r="S851" s="347"/>
      <c r="T851" s="347"/>
      <c r="U851" s="347"/>
      <c r="V851" s="347"/>
      <c r="W851" s="347"/>
    </row>
    <row r="852">
      <c r="A852" s="347"/>
      <c r="B852" s="347"/>
      <c r="C852" s="347"/>
      <c r="D852" s="347"/>
      <c r="E852" s="347"/>
      <c r="F852" s="347"/>
      <c r="G852" s="347"/>
      <c r="H852" s="347"/>
      <c r="I852" s="347"/>
      <c r="J852" s="347"/>
      <c r="K852" s="347"/>
      <c r="L852" s="347"/>
      <c r="M852" s="347"/>
      <c r="N852" s="347"/>
      <c r="O852" s="347"/>
      <c r="P852" s="347"/>
      <c r="Q852" s="347"/>
      <c r="R852" s="347"/>
      <c r="S852" s="347"/>
      <c r="T852" s="347"/>
      <c r="U852" s="347"/>
      <c r="V852" s="347"/>
      <c r="W852" s="347"/>
    </row>
    <row r="853">
      <c r="A853" s="347"/>
      <c r="B853" s="347"/>
      <c r="C853" s="347"/>
      <c r="D853" s="347"/>
      <c r="E853" s="347"/>
      <c r="F853" s="347"/>
      <c r="G853" s="347"/>
      <c r="H853" s="347"/>
      <c r="I853" s="347"/>
      <c r="J853" s="347"/>
      <c r="K853" s="347"/>
      <c r="L853" s="347"/>
      <c r="M853" s="347"/>
      <c r="N853" s="347"/>
      <c r="O853" s="347"/>
      <c r="P853" s="347"/>
      <c r="Q853" s="347"/>
      <c r="R853" s="347"/>
      <c r="S853" s="347"/>
      <c r="T853" s="347"/>
      <c r="U853" s="347"/>
      <c r="V853" s="347"/>
      <c r="W853" s="347"/>
    </row>
    <row r="854">
      <c r="A854" s="347"/>
      <c r="B854" s="347"/>
      <c r="C854" s="347"/>
      <c r="D854" s="347"/>
      <c r="E854" s="347"/>
      <c r="F854" s="347"/>
      <c r="G854" s="347"/>
      <c r="H854" s="347"/>
      <c r="I854" s="347"/>
      <c r="J854" s="347"/>
      <c r="K854" s="347"/>
      <c r="L854" s="347"/>
      <c r="M854" s="347"/>
      <c r="N854" s="347"/>
      <c r="O854" s="347"/>
      <c r="P854" s="347"/>
      <c r="Q854" s="347"/>
      <c r="R854" s="347"/>
      <c r="S854" s="347"/>
      <c r="T854" s="347"/>
      <c r="U854" s="347"/>
      <c r="V854" s="347"/>
      <c r="W854" s="347"/>
    </row>
    <row r="855">
      <c r="A855" s="347"/>
      <c r="B855" s="347"/>
      <c r="C855" s="347"/>
      <c r="D855" s="347"/>
      <c r="E855" s="347"/>
      <c r="F855" s="347"/>
      <c r="G855" s="347"/>
      <c r="H855" s="347"/>
      <c r="I855" s="347"/>
      <c r="J855" s="347"/>
      <c r="K855" s="347"/>
      <c r="L855" s="347"/>
      <c r="M855" s="347"/>
      <c r="N855" s="347"/>
      <c r="O855" s="347"/>
      <c r="P855" s="347"/>
      <c r="Q855" s="347"/>
      <c r="R855" s="347"/>
      <c r="S855" s="347"/>
      <c r="T855" s="347"/>
      <c r="U855" s="347"/>
      <c r="V855" s="347"/>
      <c r="W855" s="347"/>
    </row>
    <row r="856">
      <c r="A856" s="347"/>
      <c r="B856" s="347"/>
      <c r="C856" s="347"/>
      <c r="D856" s="347"/>
      <c r="E856" s="347"/>
      <c r="F856" s="347"/>
      <c r="G856" s="347"/>
      <c r="H856" s="347"/>
      <c r="I856" s="347"/>
      <c r="J856" s="347"/>
      <c r="K856" s="347"/>
      <c r="L856" s="347"/>
      <c r="M856" s="347"/>
      <c r="N856" s="347"/>
      <c r="O856" s="347"/>
      <c r="P856" s="347"/>
      <c r="Q856" s="347"/>
      <c r="R856" s="347"/>
      <c r="S856" s="347"/>
      <c r="T856" s="347"/>
      <c r="U856" s="347"/>
      <c r="V856" s="347"/>
      <c r="W856" s="347"/>
    </row>
    <row r="857">
      <c r="A857" s="347"/>
      <c r="B857" s="347"/>
      <c r="C857" s="347"/>
      <c r="D857" s="347"/>
      <c r="E857" s="347"/>
      <c r="F857" s="347"/>
      <c r="G857" s="347"/>
      <c r="H857" s="347"/>
      <c r="I857" s="347"/>
      <c r="J857" s="347"/>
      <c r="K857" s="347"/>
      <c r="L857" s="347"/>
      <c r="M857" s="347"/>
      <c r="N857" s="347"/>
      <c r="O857" s="347"/>
      <c r="P857" s="347"/>
      <c r="Q857" s="347"/>
      <c r="R857" s="347"/>
      <c r="S857" s="347"/>
      <c r="T857" s="347"/>
      <c r="U857" s="347"/>
      <c r="V857" s="347"/>
      <c r="W857" s="347"/>
    </row>
    <row r="858">
      <c r="A858" s="347"/>
      <c r="B858" s="347"/>
      <c r="C858" s="347"/>
      <c r="D858" s="347"/>
      <c r="E858" s="347"/>
      <c r="F858" s="347"/>
      <c r="G858" s="347"/>
      <c r="H858" s="347"/>
      <c r="I858" s="347"/>
      <c r="J858" s="347"/>
      <c r="K858" s="347"/>
      <c r="L858" s="347"/>
      <c r="M858" s="347"/>
      <c r="N858" s="347"/>
      <c r="O858" s="347"/>
      <c r="P858" s="347"/>
      <c r="Q858" s="347"/>
      <c r="R858" s="347"/>
      <c r="S858" s="347"/>
      <c r="T858" s="347"/>
      <c r="U858" s="347"/>
      <c r="V858" s="347"/>
      <c r="W858" s="347"/>
    </row>
    <row r="859">
      <c r="A859" s="347"/>
      <c r="B859" s="347"/>
      <c r="C859" s="347"/>
      <c r="D859" s="347"/>
      <c r="E859" s="347"/>
      <c r="F859" s="347"/>
      <c r="G859" s="347"/>
      <c r="H859" s="347"/>
      <c r="I859" s="347"/>
      <c r="J859" s="347"/>
      <c r="K859" s="347"/>
      <c r="L859" s="347"/>
      <c r="M859" s="347"/>
      <c r="N859" s="347"/>
      <c r="O859" s="347"/>
      <c r="P859" s="347"/>
      <c r="Q859" s="347"/>
      <c r="R859" s="347"/>
      <c r="S859" s="347"/>
      <c r="T859" s="347"/>
      <c r="U859" s="347"/>
      <c r="V859" s="347"/>
      <c r="W859" s="347"/>
    </row>
    <row r="860">
      <c r="A860" s="347"/>
      <c r="B860" s="347"/>
      <c r="C860" s="347"/>
      <c r="D860" s="347"/>
      <c r="E860" s="347"/>
      <c r="F860" s="347"/>
      <c r="G860" s="347"/>
      <c r="H860" s="347"/>
      <c r="I860" s="347"/>
      <c r="J860" s="347"/>
      <c r="K860" s="347"/>
      <c r="L860" s="347"/>
      <c r="M860" s="347"/>
      <c r="N860" s="347"/>
      <c r="O860" s="347"/>
      <c r="P860" s="347"/>
      <c r="Q860" s="347"/>
      <c r="R860" s="347"/>
      <c r="S860" s="347"/>
      <c r="T860" s="347"/>
      <c r="U860" s="347"/>
      <c r="V860" s="347"/>
      <c r="W860" s="347"/>
    </row>
    <row r="861">
      <c r="A861" s="347"/>
      <c r="B861" s="347"/>
      <c r="C861" s="347"/>
      <c r="D861" s="347"/>
      <c r="E861" s="347"/>
      <c r="F861" s="347"/>
      <c r="G861" s="347"/>
      <c r="H861" s="347"/>
      <c r="I861" s="347"/>
      <c r="J861" s="347"/>
      <c r="K861" s="347"/>
      <c r="L861" s="347"/>
      <c r="M861" s="347"/>
      <c r="N861" s="347"/>
      <c r="O861" s="347"/>
      <c r="P861" s="347"/>
      <c r="Q861" s="347"/>
      <c r="R861" s="347"/>
      <c r="S861" s="347"/>
      <c r="T861" s="347"/>
      <c r="U861" s="347"/>
      <c r="V861" s="347"/>
      <c r="W861" s="347"/>
    </row>
    <row r="862">
      <c r="A862" s="347"/>
      <c r="B862" s="347"/>
      <c r="C862" s="347"/>
      <c r="D862" s="347"/>
      <c r="E862" s="347"/>
      <c r="F862" s="347"/>
      <c r="G862" s="347"/>
      <c r="H862" s="347"/>
      <c r="I862" s="347"/>
      <c r="J862" s="347"/>
      <c r="K862" s="347"/>
      <c r="L862" s="347"/>
      <c r="M862" s="347"/>
      <c r="N862" s="347"/>
      <c r="O862" s="347"/>
      <c r="P862" s="347"/>
      <c r="Q862" s="347"/>
      <c r="R862" s="347"/>
      <c r="S862" s="347"/>
      <c r="T862" s="347"/>
      <c r="U862" s="347"/>
      <c r="V862" s="347"/>
      <c r="W862" s="347"/>
    </row>
    <row r="863">
      <c r="A863" s="347"/>
      <c r="B863" s="347"/>
      <c r="C863" s="347"/>
      <c r="D863" s="347"/>
      <c r="E863" s="347"/>
      <c r="F863" s="347"/>
      <c r="G863" s="347"/>
      <c r="H863" s="347"/>
      <c r="I863" s="347"/>
      <c r="J863" s="347"/>
      <c r="K863" s="347"/>
      <c r="L863" s="347"/>
      <c r="M863" s="347"/>
      <c r="N863" s="347"/>
      <c r="O863" s="347"/>
      <c r="P863" s="347"/>
      <c r="Q863" s="347"/>
      <c r="R863" s="347"/>
      <c r="S863" s="347"/>
      <c r="T863" s="347"/>
      <c r="U863" s="347"/>
      <c r="V863" s="347"/>
      <c r="W863" s="347"/>
    </row>
    <row r="864">
      <c r="A864" s="347"/>
      <c r="B864" s="347"/>
      <c r="C864" s="347"/>
      <c r="D864" s="347"/>
      <c r="E864" s="347"/>
      <c r="F864" s="347"/>
      <c r="G864" s="347"/>
      <c r="H864" s="347"/>
      <c r="I864" s="347"/>
      <c r="J864" s="347"/>
      <c r="K864" s="347"/>
      <c r="L864" s="347"/>
      <c r="M864" s="347"/>
      <c r="N864" s="347"/>
      <c r="O864" s="347"/>
      <c r="P864" s="347"/>
      <c r="Q864" s="347"/>
      <c r="R864" s="347"/>
      <c r="S864" s="347"/>
      <c r="T864" s="347"/>
      <c r="U864" s="347"/>
      <c r="V864" s="347"/>
      <c r="W864" s="347"/>
    </row>
    <row r="865">
      <c r="A865" s="347"/>
      <c r="B865" s="347"/>
      <c r="C865" s="347"/>
      <c r="D865" s="347"/>
      <c r="E865" s="347"/>
      <c r="F865" s="347"/>
      <c r="G865" s="347"/>
      <c r="H865" s="347"/>
      <c r="I865" s="347"/>
      <c r="J865" s="347"/>
      <c r="K865" s="347"/>
      <c r="L865" s="347"/>
      <c r="M865" s="347"/>
      <c r="N865" s="347"/>
      <c r="O865" s="347"/>
      <c r="P865" s="347"/>
      <c r="Q865" s="347"/>
      <c r="R865" s="347"/>
      <c r="S865" s="347"/>
      <c r="T865" s="347"/>
      <c r="U865" s="347"/>
      <c r="V865" s="347"/>
      <c r="W865" s="347"/>
    </row>
    <row r="866">
      <c r="A866" s="347"/>
      <c r="B866" s="347"/>
      <c r="C866" s="347"/>
      <c r="D866" s="347"/>
      <c r="E866" s="347"/>
      <c r="F866" s="347"/>
      <c r="G866" s="347"/>
      <c r="H866" s="347"/>
      <c r="I866" s="347"/>
      <c r="J866" s="347"/>
      <c r="K866" s="347"/>
      <c r="L866" s="347"/>
      <c r="M866" s="347"/>
      <c r="N866" s="347"/>
      <c r="O866" s="347"/>
      <c r="P866" s="347"/>
      <c r="Q866" s="347"/>
      <c r="R866" s="347"/>
      <c r="S866" s="347"/>
      <c r="T866" s="347"/>
      <c r="U866" s="347"/>
      <c r="V866" s="347"/>
      <c r="W866" s="347"/>
    </row>
    <row r="867">
      <c r="A867" s="347"/>
      <c r="B867" s="347"/>
      <c r="C867" s="347"/>
      <c r="D867" s="347"/>
      <c r="E867" s="347"/>
      <c r="F867" s="347"/>
      <c r="G867" s="347"/>
      <c r="H867" s="347"/>
      <c r="I867" s="347"/>
      <c r="J867" s="347"/>
      <c r="K867" s="347"/>
      <c r="L867" s="347"/>
      <c r="M867" s="347"/>
      <c r="N867" s="347"/>
      <c r="O867" s="347"/>
      <c r="P867" s="347"/>
      <c r="Q867" s="347"/>
      <c r="R867" s="347"/>
      <c r="S867" s="347"/>
      <c r="T867" s="347"/>
      <c r="U867" s="347"/>
      <c r="V867" s="347"/>
      <c r="W867" s="347"/>
    </row>
    <row r="868">
      <c r="A868" s="347"/>
      <c r="B868" s="347"/>
      <c r="C868" s="347"/>
      <c r="D868" s="347"/>
      <c r="E868" s="347"/>
      <c r="F868" s="347"/>
      <c r="G868" s="347"/>
      <c r="H868" s="347"/>
      <c r="I868" s="347"/>
      <c r="J868" s="347"/>
      <c r="K868" s="347"/>
      <c r="L868" s="347"/>
      <c r="M868" s="347"/>
      <c r="N868" s="347"/>
      <c r="O868" s="347"/>
      <c r="P868" s="347"/>
      <c r="Q868" s="347"/>
      <c r="R868" s="347"/>
      <c r="S868" s="347"/>
      <c r="T868" s="347"/>
      <c r="U868" s="347"/>
      <c r="V868" s="347"/>
      <c r="W868" s="347"/>
    </row>
    <row r="869">
      <c r="A869" s="347"/>
      <c r="B869" s="347"/>
      <c r="C869" s="347"/>
      <c r="D869" s="347"/>
      <c r="E869" s="347"/>
      <c r="F869" s="347"/>
      <c r="G869" s="347"/>
      <c r="H869" s="347"/>
      <c r="I869" s="347"/>
      <c r="J869" s="347"/>
      <c r="K869" s="347"/>
      <c r="L869" s="347"/>
      <c r="M869" s="347"/>
      <c r="N869" s="347"/>
      <c r="O869" s="347"/>
      <c r="P869" s="347"/>
      <c r="Q869" s="347"/>
      <c r="R869" s="347"/>
      <c r="S869" s="347"/>
      <c r="T869" s="347"/>
      <c r="U869" s="347"/>
      <c r="V869" s="347"/>
      <c r="W869" s="347"/>
    </row>
    <row r="870">
      <c r="A870" s="347"/>
      <c r="B870" s="347"/>
      <c r="C870" s="347"/>
      <c r="D870" s="347"/>
      <c r="E870" s="347"/>
      <c r="F870" s="347"/>
      <c r="G870" s="347"/>
      <c r="H870" s="347"/>
      <c r="I870" s="347"/>
      <c r="J870" s="347"/>
      <c r="K870" s="347"/>
      <c r="L870" s="347"/>
      <c r="M870" s="347"/>
      <c r="N870" s="347"/>
      <c r="O870" s="347"/>
      <c r="P870" s="347"/>
      <c r="Q870" s="347"/>
      <c r="R870" s="347"/>
      <c r="S870" s="347"/>
      <c r="T870" s="347"/>
      <c r="U870" s="347"/>
      <c r="V870" s="347"/>
      <c r="W870" s="347"/>
    </row>
    <row r="871">
      <c r="A871" s="347"/>
      <c r="B871" s="347"/>
      <c r="C871" s="347"/>
      <c r="D871" s="347"/>
      <c r="E871" s="347"/>
      <c r="F871" s="347"/>
      <c r="G871" s="347"/>
      <c r="H871" s="347"/>
      <c r="I871" s="347"/>
      <c r="J871" s="347"/>
      <c r="K871" s="347"/>
      <c r="L871" s="347"/>
      <c r="M871" s="347"/>
      <c r="N871" s="347"/>
      <c r="O871" s="347"/>
      <c r="P871" s="347"/>
      <c r="Q871" s="347"/>
      <c r="R871" s="347"/>
      <c r="S871" s="347"/>
      <c r="T871" s="347"/>
      <c r="U871" s="347"/>
      <c r="V871" s="347"/>
      <c r="W871" s="347"/>
    </row>
    <row r="872">
      <c r="A872" s="347"/>
      <c r="B872" s="347"/>
      <c r="C872" s="347"/>
      <c r="D872" s="347"/>
      <c r="E872" s="347"/>
      <c r="F872" s="347"/>
      <c r="G872" s="347"/>
      <c r="H872" s="347"/>
      <c r="I872" s="347"/>
      <c r="J872" s="347"/>
      <c r="K872" s="347"/>
      <c r="L872" s="347"/>
      <c r="M872" s="347"/>
      <c r="N872" s="347"/>
      <c r="O872" s="347"/>
      <c r="P872" s="347"/>
      <c r="Q872" s="347"/>
      <c r="R872" s="347"/>
      <c r="S872" s="347"/>
      <c r="T872" s="347"/>
      <c r="U872" s="347"/>
      <c r="V872" s="347"/>
      <c r="W872" s="347"/>
    </row>
    <row r="873">
      <c r="A873" s="347"/>
      <c r="B873" s="347"/>
      <c r="C873" s="347"/>
      <c r="D873" s="347"/>
      <c r="E873" s="347"/>
      <c r="F873" s="347"/>
      <c r="G873" s="347"/>
      <c r="H873" s="347"/>
      <c r="I873" s="347"/>
      <c r="J873" s="347"/>
      <c r="K873" s="347"/>
      <c r="L873" s="347"/>
      <c r="M873" s="347"/>
      <c r="N873" s="347"/>
      <c r="O873" s="347"/>
      <c r="P873" s="347"/>
      <c r="Q873" s="347"/>
      <c r="R873" s="347"/>
      <c r="S873" s="347"/>
      <c r="T873" s="347"/>
      <c r="U873" s="347"/>
      <c r="V873" s="347"/>
      <c r="W873" s="347"/>
    </row>
    <row r="874">
      <c r="A874" s="347"/>
      <c r="B874" s="347"/>
      <c r="C874" s="347"/>
      <c r="D874" s="347"/>
      <c r="E874" s="347"/>
      <c r="F874" s="347"/>
      <c r="G874" s="347"/>
      <c r="H874" s="347"/>
      <c r="I874" s="347"/>
      <c r="J874" s="347"/>
      <c r="K874" s="347"/>
      <c r="L874" s="347"/>
      <c r="M874" s="347"/>
      <c r="N874" s="347"/>
      <c r="O874" s="347"/>
      <c r="P874" s="347"/>
      <c r="Q874" s="347"/>
      <c r="R874" s="347"/>
      <c r="S874" s="347"/>
      <c r="T874" s="347"/>
      <c r="U874" s="347"/>
      <c r="V874" s="347"/>
      <c r="W874" s="347"/>
    </row>
    <row r="875">
      <c r="A875" s="347"/>
      <c r="B875" s="347"/>
      <c r="C875" s="347"/>
      <c r="D875" s="347"/>
      <c r="E875" s="347"/>
      <c r="F875" s="347"/>
      <c r="G875" s="347"/>
      <c r="H875" s="347"/>
      <c r="I875" s="347"/>
      <c r="J875" s="347"/>
      <c r="K875" s="347"/>
      <c r="L875" s="347"/>
      <c r="M875" s="347"/>
      <c r="N875" s="347"/>
      <c r="O875" s="347"/>
      <c r="P875" s="347"/>
      <c r="Q875" s="347"/>
      <c r="R875" s="347"/>
      <c r="S875" s="347"/>
      <c r="T875" s="347"/>
      <c r="U875" s="347"/>
      <c r="V875" s="347"/>
      <c r="W875" s="347"/>
    </row>
    <row r="876">
      <c r="A876" s="347"/>
      <c r="B876" s="347"/>
      <c r="C876" s="347"/>
      <c r="D876" s="347"/>
      <c r="E876" s="347"/>
      <c r="F876" s="347"/>
      <c r="G876" s="347"/>
      <c r="H876" s="347"/>
      <c r="I876" s="347"/>
      <c r="J876" s="347"/>
      <c r="K876" s="347"/>
      <c r="L876" s="347"/>
      <c r="M876" s="347"/>
      <c r="N876" s="347"/>
      <c r="O876" s="347"/>
      <c r="P876" s="347"/>
      <c r="Q876" s="347"/>
      <c r="R876" s="347"/>
      <c r="S876" s="347"/>
      <c r="T876" s="347"/>
      <c r="U876" s="347"/>
      <c r="V876" s="347"/>
      <c r="W876" s="347"/>
    </row>
    <row r="877">
      <c r="A877" s="347"/>
      <c r="B877" s="347"/>
      <c r="C877" s="347"/>
      <c r="D877" s="347"/>
      <c r="E877" s="347"/>
      <c r="F877" s="347"/>
      <c r="G877" s="347"/>
      <c r="H877" s="347"/>
      <c r="I877" s="347"/>
      <c r="J877" s="347"/>
      <c r="K877" s="347"/>
      <c r="L877" s="347"/>
      <c r="M877" s="347"/>
      <c r="N877" s="347"/>
      <c r="O877" s="347"/>
      <c r="P877" s="347"/>
      <c r="Q877" s="347"/>
      <c r="R877" s="347"/>
      <c r="S877" s="347"/>
      <c r="T877" s="347"/>
      <c r="U877" s="347"/>
      <c r="V877" s="347"/>
      <c r="W877" s="347"/>
    </row>
    <row r="878">
      <c r="A878" s="347"/>
      <c r="B878" s="347"/>
      <c r="C878" s="347"/>
      <c r="D878" s="347"/>
      <c r="E878" s="347"/>
      <c r="F878" s="347"/>
      <c r="G878" s="347"/>
      <c r="H878" s="347"/>
      <c r="I878" s="347"/>
      <c r="J878" s="347"/>
      <c r="K878" s="347"/>
      <c r="L878" s="347"/>
      <c r="M878" s="347"/>
      <c r="N878" s="347"/>
      <c r="O878" s="347"/>
      <c r="P878" s="347"/>
      <c r="Q878" s="347"/>
      <c r="R878" s="347"/>
      <c r="S878" s="347"/>
      <c r="T878" s="347"/>
      <c r="U878" s="347"/>
      <c r="V878" s="347"/>
      <c r="W878" s="347"/>
    </row>
    <row r="879">
      <c r="A879" s="347"/>
      <c r="B879" s="347"/>
      <c r="C879" s="347"/>
      <c r="D879" s="347"/>
      <c r="E879" s="347"/>
      <c r="F879" s="347"/>
      <c r="G879" s="347"/>
      <c r="H879" s="347"/>
      <c r="I879" s="347"/>
      <c r="J879" s="347"/>
      <c r="K879" s="347"/>
      <c r="L879" s="347"/>
      <c r="M879" s="347"/>
      <c r="N879" s="347"/>
      <c r="O879" s="347"/>
      <c r="P879" s="347"/>
      <c r="Q879" s="347"/>
      <c r="R879" s="347"/>
      <c r="S879" s="347"/>
      <c r="T879" s="347"/>
      <c r="U879" s="347"/>
      <c r="V879" s="347"/>
      <c r="W879" s="347"/>
    </row>
    <row r="880">
      <c r="A880" s="347"/>
      <c r="B880" s="347"/>
      <c r="C880" s="347"/>
      <c r="D880" s="347"/>
      <c r="E880" s="347"/>
      <c r="F880" s="347"/>
      <c r="G880" s="347"/>
      <c r="H880" s="347"/>
      <c r="I880" s="347"/>
      <c r="J880" s="347"/>
      <c r="K880" s="347"/>
      <c r="L880" s="347"/>
      <c r="M880" s="347"/>
      <c r="N880" s="347"/>
      <c r="O880" s="347"/>
      <c r="P880" s="347"/>
      <c r="Q880" s="347"/>
      <c r="R880" s="347"/>
      <c r="S880" s="347"/>
      <c r="T880" s="347"/>
      <c r="U880" s="347"/>
      <c r="V880" s="347"/>
      <c r="W880" s="347"/>
    </row>
    <row r="881">
      <c r="A881" s="347"/>
      <c r="B881" s="347"/>
      <c r="C881" s="347"/>
      <c r="D881" s="347"/>
      <c r="E881" s="347"/>
      <c r="F881" s="347"/>
      <c r="G881" s="347"/>
      <c r="H881" s="347"/>
      <c r="I881" s="347"/>
      <c r="J881" s="347"/>
      <c r="K881" s="347"/>
      <c r="L881" s="347"/>
      <c r="M881" s="347"/>
      <c r="N881" s="347"/>
      <c r="O881" s="347"/>
      <c r="P881" s="347"/>
      <c r="Q881" s="347"/>
      <c r="R881" s="347"/>
      <c r="S881" s="347"/>
      <c r="T881" s="347"/>
      <c r="U881" s="347"/>
      <c r="V881" s="347"/>
      <c r="W881" s="347"/>
    </row>
    <row r="882">
      <c r="A882" s="347"/>
      <c r="B882" s="347"/>
      <c r="C882" s="347"/>
      <c r="D882" s="347"/>
      <c r="E882" s="347"/>
      <c r="F882" s="347"/>
      <c r="G882" s="347"/>
      <c r="H882" s="347"/>
      <c r="I882" s="347"/>
      <c r="J882" s="347"/>
      <c r="K882" s="347"/>
      <c r="L882" s="347"/>
      <c r="M882" s="347"/>
      <c r="N882" s="347"/>
      <c r="O882" s="347"/>
      <c r="P882" s="347"/>
      <c r="Q882" s="347"/>
      <c r="R882" s="347"/>
      <c r="S882" s="347"/>
      <c r="T882" s="347"/>
      <c r="U882" s="347"/>
      <c r="V882" s="347"/>
      <c r="W882" s="347"/>
    </row>
    <row r="883">
      <c r="A883" s="347"/>
      <c r="B883" s="347"/>
      <c r="C883" s="347"/>
      <c r="D883" s="347"/>
      <c r="E883" s="347"/>
      <c r="F883" s="347"/>
      <c r="G883" s="347"/>
      <c r="H883" s="347"/>
      <c r="I883" s="347"/>
      <c r="J883" s="347"/>
      <c r="K883" s="347"/>
      <c r="L883" s="347"/>
      <c r="M883" s="347"/>
      <c r="N883" s="347"/>
      <c r="O883" s="347"/>
      <c r="P883" s="347"/>
      <c r="Q883" s="347"/>
      <c r="R883" s="347"/>
      <c r="S883" s="347"/>
      <c r="T883" s="347"/>
      <c r="U883" s="347"/>
      <c r="V883" s="347"/>
      <c r="W883" s="347"/>
    </row>
    <row r="884">
      <c r="A884" s="347"/>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row>
    <row r="885">
      <c r="A885" s="347"/>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row>
    <row r="886">
      <c r="A886" s="347"/>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row>
    <row r="887">
      <c r="A887" s="347"/>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row>
    <row r="888">
      <c r="A888" s="347"/>
      <c r="B888" s="347"/>
      <c r="C888" s="347"/>
      <c r="D888" s="347"/>
      <c r="E888" s="347"/>
      <c r="F888" s="347"/>
      <c r="G888" s="347"/>
      <c r="H888" s="347"/>
      <c r="I888" s="347"/>
      <c r="J888" s="347"/>
      <c r="K888" s="347"/>
      <c r="L888" s="347"/>
      <c r="M888" s="347"/>
      <c r="N888" s="347"/>
      <c r="O888" s="347"/>
      <c r="P888" s="347"/>
      <c r="Q888" s="347"/>
      <c r="R888" s="347"/>
      <c r="S888" s="347"/>
      <c r="T888" s="347"/>
      <c r="U888" s="347"/>
      <c r="V888" s="347"/>
      <c r="W888" s="347"/>
    </row>
    <row r="889">
      <c r="A889" s="347"/>
      <c r="B889" s="347"/>
      <c r="C889" s="347"/>
      <c r="D889" s="347"/>
      <c r="E889" s="347"/>
      <c r="F889" s="347"/>
      <c r="G889" s="347"/>
      <c r="H889" s="347"/>
      <c r="I889" s="347"/>
      <c r="J889" s="347"/>
      <c r="K889" s="347"/>
      <c r="L889" s="347"/>
      <c r="M889" s="347"/>
      <c r="N889" s="347"/>
      <c r="O889" s="347"/>
      <c r="P889" s="347"/>
      <c r="Q889" s="347"/>
      <c r="R889" s="347"/>
      <c r="S889" s="347"/>
      <c r="T889" s="347"/>
      <c r="U889" s="347"/>
      <c r="V889" s="347"/>
      <c r="W889" s="347"/>
    </row>
    <row r="890">
      <c r="A890" s="347"/>
      <c r="B890" s="347"/>
      <c r="C890" s="347"/>
      <c r="D890" s="347"/>
      <c r="E890" s="347"/>
      <c r="F890" s="347"/>
      <c r="G890" s="347"/>
      <c r="H890" s="347"/>
      <c r="I890" s="347"/>
      <c r="J890" s="347"/>
      <c r="K890" s="347"/>
      <c r="L890" s="347"/>
      <c r="M890" s="347"/>
      <c r="N890" s="347"/>
      <c r="O890" s="347"/>
      <c r="P890" s="347"/>
      <c r="Q890" s="347"/>
      <c r="R890" s="347"/>
      <c r="S890" s="347"/>
      <c r="T890" s="347"/>
      <c r="U890" s="347"/>
      <c r="V890" s="347"/>
      <c r="W890" s="347"/>
    </row>
    <row r="891">
      <c r="A891" s="347"/>
      <c r="B891" s="347"/>
      <c r="C891" s="347"/>
      <c r="D891" s="347"/>
      <c r="E891" s="347"/>
      <c r="F891" s="347"/>
      <c r="G891" s="347"/>
      <c r="H891" s="347"/>
      <c r="I891" s="347"/>
      <c r="J891" s="347"/>
      <c r="K891" s="347"/>
      <c r="L891" s="347"/>
      <c r="M891" s="347"/>
      <c r="N891" s="347"/>
      <c r="O891" s="347"/>
      <c r="P891" s="347"/>
      <c r="Q891" s="347"/>
      <c r="R891" s="347"/>
      <c r="S891" s="347"/>
      <c r="T891" s="347"/>
      <c r="U891" s="347"/>
      <c r="V891" s="347"/>
      <c r="W891" s="347"/>
    </row>
    <row r="892">
      <c r="A892" s="347"/>
      <c r="B892" s="347"/>
      <c r="C892" s="347"/>
      <c r="D892" s="347"/>
      <c r="E892" s="347"/>
      <c r="F892" s="347"/>
      <c r="G892" s="347"/>
      <c r="H892" s="347"/>
      <c r="I892" s="347"/>
      <c r="J892" s="347"/>
      <c r="K892" s="347"/>
      <c r="L892" s="347"/>
      <c r="M892" s="347"/>
      <c r="N892" s="347"/>
      <c r="O892" s="347"/>
      <c r="P892" s="347"/>
      <c r="Q892" s="347"/>
      <c r="R892" s="347"/>
      <c r="S892" s="347"/>
      <c r="T892" s="347"/>
      <c r="U892" s="347"/>
      <c r="V892" s="347"/>
      <c r="W892" s="347"/>
    </row>
    <row r="893">
      <c r="A893" s="347"/>
      <c r="B893" s="347"/>
      <c r="C893" s="347"/>
      <c r="D893" s="347"/>
      <c r="E893" s="347"/>
      <c r="F893" s="347"/>
      <c r="G893" s="347"/>
      <c r="H893" s="347"/>
      <c r="I893" s="347"/>
      <c r="J893" s="347"/>
      <c r="K893" s="347"/>
      <c r="L893" s="347"/>
      <c r="M893" s="347"/>
      <c r="N893" s="347"/>
      <c r="O893" s="347"/>
      <c r="P893" s="347"/>
      <c r="Q893" s="347"/>
      <c r="R893" s="347"/>
      <c r="S893" s="347"/>
      <c r="T893" s="347"/>
      <c r="U893" s="347"/>
      <c r="V893" s="347"/>
      <c r="W893" s="347"/>
    </row>
    <row r="894">
      <c r="A894" s="347"/>
      <c r="B894" s="347"/>
      <c r="C894" s="347"/>
      <c r="D894" s="347"/>
      <c r="E894" s="347"/>
      <c r="F894" s="347"/>
      <c r="G894" s="347"/>
      <c r="H894" s="347"/>
      <c r="I894" s="347"/>
      <c r="J894" s="347"/>
      <c r="K894" s="347"/>
      <c r="L894" s="347"/>
      <c r="M894" s="347"/>
      <c r="N894" s="347"/>
      <c r="O894" s="347"/>
      <c r="P894" s="347"/>
      <c r="Q894" s="347"/>
      <c r="R894" s="347"/>
      <c r="S894" s="347"/>
      <c r="T894" s="347"/>
      <c r="U894" s="347"/>
      <c r="V894" s="347"/>
      <c r="W894" s="347"/>
    </row>
    <row r="895">
      <c r="A895" s="347"/>
      <c r="B895" s="347"/>
      <c r="C895" s="347"/>
      <c r="D895" s="347"/>
      <c r="E895" s="347"/>
      <c r="F895" s="347"/>
      <c r="G895" s="347"/>
      <c r="H895" s="347"/>
      <c r="I895" s="347"/>
      <c r="J895" s="347"/>
      <c r="K895" s="347"/>
      <c r="L895" s="347"/>
      <c r="M895" s="347"/>
      <c r="N895" s="347"/>
      <c r="O895" s="347"/>
      <c r="P895" s="347"/>
      <c r="Q895" s="347"/>
      <c r="R895" s="347"/>
      <c r="S895" s="347"/>
      <c r="T895" s="347"/>
      <c r="U895" s="347"/>
      <c r="V895" s="347"/>
      <c r="W895" s="347"/>
    </row>
    <row r="896">
      <c r="A896" s="347"/>
      <c r="B896" s="347"/>
      <c r="C896" s="347"/>
      <c r="D896" s="347"/>
      <c r="E896" s="347"/>
      <c r="F896" s="347"/>
      <c r="G896" s="347"/>
      <c r="H896" s="347"/>
      <c r="I896" s="347"/>
      <c r="J896" s="347"/>
      <c r="K896" s="347"/>
      <c r="L896" s="347"/>
      <c r="M896" s="347"/>
      <c r="N896" s="347"/>
      <c r="O896" s="347"/>
      <c r="P896" s="347"/>
      <c r="Q896" s="347"/>
      <c r="R896" s="347"/>
      <c r="S896" s="347"/>
      <c r="T896" s="347"/>
      <c r="U896" s="347"/>
      <c r="V896" s="347"/>
      <c r="W896" s="347"/>
    </row>
    <row r="897">
      <c r="A897" s="347"/>
      <c r="B897" s="347"/>
      <c r="C897" s="347"/>
      <c r="D897" s="347"/>
      <c r="E897" s="347"/>
      <c r="F897" s="347"/>
      <c r="G897" s="347"/>
      <c r="H897" s="347"/>
      <c r="I897" s="347"/>
      <c r="J897" s="347"/>
      <c r="K897" s="347"/>
      <c r="L897" s="347"/>
      <c r="M897" s="347"/>
      <c r="N897" s="347"/>
      <c r="O897" s="347"/>
      <c r="P897" s="347"/>
      <c r="Q897" s="347"/>
      <c r="R897" s="347"/>
      <c r="S897" s="347"/>
      <c r="T897" s="347"/>
      <c r="U897" s="347"/>
      <c r="V897" s="347"/>
      <c r="W897" s="347"/>
    </row>
    <row r="898">
      <c r="A898" s="347"/>
      <c r="B898" s="347"/>
      <c r="C898" s="347"/>
      <c r="D898" s="347"/>
      <c r="E898" s="347"/>
      <c r="F898" s="347"/>
      <c r="G898" s="347"/>
      <c r="H898" s="347"/>
      <c r="I898" s="347"/>
      <c r="J898" s="347"/>
      <c r="K898" s="347"/>
      <c r="L898" s="347"/>
      <c r="M898" s="347"/>
      <c r="N898" s="347"/>
      <c r="O898" s="347"/>
      <c r="P898" s="347"/>
      <c r="Q898" s="347"/>
      <c r="R898" s="347"/>
      <c r="S898" s="347"/>
      <c r="T898" s="347"/>
      <c r="U898" s="347"/>
      <c r="V898" s="347"/>
      <c r="W898" s="347"/>
    </row>
    <row r="899">
      <c r="A899" s="347"/>
      <c r="B899" s="347"/>
      <c r="C899" s="347"/>
      <c r="D899" s="347"/>
      <c r="E899" s="347"/>
      <c r="F899" s="347"/>
      <c r="G899" s="347"/>
      <c r="H899" s="347"/>
      <c r="I899" s="347"/>
      <c r="J899" s="347"/>
      <c r="K899" s="347"/>
      <c r="L899" s="347"/>
      <c r="M899" s="347"/>
      <c r="N899" s="347"/>
      <c r="O899" s="347"/>
      <c r="P899" s="347"/>
      <c r="Q899" s="347"/>
      <c r="R899" s="347"/>
      <c r="S899" s="347"/>
      <c r="T899" s="347"/>
      <c r="U899" s="347"/>
      <c r="V899" s="347"/>
      <c r="W899" s="347"/>
    </row>
    <row r="900">
      <c r="A900" s="347"/>
      <c r="B900" s="347"/>
      <c r="C900" s="347"/>
      <c r="D900" s="347"/>
      <c r="E900" s="347"/>
      <c r="F900" s="347"/>
      <c r="G900" s="347"/>
      <c r="H900" s="347"/>
      <c r="I900" s="347"/>
      <c r="J900" s="347"/>
      <c r="K900" s="347"/>
      <c r="L900" s="347"/>
      <c r="M900" s="347"/>
      <c r="N900" s="347"/>
      <c r="O900" s="347"/>
      <c r="P900" s="347"/>
      <c r="Q900" s="347"/>
      <c r="R900" s="347"/>
      <c r="S900" s="347"/>
      <c r="T900" s="347"/>
      <c r="U900" s="347"/>
      <c r="V900" s="347"/>
      <c r="W900" s="347"/>
    </row>
    <row r="901">
      <c r="A901" s="347"/>
      <c r="B901" s="347"/>
      <c r="C901" s="347"/>
      <c r="D901" s="347"/>
      <c r="E901" s="347"/>
      <c r="F901" s="347"/>
      <c r="G901" s="347"/>
      <c r="H901" s="347"/>
      <c r="I901" s="347"/>
      <c r="J901" s="347"/>
      <c r="K901" s="347"/>
      <c r="L901" s="347"/>
      <c r="M901" s="347"/>
      <c r="N901" s="347"/>
      <c r="O901" s="347"/>
      <c r="P901" s="347"/>
      <c r="Q901" s="347"/>
      <c r="R901" s="347"/>
      <c r="S901" s="347"/>
      <c r="T901" s="347"/>
      <c r="U901" s="347"/>
      <c r="V901" s="347"/>
      <c r="W901" s="347"/>
    </row>
    <row r="902">
      <c r="A902" s="347"/>
      <c r="B902" s="347"/>
      <c r="C902" s="347"/>
      <c r="D902" s="347"/>
      <c r="E902" s="347"/>
      <c r="F902" s="347"/>
      <c r="G902" s="347"/>
      <c r="H902" s="347"/>
      <c r="I902" s="347"/>
      <c r="J902" s="347"/>
      <c r="K902" s="347"/>
      <c r="L902" s="347"/>
      <c r="M902" s="347"/>
      <c r="N902" s="347"/>
      <c r="O902" s="347"/>
      <c r="P902" s="347"/>
      <c r="Q902" s="347"/>
      <c r="R902" s="347"/>
      <c r="S902" s="347"/>
      <c r="T902" s="347"/>
      <c r="U902" s="347"/>
      <c r="V902" s="347"/>
      <c r="W902" s="347"/>
    </row>
    <row r="903">
      <c r="A903" s="347"/>
      <c r="B903" s="347"/>
      <c r="C903" s="347"/>
      <c r="D903" s="347"/>
      <c r="E903" s="347"/>
      <c r="F903" s="347"/>
      <c r="G903" s="347"/>
      <c r="H903" s="347"/>
      <c r="I903" s="347"/>
      <c r="J903" s="347"/>
      <c r="K903" s="347"/>
      <c r="L903" s="347"/>
      <c r="M903" s="347"/>
      <c r="N903" s="347"/>
      <c r="O903" s="347"/>
      <c r="P903" s="347"/>
      <c r="Q903" s="347"/>
      <c r="R903" s="347"/>
      <c r="S903" s="347"/>
      <c r="T903" s="347"/>
      <c r="U903" s="347"/>
      <c r="V903" s="347"/>
      <c r="W903" s="347"/>
    </row>
    <row r="904">
      <c r="A904" s="347"/>
      <c r="B904" s="347"/>
      <c r="C904" s="347"/>
      <c r="D904" s="347"/>
      <c r="E904" s="347"/>
      <c r="F904" s="347"/>
      <c r="G904" s="347"/>
      <c r="H904" s="347"/>
      <c r="I904" s="347"/>
      <c r="J904" s="347"/>
      <c r="K904" s="347"/>
      <c r="L904" s="347"/>
      <c r="M904" s="347"/>
      <c r="N904" s="347"/>
      <c r="O904" s="347"/>
      <c r="P904" s="347"/>
      <c r="Q904" s="347"/>
      <c r="R904" s="347"/>
      <c r="S904" s="347"/>
      <c r="T904" s="347"/>
      <c r="U904" s="347"/>
      <c r="V904" s="347"/>
      <c r="W904" s="347"/>
    </row>
    <row r="905">
      <c r="A905" s="347"/>
      <c r="B905" s="347"/>
      <c r="C905" s="347"/>
      <c r="D905" s="347"/>
      <c r="E905" s="347"/>
      <c r="F905" s="347"/>
      <c r="G905" s="347"/>
      <c r="H905" s="347"/>
      <c r="I905" s="347"/>
      <c r="J905" s="347"/>
      <c r="K905" s="347"/>
      <c r="L905" s="347"/>
      <c r="M905" s="347"/>
      <c r="N905" s="347"/>
      <c r="O905" s="347"/>
      <c r="P905" s="347"/>
      <c r="Q905" s="347"/>
      <c r="R905" s="347"/>
      <c r="S905" s="347"/>
      <c r="T905" s="347"/>
      <c r="U905" s="347"/>
      <c r="V905" s="347"/>
      <c r="W905" s="347"/>
    </row>
    <row r="906">
      <c r="A906" s="347"/>
      <c r="B906" s="347"/>
      <c r="C906" s="347"/>
      <c r="D906" s="347"/>
      <c r="E906" s="347"/>
      <c r="F906" s="347"/>
      <c r="G906" s="347"/>
      <c r="H906" s="347"/>
      <c r="I906" s="347"/>
      <c r="J906" s="347"/>
      <c r="K906" s="347"/>
      <c r="L906" s="347"/>
      <c r="M906" s="347"/>
      <c r="N906" s="347"/>
      <c r="O906" s="347"/>
      <c r="P906" s="347"/>
      <c r="Q906" s="347"/>
      <c r="R906" s="347"/>
      <c r="S906" s="347"/>
      <c r="T906" s="347"/>
      <c r="U906" s="347"/>
      <c r="V906" s="347"/>
      <c r="W906" s="347"/>
    </row>
    <row r="907">
      <c r="A907" s="347"/>
      <c r="B907" s="347"/>
      <c r="C907" s="347"/>
      <c r="D907" s="347"/>
      <c r="E907" s="347"/>
      <c r="F907" s="347"/>
      <c r="G907" s="347"/>
      <c r="H907" s="347"/>
      <c r="I907" s="347"/>
      <c r="J907" s="347"/>
      <c r="K907" s="347"/>
      <c r="L907" s="347"/>
      <c r="M907" s="347"/>
      <c r="N907" s="347"/>
      <c r="O907" s="347"/>
      <c r="P907" s="347"/>
      <c r="Q907" s="347"/>
      <c r="R907" s="347"/>
      <c r="S907" s="347"/>
      <c r="T907" s="347"/>
      <c r="U907" s="347"/>
      <c r="V907" s="347"/>
      <c r="W907" s="347"/>
    </row>
    <row r="908">
      <c r="A908" s="347"/>
      <c r="B908" s="347"/>
      <c r="C908" s="347"/>
      <c r="D908" s="347"/>
      <c r="E908" s="347"/>
      <c r="F908" s="347"/>
      <c r="G908" s="347"/>
      <c r="H908" s="347"/>
      <c r="I908" s="347"/>
      <c r="J908" s="347"/>
      <c r="K908" s="347"/>
      <c r="L908" s="347"/>
      <c r="M908" s="347"/>
      <c r="N908" s="347"/>
      <c r="O908" s="347"/>
      <c r="P908" s="347"/>
      <c r="Q908" s="347"/>
      <c r="R908" s="347"/>
      <c r="S908" s="347"/>
      <c r="T908" s="347"/>
      <c r="U908" s="347"/>
      <c r="V908" s="347"/>
      <c r="W908" s="347"/>
    </row>
    <row r="909">
      <c r="A909" s="347"/>
      <c r="B909" s="347"/>
      <c r="C909" s="347"/>
      <c r="D909" s="347"/>
      <c r="E909" s="347"/>
      <c r="F909" s="347"/>
      <c r="G909" s="347"/>
      <c r="H909" s="347"/>
      <c r="I909" s="347"/>
      <c r="J909" s="347"/>
      <c r="K909" s="347"/>
      <c r="L909" s="347"/>
      <c r="M909" s="347"/>
      <c r="N909" s="347"/>
      <c r="O909" s="347"/>
      <c r="P909" s="347"/>
      <c r="Q909" s="347"/>
      <c r="R909" s="347"/>
      <c r="S909" s="347"/>
      <c r="T909" s="347"/>
      <c r="U909" s="347"/>
      <c r="V909" s="347"/>
      <c r="W909" s="347"/>
    </row>
    <row r="910">
      <c r="A910" s="347"/>
      <c r="B910" s="347"/>
      <c r="C910" s="347"/>
      <c r="D910" s="347"/>
      <c r="E910" s="347"/>
      <c r="F910" s="347"/>
      <c r="G910" s="347"/>
      <c r="H910" s="347"/>
      <c r="I910" s="347"/>
      <c r="J910" s="347"/>
      <c r="K910" s="347"/>
      <c r="L910" s="347"/>
      <c r="M910" s="347"/>
      <c r="N910" s="347"/>
      <c r="O910" s="347"/>
      <c r="P910" s="347"/>
      <c r="Q910" s="347"/>
      <c r="R910" s="347"/>
      <c r="S910" s="347"/>
      <c r="T910" s="347"/>
      <c r="U910" s="347"/>
      <c r="V910" s="347"/>
      <c r="W910" s="347"/>
    </row>
    <row r="911">
      <c r="A911" s="347"/>
      <c r="B911" s="347"/>
      <c r="C911" s="347"/>
      <c r="D911" s="347"/>
      <c r="E911" s="347"/>
      <c r="F911" s="347"/>
      <c r="G911" s="347"/>
      <c r="H911" s="347"/>
      <c r="I911" s="347"/>
      <c r="J911" s="347"/>
      <c r="K911" s="347"/>
      <c r="L911" s="347"/>
      <c r="M911" s="347"/>
      <c r="N911" s="347"/>
      <c r="O911" s="347"/>
      <c r="P911" s="347"/>
      <c r="Q911" s="347"/>
      <c r="R911" s="347"/>
      <c r="S911" s="347"/>
      <c r="T911" s="347"/>
      <c r="U911" s="347"/>
      <c r="V911" s="347"/>
      <c r="W911" s="347"/>
    </row>
    <row r="912">
      <c r="A912" s="347"/>
      <c r="B912" s="347"/>
      <c r="C912" s="347"/>
      <c r="D912" s="347"/>
      <c r="E912" s="347"/>
      <c r="F912" s="347"/>
      <c r="G912" s="347"/>
      <c r="H912" s="347"/>
      <c r="I912" s="347"/>
      <c r="J912" s="347"/>
      <c r="K912" s="347"/>
      <c r="L912" s="347"/>
      <c r="M912" s="347"/>
      <c r="N912" s="347"/>
      <c r="O912" s="347"/>
      <c r="P912" s="347"/>
      <c r="Q912" s="347"/>
      <c r="R912" s="347"/>
      <c r="S912" s="347"/>
      <c r="T912" s="347"/>
      <c r="U912" s="347"/>
      <c r="V912" s="347"/>
      <c r="W912" s="347"/>
    </row>
    <row r="913">
      <c r="A913" s="347"/>
      <c r="B913" s="347"/>
      <c r="C913" s="347"/>
      <c r="D913" s="347"/>
      <c r="E913" s="347"/>
      <c r="F913" s="347"/>
      <c r="G913" s="347"/>
      <c r="H913" s="347"/>
      <c r="I913" s="347"/>
      <c r="J913" s="347"/>
      <c r="K913" s="347"/>
      <c r="L913" s="347"/>
      <c r="M913" s="347"/>
      <c r="N913" s="347"/>
      <c r="O913" s="347"/>
      <c r="P913" s="347"/>
      <c r="Q913" s="347"/>
      <c r="R913" s="347"/>
      <c r="S913" s="347"/>
      <c r="T913" s="347"/>
      <c r="U913" s="347"/>
      <c r="V913" s="347"/>
      <c r="W913" s="347"/>
    </row>
    <row r="914">
      <c r="A914" s="347"/>
      <c r="B914" s="347"/>
      <c r="C914" s="347"/>
      <c r="D914" s="347"/>
      <c r="E914" s="347"/>
      <c r="F914" s="347"/>
      <c r="G914" s="347"/>
      <c r="H914" s="347"/>
      <c r="I914" s="347"/>
      <c r="J914" s="347"/>
      <c r="K914" s="347"/>
      <c r="L914" s="347"/>
      <c r="M914" s="347"/>
      <c r="N914" s="347"/>
      <c r="O914" s="347"/>
      <c r="P914" s="347"/>
      <c r="Q914" s="347"/>
      <c r="R914" s="347"/>
      <c r="S914" s="347"/>
      <c r="T914" s="347"/>
      <c r="U914" s="347"/>
      <c r="V914" s="347"/>
      <c r="W914" s="347"/>
    </row>
    <row r="915">
      <c r="A915" s="347"/>
      <c r="B915" s="347"/>
      <c r="C915" s="347"/>
      <c r="D915" s="347"/>
      <c r="E915" s="347"/>
      <c r="F915" s="347"/>
      <c r="G915" s="347"/>
      <c r="H915" s="347"/>
      <c r="I915" s="347"/>
      <c r="J915" s="347"/>
      <c r="K915" s="347"/>
      <c r="L915" s="347"/>
      <c r="M915" s="347"/>
      <c r="N915" s="347"/>
      <c r="O915" s="347"/>
      <c r="P915" s="347"/>
      <c r="Q915" s="347"/>
      <c r="R915" s="347"/>
      <c r="S915" s="347"/>
      <c r="T915" s="347"/>
      <c r="U915" s="347"/>
      <c r="V915" s="347"/>
      <c r="W915" s="347"/>
    </row>
    <row r="916">
      <c r="A916" s="347"/>
      <c r="B916" s="347"/>
      <c r="C916" s="347"/>
      <c r="D916" s="347"/>
      <c r="E916" s="347"/>
      <c r="F916" s="347"/>
      <c r="G916" s="347"/>
      <c r="H916" s="347"/>
      <c r="I916" s="347"/>
      <c r="J916" s="347"/>
      <c r="K916" s="347"/>
      <c r="L916" s="347"/>
      <c r="M916" s="347"/>
      <c r="N916" s="347"/>
      <c r="O916" s="347"/>
      <c r="P916" s="347"/>
      <c r="Q916" s="347"/>
      <c r="R916" s="347"/>
      <c r="S916" s="347"/>
      <c r="T916" s="347"/>
      <c r="U916" s="347"/>
      <c r="V916" s="347"/>
      <c r="W916" s="347"/>
    </row>
    <row r="917">
      <c r="A917" s="347"/>
      <c r="B917" s="347"/>
      <c r="C917" s="347"/>
      <c r="D917" s="347"/>
      <c r="E917" s="347"/>
      <c r="F917" s="347"/>
      <c r="G917" s="347"/>
      <c r="H917" s="347"/>
      <c r="I917" s="347"/>
      <c r="J917" s="347"/>
      <c r="K917" s="347"/>
      <c r="L917" s="347"/>
      <c r="M917" s="347"/>
      <c r="N917" s="347"/>
      <c r="O917" s="347"/>
      <c r="P917" s="347"/>
      <c r="Q917" s="347"/>
      <c r="R917" s="347"/>
      <c r="S917" s="347"/>
      <c r="T917" s="347"/>
      <c r="U917" s="347"/>
      <c r="V917" s="347"/>
      <c r="W917" s="347"/>
    </row>
    <row r="918">
      <c r="A918" s="347"/>
      <c r="B918" s="347"/>
      <c r="C918" s="347"/>
      <c r="D918" s="347"/>
      <c r="E918" s="347"/>
      <c r="F918" s="347"/>
      <c r="G918" s="347"/>
      <c r="H918" s="347"/>
      <c r="I918" s="347"/>
      <c r="J918" s="347"/>
      <c r="K918" s="347"/>
      <c r="L918" s="347"/>
      <c r="M918" s="347"/>
      <c r="N918" s="347"/>
      <c r="O918" s="347"/>
      <c r="P918" s="347"/>
      <c r="Q918" s="347"/>
      <c r="R918" s="347"/>
      <c r="S918" s="347"/>
      <c r="T918" s="347"/>
      <c r="U918" s="347"/>
      <c r="V918" s="347"/>
      <c r="W918" s="347"/>
    </row>
    <row r="919">
      <c r="A919" s="347"/>
      <c r="B919" s="347"/>
      <c r="C919" s="347"/>
      <c r="D919" s="347"/>
      <c r="E919" s="347"/>
      <c r="F919" s="347"/>
      <c r="G919" s="347"/>
      <c r="H919" s="347"/>
      <c r="I919" s="347"/>
      <c r="J919" s="347"/>
      <c r="K919" s="347"/>
      <c r="L919" s="347"/>
      <c r="M919" s="347"/>
      <c r="N919" s="347"/>
      <c r="O919" s="347"/>
      <c r="P919" s="347"/>
      <c r="Q919" s="347"/>
      <c r="R919" s="347"/>
      <c r="S919" s="347"/>
      <c r="T919" s="347"/>
      <c r="U919" s="347"/>
      <c r="V919" s="347"/>
      <c r="W919" s="347"/>
    </row>
    <row r="920">
      <c r="A920" s="347"/>
      <c r="B920" s="347"/>
      <c r="C920" s="347"/>
      <c r="D920" s="347"/>
      <c r="E920" s="347"/>
      <c r="F920" s="347"/>
      <c r="G920" s="347"/>
      <c r="H920" s="347"/>
      <c r="I920" s="347"/>
      <c r="J920" s="347"/>
      <c r="K920" s="347"/>
      <c r="L920" s="347"/>
      <c r="M920" s="347"/>
      <c r="N920" s="347"/>
      <c r="O920" s="347"/>
      <c r="P920" s="347"/>
      <c r="Q920" s="347"/>
      <c r="R920" s="347"/>
      <c r="S920" s="347"/>
      <c r="T920" s="347"/>
      <c r="U920" s="347"/>
      <c r="V920" s="347"/>
      <c r="W920" s="347"/>
    </row>
    <row r="921">
      <c r="A921" s="347"/>
      <c r="B921" s="347"/>
      <c r="C921" s="347"/>
      <c r="D921" s="347"/>
      <c r="E921" s="347"/>
      <c r="F921" s="347"/>
      <c r="G921" s="347"/>
      <c r="H921" s="347"/>
      <c r="I921" s="347"/>
      <c r="J921" s="347"/>
      <c r="K921" s="347"/>
      <c r="L921" s="347"/>
      <c r="M921" s="347"/>
      <c r="N921" s="347"/>
      <c r="O921" s="347"/>
      <c r="P921" s="347"/>
      <c r="Q921" s="347"/>
      <c r="R921" s="347"/>
      <c r="S921" s="347"/>
      <c r="T921" s="347"/>
      <c r="U921" s="347"/>
      <c r="V921" s="347"/>
      <c r="W921" s="347"/>
    </row>
    <row r="922">
      <c r="A922" s="347"/>
      <c r="B922" s="347"/>
      <c r="C922" s="347"/>
      <c r="D922" s="347"/>
      <c r="E922" s="347"/>
      <c r="F922" s="347"/>
      <c r="G922" s="347"/>
      <c r="H922" s="347"/>
      <c r="I922" s="347"/>
      <c r="J922" s="347"/>
      <c r="K922" s="347"/>
      <c r="L922" s="347"/>
      <c r="M922" s="347"/>
      <c r="N922" s="347"/>
      <c r="O922" s="347"/>
      <c r="P922" s="347"/>
      <c r="Q922" s="347"/>
      <c r="R922" s="347"/>
      <c r="S922" s="347"/>
      <c r="T922" s="347"/>
      <c r="U922" s="347"/>
      <c r="V922" s="347"/>
      <c r="W922" s="347"/>
    </row>
    <row r="923">
      <c r="A923" s="347"/>
      <c r="B923" s="347"/>
      <c r="C923" s="347"/>
      <c r="D923" s="347"/>
      <c r="E923" s="347"/>
      <c r="F923" s="347"/>
      <c r="G923" s="347"/>
      <c r="H923" s="347"/>
      <c r="I923" s="347"/>
      <c r="J923" s="347"/>
      <c r="K923" s="347"/>
      <c r="L923" s="347"/>
      <c r="M923" s="347"/>
      <c r="N923" s="347"/>
      <c r="O923" s="347"/>
      <c r="P923" s="347"/>
      <c r="Q923" s="347"/>
      <c r="R923" s="347"/>
      <c r="S923" s="347"/>
      <c r="T923" s="347"/>
      <c r="U923" s="347"/>
      <c r="V923" s="347"/>
      <c r="W923" s="347"/>
    </row>
    <row r="924">
      <c r="A924" s="347"/>
      <c r="B924" s="347"/>
      <c r="C924" s="347"/>
      <c r="D924" s="347"/>
      <c r="E924" s="347"/>
      <c r="F924" s="347"/>
      <c r="G924" s="347"/>
      <c r="H924" s="347"/>
      <c r="I924" s="347"/>
      <c r="J924" s="347"/>
      <c r="K924" s="347"/>
      <c r="L924" s="347"/>
      <c r="M924" s="347"/>
      <c r="N924" s="347"/>
      <c r="O924" s="347"/>
      <c r="P924" s="347"/>
      <c r="Q924" s="347"/>
      <c r="R924" s="347"/>
      <c r="S924" s="347"/>
      <c r="T924" s="347"/>
      <c r="U924" s="347"/>
      <c r="V924" s="347"/>
      <c r="W924" s="347"/>
    </row>
    <row r="925">
      <c r="A925" s="347"/>
      <c r="B925" s="347"/>
      <c r="C925" s="347"/>
      <c r="D925" s="347"/>
      <c r="E925" s="347"/>
      <c r="F925" s="347"/>
      <c r="G925" s="347"/>
      <c r="H925" s="347"/>
      <c r="I925" s="347"/>
      <c r="J925" s="347"/>
      <c r="K925" s="347"/>
      <c r="L925" s="347"/>
      <c r="M925" s="347"/>
      <c r="N925" s="347"/>
      <c r="O925" s="347"/>
      <c r="P925" s="347"/>
      <c r="Q925" s="347"/>
      <c r="R925" s="347"/>
      <c r="S925" s="347"/>
      <c r="T925" s="347"/>
      <c r="U925" s="347"/>
      <c r="V925" s="347"/>
      <c r="W925" s="347"/>
    </row>
    <row r="926">
      <c r="A926" s="347"/>
      <c r="B926" s="347"/>
      <c r="C926" s="347"/>
      <c r="D926" s="347"/>
      <c r="E926" s="347"/>
      <c r="F926" s="347"/>
      <c r="G926" s="347"/>
      <c r="H926" s="347"/>
      <c r="I926" s="347"/>
      <c r="J926" s="347"/>
      <c r="K926" s="347"/>
      <c r="L926" s="347"/>
      <c r="M926" s="347"/>
      <c r="N926" s="347"/>
      <c r="O926" s="347"/>
      <c r="P926" s="347"/>
      <c r="Q926" s="347"/>
      <c r="R926" s="347"/>
      <c r="S926" s="347"/>
      <c r="T926" s="347"/>
      <c r="U926" s="347"/>
      <c r="V926" s="347"/>
      <c r="W926" s="347"/>
    </row>
    <row r="927">
      <c r="A927" s="347"/>
      <c r="B927" s="347"/>
      <c r="C927" s="347"/>
      <c r="D927" s="347"/>
      <c r="E927" s="347"/>
      <c r="F927" s="347"/>
      <c r="G927" s="347"/>
      <c r="H927" s="347"/>
      <c r="I927" s="347"/>
      <c r="J927" s="347"/>
      <c r="K927" s="347"/>
      <c r="L927" s="347"/>
      <c r="M927" s="347"/>
      <c r="N927" s="347"/>
      <c r="O927" s="347"/>
      <c r="P927" s="347"/>
      <c r="Q927" s="347"/>
      <c r="R927" s="347"/>
      <c r="S927" s="347"/>
      <c r="T927" s="347"/>
      <c r="U927" s="347"/>
      <c r="V927" s="347"/>
      <c r="W927" s="347"/>
    </row>
    <row r="928">
      <c r="A928" s="347"/>
      <c r="B928" s="347"/>
      <c r="C928" s="347"/>
      <c r="D928" s="347"/>
      <c r="E928" s="347"/>
      <c r="F928" s="347"/>
      <c r="G928" s="347"/>
      <c r="H928" s="347"/>
      <c r="I928" s="347"/>
      <c r="J928" s="347"/>
      <c r="K928" s="347"/>
      <c r="L928" s="347"/>
      <c r="M928" s="347"/>
      <c r="N928" s="347"/>
      <c r="O928" s="347"/>
      <c r="P928" s="347"/>
      <c r="Q928" s="347"/>
      <c r="R928" s="347"/>
      <c r="S928" s="347"/>
      <c r="T928" s="347"/>
      <c r="U928" s="347"/>
      <c r="V928" s="347"/>
      <c r="W928" s="347"/>
    </row>
    <row r="929">
      <c r="A929" s="347"/>
      <c r="B929" s="347"/>
      <c r="C929" s="347"/>
      <c r="D929" s="347"/>
      <c r="E929" s="347"/>
      <c r="F929" s="347"/>
      <c r="G929" s="347"/>
      <c r="H929" s="347"/>
      <c r="I929" s="347"/>
      <c r="J929" s="347"/>
      <c r="K929" s="347"/>
      <c r="L929" s="347"/>
      <c r="M929" s="347"/>
      <c r="N929" s="347"/>
      <c r="O929" s="347"/>
      <c r="P929" s="347"/>
      <c r="Q929" s="347"/>
      <c r="R929" s="347"/>
      <c r="S929" s="347"/>
      <c r="T929" s="347"/>
      <c r="U929" s="347"/>
      <c r="V929" s="347"/>
      <c r="W929" s="347"/>
    </row>
    <row r="930">
      <c r="A930" s="347"/>
      <c r="B930" s="347"/>
      <c r="C930" s="347"/>
      <c r="D930" s="347"/>
      <c r="E930" s="347"/>
      <c r="F930" s="347"/>
      <c r="G930" s="347"/>
      <c r="H930" s="347"/>
      <c r="I930" s="347"/>
      <c r="J930" s="347"/>
      <c r="K930" s="347"/>
      <c r="L930" s="347"/>
      <c r="M930" s="347"/>
      <c r="N930" s="347"/>
      <c r="O930" s="347"/>
      <c r="P930" s="347"/>
      <c r="Q930" s="347"/>
      <c r="R930" s="347"/>
      <c r="S930" s="347"/>
      <c r="T930" s="347"/>
      <c r="U930" s="347"/>
      <c r="V930" s="347"/>
      <c r="W930" s="347"/>
    </row>
    <row r="931">
      <c r="A931" s="347"/>
      <c r="B931" s="347"/>
      <c r="C931" s="347"/>
      <c r="D931" s="347"/>
      <c r="E931" s="347"/>
      <c r="F931" s="347"/>
      <c r="G931" s="347"/>
      <c r="H931" s="347"/>
      <c r="I931" s="347"/>
      <c r="J931" s="347"/>
      <c r="K931" s="347"/>
      <c r="L931" s="347"/>
      <c r="M931" s="347"/>
      <c r="N931" s="347"/>
      <c r="O931" s="347"/>
      <c r="P931" s="347"/>
      <c r="Q931" s="347"/>
      <c r="R931" s="347"/>
      <c r="S931" s="347"/>
      <c r="T931" s="347"/>
      <c r="U931" s="347"/>
      <c r="V931" s="347"/>
      <c r="W931" s="347"/>
    </row>
    <row r="932">
      <c r="A932" s="347"/>
      <c r="B932" s="347"/>
      <c r="C932" s="347"/>
      <c r="D932" s="347"/>
      <c r="E932" s="347"/>
      <c r="F932" s="347"/>
      <c r="G932" s="347"/>
      <c r="H932" s="347"/>
      <c r="I932" s="347"/>
      <c r="J932" s="347"/>
      <c r="K932" s="347"/>
      <c r="L932" s="347"/>
      <c r="M932" s="347"/>
      <c r="N932" s="347"/>
      <c r="O932" s="347"/>
      <c r="P932" s="347"/>
      <c r="Q932" s="347"/>
      <c r="R932" s="347"/>
      <c r="S932" s="347"/>
      <c r="T932" s="347"/>
      <c r="U932" s="347"/>
      <c r="V932" s="347"/>
      <c r="W932" s="347"/>
    </row>
    <row r="933">
      <c r="A933" s="347"/>
      <c r="B933" s="347"/>
      <c r="C933" s="347"/>
      <c r="D933" s="347"/>
      <c r="E933" s="347"/>
      <c r="F933" s="347"/>
      <c r="G933" s="347"/>
      <c r="H933" s="347"/>
      <c r="I933" s="347"/>
      <c r="J933" s="347"/>
      <c r="K933" s="347"/>
      <c r="L933" s="347"/>
      <c r="M933" s="347"/>
      <c r="N933" s="347"/>
      <c r="O933" s="347"/>
      <c r="P933" s="347"/>
      <c r="Q933" s="347"/>
      <c r="R933" s="347"/>
      <c r="S933" s="347"/>
      <c r="T933" s="347"/>
      <c r="U933" s="347"/>
      <c r="V933" s="347"/>
      <c r="W933" s="347"/>
    </row>
    <row r="934">
      <c r="A934" s="347"/>
      <c r="B934" s="347"/>
      <c r="C934" s="347"/>
      <c r="D934" s="347"/>
      <c r="E934" s="347"/>
      <c r="F934" s="347"/>
      <c r="G934" s="347"/>
      <c r="H934" s="347"/>
      <c r="I934" s="347"/>
      <c r="J934" s="347"/>
      <c r="K934" s="347"/>
      <c r="L934" s="347"/>
      <c r="M934" s="347"/>
      <c r="N934" s="347"/>
      <c r="O934" s="347"/>
      <c r="P934" s="347"/>
      <c r="Q934" s="347"/>
      <c r="R934" s="347"/>
      <c r="S934" s="347"/>
      <c r="T934" s="347"/>
      <c r="U934" s="347"/>
      <c r="V934" s="347"/>
      <c r="W934" s="347"/>
    </row>
    <row r="935">
      <c r="A935" s="347"/>
      <c r="B935" s="347"/>
      <c r="C935" s="347"/>
      <c r="D935" s="347"/>
      <c r="E935" s="347"/>
      <c r="F935" s="347"/>
      <c r="G935" s="347"/>
      <c r="H935" s="347"/>
      <c r="I935" s="347"/>
      <c r="J935" s="347"/>
      <c r="K935" s="347"/>
      <c r="L935" s="347"/>
      <c r="M935" s="347"/>
      <c r="N935" s="347"/>
      <c r="O935" s="347"/>
      <c r="P935" s="347"/>
      <c r="Q935" s="347"/>
      <c r="R935" s="347"/>
      <c r="S935" s="347"/>
      <c r="T935" s="347"/>
      <c r="U935" s="347"/>
      <c r="V935" s="347"/>
      <c r="W935" s="347"/>
    </row>
    <row r="936">
      <c r="A936" s="347"/>
      <c r="B936" s="347"/>
      <c r="C936" s="347"/>
      <c r="D936" s="347"/>
      <c r="E936" s="347"/>
      <c r="F936" s="347"/>
      <c r="G936" s="347"/>
      <c r="H936" s="347"/>
      <c r="I936" s="347"/>
      <c r="J936" s="347"/>
      <c r="K936" s="347"/>
      <c r="L936" s="347"/>
      <c r="M936" s="347"/>
      <c r="N936" s="347"/>
      <c r="O936" s="347"/>
      <c r="P936" s="347"/>
      <c r="Q936" s="347"/>
      <c r="R936" s="347"/>
      <c r="S936" s="347"/>
      <c r="T936" s="347"/>
      <c r="U936" s="347"/>
      <c r="V936" s="347"/>
      <c r="W936" s="347"/>
    </row>
    <row r="937">
      <c r="A937" s="347"/>
      <c r="B937" s="347"/>
      <c r="C937" s="347"/>
      <c r="D937" s="347"/>
      <c r="E937" s="347"/>
      <c r="F937" s="347"/>
      <c r="G937" s="347"/>
      <c r="H937" s="347"/>
      <c r="I937" s="347"/>
      <c r="J937" s="347"/>
      <c r="K937" s="347"/>
      <c r="L937" s="347"/>
      <c r="M937" s="347"/>
      <c r="N937" s="347"/>
      <c r="O937" s="347"/>
      <c r="P937" s="347"/>
      <c r="Q937" s="347"/>
      <c r="R937" s="347"/>
      <c r="S937" s="347"/>
      <c r="T937" s="347"/>
      <c r="U937" s="347"/>
      <c r="V937" s="347"/>
      <c r="W937" s="347"/>
    </row>
    <row r="938">
      <c r="A938" s="347"/>
      <c r="B938" s="347"/>
      <c r="C938" s="347"/>
      <c r="D938" s="347"/>
      <c r="E938" s="347"/>
      <c r="F938" s="347"/>
      <c r="G938" s="347"/>
      <c r="H938" s="347"/>
      <c r="I938" s="347"/>
      <c r="J938" s="347"/>
      <c r="K938" s="347"/>
      <c r="L938" s="347"/>
      <c r="M938" s="347"/>
      <c r="N938" s="347"/>
      <c r="O938" s="347"/>
      <c r="P938" s="347"/>
      <c r="Q938" s="347"/>
      <c r="R938" s="347"/>
      <c r="S938" s="347"/>
      <c r="T938" s="347"/>
      <c r="U938" s="347"/>
      <c r="V938" s="347"/>
      <c r="W938" s="347"/>
    </row>
    <row r="939">
      <c r="A939" s="347"/>
      <c r="B939" s="347"/>
      <c r="C939" s="347"/>
      <c r="D939" s="347"/>
      <c r="E939" s="347"/>
      <c r="F939" s="347"/>
      <c r="G939" s="347"/>
      <c r="H939" s="347"/>
      <c r="I939" s="347"/>
      <c r="J939" s="347"/>
      <c r="K939" s="347"/>
      <c r="L939" s="347"/>
      <c r="M939" s="347"/>
      <c r="N939" s="347"/>
      <c r="O939" s="347"/>
      <c r="P939" s="347"/>
      <c r="Q939" s="347"/>
      <c r="R939" s="347"/>
      <c r="S939" s="347"/>
      <c r="T939" s="347"/>
      <c r="U939" s="347"/>
      <c r="V939" s="347"/>
      <c r="W939" s="347"/>
    </row>
    <row r="940">
      <c r="A940" s="347"/>
      <c r="B940" s="347"/>
      <c r="C940" s="347"/>
      <c r="D940" s="347"/>
      <c r="E940" s="347"/>
      <c r="F940" s="347"/>
      <c r="G940" s="347"/>
      <c r="H940" s="347"/>
      <c r="I940" s="347"/>
      <c r="J940" s="347"/>
      <c r="K940" s="347"/>
      <c r="L940" s="347"/>
      <c r="M940" s="347"/>
      <c r="N940" s="347"/>
      <c r="O940" s="347"/>
      <c r="P940" s="347"/>
      <c r="Q940" s="347"/>
      <c r="R940" s="347"/>
      <c r="S940" s="347"/>
      <c r="T940" s="347"/>
      <c r="U940" s="347"/>
      <c r="V940" s="347"/>
      <c r="W940" s="347"/>
    </row>
    <row r="941">
      <c r="A941" s="347"/>
      <c r="B941" s="347"/>
      <c r="C941" s="347"/>
      <c r="D941" s="347"/>
      <c r="E941" s="347"/>
      <c r="F941" s="347"/>
      <c r="G941" s="347"/>
      <c r="H941" s="347"/>
      <c r="I941" s="347"/>
      <c r="J941" s="347"/>
      <c r="K941" s="347"/>
      <c r="L941" s="347"/>
      <c r="M941" s="347"/>
      <c r="N941" s="347"/>
      <c r="O941" s="347"/>
      <c r="P941" s="347"/>
      <c r="Q941" s="347"/>
      <c r="R941" s="347"/>
      <c r="S941" s="347"/>
      <c r="T941" s="347"/>
      <c r="U941" s="347"/>
      <c r="V941" s="347"/>
      <c r="W941" s="347"/>
    </row>
    <row r="942">
      <c r="A942" s="347"/>
      <c r="B942" s="347"/>
      <c r="C942" s="347"/>
      <c r="D942" s="347"/>
      <c r="E942" s="347"/>
      <c r="F942" s="347"/>
      <c r="G942" s="347"/>
      <c r="H942" s="347"/>
      <c r="I942" s="347"/>
      <c r="J942" s="347"/>
      <c r="K942" s="347"/>
      <c r="L942" s="347"/>
      <c r="M942" s="347"/>
      <c r="N942" s="347"/>
      <c r="O942" s="347"/>
      <c r="P942" s="347"/>
      <c r="Q942" s="347"/>
      <c r="R942" s="347"/>
      <c r="S942" s="347"/>
      <c r="T942" s="347"/>
      <c r="U942" s="347"/>
      <c r="V942" s="347"/>
      <c r="W942" s="347"/>
    </row>
    <row r="943">
      <c r="A943" s="347"/>
      <c r="B943" s="347"/>
      <c r="C943" s="347"/>
      <c r="D943" s="347"/>
      <c r="E943" s="347"/>
      <c r="F943" s="347"/>
      <c r="G943" s="347"/>
      <c r="H943" s="347"/>
      <c r="I943" s="347"/>
      <c r="J943" s="347"/>
      <c r="K943" s="347"/>
      <c r="L943" s="347"/>
      <c r="M943" s="347"/>
      <c r="N943" s="347"/>
      <c r="O943" s="347"/>
      <c r="P943" s="347"/>
      <c r="Q943" s="347"/>
      <c r="R943" s="347"/>
      <c r="S943" s="347"/>
      <c r="T943" s="347"/>
      <c r="U943" s="347"/>
      <c r="V943" s="347"/>
      <c r="W943" s="347"/>
    </row>
    <row r="944">
      <c r="A944" s="347"/>
      <c r="B944" s="347"/>
      <c r="C944" s="347"/>
      <c r="D944" s="347"/>
      <c r="E944" s="347"/>
      <c r="F944" s="347"/>
      <c r="G944" s="347"/>
      <c r="H944" s="347"/>
      <c r="I944" s="347"/>
      <c r="J944" s="347"/>
      <c r="K944" s="347"/>
      <c r="L944" s="347"/>
      <c r="M944" s="347"/>
      <c r="N944" s="347"/>
      <c r="O944" s="347"/>
      <c r="P944" s="347"/>
      <c r="Q944" s="347"/>
      <c r="R944" s="347"/>
      <c r="S944" s="347"/>
      <c r="T944" s="347"/>
      <c r="U944" s="347"/>
      <c r="V944" s="347"/>
      <c r="W944" s="347"/>
    </row>
    <row r="945">
      <c r="A945" s="347"/>
      <c r="B945" s="347"/>
      <c r="C945" s="347"/>
      <c r="D945" s="347"/>
      <c r="E945" s="347"/>
      <c r="F945" s="347"/>
      <c r="G945" s="347"/>
      <c r="H945" s="347"/>
      <c r="I945" s="347"/>
      <c r="J945" s="347"/>
      <c r="K945" s="347"/>
      <c r="L945" s="347"/>
      <c r="M945" s="347"/>
      <c r="N945" s="347"/>
      <c r="O945" s="347"/>
      <c r="P945" s="347"/>
      <c r="Q945" s="347"/>
      <c r="R945" s="347"/>
      <c r="S945" s="347"/>
      <c r="T945" s="347"/>
      <c r="U945" s="347"/>
      <c r="V945" s="347"/>
      <c r="W945" s="347"/>
    </row>
    <row r="946">
      <c r="A946" s="347"/>
      <c r="B946" s="347"/>
      <c r="C946" s="347"/>
      <c r="D946" s="347"/>
      <c r="E946" s="347"/>
      <c r="F946" s="347"/>
      <c r="G946" s="347"/>
      <c r="H946" s="347"/>
      <c r="I946" s="347"/>
      <c r="J946" s="347"/>
      <c r="K946" s="347"/>
      <c r="L946" s="347"/>
      <c r="M946" s="347"/>
      <c r="N946" s="347"/>
      <c r="O946" s="347"/>
      <c r="P946" s="347"/>
      <c r="Q946" s="347"/>
      <c r="R946" s="347"/>
      <c r="S946" s="347"/>
      <c r="T946" s="347"/>
      <c r="U946" s="347"/>
      <c r="V946" s="347"/>
      <c r="W946" s="347"/>
    </row>
    <row r="947">
      <c r="A947" s="347"/>
      <c r="B947" s="347"/>
      <c r="C947" s="347"/>
      <c r="D947" s="347"/>
      <c r="E947" s="347"/>
      <c r="F947" s="347"/>
      <c r="G947" s="347"/>
      <c r="H947" s="347"/>
      <c r="I947" s="347"/>
      <c r="J947" s="347"/>
      <c r="K947" s="347"/>
      <c r="L947" s="347"/>
      <c r="M947" s="347"/>
      <c r="N947" s="347"/>
      <c r="O947" s="347"/>
      <c r="P947" s="347"/>
      <c r="Q947" s="347"/>
      <c r="R947" s="347"/>
      <c r="S947" s="347"/>
      <c r="T947" s="347"/>
      <c r="U947" s="347"/>
      <c r="V947" s="347"/>
      <c r="W947" s="347"/>
    </row>
    <row r="948">
      <c r="A948" s="347"/>
      <c r="B948" s="347"/>
      <c r="C948" s="347"/>
      <c r="D948" s="347"/>
      <c r="E948" s="347"/>
      <c r="F948" s="347"/>
      <c r="G948" s="347"/>
      <c r="H948" s="347"/>
      <c r="I948" s="347"/>
      <c r="J948" s="347"/>
      <c r="K948" s="347"/>
      <c r="L948" s="347"/>
      <c r="M948" s="347"/>
      <c r="N948" s="347"/>
      <c r="O948" s="347"/>
      <c r="P948" s="347"/>
      <c r="Q948" s="347"/>
      <c r="R948" s="347"/>
      <c r="S948" s="347"/>
      <c r="T948" s="347"/>
      <c r="U948" s="347"/>
      <c r="V948" s="347"/>
      <c r="W948" s="347"/>
    </row>
    <row r="949">
      <c r="A949" s="347"/>
      <c r="B949" s="347"/>
      <c r="C949" s="347"/>
      <c r="D949" s="347"/>
      <c r="E949" s="347"/>
      <c r="F949" s="347"/>
      <c r="G949" s="347"/>
      <c r="H949" s="347"/>
      <c r="I949" s="347"/>
      <c r="J949" s="347"/>
      <c r="K949" s="347"/>
      <c r="L949" s="347"/>
      <c r="M949" s="347"/>
      <c r="N949" s="347"/>
      <c r="O949" s="347"/>
      <c r="P949" s="347"/>
      <c r="Q949" s="347"/>
      <c r="R949" s="347"/>
      <c r="S949" s="347"/>
      <c r="T949" s="347"/>
      <c r="U949" s="347"/>
      <c r="V949" s="347"/>
      <c r="W949" s="347"/>
    </row>
    <row r="950">
      <c r="A950" s="347"/>
      <c r="B950" s="347"/>
      <c r="C950" s="347"/>
      <c r="D950" s="347"/>
      <c r="E950" s="347"/>
      <c r="F950" s="347"/>
      <c r="G950" s="347"/>
      <c r="H950" s="347"/>
      <c r="I950" s="347"/>
      <c r="J950" s="347"/>
      <c r="K950" s="347"/>
      <c r="L950" s="347"/>
      <c r="M950" s="347"/>
      <c r="N950" s="347"/>
      <c r="O950" s="347"/>
      <c r="P950" s="347"/>
      <c r="Q950" s="347"/>
      <c r="R950" s="347"/>
      <c r="S950" s="347"/>
      <c r="T950" s="347"/>
      <c r="U950" s="347"/>
      <c r="V950" s="347"/>
      <c r="W950" s="347"/>
    </row>
    <row r="951">
      <c r="A951" s="347"/>
      <c r="B951" s="347"/>
      <c r="C951" s="347"/>
      <c r="D951" s="347"/>
      <c r="E951" s="347"/>
      <c r="F951" s="347"/>
      <c r="G951" s="347"/>
      <c r="H951" s="347"/>
      <c r="I951" s="347"/>
      <c r="J951" s="347"/>
      <c r="K951" s="347"/>
      <c r="L951" s="347"/>
      <c r="M951" s="347"/>
      <c r="N951" s="347"/>
      <c r="O951" s="347"/>
      <c r="P951" s="347"/>
      <c r="Q951" s="347"/>
      <c r="R951" s="347"/>
      <c r="S951" s="347"/>
      <c r="T951" s="347"/>
      <c r="U951" s="347"/>
      <c r="V951" s="347"/>
      <c r="W951" s="347"/>
    </row>
    <row r="952">
      <c r="A952" s="347"/>
      <c r="B952" s="347"/>
      <c r="C952" s="347"/>
      <c r="D952" s="347"/>
      <c r="E952" s="347"/>
      <c r="F952" s="347"/>
      <c r="G952" s="347"/>
      <c r="H952" s="347"/>
      <c r="I952" s="347"/>
      <c r="J952" s="347"/>
      <c r="K952" s="347"/>
      <c r="L952" s="347"/>
      <c r="M952" s="347"/>
      <c r="N952" s="347"/>
      <c r="O952" s="347"/>
      <c r="P952" s="347"/>
      <c r="Q952" s="347"/>
      <c r="R952" s="347"/>
      <c r="S952" s="347"/>
      <c r="T952" s="347"/>
      <c r="U952" s="347"/>
      <c r="V952" s="347"/>
      <c r="W952" s="347"/>
    </row>
    <row r="953">
      <c r="A953" s="347"/>
      <c r="B953" s="347"/>
      <c r="C953" s="347"/>
      <c r="D953" s="347"/>
      <c r="E953" s="347"/>
      <c r="F953" s="347"/>
      <c r="G953" s="347"/>
      <c r="H953" s="347"/>
      <c r="I953" s="347"/>
      <c r="J953" s="347"/>
      <c r="K953" s="347"/>
      <c r="L953" s="347"/>
      <c r="M953" s="347"/>
      <c r="N953" s="347"/>
      <c r="O953" s="347"/>
      <c r="P953" s="347"/>
      <c r="Q953" s="347"/>
      <c r="R953" s="347"/>
      <c r="S953" s="347"/>
      <c r="T953" s="347"/>
      <c r="U953" s="347"/>
      <c r="V953" s="347"/>
      <c r="W953" s="347"/>
    </row>
    <row r="954">
      <c r="A954" s="347"/>
      <c r="B954" s="347"/>
      <c r="C954" s="347"/>
      <c r="D954" s="347"/>
      <c r="E954" s="347"/>
      <c r="F954" s="347"/>
      <c r="G954" s="347"/>
      <c r="H954" s="347"/>
      <c r="I954" s="347"/>
      <c r="J954" s="347"/>
      <c r="K954" s="347"/>
      <c r="L954" s="347"/>
      <c r="M954" s="347"/>
      <c r="N954" s="347"/>
      <c r="O954" s="347"/>
      <c r="P954" s="347"/>
      <c r="Q954" s="347"/>
      <c r="R954" s="347"/>
      <c r="S954" s="347"/>
      <c r="T954" s="347"/>
      <c r="U954" s="347"/>
      <c r="V954" s="347"/>
      <c r="W954" s="347"/>
    </row>
    <row r="955">
      <c r="A955" s="347"/>
      <c r="B955" s="347"/>
      <c r="C955" s="347"/>
      <c r="D955" s="347"/>
      <c r="E955" s="347"/>
      <c r="F955" s="347"/>
      <c r="G955" s="347"/>
      <c r="H955" s="347"/>
      <c r="I955" s="347"/>
      <c r="J955" s="347"/>
      <c r="K955" s="347"/>
      <c r="L955" s="347"/>
      <c r="M955" s="347"/>
      <c r="N955" s="347"/>
      <c r="O955" s="347"/>
      <c r="P955" s="347"/>
      <c r="Q955" s="347"/>
      <c r="R955" s="347"/>
      <c r="S955" s="347"/>
      <c r="T955" s="347"/>
      <c r="U955" s="347"/>
      <c r="V955" s="347"/>
      <c r="W955" s="347"/>
    </row>
    <row r="956">
      <c r="A956" s="347"/>
      <c r="B956" s="347"/>
      <c r="C956" s="347"/>
      <c r="D956" s="347"/>
      <c r="E956" s="347"/>
      <c r="F956" s="347"/>
      <c r="G956" s="347"/>
      <c r="H956" s="347"/>
      <c r="I956" s="347"/>
      <c r="J956" s="347"/>
      <c r="K956" s="347"/>
      <c r="L956" s="347"/>
      <c r="M956" s="347"/>
      <c r="N956" s="347"/>
      <c r="O956" s="347"/>
      <c r="P956" s="347"/>
      <c r="Q956" s="347"/>
      <c r="R956" s="347"/>
      <c r="S956" s="347"/>
      <c r="T956" s="347"/>
      <c r="U956" s="347"/>
      <c r="V956" s="347"/>
      <c r="W956" s="347"/>
    </row>
    <row r="957">
      <c r="A957" s="347"/>
      <c r="B957" s="347"/>
      <c r="C957" s="347"/>
      <c r="D957" s="347"/>
      <c r="E957" s="347"/>
      <c r="F957" s="347"/>
      <c r="G957" s="347"/>
      <c r="H957" s="347"/>
      <c r="I957" s="347"/>
      <c r="J957" s="347"/>
      <c r="K957" s="347"/>
      <c r="L957" s="347"/>
      <c r="M957" s="347"/>
      <c r="N957" s="347"/>
      <c r="O957" s="347"/>
      <c r="P957" s="347"/>
      <c r="Q957" s="347"/>
      <c r="R957" s="347"/>
      <c r="S957" s="347"/>
      <c r="T957" s="347"/>
      <c r="U957" s="347"/>
      <c r="V957" s="347"/>
      <c r="W957" s="347"/>
    </row>
    <row r="958">
      <c r="A958" s="347"/>
      <c r="B958" s="347"/>
      <c r="C958" s="347"/>
      <c r="D958" s="347"/>
      <c r="E958" s="347"/>
      <c r="F958" s="347"/>
      <c r="G958" s="347"/>
      <c r="H958" s="347"/>
      <c r="I958" s="347"/>
      <c r="J958" s="347"/>
      <c r="K958" s="347"/>
      <c r="L958" s="347"/>
      <c r="M958" s="347"/>
      <c r="N958" s="347"/>
      <c r="O958" s="347"/>
      <c r="P958" s="347"/>
      <c r="Q958" s="347"/>
      <c r="R958" s="347"/>
      <c r="S958" s="347"/>
      <c r="T958" s="347"/>
      <c r="U958" s="347"/>
      <c r="V958" s="347"/>
      <c r="W958" s="347"/>
    </row>
    <row r="959">
      <c r="A959" s="347"/>
      <c r="B959" s="347"/>
      <c r="C959" s="347"/>
      <c r="D959" s="347"/>
      <c r="E959" s="347"/>
      <c r="F959" s="347"/>
      <c r="G959" s="347"/>
      <c r="H959" s="347"/>
      <c r="I959" s="347"/>
      <c r="J959" s="347"/>
      <c r="K959" s="347"/>
      <c r="L959" s="347"/>
      <c r="M959" s="347"/>
      <c r="N959" s="347"/>
      <c r="O959" s="347"/>
      <c r="P959" s="347"/>
      <c r="Q959" s="347"/>
      <c r="R959" s="347"/>
      <c r="S959" s="347"/>
      <c r="T959" s="347"/>
      <c r="U959" s="347"/>
      <c r="V959" s="347"/>
      <c r="W959" s="347"/>
    </row>
    <row r="960">
      <c r="A960" s="347"/>
      <c r="B960" s="347"/>
      <c r="C960" s="347"/>
      <c r="D960" s="347"/>
      <c r="E960" s="347"/>
      <c r="F960" s="347"/>
      <c r="G960" s="347"/>
      <c r="H960" s="347"/>
      <c r="I960" s="347"/>
      <c r="J960" s="347"/>
      <c r="K960" s="347"/>
      <c r="L960" s="347"/>
      <c r="M960" s="347"/>
      <c r="N960" s="347"/>
      <c r="O960" s="347"/>
      <c r="P960" s="347"/>
      <c r="Q960" s="347"/>
      <c r="R960" s="347"/>
      <c r="S960" s="347"/>
      <c r="T960" s="347"/>
      <c r="U960" s="347"/>
      <c r="V960" s="347"/>
      <c r="W960" s="347"/>
    </row>
    <row r="961">
      <c r="A961" s="347"/>
      <c r="B961" s="347"/>
      <c r="C961" s="347"/>
      <c r="D961" s="347"/>
      <c r="E961" s="347"/>
      <c r="F961" s="347"/>
      <c r="G961" s="347"/>
      <c r="H961" s="347"/>
      <c r="I961" s="347"/>
      <c r="J961" s="347"/>
      <c r="K961" s="347"/>
      <c r="L961" s="347"/>
      <c r="M961" s="347"/>
      <c r="N961" s="347"/>
      <c r="O961" s="347"/>
      <c r="P961" s="347"/>
      <c r="Q961" s="347"/>
      <c r="R961" s="347"/>
      <c r="S961" s="347"/>
      <c r="T961" s="347"/>
      <c r="U961" s="347"/>
      <c r="V961" s="347"/>
      <c r="W961" s="347"/>
    </row>
    <row r="962">
      <c r="A962" s="347"/>
      <c r="B962" s="347"/>
      <c r="C962" s="347"/>
      <c r="D962" s="347"/>
      <c r="E962" s="347"/>
      <c r="F962" s="347"/>
      <c r="G962" s="347"/>
      <c r="H962" s="347"/>
      <c r="I962" s="347"/>
      <c r="J962" s="347"/>
      <c r="K962" s="347"/>
      <c r="L962" s="347"/>
      <c r="M962" s="347"/>
      <c r="N962" s="347"/>
      <c r="O962" s="347"/>
      <c r="P962" s="347"/>
      <c r="Q962" s="347"/>
      <c r="R962" s="347"/>
      <c r="S962" s="347"/>
      <c r="T962" s="347"/>
      <c r="U962" s="347"/>
      <c r="V962" s="347"/>
      <c r="W962" s="347"/>
    </row>
    <row r="963">
      <c r="A963" s="347"/>
      <c r="B963" s="347"/>
      <c r="C963" s="347"/>
      <c r="D963" s="347"/>
      <c r="E963" s="347"/>
      <c r="F963" s="347"/>
      <c r="G963" s="347"/>
      <c r="H963" s="347"/>
      <c r="I963" s="347"/>
      <c r="J963" s="347"/>
      <c r="K963" s="347"/>
      <c r="L963" s="347"/>
      <c r="M963" s="347"/>
      <c r="N963" s="347"/>
      <c r="O963" s="347"/>
      <c r="P963" s="347"/>
      <c r="Q963" s="347"/>
      <c r="R963" s="347"/>
      <c r="S963" s="347"/>
      <c r="T963" s="347"/>
      <c r="U963" s="347"/>
      <c r="V963" s="347"/>
      <c r="W963" s="347"/>
    </row>
    <row r="964">
      <c r="A964" s="347"/>
      <c r="B964" s="347"/>
      <c r="C964" s="347"/>
      <c r="D964" s="347"/>
      <c r="E964" s="347"/>
      <c r="F964" s="347"/>
      <c r="G964" s="347"/>
      <c r="H964" s="347"/>
      <c r="I964" s="347"/>
      <c r="J964" s="347"/>
      <c r="K964" s="347"/>
      <c r="L964" s="347"/>
      <c r="M964" s="347"/>
      <c r="N964" s="347"/>
      <c r="O964" s="347"/>
      <c r="P964" s="347"/>
      <c r="Q964" s="347"/>
      <c r="R964" s="347"/>
      <c r="S964" s="347"/>
      <c r="T964" s="347"/>
      <c r="U964" s="347"/>
      <c r="V964" s="347"/>
      <c r="W964" s="347"/>
    </row>
    <row r="965">
      <c r="A965" s="347"/>
      <c r="B965" s="347"/>
      <c r="C965" s="347"/>
      <c r="D965" s="347"/>
      <c r="E965" s="347"/>
      <c r="F965" s="347"/>
      <c r="G965" s="347"/>
      <c r="H965" s="347"/>
      <c r="I965" s="347"/>
      <c r="J965" s="347"/>
      <c r="K965" s="347"/>
      <c r="L965" s="347"/>
      <c r="M965" s="347"/>
      <c r="N965" s="347"/>
      <c r="O965" s="347"/>
      <c r="P965" s="347"/>
      <c r="Q965" s="347"/>
      <c r="R965" s="347"/>
      <c r="S965" s="347"/>
      <c r="T965" s="347"/>
      <c r="U965" s="347"/>
      <c r="V965" s="347"/>
      <c r="W965" s="347"/>
    </row>
    <row r="966">
      <c r="A966" s="347"/>
      <c r="B966" s="347"/>
      <c r="C966" s="347"/>
      <c r="D966" s="347"/>
      <c r="E966" s="347"/>
      <c r="F966" s="347"/>
      <c r="G966" s="347"/>
      <c r="H966" s="347"/>
      <c r="I966" s="347"/>
      <c r="J966" s="347"/>
      <c r="K966" s="347"/>
      <c r="L966" s="347"/>
      <c r="M966" s="347"/>
      <c r="N966" s="347"/>
      <c r="O966" s="347"/>
      <c r="P966" s="347"/>
      <c r="Q966" s="347"/>
      <c r="R966" s="347"/>
      <c r="S966" s="347"/>
      <c r="T966" s="347"/>
      <c r="U966" s="347"/>
      <c r="V966" s="347"/>
      <c r="W966" s="347"/>
    </row>
    <row r="967">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row>
    <row r="968">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row>
    <row r="969">
      <c r="A969" s="347"/>
      <c r="B969" s="347"/>
      <c r="C969" s="347"/>
      <c r="D969" s="347"/>
      <c r="E969" s="347"/>
      <c r="F969" s="347"/>
      <c r="G969" s="347"/>
      <c r="H969" s="347"/>
      <c r="I969" s="347"/>
      <c r="J969" s="347"/>
      <c r="K969" s="347"/>
      <c r="L969" s="347"/>
      <c r="M969" s="347"/>
      <c r="N969" s="347"/>
      <c r="O969" s="347"/>
      <c r="P969" s="347"/>
      <c r="Q969" s="347"/>
      <c r="R969" s="347"/>
      <c r="S969" s="347"/>
      <c r="T969" s="347"/>
      <c r="U969" s="347"/>
      <c r="V969" s="347"/>
      <c r="W969" s="347"/>
    </row>
    <row r="970">
      <c r="A970" s="347"/>
      <c r="B970" s="347"/>
      <c r="C970" s="347"/>
      <c r="D970" s="347"/>
      <c r="E970" s="347"/>
      <c r="F970" s="347"/>
      <c r="G970" s="347"/>
      <c r="H970" s="347"/>
      <c r="I970" s="347"/>
      <c r="J970" s="347"/>
      <c r="K970" s="347"/>
      <c r="L970" s="347"/>
      <c r="M970" s="347"/>
      <c r="N970" s="347"/>
      <c r="O970" s="347"/>
      <c r="P970" s="347"/>
      <c r="Q970" s="347"/>
      <c r="R970" s="347"/>
      <c r="S970" s="347"/>
      <c r="T970" s="347"/>
      <c r="U970" s="347"/>
      <c r="V970" s="347"/>
      <c r="W970" s="347"/>
    </row>
    <row r="971">
      <c r="A971" s="347"/>
      <c r="B971" s="347"/>
      <c r="C971" s="347"/>
      <c r="D971" s="347"/>
      <c r="E971" s="347"/>
      <c r="F971" s="347"/>
      <c r="G971" s="347"/>
      <c r="H971" s="347"/>
      <c r="I971" s="347"/>
      <c r="J971" s="347"/>
      <c r="K971" s="347"/>
      <c r="L971" s="347"/>
      <c r="M971" s="347"/>
      <c r="N971" s="347"/>
      <c r="O971" s="347"/>
      <c r="P971" s="347"/>
      <c r="Q971" s="347"/>
      <c r="R971" s="347"/>
      <c r="S971" s="347"/>
      <c r="T971" s="347"/>
      <c r="U971" s="347"/>
      <c r="V971" s="347"/>
      <c r="W971" s="347"/>
    </row>
    <row r="972">
      <c r="A972" s="347"/>
      <c r="B972" s="347"/>
      <c r="C972" s="347"/>
      <c r="D972" s="347"/>
      <c r="E972" s="347"/>
      <c r="F972" s="347"/>
      <c r="G972" s="347"/>
      <c r="H972" s="347"/>
      <c r="I972" s="347"/>
      <c r="J972" s="347"/>
      <c r="K972" s="347"/>
      <c r="L972" s="347"/>
      <c r="M972" s="347"/>
      <c r="N972" s="347"/>
      <c r="O972" s="347"/>
      <c r="P972" s="347"/>
      <c r="Q972" s="347"/>
      <c r="R972" s="347"/>
      <c r="S972" s="347"/>
      <c r="T972" s="347"/>
      <c r="U972" s="347"/>
      <c r="V972" s="347"/>
      <c r="W972" s="347"/>
    </row>
    <row r="973">
      <c r="A973" s="347"/>
      <c r="B973" s="347"/>
      <c r="C973" s="347"/>
      <c r="D973" s="347"/>
      <c r="E973" s="347"/>
      <c r="F973" s="347"/>
      <c r="G973" s="347"/>
      <c r="H973" s="347"/>
      <c r="I973" s="347"/>
      <c r="J973" s="347"/>
      <c r="K973" s="347"/>
      <c r="L973" s="347"/>
      <c r="M973" s="347"/>
      <c r="N973" s="347"/>
      <c r="O973" s="347"/>
      <c r="P973" s="347"/>
      <c r="Q973" s="347"/>
      <c r="R973" s="347"/>
      <c r="S973" s="347"/>
      <c r="T973" s="347"/>
      <c r="U973" s="347"/>
      <c r="V973" s="347"/>
      <c r="W973" s="347"/>
    </row>
    <row r="974">
      <c r="A974" s="347"/>
      <c r="B974" s="347"/>
      <c r="C974" s="347"/>
      <c r="D974" s="347"/>
      <c r="E974" s="347"/>
      <c r="F974" s="347"/>
      <c r="G974" s="347"/>
      <c r="H974" s="347"/>
      <c r="I974" s="347"/>
      <c r="J974" s="347"/>
      <c r="K974" s="347"/>
      <c r="L974" s="347"/>
      <c r="M974" s="347"/>
      <c r="N974" s="347"/>
      <c r="O974" s="347"/>
      <c r="P974" s="347"/>
      <c r="Q974" s="347"/>
      <c r="R974" s="347"/>
      <c r="S974" s="347"/>
      <c r="T974" s="347"/>
      <c r="U974" s="347"/>
      <c r="V974" s="347"/>
      <c r="W974" s="347"/>
    </row>
    <row r="975">
      <c r="A975" s="347"/>
      <c r="B975" s="347"/>
      <c r="C975" s="347"/>
      <c r="D975" s="347"/>
      <c r="E975" s="347"/>
      <c r="F975" s="347"/>
      <c r="G975" s="347"/>
      <c r="H975" s="347"/>
      <c r="I975" s="347"/>
      <c r="J975" s="347"/>
      <c r="K975" s="347"/>
      <c r="L975" s="347"/>
      <c r="M975" s="347"/>
      <c r="N975" s="347"/>
      <c r="O975" s="347"/>
      <c r="P975" s="347"/>
      <c r="Q975" s="347"/>
      <c r="R975" s="347"/>
      <c r="S975" s="347"/>
      <c r="T975" s="347"/>
      <c r="U975" s="347"/>
      <c r="V975" s="347"/>
      <c r="W975" s="347"/>
    </row>
    <row r="976">
      <c r="A976" s="347"/>
      <c r="B976" s="347"/>
      <c r="C976" s="347"/>
      <c r="D976" s="347"/>
      <c r="E976" s="347"/>
      <c r="F976" s="347"/>
      <c r="G976" s="347"/>
      <c r="H976" s="347"/>
      <c r="I976" s="347"/>
      <c r="J976" s="347"/>
      <c r="K976" s="347"/>
      <c r="L976" s="347"/>
      <c r="M976" s="347"/>
      <c r="N976" s="347"/>
      <c r="O976" s="347"/>
      <c r="P976" s="347"/>
      <c r="Q976" s="347"/>
      <c r="R976" s="347"/>
      <c r="S976" s="347"/>
      <c r="T976" s="347"/>
      <c r="U976" s="347"/>
      <c r="V976" s="347"/>
      <c r="W976" s="347"/>
    </row>
    <row r="977">
      <c r="A977" s="347"/>
      <c r="B977" s="347"/>
      <c r="C977" s="347"/>
      <c r="D977" s="347"/>
      <c r="E977" s="347"/>
      <c r="F977" s="347"/>
      <c r="G977" s="347"/>
      <c r="H977" s="347"/>
      <c r="I977" s="347"/>
      <c r="J977" s="347"/>
      <c r="K977" s="347"/>
      <c r="L977" s="347"/>
      <c r="M977" s="347"/>
      <c r="N977" s="347"/>
      <c r="O977" s="347"/>
      <c r="P977" s="347"/>
      <c r="Q977" s="347"/>
      <c r="R977" s="347"/>
      <c r="S977" s="347"/>
      <c r="T977" s="347"/>
      <c r="U977" s="347"/>
      <c r="V977" s="347"/>
      <c r="W977" s="347"/>
    </row>
    <row r="978">
      <c r="A978" s="347"/>
      <c r="B978" s="347"/>
      <c r="C978" s="347"/>
      <c r="D978" s="347"/>
      <c r="E978" s="347"/>
      <c r="F978" s="347"/>
      <c r="G978" s="347"/>
      <c r="H978" s="347"/>
      <c r="I978" s="347"/>
      <c r="J978" s="347"/>
      <c r="K978" s="347"/>
      <c r="L978" s="347"/>
      <c r="M978" s="347"/>
      <c r="N978" s="347"/>
      <c r="O978" s="347"/>
      <c r="P978" s="347"/>
      <c r="Q978" s="347"/>
      <c r="R978" s="347"/>
      <c r="S978" s="347"/>
      <c r="T978" s="347"/>
      <c r="U978" s="347"/>
      <c r="V978" s="347"/>
      <c r="W978" s="347"/>
    </row>
    <row r="979">
      <c r="A979" s="347"/>
      <c r="B979" s="347"/>
      <c r="C979" s="347"/>
      <c r="D979" s="347"/>
      <c r="E979" s="347"/>
      <c r="F979" s="347"/>
      <c r="G979" s="347"/>
      <c r="H979" s="347"/>
      <c r="I979" s="347"/>
      <c r="J979" s="347"/>
      <c r="K979" s="347"/>
      <c r="L979" s="347"/>
      <c r="M979" s="347"/>
      <c r="N979" s="347"/>
      <c r="O979" s="347"/>
      <c r="P979" s="347"/>
      <c r="Q979" s="347"/>
      <c r="R979" s="347"/>
      <c r="S979" s="347"/>
      <c r="T979" s="347"/>
      <c r="U979" s="347"/>
      <c r="V979" s="347"/>
      <c r="W979" s="347"/>
    </row>
    <row r="980">
      <c r="A980" s="347"/>
      <c r="B980" s="347"/>
      <c r="C980" s="347"/>
      <c r="D980" s="347"/>
      <c r="E980" s="347"/>
      <c r="F980" s="347"/>
      <c r="G980" s="347"/>
      <c r="H980" s="347"/>
      <c r="I980" s="347"/>
      <c r="J980" s="347"/>
      <c r="K980" s="347"/>
      <c r="L980" s="347"/>
      <c r="M980" s="347"/>
      <c r="N980" s="347"/>
      <c r="O980" s="347"/>
      <c r="P980" s="347"/>
      <c r="Q980" s="347"/>
      <c r="R980" s="347"/>
      <c r="S980" s="347"/>
      <c r="T980" s="347"/>
      <c r="U980" s="347"/>
      <c r="V980" s="347"/>
      <c r="W980" s="347"/>
    </row>
    <row r="981">
      <c r="A981" s="347"/>
      <c r="B981" s="347"/>
      <c r="C981" s="347"/>
      <c r="D981" s="347"/>
      <c r="E981" s="347"/>
      <c r="F981" s="347"/>
      <c r="G981" s="347"/>
      <c r="H981" s="347"/>
      <c r="I981" s="347"/>
      <c r="J981" s="347"/>
      <c r="K981" s="347"/>
      <c r="L981" s="347"/>
      <c r="M981" s="347"/>
      <c r="N981" s="347"/>
      <c r="O981" s="347"/>
      <c r="P981" s="347"/>
      <c r="Q981" s="347"/>
      <c r="R981" s="347"/>
      <c r="S981" s="347"/>
      <c r="T981" s="347"/>
      <c r="U981" s="347"/>
      <c r="V981" s="347"/>
      <c r="W981" s="347"/>
    </row>
    <row r="982">
      <c r="A982" s="347"/>
      <c r="B982" s="347"/>
      <c r="C982" s="347"/>
      <c r="D982" s="347"/>
      <c r="E982" s="347"/>
      <c r="F982" s="347"/>
      <c r="G982" s="347"/>
      <c r="H982" s="347"/>
      <c r="I982" s="347"/>
      <c r="J982" s="347"/>
      <c r="K982" s="347"/>
      <c r="L982" s="347"/>
      <c r="M982" s="347"/>
      <c r="N982" s="347"/>
      <c r="O982" s="347"/>
      <c r="P982" s="347"/>
      <c r="Q982" s="347"/>
      <c r="R982" s="347"/>
      <c r="S982" s="347"/>
      <c r="T982" s="347"/>
      <c r="U982" s="347"/>
      <c r="V982" s="347"/>
      <c r="W982" s="347"/>
    </row>
    <row r="983">
      <c r="A983" s="347"/>
      <c r="B983" s="347"/>
      <c r="C983" s="347"/>
      <c r="D983" s="347"/>
      <c r="E983" s="347"/>
      <c r="F983" s="347"/>
      <c r="G983" s="347"/>
      <c r="H983" s="347"/>
      <c r="I983" s="347"/>
      <c r="J983" s="347"/>
      <c r="K983" s="347"/>
      <c r="L983" s="347"/>
      <c r="M983" s="347"/>
      <c r="N983" s="347"/>
      <c r="O983" s="347"/>
      <c r="P983" s="347"/>
      <c r="Q983" s="347"/>
      <c r="R983" s="347"/>
      <c r="S983" s="347"/>
      <c r="T983" s="347"/>
      <c r="U983" s="347"/>
      <c r="V983" s="347"/>
      <c r="W983" s="347"/>
    </row>
    <row r="984">
      <c r="A984" s="347"/>
      <c r="B984" s="347"/>
      <c r="C984" s="347"/>
      <c r="D984" s="347"/>
      <c r="E984" s="347"/>
      <c r="F984" s="347"/>
      <c r="G984" s="347"/>
      <c r="H984" s="347"/>
      <c r="I984" s="347"/>
      <c r="J984" s="347"/>
      <c r="K984" s="347"/>
      <c r="L984" s="347"/>
      <c r="M984" s="347"/>
      <c r="N984" s="347"/>
      <c r="O984" s="347"/>
      <c r="P984" s="347"/>
      <c r="Q984" s="347"/>
      <c r="R984" s="347"/>
      <c r="S984" s="347"/>
      <c r="T984" s="347"/>
      <c r="U984" s="347"/>
      <c r="V984" s="347"/>
      <c r="W984" s="347"/>
    </row>
    <row r="985">
      <c r="A985" s="347"/>
      <c r="B985" s="347"/>
      <c r="C985" s="347"/>
      <c r="D985" s="347"/>
      <c r="E985" s="347"/>
      <c r="F985" s="347"/>
      <c r="G985" s="347"/>
      <c r="H985" s="347"/>
      <c r="I985" s="347"/>
      <c r="J985" s="347"/>
      <c r="K985" s="347"/>
      <c r="L985" s="347"/>
      <c r="M985" s="347"/>
      <c r="N985" s="347"/>
      <c r="O985" s="347"/>
      <c r="P985" s="347"/>
      <c r="Q985" s="347"/>
      <c r="R985" s="347"/>
      <c r="S985" s="347"/>
      <c r="T985" s="347"/>
      <c r="U985" s="347"/>
      <c r="V985" s="347"/>
      <c r="W985" s="347"/>
    </row>
    <row r="986">
      <c r="A986" s="347"/>
      <c r="B986" s="347"/>
      <c r="C986" s="347"/>
      <c r="D986" s="347"/>
      <c r="E986" s="347"/>
      <c r="F986" s="347"/>
      <c r="G986" s="347"/>
      <c r="H986" s="347"/>
      <c r="I986" s="347"/>
      <c r="J986" s="347"/>
      <c r="K986" s="347"/>
      <c r="L986" s="347"/>
      <c r="M986" s="347"/>
      <c r="N986" s="347"/>
      <c r="O986" s="347"/>
      <c r="P986" s="347"/>
      <c r="Q986" s="347"/>
      <c r="R986" s="347"/>
      <c r="S986" s="347"/>
      <c r="T986" s="347"/>
      <c r="U986" s="347"/>
      <c r="V986" s="347"/>
      <c r="W986" s="347"/>
    </row>
    <row r="987">
      <c r="A987" s="347"/>
      <c r="B987" s="347"/>
      <c r="C987" s="347"/>
      <c r="D987" s="347"/>
      <c r="E987" s="347"/>
      <c r="F987" s="347"/>
      <c r="G987" s="347"/>
      <c r="H987" s="347"/>
      <c r="I987" s="347"/>
      <c r="J987" s="347"/>
      <c r="K987" s="347"/>
      <c r="L987" s="347"/>
      <c r="M987" s="347"/>
      <c r="N987" s="347"/>
      <c r="O987" s="347"/>
      <c r="P987" s="347"/>
      <c r="Q987" s="347"/>
      <c r="R987" s="347"/>
      <c r="S987" s="347"/>
      <c r="T987" s="347"/>
      <c r="U987" s="347"/>
      <c r="V987" s="347"/>
      <c r="W987" s="347"/>
    </row>
    <row r="988">
      <c r="A988" s="347"/>
      <c r="B988" s="347"/>
      <c r="C988" s="347"/>
      <c r="D988" s="347"/>
      <c r="E988" s="347"/>
      <c r="F988" s="347"/>
      <c r="G988" s="347"/>
      <c r="H988" s="347"/>
      <c r="I988" s="347"/>
      <c r="J988" s="347"/>
      <c r="K988" s="347"/>
      <c r="L988" s="347"/>
      <c r="M988" s="347"/>
      <c r="N988" s="347"/>
      <c r="O988" s="347"/>
      <c r="P988" s="347"/>
      <c r="Q988" s="347"/>
      <c r="R988" s="347"/>
      <c r="S988" s="347"/>
      <c r="T988" s="347"/>
      <c r="U988" s="347"/>
      <c r="V988" s="347"/>
      <c r="W988" s="347"/>
    </row>
    <row r="989">
      <c r="A989" s="347"/>
      <c r="B989" s="347"/>
      <c r="C989" s="347"/>
      <c r="D989" s="347"/>
      <c r="E989" s="347"/>
      <c r="F989" s="347"/>
      <c r="G989" s="347"/>
      <c r="H989" s="347"/>
      <c r="I989" s="347"/>
      <c r="J989" s="347"/>
      <c r="K989" s="347"/>
      <c r="L989" s="347"/>
      <c r="M989" s="347"/>
      <c r="N989" s="347"/>
      <c r="O989" s="347"/>
      <c r="P989" s="347"/>
      <c r="Q989" s="347"/>
      <c r="R989" s="347"/>
      <c r="S989" s="347"/>
      <c r="T989" s="347"/>
      <c r="U989" s="347"/>
      <c r="V989" s="347"/>
      <c r="W989" s="347"/>
    </row>
    <row r="990">
      <c r="A990" s="347"/>
      <c r="B990" s="347"/>
      <c r="C990" s="347"/>
      <c r="D990" s="347"/>
      <c r="E990" s="347"/>
      <c r="F990" s="347"/>
      <c r="G990" s="347"/>
      <c r="H990" s="347"/>
      <c r="I990" s="347"/>
      <c r="J990" s="347"/>
      <c r="K990" s="347"/>
      <c r="L990" s="347"/>
      <c r="M990" s="347"/>
      <c r="N990" s="347"/>
      <c r="O990" s="347"/>
      <c r="P990" s="347"/>
      <c r="Q990" s="347"/>
      <c r="R990" s="347"/>
      <c r="S990" s="347"/>
      <c r="T990" s="347"/>
      <c r="U990" s="347"/>
      <c r="V990" s="347"/>
      <c r="W990" s="347"/>
    </row>
    <row r="991">
      <c r="A991" s="347"/>
      <c r="B991" s="347"/>
      <c r="C991" s="347"/>
      <c r="D991" s="347"/>
      <c r="E991" s="347"/>
      <c r="F991" s="347"/>
      <c r="G991" s="347"/>
      <c r="H991" s="347"/>
      <c r="I991" s="347"/>
      <c r="J991" s="347"/>
      <c r="K991" s="347"/>
      <c r="L991" s="347"/>
      <c r="M991" s="347"/>
      <c r="N991" s="347"/>
      <c r="O991" s="347"/>
      <c r="P991" s="347"/>
      <c r="Q991" s="347"/>
      <c r="R991" s="347"/>
      <c r="S991" s="347"/>
      <c r="T991" s="347"/>
      <c r="U991" s="347"/>
      <c r="V991" s="347"/>
      <c r="W991" s="347"/>
    </row>
    <row r="992">
      <c r="A992" s="347"/>
      <c r="B992" s="347"/>
      <c r="C992" s="347"/>
      <c r="D992" s="347"/>
      <c r="E992" s="347"/>
      <c r="F992" s="347"/>
      <c r="G992" s="347"/>
      <c r="H992" s="347"/>
      <c r="I992" s="347"/>
      <c r="J992" s="347"/>
      <c r="K992" s="347"/>
      <c r="L992" s="347"/>
      <c r="M992" s="347"/>
      <c r="N992" s="347"/>
      <c r="O992" s="347"/>
      <c r="P992" s="347"/>
      <c r="Q992" s="347"/>
      <c r="R992" s="347"/>
      <c r="S992" s="347"/>
      <c r="T992" s="347"/>
      <c r="U992" s="347"/>
      <c r="V992" s="347"/>
      <c r="W992" s="347"/>
    </row>
    <row r="993">
      <c r="A993" s="347"/>
      <c r="B993" s="347"/>
      <c r="C993" s="347"/>
      <c r="D993" s="347"/>
      <c r="E993" s="347"/>
      <c r="F993" s="347"/>
      <c r="G993" s="347"/>
      <c r="H993" s="347"/>
      <c r="I993" s="347"/>
      <c r="J993" s="347"/>
      <c r="K993" s="347"/>
      <c r="L993" s="347"/>
      <c r="M993" s="347"/>
      <c r="N993" s="347"/>
      <c r="O993" s="347"/>
      <c r="P993" s="347"/>
      <c r="Q993" s="347"/>
      <c r="R993" s="347"/>
      <c r="S993" s="347"/>
      <c r="T993" s="347"/>
      <c r="U993" s="347"/>
      <c r="V993" s="347"/>
      <c r="W993" s="347"/>
    </row>
    <row r="994">
      <c r="A994" s="347"/>
      <c r="B994" s="347"/>
      <c r="C994" s="347"/>
      <c r="D994" s="347"/>
      <c r="E994" s="347"/>
      <c r="F994" s="347"/>
      <c r="G994" s="347"/>
      <c r="H994" s="347"/>
      <c r="I994" s="347"/>
      <c r="J994" s="347"/>
      <c r="K994" s="347"/>
      <c r="L994" s="347"/>
      <c r="M994" s="347"/>
      <c r="N994" s="347"/>
      <c r="O994" s="347"/>
      <c r="P994" s="347"/>
      <c r="Q994" s="347"/>
      <c r="R994" s="347"/>
      <c r="S994" s="347"/>
      <c r="T994" s="347"/>
      <c r="U994" s="347"/>
      <c r="V994" s="347"/>
      <c r="W994" s="347"/>
    </row>
    <row r="995">
      <c r="A995" s="347"/>
      <c r="B995" s="347"/>
      <c r="C995" s="347"/>
      <c r="D995" s="347"/>
      <c r="E995" s="347"/>
      <c r="F995" s="347"/>
      <c r="G995" s="347"/>
      <c r="H995" s="347"/>
      <c r="I995" s="347"/>
      <c r="J995" s="347"/>
      <c r="K995" s="347"/>
      <c r="L995" s="347"/>
      <c r="M995" s="347"/>
      <c r="N995" s="347"/>
      <c r="O995" s="347"/>
      <c r="P995" s="347"/>
      <c r="Q995" s="347"/>
      <c r="R995" s="347"/>
      <c r="S995" s="347"/>
      <c r="T995" s="347"/>
      <c r="U995" s="347"/>
      <c r="V995" s="347"/>
      <c r="W995" s="347"/>
    </row>
    <row r="996">
      <c r="A996" s="347"/>
      <c r="B996" s="347"/>
      <c r="C996" s="347"/>
      <c r="D996" s="347"/>
      <c r="E996" s="347"/>
      <c r="F996" s="347"/>
      <c r="G996" s="347"/>
      <c r="H996" s="347"/>
      <c r="I996" s="347"/>
      <c r="J996" s="347"/>
      <c r="K996" s="347"/>
      <c r="L996" s="347"/>
      <c r="M996" s="347"/>
      <c r="N996" s="347"/>
      <c r="O996" s="347"/>
      <c r="P996" s="347"/>
      <c r="Q996" s="347"/>
      <c r="R996" s="347"/>
      <c r="S996" s="347"/>
      <c r="T996" s="347"/>
      <c r="U996" s="347"/>
      <c r="V996" s="347"/>
      <c r="W996" s="347"/>
    </row>
    <row r="997">
      <c r="A997" s="347"/>
      <c r="B997" s="347"/>
      <c r="C997" s="347"/>
      <c r="D997" s="347"/>
      <c r="E997" s="347"/>
      <c r="F997" s="347"/>
      <c r="G997" s="347"/>
      <c r="H997" s="347"/>
      <c r="I997" s="347"/>
      <c r="J997" s="347"/>
      <c r="K997" s="347"/>
      <c r="L997" s="347"/>
      <c r="M997" s="347"/>
      <c r="N997" s="347"/>
      <c r="O997" s="347"/>
      <c r="P997" s="347"/>
      <c r="Q997" s="347"/>
      <c r="R997" s="347"/>
      <c r="S997" s="347"/>
      <c r="T997" s="347"/>
      <c r="U997" s="347"/>
      <c r="V997" s="347"/>
      <c r="W997" s="347"/>
    </row>
    <row r="998">
      <c r="A998" s="347"/>
      <c r="B998" s="347"/>
      <c r="C998" s="347"/>
      <c r="D998" s="347"/>
      <c r="E998" s="347"/>
      <c r="F998" s="347"/>
      <c r="G998" s="347"/>
      <c r="H998" s="347"/>
      <c r="I998" s="347"/>
      <c r="J998" s="347"/>
      <c r="K998" s="347"/>
      <c r="L998" s="347"/>
      <c r="M998" s="347"/>
      <c r="N998" s="347"/>
      <c r="O998" s="347"/>
      <c r="P998" s="347"/>
      <c r="Q998" s="347"/>
      <c r="R998" s="347"/>
      <c r="S998" s="347"/>
      <c r="T998" s="347"/>
      <c r="U998" s="347"/>
      <c r="V998" s="347"/>
      <c r="W998" s="347"/>
    </row>
    <row r="999">
      <c r="A999" s="347"/>
      <c r="B999" s="347"/>
      <c r="C999" s="347"/>
      <c r="D999" s="347"/>
      <c r="E999" s="347"/>
      <c r="F999" s="347"/>
      <c r="G999" s="347"/>
      <c r="H999" s="347"/>
      <c r="I999" s="347"/>
      <c r="J999" s="347"/>
      <c r="K999" s="347"/>
      <c r="L999" s="347"/>
      <c r="M999" s="347"/>
      <c r="N999" s="347"/>
      <c r="O999" s="347"/>
      <c r="P999" s="347"/>
      <c r="Q999" s="347"/>
      <c r="R999" s="347"/>
      <c r="S999" s="347"/>
      <c r="T999" s="347"/>
      <c r="U999" s="347"/>
      <c r="V999" s="347"/>
      <c r="W999" s="347"/>
    </row>
    <row r="1000">
      <c r="A1000" s="347"/>
      <c r="B1000" s="347"/>
      <c r="C1000" s="347"/>
      <c r="D1000" s="347"/>
      <c r="E1000" s="347"/>
      <c r="F1000" s="347"/>
      <c r="G1000" s="347"/>
      <c r="H1000" s="347"/>
      <c r="I1000" s="347"/>
      <c r="J1000" s="347"/>
      <c r="K1000" s="347"/>
      <c r="L1000" s="347"/>
      <c r="M1000" s="347"/>
      <c r="N1000" s="347"/>
      <c r="O1000" s="347"/>
      <c r="P1000" s="347"/>
      <c r="Q1000" s="347"/>
      <c r="R1000" s="347"/>
      <c r="S1000" s="347"/>
      <c r="T1000" s="347"/>
      <c r="U1000" s="347"/>
      <c r="V1000" s="347"/>
      <c r="W1000" s="34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8" t="s">
        <v>5</v>
      </c>
      <c r="B1" s="170"/>
      <c r="C1" s="170"/>
      <c r="D1" s="170"/>
      <c r="E1" s="170"/>
      <c r="F1" s="170"/>
      <c r="G1" s="170"/>
      <c r="H1" s="170"/>
      <c r="I1" s="170"/>
      <c r="J1" s="170"/>
      <c r="K1" s="170"/>
      <c r="L1" s="170"/>
      <c r="M1" s="170"/>
      <c r="N1" s="170"/>
      <c r="O1" s="170"/>
      <c r="P1" s="170"/>
      <c r="Q1" s="170"/>
      <c r="R1" s="170"/>
      <c r="S1" s="170"/>
      <c r="T1" s="170"/>
      <c r="U1" s="170"/>
      <c r="V1" s="170"/>
      <c r="W1" s="170"/>
      <c r="X1" s="170"/>
      <c r="Y1" s="170"/>
      <c r="Z1" s="170"/>
    </row>
    <row r="2">
      <c r="A2" s="349">
        <v>1.0</v>
      </c>
      <c r="B2" s="350" t="s">
        <v>810</v>
      </c>
      <c r="C2" s="351" t="s">
        <v>812</v>
      </c>
      <c r="D2" s="350" t="s">
        <v>1076</v>
      </c>
      <c r="E2" s="350" t="s">
        <v>11</v>
      </c>
      <c r="F2" s="350" t="s">
        <v>51</v>
      </c>
      <c r="G2" s="350" t="s">
        <v>53</v>
      </c>
      <c r="H2" s="350" t="s">
        <v>14</v>
      </c>
      <c r="I2" s="350" t="s">
        <v>15</v>
      </c>
      <c r="J2" s="350" t="s">
        <v>16</v>
      </c>
      <c r="K2" s="350" t="s">
        <v>8</v>
      </c>
      <c r="L2" s="350" t="s">
        <v>9</v>
      </c>
      <c r="M2" s="350" t="s">
        <v>17</v>
      </c>
      <c r="N2" s="350" t="s">
        <v>4</v>
      </c>
      <c r="O2" s="350" t="s">
        <v>816</v>
      </c>
      <c r="P2" s="350" t="s">
        <v>4</v>
      </c>
      <c r="Q2" s="170"/>
      <c r="R2" s="170"/>
      <c r="S2" s="170"/>
      <c r="T2" s="170"/>
      <c r="U2" s="170"/>
      <c r="V2" s="170"/>
      <c r="W2" s="170"/>
      <c r="X2" s="170"/>
      <c r="Y2" s="170"/>
      <c r="Z2" s="170"/>
    </row>
    <row r="3">
      <c r="A3" s="170"/>
      <c r="B3" s="352">
        <f>Projections!$AJ$22</f>
        <v>100</v>
      </c>
      <c r="C3" s="353">
        <v>1.0</v>
      </c>
      <c r="D3" s="354" t="str">
        <f t="array" ref="D3">INDIRECT("Draft!D"&amp;TEXT(A2+2,"0"))</f>
        <v>Victor Wembanyama</v>
      </c>
      <c r="E3" s="355">
        <f>IF($D3="","", VLOOKUP($D3,'Final Update'!$P$21:$AD1000,Column(G1),False))</f>
        <v>25.20041096</v>
      </c>
      <c r="F3" s="355">
        <f>IF($D3="","", VLOOKUP($D3,'Final Update'!$P$21:$AD1000,Column(H1),False))</f>
        <v>2.309589041</v>
      </c>
      <c r="G3" s="355">
        <f>IF($D3="","", VLOOKUP($D3,'Final Update'!$P$21:$AD1000,Column(I1),False))</f>
        <v>12.32493151</v>
      </c>
      <c r="H3" s="355">
        <f>IF($D3="","", VLOOKUP($D3,'Final Update'!$P$21:$AD1000,Column(J1),False))</f>
        <v>5.170821918</v>
      </c>
      <c r="I3" s="355">
        <f>IF($D3="","", VLOOKUP($D3,'Final Update'!$P$21:$AD1000,Column(K1),False))</f>
        <v>1.274931507</v>
      </c>
      <c r="J3" s="355">
        <f>IF($D3="","", VLOOKUP($D3,'Final Update'!$P$21:$AD1000,Column(L1),False))</f>
        <v>4.125479452</v>
      </c>
      <c r="K3" s="356">
        <f>IF($D3="","", VLOOKUP($D3,'Final Update'!$P$21:$AD1000,Column(M1),False))</f>
        <v>0.4727531115</v>
      </c>
      <c r="L3" s="356">
        <f>IF($D3="","", VLOOKUP($D3,'Final Update'!$P$21:$AD1000,Column(N1),False))</f>
        <v>0.7959939721</v>
      </c>
      <c r="M3" s="355">
        <f>IF($D3="","", VLOOKUP($D3,'Final Update'!$P$21:$AD1000,Column(O1),False))</f>
        <v>3.683287671</v>
      </c>
      <c r="N3" s="355" t="str">
        <f>IF($D3="","", VLOOKUP($D3,'Final Update'!$P$21:$AD1000,Column(C1),False))</f>
        <v>PG</v>
      </c>
      <c r="O3" s="353">
        <f t="array" ref="O3">COUNTIF(FIND(P3,$N3:$N16),"&gt;0")</f>
        <v>1</v>
      </c>
      <c r="P3" s="354" t="s">
        <v>44</v>
      </c>
      <c r="Q3" s="170"/>
      <c r="R3" s="170"/>
      <c r="S3" s="170"/>
      <c r="T3" s="170"/>
      <c r="U3" s="170"/>
      <c r="V3" s="170"/>
      <c r="W3" s="170"/>
      <c r="X3" s="170"/>
      <c r="Y3" s="170"/>
      <c r="Z3" s="170"/>
    </row>
    <row r="4">
      <c r="A4" s="170"/>
      <c r="B4" s="352">
        <f>Projections!$AJ$23</f>
        <v>100</v>
      </c>
      <c r="C4" s="353">
        <v>2.0</v>
      </c>
      <c r="D4" s="357" t="str">
        <f t="array" ref="D4">INDIRECT("Draft!E"&amp;TEXT(15-A2,"0"))</f>
        <v/>
      </c>
      <c r="E4" s="355" t="str">
        <f>IF($D4="","", VLOOKUP($D4,'Final Update'!$P$21:$AD1000,Column(G2),False))</f>
        <v/>
      </c>
      <c r="F4" s="355" t="str">
        <f>IF($D4="","", VLOOKUP($D4,'Final Update'!$P$21:$AD1000,Column(H2),False))</f>
        <v/>
      </c>
      <c r="G4" s="355" t="str">
        <f>IF($D4="","", VLOOKUP($D4,'Final Update'!$P$21:$AD1000,Column(I2),False))</f>
        <v/>
      </c>
      <c r="H4" s="355" t="str">
        <f>IF($D4="","", VLOOKUP($D4,'Final Update'!$P$21:$AD1000,Column(J2),False))</f>
        <v/>
      </c>
      <c r="I4" s="355" t="str">
        <f>IF($D4="","", VLOOKUP($D4,'Final Update'!$P$21:$AD1000,Column(K2),False))</f>
        <v/>
      </c>
      <c r="J4" s="355" t="str">
        <f>IF($D4="","", VLOOKUP($D4,'Final Update'!$P$21:$AD1000,Column(L2),False))</f>
        <v/>
      </c>
      <c r="K4" s="356" t="str">
        <f>IF($D4="","", VLOOKUP($D4,'Final Update'!$P$21:$AD1000,Column(M2),False))</f>
        <v/>
      </c>
      <c r="L4" s="356" t="str">
        <f>IF($D4="","", VLOOKUP($D4,'Final Update'!$P$21:$AD1000,Column(N2),False))</f>
        <v/>
      </c>
      <c r="M4" s="355" t="str">
        <f>IF($D4="","", VLOOKUP($D4,'Final Update'!$P$21:$AD1000,Column(O2),False))</f>
        <v/>
      </c>
      <c r="N4" s="355" t="str">
        <f>IF($D4="","", VLOOKUP($D4,'Final Update'!$P$21:$AD1000,Column(C2),False))</f>
        <v/>
      </c>
      <c r="O4" s="353">
        <f t="array" ref="O4">COUNTIF(FIND(P4,$N3:$N16),"&gt;0")</f>
        <v>0</v>
      </c>
      <c r="P4" s="354" t="s">
        <v>71</v>
      </c>
      <c r="Q4" s="170"/>
      <c r="R4" s="170"/>
      <c r="S4" s="170"/>
      <c r="T4" s="170"/>
      <c r="U4" s="170"/>
      <c r="V4" s="170"/>
      <c r="W4" s="170"/>
      <c r="X4" s="170"/>
      <c r="Y4" s="170"/>
      <c r="Z4" s="170"/>
    </row>
    <row r="5">
      <c r="A5" s="170"/>
      <c r="B5" s="352">
        <f>Projections!$AJ$24</f>
        <v>100</v>
      </c>
      <c r="C5" s="353">
        <v>3.0</v>
      </c>
      <c r="D5" s="358" t="str">
        <f t="array" ref="D5">INDIRECT("Draft!F"&amp;TEXT(A2+2,"0"))</f>
        <v/>
      </c>
      <c r="E5" s="359" t="str">
        <f>IF($D5="","", VLOOKUP($D5,'Final Update'!$P$21:$AD1000,Column(G3),False))</f>
        <v/>
      </c>
      <c r="F5" s="359" t="str">
        <f>IF($D5="","", VLOOKUP($D5,'Final Update'!$P$21:$AD1000,Column(H3),False))</f>
        <v/>
      </c>
      <c r="G5" s="359" t="str">
        <f>IF($D5="","", VLOOKUP($D5,'Final Update'!$P$21:$AD1000,Column(I3),False))</f>
        <v/>
      </c>
      <c r="H5" s="359" t="str">
        <f>IF($D5="","", VLOOKUP($D5,'Final Update'!$P$21:$AD1000,Column(J3),False))</f>
        <v/>
      </c>
      <c r="I5" s="359" t="str">
        <f>IF($D5="","", VLOOKUP($D5,'Final Update'!$P$21:$AD1000,Column(K3),False))</f>
        <v/>
      </c>
      <c r="J5" s="359" t="str">
        <f>IF($D5="","", VLOOKUP($D5,'Final Update'!$P$21:$AD1000,Column(L3),False))</f>
        <v/>
      </c>
      <c r="K5" s="360" t="str">
        <f>IF($D5="","", VLOOKUP($D5,'Final Update'!$P$21:$AD1000,Column(M3),False))</f>
        <v/>
      </c>
      <c r="L5" s="360" t="str">
        <f>IF($D5="","", VLOOKUP($D5,'Final Update'!$P$21:$AD1000,Column(N3),False))</f>
        <v/>
      </c>
      <c r="M5" s="359" t="str">
        <f>IF($D5="","", VLOOKUP($D5,'Final Update'!$P$21:$AD1000,Column(O3),False))</f>
        <v/>
      </c>
      <c r="N5" s="359" t="str">
        <f>IF($D5="","", VLOOKUP($D5,'Final Update'!$P$21:$AD1000,Column(C3),False))</f>
        <v/>
      </c>
      <c r="O5" s="353">
        <f t="array" ref="O5">COUNTIF(FIND(P5,$N3:$N16),"&gt;0")</f>
        <v>0</v>
      </c>
      <c r="P5" s="354" t="s">
        <v>72</v>
      </c>
      <c r="Q5" s="170"/>
      <c r="R5" s="170"/>
      <c r="S5" s="170"/>
      <c r="T5" s="170"/>
      <c r="U5" s="170"/>
      <c r="V5" s="170"/>
      <c r="W5" s="170"/>
      <c r="X5" s="170"/>
      <c r="Y5" s="170"/>
      <c r="Z5" s="170"/>
    </row>
    <row r="6">
      <c r="A6" s="170"/>
      <c r="B6" s="352">
        <f>Projections!$AJ$25</f>
        <v>100</v>
      </c>
      <c r="C6" s="353">
        <v>4.0</v>
      </c>
      <c r="D6" s="361" t="str">
        <f t="array" ref="D6">INDIRECT("Draft!G"&amp;TEXT(15-A2,"0"))</f>
        <v/>
      </c>
      <c r="E6" s="359" t="str">
        <f>IF($D6="","", VLOOKUP($D6,'Final Update'!$P$21:$AD1000,Column(G4),False))</f>
        <v/>
      </c>
      <c r="F6" s="359" t="str">
        <f>IF($D6="","", VLOOKUP($D6,'Final Update'!$P$21:$AD1000,Column(H4),False))</f>
        <v/>
      </c>
      <c r="G6" s="359" t="str">
        <f>IF($D6="","", VLOOKUP($D6,'Final Update'!$P$21:$AD1000,Column(I4),False))</f>
        <v/>
      </c>
      <c r="H6" s="359" t="str">
        <f>IF($D6="","", VLOOKUP($D6,'Final Update'!$P$21:$AD1000,Column(J4),False))</f>
        <v/>
      </c>
      <c r="I6" s="359" t="str">
        <f>IF($D6="","", VLOOKUP($D6,'Final Update'!$P$21:$AD1000,Column(K4),False))</f>
        <v/>
      </c>
      <c r="J6" s="359" t="str">
        <f>IF($D6="","", VLOOKUP($D6,'Final Update'!$P$21:$AD1000,Column(L4),False))</f>
        <v/>
      </c>
      <c r="K6" s="360" t="str">
        <f>IF($D6="","", VLOOKUP($D6,'Final Update'!$P$21:$AD1000,Column(M4),False))</f>
        <v/>
      </c>
      <c r="L6" s="360" t="str">
        <f>IF($D6="","", VLOOKUP($D6,'Final Update'!$P$21:$AD1000,Column(N4),False))</f>
        <v/>
      </c>
      <c r="M6" s="359" t="str">
        <f>IF($D6="","", VLOOKUP($D6,'Final Update'!$P$21:$AD1000,Column(O4),False))</f>
        <v/>
      </c>
      <c r="N6" s="359" t="str">
        <f>IF($D6="","", VLOOKUP($D6,'Final Update'!$P$21:$AD1000,Column(C4),False))</f>
        <v/>
      </c>
      <c r="O6" s="353">
        <f t="array" ref="O6">COUNTIF(FIND(P6,$N3:$N16),"&gt;0")</f>
        <v>0</v>
      </c>
      <c r="P6" s="354" t="s">
        <v>73</v>
      </c>
      <c r="Q6" s="170"/>
      <c r="R6" s="170"/>
      <c r="S6" s="170"/>
      <c r="T6" s="170"/>
      <c r="U6" s="170"/>
      <c r="V6" s="170"/>
      <c r="W6" s="170"/>
      <c r="X6" s="170"/>
      <c r="Y6" s="170"/>
      <c r="Z6" s="170"/>
    </row>
    <row r="7">
      <c r="A7" s="170"/>
      <c r="B7" s="352">
        <f>Projections!$AJ$26</f>
        <v>100</v>
      </c>
      <c r="C7" s="353">
        <v>5.0</v>
      </c>
      <c r="D7" s="362" t="str">
        <f t="array" ref="D7">INDIRECT("Draft!H"&amp;TEXT(A2+2,"0"))</f>
        <v/>
      </c>
      <c r="E7" s="359" t="str">
        <f>IF($D7="","", VLOOKUP($D7,'Final Update'!$P$21:$AD1000,Column(G5),False))</f>
        <v/>
      </c>
      <c r="F7" s="359" t="str">
        <f>IF($D7="","", VLOOKUP($D7,'Final Update'!$P$21:$AD1000,Column(H5),False))</f>
        <v/>
      </c>
      <c r="G7" s="359" t="str">
        <f>IF($D7="","", VLOOKUP($D7,'Final Update'!$P$21:$AD1000,Column(I5),False))</f>
        <v/>
      </c>
      <c r="H7" s="359" t="str">
        <f>IF($D7="","", VLOOKUP($D7,'Final Update'!$P$21:$AD1000,Column(J5),False))</f>
        <v/>
      </c>
      <c r="I7" s="359" t="str">
        <f>IF($D7="","", VLOOKUP($D7,'Final Update'!$P$21:$AD1000,Column(K5),False))</f>
        <v/>
      </c>
      <c r="J7" s="359" t="str">
        <f>IF($D7="","", VLOOKUP($D7,'Final Update'!$P$21:$AD1000,Column(L5),False))</f>
        <v/>
      </c>
      <c r="K7" s="360" t="str">
        <f>IF($D7="","", VLOOKUP($D7,'Final Update'!$P$21:$AD1000,Column(M5),False))</f>
        <v/>
      </c>
      <c r="L7" s="360" t="str">
        <f>IF($D7="","", VLOOKUP($D7,'Final Update'!$P$21:$AD1000,Column(N5),False))</f>
        <v/>
      </c>
      <c r="M7" s="359" t="str">
        <f>IF($D7="","", VLOOKUP($D7,'Final Update'!$P$21:$AD1000,Column(O5),False))</f>
        <v/>
      </c>
      <c r="N7" s="359" t="str">
        <f>IF($D7="","", VLOOKUP($D7,'Final Update'!$P$21:$AD1000,Column(C5),False))</f>
        <v/>
      </c>
      <c r="O7" s="353">
        <f t="array" ref="O7">COUNTIF(FIND(P7,$N3:$N16),"&gt;0")</f>
        <v>0</v>
      </c>
      <c r="P7" s="354" t="s">
        <v>34</v>
      </c>
      <c r="Q7" s="170"/>
      <c r="R7" s="170"/>
      <c r="S7" s="170"/>
      <c r="T7" s="170"/>
      <c r="U7" s="170"/>
      <c r="V7" s="170"/>
      <c r="W7" s="170"/>
      <c r="X7" s="170"/>
      <c r="Y7" s="170"/>
      <c r="Z7" s="170"/>
    </row>
    <row r="8">
      <c r="A8" s="170"/>
      <c r="B8" s="352">
        <f>Projections!$AJ$27</f>
        <v>100</v>
      </c>
      <c r="C8" s="353">
        <v>6.0</v>
      </c>
      <c r="D8" s="363" t="str">
        <f t="array" ref="D8">INDIRECT("Draft!I"&amp;TEXT(15-A2,"0"))</f>
        <v/>
      </c>
      <c r="E8" s="359" t="str">
        <f>IF($D8="","", VLOOKUP($D8,'Final Update'!$P$21:$AD1000,Column(G6),False))</f>
        <v/>
      </c>
      <c r="F8" s="359" t="str">
        <f>IF($D8="","", VLOOKUP($D8,'Final Update'!$P$21:$AD1000,Column(H6),False))</f>
        <v/>
      </c>
      <c r="G8" s="359" t="str">
        <f>IF($D8="","", VLOOKUP($D8,'Final Update'!$P$21:$AD1000,Column(I6),False))</f>
        <v/>
      </c>
      <c r="H8" s="359" t="str">
        <f>IF($D8="","", VLOOKUP($D8,'Final Update'!$P$21:$AD1000,Column(J6),False))</f>
        <v/>
      </c>
      <c r="I8" s="359" t="str">
        <f>IF($D8="","", VLOOKUP($D8,'Final Update'!$P$21:$AD1000,Column(K6),False))</f>
        <v/>
      </c>
      <c r="J8" s="359" t="str">
        <f>IF($D8="","", VLOOKUP($D8,'Final Update'!$P$21:$AD1000,Column(L6),False))</f>
        <v/>
      </c>
      <c r="K8" s="360" t="str">
        <f>IF($D8="","", VLOOKUP($D8,'Final Update'!$P$21:$AD1000,Column(M6),False))</f>
        <v/>
      </c>
      <c r="L8" s="360" t="str">
        <f>IF($D8="","", VLOOKUP($D8,'Final Update'!$P$21:$AD1000,Column(N6),False))</f>
        <v/>
      </c>
      <c r="M8" s="359" t="str">
        <f>IF($D8="","", VLOOKUP($D8,'Final Update'!$P$21:$AD1000,Column(O6),False))</f>
        <v/>
      </c>
      <c r="N8" s="359" t="str">
        <f>IF($D8="","", VLOOKUP($D8,'Final Update'!$P$21:$AD1000,Column(C6),False))</f>
        <v/>
      </c>
      <c r="O8" s="170"/>
      <c r="P8" s="170"/>
      <c r="Q8" s="170"/>
      <c r="R8" s="170"/>
      <c r="S8" s="170"/>
      <c r="T8" s="170"/>
      <c r="U8" s="170"/>
      <c r="V8" s="170"/>
      <c r="W8" s="170"/>
      <c r="X8" s="170"/>
      <c r="Y8" s="170"/>
      <c r="Z8" s="170"/>
    </row>
    <row r="9">
      <c r="A9" s="170"/>
      <c r="B9" s="352">
        <f>Projections!$AJ$28</f>
        <v>100</v>
      </c>
      <c r="C9" s="353">
        <v>7.0</v>
      </c>
      <c r="D9" s="362" t="str">
        <f t="array" ref="D9">INDIRECT("Draft!J"&amp;TEXT(A2+2,"0"))</f>
        <v/>
      </c>
      <c r="E9" s="359" t="str">
        <f>IF($D9="","", VLOOKUP($D9,'Final Update'!$P$21:$AD1000,Column(G7),False))</f>
        <v/>
      </c>
      <c r="F9" s="359" t="str">
        <f>IF($D9="","", VLOOKUP($D9,'Final Update'!$P$21:$AD1000,Column(H7),False))</f>
        <v/>
      </c>
      <c r="G9" s="359" t="str">
        <f>IF($D9="","", VLOOKUP($D9,'Final Update'!$P$21:$AD1000,Column(I7),False))</f>
        <v/>
      </c>
      <c r="H9" s="359" t="str">
        <f>IF($D9="","", VLOOKUP($D9,'Final Update'!$P$21:$AD1000,Column(J7),False))</f>
        <v/>
      </c>
      <c r="I9" s="359" t="str">
        <f>IF($D9="","", VLOOKUP($D9,'Final Update'!$P$21:$AD1000,Column(K7),False))</f>
        <v/>
      </c>
      <c r="J9" s="359" t="str">
        <f>IF($D9="","", VLOOKUP($D9,'Final Update'!$P$21:$AD1000,Column(L7),False))</f>
        <v/>
      </c>
      <c r="K9" s="360" t="str">
        <f>IF($D9="","", VLOOKUP($D9,'Final Update'!$P$21:$AD1000,Column(M7),False))</f>
        <v/>
      </c>
      <c r="L9" s="360" t="str">
        <f>IF($D9="","", VLOOKUP($D9,'Final Update'!$P$21:$AD1000,Column(N7),False))</f>
        <v/>
      </c>
      <c r="M9" s="359" t="str">
        <f>IF($D9="","", VLOOKUP($D9,'Final Update'!$P$21:$AD1000,Column(O7),False))</f>
        <v/>
      </c>
      <c r="N9" s="359" t="str">
        <f>IF($D9="","", VLOOKUP($D9,'Final Update'!$P$21:$AD1000,Column(C7),False))</f>
        <v/>
      </c>
      <c r="O9" s="170"/>
      <c r="P9" s="170"/>
      <c r="Q9" s="170"/>
      <c r="R9" s="170"/>
      <c r="S9" s="170"/>
      <c r="T9" s="170"/>
      <c r="U9" s="170"/>
      <c r="V9" s="170"/>
      <c r="W9" s="170"/>
      <c r="X9" s="170"/>
      <c r="Y9" s="170"/>
      <c r="Z9" s="170"/>
    </row>
    <row r="10">
      <c r="A10" s="170"/>
      <c r="B10" s="352">
        <f>Projections!$AJ$29</f>
        <v>100</v>
      </c>
      <c r="C10" s="353">
        <v>8.0</v>
      </c>
      <c r="D10" s="363" t="str">
        <f t="array" ref="D10">INDIRECT("Draft!K"&amp;TEXT(15-A2,"0"))</f>
        <v/>
      </c>
      <c r="E10" s="359" t="str">
        <f>IF($D10="","", VLOOKUP($D10,'Final Update'!$P$21:$AD1000,Column(G8),False))</f>
        <v/>
      </c>
      <c r="F10" s="359" t="str">
        <f>IF($D10="","", VLOOKUP($D10,'Final Update'!$P$21:$AD1000,Column(H8),False))</f>
        <v/>
      </c>
      <c r="G10" s="359" t="str">
        <f>IF($D10="","", VLOOKUP($D10,'Final Update'!$P$21:$AD1000,Column(I8),False))</f>
        <v/>
      </c>
      <c r="H10" s="359" t="str">
        <f>IF($D10="","", VLOOKUP($D10,'Final Update'!$P$21:$AD1000,Column(J8),False))</f>
        <v/>
      </c>
      <c r="I10" s="359" t="str">
        <f>IF($D10="","", VLOOKUP($D10,'Final Update'!$P$21:$AD1000,Column(K8),False))</f>
        <v/>
      </c>
      <c r="J10" s="359" t="str">
        <f>IF($D10="","", VLOOKUP($D10,'Final Update'!$P$21:$AD1000,Column(L8),False))</f>
        <v/>
      </c>
      <c r="K10" s="360" t="str">
        <f>IF($D10="","", VLOOKUP($D10,'Final Update'!$P$21:$AD1000,Column(M8),False))</f>
        <v/>
      </c>
      <c r="L10" s="360" t="str">
        <f>IF($D10="","", VLOOKUP($D10,'Final Update'!$P$21:$AD1000,Column(N8),False))</f>
        <v/>
      </c>
      <c r="M10" s="359" t="str">
        <f>IF($D10="","", VLOOKUP($D10,'Final Update'!$P$21:$AD1000,Column(O8),False))</f>
        <v/>
      </c>
      <c r="N10" s="359" t="str">
        <f>IF($D10="","", VLOOKUP($D10,'Final Update'!$P$21:$AD1000,Column(C8),False))</f>
        <v/>
      </c>
      <c r="O10" s="170"/>
      <c r="P10" s="170"/>
      <c r="Q10" s="170"/>
      <c r="R10" s="170"/>
      <c r="S10" s="170"/>
      <c r="T10" s="170"/>
      <c r="U10" s="170"/>
      <c r="V10" s="170"/>
      <c r="W10" s="170"/>
      <c r="X10" s="170"/>
      <c r="Y10" s="170"/>
      <c r="Z10" s="170"/>
    </row>
    <row r="11">
      <c r="A11" s="170"/>
      <c r="B11" s="352">
        <f>Projections!$AJ$30</f>
        <v>100</v>
      </c>
      <c r="C11" s="353">
        <v>9.0</v>
      </c>
      <c r="D11" s="362" t="str">
        <f t="array" ref="D11">INDIRECT("Draft!L"&amp;TEXT(A2+2,"0"))</f>
        <v/>
      </c>
      <c r="E11" s="359" t="str">
        <f>IF($D11="","", VLOOKUP($D11,'Final Update'!$P$21:$AD1000,Column(G9),False))</f>
        <v/>
      </c>
      <c r="F11" s="359" t="str">
        <f>IF($D11="","", VLOOKUP($D11,'Final Update'!$P$21:$AD1000,Column(H9),False))</f>
        <v/>
      </c>
      <c r="G11" s="359" t="str">
        <f>IF($D11="","", VLOOKUP($D11,'Final Update'!$P$21:$AD1000,Column(I9),False))</f>
        <v/>
      </c>
      <c r="H11" s="359" t="str">
        <f>IF($D11="","", VLOOKUP($D11,'Final Update'!$P$21:$AD1000,Column(J9),False))</f>
        <v/>
      </c>
      <c r="I11" s="359" t="str">
        <f>IF($D11="","", VLOOKUP($D11,'Final Update'!$P$21:$AD1000,Column(K9),False))</f>
        <v/>
      </c>
      <c r="J11" s="359" t="str">
        <f>IF($D11="","", VLOOKUP($D11,'Final Update'!$P$21:$AD1000,Column(L9),False))</f>
        <v/>
      </c>
      <c r="K11" s="360" t="str">
        <f>IF($D11="","", VLOOKUP($D11,'Final Update'!$P$21:$AD1000,Column(M9),False))</f>
        <v/>
      </c>
      <c r="L11" s="360" t="str">
        <f>IF($D11="","", VLOOKUP($D11,'Final Update'!$P$21:$AD1000,Column(N9),False))</f>
        <v/>
      </c>
      <c r="M11" s="359" t="str">
        <f>IF($D11="","", VLOOKUP($D11,'Final Update'!$P$21:$AD1000,Column(O9),False))</f>
        <v/>
      </c>
      <c r="N11" s="359" t="str">
        <f>IF($D11="","", VLOOKUP($D11,'Final Update'!$P$21:$AD1000,Column(C9),False))</f>
        <v/>
      </c>
      <c r="O11" s="170"/>
      <c r="P11" s="170"/>
      <c r="Q11" s="170"/>
      <c r="R11" s="170"/>
      <c r="S11" s="170"/>
      <c r="T11" s="170"/>
      <c r="U11" s="170"/>
      <c r="V11" s="170"/>
      <c r="W11" s="170"/>
      <c r="X11" s="170"/>
      <c r="Y11" s="170"/>
      <c r="Z11" s="170"/>
    </row>
    <row r="12">
      <c r="A12" s="170"/>
      <c r="B12" s="352">
        <f>Projections!$AJ$31</f>
        <v>100</v>
      </c>
      <c r="C12" s="353">
        <v>10.0</v>
      </c>
      <c r="D12" s="363" t="str">
        <f t="array" ref="D12">INDIRECT("Draft!M"&amp;TEXT(15-A2,"0"))</f>
        <v/>
      </c>
      <c r="E12" s="359" t="str">
        <f>IF($D12="","", VLOOKUP($D12,'Final Update'!$P$21:$AD1000,Column(G10),False))</f>
        <v/>
      </c>
      <c r="F12" s="359" t="str">
        <f>IF($D12="","", VLOOKUP($D12,'Final Update'!$P$21:$AD1000,Column(H10),False))</f>
        <v/>
      </c>
      <c r="G12" s="359" t="str">
        <f>IF($D12="","", VLOOKUP($D12,'Final Update'!$P$21:$AD1000,Column(I10),False))</f>
        <v/>
      </c>
      <c r="H12" s="359" t="str">
        <f>IF($D12="","", VLOOKUP($D12,'Final Update'!$P$21:$AD1000,Column(J10),False))</f>
        <v/>
      </c>
      <c r="I12" s="359" t="str">
        <f>IF($D12="","", VLOOKUP($D12,'Final Update'!$P$21:$AD1000,Column(K10),False))</f>
        <v/>
      </c>
      <c r="J12" s="359" t="str">
        <f>IF($D12="","", VLOOKUP($D12,'Final Update'!$P$21:$AD1000,Column(L10),False))</f>
        <v/>
      </c>
      <c r="K12" s="360" t="str">
        <f>IF($D12="","", VLOOKUP($D12,'Final Update'!$P$21:$AD1000,Column(M10),False))</f>
        <v/>
      </c>
      <c r="L12" s="360" t="str">
        <f>IF($D12="","", VLOOKUP($D12,'Final Update'!$P$21:$AD1000,Column(N10),False))</f>
        <v/>
      </c>
      <c r="M12" s="359" t="str">
        <f>IF($D12="","", VLOOKUP($D12,'Final Update'!$P$21:$AD1000,Column(O10),False))</f>
        <v/>
      </c>
      <c r="N12" s="359" t="str">
        <f>IF($D12="","", VLOOKUP($D12,'Final Update'!$P$21:$AD1000,Column(C10),False))</f>
        <v/>
      </c>
      <c r="O12" s="170"/>
      <c r="P12" s="170"/>
      <c r="Q12" s="170"/>
      <c r="R12" s="170"/>
      <c r="S12" s="170"/>
      <c r="T12" s="170"/>
      <c r="U12" s="170"/>
      <c r="V12" s="170"/>
      <c r="W12" s="170"/>
      <c r="X12" s="170"/>
      <c r="Y12" s="170"/>
      <c r="Z12" s="170"/>
    </row>
    <row r="13">
      <c r="A13" s="170"/>
      <c r="B13" s="352">
        <f>Projections!$AJ$32</f>
        <v>100</v>
      </c>
      <c r="C13" s="353">
        <v>11.0</v>
      </c>
      <c r="D13" s="362" t="str">
        <f t="array" ref="D13">INDIRECT("Draft!N"&amp;TEXT(A2+2,"0"))</f>
        <v/>
      </c>
      <c r="E13" s="359" t="str">
        <f>IF($D13="","", VLOOKUP($D13,'Final Update'!$P$21:$AD1000,Column(G11),False))</f>
        <v/>
      </c>
      <c r="F13" s="359" t="str">
        <f>IF($D13="","", VLOOKUP($D13,'Final Update'!$P$21:$AD1000,Column(H11),False))</f>
        <v/>
      </c>
      <c r="G13" s="359" t="str">
        <f>IF($D13="","", VLOOKUP($D13,'Final Update'!$P$21:$AD1000,Column(I11),False))</f>
        <v/>
      </c>
      <c r="H13" s="359" t="str">
        <f>IF($D13="","", VLOOKUP($D13,'Final Update'!$P$21:$AD1000,Column(J11),False))</f>
        <v/>
      </c>
      <c r="I13" s="359" t="str">
        <f>IF($D13="","", VLOOKUP($D13,'Final Update'!$P$21:$AD1000,Column(K11),False))</f>
        <v/>
      </c>
      <c r="J13" s="359" t="str">
        <f>IF($D13="","", VLOOKUP($D13,'Final Update'!$P$21:$AD1000,Column(L11),False))</f>
        <v/>
      </c>
      <c r="K13" s="360" t="str">
        <f>IF($D13="","", VLOOKUP($D13,'Final Update'!$P$21:$AD1000,Column(M11),False))</f>
        <v/>
      </c>
      <c r="L13" s="360" t="str">
        <f>IF($D13="","", VLOOKUP($D13,'Final Update'!$P$21:$AD1000,Column(N11),False))</f>
        <v/>
      </c>
      <c r="M13" s="359" t="str">
        <f>IF($D13="","", VLOOKUP($D13,'Final Update'!$P$21:$AD1000,Column(O11),False))</f>
        <v/>
      </c>
      <c r="N13" s="359" t="str">
        <f>IF($D13="","", VLOOKUP($D13,'Final Update'!$P$21:$AD1000,Column(C11),False))</f>
        <v/>
      </c>
      <c r="O13" s="170"/>
      <c r="P13" s="170"/>
      <c r="Q13" s="170"/>
      <c r="R13" s="170"/>
      <c r="S13" s="170"/>
      <c r="T13" s="170"/>
      <c r="U13" s="170"/>
      <c r="V13" s="170"/>
      <c r="W13" s="170"/>
      <c r="X13" s="170"/>
      <c r="Y13" s="170"/>
      <c r="Z13" s="170"/>
    </row>
    <row r="14">
      <c r="A14" s="170"/>
      <c r="B14" s="352">
        <f>Projections!$AJ$33</f>
        <v>100</v>
      </c>
      <c r="C14" s="353">
        <v>12.0</v>
      </c>
      <c r="D14" s="363" t="str">
        <f t="array" ref="D14">INDIRECT("Draft!O"&amp;TEXT(15-A2,"0"))</f>
        <v/>
      </c>
      <c r="E14" s="359" t="str">
        <f>IF($D14="","", VLOOKUP($D14,'Final Update'!$P$21:$AD1000,Column(G12),False))</f>
        <v/>
      </c>
      <c r="F14" s="359" t="str">
        <f>IF($D14="","", VLOOKUP($D14,'Final Update'!$P$21:$AD1000,Column(H12),False))</f>
        <v/>
      </c>
      <c r="G14" s="359" t="str">
        <f>IF($D14="","", VLOOKUP($D14,'Final Update'!$P$21:$AD1000,Column(I12),False))</f>
        <v/>
      </c>
      <c r="H14" s="359" t="str">
        <f>IF($D14="","", VLOOKUP($D14,'Final Update'!$P$21:$AD1000,Column(J12),False))</f>
        <v/>
      </c>
      <c r="I14" s="359" t="str">
        <f>IF($D14="","", VLOOKUP($D14,'Final Update'!$P$21:$AD1000,Column(K12),False))</f>
        <v/>
      </c>
      <c r="J14" s="359" t="str">
        <f>IF($D14="","", VLOOKUP($D14,'Final Update'!$P$21:$AD1000,Column(L12),False))</f>
        <v/>
      </c>
      <c r="K14" s="360" t="str">
        <f>IF($D14="","", VLOOKUP($D14,'Final Update'!$P$21:$AD1000,Column(M12),False))</f>
        <v/>
      </c>
      <c r="L14" s="360" t="str">
        <f>IF($D14="","", VLOOKUP($D14,'Final Update'!$P$21:$AD1000,Column(N12),False))</f>
        <v/>
      </c>
      <c r="M14" s="359" t="str">
        <f>IF($D14="","", VLOOKUP($D14,'Final Update'!$P$21:$AD1000,Column(O12),False))</f>
        <v/>
      </c>
      <c r="N14" s="359" t="str">
        <f>IF($D14="","", VLOOKUP($D14,'Final Update'!$P$21:$AD1000,Column(C12),False))</f>
        <v/>
      </c>
      <c r="O14" s="170"/>
      <c r="P14" s="170"/>
      <c r="Q14" s="170"/>
      <c r="R14" s="170"/>
      <c r="S14" s="170"/>
      <c r="T14" s="170"/>
      <c r="U14" s="170"/>
      <c r="V14" s="170"/>
      <c r="W14" s="170"/>
      <c r="X14" s="170"/>
      <c r="Y14" s="170"/>
      <c r="Z14" s="170"/>
    </row>
    <row r="15">
      <c r="A15" s="170"/>
      <c r="B15" s="364">
        <f>Projections!$AJ$34</f>
        <v>100</v>
      </c>
      <c r="C15" s="353">
        <v>13.0</v>
      </c>
      <c r="D15" s="362" t="str">
        <f t="array" ref="D15">INDIRECT("Draft!P"&amp;TEXT(A2+2,"0"))</f>
        <v/>
      </c>
      <c r="E15" s="359" t="str">
        <f>IF($D15="","", VLOOKUP($D15,'Final Update'!$P$21:$AD1000,Column(G13),False))</f>
        <v/>
      </c>
      <c r="F15" s="359" t="str">
        <f>IF($D15="","", VLOOKUP($D15,'Final Update'!$P$21:$AD1000,Column(H13),False))</f>
        <v/>
      </c>
      <c r="G15" s="359" t="str">
        <f>IF($D15="","", VLOOKUP($D15,'Final Update'!$P$21:$AD1000,Column(I13),False))</f>
        <v/>
      </c>
      <c r="H15" s="359" t="str">
        <f>IF($D15="","", VLOOKUP($D15,'Final Update'!$P$21:$AD1000,Column(J13),False))</f>
        <v/>
      </c>
      <c r="I15" s="359" t="str">
        <f>IF($D15="","", VLOOKUP($D15,'Final Update'!$P$21:$AD1000,Column(K13),False))</f>
        <v/>
      </c>
      <c r="J15" s="359" t="str">
        <f>IF($D15="","", VLOOKUP($D15,'Final Update'!$P$21:$AD1000,Column(L13),False))</f>
        <v/>
      </c>
      <c r="K15" s="360" t="str">
        <f>IF($D15="","", VLOOKUP($D15,'Final Update'!$P$21:$AD1000,Column(M13),False))</f>
        <v/>
      </c>
      <c r="L15" s="360" t="str">
        <f>IF($D15="","", VLOOKUP($D15,'Final Update'!$P$21:$AD1000,Column(N13),False))</f>
        <v/>
      </c>
      <c r="M15" s="359" t="str">
        <f>IF($D15="","", VLOOKUP($D15,'Final Update'!$P$21:$AD1000,Column(O13),False))</f>
        <v/>
      </c>
      <c r="N15" s="359" t="str">
        <f>IF($D15="","", VLOOKUP($D15,'Final Update'!$P$21:$AD1000,Column(C13),False))</f>
        <v/>
      </c>
      <c r="O15" s="170"/>
      <c r="P15" s="170"/>
      <c r="Q15" s="170"/>
      <c r="R15" s="170"/>
      <c r="S15" s="170"/>
      <c r="T15" s="170"/>
      <c r="U15" s="170"/>
      <c r="V15" s="170"/>
      <c r="W15" s="170"/>
      <c r="X15" s="170"/>
      <c r="Y15" s="170"/>
      <c r="Z15" s="170"/>
    </row>
    <row r="16">
      <c r="A16" s="170"/>
      <c r="B16" s="352">
        <f>Projections!$AJ$35</f>
        <v>50</v>
      </c>
      <c r="C16" s="353">
        <v>14.0</v>
      </c>
      <c r="D16" s="363" t="str">
        <f t="array" ref="D16">INDIRECT("Draft!Q"&amp;TEXT(15-A2,"0"))</f>
        <v/>
      </c>
      <c r="E16" s="359" t="str">
        <f>IF($D16="","", VLOOKUP($D16,'Final Update'!$P$21:$AD1000,Column(G14),False))</f>
        <v/>
      </c>
      <c r="F16" s="359" t="str">
        <f>IF($D16="","", VLOOKUP($D16,'Final Update'!$P$21:$AD1000,Column(H14),False))</f>
        <v/>
      </c>
      <c r="G16" s="359" t="str">
        <f>IF($D16="","", VLOOKUP($D16,'Final Update'!$P$21:$AD1000,Column(I14),False))</f>
        <v/>
      </c>
      <c r="H16" s="359" t="str">
        <f>IF($D16="","", VLOOKUP($D16,'Final Update'!$P$21:$AD1000,Column(J14),False))</f>
        <v/>
      </c>
      <c r="I16" s="359" t="str">
        <f>IF($D16="","", VLOOKUP($D16,'Final Update'!$P$21:$AD1000,Column(K14),False))</f>
        <v/>
      </c>
      <c r="J16" s="359" t="str">
        <f>IF($D16="","", VLOOKUP($D16,'Final Update'!$P$21:$AD1000,Column(L14),False))</f>
        <v/>
      </c>
      <c r="K16" s="360" t="str">
        <f>IF($D16="","", VLOOKUP($D16,'Final Update'!$P$21:$AD1000,Column(M14),False))</f>
        <v/>
      </c>
      <c r="L16" s="360" t="str">
        <f>IF($D16="","", VLOOKUP($D16,'Final Update'!$P$21:$AD1000,Column(N14),False))</f>
        <v/>
      </c>
      <c r="M16" s="359" t="str">
        <f>IF($D16="","", VLOOKUP($D16,'Final Update'!$P$21:$AD1000,Column(O14),False))</f>
        <v/>
      </c>
      <c r="N16" s="359" t="str">
        <f>IF($D16="","", VLOOKUP($D16,'Final Update'!$P$21:$AD1000,Column(C14),False))</f>
        <v/>
      </c>
      <c r="O16" s="170"/>
      <c r="P16" s="170"/>
      <c r="Q16" s="170"/>
      <c r="R16" s="170"/>
      <c r="S16" s="170"/>
      <c r="T16" s="170"/>
      <c r="U16" s="170"/>
      <c r="V16" s="170"/>
      <c r="W16" s="170"/>
      <c r="X16" s="170"/>
      <c r="Y16" s="170"/>
      <c r="Z16" s="170"/>
    </row>
    <row r="17">
      <c r="A17" s="348" t="s">
        <v>5</v>
      </c>
      <c r="B17" s="170"/>
      <c r="C17" s="170"/>
      <c r="D17" s="351" t="s">
        <v>1328</v>
      </c>
      <c r="E17" s="365">
        <f t="shared" ref="E17:J17" si="1">IFERROR(AVERAGE(SUMPRODUCT(E3:E16,$B3:$B16/100))/(SUM(OFFSET($B3,0,0,COUNT(E3:E16)))/100),"")</f>
        <v>25.20041096</v>
      </c>
      <c r="F17" s="365">
        <f t="shared" si="1"/>
        <v>2.309589041</v>
      </c>
      <c r="G17" s="365">
        <f t="shared" si="1"/>
        <v>12.32493151</v>
      </c>
      <c r="H17" s="365">
        <f t="shared" si="1"/>
        <v>5.170821918</v>
      </c>
      <c r="I17" s="365">
        <f t="shared" si="1"/>
        <v>1.274931507</v>
      </c>
      <c r="J17" s="365">
        <f t="shared" si="1"/>
        <v>4.125479452</v>
      </c>
      <c r="K17" s="365">
        <f t="array" ref="K17">IFERROR(100*SUMPRODUCT(IFERROR(VLOOKUP($D3:$D16,UpdateHashtag!$C:$S,6,False),"")*$B3:$B16/100)/SUMPRODUCT(IFERROR(VLOOKUP($D3:$D16,UpdateHashtag!$C:$S,17,False),"")*$B3:$B16/100),"")</f>
        <v>47.31182796</v>
      </c>
      <c r="L17" s="365">
        <f t="array" ref="L17">IFERROR(100*SUMPRODUCT(IFERROR(VLOOKUP($D3:$D16,UpdateHashtag!$C:$T,8,False),"")*$B3:$B16/100)/SUMPRODUCT(IFERROR(VLOOKUP($D3:$D16,UpdateHashtag!$C:$T,18,False),"")*$B3:$B16/100),"")</f>
        <v>80.35714286</v>
      </c>
      <c r="M17" s="365">
        <f>IFERROR(AVERAGE(SUMPRODUCT(M3:M16,$B3:$B16/100))/(SUM(OFFSET($B3,0,0,COUNT(M3:M16)))/100),"")</f>
        <v>3.683287671</v>
      </c>
      <c r="N17" s="170"/>
      <c r="O17" s="170"/>
      <c r="P17" s="170"/>
      <c r="Q17" s="170"/>
      <c r="R17" s="170"/>
      <c r="S17" s="170"/>
      <c r="T17" s="170"/>
      <c r="U17" s="170"/>
      <c r="V17" s="170"/>
      <c r="W17" s="170"/>
      <c r="X17" s="170"/>
      <c r="Y17" s="170"/>
      <c r="Z17" s="170"/>
    </row>
    <row r="18">
      <c r="A18" s="170"/>
      <c r="B18" s="170"/>
      <c r="C18" s="170"/>
      <c r="D18" s="351" t="s">
        <v>1329</v>
      </c>
      <c r="E18" s="366">
        <f>IFERROR((SUM(OFFSET('All Teams'!$B3,0,0,COUNT('All Teams'!E3:E16)))/100)*('All Teams'!E17-'Final Update'!$B$1)/'Final Update'!$B$2,"")</f>
        <v>1.390085393</v>
      </c>
      <c r="F18" s="366">
        <f>IFERROR((SUM(OFFSET('All Teams'!$B3,0,0,COUNT('All Teams'!F3:F16)))/100)*('All Teams'!F17-'Final Update'!$C$1)/'Final Update'!$C$2,"")</f>
        <v>0.5563949113</v>
      </c>
      <c r="G18" s="366">
        <f>IFERROR((SUM(OFFSET('All Teams'!$B3,0,0,COUNT('All Teams'!G3:G16)))/100)*('All Teams'!G17-'Final Update'!$D$1)/'Final Update'!$D$2,"")</f>
        <v>2.446125994</v>
      </c>
      <c r="H18" s="366">
        <f>IFERROR((SUM(OFFSET('All Teams'!$B3,0,0,COUNT('All Teams'!H3:H16)))/100)*('All Teams'!H17-'Final Update'!$E$1)/'Final Update'!$E$2,"")</f>
        <v>0.5619910976</v>
      </c>
      <c r="I18" s="366">
        <f>IFERROR((SUM(OFFSET('All Teams'!$B3,0,0,COUNT('All Teams'!I3:I16)))/100)*('All Teams'!I17-'Final Update'!$F$1)/'Final Update'!$F$2,"")</f>
        <v>0.9889591041</v>
      </c>
      <c r="J18" s="366">
        <f>IFERROR((SUM(OFFSET('All Teams'!$B3,0,0,COUNT('All Teams'!J3:J16)))/100)*('All Teams'!J17-'Final Update'!$G$1)/'Final Update'!$G$2,"")</f>
        <v>6.023044776</v>
      </c>
      <c r="K18" s="366">
        <f t="array" ref="K18">SUMPRODUCT(IFERROR(VLOOKUP($D3:$D16,'Final Update'!$A$4:$L$403,8,False)*$B3:$B16/100,""))</f>
        <v>-0.5245718845</v>
      </c>
      <c r="L18" s="366">
        <f t="array" ref="L18">SUMPRODUCT(IFERROR(VLOOKUP($D3:$D16,'Final Update'!$A$4:$L$403,10,False)*$B3:$B16/100,""))</f>
        <v>0.138105526</v>
      </c>
      <c r="M18" s="366">
        <f>IFERROR(-(SUM(OFFSET('All Teams'!$B3,0,0,COUNT('All Teams'!M3:M16)))/100)*('All Teams'!M17-'Final Update'!$L$1)/'Final Update'!$L$2,"")</f>
        <v>-1.919005786</v>
      </c>
      <c r="N18" s="170"/>
      <c r="O18" s="170"/>
      <c r="P18" s="170"/>
      <c r="Q18" s="170"/>
      <c r="R18" s="170"/>
      <c r="S18" s="170"/>
      <c r="T18" s="170"/>
      <c r="U18" s="170"/>
      <c r="V18" s="170"/>
      <c r="W18" s="170"/>
      <c r="X18" s="170"/>
      <c r="Y18" s="170"/>
      <c r="Z18" s="170"/>
    </row>
    <row r="19">
      <c r="A19" s="349">
        <v>2.0</v>
      </c>
      <c r="B19" s="350" t="s">
        <v>810</v>
      </c>
      <c r="C19" s="351" t="s">
        <v>812</v>
      </c>
      <c r="D19" s="350" t="s">
        <v>1076</v>
      </c>
      <c r="E19" s="350" t="s">
        <v>11</v>
      </c>
      <c r="F19" s="350" t="s">
        <v>51</v>
      </c>
      <c r="G19" s="350" t="s">
        <v>53</v>
      </c>
      <c r="H19" s="350" t="s">
        <v>14</v>
      </c>
      <c r="I19" s="350" t="s">
        <v>15</v>
      </c>
      <c r="J19" s="350" t="s">
        <v>16</v>
      </c>
      <c r="K19" s="350" t="s">
        <v>8</v>
      </c>
      <c r="L19" s="350" t="s">
        <v>9</v>
      </c>
      <c r="M19" s="350" t="s">
        <v>17</v>
      </c>
      <c r="N19" s="350" t="s">
        <v>4</v>
      </c>
      <c r="O19" s="350" t="s">
        <v>816</v>
      </c>
      <c r="P19" s="350" t="s">
        <v>4</v>
      </c>
      <c r="Q19" s="170"/>
      <c r="R19" s="170"/>
      <c r="S19" s="170"/>
      <c r="T19" s="170"/>
      <c r="U19" s="170"/>
      <c r="V19" s="170"/>
      <c r="W19" s="170"/>
      <c r="X19" s="170"/>
      <c r="Y19" s="170"/>
      <c r="Z19" s="170"/>
    </row>
    <row r="20">
      <c r="A20" s="170"/>
      <c r="B20" s="352">
        <f>Projections!$AJ$22</f>
        <v>100</v>
      </c>
      <c r="C20" s="353">
        <v>1.0</v>
      </c>
      <c r="D20" s="354" t="str">
        <f t="array" ref="D20">INDIRECT("Draft!D"&amp;TEXT(A19+2,"0"))</f>
        <v/>
      </c>
      <c r="E20" s="355" t="str">
        <f>IF($D20="","", VLOOKUP($D20,'Final Update'!$P$21:$AD1000,Column(G18),False))</f>
        <v/>
      </c>
      <c r="F20" s="355" t="str">
        <f>IF($D20="","", VLOOKUP($D20,'Final Update'!$P$21:$AD1000,Column(H18),False))</f>
        <v/>
      </c>
      <c r="G20" s="355" t="str">
        <f>IF($D20="","", VLOOKUP($D20,'Final Update'!$P$21:$AD1000,Column(I18),False))</f>
        <v/>
      </c>
      <c r="H20" s="355" t="str">
        <f>IF($D20="","", VLOOKUP($D20,'Final Update'!$P$21:$AD1000,Column(J18),False))</f>
        <v/>
      </c>
      <c r="I20" s="355" t="str">
        <f>IF($D20="","", VLOOKUP($D20,'Final Update'!$P$21:$AD1000,Column(K18),False))</f>
        <v/>
      </c>
      <c r="J20" s="355" t="str">
        <f>IF($D20="","", VLOOKUP($D20,'Final Update'!$P$21:$AD1000,Column(L18),False))</f>
        <v/>
      </c>
      <c r="K20" s="356" t="str">
        <f>IF($D20="","", VLOOKUP($D20,'Final Update'!$P$21:$AD1000,Column(M18),False))</f>
        <v/>
      </c>
      <c r="L20" s="356" t="str">
        <f>IF($D20="","", VLOOKUP($D20,'Final Update'!$P$21:$AD1000,Column(N18),False))</f>
        <v/>
      </c>
      <c r="M20" s="355" t="str">
        <f>IF($D20="","", VLOOKUP($D20,'Final Update'!$P$21:$AD1000,Column(O18),False))</f>
        <v/>
      </c>
      <c r="N20" s="355" t="str">
        <f>IF($D20="","", VLOOKUP($D20,'Final Update'!$P$21:$AD1000,Column(C18),False))</f>
        <v/>
      </c>
      <c r="O20" s="353">
        <f t="array" ref="O20">COUNTIF(FIND(P20,$N20:$N33),"&gt;0")</f>
        <v>0</v>
      </c>
      <c r="P20" s="354" t="s">
        <v>44</v>
      </c>
      <c r="Q20" s="170"/>
      <c r="R20" s="170"/>
      <c r="S20" s="170"/>
      <c r="T20" s="170"/>
      <c r="U20" s="170"/>
      <c r="V20" s="170"/>
      <c r="W20" s="170"/>
      <c r="X20" s="170"/>
      <c r="Y20" s="170"/>
      <c r="Z20" s="170"/>
    </row>
    <row r="21">
      <c r="A21" s="170"/>
      <c r="B21" s="352">
        <f>Projections!$AJ$23</f>
        <v>100</v>
      </c>
      <c r="C21" s="353">
        <v>2.0</v>
      </c>
      <c r="D21" s="357" t="str">
        <f t="array" ref="D21">INDIRECT("Draft!E"&amp;TEXT(15-A19,"0"))</f>
        <v/>
      </c>
      <c r="E21" s="355" t="str">
        <f>IF($D21="","", VLOOKUP($D21,'Final Update'!$P$21:$AD1000,Column(G19),False))</f>
        <v/>
      </c>
      <c r="F21" s="355" t="str">
        <f>IF($D21="","", VLOOKUP($D21,'Final Update'!$P$21:$AD1000,Column(H19),False))</f>
        <v/>
      </c>
      <c r="G21" s="355" t="str">
        <f>IF($D21="","", VLOOKUP($D21,'Final Update'!$P$21:$AD1000,Column(I19),False))</f>
        <v/>
      </c>
      <c r="H21" s="355" t="str">
        <f>IF($D21="","", VLOOKUP($D21,'Final Update'!$P$21:$AD1000,Column(J19),False))</f>
        <v/>
      </c>
      <c r="I21" s="355" t="str">
        <f>IF($D21="","", VLOOKUP($D21,'Final Update'!$P$21:$AD1000,Column(K19),False))</f>
        <v/>
      </c>
      <c r="J21" s="355" t="str">
        <f>IF($D21="","", VLOOKUP($D21,'Final Update'!$P$21:$AD1000,Column(L19),False))</f>
        <v/>
      </c>
      <c r="K21" s="356" t="str">
        <f>IF($D21="","", VLOOKUP($D21,'Final Update'!$P$21:$AD1000,Column(M19),False))</f>
        <v/>
      </c>
      <c r="L21" s="356" t="str">
        <f>IF($D21="","", VLOOKUP($D21,'Final Update'!$P$21:$AD1000,Column(N19),False))</f>
        <v/>
      </c>
      <c r="M21" s="355" t="str">
        <f>IF($D21="","", VLOOKUP($D21,'Final Update'!$P$21:$AD1000,Column(O19),False))</f>
        <v/>
      </c>
      <c r="N21" s="355" t="str">
        <f>IF($D21="","", VLOOKUP($D21,'Final Update'!$P$21:$AD1000,Column(C19),False))</f>
        <v/>
      </c>
      <c r="O21" s="353">
        <f t="array" ref="O21">COUNTIF(FIND(P21,$N20:$N33),"&gt;0")</f>
        <v>0</v>
      </c>
      <c r="P21" s="354" t="s">
        <v>71</v>
      </c>
      <c r="Q21" s="170"/>
      <c r="R21" s="170"/>
      <c r="S21" s="170"/>
      <c r="T21" s="170"/>
      <c r="U21" s="170"/>
      <c r="V21" s="170"/>
      <c r="W21" s="170"/>
      <c r="X21" s="170"/>
      <c r="Y21" s="170"/>
      <c r="Z21" s="170"/>
    </row>
    <row r="22">
      <c r="A22" s="170"/>
      <c r="B22" s="352">
        <f>Projections!$AJ$24</f>
        <v>100</v>
      </c>
      <c r="C22" s="353">
        <v>3.0</v>
      </c>
      <c r="D22" s="358" t="str">
        <f t="array" ref="D22">INDIRECT("Draft!F"&amp;TEXT(A19+2,"0"))</f>
        <v/>
      </c>
      <c r="E22" s="359" t="str">
        <f>IF($D22="","", VLOOKUP($D22,'Final Update'!$P$21:$AD1000,Column(G20),False))</f>
        <v/>
      </c>
      <c r="F22" s="359" t="str">
        <f>IF($D22="","", VLOOKUP($D22,'Final Update'!$P$21:$AD1000,Column(H20),False))</f>
        <v/>
      </c>
      <c r="G22" s="359" t="str">
        <f>IF($D22="","", VLOOKUP($D22,'Final Update'!$P$21:$AD1000,Column(I20),False))</f>
        <v/>
      </c>
      <c r="H22" s="359" t="str">
        <f>IF($D22="","", VLOOKUP($D22,'Final Update'!$P$21:$AD1000,Column(J20),False))</f>
        <v/>
      </c>
      <c r="I22" s="359" t="str">
        <f>IF($D22="","", VLOOKUP($D22,'Final Update'!$P$21:$AD1000,Column(K20),False))</f>
        <v/>
      </c>
      <c r="J22" s="359" t="str">
        <f>IF($D22="","", VLOOKUP($D22,'Final Update'!$P$21:$AD1000,Column(L20),False))</f>
        <v/>
      </c>
      <c r="K22" s="360" t="str">
        <f>IF($D22="","", VLOOKUP($D22,'Final Update'!$P$21:$AD1000,Column(M20),False))</f>
        <v/>
      </c>
      <c r="L22" s="360" t="str">
        <f>IF($D22="","", VLOOKUP($D22,'Final Update'!$P$21:$AD1000,Column(N20),False))</f>
        <v/>
      </c>
      <c r="M22" s="359" t="str">
        <f>IF($D22="","", VLOOKUP($D22,'Final Update'!$P$21:$AD1000,Column(O20),False))</f>
        <v/>
      </c>
      <c r="N22" s="359" t="str">
        <f>IF($D22="","", VLOOKUP($D22,'Final Update'!$P$21:$AD1000,Column(C20),False))</f>
        <v/>
      </c>
      <c r="O22" s="353">
        <f t="array" ref="O22">COUNTIF(FIND(P22,$N20:$N33),"&gt;0")</f>
        <v>0</v>
      </c>
      <c r="P22" s="354" t="s">
        <v>72</v>
      </c>
      <c r="Q22" s="170"/>
      <c r="R22" s="170"/>
      <c r="S22" s="170"/>
      <c r="T22" s="170"/>
      <c r="U22" s="170"/>
      <c r="V22" s="170"/>
      <c r="W22" s="170"/>
      <c r="X22" s="170"/>
      <c r="Y22" s="170"/>
      <c r="Z22" s="170"/>
    </row>
    <row r="23">
      <c r="A23" s="170"/>
      <c r="B23" s="352">
        <f>Projections!$AJ$25</f>
        <v>100</v>
      </c>
      <c r="C23" s="353">
        <v>4.0</v>
      </c>
      <c r="D23" s="361" t="str">
        <f t="array" ref="D23">INDIRECT("Draft!G"&amp;TEXT(15-A19,"0"))</f>
        <v/>
      </c>
      <c r="E23" s="359" t="str">
        <f>IF($D23="","", VLOOKUP($D23,'Final Update'!$P$21:$AD1000,Column(G21),False))</f>
        <v/>
      </c>
      <c r="F23" s="359" t="str">
        <f>IF($D23="","", VLOOKUP($D23,'Final Update'!$P$21:$AD1000,Column(H21),False))</f>
        <v/>
      </c>
      <c r="G23" s="359" t="str">
        <f>IF($D23="","", VLOOKUP($D23,'Final Update'!$P$21:$AD1000,Column(I21),False))</f>
        <v/>
      </c>
      <c r="H23" s="359" t="str">
        <f>IF($D23="","", VLOOKUP($D23,'Final Update'!$P$21:$AD1000,Column(J21),False))</f>
        <v/>
      </c>
      <c r="I23" s="359" t="str">
        <f>IF($D23="","", VLOOKUP($D23,'Final Update'!$P$21:$AD1000,Column(K21),False))</f>
        <v/>
      </c>
      <c r="J23" s="359" t="str">
        <f>IF($D23="","", VLOOKUP($D23,'Final Update'!$P$21:$AD1000,Column(L21),False))</f>
        <v/>
      </c>
      <c r="K23" s="360" t="str">
        <f>IF($D23="","", VLOOKUP($D23,'Final Update'!$P$21:$AD1000,Column(M21),False))</f>
        <v/>
      </c>
      <c r="L23" s="360" t="str">
        <f>IF($D23="","", VLOOKUP($D23,'Final Update'!$P$21:$AD1000,Column(N21),False))</f>
        <v/>
      </c>
      <c r="M23" s="359" t="str">
        <f>IF($D23="","", VLOOKUP($D23,'Final Update'!$P$21:$AD1000,Column(O21),False))</f>
        <v/>
      </c>
      <c r="N23" s="359" t="str">
        <f>IF($D23="","", VLOOKUP($D23,'Final Update'!$P$21:$AD1000,Column(C21),False))</f>
        <v/>
      </c>
      <c r="O23" s="353">
        <f t="array" ref="O23">COUNTIF(FIND(P23,$N20:$N33),"&gt;0")</f>
        <v>0</v>
      </c>
      <c r="P23" s="354" t="s">
        <v>73</v>
      </c>
      <c r="Q23" s="170"/>
      <c r="R23" s="170"/>
      <c r="S23" s="170"/>
      <c r="T23" s="170"/>
      <c r="U23" s="170"/>
      <c r="V23" s="170"/>
      <c r="W23" s="170"/>
      <c r="X23" s="170"/>
      <c r="Y23" s="170"/>
      <c r="Z23" s="170"/>
    </row>
    <row r="24">
      <c r="A24" s="170"/>
      <c r="B24" s="352">
        <f>Projections!$AJ$26</f>
        <v>100</v>
      </c>
      <c r="C24" s="353">
        <v>5.0</v>
      </c>
      <c r="D24" s="362" t="str">
        <f t="array" ref="D24">INDIRECT("Draft!H"&amp;TEXT(A19+2,"0"))</f>
        <v/>
      </c>
      <c r="E24" s="367" t="str">
        <f>IF($D24="","", VLOOKUP($D24,'Final Update'!$P$21:$AD1000,Column(G22),False))</f>
        <v/>
      </c>
      <c r="F24" s="367" t="str">
        <f>IF($D24="","", VLOOKUP($D24,'Final Update'!$P$21:$AD1000,Column(H22),False))</f>
        <v/>
      </c>
      <c r="G24" s="367" t="str">
        <f>IF($D24="","", VLOOKUP($D24,'Final Update'!$P$21:$AD1000,Column(I22),False))</f>
        <v/>
      </c>
      <c r="H24" s="367" t="str">
        <f>IF($D24="","", VLOOKUP($D24,'Final Update'!$P$21:$AD1000,Column(J22),False))</f>
        <v/>
      </c>
      <c r="I24" s="367" t="str">
        <f>IF($D24="","", VLOOKUP($D24,'Final Update'!$P$21:$AD1000,Column(K22),False))</f>
        <v/>
      </c>
      <c r="J24" s="367" t="str">
        <f>IF($D24="","", VLOOKUP($D24,'Final Update'!$P$21:$AD1000,Column(L22),False))</f>
        <v/>
      </c>
      <c r="K24" s="368" t="str">
        <f>IF($D24="","", VLOOKUP($D24,'Final Update'!$P$21:$AD1000,Column(M22),False))</f>
        <v/>
      </c>
      <c r="L24" s="368" t="str">
        <f>IF($D24="","", VLOOKUP($D24,'Final Update'!$P$21:$AD1000,Column(N22),False))</f>
        <v/>
      </c>
      <c r="M24" s="367" t="str">
        <f>IF($D24="","", VLOOKUP($D24,'Final Update'!$P$21:$AD1000,Column(O22),False))</f>
        <v/>
      </c>
      <c r="N24" s="359" t="str">
        <f>IF($D24="","", VLOOKUP($D24,'Final Update'!$P$21:$AD1000,Column(C22),False))</f>
        <v/>
      </c>
      <c r="O24" s="353">
        <f t="array" ref="O24">COUNTIF(FIND(P24,$N20:$N33),"&gt;0")</f>
        <v>0</v>
      </c>
      <c r="P24" s="354" t="s">
        <v>34</v>
      </c>
      <c r="Q24" s="170"/>
      <c r="R24" s="170"/>
      <c r="S24" s="170"/>
      <c r="T24" s="170"/>
      <c r="U24" s="170"/>
      <c r="V24" s="170"/>
      <c r="W24" s="170"/>
      <c r="X24" s="170"/>
      <c r="Y24" s="170"/>
      <c r="Z24" s="170"/>
    </row>
    <row r="25">
      <c r="A25" s="170"/>
      <c r="B25" s="352">
        <f>Projections!$AJ$27</f>
        <v>100</v>
      </c>
      <c r="C25" s="353">
        <v>6.0</v>
      </c>
      <c r="D25" s="363" t="str">
        <f t="array" ref="D25">INDIRECT("Draft!I"&amp;TEXT(15-A19,"0"))</f>
        <v/>
      </c>
      <c r="E25" s="367" t="str">
        <f>IF($D25="","", VLOOKUP($D25,'Final Update'!$P$21:$AD1000,Column(G23),False))</f>
        <v/>
      </c>
      <c r="F25" s="367" t="str">
        <f>IF($D25="","", VLOOKUP($D25,'Final Update'!$P$21:$AD1000,Column(H23),False))</f>
        <v/>
      </c>
      <c r="G25" s="367" t="str">
        <f>IF($D25="","", VLOOKUP($D25,'Final Update'!$P$21:$AD1000,Column(I23),False))</f>
        <v/>
      </c>
      <c r="H25" s="367" t="str">
        <f>IF($D25="","", VLOOKUP($D25,'Final Update'!$P$21:$AD1000,Column(J23),False))</f>
        <v/>
      </c>
      <c r="I25" s="367" t="str">
        <f>IF($D25="","", VLOOKUP($D25,'Final Update'!$P$21:$AD1000,Column(K23),False))</f>
        <v/>
      </c>
      <c r="J25" s="367" t="str">
        <f>IF($D25="","", VLOOKUP($D25,'Final Update'!$P$21:$AD1000,Column(L23),False))</f>
        <v/>
      </c>
      <c r="K25" s="368" t="str">
        <f>IF($D25="","", VLOOKUP($D25,'Final Update'!$P$21:$AD1000,Column(M23),False))</f>
        <v/>
      </c>
      <c r="L25" s="368" t="str">
        <f>IF($D25="","", VLOOKUP($D25,'Final Update'!$P$21:$AD1000,Column(N23),False))</f>
        <v/>
      </c>
      <c r="M25" s="367" t="str">
        <f>IF($D25="","", VLOOKUP($D25,'Final Update'!$P$21:$AD1000,Column(O23),False))</f>
        <v/>
      </c>
      <c r="N25" s="359" t="str">
        <f>IF($D25="","", VLOOKUP($D25,'Final Update'!$P$21:$AD1000,Column(C23),False))</f>
        <v/>
      </c>
      <c r="O25" s="170"/>
      <c r="P25" s="170"/>
      <c r="Q25" s="170"/>
      <c r="R25" s="170"/>
      <c r="S25" s="170"/>
      <c r="T25" s="170"/>
      <c r="U25" s="170"/>
      <c r="V25" s="170"/>
      <c r="W25" s="170"/>
      <c r="X25" s="170"/>
      <c r="Y25" s="170"/>
      <c r="Z25" s="170"/>
    </row>
    <row r="26">
      <c r="A26" s="170"/>
      <c r="B26" s="352">
        <f>Projections!$AJ$28</f>
        <v>100</v>
      </c>
      <c r="C26" s="353">
        <v>7.0</v>
      </c>
      <c r="D26" s="362" t="str">
        <f t="array" ref="D26">INDIRECT("Draft!J"&amp;TEXT(A19+2,"0"))</f>
        <v/>
      </c>
      <c r="E26" s="367" t="str">
        <f>IF($D26="","", VLOOKUP($D26,'Final Update'!$P$21:$AD1000,Column(G24),False))</f>
        <v/>
      </c>
      <c r="F26" s="367" t="str">
        <f>IF($D26="","", VLOOKUP($D26,'Final Update'!$P$21:$AD1000,Column(H24),False))</f>
        <v/>
      </c>
      <c r="G26" s="367" t="str">
        <f>IF($D26="","", VLOOKUP($D26,'Final Update'!$P$21:$AD1000,Column(I24),False))</f>
        <v/>
      </c>
      <c r="H26" s="367" t="str">
        <f>IF($D26="","", VLOOKUP($D26,'Final Update'!$P$21:$AD1000,Column(J24),False))</f>
        <v/>
      </c>
      <c r="I26" s="367" t="str">
        <f>IF($D26="","", VLOOKUP($D26,'Final Update'!$P$21:$AD1000,Column(K24),False))</f>
        <v/>
      </c>
      <c r="J26" s="367" t="str">
        <f>IF($D26="","", VLOOKUP($D26,'Final Update'!$P$21:$AD1000,Column(L24),False))</f>
        <v/>
      </c>
      <c r="K26" s="368" t="str">
        <f>IF($D26="","", VLOOKUP($D26,'Final Update'!$P$21:$AD1000,Column(M24),False))</f>
        <v/>
      </c>
      <c r="L26" s="368" t="str">
        <f>IF($D26="","", VLOOKUP($D26,'Final Update'!$P$21:$AD1000,Column(N24),False))</f>
        <v/>
      </c>
      <c r="M26" s="367" t="str">
        <f>IF($D26="","", VLOOKUP($D26,'Final Update'!$P$21:$AD1000,Column(O24),False))</f>
        <v/>
      </c>
      <c r="N26" s="359" t="str">
        <f>IF($D26="","", VLOOKUP($D26,'Final Update'!$P$21:$AD1000,Column(C24),False))</f>
        <v/>
      </c>
      <c r="O26" s="170"/>
      <c r="P26" s="170"/>
      <c r="Q26" s="170"/>
      <c r="R26" s="170"/>
      <c r="S26" s="170"/>
      <c r="T26" s="170"/>
      <c r="U26" s="170"/>
      <c r="V26" s="170"/>
      <c r="W26" s="170"/>
      <c r="X26" s="170"/>
      <c r="Y26" s="170"/>
      <c r="Z26" s="170"/>
    </row>
    <row r="27">
      <c r="A27" s="170"/>
      <c r="B27" s="352">
        <f>Projections!$AJ$29</f>
        <v>100</v>
      </c>
      <c r="C27" s="353">
        <v>8.0</v>
      </c>
      <c r="D27" s="363" t="str">
        <f t="array" ref="D27">INDIRECT("Draft!K"&amp;TEXT(15-A19,"0"))</f>
        <v/>
      </c>
      <c r="E27" s="367" t="str">
        <f>IF($D27="","", VLOOKUP($D27,'Final Update'!$P$21:$AD1000,Column(G25),False))</f>
        <v/>
      </c>
      <c r="F27" s="367" t="str">
        <f>IF($D27="","", VLOOKUP($D27,'Final Update'!$P$21:$AD1000,Column(H25),False))</f>
        <v/>
      </c>
      <c r="G27" s="367" t="str">
        <f>IF($D27="","", VLOOKUP($D27,'Final Update'!$P$21:$AD1000,Column(I25),False))</f>
        <v/>
      </c>
      <c r="H27" s="367" t="str">
        <f>IF($D27="","", VLOOKUP($D27,'Final Update'!$P$21:$AD1000,Column(J25),False))</f>
        <v/>
      </c>
      <c r="I27" s="367" t="str">
        <f>IF($D27="","", VLOOKUP($D27,'Final Update'!$P$21:$AD1000,Column(K25),False))</f>
        <v/>
      </c>
      <c r="J27" s="367" t="str">
        <f>IF($D27="","", VLOOKUP($D27,'Final Update'!$P$21:$AD1000,Column(L25),False))</f>
        <v/>
      </c>
      <c r="K27" s="368" t="str">
        <f>IF($D27="","", VLOOKUP($D27,'Final Update'!$P$21:$AD1000,Column(M25),False))</f>
        <v/>
      </c>
      <c r="L27" s="368" t="str">
        <f>IF($D27="","", VLOOKUP($D27,'Final Update'!$P$21:$AD1000,Column(N25),False))</f>
        <v/>
      </c>
      <c r="M27" s="367" t="str">
        <f>IF($D27="","", VLOOKUP($D27,'Final Update'!$P$21:$AD1000,Column(O25),False))</f>
        <v/>
      </c>
      <c r="N27" s="359" t="str">
        <f>IF($D27="","", VLOOKUP($D27,'Final Update'!$P$21:$AD1000,Column(C25),False))</f>
        <v/>
      </c>
      <c r="O27" s="170"/>
      <c r="P27" s="170"/>
      <c r="Q27" s="170"/>
      <c r="R27" s="170"/>
      <c r="S27" s="170"/>
      <c r="T27" s="170"/>
      <c r="U27" s="170"/>
      <c r="V27" s="170"/>
      <c r="W27" s="170"/>
      <c r="X27" s="170"/>
      <c r="Y27" s="170"/>
      <c r="Z27" s="170"/>
    </row>
    <row r="28">
      <c r="A28" s="170"/>
      <c r="B28" s="352">
        <f>Projections!$AJ$30</f>
        <v>100</v>
      </c>
      <c r="C28" s="353">
        <v>9.0</v>
      </c>
      <c r="D28" s="362" t="str">
        <f t="array" ref="D28">INDIRECT("Draft!L"&amp;TEXT(A19+2,"0"))</f>
        <v/>
      </c>
      <c r="E28" s="367" t="str">
        <f>IF($D28="","", VLOOKUP($D28,'Final Update'!$P$21:$AD1000,Column(G26),False))</f>
        <v/>
      </c>
      <c r="F28" s="367" t="str">
        <f>IF($D28="","", VLOOKUP($D28,'Final Update'!$P$21:$AD1000,Column(H26),False))</f>
        <v/>
      </c>
      <c r="G28" s="367" t="str">
        <f>IF($D28="","", VLOOKUP($D28,'Final Update'!$P$21:$AD1000,Column(I26),False))</f>
        <v/>
      </c>
      <c r="H28" s="367" t="str">
        <f>IF($D28="","", VLOOKUP($D28,'Final Update'!$P$21:$AD1000,Column(J26),False))</f>
        <v/>
      </c>
      <c r="I28" s="367" t="str">
        <f>IF($D28="","", VLOOKUP($D28,'Final Update'!$P$21:$AD1000,Column(K26),False))</f>
        <v/>
      </c>
      <c r="J28" s="367" t="str">
        <f>IF($D28="","", VLOOKUP($D28,'Final Update'!$P$21:$AD1000,Column(L26),False))</f>
        <v/>
      </c>
      <c r="K28" s="368" t="str">
        <f>IF($D28="","", VLOOKUP($D28,'Final Update'!$P$21:$AD1000,Column(M26),False))</f>
        <v/>
      </c>
      <c r="L28" s="368" t="str">
        <f>IF($D28="","", VLOOKUP($D28,'Final Update'!$P$21:$AD1000,Column(N26),False))</f>
        <v/>
      </c>
      <c r="M28" s="367" t="str">
        <f>IF($D28="","", VLOOKUP($D28,'Final Update'!$P$21:$AD1000,Column(O26),False))</f>
        <v/>
      </c>
      <c r="N28" s="359" t="str">
        <f>IF($D28="","", VLOOKUP($D28,'Final Update'!$P$21:$AD1000,Column(C26),False))</f>
        <v/>
      </c>
      <c r="O28" s="170"/>
      <c r="P28" s="170"/>
      <c r="Q28" s="170"/>
      <c r="R28" s="170"/>
      <c r="S28" s="170"/>
      <c r="T28" s="170"/>
      <c r="U28" s="170"/>
      <c r="V28" s="170"/>
      <c r="W28" s="170"/>
      <c r="X28" s="170"/>
      <c r="Y28" s="170"/>
      <c r="Z28" s="170"/>
    </row>
    <row r="29">
      <c r="A29" s="170"/>
      <c r="B29" s="352">
        <f>Projections!$AJ$31</f>
        <v>100</v>
      </c>
      <c r="C29" s="353">
        <v>10.0</v>
      </c>
      <c r="D29" s="363" t="str">
        <f t="array" ref="D29">INDIRECT("Draft!M"&amp;TEXT(15-A19,"0"))</f>
        <v/>
      </c>
      <c r="E29" s="367" t="str">
        <f>IF($D29="","", VLOOKUP($D29,'Final Update'!$P$21:$AD1000,Column(G27),False))</f>
        <v/>
      </c>
      <c r="F29" s="367" t="str">
        <f>IF($D29="","", VLOOKUP($D29,'Final Update'!$P$21:$AD1000,Column(H27),False))</f>
        <v/>
      </c>
      <c r="G29" s="367" t="str">
        <f>IF($D29="","", VLOOKUP($D29,'Final Update'!$P$21:$AD1000,Column(I27),False))</f>
        <v/>
      </c>
      <c r="H29" s="367" t="str">
        <f>IF($D29="","", VLOOKUP($D29,'Final Update'!$P$21:$AD1000,Column(J27),False))</f>
        <v/>
      </c>
      <c r="I29" s="367" t="str">
        <f>IF($D29="","", VLOOKUP($D29,'Final Update'!$P$21:$AD1000,Column(K27),False))</f>
        <v/>
      </c>
      <c r="J29" s="367" t="str">
        <f>IF($D29="","", VLOOKUP($D29,'Final Update'!$P$21:$AD1000,Column(L27),False))</f>
        <v/>
      </c>
      <c r="K29" s="368" t="str">
        <f>IF($D29="","", VLOOKUP($D29,'Final Update'!$P$21:$AD1000,Column(M27),False))</f>
        <v/>
      </c>
      <c r="L29" s="368" t="str">
        <f>IF($D29="","", VLOOKUP($D29,'Final Update'!$P$21:$AD1000,Column(N27),False))</f>
        <v/>
      </c>
      <c r="M29" s="367" t="str">
        <f>IF($D29="","", VLOOKUP($D29,'Final Update'!$P$21:$AD1000,Column(O27),False))</f>
        <v/>
      </c>
      <c r="N29" s="359" t="str">
        <f>IF($D29="","", VLOOKUP($D29,'Final Update'!$P$21:$AD1000,Column(C27),False))</f>
        <v/>
      </c>
      <c r="O29" s="170"/>
      <c r="P29" s="170"/>
      <c r="Q29" s="170"/>
      <c r="R29" s="170"/>
      <c r="S29" s="170"/>
      <c r="T29" s="170"/>
      <c r="U29" s="170"/>
      <c r="V29" s="170"/>
      <c r="W29" s="170"/>
      <c r="X29" s="170"/>
      <c r="Y29" s="170"/>
      <c r="Z29" s="170"/>
    </row>
    <row r="30">
      <c r="A30" s="170"/>
      <c r="B30" s="352">
        <f>Projections!$AJ$32</f>
        <v>100</v>
      </c>
      <c r="C30" s="353">
        <v>11.0</v>
      </c>
      <c r="D30" s="362" t="str">
        <f t="array" ref="D30">INDIRECT("Draft!N"&amp;TEXT(A19+2,"0"))</f>
        <v/>
      </c>
      <c r="E30" s="367" t="str">
        <f>IF($D30="","", VLOOKUP($D30,'Final Update'!$P$21:$AD1000,Column(G28),False))</f>
        <v/>
      </c>
      <c r="F30" s="367" t="str">
        <f>IF($D30="","", VLOOKUP($D30,'Final Update'!$P$21:$AD1000,Column(H28),False))</f>
        <v/>
      </c>
      <c r="G30" s="367" t="str">
        <f>IF($D30="","", VLOOKUP($D30,'Final Update'!$P$21:$AD1000,Column(I28),False))</f>
        <v/>
      </c>
      <c r="H30" s="367" t="str">
        <f>IF($D30="","", VLOOKUP($D30,'Final Update'!$P$21:$AD1000,Column(J28),False))</f>
        <v/>
      </c>
      <c r="I30" s="367" t="str">
        <f>IF($D30="","", VLOOKUP($D30,'Final Update'!$P$21:$AD1000,Column(K28),False))</f>
        <v/>
      </c>
      <c r="J30" s="367" t="str">
        <f>IF($D30="","", VLOOKUP($D30,'Final Update'!$P$21:$AD1000,Column(L28),False))</f>
        <v/>
      </c>
      <c r="K30" s="368" t="str">
        <f>IF($D30="","", VLOOKUP($D30,'Final Update'!$P$21:$AD1000,Column(M28),False))</f>
        <v/>
      </c>
      <c r="L30" s="368" t="str">
        <f>IF($D30="","", VLOOKUP($D30,'Final Update'!$P$21:$AD1000,Column(N28),False))</f>
        <v/>
      </c>
      <c r="M30" s="367" t="str">
        <f>IF($D30="","", VLOOKUP($D30,'Final Update'!$P$21:$AD1000,Column(O28),False))</f>
        <v/>
      </c>
      <c r="N30" s="359" t="str">
        <f>IF($D30="","", VLOOKUP($D30,'Final Update'!$P$21:$AD1000,Column(C28),False))</f>
        <v/>
      </c>
      <c r="O30" s="170"/>
      <c r="P30" s="170"/>
      <c r="Q30" s="170"/>
      <c r="R30" s="170"/>
      <c r="S30" s="170"/>
      <c r="T30" s="170"/>
      <c r="U30" s="170"/>
      <c r="V30" s="170"/>
      <c r="W30" s="170"/>
      <c r="X30" s="170"/>
      <c r="Y30" s="170"/>
      <c r="Z30" s="170"/>
    </row>
    <row r="31">
      <c r="A31" s="170"/>
      <c r="B31" s="352">
        <f>Projections!$AJ$33</f>
        <v>100</v>
      </c>
      <c r="C31" s="353">
        <v>12.0</v>
      </c>
      <c r="D31" s="363" t="str">
        <f t="array" ref="D31">INDIRECT("Draft!O"&amp;TEXT(15-A19,"0"))</f>
        <v/>
      </c>
      <c r="E31" s="367" t="str">
        <f>IF($D31="","", VLOOKUP($D31,'Final Update'!$P$21:$AD1000,Column(G29),False))</f>
        <v/>
      </c>
      <c r="F31" s="367" t="str">
        <f>IF($D31="","", VLOOKUP($D31,'Final Update'!$P$21:$AD1000,Column(H29),False))</f>
        <v/>
      </c>
      <c r="G31" s="367" t="str">
        <f>IF($D31="","", VLOOKUP($D31,'Final Update'!$P$21:$AD1000,Column(I29),False))</f>
        <v/>
      </c>
      <c r="H31" s="367" t="str">
        <f>IF($D31="","", VLOOKUP($D31,'Final Update'!$P$21:$AD1000,Column(J29),False))</f>
        <v/>
      </c>
      <c r="I31" s="367" t="str">
        <f>IF($D31="","", VLOOKUP($D31,'Final Update'!$P$21:$AD1000,Column(K29),False))</f>
        <v/>
      </c>
      <c r="J31" s="367" t="str">
        <f>IF($D31="","", VLOOKUP($D31,'Final Update'!$P$21:$AD1000,Column(L29),False))</f>
        <v/>
      </c>
      <c r="K31" s="368" t="str">
        <f>IF($D31="","", VLOOKUP($D31,'Final Update'!$P$21:$AD1000,Column(M29),False))</f>
        <v/>
      </c>
      <c r="L31" s="368" t="str">
        <f>IF($D31="","", VLOOKUP($D31,'Final Update'!$P$21:$AD1000,Column(N29),False))</f>
        <v/>
      </c>
      <c r="M31" s="367" t="str">
        <f>IF($D31="","", VLOOKUP($D31,'Final Update'!$P$21:$AD1000,Column(O29),False))</f>
        <v/>
      </c>
      <c r="N31" s="359" t="str">
        <f>IF($D31="","", VLOOKUP($D31,'Final Update'!$P$21:$AD1000,Column(C29),False))</f>
        <v/>
      </c>
      <c r="O31" s="170"/>
      <c r="P31" s="170"/>
      <c r="Q31" s="170"/>
      <c r="R31" s="170"/>
      <c r="S31" s="170"/>
      <c r="T31" s="170"/>
      <c r="U31" s="170"/>
      <c r="V31" s="170"/>
      <c r="W31" s="170"/>
      <c r="X31" s="170"/>
      <c r="Y31" s="170"/>
      <c r="Z31" s="170"/>
    </row>
    <row r="32">
      <c r="A32" s="170"/>
      <c r="B32" s="364">
        <f>Projections!$AJ$34</f>
        <v>100</v>
      </c>
      <c r="C32" s="353">
        <v>13.0</v>
      </c>
      <c r="D32" s="362" t="str">
        <f t="array" ref="D32">INDIRECT("Draft!P"&amp;TEXT(A19+2,"0"))</f>
        <v/>
      </c>
      <c r="E32" s="367" t="str">
        <f>IF($D32="","", VLOOKUP($D32,'Final Update'!$P$21:$AD1000,Column(G30),False))</f>
        <v/>
      </c>
      <c r="F32" s="367" t="str">
        <f>IF($D32="","", VLOOKUP($D32,'Final Update'!$P$21:$AD1000,Column(H30),False))</f>
        <v/>
      </c>
      <c r="G32" s="367" t="str">
        <f>IF($D32="","", VLOOKUP($D32,'Final Update'!$P$21:$AD1000,Column(I30),False))</f>
        <v/>
      </c>
      <c r="H32" s="367" t="str">
        <f>IF($D32="","", VLOOKUP($D32,'Final Update'!$P$21:$AD1000,Column(J30),False))</f>
        <v/>
      </c>
      <c r="I32" s="367" t="str">
        <f>IF($D32="","", VLOOKUP($D32,'Final Update'!$P$21:$AD1000,Column(K30),False))</f>
        <v/>
      </c>
      <c r="J32" s="367" t="str">
        <f>IF($D32="","", VLOOKUP($D32,'Final Update'!$P$21:$AD1000,Column(L30),False))</f>
        <v/>
      </c>
      <c r="K32" s="368" t="str">
        <f>IF($D32="","", VLOOKUP($D32,'Final Update'!$P$21:$AD1000,Column(M30),False))</f>
        <v/>
      </c>
      <c r="L32" s="368" t="str">
        <f>IF($D32="","", VLOOKUP($D32,'Final Update'!$P$21:$AD1000,Column(N30),False))</f>
        <v/>
      </c>
      <c r="M32" s="367" t="str">
        <f>IF($D32="","", VLOOKUP($D32,'Final Update'!$P$21:$AD1000,Column(O30),False))</f>
        <v/>
      </c>
      <c r="N32" s="359" t="str">
        <f>IF($D32="","", VLOOKUP($D32,'Final Update'!$P$21:$AD1000,Column(C30),False))</f>
        <v/>
      </c>
      <c r="O32" s="170"/>
      <c r="P32" s="170"/>
      <c r="Q32" s="170"/>
      <c r="R32" s="170"/>
      <c r="S32" s="170"/>
      <c r="T32" s="170"/>
      <c r="U32" s="170"/>
      <c r="V32" s="170"/>
      <c r="W32" s="170"/>
      <c r="X32" s="170"/>
      <c r="Y32" s="170"/>
      <c r="Z32" s="170"/>
    </row>
    <row r="33">
      <c r="A33" s="170"/>
      <c r="B33" s="352">
        <f>Projections!$AJ$35</f>
        <v>50</v>
      </c>
      <c r="C33" s="353">
        <v>14.0</v>
      </c>
      <c r="D33" s="363" t="str">
        <f t="array" ref="D33">INDIRECT("Draft!Q"&amp;TEXT(15-A19,"0"))</f>
        <v/>
      </c>
      <c r="E33" s="367" t="str">
        <f>IF($D33="","", VLOOKUP($D33,'Final Update'!$P$21:$AD1000,Column(G31),False))</f>
        <v/>
      </c>
      <c r="F33" s="367" t="str">
        <f>IF($D33="","", VLOOKUP($D33,'Final Update'!$P$21:$AD1000,Column(H31),False))</f>
        <v/>
      </c>
      <c r="G33" s="367" t="str">
        <f>IF($D33="","", VLOOKUP($D33,'Final Update'!$P$21:$AD1000,Column(I31),False))</f>
        <v/>
      </c>
      <c r="H33" s="367" t="str">
        <f>IF($D33="","", VLOOKUP($D33,'Final Update'!$P$21:$AD1000,Column(J31),False))</f>
        <v/>
      </c>
      <c r="I33" s="367" t="str">
        <f>IF($D33="","", VLOOKUP($D33,'Final Update'!$P$21:$AD1000,Column(K31),False))</f>
        <v/>
      </c>
      <c r="J33" s="367" t="str">
        <f>IF($D33="","", VLOOKUP($D33,'Final Update'!$P$21:$AD1000,Column(L31),False))</f>
        <v/>
      </c>
      <c r="K33" s="368" t="str">
        <f>IF($D33="","", VLOOKUP($D33,'Final Update'!$P$21:$AD1000,Column(M31),False))</f>
        <v/>
      </c>
      <c r="L33" s="368" t="str">
        <f>IF($D33="","", VLOOKUP($D33,'Final Update'!$P$21:$AD1000,Column(N31),False))</f>
        <v/>
      </c>
      <c r="M33" s="367" t="str">
        <f>IF($D33="","", VLOOKUP($D33,'Final Update'!$P$21:$AD1000,Column(O31),False))</f>
        <v/>
      </c>
      <c r="N33" s="359" t="str">
        <f>IF($D33="","", VLOOKUP($D33,'Final Update'!$P$21:$AD1000,Column(C31),False))</f>
        <v/>
      </c>
      <c r="O33" s="170"/>
      <c r="P33" s="170"/>
      <c r="Q33" s="170"/>
      <c r="R33" s="170"/>
      <c r="S33" s="170"/>
      <c r="T33" s="170"/>
      <c r="U33" s="170"/>
      <c r="V33" s="170"/>
      <c r="W33" s="170"/>
      <c r="X33" s="170"/>
      <c r="Y33" s="170"/>
      <c r="Z33" s="170"/>
    </row>
    <row r="34">
      <c r="A34" s="348" t="s">
        <v>5</v>
      </c>
      <c r="B34" s="170"/>
      <c r="C34" s="170"/>
      <c r="D34" s="351" t="s">
        <v>1328</v>
      </c>
      <c r="E34" s="365" t="str">
        <f t="shared" ref="E34:J34" si="2">IFERROR(AVERAGE(SUMPRODUCT(E20:E33,$B20:$B33/100))/(SUM(OFFSET($B20,0,0,COUNT(E20:E33)))/100),"")</f>
        <v/>
      </c>
      <c r="F34" s="365" t="str">
        <f t="shared" si="2"/>
        <v/>
      </c>
      <c r="G34" s="365" t="str">
        <f t="shared" si="2"/>
        <v/>
      </c>
      <c r="H34" s="365" t="str">
        <f t="shared" si="2"/>
        <v/>
      </c>
      <c r="I34" s="365" t="str">
        <f t="shared" si="2"/>
        <v/>
      </c>
      <c r="J34" s="365" t="str">
        <f t="shared" si="2"/>
        <v/>
      </c>
      <c r="K34" s="365" t="str">
        <f t="array" ref="K34">IFERROR(100*SUMPRODUCT(IFERROR(VLOOKUP($D20:$D33,UpdateHashtag!$C:$S,6,False),"")*$B20:$B33/100)/SUMPRODUCT(IFERROR(VLOOKUP($D20:$D33,UpdateHashtag!$C:$S,17,False),"")*$B20:$B33/100),"")</f>
        <v/>
      </c>
      <c r="L34" s="365" t="str">
        <f t="array" ref="L34">IFERROR(100*SUMPRODUCT(IFERROR(VLOOKUP($D20:$D33,UpdateHashtag!$C:$T,8,False),"")*$B20:$B33/100)/SUMPRODUCT(IFERROR(VLOOKUP($D20:$D33,UpdateHashtag!$C:$T,18,False),"")*$B20:$B33/100),"")</f>
        <v/>
      </c>
      <c r="M34" s="365" t="str">
        <f>IFERROR(AVERAGE(SUMPRODUCT(M20:M33,$B20:$B33/100))/(SUM(OFFSET($B20,0,0,COUNT(M20:M33)))/100),"")</f>
        <v/>
      </c>
      <c r="N34" s="170"/>
      <c r="O34" s="170"/>
      <c r="P34" s="170"/>
      <c r="Q34" s="170"/>
      <c r="R34" s="170"/>
      <c r="S34" s="170"/>
      <c r="T34" s="170"/>
      <c r="U34" s="170"/>
      <c r="V34" s="170"/>
      <c r="W34" s="170"/>
      <c r="X34" s="170"/>
      <c r="Y34" s="170"/>
      <c r="Z34" s="170"/>
    </row>
    <row r="35">
      <c r="A35" s="170"/>
      <c r="B35" s="170"/>
      <c r="C35" s="170"/>
      <c r="D35" s="351" t="s">
        <v>1329</v>
      </c>
      <c r="E35" s="366" t="str">
        <f>IFERROR((SUM(OFFSET('All Teams'!$B20,0,0,COUNT('All Teams'!E20:E33)))/100)*('All Teams'!E34-'Final Update'!$B$1)/'Final Update'!$B$2,"")</f>
        <v/>
      </c>
      <c r="F35" s="366" t="str">
        <f>IFERROR((SUM(OFFSET('All Teams'!$B20,0,0,COUNT('All Teams'!F20:F33)))/100)*('All Teams'!F34-'Final Update'!$C$1)/'Final Update'!$C$2,"")</f>
        <v/>
      </c>
      <c r="G35" s="366" t="str">
        <f>IFERROR((SUM(OFFSET('All Teams'!$B20,0,0,COUNT('All Teams'!G20:G33)))/100)*('All Teams'!G34-'Final Update'!$D$1)/'Final Update'!$D$2,"")</f>
        <v/>
      </c>
      <c r="H35" s="366" t="str">
        <f>IFERROR((SUM(OFFSET('All Teams'!$B20,0,0,COUNT('All Teams'!H20:H33)))/100)*('All Teams'!H34-'Final Update'!$E$1)/'Final Update'!$E$2,"")</f>
        <v/>
      </c>
      <c r="I35" s="366" t="str">
        <f>IFERROR((SUM(OFFSET('All Teams'!$B20,0,0,COUNT('All Teams'!I20:I33)))/100)*('All Teams'!I34-'Final Update'!$F$1)/'Final Update'!$F$2,"")</f>
        <v/>
      </c>
      <c r="J35" s="366" t="str">
        <f>IFERROR((SUM(OFFSET('All Teams'!$B20,0,0,COUNT('All Teams'!J20:J33)))/100)*('All Teams'!J34-'Final Update'!$G$1)/'Final Update'!$G$2,"")</f>
        <v/>
      </c>
      <c r="K35" s="366">
        <f t="array" ref="K35">SUMPRODUCT(IFERROR(VLOOKUP($D20:$D33,'Final Update'!$A$4:$L$403,8,False)*$B20:$B33/100,""))</f>
        <v>0</v>
      </c>
      <c r="L35" s="366">
        <f t="array" ref="L35">SUMPRODUCT(IFERROR(VLOOKUP($D20:$D33,'Final Update'!$A$4:$L$403,10,False)*$B20:$B33/100,""))</f>
        <v>0</v>
      </c>
      <c r="M35" s="366" t="str">
        <f>IFERROR(-(SUM(OFFSET('All Teams'!$B20,0,0,COUNT('All Teams'!M20:M33)))/100)*('All Teams'!M34-'Final Update'!$L$1)/'Final Update'!$L$2,"")</f>
        <v/>
      </c>
      <c r="N35" s="170"/>
      <c r="O35" s="170"/>
      <c r="P35" s="170"/>
      <c r="Q35" s="170"/>
      <c r="R35" s="170"/>
      <c r="S35" s="170"/>
      <c r="T35" s="170"/>
      <c r="U35" s="170"/>
      <c r="V35" s="170"/>
      <c r="W35" s="170"/>
      <c r="X35" s="170"/>
      <c r="Y35" s="170"/>
      <c r="Z35" s="170"/>
    </row>
    <row r="36">
      <c r="A36" s="349">
        <v>3.0</v>
      </c>
      <c r="B36" s="350" t="s">
        <v>810</v>
      </c>
      <c r="C36" s="351" t="s">
        <v>812</v>
      </c>
      <c r="D36" s="350" t="s">
        <v>1076</v>
      </c>
      <c r="E36" s="350" t="s">
        <v>11</v>
      </c>
      <c r="F36" s="350" t="s">
        <v>51</v>
      </c>
      <c r="G36" s="350" t="s">
        <v>53</v>
      </c>
      <c r="H36" s="350" t="s">
        <v>14</v>
      </c>
      <c r="I36" s="350" t="s">
        <v>15</v>
      </c>
      <c r="J36" s="350" t="s">
        <v>16</v>
      </c>
      <c r="K36" s="350" t="s">
        <v>8</v>
      </c>
      <c r="L36" s="350" t="s">
        <v>9</v>
      </c>
      <c r="M36" s="350" t="s">
        <v>17</v>
      </c>
      <c r="N36" s="350" t="s">
        <v>4</v>
      </c>
      <c r="O36" s="350" t="s">
        <v>816</v>
      </c>
      <c r="P36" s="350" t="s">
        <v>4</v>
      </c>
      <c r="Q36" s="170"/>
      <c r="R36" s="170"/>
      <c r="S36" s="170"/>
      <c r="T36" s="170"/>
      <c r="U36" s="170"/>
      <c r="V36" s="170"/>
      <c r="W36" s="170"/>
      <c r="X36" s="170"/>
      <c r="Y36" s="170"/>
      <c r="Z36" s="170"/>
    </row>
    <row r="37">
      <c r="A37" s="170"/>
      <c r="B37" s="352">
        <f>Projections!$AJ$22</f>
        <v>100</v>
      </c>
      <c r="C37" s="353">
        <v>1.0</v>
      </c>
      <c r="D37" s="354" t="str">
        <f t="array" ref="D37">INDIRECT("Draft!D"&amp;TEXT(A36+2,"0"))</f>
        <v/>
      </c>
      <c r="E37" s="355" t="str">
        <f>IF($D37="","", VLOOKUP($D37,'Final Update'!$P$21:$AD1000,Column(G35),False))</f>
        <v/>
      </c>
      <c r="F37" s="355" t="str">
        <f>IF($D37="","", VLOOKUP($D37,'Final Update'!$P$21:$AD1000,Column(H35),False))</f>
        <v/>
      </c>
      <c r="G37" s="355" t="str">
        <f>IF($D37="","", VLOOKUP($D37,'Final Update'!$P$21:$AD1000,Column(I35),False))</f>
        <v/>
      </c>
      <c r="H37" s="355" t="str">
        <f>IF($D37="","", VLOOKUP($D37,'Final Update'!$P$21:$AD1000,Column(J35),False))</f>
        <v/>
      </c>
      <c r="I37" s="355" t="str">
        <f>IF($D37="","", VLOOKUP($D37,'Final Update'!$P$21:$AD1000,Column(K35),False))</f>
        <v/>
      </c>
      <c r="J37" s="355" t="str">
        <f>IF($D37="","", VLOOKUP($D37,'Final Update'!$P$21:$AD1000,Column(L35),False))</f>
        <v/>
      </c>
      <c r="K37" s="356" t="str">
        <f>IF($D37="","", VLOOKUP($D37,'Final Update'!$P$21:$AD1000,Column(M35),False))</f>
        <v/>
      </c>
      <c r="L37" s="356" t="str">
        <f>IF($D37="","", VLOOKUP($D37,'Final Update'!$P$21:$AD1000,Column(N35),False))</f>
        <v/>
      </c>
      <c r="M37" s="355" t="str">
        <f>IF($D37="","", VLOOKUP($D37,'Final Update'!$P$21:$AD1000,Column(O35),False))</f>
        <v/>
      </c>
      <c r="N37" s="355" t="str">
        <f>IF($D37="","", VLOOKUP($D37,'Final Update'!$P$21:$AD1000,Column(C35),False))</f>
        <v/>
      </c>
      <c r="O37" s="353">
        <f t="array" ref="O37">COUNTIF(FIND(P37,$N37:$N50),"&gt;0")</f>
        <v>0</v>
      </c>
      <c r="P37" s="354" t="s">
        <v>44</v>
      </c>
      <c r="Q37" s="170"/>
      <c r="R37" s="170"/>
      <c r="S37" s="170"/>
      <c r="T37" s="170"/>
      <c r="U37" s="170"/>
      <c r="V37" s="170"/>
      <c r="W37" s="170"/>
      <c r="X37" s="170"/>
      <c r="Y37" s="170"/>
      <c r="Z37" s="170"/>
    </row>
    <row r="38">
      <c r="A38" s="170"/>
      <c r="B38" s="352">
        <f>Projections!$AJ$23</f>
        <v>100</v>
      </c>
      <c r="C38" s="353">
        <v>2.0</v>
      </c>
      <c r="D38" s="357" t="str">
        <f t="array" ref="D38">INDIRECT("Draft!E"&amp;TEXT(15-A36,"0"))</f>
        <v/>
      </c>
      <c r="E38" s="355" t="str">
        <f>IF($D38="","", VLOOKUP($D38,'Final Update'!$P$21:$AD1000,Column(G36),False))</f>
        <v/>
      </c>
      <c r="F38" s="355" t="str">
        <f>IF($D38="","", VLOOKUP($D38,'Final Update'!$P$21:$AD1000,Column(H36),False))</f>
        <v/>
      </c>
      <c r="G38" s="355" t="str">
        <f>IF($D38="","", VLOOKUP($D38,'Final Update'!$P$21:$AD1000,Column(I36),False))</f>
        <v/>
      </c>
      <c r="H38" s="355" t="str">
        <f>IF($D38="","", VLOOKUP($D38,'Final Update'!$P$21:$AD1000,Column(J36),False))</f>
        <v/>
      </c>
      <c r="I38" s="355" t="str">
        <f>IF($D38="","", VLOOKUP($D38,'Final Update'!$P$21:$AD1000,Column(K36),False))</f>
        <v/>
      </c>
      <c r="J38" s="355" t="str">
        <f>IF($D38="","", VLOOKUP($D38,'Final Update'!$P$21:$AD1000,Column(L36),False))</f>
        <v/>
      </c>
      <c r="K38" s="356" t="str">
        <f>IF($D38="","", VLOOKUP($D38,'Final Update'!$P$21:$AD1000,Column(M36),False))</f>
        <v/>
      </c>
      <c r="L38" s="356" t="str">
        <f>IF($D38="","", VLOOKUP($D38,'Final Update'!$P$21:$AD1000,Column(N36),False))</f>
        <v/>
      </c>
      <c r="M38" s="355" t="str">
        <f>IF($D38="","", VLOOKUP($D38,'Final Update'!$P$21:$AD1000,Column(O36),False))</f>
        <v/>
      </c>
      <c r="N38" s="355" t="str">
        <f>IF($D38="","", VLOOKUP($D38,'Final Update'!$P$21:$AD1000,Column(C36),False))</f>
        <v/>
      </c>
      <c r="O38" s="353">
        <f t="array" ref="O38">COUNTIF(FIND(P38,$N37:$N50),"&gt;0")</f>
        <v>0</v>
      </c>
      <c r="P38" s="354" t="s">
        <v>71</v>
      </c>
      <c r="Q38" s="170"/>
      <c r="R38" s="170"/>
      <c r="S38" s="170"/>
      <c r="T38" s="170"/>
      <c r="U38" s="170"/>
      <c r="V38" s="170"/>
      <c r="W38" s="170"/>
      <c r="X38" s="170"/>
      <c r="Y38" s="170"/>
      <c r="Z38" s="170"/>
    </row>
    <row r="39">
      <c r="A39" s="170"/>
      <c r="B39" s="352">
        <f>Projections!$AJ$24</f>
        <v>100</v>
      </c>
      <c r="C39" s="353">
        <v>3.0</v>
      </c>
      <c r="D39" s="358" t="str">
        <f t="array" ref="D39">INDIRECT("Draft!F"&amp;TEXT(A36+2,"0"))</f>
        <v/>
      </c>
      <c r="E39" s="359" t="str">
        <f>IF($D39="","", VLOOKUP($D39,'Final Update'!$P$21:$AD1000,Column(G37),False))</f>
        <v/>
      </c>
      <c r="F39" s="359" t="str">
        <f>IF($D39="","", VLOOKUP($D39,'Final Update'!$P$21:$AD1000,Column(H37),False))</f>
        <v/>
      </c>
      <c r="G39" s="359" t="str">
        <f>IF($D39="","", VLOOKUP($D39,'Final Update'!$P$21:$AD1000,Column(I37),False))</f>
        <v/>
      </c>
      <c r="H39" s="359" t="str">
        <f>IF($D39="","", VLOOKUP($D39,'Final Update'!$P$21:$AD1000,Column(J37),False))</f>
        <v/>
      </c>
      <c r="I39" s="359" t="str">
        <f>IF($D39="","", VLOOKUP($D39,'Final Update'!$P$21:$AD1000,Column(K37),False))</f>
        <v/>
      </c>
      <c r="J39" s="359" t="str">
        <f>IF($D39="","", VLOOKUP($D39,'Final Update'!$P$21:$AD1000,Column(L37),False))</f>
        <v/>
      </c>
      <c r="K39" s="360" t="str">
        <f>IF($D39="","", VLOOKUP($D39,'Final Update'!$P$21:$AD1000,Column(M37),False))</f>
        <v/>
      </c>
      <c r="L39" s="360" t="str">
        <f>IF($D39="","", VLOOKUP($D39,'Final Update'!$P$21:$AD1000,Column(N37),False))</f>
        <v/>
      </c>
      <c r="M39" s="359" t="str">
        <f>IF($D39="","", VLOOKUP($D39,'Final Update'!$P$21:$AD1000,Column(O37),False))</f>
        <v/>
      </c>
      <c r="N39" s="359" t="str">
        <f>IF($D39="","", VLOOKUP($D39,'Final Update'!$P$21:$AD1000,Column(C37),False))</f>
        <v/>
      </c>
      <c r="O39" s="353">
        <f t="array" ref="O39">COUNTIF(FIND(P39,$N37:$N50),"&gt;0")</f>
        <v>0</v>
      </c>
      <c r="P39" s="354" t="s">
        <v>72</v>
      </c>
      <c r="Q39" s="170"/>
      <c r="R39" s="170"/>
      <c r="S39" s="170"/>
      <c r="T39" s="170"/>
      <c r="U39" s="170"/>
      <c r="V39" s="170"/>
      <c r="W39" s="170"/>
      <c r="X39" s="170"/>
      <c r="Y39" s="170"/>
      <c r="Z39" s="170"/>
    </row>
    <row r="40">
      <c r="A40" s="170"/>
      <c r="B40" s="352">
        <f>Projections!$AJ$25</f>
        <v>100</v>
      </c>
      <c r="C40" s="353">
        <v>4.0</v>
      </c>
      <c r="D40" s="361" t="str">
        <f t="array" ref="D40">INDIRECT("Draft!G"&amp;TEXT(15-A36,"0"))</f>
        <v/>
      </c>
      <c r="E40" s="359" t="str">
        <f>IF($D40="","", VLOOKUP($D40,'Final Update'!$P$21:$AD1000,Column(G38),False))</f>
        <v/>
      </c>
      <c r="F40" s="359" t="str">
        <f>IF($D40="","", VLOOKUP($D40,'Final Update'!$P$21:$AD1000,Column(H38),False))</f>
        <v/>
      </c>
      <c r="G40" s="359" t="str">
        <f>IF($D40="","", VLOOKUP($D40,'Final Update'!$P$21:$AD1000,Column(I38),False))</f>
        <v/>
      </c>
      <c r="H40" s="359" t="str">
        <f>IF($D40="","", VLOOKUP($D40,'Final Update'!$P$21:$AD1000,Column(J38),False))</f>
        <v/>
      </c>
      <c r="I40" s="359" t="str">
        <f>IF($D40="","", VLOOKUP($D40,'Final Update'!$P$21:$AD1000,Column(K38),False))</f>
        <v/>
      </c>
      <c r="J40" s="359" t="str">
        <f>IF($D40="","", VLOOKUP($D40,'Final Update'!$P$21:$AD1000,Column(L38),False))</f>
        <v/>
      </c>
      <c r="K40" s="360" t="str">
        <f>IF($D40="","", VLOOKUP($D40,'Final Update'!$P$21:$AD1000,Column(M38),False))</f>
        <v/>
      </c>
      <c r="L40" s="360" t="str">
        <f>IF($D40="","", VLOOKUP($D40,'Final Update'!$P$21:$AD1000,Column(N38),False))</f>
        <v/>
      </c>
      <c r="M40" s="359" t="str">
        <f>IF($D40="","", VLOOKUP($D40,'Final Update'!$P$21:$AD1000,Column(O38),False))</f>
        <v/>
      </c>
      <c r="N40" s="359" t="str">
        <f>IF($D40="","", VLOOKUP($D40,'Final Update'!$P$21:$AD1000,Column(C38),False))</f>
        <v/>
      </c>
      <c r="O40" s="353">
        <f t="array" ref="O40">COUNTIF(FIND(P40,$N37:$N50),"&gt;0")</f>
        <v>0</v>
      </c>
      <c r="P40" s="354" t="s">
        <v>73</v>
      </c>
      <c r="Q40" s="170"/>
      <c r="R40" s="170"/>
      <c r="S40" s="170"/>
      <c r="T40" s="170"/>
      <c r="U40" s="170"/>
      <c r="V40" s="170"/>
      <c r="W40" s="170"/>
      <c r="X40" s="170"/>
      <c r="Y40" s="170"/>
      <c r="Z40" s="170"/>
    </row>
    <row r="41">
      <c r="A41" s="170"/>
      <c r="B41" s="352">
        <f>Projections!$AJ$26</f>
        <v>100</v>
      </c>
      <c r="C41" s="353">
        <v>5.0</v>
      </c>
      <c r="D41" s="362" t="str">
        <f t="array" ref="D41">INDIRECT("Draft!H"&amp;TEXT(A36+2,"0"))</f>
        <v/>
      </c>
      <c r="E41" s="359" t="str">
        <f>IF($D41="","", VLOOKUP($D41,'Final Update'!$P$21:$AD1000,Column(G39),False))</f>
        <v/>
      </c>
      <c r="F41" s="359" t="str">
        <f>IF($D41="","", VLOOKUP($D41,'Final Update'!$P$21:$AD1000,Column(H39),False))</f>
        <v/>
      </c>
      <c r="G41" s="359" t="str">
        <f>IF($D41="","", VLOOKUP($D41,'Final Update'!$P$21:$AD1000,Column(I39),False))</f>
        <v/>
      </c>
      <c r="H41" s="359" t="str">
        <f>IF($D41="","", VLOOKUP($D41,'Final Update'!$P$21:$AD1000,Column(J39),False))</f>
        <v/>
      </c>
      <c r="I41" s="359" t="str">
        <f>IF($D41="","", VLOOKUP($D41,'Final Update'!$P$21:$AD1000,Column(K39),False))</f>
        <v/>
      </c>
      <c r="J41" s="359" t="str">
        <f>IF($D41="","", VLOOKUP($D41,'Final Update'!$P$21:$AD1000,Column(L39),False))</f>
        <v/>
      </c>
      <c r="K41" s="360" t="str">
        <f>IF($D41="","", VLOOKUP($D41,'Final Update'!$P$21:$AD1000,Column(M39),False))</f>
        <v/>
      </c>
      <c r="L41" s="360" t="str">
        <f>IF($D41="","", VLOOKUP($D41,'Final Update'!$P$21:$AD1000,Column(N39),False))</f>
        <v/>
      </c>
      <c r="M41" s="359" t="str">
        <f>IF($D41="","", VLOOKUP($D41,'Final Update'!$P$21:$AD1000,Column(O39),False))</f>
        <v/>
      </c>
      <c r="N41" s="359" t="str">
        <f>IF($D41="","", VLOOKUP($D41,'Final Update'!$P$21:$AD1000,Column(C39),False))</f>
        <v/>
      </c>
      <c r="O41" s="353">
        <f t="array" ref="O41">COUNTIF(FIND(P41,$N37:$N50),"&gt;0")</f>
        <v>0</v>
      </c>
      <c r="P41" s="354" t="s">
        <v>34</v>
      </c>
      <c r="Q41" s="170"/>
      <c r="R41" s="170"/>
      <c r="S41" s="170"/>
      <c r="T41" s="170"/>
      <c r="U41" s="170"/>
      <c r="V41" s="170"/>
      <c r="W41" s="170"/>
      <c r="X41" s="170"/>
      <c r="Y41" s="170"/>
      <c r="Z41" s="170"/>
    </row>
    <row r="42">
      <c r="A42" s="170"/>
      <c r="B42" s="352">
        <f>Projections!$AJ$27</f>
        <v>100</v>
      </c>
      <c r="C42" s="353">
        <v>6.0</v>
      </c>
      <c r="D42" s="363" t="str">
        <f t="array" ref="D42">INDIRECT("Draft!I"&amp;TEXT(15-A36,"0"))</f>
        <v/>
      </c>
      <c r="E42" s="359" t="str">
        <f>IF($D42="","", VLOOKUP($D42,'Final Update'!$P$21:$AD1000,Column(G40),False))</f>
        <v/>
      </c>
      <c r="F42" s="359" t="str">
        <f>IF($D42="","", VLOOKUP($D42,'Final Update'!$P$21:$AD1000,Column(H40),False))</f>
        <v/>
      </c>
      <c r="G42" s="359" t="str">
        <f>IF($D42="","", VLOOKUP($D42,'Final Update'!$P$21:$AD1000,Column(I40),False))</f>
        <v/>
      </c>
      <c r="H42" s="359" t="str">
        <f>IF($D42="","", VLOOKUP($D42,'Final Update'!$P$21:$AD1000,Column(J40),False))</f>
        <v/>
      </c>
      <c r="I42" s="359" t="str">
        <f>IF($D42="","", VLOOKUP($D42,'Final Update'!$P$21:$AD1000,Column(K40),False))</f>
        <v/>
      </c>
      <c r="J42" s="359" t="str">
        <f>IF($D42="","", VLOOKUP($D42,'Final Update'!$P$21:$AD1000,Column(L40),False))</f>
        <v/>
      </c>
      <c r="K42" s="360" t="str">
        <f>IF($D42="","", VLOOKUP($D42,'Final Update'!$P$21:$AD1000,Column(M40),False))</f>
        <v/>
      </c>
      <c r="L42" s="360" t="str">
        <f>IF($D42="","", VLOOKUP($D42,'Final Update'!$P$21:$AD1000,Column(N40),False))</f>
        <v/>
      </c>
      <c r="M42" s="359" t="str">
        <f>IF($D42="","", VLOOKUP($D42,'Final Update'!$P$21:$AD1000,Column(O40),False))</f>
        <v/>
      </c>
      <c r="N42" s="359" t="str">
        <f>IF($D42="","", VLOOKUP($D42,'Final Update'!$P$21:$AD1000,Column(C40),False))</f>
        <v/>
      </c>
      <c r="O42" s="170"/>
      <c r="P42" s="170"/>
      <c r="Q42" s="170"/>
      <c r="R42" s="170"/>
      <c r="S42" s="170"/>
      <c r="T42" s="170"/>
      <c r="U42" s="170"/>
      <c r="V42" s="170"/>
      <c r="W42" s="170"/>
      <c r="X42" s="170"/>
      <c r="Y42" s="170"/>
      <c r="Z42" s="170"/>
    </row>
    <row r="43">
      <c r="A43" s="170"/>
      <c r="B43" s="352">
        <f>Projections!$AJ$28</f>
        <v>100</v>
      </c>
      <c r="C43" s="353">
        <v>7.0</v>
      </c>
      <c r="D43" s="362" t="str">
        <f t="array" ref="D43">INDIRECT("Draft!J"&amp;TEXT(A36+2,"0"))</f>
        <v/>
      </c>
      <c r="E43" s="359" t="str">
        <f>IF($D43="","", VLOOKUP($D43,'Final Update'!$P$21:$AD1000,Column(G41),False))</f>
        <v/>
      </c>
      <c r="F43" s="359" t="str">
        <f>IF($D43="","", VLOOKUP($D43,'Final Update'!$P$21:$AD1000,Column(H41),False))</f>
        <v/>
      </c>
      <c r="G43" s="359" t="str">
        <f>IF($D43="","", VLOOKUP($D43,'Final Update'!$P$21:$AD1000,Column(I41),False))</f>
        <v/>
      </c>
      <c r="H43" s="359" t="str">
        <f>IF($D43="","", VLOOKUP($D43,'Final Update'!$P$21:$AD1000,Column(J41),False))</f>
        <v/>
      </c>
      <c r="I43" s="359" t="str">
        <f>IF($D43="","", VLOOKUP($D43,'Final Update'!$P$21:$AD1000,Column(K41),False))</f>
        <v/>
      </c>
      <c r="J43" s="359" t="str">
        <f>IF($D43="","", VLOOKUP($D43,'Final Update'!$P$21:$AD1000,Column(L41),False))</f>
        <v/>
      </c>
      <c r="K43" s="360" t="str">
        <f>IF($D43="","", VLOOKUP($D43,'Final Update'!$P$21:$AD1000,Column(M41),False))</f>
        <v/>
      </c>
      <c r="L43" s="360" t="str">
        <f>IF($D43="","", VLOOKUP($D43,'Final Update'!$P$21:$AD1000,Column(N41),False))</f>
        <v/>
      </c>
      <c r="M43" s="359" t="str">
        <f>IF($D43="","", VLOOKUP($D43,'Final Update'!$P$21:$AD1000,Column(O41),False))</f>
        <v/>
      </c>
      <c r="N43" s="359" t="str">
        <f>IF($D43="","", VLOOKUP($D43,'Final Update'!$P$21:$AD1000,Column(C41),False))</f>
        <v/>
      </c>
      <c r="O43" s="170"/>
      <c r="P43" s="170"/>
      <c r="Q43" s="170"/>
      <c r="R43" s="170"/>
      <c r="S43" s="170"/>
      <c r="T43" s="170"/>
      <c r="U43" s="170"/>
      <c r="V43" s="170"/>
      <c r="W43" s="170"/>
      <c r="X43" s="170"/>
      <c r="Y43" s="170"/>
      <c r="Z43" s="170"/>
    </row>
    <row r="44">
      <c r="A44" s="170"/>
      <c r="B44" s="352">
        <f>Projections!$AJ$29</f>
        <v>100</v>
      </c>
      <c r="C44" s="353">
        <v>8.0</v>
      </c>
      <c r="D44" s="363" t="str">
        <f t="array" ref="D44">INDIRECT("Draft!K"&amp;TEXT(15-A36,"0"))</f>
        <v/>
      </c>
      <c r="E44" s="359" t="str">
        <f>IF($D44="","", VLOOKUP($D44,'Final Update'!$P$21:$AD1000,Column(G42),False))</f>
        <v/>
      </c>
      <c r="F44" s="359" t="str">
        <f>IF($D44="","", VLOOKUP($D44,'Final Update'!$P$21:$AD1000,Column(H42),False))</f>
        <v/>
      </c>
      <c r="G44" s="359" t="str">
        <f>IF($D44="","", VLOOKUP($D44,'Final Update'!$P$21:$AD1000,Column(I42),False))</f>
        <v/>
      </c>
      <c r="H44" s="359" t="str">
        <f>IF($D44="","", VLOOKUP($D44,'Final Update'!$P$21:$AD1000,Column(J42),False))</f>
        <v/>
      </c>
      <c r="I44" s="359" t="str">
        <f>IF($D44="","", VLOOKUP($D44,'Final Update'!$P$21:$AD1000,Column(K42),False))</f>
        <v/>
      </c>
      <c r="J44" s="359" t="str">
        <f>IF($D44="","", VLOOKUP($D44,'Final Update'!$P$21:$AD1000,Column(L42),False))</f>
        <v/>
      </c>
      <c r="K44" s="360" t="str">
        <f>IF($D44="","", VLOOKUP($D44,'Final Update'!$P$21:$AD1000,Column(M42),False))</f>
        <v/>
      </c>
      <c r="L44" s="360" t="str">
        <f>IF($D44="","", VLOOKUP($D44,'Final Update'!$P$21:$AD1000,Column(N42),False))</f>
        <v/>
      </c>
      <c r="M44" s="359" t="str">
        <f>IF($D44="","", VLOOKUP($D44,'Final Update'!$P$21:$AD1000,Column(O42),False))</f>
        <v/>
      </c>
      <c r="N44" s="359" t="str">
        <f>IF($D44="","", VLOOKUP($D44,'Final Update'!$P$21:$AD1000,Column(C42),False))</f>
        <v/>
      </c>
      <c r="O44" s="170"/>
      <c r="P44" s="170"/>
      <c r="Q44" s="170"/>
      <c r="R44" s="170"/>
      <c r="S44" s="170"/>
      <c r="T44" s="170"/>
      <c r="U44" s="170"/>
      <c r="V44" s="170"/>
      <c r="W44" s="170"/>
      <c r="X44" s="170"/>
      <c r="Y44" s="170"/>
      <c r="Z44" s="170"/>
    </row>
    <row r="45">
      <c r="A45" s="170"/>
      <c r="B45" s="352">
        <f>Projections!$AJ$30</f>
        <v>100</v>
      </c>
      <c r="C45" s="353">
        <v>9.0</v>
      </c>
      <c r="D45" s="362" t="str">
        <f t="array" ref="D45">INDIRECT("Draft!L"&amp;TEXT(A36+2,"0"))</f>
        <v/>
      </c>
      <c r="E45" s="359" t="str">
        <f>IF($D45="","", VLOOKUP($D45,'Final Update'!$P$21:$AD1000,Column(G43),False))</f>
        <v/>
      </c>
      <c r="F45" s="359" t="str">
        <f>IF($D45="","", VLOOKUP($D45,'Final Update'!$P$21:$AD1000,Column(H43),False))</f>
        <v/>
      </c>
      <c r="G45" s="359" t="str">
        <f>IF($D45="","", VLOOKUP($D45,'Final Update'!$P$21:$AD1000,Column(I43),False))</f>
        <v/>
      </c>
      <c r="H45" s="359" t="str">
        <f>IF($D45="","", VLOOKUP($D45,'Final Update'!$P$21:$AD1000,Column(J43),False))</f>
        <v/>
      </c>
      <c r="I45" s="359" t="str">
        <f>IF($D45="","", VLOOKUP($D45,'Final Update'!$P$21:$AD1000,Column(K43),False))</f>
        <v/>
      </c>
      <c r="J45" s="359" t="str">
        <f>IF($D45="","", VLOOKUP($D45,'Final Update'!$P$21:$AD1000,Column(L43),False))</f>
        <v/>
      </c>
      <c r="K45" s="360" t="str">
        <f>IF($D45="","", VLOOKUP($D45,'Final Update'!$P$21:$AD1000,Column(M43),False))</f>
        <v/>
      </c>
      <c r="L45" s="360" t="str">
        <f>IF($D45="","", VLOOKUP($D45,'Final Update'!$P$21:$AD1000,Column(N43),False))</f>
        <v/>
      </c>
      <c r="M45" s="359" t="str">
        <f>IF($D45="","", VLOOKUP($D45,'Final Update'!$P$21:$AD1000,Column(O43),False))</f>
        <v/>
      </c>
      <c r="N45" s="359" t="str">
        <f>IF($D45="","", VLOOKUP($D45,'Final Update'!$P$21:$AD1000,Column(C43),False))</f>
        <v/>
      </c>
      <c r="O45" s="170"/>
      <c r="P45" s="170"/>
      <c r="Q45" s="170"/>
      <c r="R45" s="170"/>
      <c r="S45" s="170"/>
      <c r="T45" s="170"/>
      <c r="U45" s="170"/>
      <c r="V45" s="170"/>
      <c r="W45" s="170"/>
      <c r="X45" s="170"/>
      <c r="Y45" s="170"/>
      <c r="Z45" s="170"/>
    </row>
    <row r="46">
      <c r="A46" s="170"/>
      <c r="B46" s="352">
        <f>Projections!$AJ$31</f>
        <v>100</v>
      </c>
      <c r="C46" s="353">
        <v>10.0</v>
      </c>
      <c r="D46" s="363" t="str">
        <f t="array" ref="D46">INDIRECT("Draft!M"&amp;TEXT(15-A36,"0"))</f>
        <v/>
      </c>
      <c r="E46" s="359" t="str">
        <f>IF($D46="","", VLOOKUP($D46,'Final Update'!$P$21:$AD1000,Column(G44),False))</f>
        <v/>
      </c>
      <c r="F46" s="359" t="str">
        <f>IF($D46="","", VLOOKUP($D46,'Final Update'!$P$21:$AD1000,Column(H44),False))</f>
        <v/>
      </c>
      <c r="G46" s="359" t="str">
        <f>IF($D46="","", VLOOKUP($D46,'Final Update'!$P$21:$AD1000,Column(I44),False))</f>
        <v/>
      </c>
      <c r="H46" s="359" t="str">
        <f>IF($D46="","", VLOOKUP($D46,'Final Update'!$P$21:$AD1000,Column(J44),False))</f>
        <v/>
      </c>
      <c r="I46" s="359" t="str">
        <f>IF($D46="","", VLOOKUP($D46,'Final Update'!$P$21:$AD1000,Column(K44),False))</f>
        <v/>
      </c>
      <c r="J46" s="359" t="str">
        <f>IF($D46="","", VLOOKUP($D46,'Final Update'!$P$21:$AD1000,Column(L44),False))</f>
        <v/>
      </c>
      <c r="K46" s="360" t="str">
        <f>IF($D46="","", VLOOKUP($D46,'Final Update'!$P$21:$AD1000,Column(M44),False))</f>
        <v/>
      </c>
      <c r="L46" s="360" t="str">
        <f>IF($D46="","", VLOOKUP($D46,'Final Update'!$P$21:$AD1000,Column(N44),False))</f>
        <v/>
      </c>
      <c r="M46" s="359" t="str">
        <f>IF($D46="","", VLOOKUP($D46,'Final Update'!$P$21:$AD1000,Column(O44),False))</f>
        <v/>
      </c>
      <c r="N46" s="359" t="str">
        <f>IF($D46="","", VLOOKUP($D46,'Final Update'!$P$21:$AD1000,Column(C44),False))</f>
        <v/>
      </c>
      <c r="O46" s="170"/>
      <c r="P46" s="170"/>
      <c r="Q46" s="170"/>
      <c r="R46" s="170"/>
      <c r="S46" s="170"/>
      <c r="T46" s="170"/>
      <c r="U46" s="170"/>
      <c r="V46" s="170"/>
      <c r="W46" s="170"/>
      <c r="X46" s="170"/>
      <c r="Y46" s="170"/>
      <c r="Z46" s="170"/>
    </row>
    <row r="47">
      <c r="A47" s="170"/>
      <c r="B47" s="352">
        <f>Projections!$AJ$32</f>
        <v>100</v>
      </c>
      <c r="C47" s="353">
        <v>11.0</v>
      </c>
      <c r="D47" s="362" t="str">
        <f t="array" ref="D47">INDIRECT("Draft!N"&amp;TEXT(A36+2,"0"))</f>
        <v/>
      </c>
      <c r="E47" s="359" t="str">
        <f>IF($D47="","", VLOOKUP($D47,'Final Update'!$P$21:$AD1000,Column(G45),False))</f>
        <v/>
      </c>
      <c r="F47" s="359" t="str">
        <f>IF($D47="","", VLOOKUP($D47,'Final Update'!$P$21:$AD1000,Column(H45),False))</f>
        <v/>
      </c>
      <c r="G47" s="359" t="str">
        <f>IF($D47="","", VLOOKUP($D47,'Final Update'!$P$21:$AD1000,Column(I45),False))</f>
        <v/>
      </c>
      <c r="H47" s="359" t="str">
        <f>IF($D47="","", VLOOKUP($D47,'Final Update'!$P$21:$AD1000,Column(J45),False))</f>
        <v/>
      </c>
      <c r="I47" s="359" t="str">
        <f>IF($D47="","", VLOOKUP($D47,'Final Update'!$P$21:$AD1000,Column(K45),False))</f>
        <v/>
      </c>
      <c r="J47" s="359" t="str">
        <f>IF($D47="","", VLOOKUP($D47,'Final Update'!$P$21:$AD1000,Column(L45),False))</f>
        <v/>
      </c>
      <c r="K47" s="360" t="str">
        <f>IF($D47="","", VLOOKUP($D47,'Final Update'!$P$21:$AD1000,Column(M45),False))</f>
        <v/>
      </c>
      <c r="L47" s="360" t="str">
        <f>IF($D47="","", VLOOKUP($D47,'Final Update'!$P$21:$AD1000,Column(N45),False))</f>
        <v/>
      </c>
      <c r="M47" s="359" t="str">
        <f>IF($D47="","", VLOOKUP($D47,'Final Update'!$P$21:$AD1000,Column(O45),False))</f>
        <v/>
      </c>
      <c r="N47" s="359" t="str">
        <f>IF($D47="","", VLOOKUP($D47,'Final Update'!$P$21:$AD1000,Column(C45),False))</f>
        <v/>
      </c>
      <c r="O47" s="170"/>
      <c r="P47" s="170"/>
      <c r="Q47" s="170"/>
      <c r="R47" s="170"/>
      <c r="S47" s="170"/>
      <c r="T47" s="170"/>
      <c r="U47" s="170"/>
      <c r="V47" s="170"/>
      <c r="W47" s="170"/>
      <c r="X47" s="170"/>
      <c r="Y47" s="170"/>
      <c r="Z47" s="170"/>
    </row>
    <row r="48">
      <c r="A48" s="170"/>
      <c r="B48" s="352">
        <f>Projections!$AJ$33</f>
        <v>100</v>
      </c>
      <c r="C48" s="353">
        <v>12.0</v>
      </c>
      <c r="D48" s="363" t="str">
        <f t="array" ref="D48">INDIRECT("Draft!O"&amp;TEXT(15-A36,"0"))</f>
        <v/>
      </c>
      <c r="E48" s="359" t="str">
        <f>IF($D48="","", VLOOKUP($D48,'Final Update'!$P$21:$AD1000,Column(G46),False))</f>
        <v/>
      </c>
      <c r="F48" s="359" t="str">
        <f>IF($D48="","", VLOOKUP($D48,'Final Update'!$P$21:$AD1000,Column(H46),False))</f>
        <v/>
      </c>
      <c r="G48" s="359" t="str">
        <f>IF($D48="","", VLOOKUP($D48,'Final Update'!$P$21:$AD1000,Column(I46),False))</f>
        <v/>
      </c>
      <c r="H48" s="359" t="str">
        <f>IF($D48="","", VLOOKUP($D48,'Final Update'!$P$21:$AD1000,Column(J46),False))</f>
        <v/>
      </c>
      <c r="I48" s="359" t="str">
        <f>IF($D48="","", VLOOKUP($D48,'Final Update'!$P$21:$AD1000,Column(K46),False))</f>
        <v/>
      </c>
      <c r="J48" s="359" t="str">
        <f>IF($D48="","", VLOOKUP($D48,'Final Update'!$P$21:$AD1000,Column(L46),False))</f>
        <v/>
      </c>
      <c r="K48" s="360" t="str">
        <f>IF($D48="","", VLOOKUP($D48,'Final Update'!$P$21:$AD1000,Column(M46),False))</f>
        <v/>
      </c>
      <c r="L48" s="360" t="str">
        <f>IF($D48="","", VLOOKUP($D48,'Final Update'!$P$21:$AD1000,Column(N46),False))</f>
        <v/>
      </c>
      <c r="M48" s="359" t="str">
        <f>IF($D48="","", VLOOKUP($D48,'Final Update'!$P$21:$AD1000,Column(O46),False))</f>
        <v/>
      </c>
      <c r="N48" s="359" t="str">
        <f>IF($D48="","", VLOOKUP($D48,'Final Update'!$P$21:$AD1000,Column(C46),False))</f>
        <v/>
      </c>
      <c r="O48" s="170"/>
      <c r="P48" s="170"/>
      <c r="Q48" s="170"/>
      <c r="R48" s="170"/>
      <c r="S48" s="170"/>
      <c r="T48" s="170"/>
      <c r="U48" s="170"/>
      <c r="V48" s="170"/>
      <c r="W48" s="170"/>
      <c r="X48" s="170"/>
      <c r="Y48" s="170"/>
      <c r="Z48" s="170"/>
    </row>
    <row r="49">
      <c r="A49" s="170"/>
      <c r="B49" s="364">
        <f>Projections!$AJ$34</f>
        <v>100</v>
      </c>
      <c r="C49" s="353">
        <v>13.0</v>
      </c>
      <c r="D49" s="362" t="str">
        <f t="array" ref="D49">INDIRECT("Draft!P"&amp;TEXT(A36+2,"0"))</f>
        <v/>
      </c>
      <c r="E49" s="359" t="str">
        <f>IF($D49="","", VLOOKUP($D49,'Final Update'!$P$21:$AD1000,Column(G47),False))</f>
        <v/>
      </c>
      <c r="F49" s="359" t="str">
        <f>IF($D49="","", VLOOKUP($D49,'Final Update'!$P$21:$AD1000,Column(H47),False))</f>
        <v/>
      </c>
      <c r="G49" s="359" t="str">
        <f>IF($D49="","", VLOOKUP($D49,'Final Update'!$P$21:$AD1000,Column(I47),False))</f>
        <v/>
      </c>
      <c r="H49" s="359" t="str">
        <f>IF($D49="","", VLOOKUP($D49,'Final Update'!$P$21:$AD1000,Column(J47),False))</f>
        <v/>
      </c>
      <c r="I49" s="359" t="str">
        <f>IF($D49="","", VLOOKUP($D49,'Final Update'!$P$21:$AD1000,Column(K47),False))</f>
        <v/>
      </c>
      <c r="J49" s="359" t="str">
        <f>IF($D49="","", VLOOKUP($D49,'Final Update'!$P$21:$AD1000,Column(L47),False))</f>
        <v/>
      </c>
      <c r="K49" s="360" t="str">
        <f>IF($D49="","", VLOOKUP($D49,'Final Update'!$P$21:$AD1000,Column(M47),False))</f>
        <v/>
      </c>
      <c r="L49" s="360" t="str">
        <f>IF($D49="","", VLOOKUP($D49,'Final Update'!$P$21:$AD1000,Column(N47),False))</f>
        <v/>
      </c>
      <c r="M49" s="359" t="str">
        <f>IF($D49="","", VLOOKUP($D49,'Final Update'!$P$21:$AD1000,Column(O47),False))</f>
        <v/>
      </c>
      <c r="N49" s="359" t="str">
        <f>IF($D49="","", VLOOKUP($D49,'Final Update'!$P$21:$AD1000,Column(C47),False))</f>
        <v/>
      </c>
      <c r="O49" s="170"/>
      <c r="P49" s="170"/>
      <c r="Q49" s="170"/>
      <c r="R49" s="170"/>
      <c r="S49" s="170"/>
      <c r="T49" s="170"/>
      <c r="U49" s="170"/>
      <c r="V49" s="170"/>
      <c r="W49" s="170"/>
      <c r="X49" s="170"/>
      <c r="Y49" s="170"/>
      <c r="Z49" s="170"/>
    </row>
    <row r="50">
      <c r="A50" s="170"/>
      <c r="B50" s="352">
        <f>Projections!$AJ$35</f>
        <v>50</v>
      </c>
      <c r="C50" s="353">
        <v>14.0</v>
      </c>
      <c r="D50" s="363" t="str">
        <f t="array" ref="D50">INDIRECT("Draft!Q"&amp;TEXT(15-A36,"0"))</f>
        <v/>
      </c>
      <c r="E50" s="359" t="str">
        <f>IF($D50="","", VLOOKUP($D50,'Final Update'!$P$21:$AD1000,Column(G48),False))</f>
        <v/>
      </c>
      <c r="F50" s="359" t="str">
        <f>IF($D50="","", VLOOKUP($D50,'Final Update'!$P$21:$AD1000,Column(H48),False))</f>
        <v/>
      </c>
      <c r="G50" s="359" t="str">
        <f>IF($D50="","", VLOOKUP($D50,'Final Update'!$P$21:$AD1000,Column(I48),False))</f>
        <v/>
      </c>
      <c r="H50" s="359" t="str">
        <f>IF($D50="","", VLOOKUP($D50,'Final Update'!$P$21:$AD1000,Column(J48),False))</f>
        <v/>
      </c>
      <c r="I50" s="359" t="str">
        <f>IF($D50="","", VLOOKUP($D50,'Final Update'!$P$21:$AD1000,Column(K48),False))</f>
        <v/>
      </c>
      <c r="J50" s="359" t="str">
        <f>IF($D50="","", VLOOKUP($D50,'Final Update'!$P$21:$AD1000,Column(L48),False))</f>
        <v/>
      </c>
      <c r="K50" s="360" t="str">
        <f>IF($D50="","", VLOOKUP($D50,'Final Update'!$P$21:$AD1000,Column(M48),False))</f>
        <v/>
      </c>
      <c r="L50" s="360" t="str">
        <f>IF($D50="","", VLOOKUP($D50,'Final Update'!$P$21:$AD1000,Column(N48),False))</f>
        <v/>
      </c>
      <c r="M50" s="359" t="str">
        <f>IF($D50="","", VLOOKUP($D50,'Final Update'!$P$21:$AD1000,Column(O48),False))</f>
        <v/>
      </c>
      <c r="N50" s="359" t="str">
        <f>IF($D50="","", VLOOKUP($D50,'Final Update'!$P$21:$AD1000,Column(C48),False))</f>
        <v/>
      </c>
      <c r="O50" s="170"/>
      <c r="P50" s="170"/>
      <c r="Q50" s="170"/>
      <c r="R50" s="170"/>
      <c r="S50" s="170"/>
      <c r="T50" s="170"/>
      <c r="U50" s="170"/>
      <c r="V50" s="170"/>
      <c r="W50" s="170"/>
      <c r="X50" s="170"/>
      <c r="Y50" s="170"/>
      <c r="Z50" s="170"/>
    </row>
    <row r="51">
      <c r="A51" s="348" t="s">
        <v>5</v>
      </c>
      <c r="B51" s="170"/>
      <c r="C51" s="170"/>
      <c r="D51" s="351" t="s">
        <v>1328</v>
      </c>
      <c r="E51" s="365" t="str">
        <f t="shared" ref="E51:J51" si="3">IFERROR(AVERAGE(SUMPRODUCT(E37:E50,$B37:$B50/100))/(SUM(OFFSET($B37,0,0,COUNT(E37:E50)))/100),"")</f>
        <v/>
      </c>
      <c r="F51" s="365" t="str">
        <f t="shared" si="3"/>
        <v/>
      </c>
      <c r="G51" s="365" t="str">
        <f t="shared" si="3"/>
        <v/>
      </c>
      <c r="H51" s="365" t="str">
        <f t="shared" si="3"/>
        <v/>
      </c>
      <c r="I51" s="365" t="str">
        <f t="shared" si="3"/>
        <v/>
      </c>
      <c r="J51" s="365" t="str">
        <f t="shared" si="3"/>
        <v/>
      </c>
      <c r="K51" s="365" t="str">
        <f t="array" ref="K51">IFERROR(100*SUMPRODUCT(IFERROR(VLOOKUP($D37:$D50,UpdateHashtag!$C:$S,6,False),"")*$B37:$B50/100)/SUMPRODUCT(IFERROR(VLOOKUP($D37:$D50,UpdateHashtag!$C:$S,17,False),"")*$B37:$B50/100),"")</f>
        <v/>
      </c>
      <c r="L51" s="365" t="str">
        <f t="array" ref="L51">IFERROR(100*SUMPRODUCT(IFERROR(VLOOKUP($D37:$D50,UpdateHashtag!$C:$T,8,False),"")*$B37:$B50/100)/SUMPRODUCT(IFERROR(VLOOKUP($D37:$D50,UpdateHashtag!$C:$T,18,False),"")*$B37:$B50/100),"")</f>
        <v/>
      </c>
      <c r="M51" s="365" t="str">
        <f>IFERROR(AVERAGE(SUMPRODUCT(M37:M50,$B37:$B50/100))/(SUM(OFFSET($B37,0,0,COUNT(M37:M50)))/100),"")</f>
        <v/>
      </c>
      <c r="N51" s="170"/>
      <c r="O51" s="170"/>
      <c r="P51" s="170"/>
      <c r="Q51" s="170"/>
      <c r="R51" s="170"/>
      <c r="S51" s="170"/>
      <c r="T51" s="170"/>
      <c r="U51" s="170"/>
      <c r="V51" s="170"/>
      <c r="W51" s="170"/>
      <c r="X51" s="170"/>
      <c r="Y51" s="170"/>
      <c r="Z51" s="170"/>
    </row>
    <row r="52">
      <c r="A52" s="170"/>
      <c r="B52" s="170"/>
      <c r="C52" s="170"/>
      <c r="D52" s="351" t="s">
        <v>1329</v>
      </c>
      <c r="E52" s="366" t="str">
        <f>IFERROR((SUM(OFFSET('All Teams'!$B37,0,0,COUNT('All Teams'!E37:E50)))/100)*('All Teams'!E51-'Final Update'!$B$1)/'Final Update'!$B$2,"")</f>
        <v/>
      </c>
      <c r="F52" s="366" t="str">
        <f>IFERROR((SUM(OFFSET('All Teams'!$B37,0,0,COUNT('All Teams'!F37:F50)))/100)*('All Teams'!F51-'Final Update'!$C$1)/'Final Update'!$C$2,"")</f>
        <v/>
      </c>
      <c r="G52" s="366" t="str">
        <f>IFERROR((SUM(OFFSET('All Teams'!$B37,0,0,COUNT('All Teams'!G37:G50)))/100)*('All Teams'!G51-'Final Update'!$D$1)/'Final Update'!$D$2,"")</f>
        <v/>
      </c>
      <c r="H52" s="366" t="str">
        <f>IFERROR((SUM(OFFSET('All Teams'!$B37,0,0,COUNT('All Teams'!H37:H50)))/100)*('All Teams'!H51-'Final Update'!$E$1)/'Final Update'!$E$2,"")</f>
        <v/>
      </c>
      <c r="I52" s="366" t="str">
        <f>IFERROR((SUM(OFFSET('All Teams'!$B37,0,0,COUNT('All Teams'!I37:I50)))/100)*('All Teams'!I51-'Final Update'!$F$1)/'Final Update'!$F$2,"")</f>
        <v/>
      </c>
      <c r="J52" s="366" t="str">
        <f>IFERROR((SUM(OFFSET('All Teams'!$B37,0,0,COUNT('All Teams'!J37:J50)))/100)*('All Teams'!J51-'Final Update'!$G$1)/'Final Update'!$G$2,"")</f>
        <v/>
      </c>
      <c r="K52" s="366">
        <f t="array" ref="K52">SUMPRODUCT(IFERROR(VLOOKUP($D37:$D50,'Final Update'!$A$4:$L$403,8,False)*$B37:$B50/100,""))</f>
        <v>0</v>
      </c>
      <c r="L52" s="366">
        <f t="array" ref="L52">SUMPRODUCT(IFERROR(VLOOKUP($D37:$D50,'Final Update'!$A$4:$L$403,10,False)*$B37:$B50/100,""))</f>
        <v>0</v>
      </c>
      <c r="M52" s="366" t="str">
        <f>IFERROR(-(SUM(OFFSET('All Teams'!$B37,0,0,COUNT('All Teams'!M37:M50)))/100)*('All Teams'!M51-'Final Update'!$L$1)/'Final Update'!$L$2,"")</f>
        <v/>
      </c>
      <c r="N52" s="170"/>
      <c r="O52" s="170"/>
      <c r="P52" s="170"/>
      <c r="Q52" s="170"/>
      <c r="R52" s="170"/>
      <c r="S52" s="170"/>
      <c r="T52" s="170"/>
      <c r="U52" s="170"/>
      <c r="V52" s="170"/>
      <c r="W52" s="170"/>
      <c r="X52" s="170"/>
      <c r="Y52" s="170"/>
      <c r="Z52" s="170"/>
    </row>
    <row r="53">
      <c r="A53" s="349">
        <v>4.0</v>
      </c>
      <c r="B53" s="350" t="s">
        <v>810</v>
      </c>
      <c r="C53" s="351" t="s">
        <v>812</v>
      </c>
      <c r="D53" s="350" t="s">
        <v>1076</v>
      </c>
      <c r="E53" s="350" t="s">
        <v>11</v>
      </c>
      <c r="F53" s="350" t="s">
        <v>51</v>
      </c>
      <c r="G53" s="350" t="s">
        <v>53</v>
      </c>
      <c r="H53" s="350" t="s">
        <v>14</v>
      </c>
      <c r="I53" s="350" t="s">
        <v>15</v>
      </c>
      <c r="J53" s="350" t="s">
        <v>16</v>
      </c>
      <c r="K53" s="350" t="s">
        <v>8</v>
      </c>
      <c r="L53" s="350" t="s">
        <v>9</v>
      </c>
      <c r="M53" s="350" t="s">
        <v>17</v>
      </c>
      <c r="N53" s="350" t="s">
        <v>4</v>
      </c>
      <c r="O53" s="350" t="s">
        <v>816</v>
      </c>
      <c r="P53" s="350" t="s">
        <v>4</v>
      </c>
      <c r="Q53" s="170"/>
      <c r="R53" s="170"/>
      <c r="S53" s="170"/>
      <c r="T53" s="170"/>
      <c r="U53" s="170"/>
      <c r="V53" s="170"/>
      <c r="W53" s="170"/>
      <c r="X53" s="170"/>
      <c r="Y53" s="170"/>
      <c r="Z53" s="170"/>
    </row>
    <row r="54">
      <c r="A54" s="170"/>
      <c r="B54" s="352">
        <f>Projections!$AJ$22</f>
        <v>100</v>
      </c>
      <c r="C54" s="353">
        <v>1.0</v>
      </c>
      <c r="D54" s="354" t="str">
        <f t="array" ref="D54">INDIRECT("Draft!D"&amp;TEXT(A53+2,"0"))</f>
        <v/>
      </c>
      <c r="E54" s="355" t="str">
        <f>IF($D54="","", VLOOKUP($D54,'Final Update'!$P$21:$AD1000,Column(G52),False))</f>
        <v/>
      </c>
      <c r="F54" s="355" t="str">
        <f>IF($D54="","", VLOOKUP($D54,'Final Update'!$P$21:$AD1000,Column(H52),False))</f>
        <v/>
      </c>
      <c r="G54" s="355" t="str">
        <f>IF($D54="","", VLOOKUP($D54,'Final Update'!$P$21:$AD1000,Column(I52),False))</f>
        <v/>
      </c>
      <c r="H54" s="355" t="str">
        <f>IF($D54="","", VLOOKUP($D54,'Final Update'!$P$21:$AD1000,Column(J52),False))</f>
        <v/>
      </c>
      <c r="I54" s="355" t="str">
        <f>IF($D54="","", VLOOKUP($D54,'Final Update'!$P$21:$AD1000,Column(K52),False))</f>
        <v/>
      </c>
      <c r="J54" s="355" t="str">
        <f>IF($D54="","", VLOOKUP($D54,'Final Update'!$P$21:$AD1000,Column(L52),False))</f>
        <v/>
      </c>
      <c r="K54" s="356" t="str">
        <f>IF($D54="","", VLOOKUP($D54,'Final Update'!$P$21:$AD1000,Column(M52),False))</f>
        <v/>
      </c>
      <c r="L54" s="356" t="str">
        <f>IF($D54="","", VLOOKUP($D54,'Final Update'!$P$21:$AD1000,Column(N52),False))</f>
        <v/>
      </c>
      <c r="M54" s="355" t="str">
        <f>IF($D54="","", VLOOKUP($D54,'Final Update'!$P$21:$AD1000,Column(O52),False))</f>
        <v/>
      </c>
      <c r="N54" s="355" t="str">
        <f>IF($D54="","", VLOOKUP($D54,'Final Update'!$P$21:$AD1000,Column(C52),False))</f>
        <v/>
      </c>
      <c r="O54" s="353">
        <f t="array" ref="O54">COUNTIF(FIND(P54,$N54:$N67),"&gt;0")</f>
        <v>0</v>
      </c>
      <c r="P54" s="354" t="s">
        <v>44</v>
      </c>
      <c r="Q54" s="170"/>
      <c r="R54" s="170"/>
      <c r="S54" s="170"/>
      <c r="T54" s="170"/>
      <c r="U54" s="170"/>
      <c r="V54" s="170"/>
      <c r="W54" s="170"/>
      <c r="X54" s="170"/>
      <c r="Y54" s="170"/>
      <c r="Z54" s="170"/>
    </row>
    <row r="55">
      <c r="A55" s="170"/>
      <c r="B55" s="352">
        <f>Projections!$AJ$23</f>
        <v>100</v>
      </c>
      <c r="C55" s="353">
        <v>2.0</v>
      </c>
      <c r="D55" s="357" t="str">
        <f t="array" ref="D55">INDIRECT("Draft!E"&amp;TEXT(15-A53,"0"))</f>
        <v/>
      </c>
      <c r="E55" s="355" t="str">
        <f>IF($D55="","", VLOOKUP($D55,'Final Update'!$P$21:$AD1000,Column(G53),False))</f>
        <v/>
      </c>
      <c r="F55" s="355" t="str">
        <f>IF($D55="","", VLOOKUP($D55,'Final Update'!$P$21:$AD1000,Column(H53),False))</f>
        <v/>
      </c>
      <c r="G55" s="355" t="str">
        <f>IF($D55="","", VLOOKUP($D55,'Final Update'!$P$21:$AD1000,Column(I53),False))</f>
        <v/>
      </c>
      <c r="H55" s="355" t="str">
        <f>IF($D55="","", VLOOKUP($D55,'Final Update'!$P$21:$AD1000,Column(J53),False))</f>
        <v/>
      </c>
      <c r="I55" s="355" t="str">
        <f>IF($D55="","", VLOOKUP($D55,'Final Update'!$P$21:$AD1000,Column(K53),False))</f>
        <v/>
      </c>
      <c r="J55" s="355" t="str">
        <f>IF($D55="","", VLOOKUP($D55,'Final Update'!$P$21:$AD1000,Column(L53),False))</f>
        <v/>
      </c>
      <c r="K55" s="356" t="str">
        <f>IF($D55="","", VLOOKUP($D55,'Final Update'!$P$21:$AD1000,Column(M53),False))</f>
        <v/>
      </c>
      <c r="L55" s="356" t="str">
        <f>IF($D55="","", VLOOKUP($D55,'Final Update'!$P$21:$AD1000,Column(N53),False))</f>
        <v/>
      </c>
      <c r="M55" s="355" t="str">
        <f>IF($D55="","", VLOOKUP($D55,'Final Update'!$P$21:$AD1000,Column(O53),False))</f>
        <v/>
      </c>
      <c r="N55" s="355" t="str">
        <f>IF($D55="","", VLOOKUP($D55,'Final Update'!$P$21:$AD1000,Column(C53),False))</f>
        <v/>
      </c>
      <c r="O55" s="353">
        <f t="array" ref="O55">COUNTIF(FIND(P55,$N54:$N67),"&gt;0")</f>
        <v>0</v>
      </c>
      <c r="P55" s="354" t="s">
        <v>71</v>
      </c>
      <c r="Q55" s="170"/>
      <c r="R55" s="170"/>
      <c r="S55" s="170"/>
      <c r="T55" s="170"/>
      <c r="U55" s="170"/>
      <c r="V55" s="170"/>
      <c r="W55" s="170"/>
      <c r="X55" s="170"/>
      <c r="Y55" s="170"/>
      <c r="Z55" s="170"/>
    </row>
    <row r="56">
      <c r="A56" s="170"/>
      <c r="B56" s="352">
        <f>Projections!$AJ$24</f>
        <v>100</v>
      </c>
      <c r="C56" s="353">
        <v>3.0</v>
      </c>
      <c r="D56" s="358" t="str">
        <f t="array" ref="D56">INDIRECT("Draft!F"&amp;TEXT(A53+2,"0"))</f>
        <v/>
      </c>
      <c r="E56" s="359" t="str">
        <f>IF($D56="","", VLOOKUP($D56,'Final Update'!$P$21:$AD1000,Column(G54),False))</f>
        <v/>
      </c>
      <c r="F56" s="359" t="str">
        <f>IF($D56="","", VLOOKUP($D56,'Final Update'!$P$21:$AD1000,Column(H54),False))</f>
        <v/>
      </c>
      <c r="G56" s="359" t="str">
        <f>IF($D56="","", VLOOKUP($D56,'Final Update'!$P$21:$AD1000,Column(I54),False))</f>
        <v/>
      </c>
      <c r="H56" s="359" t="str">
        <f>IF($D56="","", VLOOKUP($D56,'Final Update'!$P$21:$AD1000,Column(J54),False))</f>
        <v/>
      </c>
      <c r="I56" s="359" t="str">
        <f>IF($D56="","", VLOOKUP($D56,'Final Update'!$P$21:$AD1000,Column(K54),False))</f>
        <v/>
      </c>
      <c r="J56" s="359" t="str">
        <f>IF($D56="","", VLOOKUP($D56,'Final Update'!$P$21:$AD1000,Column(L54),False))</f>
        <v/>
      </c>
      <c r="K56" s="360" t="str">
        <f>IF($D56="","", VLOOKUP($D56,'Final Update'!$P$21:$AD1000,Column(M54),False))</f>
        <v/>
      </c>
      <c r="L56" s="360" t="str">
        <f>IF($D56="","", VLOOKUP($D56,'Final Update'!$P$21:$AD1000,Column(N54),False))</f>
        <v/>
      </c>
      <c r="M56" s="359" t="str">
        <f>IF($D56="","", VLOOKUP($D56,'Final Update'!$P$21:$AD1000,Column(O54),False))</f>
        <v/>
      </c>
      <c r="N56" s="359" t="str">
        <f>IF($D56="","", VLOOKUP($D56,'Final Update'!$P$21:$AD1000,Column(C54),False))</f>
        <v/>
      </c>
      <c r="O56" s="353">
        <f t="array" ref="O56">COUNTIF(FIND(P56,$N54:$N67),"&gt;0")</f>
        <v>0</v>
      </c>
      <c r="P56" s="354" t="s">
        <v>72</v>
      </c>
      <c r="Q56" s="170"/>
      <c r="R56" s="170"/>
      <c r="S56" s="170"/>
      <c r="T56" s="170"/>
      <c r="U56" s="170"/>
      <c r="V56" s="170"/>
      <c r="W56" s="170"/>
      <c r="X56" s="170"/>
      <c r="Y56" s="170"/>
      <c r="Z56" s="170"/>
    </row>
    <row r="57">
      <c r="A57" s="170"/>
      <c r="B57" s="352">
        <f>Projections!$AJ$25</f>
        <v>100</v>
      </c>
      <c r="C57" s="353">
        <v>4.0</v>
      </c>
      <c r="D57" s="361" t="str">
        <f t="array" ref="D57">INDIRECT("Draft!G"&amp;TEXT(15-A53,"0"))</f>
        <v/>
      </c>
      <c r="E57" s="359" t="str">
        <f>IF($D57="","", VLOOKUP($D57,'Final Update'!$P$21:$AD1000,Column(G55),False))</f>
        <v/>
      </c>
      <c r="F57" s="359" t="str">
        <f>IF($D57="","", VLOOKUP($D57,'Final Update'!$P$21:$AD1000,Column(H55),False))</f>
        <v/>
      </c>
      <c r="G57" s="359" t="str">
        <f>IF($D57="","", VLOOKUP($D57,'Final Update'!$P$21:$AD1000,Column(I55),False))</f>
        <v/>
      </c>
      <c r="H57" s="359" t="str">
        <f>IF($D57="","", VLOOKUP($D57,'Final Update'!$P$21:$AD1000,Column(J55),False))</f>
        <v/>
      </c>
      <c r="I57" s="359" t="str">
        <f>IF($D57="","", VLOOKUP($D57,'Final Update'!$P$21:$AD1000,Column(K55),False))</f>
        <v/>
      </c>
      <c r="J57" s="359" t="str">
        <f>IF($D57="","", VLOOKUP($D57,'Final Update'!$P$21:$AD1000,Column(L55),False))</f>
        <v/>
      </c>
      <c r="K57" s="360" t="str">
        <f>IF($D57="","", VLOOKUP($D57,'Final Update'!$P$21:$AD1000,Column(M55),False))</f>
        <v/>
      </c>
      <c r="L57" s="360" t="str">
        <f>IF($D57="","", VLOOKUP($D57,'Final Update'!$P$21:$AD1000,Column(N55),False))</f>
        <v/>
      </c>
      <c r="M57" s="359" t="str">
        <f>IF($D57="","", VLOOKUP($D57,'Final Update'!$P$21:$AD1000,Column(O55),False))</f>
        <v/>
      </c>
      <c r="N57" s="359" t="str">
        <f>IF($D57="","", VLOOKUP($D57,'Final Update'!$P$21:$AD1000,Column(C55),False))</f>
        <v/>
      </c>
      <c r="O57" s="353">
        <f t="array" ref="O57">COUNTIF(FIND(P57,$N54:$N67),"&gt;0")</f>
        <v>0</v>
      </c>
      <c r="P57" s="354" t="s">
        <v>73</v>
      </c>
      <c r="Q57" s="170"/>
      <c r="R57" s="170"/>
      <c r="S57" s="170"/>
      <c r="T57" s="170"/>
      <c r="U57" s="170"/>
      <c r="V57" s="170"/>
      <c r="W57" s="170"/>
      <c r="X57" s="170"/>
      <c r="Y57" s="170"/>
      <c r="Z57" s="170"/>
    </row>
    <row r="58">
      <c r="A58" s="170"/>
      <c r="B58" s="352">
        <f>Projections!$AJ$26</f>
        <v>100</v>
      </c>
      <c r="C58" s="353">
        <v>5.0</v>
      </c>
      <c r="D58" s="362" t="str">
        <f t="array" ref="D58">INDIRECT("Draft!H"&amp;TEXT(A53+2,"0"))</f>
        <v/>
      </c>
      <c r="E58" s="359" t="str">
        <f>IF($D58="","", VLOOKUP($D58,'Final Update'!$P$21:$AD1000,Column(G56),False))</f>
        <v/>
      </c>
      <c r="F58" s="359" t="str">
        <f>IF($D58="","", VLOOKUP($D58,'Final Update'!$P$21:$AD1000,Column(H56),False))</f>
        <v/>
      </c>
      <c r="G58" s="359" t="str">
        <f>IF($D58="","", VLOOKUP($D58,'Final Update'!$P$21:$AD1000,Column(I56),False))</f>
        <v/>
      </c>
      <c r="H58" s="359" t="str">
        <f>IF($D58="","", VLOOKUP($D58,'Final Update'!$P$21:$AD1000,Column(J56),False))</f>
        <v/>
      </c>
      <c r="I58" s="359" t="str">
        <f>IF($D58="","", VLOOKUP($D58,'Final Update'!$P$21:$AD1000,Column(K56),False))</f>
        <v/>
      </c>
      <c r="J58" s="359" t="str">
        <f>IF($D58="","", VLOOKUP($D58,'Final Update'!$P$21:$AD1000,Column(L56),False))</f>
        <v/>
      </c>
      <c r="K58" s="360" t="str">
        <f>IF($D58="","", VLOOKUP($D58,'Final Update'!$P$21:$AD1000,Column(M56),False))</f>
        <v/>
      </c>
      <c r="L58" s="360" t="str">
        <f>IF($D58="","", VLOOKUP($D58,'Final Update'!$P$21:$AD1000,Column(N56),False))</f>
        <v/>
      </c>
      <c r="M58" s="359" t="str">
        <f>IF($D58="","", VLOOKUP($D58,'Final Update'!$P$21:$AD1000,Column(O56),False))</f>
        <v/>
      </c>
      <c r="N58" s="359" t="str">
        <f>IF($D58="","", VLOOKUP($D58,'Final Update'!$P$21:$AD1000,Column(C56),False))</f>
        <v/>
      </c>
      <c r="O58" s="353">
        <f t="array" ref="O58">COUNTIF(FIND(P58,$N54:$N67),"&gt;0")</f>
        <v>0</v>
      </c>
      <c r="P58" s="354" t="s">
        <v>34</v>
      </c>
      <c r="Q58" s="170"/>
      <c r="R58" s="170"/>
      <c r="S58" s="170"/>
      <c r="T58" s="170"/>
      <c r="U58" s="170"/>
      <c r="V58" s="170"/>
      <c r="W58" s="170"/>
      <c r="X58" s="170"/>
      <c r="Y58" s="170"/>
      <c r="Z58" s="170"/>
    </row>
    <row r="59">
      <c r="A59" s="170"/>
      <c r="B59" s="352">
        <f>Projections!$AJ$27</f>
        <v>100</v>
      </c>
      <c r="C59" s="353">
        <v>6.0</v>
      </c>
      <c r="D59" s="363" t="str">
        <f t="array" ref="D59">INDIRECT("Draft!I"&amp;TEXT(15-A53,"0"))</f>
        <v/>
      </c>
      <c r="E59" s="359" t="str">
        <f>IF($D59="","", VLOOKUP($D59,'Final Update'!$P$21:$AD1000,Column(G57),False))</f>
        <v/>
      </c>
      <c r="F59" s="359" t="str">
        <f>IF($D59="","", VLOOKUP($D59,'Final Update'!$P$21:$AD1000,Column(H57),False))</f>
        <v/>
      </c>
      <c r="G59" s="359" t="str">
        <f>IF($D59="","", VLOOKUP($D59,'Final Update'!$P$21:$AD1000,Column(I57),False))</f>
        <v/>
      </c>
      <c r="H59" s="359" t="str">
        <f>IF($D59="","", VLOOKUP($D59,'Final Update'!$P$21:$AD1000,Column(J57),False))</f>
        <v/>
      </c>
      <c r="I59" s="359" t="str">
        <f>IF($D59="","", VLOOKUP($D59,'Final Update'!$P$21:$AD1000,Column(K57),False))</f>
        <v/>
      </c>
      <c r="J59" s="359" t="str">
        <f>IF($D59="","", VLOOKUP($D59,'Final Update'!$P$21:$AD1000,Column(L57),False))</f>
        <v/>
      </c>
      <c r="K59" s="360" t="str">
        <f>IF($D59="","", VLOOKUP($D59,'Final Update'!$P$21:$AD1000,Column(M57),False))</f>
        <v/>
      </c>
      <c r="L59" s="360" t="str">
        <f>IF($D59="","", VLOOKUP($D59,'Final Update'!$P$21:$AD1000,Column(N57),False))</f>
        <v/>
      </c>
      <c r="M59" s="359" t="str">
        <f>IF($D59="","", VLOOKUP($D59,'Final Update'!$P$21:$AD1000,Column(O57),False))</f>
        <v/>
      </c>
      <c r="N59" s="359" t="str">
        <f>IF($D59="","", VLOOKUP($D59,'Final Update'!$P$21:$AD1000,Column(C57),False))</f>
        <v/>
      </c>
      <c r="O59" s="170"/>
      <c r="P59" s="170"/>
      <c r="Q59" s="170"/>
      <c r="R59" s="170"/>
      <c r="S59" s="170"/>
      <c r="T59" s="170"/>
      <c r="U59" s="170"/>
      <c r="V59" s="170"/>
      <c r="W59" s="170"/>
      <c r="X59" s="170"/>
      <c r="Y59" s="170"/>
      <c r="Z59" s="170"/>
    </row>
    <row r="60">
      <c r="A60" s="170"/>
      <c r="B60" s="352">
        <f>Projections!$AJ$28</f>
        <v>100</v>
      </c>
      <c r="C60" s="353">
        <v>7.0</v>
      </c>
      <c r="D60" s="362" t="str">
        <f t="array" ref="D60">INDIRECT("Draft!J"&amp;TEXT(A53+2,"0"))</f>
        <v/>
      </c>
      <c r="E60" s="359" t="str">
        <f>IF($D60="","", VLOOKUP($D60,'Final Update'!$P$21:$AD1000,Column(G58),False))</f>
        <v/>
      </c>
      <c r="F60" s="359" t="str">
        <f>IF($D60="","", VLOOKUP($D60,'Final Update'!$P$21:$AD1000,Column(H58),False))</f>
        <v/>
      </c>
      <c r="G60" s="359" t="str">
        <f>IF($D60="","", VLOOKUP($D60,'Final Update'!$P$21:$AD1000,Column(I58),False))</f>
        <v/>
      </c>
      <c r="H60" s="359" t="str">
        <f>IF($D60="","", VLOOKUP($D60,'Final Update'!$P$21:$AD1000,Column(J58),False))</f>
        <v/>
      </c>
      <c r="I60" s="359" t="str">
        <f>IF($D60="","", VLOOKUP($D60,'Final Update'!$P$21:$AD1000,Column(K58),False))</f>
        <v/>
      </c>
      <c r="J60" s="359" t="str">
        <f>IF($D60="","", VLOOKUP($D60,'Final Update'!$P$21:$AD1000,Column(L58),False))</f>
        <v/>
      </c>
      <c r="K60" s="360" t="str">
        <f>IF($D60="","", VLOOKUP($D60,'Final Update'!$P$21:$AD1000,Column(M58),False))</f>
        <v/>
      </c>
      <c r="L60" s="360" t="str">
        <f>IF($D60="","", VLOOKUP($D60,'Final Update'!$P$21:$AD1000,Column(N58),False))</f>
        <v/>
      </c>
      <c r="M60" s="359" t="str">
        <f>IF($D60="","", VLOOKUP($D60,'Final Update'!$P$21:$AD1000,Column(O58),False))</f>
        <v/>
      </c>
      <c r="N60" s="359" t="str">
        <f>IF($D60="","", VLOOKUP($D60,'Final Update'!$P$21:$AD1000,Column(C58),False))</f>
        <v/>
      </c>
      <c r="O60" s="170"/>
      <c r="P60" s="170"/>
      <c r="Q60" s="170"/>
      <c r="R60" s="170"/>
      <c r="S60" s="170"/>
      <c r="T60" s="170"/>
      <c r="U60" s="170"/>
      <c r="V60" s="170"/>
      <c r="W60" s="170"/>
      <c r="X60" s="170"/>
      <c r="Y60" s="170"/>
      <c r="Z60" s="170"/>
    </row>
    <row r="61">
      <c r="A61" s="170"/>
      <c r="B61" s="352">
        <f>Projections!$AJ$29</f>
        <v>100</v>
      </c>
      <c r="C61" s="353">
        <v>8.0</v>
      </c>
      <c r="D61" s="363" t="str">
        <f t="array" ref="D61">INDIRECT("Draft!K"&amp;TEXT(15-A53,"0"))</f>
        <v/>
      </c>
      <c r="E61" s="359" t="str">
        <f>IF($D61="","", VLOOKUP($D61,'Final Update'!$P$21:$AD1000,Column(G59),False))</f>
        <v/>
      </c>
      <c r="F61" s="359" t="str">
        <f>IF($D61="","", VLOOKUP($D61,'Final Update'!$P$21:$AD1000,Column(H59),False))</f>
        <v/>
      </c>
      <c r="G61" s="359" t="str">
        <f>IF($D61="","", VLOOKUP($D61,'Final Update'!$P$21:$AD1000,Column(I59),False))</f>
        <v/>
      </c>
      <c r="H61" s="359" t="str">
        <f>IF($D61="","", VLOOKUP($D61,'Final Update'!$P$21:$AD1000,Column(J59),False))</f>
        <v/>
      </c>
      <c r="I61" s="359" t="str">
        <f>IF($D61="","", VLOOKUP($D61,'Final Update'!$P$21:$AD1000,Column(K59),False))</f>
        <v/>
      </c>
      <c r="J61" s="359" t="str">
        <f>IF($D61="","", VLOOKUP($D61,'Final Update'!$P$21:$AD1000,Column(L59),False))</f>
        <v/>
      </c>
      <c r="K61" s="360" t="str">
        <f>IF($D61="","", VLOOKUP($D61,'Final Update'!$P$21:$AD1000,Column(M59),False))</f>
        <v/>
      </c>
      <c r="L61" s="360" t="str">
        <f>IF($D61="","", VLOOKUP($D61,'Final Update'!$P$21:$AD1000,Column(N59),False))</f>
        <v/>
      </c>
      <c r="M61" s="359" t="str">
        <f>IF($D61="","", VLOOKUP($D61,'Final Update'!$P$21:$AD1000,Column(O59),False))</f>
        <v/>
      </c>
      <c r="N61" s="359" t="str">
        <f>IF($D61="","", VLOOKUP($D61,'Final Update'!$P$21:$AD1000,Column(C59),False))</f>
        <v/>
      </c>
      <c r="O61" s="170"/>
      <c r="P61" s="170"/>
      <c r="Q61" s="170"/>
      <c r="R61" s="170"/>
      <c r="S61" s="170"/>
      <c r="T61" s="170"/>
      <c r="U61" s="170"/>
      <c r="V61" s="170"/>
      <c r="W61" s="170"/>
      <c r="X61" s="170"/>
      <c r="Y61" s="170"/>
      <c r="Z61" s="170"/>
    </row>
    <row r="62">
      <c r="A62" s="170"/>
      <c r="B62" s="352">
        <f>Projections!$AJ$30</f>
        <v>100</v>
      </c>
      <c r="C62" s="353">
        <v>9.0</v>
      </c>
      <c r="D62" s="362" t="str">
        <f t="array" ref="D62">INDIRECT("Draft!L"&amp;TEXT(A53+2,"0"))</f>
        <v/>
      </c>
      <c r="E62" s="359" t="str">
        <f>IF($D62="","", VLOOKUP($D62,'Final Update'!$P$21:$AD1000,Column(G60),False))</f>
        <v/>
      </c>
      <c r="F62" s="359" t="str">
        <f>IF($D62="","", VLOOKUP($D62,'Final Update'!$P$21:$AD1000,Column(H60),False))</f>
        <v/>
      </c>
      <c r="G62" s="359" t="str">
        <f>IF($D62="","", VLOOKUP($D62,'Final Update'!$P$21:$AD1000,Column(I60),False))</f>
        <v/>
      </c>
      <c r="H62" s="359" t="str">
        <f>IF($D62="","", VLOOKUP($D62,'Final Update'!$P$21:$AD1000,Column(J60),False))</f>
        <v/>
      </c>
      <c r="I62" s="359" t="str">
        <f>IF($D62="","", VLOOKUP($D62,'Final Update'!$P$21:$AD1000,Column(K60),False))</f>
        <v/>
      </c>
      <c r="J62" s="359" t="str">
        <f>IF($D62="","", VLOOKUP($D62,'Final Update'!$P$21:$AD1000,Column(L60),False))</f>
        <v/>
      </c>
      <c r="K62" s="360" t="str">
        <f>IF($D62="","", VLOOKUP($D62,'Final Update'!$P$21:$AD1000,Column(M60),False))</f>
        <v/>
      </c>
      <c r="L62" s="360" t="str">
        <f>IF($D62="","", VLOOKUP($D62,'Final Update'!$P$21:$AD1000,Column(N60),False))</f>
        <v/>
      </c>
      <c r="M62" s="359" t="str">
        <f>IF($D62="","", VLOOKUP($D62,'Final Update'!$P$21:$AD1000,Column(O60),False))</f>
        <v/>
      </c>
      <c r="N62" s="359" t="str">
        <f>IF($D62="","", VLOOKUP($D62,'Final Update'!$P$21:$AD1000,Column(C60),False))</f>
        <v/>
      </c>
      <c r="O62" s="170"/>
      <c r="P62" s="170"/>
      <c r="Q62" s="170"/>
      <c r="R62" s="170"/>
      <c r="S62" s="170"/>
      <c r="T62" s="170"/>
      <c r="U62" s="170"/>
      <c r="V62" s="170"/>
      <c r="W62" s="170"/>
      <c r="X62" s="170"/>
      <c r="Y62" s="170"/>
      <c r="Z62" s="170"/>
    </row>
    <row r="63">
      <c r="A63" s="170"/>
      <c r="B63" s="352">
        <f>Projections!$AJ$31</f>
        <v>100</v>
      </c>
      <c r="C63" s="353">
        <v>10.0</v>
      </c>
      <c r="D63" s="363" t="str">
        <f t="array" ref="D63">INDIRECT("Draft!M"&amp;TEXT(15-A53,"0"))</f>
        <v/>
      </c>
      <c r="E63" s="359" t="str">
        <f>IF($D63="","", VLOOKUP($D63,'Final Update'!$P$21:$AD1000,Column(G61),False))</f>
        <v/>
      </c>
      <c r="F63" s="359" t="str">
        <f>IF($D63="","", VLOOKUP($D63,'Final Update'!$P$21:$AD1000,Column(H61),False))</f>
        <v/>
      </c>
      <c r="G63" s="359" t="str">
        <f>IF($D63="","", VLOOKUP($D63,'Final Update'!$P$21:$AD1000,Column(I61),False))</f>
        <v/>
      </c>
      <c r="H63" s="359" t="str">
        <f>IF($D63="","", VLOOKUP($D63,'Final Update'!$P$21:$AD1000,Column(J61),False))</f>
        <v/>
      </c>
      <c r="I63" s="359" t="str">
        <f>IF($D63="","", VLOOKUP($D63,'Final Update'!$P$21:$AD1000,Column(K61),False))</f>
        <v/>
      </c>
      <c r="J63" s="359" t="str">
        <f>IF($D63="","", VLOOKUP($D63,'Final Update'!$P$21:$AD1000,Column(L61),False))</f>
        <v/>
      </c>
      <c r="K63" s="360" t="str">
        <f>IF($D63="","", VLOOKUP($D63,'Final Update'!$P$21:$AD1000,Column(M61),False))</f>
        <v/>
      </c>
      <c r="L63" s="360" t="str">
        <f>IF($D63="","", VLOOKUP($D63,'Final Update'!$P$21:$AD1000,Column(N61),False))</f>
        <v/>
      </c>
      <c r="M63" s="359" t="str">
        <f>IF($D63="","", VLOOKUP($D63,'Final Update'!$P$21:$AD1000,Column(O61),False))</f>
        <v/>
      </c>
      <c r="N63" s="359" t="str">
        <f>IF($D63="","", VLOOKUP($D63,'Final Update'!$P$21:$AD1000,Column(C61),False))</f>
        <v/>
      </c>
      <c r="O63" s="170"/>
      <c r="P63" s="170"/>
      <c r="Q63" s="170"/>
      <c r="R63" s="170"/>
      <c r="S63" s="170"/>
      <c r="T63" s="170"/>
      <c r="U63" s="170"/>
      <c r="V63" s="170"/>
      <c r="W63" s="170"/>
      <c r="X63" s="170"/>
      <c r="Y63" s="170"/>
      <c r="Z63" s="170"/>
    </row>
    <row r="64">
      <c r="A64" s="170"/>
      <c r="B64" s="352">
        <f>Projections!$AJ$32</f>
        <v>100</v>
      </c>
      <c r="C64" s="353">
        <v>11.0</v>
      </c>
      <c r="D64" s="362" t="str">
        <f t="array" ref="D64">INDIRECT("Draft!N"&amp;TEXT(A53+2,"0"))</f>
        <v/>
      </c>
      <c r="E64" s="359" t="str">
        <f>IF($D64="","", VLOOKUP($D64,'Final Update'!$P$21:$AD1000,Column(G62),False))</f>
        <v/>
      </c>
      <c r="F64" s="359" t="str">
        <f>IF($D64="","", VLOOKUP($D64,'Final Update'!$P$21:$AD1000,Column(H62),False))</f>
        <v/>
      </c>
      <c r="G64" s="359" t="str">
        <f>IF($D64="","", VLOOKUP($D64,'Final Update'!$P$21:$AD1000,Column(I62),False))</f>
        <v/>
      </c>
      <c r="H64" s="359" t="str">
        <f>IF($D64="","", VLOOKUP($D64,'Final Update'!$P$21:$AD1000,Column(J62),False))</f>
        <v/>
      </c>
      <c r="I64" s="359" t="str">
        <f>IF($D64="","", VLOOKUP($D64,'Final Update'!$P$21:$AD1000,Column(K62),False))</f>
        <v/>
      </c>
      <c r="J64" s="359" t="str">
        <f>IF($D64="","", VLOOKUP($D64,'Final Update'!$P$21:$AD1000,Column(L62),False))</f>
        <v/>
      </c>
      <c r="K64" s="360" t="str">
        <f>IF($D64="","", VLOOKUP($D64,'Final Update'!$P$21:$AD1000,Column(M62),False))</f>
        <v/>
      </c>
      <c r="L64" s="360" t="str">
        <f>IF($D64="","", VLOOKUP($D64,'Final Update'!$P$21:$AD1000,Column(N62),False))</f>
        <v/>
      </c>
      <c r="M64" s="359" t="str">
        <f>IF($D64="","", VLOOKUP($D64,'Final Update'!$P$21:$AD1000,Column(O62),False))</f>
        <v/>
      </c>
      <c r="N64" s="359" t="str">
        <f>IF($D64="","", VLOOKUP($D64,'Final Update'!$P$21:$AD1000,Column(C62),False))</f>
        <v/>
      </c>
      <c r="O64" s="170"/>
      <c r="P64" s="170"/>
      <c r="Q64" s="170"/>
      <c r="R64" s="170"/>
      <c r="S64" s="170"/>
      <c r="T64" s="170"/>
      <c r="U64" s="170"/>
      <c r="V64" s="170"/>
      <c r="W64" s="170"/>
      <c r="X64" s="170"/>
      <c r="Y64" s="170"/>
      <c r="Z64" s="170"/>
    </row>
    <row r="65">
      <c r="A65" s="170"/>
      <c r="B65" s="352">
        <f>Projections!$AJ$33</f>
        <v>100</v>
      </c>
      <c r="C65" s="353">
        <v>12.0</v>
      </c>
      <c r="D65" s="363" t="str">
        <f t="array" ref="D65">INDIRECT("Draft!O"&amp;TEXT(15-A53,"0"))</f>
        <v/>
      </c>
      <c r="E65" s="359" t="str">
        <f>IF($D65="","", VLOOKUP($D65,'Final Update'!$P$21:$AD1000,Column(G63),False))</f>
        <v/>
      </c>
      <c r="F65" s="359" t="str">
        <f>IF($D65="","", VLOOKUP($D65,'Final Update'!$P$21:$AD1000,Column(H63),False))</f>
        <v/>
      </c>
      <c r="G65" s="359" t="str">
        <f>IF($D65="","", VLOOKUP($D65,'Final Update'!$P$21:$AD1000,Column(I63),False))</f>
        <v/>
      </c>
      <c r="H65" s="359" t="str">
        <f>IF($D65="","", VLOOKUP($D65,'Final Update'!$P$21:$AD1000,Column(J63),False))</f>
        <v/>
      </c>
      <c r="I65" s="359" t="str">
        <f>IF($D65="","", VLOOKUP($D65,'Final Update'!$P$21:$AD1000,Column(K63),False))</f>
        <v/>
      </c>
      <c r="J65" s="359" t="str">
        <f>IF($D65="","", VLOOKUP($D65,'Final Update'!$P$21:$AD1000,Column(L63),False))</f>
        <v/>
      </c>
      <c r="K65" s="360" t="str">
        <f>IF($D65="","", VLOOKUP($D65,'Final Update'!$P$21:$AD1000,Column(M63),False))</f>
        <v/>
      </c>
      <c r="L65" s="360" t="str">
        <f>IF($D65="","", VLOOKUP($D65,'Final Update'!$P$21:$AD1000,Column(N63),False))</f>
        <v/>
      </c>
      <c r="M65" s="359" t="str">
        <f>IF($D65="","", VLOOKUP($D65,'Final Update'!$P$21:$AD1000,Column(O63),False))</f>
        <v/>
      </c>
      <c r="N65" s="359" t="str">
        <f>IF($D65="","", VLOOKUP($D65,'Final Update'!$P$21:$AD1000,Column(C63),False))</f>
        <v/>
      </c>
      <c r="O65" s="170"/>
      <c r="P65" s="170"/>
      <c r="Q65" s="170"/>
      <c r="R65" s="170"/>
      <c r="S65" s="170"/>
      <c r="T65" s="170"/>
      <c r="U65" s="170"/>
      <c r="V65" s="170"/>
      <c r="W65" s="170"/>
      <c r="X65" s="170"/>
      <c r="Y65" s="170"/>
      <c r="Z65" s="170"/>
    </row>
    <row r="66">
      <c r="A66" s="170"/>
      <c r="B66" s="405">
        <v>75.0</v>
      </c>
      <c r="C66" s="353">
        <v>13.0</v>
      </c>
      <c r="D66" s="362" t="str">
        <f t="array" ref="D66">INDIRECT("Draft!P"&amp;TEXT(A53+2,"0"))</f>
        <v/>
      </c>
      <c r="E66" s="359" t="str">
        <f>IF($D66="","", VLOOKUP($D66,'Final Update'!$P$21:$AD1000,Column(G64),False))</f>
        <v/>
      </c>
      <c r="F66" s="359" t="str">
        <f>IF($D66="","", VLOOKUP($D66,'Final Update'!$P$21:$AD1000,Column(H64),False))</f>
        <v/>
      </c>
      <c r="G66" s="359" t="str">
        <f>IF($D66="","", VLOOKUP($D66,'Final Update'!$P$21:$AD1000,Column(I64),False))</f>
        <v/>
      </c>
      <c r="H66" s="359" t="str">
        <f>IF($D66="","", VLOOKUP($D66,'Final Update'!$P$21:$AD1000,Column(J64),False))</f>
        <v/>
      </c>
      <c r="I66" s="359" t="str">
        <f>IF($D66="","", VLOOKUP($D66,'Final Update'!$P$21:$AD1000,Column(K64),False))</f>
        <v/>
      </c>
      <c r="J66" s="359" t="str">
        <f>IF($D66="","", VLOOKUP($D66,'Final Update'!$P$21:$AD1000,Column(L64),False))</f>
        <v/>
      </c>
      <c r="K66" s="360" t="str">
        <f>IF($D66="","", VLOOKUP($D66,'Final Update'!$P$21:$AD1000,Column(M64),False))</f>
        <v/>
      </c>
      <c r="L66" s="360" t="str">
        <f>IF($D66="","", VLOOKUP($D66,'Final Update'!$P$21:$AD1000,Column(N64),False))</f>
        <v/>
      </c>
      <c r="M66" s="359" t="str">
        <f>IF($D66="","", VLOOKUP($D66,'Final Update'!$P$21:$AD1000,Column(O64),False))</f>
        <v/>
      </c>
      <c r="N66" s="359" t="str">
        <f>IF($D66="","", VLOOKUP($D66,'Final Update'!$P$21:$AD1000,Column(C64),False))</f>
        <v/>
      </c>
      <c r="O66" s="170"/>
      <c r="P66" s="170"/>
      <c r="Q66" s="170"/>
      <c r="R66" s="170"/>
      <c r="S66" s="170"/>
      <c r="T66" s="170"/>
      <c r="U66" s="170"/>
      <c r="V66" s="170"/>
      <c r="W66" s="170"/>
      <c r="X66" s="170"/>
      <c r="Y66" s="170"/>
      <c r="Z66" s="170"/>
    </row>
    <row r="67">
      <c r="A67" s="170"/>
      <c r="B67" s="352">
        <f>Projections!$AJ$35</f>
        <v>50</v>
      </c>
      <c r="C67" s="353">
        <v>14.0</v>
      </c>
      <c r="D67" s="363" t="str">
        <f t="array" ref="D67">INDIRECT("Draft!Q"&amp;TEXT(15-A53,"0"))</f>
        <v/>
      </c>
      <c r="E67" s="359" t="str">
        <f>IF($D67="","", VLOOKUP($D67,'Final Update'!$P$21:$AD1000,Column(G65),False))</f>
        <v/>
      </c>
      <c r="F67" s="359" t="str">
        <f>IF($D67="","", VLOOKUP($D67,'Final Update'!$P$21:$AD1000,Column(H65),False))</f>
        <v/>
      </c>
      <c r="G67" s="359" t="str">
        <f>IF($D67="","", VLOOKUP($D67,'Final Update'!$P$21:$AD1000,Column(I65),False))</f>
        <v/>
      </c>
      <c r="H67" s="359" t="str">
        <f>IF($D67="","", VLOOKUP($D67,'Final Update'!$P$21:$AD1000,Column(J65),False))</f>
        <v/>
      </c>
      <c r="I67" s="359" t="str">
        <f>IF($D67="","", VLOOKUP($D67,'Final Update'!$P$21:$AD1000,Column(K65),False))</f>
        <v/>
      </c>
      <c r="J67" s="359" t="str">
        <f>IF($D67="","", VLOOKUP($D67,'Final Update'!$P$21:$AD1000,Column(L65),False))</f>
        <v/>
      </c>
      <c r="K67" s="360" t="str">
        <f>IF($D67="","", VLOOKUP($D67,'Final Update'!$P$21:$AD1000,Column(M65),False))</f>
        <v/>
      </c>
      <c r="L67" s="360" t="str">
        <f>IF($D67="","", VLOOKUP($D67,'Final Update'!$P$21:$AD1000,Column(N65),False))</f>
        <v/>
      </c>
      <c r="M67" s="359" t="str">
        <f>IF($D67="","", VLOOKUP($D67,'Final Update'!$P$21:$AD1000,Column(O65),False))</f>
        <v/>
      </c>
      <c r="N67" s="359" t="str">
        <f>IF($D67="","", VLOOKUP($D67,'Final Update'!$P$21:$AD1000,Column(C65),False))</f>
        <v/>
      </c>
      <c r="O67" s="170"/>
      <c r="P67" s="170"/>
      <c r="Q67" s="170"/>
      <c r="R67" s="170"/>
      <c r="S67" s="170"/>
      <c r="T67" s="170"/>
      <c r="U67" s="170"/>
      <c r="V67" s="170"/>
      <c r="W67" s="170"/>
      <c r="X67" s="170"/>
      <c r="Y67" s="170"/>
      <c r="Z67" s="170"/>
    </row>
    <row r="68">
      <c r="A68" s="348" t="s">
        <v>5</v>
      </c>
      <c r="B68" s="170"/>
      <c r="C68" s="170"/>
      <c r="D68" s="351" t="s">
        <v>1328</v>
      </c>
      <c r="E68" s="365" t="str">
        <f t="shared" ref="E68:J68" si="4">IFERROR(AVERAGE(SUMPRODUCT(E54:E67,$B54:$B67/100))/(SUM(OFFSET($B54,0,0,COUNT(E54:E67)))/100),"")</f>
        <v/>
      </c>
      <c r="F68" s="365" t="str">
        <f t="shared" si="4"/>
        <v/>
      </c>
      <c r="G68" s="365" t="str">
        <f t="shared" si="4"/>
        <v/>
      </c>
      <c r="H68" s="365" t="str">
        <f t="shared" si="4"/>
        <v/>
      </c>
      <c r="I68" s="365" t="str">
        <f t="shared" si="4"/>
        <v/>
      </c>
      <c r="J68" s="365" t="str">
        <f t="shared" si="4"/>
        <v/>
      </c>
      <c r="K68" s="365" t="str">
        <f t="array" ref="K68">IFERROR(100*SUMPRODUCT(IFERROR(VLOOKUP($D54:$D67,UpdateHashtag!$C:$S,6,False),"")*$B54:$B67/100)/SUMPRODUCT(IFERROR(VLOOKUP($D54:$D67,UpdateHashtag!$C:$S,17,False),"")*$B54:$B67/100),"")</f>
        <v/>
      </c>
      <c r="L68" s="365" t="str">
        <f t="array" ref="L68">IFERROR(100*SUMPRODUCT(IFERROR(VLOOKUP($D54:$D67,UpdateHashtag!$C:$T,8,False),"")*$B54:$B67/100)/SUMPRODUCT(IFERROR(VLOOKUP($D54:$D67,UpdateHashtag!$C:$T,18,False),"")*$B54:$B67/100),"")</f>
        <v/>
      </c>
      <c r="M68" s="365" t="str">
        <f>IFERROR(AVERAGE(SUMPRODUCT(M54:M67,$B54:$B67/100))/(SUM(OFFSET($B54,0,0,COUNT(M54:M67)))/100),"")</f>
        <v/>
      </c>
      <c r="N68" s="170"/>
      <c r="O68" s="170"/>
      <c r="P68" s="170"/>
      <c r="Q68" s="170"/>
      <c r="R68" s="170"/>
      <c r="S68" s="170"/>
      <c r="T68" s="170"/>
      <c r="U68" s="170"/>
      <c r="V68" s="170"/>
      <c r="W68" s="170"/>
      <c r="X68" s="170"/>
      <c r="Y68" s="170"/>
      <c r="Z68" s="170"/>
    </row>
    <row r="69">
      <c r="A69" s="170"/>
      <c r="B69" s="170"/>
      <c r="C69" s="170"/>
      <c r="D69" s="351" t="s">
        <v>1329</v>
      </c>
      <c r="E69" s="366" t="str">
        <f>IFERROR((SUM(OFFSET('All Teams'!$B54,0,0,COUNT('All Teams'!E54:E67)))/100)*('All Teams'!E68-'Final Update'!$B$1)/'Final Update'!$B$2,"")</f>
        <v/>
      </c>
      <c r="F69" s="366" t="str">
        <f>IFERROR((SUM(OFFSET('All Teams'!$B54,0,0,COUNT('All Teams'!F54:F67)))/100)*('All Teams'!F68-'Final Update'!$C$1)/'Final Update'!$C$2,"")</f>
        <v/>
      </c>
      <c r="G69" s="366" t="str">
        <f>IFERROR((SUM(OFFSET('All Teams'!$B54,0,0,COUNT('All Teams'!G54:G67)))/100)*('All Teams'!G68-'Final Update'!$D$1)/'Final Update'!$D$2,"")</f>
        <v/>
      </c>
      <c r="H69" s="366" t="str">
        <f>IFERROR((SUM(OFFSET('All Teams'!$B54,0,0,COUNT('All Teams'!H54:H67)))/100)*('All Teams'!H68-'Final Update'!$E$1)/'Final Update'!$E$2,"")</f>
        <v/>
      </c>
      <c r="I69" s="366" t="str">
        <f>IFERROR((SUM(OFFSET('All Teams'!$B54,0,0,COUNT('All Teams'!I54:I67)))/100)*('All Teams'!I68-'Final Update'!$F$1)/'Final Update'!$F$2,"")</f>
        <v/>
      </c>
      <c r="J69" s="366" t="str">
        <f>IFERROR((SUM(OFFSET('All Teams'!$B54,0,0,COUNT('All Teams'!J54:J67)))/100)*('All Teams'!J68-'Final Update'!$G$1)/'Final Update'!$G$2,"")</f>
        <v/>
      </c>
      <c r="K69" s="366">
        <f t="array" ref="K69">SUMPRODUCT(IFERROR(VLOOKUP($D54:$D67,'Final Update'!$A$4:$L$403,8,False)*$B54:$B67/100,""))</f>
        <v>0</v>
      </c>
      <c r="L69" s="366">
        <f t="array" ref="L69">SUMPRODUCT(IFERROR(VLOOKUP($D54:$D67,'Final Update'!$A$4:$L$403,10,False)*$B54:$B67/100,""))</f>
        <v>0</v>
      </c>
      <c r="M69" s="366" t="str">
        <f>IFERROR(-(SUM(OFFSET('All Teams'!$B54,0,0,COUNT('All Teams'!M54:M67)))/100)*('All Teams'!M68-'Final Update'!$L$1)/'Final Update'!$L$2,"")</f>
        <v/>
      </c>
      <c r="N69" s="170"/>
      <c r="O69" s="170"/>
      <c r="P69" s="170"/>
      <c r="Q69" s="170"/>
      <c r="R69" s="170"/>
      <c r="S69" s="170"/>
      <c r="T69" s="170"/>
      <c r="U69" s="170"/>
      <c r="V69" s="170"/>
      <c r="W69" s="170"/>
      <c r="X69" s="170"/>
      <c r="Y69" s="170"/>
      <c r="Z69" s="170"/>
    </row>
    <row r="70">
      <c r="A70" s="349">
        <v>5.0</v>
      </c>
      <c r="B70" s="350" t="s">
        <v>810</v>
      </c>
      <c r="C70" s="351" t="s">
        <v>812</v>
      </c>
      <c r="D70" s="350" t="s">
        <v>1076</v>
      </c>
      <c r="E70" s="350" t="s">
        <v>11</v>
      </c>
      <c r="F70" s="350" t="s">
        <v>51</v>
      </c>
      <c r="G70" s="350" t="s">
        <v>53</v>
      </c>
      <c r="H70" s="350" t="s">
        <v>14</v>
      </c>
      <c r="I70" s="350" t="s">
        <v>15</v>
      </c>
      <c r="J70" s="350" t="s">
        <v>16</v>
      </c>
      <c r="K70" s="350" t="s">
        <v>8</v>
      </c>
      <c r="L70" s="350" t="s">
        <v>9</v>
      </c>
      <c r="M70" s="350" t="s">
        <v>17</v>
      </c>
      <c r="N70" s="350" t="s">
        <v>4</v>
      </c>
      <c r="O70" s="350" t="s">
        <v>816</v>
      </c>
      <c r="P70" s="350" t="s">
        <v>4</v>
      </c>
      <c r="Q70" s="170"/>
      <c r="R70" s="170"/>
      <c r="S70" s="170"/>
      <c r="T70" s="170"/>
      <c r="U70" s="170"/>
      <c r="V70" s="170"/>
      <c r="W70" s="170"/>
      <c r="X70" s="170"/>
      <c r="Y70" s="170"/>
      <c r="Z70" s="170"/>
    </row>
    <row r="71">
      <c r="A71" s="170"/>
      <c r="B71" s="352">
        <f>Projections!$AJ$22</f>
        <v>100</v>
      </c>
      <c r="C71" s="353">
        <v>1.0</v>
      </c>
      <c r="D71" s="354" t="str">
        <f t="array" ref="D71">INDIRECT("Draft!D"&amp;TEXT(A70+2,"0"))</f>
        <v/>
      </c>
      <c r="E71" s="355" t="str">
        <f>IF($D71="","", VLOOKUP($D71,'Final Update'!$P$21:$AD1000,Column(G69),False))</f>
        <v/>
      </c>
      <c r="F71" s="355" t="str">
        <f>IF($D71="","", VLOOKUP($D71,'Final Update'!$P$21:$AD1000,Column(H69),False))</f>
        <v/>
      </c>
      <c r="G71" s="355" t="str">
        <f>IF($D71="","", VLOOKUP($D71,'Final Update'!$P$21:$AD1000,Column(I69),False))</f>
        <v/>
      </c>
      <c r="H71" s="355" t="str">
        <f>IF($D71="","", VLOOKUP($D71,'Final Update'!$P$21:$AD1000,Column(J69),False))</f>
        <v/>
      </c>
      <c r="I71" s="355" t="str">
        <f>IF($D71="","", VLOOKUP($D71,'Final Update'!$P$21:$AD1000,Column(K69),False))</f>
        <v/>
      </c>
      <c r="J71" s="355" t="str">
        <f>IF($D71="","", VLOOKUP($D71,'Final Update'!$P$21:$AD1000,Column(L69),False))</f>
        <v/>
      </c>
      <c r="K71" s="356" t="str">
        <f>IF($D71="","", VLOOKUP($D71,'Final Update'!$P$21:$AD1000,Column(M69),False))</f>
        <v/>
      </c>
      <c r="L71" s="356" t="str">
        <f>IF($D71="","", VLOOKUP($D71,'Final Update'!$P$21:$AD1000,Column(N69),False))</f>
        <v/>
      </c>
      <c r="M71" s="355" t="str">
        <f>IF($D71="","", VLOOKUP($D71,'Final Update'!$P$21:$AD1000,Column(O69),False))</f>
        <v/>
      </c>
      <c r="N71" s="355" t="str">
        <f>IF($D71="","", VLOOKUP($D71,'Final Update'!$P$21:$AD1000,Column(C69),False))</f>
        <v/>
      </c>
      <c r="O71" s="353">
        <f t="array" ref="O71">COUNTIF(FIND(P71,$N71:$N84),"&gt;0")</f>
        <v>0</v>
      </c>
      <c r="P71" s="354" t="s">
        <v>44</v>
      </c>
      <c r="Q71" s="170"/>
      <c r="R71" s="170"/>
      <c r="S71" s="170"/>
      <c r="T71" s="170"/>
      <c r="U71" s="170"/>
      <c r="V71" s="170"/>
      <c r="W71" s="170"/>
      <c r="X71" s="170"/>
      <c r="Y71" s="170"/>
      <c r="Z71" s="170"/>
    </row>
    <row r="72">
      <c r="A72" s="170"/>
      <c r="B72" s="352">
        <f>Projections!$AJ$23</f>
        <v>100</v>
      </c>
      <c r="C72" s="353">
        <v>2.0</v>
      </c>
      <c r="D72" s="357" t="str">
        <f t="array" ref="D72">INDIRECT("Draft!E"&amp;TEXT(15-A70,"0"))</f>
        <v/>
      </c>
      <c r="E72" s="355" t="str">
        <f>IF($D72="","", VLOOKUP($D72,'Final Update'!$P$21:$AD1000,Column(G70),False))</f>
        <v/>
      </c>
      <c r="F72" s="355" t="str">
        <f>IF($D72="","", VLOOKUP($D72,'Final Update'!$P$21:$AD1000,Column(H70),False))</f>
        <v/>
      </c>
      <c r="G72" s="355" t="str">
        <f>IF($D72="","", VLOOKUP($D72,'Final Update'!$P$21:$AD1000,Column(I70),False))</f>
        <v/>
      </c>
      <c r="H72" s="355" t="str">
        <f>IF($D72="","", VLOOKUP($D72,'Final Update'!$P$21:$AD1000,Column(J70),False))</f>
        <v/>
      </c>
      <c r="I72" s="355" t="str">
        <f>IF($D72="","", VLOOKUP($D72,'Final Update'!$P$21:$AD1000,Column(K70),False))</f>
        <v/>
      </c>
      <c r="J72" s="355" t="str">
        <f>IF($D72="","", VLOOKUP($D72,'Final Update'!$P$21:$AD1000,Column(L70),False))</f>
        <v/>
      </c>
      <c r="K72" s="356" t="str">
        <f>IF($D72="","", VLOOKUP($D72,'Final Update'!$P$21:$AD1000,Column(M70),False))</f>
        <v/>
      </c>
      <c r="L72" s="356" t="str">
        <f>IF($D72="","", VLOOKUP($D72,'Final Update'!$P$21:$AD1000,Column(N70),False))</f>
        <v/>
      </c>
      <c r="M72" s="355" t="str">
        <f>IF($D72="","", VLOOKUP($D72,'Final Update'!$P$21:$AD1000,Column(O70),False))</f>
        <v/>
      </c>
      <c r="N72" s="355" t="str">
        <f>IF($D72="","", VLOOKUP($D72,'Final Update'!$P$21:$AD1000,Column(C70),False))</f>
        <v/>
      </c>
      <c r="O72" s="353">
        <f t="array" ref="O72">COUNTIF(FIND(P72,$N71:$N84),"&gt;0")</f>
        <v>0</v>
      </c>
      <c r="P72" s="354" t="s">
        <v>71</v>
      </c>
      <c r="Q72" s="170"/>
      <c r="R72" s="170"/>
      <c r="S72" s="170"/>
      <c r="T72" s="170"/>
      <c r="U72" s="170"/>
      <c r="V72" s="170"/>
      <c r="W72" s="170"/>
      <c r="X72" s="170"/>
      <c r="Y72" s="170"/>
      <c r="Z72" s="170"/>
    </row>
    <row r="73">
      <c r="A73" s="170"/>
      <c r="B73" s="352">
        <f>Projections!$AJ$24</f>
        <v>100</v>
      </c>
      <c r="C73" s="353">
        <v>3.0</v>
      </c>
      <c r="D73" s="358" t="str">
        <f t="array" ref="D73">INDIRECT("Draft!F"&amp;TEXT(A70+2,"0"))</f>
        <v/>
      </c>
      <c r="E73" s="359" t="str">
        <f>IF($D73="","", VLOOKUP($D73,'Final Update'!$P$21:$AD1000,Column(G71),False))</f>
        <v/>
      </c>
      <c r="F73" s="359" t="str">
        <f>IF($D73="","", VLOOKUP($D73,'Final Update'!$P$21:$AD1000,Column(H71),False))</f>
        <v/>
      </c>
      <c r="G73" s="359" t="str">
        <f>IF($D73="","", VLOOKUP($D73,'Final Update'!$P$21:$AD1000,Column(I71),False))</f>
        <v/>
      </c>
      <c r="H73" s="359" t="str">
        <f>IF($D73="","", VLOOKUP($D73,'Final Update'!$P$21:$AD1000,Column(J71),False))</f>
        <v/>
      </c>
      <c r="I73" s="359" t="str">
        <f>IF($D73="","", VLOOKUP($D73,'Final Update'!$P$21:$AD1000,Column(K71),False))</f>
        <v/>
      </c>
      <c r="J73" s="359" t="str">
        <f>IF($D73="","", VLOOKUP($D73,'Final Update'!$P$21:$AD1000,Column(L71),False))</f>
        <v/>
      </c>
      <c r="K73" s="360" t="str">
        <f>IF($D73="","", VLOOKUP($D73,'Final Update'!$P$21:$AD1000,Column(M71),False))</f>
        <v/>
      </c>
      <c r="L73" s="360" t="str">
        <f>IF($D73="","", VLOOKUP($D73,'Final Update'!$P$21:$AD1000,Column(N71),False))</f>
        <v/>
      </c>
      <c r="M73" s="359" t="str">
        <f>IF($D73="","", VLOOKUP($D73,'Final Update'!$P$21:$AD1000,Column(O71),False))</f>
        <v/>
      </c>
      <c r="N73" s="359" t="str">
        <f>IF($D73="","", VLOOKUP($D73,'Final Update'!$P$21:$AD1000,Column(C71),False))</f>
        <v/>
      </c>
      <c r="O73" s="353">
        <f t="array" ref="O73">COUNTIF(FIND(P73,$N71:$N84),"&gt;0")</f>
        <v>0</v>
      </c>
      <c r="P73" s="354" t="s">
        <v>72</v>
      </c>
      <c r="Q73" s="170"/>
      <c r="R73" s="170"/>
      <c r="S73" s="170"/>
      <c r="T73" s="170"/>
      <c r="U73" s="170"/>
      <c r="V73" s="170"/>
      <c r="W73" s="170"/>
      <c r="X73" s="170"/>
      <c r="Y73" s="170"/>
      <c r="Z73" s="170"/>
    </row>
    <row r="74">
      <c r="A74" s="170"/>
      <c r="B74" s="352">
        <f>Projections!$AJ$25</f>
        <v>100</v>
      </c>
      <c r="C74" s="353">
        <v>4.0</v>
      </c>
      <c r="D74" s="361" t="str">
        <f t="array" ref="D74">INDIRECT("Draft!G"&amp;TEXT(15-A70,"0"))</f>
        <v/>
      </c>
      <c r="E74" s="359" t="str">
        <f>IF($D74="","", VLOOKUP($D74,'Final Update'!$P$21:$AD1000,Column(G72),False))</f>
        <v/>
      </c>
      <c r="F74" s="359" t="str">
        <f>IF($D74="","", VLOOKUP($D74,'Final Update'!$P$21:$AD1000,Column(H72),False))</f>
        <v/>
      </c>
      <c r="G74" s="359" t="str">
        <f>IF($D74="","", VLOOKUP($D74,'Final Update'!$P$21:$AD1000,Column(I72),False))</f>
        <v/>
      </c>
      <c r="H74" s="359" t="str">
        <f>IF($D74="","", VLOOKUP($D74,'Final Update'!$P$21:$AD1000,Column(J72),False))</f>
        <v/>
      </c>
      <c r="I74" s="359" t="str">
        <f>IF($D74="","", VLOOKUP($D74,'Final Update'!$P$21:$AD1000,Column(K72),False))</f>
        <v/>
      </c>
      <c r="J74" s="359" t="str">
        <f>IF($D74="","", VLOOKUP($D74,'Final Update'!$P$21:$AD1000,Column(L72),False))</f>
        <v/>
      </c>
      <c r="K74" s="360" t="str">
        <f>IF($D74="","", VLOOKUP($D74,'Final Update'!$P$21:$AD1000,Column(M72),False))</f>
        <v/>
      </c>
      <c r="L74" s="360" t="str">
        <f>IF($D74="","", VLOOKUP($D74,'Final Update'!$P$21:$AD1000,Column(N72),False))</f>
        <v/>
      </c>
      <c r="M74" s="359" t="str">
        <f>IF($D74="","", VLOOKUP($D74,'Final Update'!$P$21:$AD1000,Column(O72),False))</f>
        <v/>
      </c>
      <c r="N74" s="359" t="str">
        <f>IF($D74="","", VLOOKUP($D74,'Final Update'!$P$21:$AD1000,Column(C72),False))</f>
        <v/>
      </c>
      <c r="O74" s="353">
        <f t="array" ref="O74">COUNTIF(FIND(P74,$N71:$N84),"&gt;0")</f>
        <v>0</v>
      </c>
      <c r="P74" s="354" t="s">
        <v>73</v>
      </c>
      <c r="Q74" s="170"/>
      <c r="R74" s="170"/>
      <c r="S74" s="170"/>
      <c r="T74" s="170"/>
      <c r="U74" s="170"/>
      <c r="V74" s="170"/>
      <c r="W74" s="170"/>
      <c r="X74" s="170"/>
      <c r="Y74" s="170"/>
      <c r="Z74" s="170"/>
    </row>
    <row r="75">
      <c r="A75" s="170"/>
      <c r="B75" s="352">
        <f>Projections!$AJ$26</f>
        <v>100</v>
      </c>
      <c r="C75" s="353">
        <v>5.0</v>
      </c>
      <c r="D75" s="362" t="str">
        <f t="array" ref="D75">INDIRECT("Draft!H"&amp;TEXT(A70+2,"0"))</f>
        <v/>
      </c>
      <c r="E75" s="359" t="str">
        <f>IF($D75="","", VLOOKUP($D75,'Final Update'!$P$21:$AD1000,Column(G73),False))</f>
        <v/>
      </c>
      <c r="F75" s="359" t="str">
        <f>IF($D75="","", VLOOKUP($D75,'Final Update'!$P$21:$AD1000,Column(H73),False))</f>
        <v/>
      </c>
      <c r="G75" s="359" t="str">
        <f>IF($D75="","", VLOOKUP($D75,'Final Update'!$P$21:$AD1000,Column(I73),False))</f>
        <v/>
      </c>
      <c r="H75" s="359" t="str">
        <f>IF($D75="","", VLOOKUP($D75,'Final Update'!$P$21:$AD1000,Column(J73),False))</f>
        <v/>
      </c>
      <c r="I75" s="359" t="str">
        <f>IF($D75="","", VLOOKUP($D75,'Final Update'!$P$21:$AD1000,Column(K73),False))</f>
        <v/>
      </c>
      <c r="J75" s="359" t="str">
        <f>IF($D75="","", VLOOKUP($D75,'Final Update'!$P$21:$AD1000,Column(L73),False))</f>
        <v/>
      </c>
      <c r="K75" s="360" t="str">
        <f>IF($D75="","", VLOOKUP($D75,'Final Update'!$P$21:$AD1000,Column(M73),False))</f>
        <v/>
      </c>
      <c r="L75" s="360" t="str">
        <f>IF($D75="","", VLOOKUP($D75,'Final Update'!$P$21:$AD1000,Column(N73),False))</f>
        <v/>
      </c>
      <c r="M75" s="359" t="str">
        <f>IF($D75="","", VLOOKUP($D75,'Final Update'!$P$21:$AD1000,Column(O73),False))</f>
        <v/>
      </c>
      <c r="N75" s="359" t="str">
        <f>IF($D75="","", VLOOKUP($D75,'Final Update'!$P$21:$AD1000,Column(C73),False))</f>
        <v/>
      </c>
      <c r="O75" s="353">
        <f t="array" ref="O75">COUNTIF(FIND(P75,$N71:$N84),"&gt;0")</f>
        <v>0</v>
      </c>
      <c r="P75" s="354" t="s">
        <v>34</v>
      </c>
      <c r="Q75" s="170"/>
      <c r="R75" s="170"/>
      <c r="S75" s="170"/>
      <c r="T75" s="170"/>
      <c r="U75" s="170"/>
      <c r="V75" s="170"/>
      <c r="W75" s="170"/>
      <c r="X75" s="170"/>
      <c r="Y75" s="170"/>
      <c r="Z75" s="170"/>
    </row>
    <row r="76">
      <c r="A76" s="170"/>
      <c r="B76" s="352">
        <f>Projections!$AJ$27</f>
        <v>100</v>
      </c>
      <c r="C76" s="353">
        <v>6.0</v>
      </c>
      <c r="D76" s="363" t="str">
        <f t="array" ref="D76">INDIRECT("Draft!I"&amp;TEXT(15-A70,"0"))</f>
        <v/>
      </c>
      <c r="E76" s="359" t="str">
        <f>IF($D76="","", VLOOKUP($D76,'Final Update'!$P$21:$AD1000,Column(G74),False))</f>
        <v/>
      </c>
      <c r="F76" s="359" t="str">
        <f>IF($D76="","", VLOOKUP($D76,'Final Update'!$P$21:$AD1000,Column(H74),False))</f>
        <v/>
      </c>
      <c r="G76" s="359" t="str">
        <f>IF($D76="","", VLOOKUP($D76,'Final Update'!$P$21:$AD1000,Column(I74),False))</f>
        <v/>
      </c>
      <c r="H76" s="359" t="str">
        <f>IF($D76="","", VLOOKUP($D76,'Final Update'!$P$21:$AD1000,Column(J74),False))</f>
        <v/>
      </c>
      <c r="I76" s="359" t="str">
        <f>IF($D76="","", VLOOKUP($D76,'Final Update'!$P$21:$AD1000,Column(K74),False))</f>
        <v/>
      </c>
      <c r="J76" s="359" t="str">
        <f>IF($D76="","", VLOOKUP($D76,'Final Update'!$P$21:$AD1000,Column(L74),False))</f>
        <v/>
      </c>
      <c r="K76" s="360" t="str">
        <f>IF($D76="","", VLOOKUP($D76,'Final Update'!$P$21:$AD1000,Column(M74),False))</f>
        <v/>
      </c>
      <c r="L76" s="360" t="str">
        <f>IF($D76="","", VLOOKUP($D76,'Final Update'!$P$21:$AD1000,Column(N74),False))</f>
        <v/>
      </c>
      <c r="M76" s="359" t="str">
        <f>IF($D76="","", VLOOKUP($D76,'Final Update'!$P$21:$AD1000,Column(O74),False))</f>
        <v/>
      </c>
      <c r="N76" s="359" t="str">
        <f>IF($D76="","", VLOOKUP($D76,'Final Update'!$P$21:$AD1000,Column(C74),False))</f>
        <v/>
      </c>
      <c r="O76" s="170"/>
      <c r="P76" s="170"/>
      <c r="Q76" s="170"/>
      <c r="R76" s="170"/>
      <c r="S76" s="170"/>
      <c r="T76" s="170"/>
      <c r="U76" s="170"/>
      <c r="V76" s="170"/>
      <c r="W76" s="170"/>
      <c r="X76" s="170"/>
      <c r="Y76" s="170"/>
      <c r="Z76" s="170"/>
    </row>
    <row r="77">
      <c r="A77" s="170"/>
      <c r="B77" s="352">
        <f>Projections!$AJ$28</f>
        <v>100</v>
      </c>
      <c r="C77" s="353">
        <v>7.0</v>
      </c>
      <c r="D77" s="362" t="str">
        <f t="array" ref="D77">INDIRECT("Draft!J"&amp;TEXT(A70+2,"0"))</f>
        <v/>
      </c>
      <c r="E77" s="359" t="str">
        <f>IF($D77="","", VLOOKUP($D77,'Final Update'!$P$21:$AD1000,Column(G75),False))</f>
        <v/>
      </c>
      <c r="F77" s="359" t="str">
        <f>IF($D77="","", VLOOKUP($D77,'Final Update'!$P$21:$AD1000,Column(H75),False))</f>
        <v/>
      </c>
      <c r="G77" s="359" t="str">
        <f>IF($D77="","", VLOOKUP($D77,'Final Update'!$P$21:$AD1000,Column(I75),False))</f>
        <v/>
      </c>
      <c r="H77" s="359" t="str">
        <f>IF($D77="","", VLOOKUP($D77,'Final Update'!$P$21:$AD1000,Column(J75),False))</f>
        <v/>
      </c>
      <c r="I77" s="359" t="str">
        <f>IF($D77="","", VLOOKUP($D77,'Final Update'!$P$21:$AD1000,Column(K75),False))</f>
        <v/>
      </c>
      <c r="J77" s="359" t="str">
        <f>IF($D77="","", VLOOKUP($D77,'Final Update'!$P$21:$AD1000,Column(L75),False))</f>
        <v/>
      </c>
      <c r="K77" s="360" t="str">
        <f>IF($D77="","", VLOOKUP($D77,'Final Update'!$P$21:$AD1000,Column(M75),False))</f>
        <v/>
      </c>
      <c r="L77" s="360" t="str">
        <f>IF($D77="","", VLOOKUP($D77,'Final Update'!$P$21:$AD1000,Column(N75),False))</f>
        <v/>
      </c>
      <c r="M77" s="359" t="str">
        <f>IF($D77="","", VLOOKUP($D77,'Final Update'!$P$21:$AD1000,Column(O75),False))</f>
        <v/>
      </c>
      <c r="N77" s="359" t="str">
        <f>IF($D77="","", VLOOKUP($D77,'Final Update'!$P$21:$AD1000,Column(C75),False))</f>
        <v/>
      </c>
      <c r="O77" s="170"/>
      <c r="P77" s="170"/>
      <c r="Q77" s="170"/>
      <c r="R77" s="170"/>
      <c r="S77" s="170"/>
      <c r="T77" s="170"/>
      <c r="U77" s="170"/>
      <c r="V77" s="170"/>
      <c r="W77" s="170"/>
      <c r="X77" s="170"/>
      <c r="Y77" s="170"/>
      <c r="Z77" s="170"/>
    </row>
    <row r="78">
      <c r="A78" s="170"/>
      <c r="B78" s="352">
        <f>Projections!$AJ$29</f>
        <v>100</v>
      </c>
      <c r="C78" s="353">
        <v>8.0</v>
      </c>
      <c r="D78" s="363" t="str">
        <f t="array" ref="D78">INDIRECT("Draft!K"&amp;TEXT(15-A70,"0"))</f>
        <v/>
      </c>
      <c r="E78" s="359" t="str">
        <f>IF($D78="","", VLOOKUP($D78,'Final Update'!$P$21:$AD1000,Column(G76),False))</f>
        <v/>
      </c>
      <c r="F78" s="359" t="str">
        <f>IF($D78="","", VLOOKUP($D78,'Final Update'!$P$21:$AD1000,Column(H76),False))</f>
        <v/>
      </c>
      <c r="G78" s="359" t="str">
        <f>IF($D78="","", VLOOKUP($D78,'Final Update'!$P$21:$AD1000,Column(I76),False))</f>
        <v/>
      </c>
      <c r="H78" s="359" t="str">
        <f>IF($D78="","", VLOOKUP($D78,'Final Update'!$P$21:$AD1000,Column(J76),False))</f>
        <v/>
      </c>
      <c r="I78" s="359" t="str">
        <f>IF($D78="","", VLOOKUP($D78,'Final Update'!$P$21:$AD1000,Column(K76),False))</f>
        <v/>
      </c>
      <c r="J78" s="359" t="str">
        <f>IF($D78="","", VLOOKUP($D78,'Final Update'!$P$21:$AD1000,Column(L76),False))</f>
        <v/>
      </c>
      <c r="K78" s="360" t="str">
        <f>IF($D78="","", VLOOKUP($D78,'Final Update'!$P$21:$AD1000,Column(M76),False))</f>
        <v/>
      </c>
      <c r="L78" s="360" t="str">
        <f>IF($D78="","", VLOOKUP($D78,'Final Update'!$P$21:$AD1000,Column(N76),False))</f>
        <v/>
      </c>
      <c r="M78" s="359" t="str">
        <f>IF($D78="","", VLOOKUP($D78,'Final Update'!$P$21:$AD1000,Column(O76),False))</f>
        <v/>
      </c>
      <c r="N78" s="359" t="str">
        <f>IF($D78="","", VLOOKUP($D78,'Final Update'!$P$21:$AD1000,Column(C76),False))</f>
        <v/>
      </c>
      <c r="O78" s="170"/>
      <c r="P78" s="170"/>
      <c r="Q78" s="170"/>
      <c r="R78" s="170"/>
      <c r="S78" s="170"/>
      <c r="T78" s="170"/>
      <c r="U78" s="170"/>
      <c r="V78" s="170"/>
      <c r="W78" s="170"/>
      <c r="X78" s="170"/>
      <c r="Y78" s="170"/>
      <c r="Z78" s="170"/>
    </row>
    <row r="79">
      <c r="A79" s="170"/>
      <c r="B79" s="352">
        <f>Projections!$AJ$30</f>
        <v>100</v>
      </c>
      <c r="C79" s="353">
        <v>9.0</v>
      </c>
      <c r="D79" s="362" t="str">
        <f t="array" ref="D79">INDIRECT("Draft!L"&amp;TEXT(A70+2,"0"))</f>
        <v/>
      </c>
      <c r="E79" s="359" t="str">
        <f>IF($D79="","", VLOOKUP($D79,'Final Update'!$P$21:$AD1000,Column(G77),False))</f>
        <v/>
      </c>
      <c r="F79" s="359" t="str">
        <f>IF($D79="","", VLOOKUP($D79,'Final Update'!$P$21:$AD1000,Column(H77),False))</f>
        <v/>
      </c>
      <c r="G79" s="359" t="str">
        <f>IF($D79="","", VLOOKUP($D79,'Final Update'!$P$21:$AD1000,Column(I77),False))</f>
        <v/>
      </c>
      <c r="H79" s="359" t="str">
        <f>IF($D79="","", VLOOKUP($D79,'Final Update'!$P$21:$AD1000,Column(J77),False))</f>
        <v/>
      </c>
      <c r="I79" s="359" t="str">
        <f>IF($D79="","", VLOOKUP($D79,'Final Update'!$P$21:$AD1000,Column(K77),False))</f>
        <v/>
      </c>
      <c r="J79" s="359" t="str">
        <f>IF($D79="","", VLOOKUP($D79,'Final Update'!$P$21:$AD1000,Column(L77),False))</f>
        <v/>
      </c>
      <c r="K79" s="360" t="str">
        <f>IF($D79="","", VLOOKUP($D79,'Final Update'!$P$21:$AD1000,Column(M77),False))</f>
        <v/>
      </c>
      <c r="L79" s="360" t="str">
        <f>IF($D79="","", VLOOKUP($D79,'Final Update'!$P$21:$AD1000,Column(N77),False))</f>
        <v/>
      </c>
      <c r="M79" s="359" t="str">
        <f>IF($D79="","", VLOOKUP($D79,'Final Update'!$P$21:$AD1000,Column(O77),False))</f>
        <v/>
      </c>
      <c r="N79" s="359" t="str">
        <f>IF($D79="","", VLOOKUP($D79,'Final Update'!$P$21:$AD1000,Column(C77),False))</f>
        <v/>
      </c>
      <c r="O79" s="170"/>
      <c r="P79" s="170"/>
      <c r="Q79" s="170"/>
      <c r="R79" s="170"/>
      <c r="S79" s="170"/>
      <c r="T79" s="170"/>
      <c r="U79" s="170"/>
      <c r="V79" s="170"/>
      <c r="W79" s="170"/>
      <c r="X79" s="170"/>
      <c r="Y79" s="170"/>
      <c r="Z79" s="170"/>
    </row>
    <row r="80">
      <c r="A80" s="170"/>
      <c r="B80" s="352">
        <f>Projections!$AJ$31</f>
        <v>100</v>
      </c>
      <c r="C80" s="353">
        <v>10.0</v>
      </c>
      <c r="D80" s="363" t="str">
        <f t="array" ref="D80">INDIRECT("Draft!M"&amp;TEXT(15-A70,"0"))</f>
        <v/>
      </c>
      <c r="E80" s="359" t="str">
        <f>IF($D80="","", VLOOKUP($D80,'Final Update'!$P$21:$AD1000,Column(G78),False))</f>
        <v/>
      </c>
      <c r="F80" s="359" t="str">
        <f>IF($D80="","", VLOOKUP($D80,'Final Update'!$P$21:$AD1000,Column(H78),False))</f>
        <v/>
      </c>
      <c r="G80" s="359" t="str">
        <f>IF($D80="","", VLOOKUP($D80,'Final Update'!$P$21:$AD1000,Column(I78),False))</f>
        <v/>
      </c>
      <c r="H80" s="359" t="str">
        <f>IF($D80="","", VLOOKUP($D80,'Final Update'!$P$21:$AD1000,Column(J78),False))</f>
        <v/>
      </c>
      <c r="I80" s="359" t="str">
        <f>IF($D80="","", VLOOKUP($D80,'Final Update'!$P$21:$AD1000,Column(K78),False))</f>
        <v/>
      </c>
      <c r="J80" s="359" t="str">
        <f>IF($D80="","", VLOOKUP($D80,'Final Update'!$P$21:$AD1000,Column(L78),False))</f>
        <v/>
      </c>
      <c r="K80" s="360" t="str">
        <f>IF($D80="","", VLOOKUP($D80,'Final Update'!$P$21:$AD1000,Column(M78),False))</f>
        <v/>
      </c>
      <c r="L80" s="360" t="str">
        <f>IF($D80="","", VLOOKUP($D80,'Final Update'!$P$21:$AD1000,Column(N78),False))</f>
        <v/>
      </c>
      <c r="M80" s="359" t="str">
        <f>IF($D80="","", VLOOKUP($D80,'Final Update'!$P$21:$AD1000,Column(O78),False))</f>
        <v/>
      </c>
      <c r="N80" s="359" t="str">
        <f>IF($D80="","", VLOOKUP($D80,'Final Update'!$P$21:$AD1000,Column(C78),False))</f>
        <v/>
      </c>
      <c r="O80" s="170"/>
      <c r="P80" s="170"/>
      <c r="Q80" s="170"/>
      <c r="R80" s="170"/>
      <c r="S80" s="170"/>
      <c r="T80" s="170"/>
      <c r="U80" s="170"/>
      <c r="V80" s="170"/>
      <c r="W80" s="170"/>
      <c r="X80" s="170"/>
      <c r="Y80" s="170"/>
      <c r="Z80" s="170"/>
    </row>
    <row r="81">
      <c r="A81" s="170"/>
      <c r="B81" s="352">
        <f>Projections!$AJ$32</f>
        <v>100</v>
      </c>
      <c r="C81" s="353">
        <v>11.0</v>
      </c>
      <c r="D81" s="362" t="str">
        <f t="array" ref="D81">INDIRECT("Draft!N"&amp;TEXT(A70+2,"0"))</f>
        <v/>
      </c>
      <c r="E81" s="359" t="str">
        <f>IF($D81="","", VLOOKUP($D81,'Final Update'!$P$21:$AD1000,Column(G79),False))</f>
        <v/>
      </c>
      <c r="F81" s="359" t="str">
        <f>IF($D81="","", VLOOKUP($D81,'Final Update'!$P$21:$AD1000,Column(H79),False))</f>
        <v/>
      </c>
      <c r="G81" s="359" t="str">
        <f>IF($D81="","", VLOOKUP($D81,'Final Update'!$P$21:$AD1000,Column(I79),False))</f>
        <v/>
      </c>
      <c r="H81" s="359" t="str">
        <f>IF($D81="","", VLOOKUP($D81,'Final Update'!$P$21:$AD1000,Column(J79),False))</f>
        <v/>
      </c>
      <c r="I81" s="359" t="str">
        <f>IF($D81="","", VLOOKUP($D81,'Final Update'!$P$21:$AD1000,Column(K79),False))</f>
        <v/>
      </c>
      <c r="J81" s="359" t="str">
        <f>IF($D81="","", VLOOKUP($D81,'Final Update'!$P$21:$AD1000,Column(L79),False))</f>
        <v/>
      </c>
      <c r="K81" s="360" t="str">
        <f>IF($D81="","", VLOOKUP($D81,'Final Update'!$P$21:$AD1000,Column(M79),False))</f>
        <v/>
      </c>
      <c r="L81" s="360" t="str">
        <f>IF($D81="","", VLOOKUP($D81,'Final Update'!$P$21:$AD1000,Column(N79),False))</f>
        <v/>
      </c>
      <c r="M81" s="359" t="str">
        <f>IF($D81="","", VLOOKUP($D81,'Final Update'!$P$21:$AD1000,Column(O79),False))</f>
        <v/>
      </c>
      <c r="N81" s="359" t="str">
        <f>IF($D81="","", VLOOKUP($D81,'Final Update'!$P$21:$AD1000,Column(C79),False))</f>
        <v/>
      </c>
      <c r="O81" s="170"/>
      <c r="P81" s="170"/>
      <c r="Q81" s="170"/>
      <c r="R81" s="170"/>
      <c r="S81" s="170"/>
      <c r="T81" s="170"/>
      <c r="U81" s="170"/>
      <c r="V81" s="170"/>
      <c r="W81" s="170"/>
      <c r="X81" s="170"/>
      <c r="Y81" s="170"/>
      <c r="Z81" s="170"/>
    </row>
    <row r="82">
      <c r="A82" s="170"/>
      <c r="B82" s="352">
        <f>Projections!$AJ$33</f>
        <v>100</v>
      </c>
      <c r="C82" s="353">
        <v>12.0</v>
      </c>
      <c r="D82" s="363" t="str">
        <f t="array" ref="D82">INDIRECT("Draft!O"&amp;TEXT(15-A70,"0"))</f>
        <v/>
      </c>
      <c r="E82" s="359" t="str">
        <f>IF($D82="","", VLOOKUP($D82,'Final Update'!$P$21:$AD1000,Column(G80),False))</f>
        <v/>
      </c>
      <c r="F82" s="359" t="str">
        <f>IF($D82="","", VLOOKUP($D82,'Final Update'!$P$21:$AD1000,Column(H80),False))</f>
        <v/>
      </c>
      <c r="G82" s="359" t="str">
        <f>IF($D82="","", VLOOKUP($D82,'Final Update'!$P$21:$AD1000,Column(I80),False))</f>
        <v/>
      </c>
      <c r="H82" s="359" t="str">
        <f>IF($D82="","", VLOOKUP($D82,'Final Update'!$P$21:$AD1000,Column(J80),False))</f>
        <v/>
      </c>
      <c r="I82" s="359" t="str">
        <f>IF($D82="","", VLOOKUP($D82,'Final Update'!$P$21:$AD1000,Column(K80),False))</f>
        <v/>
      </c>
      <c r="J82" s="359" t="str">
        <f>IF($D82="","", VLOOKUP($D82,'Final Update'!$P$21:$AD1000,Column(L80),False))</f>
        <v/>
      </c>
      <c r="K82" s="360" t="str">
        <f>IF($D82="","", VLOOKUP($D82,'Final Update'!$P$21:$AD1000,Column(M80),False))</f>
        <v/>
      </c>
      <c r="L82" s="360" t="str">
        <f>IF($D82="","", VLOOKUP($D82,'Final Update'!$P$21:$AD1000,Column(N80),False))</f>
        <v/>
      </c>
      <c r="M82" s="359" t="str">
        <f>IF($D82="","", VLOOKUP($D82,'Final Update'!$P$21:$AD1000,Column(O80),False))</f>
        <v/>
      </c>
      <c r="N82" s="359" t="str">
        <f>IF($D82="","", VLOOKUP($D82,'Final Update'!$P$21:$AD1000,Column(C80),False))</f>
        <v/>
      </c>
      <c r="O82" s="170"/>
      <c r="P82" s="170"/>
      <c r="Q82" s="170"/>
      <c r="R82" s="170"/>
      <c r="S82" s="170"/>
      <c r="T82" s="170"/>
      <c r="U82" s="170"/>
      <c r="V82" s="170"/>
      <c r="W82" s="170"/>
      <c r="X82" s="170"/>
      <c r="Y82" s="170"/>
      <c r="Z82" s="170"/>
    </row>
    <row r="83">
      <c r="A83" s="170"/>
      <c r="B83" s="364">
        <f>Projections!$AJ$34</f>
        <v>100</v>
      </c>
      <c r="C83" s="353">
        <v>13.0</v>
      </c>
      <c r="D83" s="362" t="str">
        <f t="array" ref="D83">INDIRECT("Draft!P"&amp;TEXT(A70+2,"0"))</f>
        <v/>
      </c>
      <c r="E83" s="359" t="str">
        <f>IF($D83="","", VLOOKUP($D83,'Final Update'!$P$21:$AD1000,Column(G81),False))</f>
        <v/>
      </c>
      <c r="F83" s="359" t="str">
        <f>IF($D83="","", VLOOKUP($D83,'Final Update'!$P$21:$AD1000,Column(H81),False))</f>
        <v/>
      </c>
      <c r="G83" s="359" t="str">
        <f>IF($D83="","", VLOOKUP($D83,'Final Update'!$P$21:$AD1000,Column(I81),False))</f>
        <v/>
      </c>
      <c r="H83" s="359" t="str">
        <f>IF($D83="","", VLOOKUP($D83,'Final Update'!$P$21:$AD1000,Column(J81),False))</f>
        <v/>
      </c>
      <c r="I83" s="359" t="str">
        <f>IF($D83="","", VLOOKUP($D83,'Final Update'!$P$21:$AD1000,Column(K81),False))</f>
        <v/>
      </c>
      <c r="J83" s="359" t="str">
        <f>IF($D83="","", VLOOKUP($D83,'Final Update'!$P$21:$AD1000,Column(L81),False))</f>
        <v/>
      </c>
      <c r="K83" s="360" t="str">
        <f>IF($D83="","", VLOOKUP($D83,'Final Update'!$P$21:$AD1000,Column(M81),False))</f>
        <v/>
      </c>
      <c r="L83" s="360" t="str">
        <f>IF($D83="","", VLOOKUP($D83,'Final Update'!$P$21:$AD1000,Column(N81),False))</f>
        <v/>
      </c>
      <c r="M83" s="359" t="str">
        <f>IF($D83="","", VLOOKUP($D83,'Final Update'!$P$21:$AD1000,Column(O81),False))</f>
        <v/>
      </c>
      <c r="N83" s="359" t="str">
        <f>IF($D83="","", VLOOKUP($D83,'Final Update'!$P$21:$AD1000,Column(C81),False))</f>
        <v/>
      </c>
      <c r="O83" s="170"/>
      <c r="P83" s="170"/>
      <c r="Q83" s="170"/>
      <c r="R83" s="170"/>
      <c r="S83" s="170"/>
      <c r="T83" s="170"/>
      <c r="U83" s="170"/>
      <c r="V83" s="170"/>
      <c r="W83" s="170"/>
      <c r="X83" s="170"/>
      <c r="Y83" s="170"/>
      <c r="Z83" s="170"/>
    </row>
    <row r="84">
      <c r="A84" s="170"/>
      <c r="B84" s="352">
        <f>Projections!$AJ$35</f>
        <v>50</v>
      </c>
      <c r="C84" s="353">
        <v>14.0</v>
      </c>
      <c r="D84" s="363" t="str">
        <f t="array" ref="D84">INDIRECT("Draft!Q"&amp;TEXT(15-A70,"0"))</f>
        <v/>
      </c>
      <c r="E84" s="359" t="str">
        <f>IF($D84="","", VLOOKUP($D84,'Final Update'!$P$21:$AD1000,Column(G82),False))</f>
        <v/>
      </c>
      <c r="F84" s="359" t="str">
        <f>IF($D84="","", VLOOKUP($D84,'Final Update'!$P$21:$AD1000,Column(H82),False))</f>
        <v/>
      </c>
      <c r="G84" s="359" t="str">
        <f>IF($D84="","", VLOOKUP($D84,'Final Update'!$P$21:$AD1000,Column(I82),False))</f>
        <v/>
      </c>
      <c r="H84" s="359" t="str">
        <f>IF($D84="","", VLOOKUP($D84,'Final Update'!$P$21:$AD1000,Column(J82),False))</f>
        <v/>
      </c>
      <c r="I84" s="359" t="str">
        <f>IF($D84="","", VLOOKUP($D84,'Final Update'!$P$21:$AD1000,Column(K82),False))</f>
        <v/>
      </c>
      <c r="J84" s="359" t="str">
        <f>IF($D84="","", VLOOKUP($D84,'Final Update'!$P$21:$AD1000,Column(L82),False))</f>
        <v/>
      </c>
      <c r="K84" s="360" t="str">
        <f>IF($D84="","", VLOOKUP($D84,'Final Update'!$P$21:$AD1000,Column(M82),False))</f>
        <v/>
      </c>
      <c r="L84" s="360" t="str">
        <f>IF($D84="","", VLOOKUP($D84,'Final Update'!$P$21:$AD1000,Column(N82),False))</f>
        <v/>
      </c>
      <c r="M84" s="359" t="str">
        <f>IF($D84="","", VLOOKUP($D84,'Final Update'!$P$21:$AD1000,Column(O82),False))</f>
        <v/>
      </c>
      <c r="N84" s="359" t="str">
        <f>IF($D84="","", VLOOKUP($D84,'Final Update'!$P$21:$AD1000,Column(C82),False))</f>
        <v/>
      </c>
      <c r="O84" s="170"/>
      <c r="P84" s="170"/>
      <c r="Q84" s="170"/>
      <c r="R84" s="170"/>
      <c r="S84" s="170"/>
      <c r="T84" s="170"/>
      <c r="U84" s="170"/>
      <c r="V84" s="170"/>
      <c r="W84" s="170"/>
      <c r="X84" s="170"/>
      <c r="Y84" s="170"/>
      <c r="Z84" s="170"/>
    </row>
    <row r="85">
      <c r="A85" s="348" t="s">
        <v>5</v>
      </c>
      <c r="B85" s="170"/>
      <c r="C85" s="170"/>
      <c r="D85" s="351" t="s">
        <v>1328</v>
      </c>
      <c r="E85" s="365" t="str">
        <f t="shared" ref="E85:J85" si="5">IFERROR(AVERAGE(SUMPRODUCT(E71:E84,$B71:$B84/100))/(SUM(OFFSET($B71,0,0,COUNT(E71:E84)))/100),"")</f>
        <v/>
      </c>
      <c r="F85" s="365" t="str">
        <f t="shared" si="5"/>
        <v/>
      </c>
      <c r="G85" s="365" t="str">
        <f t="shared" si="5"/>
        <v/>
      </c>
      <c r="H85" s="365" t="str">
        <f t="shared" si="5"/>
        <v/>
      </c>
      <c r="I85" s="365" t="str">
        <f t="shared" si="5"/>
        <v/>
      </c>
      <c r="J85" s="365" t="str">
        <f t="shared" si="5"/>
        <v/>
      </c>
      <c r="K85" s="365" t="str">
        <f t="array" ref="K85">IFERROR(100*SUMPRODUCT(IFERROR(VLOOKUP($D71:$D84,UpdateHashtag!$C:$S,6,False),"")*$B71:$B84/100)/SUMPRODUCT(IFERROR(VLOOKUP($D71:$D84,UpdateHashtag!$C:$S,17,False),"")*$B71:$B84/100),"")</f>
        <v/>
      </c>
      <c r="L85" s="365" t="str">
        <f t="array" ref="L85">IFERROR(100*SUMPRODUCT(IFERROR(VLOOKUP($D71:$D84,UpdateHashtag!$C:$T,8,False),"")*$B71:$B84/100)/SUMPRODUCT(IFERROR(VLOOKUP($D71:$D84,UpdateHashtag!$C:$T,18,False),"")*$B71:$B84/100),"")</f>
        <v/>
      </c>
      <c r="M85" s="365" t="str">
        <f>IFERROR(AVERAGE(SUMPRODUCT(M71:M84,$B71:$B84/100))/(SUM(OFFSET($B71,0,0,COUNT(M71:M84)))/100),"")</f>
        <v/>
      </c>
      <c r="N85" s="170"/>
      <c r="O85" s="170"/>
      <c r="P85" s="170"/>
      <c r="Q85" s="170"/>
      <c r="R85" s="170"/>
      <c r="S85" s="170"/>
      <c r="T85" s="170"/>
      <c r="U85" s="170"/>
      <c r="V85" s="170"/>
      <c r="W85" s="170"/>
      <c r="X85" s="170"/>
      <c r="Y85" s="170"/>
      <c r="Z85" s="170"/>
    </row>
    <row r="86">
      <c r="A86" s="170"/>
      <c r="B86" s="170"/>
      <c r="C86" s="170"/>
      <c r="D86" s="351" t="s">
        <v>1329</v>
      </c>
      <c r="E86" s="366" t="str">
        <f>IFERROR((SUM(OFFSET('All Teams'!$B71,0,0,COUNT('All Teams'!E71:E84)))/100)*('All Teams'!E85-'Final Update'!$B$1)/'Final Update'!$B$2,"")</f>
        <v/>
      </c>
      <c r="F86" s="366" t="str">
        <f>IFERROR((SUM(OFFSET('All Teams'!$B71,0,0,COUNT('All Teams'!F71:F84)))/100)*('All Teams'!F85-'Final Update'!$C$1)/'Final Update'!$C$2,"")</f>
        <v/>
      </c>
      <c r="G86" s="366" t="str">
        <f>IFERROR((SUM(OFFSET('All Teams'!$B71,0,0,COUNT('All Teams'!G71:G84)))/100)*('All Teams'!G85-'Final Update'!$D$1)/'Final Update'!$D$2,"")</f>
        <v/>
      </c>
      <c r="H86" s="366" t="str">
        <f>IFERROR((SUM(OFFSET('All Teams'!$B71,0,0,COUNT('All Teams'!H71:H84)))/100)*('All Teams'!H85-'Final Update'!$E$1)/'Final Update'!$E$2,"")</f>
        <v/>
      </c>
      <c r="I86" s="366" t="str">
        <f>IFERROR((SUM(OFFSET('All Teams'!$B71,0,0,COUNT('All Teams'!I71:I84)))/100)*('All Teams'!I85-'Final Update'!$F$1)/'Final Update'!$F$2,"")</f>
        <v/>
      </c>
      <c r="J86" s="366" t="str">
        <f>IFERROR((SUM(OFFSET('All Teams'!$B71,0,0,COUNT('All Teams'!J71:J84)))/100)*('All Teams'!J85-'Final Update'!$G$1)/'Final Update'!$G$2,"")</f>
        <v/>
      </c>
      <c r="K86" s="366">
        <f t="array" ref="K86">SUMPRODUCT(IFERROR(VLOOKUP($D71:$D84,'Final Update'!$A$4:$L$403,8,False)*$B71:$B84/100,""))</f>
        <v>0</v>
      </c>
      <c r="L86" s="366">
        <f t="array" ref="L86">SUMPRODUCT(IFERROR(VLOOKUP($D71:$D84,'Final Update'!$A$4:$L$403,10,False)*$B71:$B84/100,""))</f>
        <v>0</v>
      </c>
      <c r="M86" s="366" t="str">
        <f>IFERROR(-(SUM(OFFSET('All Teams'!$B71,0,0,COUNT('All Teams'!M71:M84)))/100)*('All Teams'!M85-'Final Update'!$L$1)/'Final Update'!$L$2,"")</f>
        <v/>
      </c>
      <c r="N86" s="170"/>
      <c r="O86" s="170"/>
      <c r="P86" s="170"/>
      <c r="Q86" s="170"/>
      <c r="R86" s="170"/>
      <c r="S86" s="170"/>
      <c r="T86" s="170"/>
      <c r="U86" s="170"/>
      <c r="V86" s="170"/>
      <c r="W86" s="170"/>
      <c r="X86" s="170"/>
      <c r="Y86" s="170"/>
      <c r="Z86" s="170"/>
    </row>
    <row r="87">
      <c r="A87" s="349">
        <v>6.0</v>
      </c>
      <c r="B87" s="350" t="s">
        <v>810</v>
      </c>
      <c r="C87" s="351" t="s">
        <v>812</v>
      </c>
      <c r="D87" s="350" t="s">
        <v>1076</v>
      </c>
      <c r="E87" s="350" t="s">
        <v>11</v>
      </c>
      <c r="F87" s="350" t="s">
        <v>51</v>
      </c>
      <c r="G87" s="350" t="s">
        <v>53</v>
      </c>
      <c r="H87" s="350" t="s">
        <v>14</v>
      </c>
      <c r="I87" s="350" t="s">
        <v>15</v>
      </c>
      <c r="J87" s="350" t="s">
        <v>16</v>
      </c>
      <c r="K87" s="350" t="s">
        <v>8</v>
      </c>
      <c r="L87" s="350" t="s">
        <v>9</v>
      </c>
      <c r="M87" s="350" t="s">
        <v>17</v>
      </c>
      <c r="N87" s="350" t="s">
        <v>4</v>
      </c>
      <c r="O87" s="350" t="s">
        <v>816</v>
      </c>
      <c r="P87" s="350" t="s">
        <v>4</v>
      </c>
      <c r="Q87" s="170"/>
      <c r="R87" s="170"/>
      <c r="S87" s="170"/>
      <c r="T87" s="170"/>
      <c r="U87" s="170"/>
      <c r="V87" s="170"/>
      <c r="W87" s="170"/>
      <c r="X87" s="170"/>
      <c r="Y87" s="170"/>
      <c r="Z87" s="170"/>
    </row>
    <row r="88">
      <c r="A88" s="170"/>
      <c r="B88" s="352">
        <f>Projections!$AJ$22</f>
        <v>100</v>
      </c>
      <c r="C88" s="353">
        <v>1.0</v>
      </c>
      <c r="D88" s="354" t="str">
        <f t="array" ref="D88">INDIRECT("Draft!D"&amp;TEXT(A87+2,"0"))</f>
        <v/>
      </c>
      <c r="E88" s="355" t="str">
        <f>IF($D88="","", VLOOKUP($D88,'Final Update'!$P$21:$AD1000,Column(G86),False))</f>
        <v/>
      </c>
      <c r="F88" s="355" t="str">
        <f>IF($D88="","", VLOOKUP($D88,'Final Update'!$P$21:$AD1000,Column(H86),False))</f>
        <v/>
      </c>
      <c r="G88" s="355" t="str">
        <f>IF($D88="","", VLOOKUP($D88,'Final Update'!$P$21:$AD1000,Column(I86),False))</f>
        <v/>
      </c>
      <c r="H88" s="355" t="str">
        <f>IF($D88="","", VLOOKUP($D88,'Final Update'!$P$21:$AD1000,Column(J86),False))</f>
        <v/>
      </c>
      <c r="I88" s="355" t="str">
        <f>IF($D88="","", VLOOKUP($D88,'Final Update'!$P$21:$AD1000,Column(K86),False))</f>
        <v/>
      </c>
      <c r="J88" s="355" t="str">
        <f>IF($D88="","", VLOOKUP($D88,'Final Update'!$P$21:$AD1000,Column(L86),False))</f>
        <v/>
      </c>
      <c r="K88" s="356" t="str">
        <f>IF($D88="","", VLOOKUP($D88,'Final Update'!$P$21:$AD1000,Column(M86),False))</f>
        <v/>
      </c>
      <c r="L88" s="356" t="str">
        <f>IF($D88="","", VLOOKUP($D88,'Final Update'!$P$21:$AD1000,Column(N86),False))</f>
        <v/>
      </c>
      <c r="M88" s="355" t="str">
        <f>IF($D88="","", VLOOKUP($D88,'Final Update'!$P$21:$AD1000,Column(O86),False))</f>
        <v/>
      </c>
      <c r="N88" s="355" t="str">
        <f>IF($D88="","", VLOOKUP($D88,'Final Update'!$P$21:$AD1000,Column(C86),False))</f>
        <v/>
      </c>
      <c r="O88" s="353">
        <f t="array" ref="O88">COUNTIF(FIND(P88,$N88:$N101),"&gt;0")</f>
        <v>0</v>
      </c>
      <c r="P88" s="354" t="s">
        <v>44</v>
      </c>
      <c r="Q88" s="170"/>
      <c r="R88" s="170"/>
      <c r="S88" s="170"/>
      <c r="T88" s="170"/>
      <c r="U88" s="170"/>
      <c r="V88" s="170"/>
      <c r="W88" s="170"/>
      <c r="X88" s="170"/>
      <c r="Y88" s="170"/>
      <c r="Z88" s="170"/>
    </row>
    <row r="89">
      <c r="A89" s="170"/>
      <c r="B89" s="352">
        <f>Projections!$AJ$23</f>
        <v>100</v>
      </c>
      <c r="C89" s="353">
        <v>2.0</v>
      </c>
      <c r="D89" s="357" t="str">
        <f t="array" ref="D89">INDIRECT("Draft!E"&amp;TEXT(15-A87,"0"))</f>
        <v/>
      </c>
      <c r="E89" s="355" t="str">
        <f>IF($D89="","", VLOOKUP($D89,'Final Update'!$P$21:$AD1000,Column(G87),False))</f>
        <v/>
      </c>
      <c r="F89" s="355" t="str">
        <f>IF($D89="","", VLOOKUP($D89,'Final Update'!$P$21:$AD1000,Column(H87),False))</f>
        <v/>
      </c>
      <c r="G89" s="355" t="str">
        <f>IF($D89="","", VLOOKUP($D89,'Final Update'!$P$21:$AD1000,Column(I87),False))</f>
        <v/>
      </c>
      <c r="H89" s="355" t="str">
        <f>IF($D89="","", VLOOKUP($D89,'Final Update'!$P$21:$AD1000,Column(J87),False))</f>
        <v/>
      </c>
      <c r="I89" s="355" t="str">
        <f>IF($D89="","", VLOOKUP($D89,'Final Update'!$P$21:$AD1000,Column(K87),False))</f>
        <v/>
      </c>
      <c r="J89" s="355" t="str">
        <f>IF($D89="","", VLOOKUP($D89,'Final Update'!$P$21:$AD1000,Column(L87),False))</f>
        <v/>
      </c>
      <c r="K89" s="356" t="str">
        <f>IF($D89="","", VLOOKUP($D89,'Final Update'!$P$21:$AD1000,Column(M87),False))</f>
        <v/>
      </c>
      <c r="L89" s="356" t="str">
        <f>IF($D89="","", VLOOKUP($D89,'Final Update'!$P$21:$AD1000,Column(N87),False))</f>
        <v/>
      </c>
      <c r="M89" s="355" t="str">
        <f>IF($D89="","", VLOOKUP($D89,'Final Update'!$P$21:$AD1000,Column(O87),False))</f>
        <v/>
      </c>
      <c r="N89" s="355" t="str">
        <f>IF($D89="","", VLOOKUP($D89,'Final Update'!$P$21:$AD1000,Column(C87),False))</f>
        <v/>
      </c>
      <c r="O89" s="353">
        <f t="array" ref="O89">COUNTIF(FIND(P89,$N88:$N101),"&gt;0")</f>
        <v>0</v>
      </c>
      <c r="P89" s="354" t="s">
        <v>71</v>
      </c>
      <c r="Q89" s="170"/>
      <c r="R89" s="170"/>
      <c r="S89" s="170"/>
      <c r="T89" s="170"/>
      <c r="U89" s="170"/>
      <c r="V89" s="170"/>
      <c r="W89" s="170"/>
      <c r="X89" s="170"/>
      <c r="Y89" s="170"/>
      <c r="Z89" s="170"/>
    </row>
    <row r="90">
      <c r="A90" s="170"/>
      <c r="B90" s="352">
        <f>Projections!$AJ$24</f>
        <v>100</v>
      </c>
      <c r="C90" s="353">
        <v>3.0</v>
      </c>
      <c r="D90" s="358" t="str">
        <f t="array" ref="D90">INDIRECT("Draft!F"&amp;TEXT(A87+2,"0"))</f>
        <v/>
      </c>
      <c r="E90" s="359" t="str">
        <f>IF($D90="","", VLOOKUP($D90,'Final Update'!$P$21:$AD1000,Column(G88),False))</f>
        <v/>
      </c>
      <c r="F90" s="359" t="str">
        <f>IF($D90="","", VLOOKUP($D90,'Final Update'!$P$21:$AD1000,Column(H88),False))</f>
        <v/>
      </c>
      <c r="G90" s="359" t="str">
        <f>IF($D90="","", VLOOKUP($D90,'Final Update'!$P$21:$AD1000,Column(I88),False))</f>
        <v/>
      </c>
      <c r="H90" s="359" t="str">
        <f>IF($D90="","", VLOOKUP($D90,'Final Update'!$P$21:$AD1000,Column(J88),False))</f>
        <v/>
      </c>
      <c r="I90" s="359" t="str">
        <f>IF($D90="","", VLOOKUP($D90,'Final Update'!$P$21:$AD1000,Column(K88),False))</f>
        <v/>
      </c>
      <c r="J90" s="359" t="str">
        <f>IF($D90="","", VLOOKUP($D90,'Final Update'!$P$21:$AD1000,Column(L88),False))</f>
        <v/>
      </c>
      <c r="K90" s="360" t="str">
        <f>IF($D90="","", VLOOKUP($D90,'Final Update'!$P$21:$AD1000,Column(M88),False))</f>
        <v/>
      </c>
      <c r="L90" s="360" t="str">
        <f>IF($D90="","", VLOOKUP($D90,'Final Update'!$P$21:$AD1000,Column(N88),False))</f>
        <v/>
      </c>
      <c r="M90" s="359" t="str">
        <f>IF($D90="","", VLOOKUP($D90,'Final Update'!$P$21:$AD1000,Column(O88),False))</f>
        <v/>
      </c>
      <c r="N90" s="359" t="str">
        <f>IF($D90="","", VLOOKUP($D90,'Final Update'!$P$21:$AD1000,Column(C88),False))</f>
        <v/>
      </c>
      <c r="O90" s="353">
        <f t="array" ref="O90">COUNTIF(FIND(P90,$N88:$N101),"&gt;0")</f>
        <v>0</v>
      </c>
      <c r="P90" s="354" t="s">
        <v>72</v>
      </c>
      <c r="Q90" s="170"/>
      <c r="R90" s="170"/>
      <c r="S90" s="170"/>
      <c r="T90" s="170"/>
      <c r="U90" s="170"/>
      <c r="V90" s="170"/>
      <c r="W90" s="170"/>
      <c r="X90" s="170"/>
      <c r="Y90" s="170"/>
      <c r="Z90" s="170"/>
    </row>
    <row r="91">
      <c r="A91" s="170"/>
      <c r="B91" s="352">
        <f>Projections!$AJ$25</f>
        <v>100</v>
      </c>
      <c r="C91" s="353">
        <v>4.0</v>
      </c>
      <c r="D91" s="361" t="str">
        <f t="array" ref="D91">INDIRECT("Draft!G"&amp;TEXT(15-A87,"0"))</f>
        <v/>
      </c>
      <c r="E91" s="359" t="str">
        <f>IF($D91="","", VLOOKUP($D91,'Final Update'!$P$21:$AD1000,Column(G89),False))</f>
        <v/>
      </c>
      <c r="F91" s="359" t="str">
        <f>IF($D91="","", VLOOKUP($D91,'Final Update'!$P$21:$AD1000,Column(H89),False))</f>
        <v/>
      </c>
      <c r="G91" s="359" t="str">
        <f>IF($D91="","", VLOOKUP($D91,'Final Update'!$P$21:$AD1000,Column(I89),False))</f>
        <v/>
      </c>
      <c r="H91" s="359" t="str">
        <f>IF($D91="","", VLOOKUP($D91,'Final Update'!$P$21:$AD1000,Column(J89),False))</f>
        <v/>
      </c>
      <c r="I91" s="359" t="str">
        <f>IF($D91="","", VLOOKUP($D91,'Final Update'!$P$21:$AD1000,Column(K89),False))</f>
        <v/>
      </c>
      <c r="J91" s="359" t="str">
        <f>IF($D91="","", VLOOKUP($D91,'Final Update'!$P$21:$AD1000,Column(L89),False))</f>
        <v/>
      </c>
      <c r="K91" s="360" t="str">
        <f>IF($D91="","", VLOOKUP($D91,'Final Update'!$P$21:$AD1000,Column(M89),False))</f>
        <v/>
      </c>
      <c r="L91" s="360" t="str">
        <f>IF($D91="","", VLOOKUP($D91,'Final Update'!$P$21:$AD1000,Column(N89),False))</f>
        <v/>
      </c>
      <c r="M91" s="359" t="str">
        <f>IF($D91="","", VLOOKUP($D91,'Final Update'!$P$21:$AD1000,Column(O89),False))</f>
        <v/>
      </c>
      <c r="N91" s="359" t="str">
        <f>IF($D91="","", VLOOKUP($D91,'Final Update'!$P$21:$AD1000,Column(C89),False))</f>
        <v/>
      </c>
      <c r="O91" s="353">
        <f t="array" ref="O91">COUNTIF(FIND(P91,$N88:$N101),"&gt;0")</f>
        <v>0</v>
      </c>
      <c r="P91" s="354" t="s">
        <v>73</v>
      </c>
      <c r="Q91" s="170"/>
      <c r="R91" s="170"/>
      <c r="S91" s="170"/>
      <c r="T91" s="170"/>
      <c r="U91" s="170"/>
      <c r="V91" s="170"/>
      <c r="W91" s="170"/>
      <c r="X91" s="170"/>
      <c r="Y91" s="170"/>
      <c r="Z91" s="170"/>
    </row>
    <row r="92">
      <c r="A92" s="170"/>
      <c r="B92" s="352">
        <f>Projections!$AJ$26</f>
        <v>100</v>
      </c>
      <c r="C92" s="353">
        <v>5.0</v>
      </c>
      <c r="D92" s="362" t="str">
        <f t="array" ref="D92">INDIRECT("Draft!H"&amp;TEXT(A87+2,"0"))</f>
        <v/>
      </c>
      <c r="E92" s="359" t="str">
        <f>IF($D92="","", VLOOKUP($D92,'Final Update'!$P$21:$AD1000,Column(G90),False))</f>
        <v/>
      </c>
      <c r="F92" s="359" t="str">
        <f>IF($D92="","", VLOOKUP($D92,'Final Update'!$P$21:$AD1000,Column(H90),False))</f>
        <v/>
      </c>
      <c r="G92" s="359" t="str">
        <f>IF($D92="","", VLOOKUP($D92,'Final Update'!$P$21:$AD1000,Column(I90),False))</f>
        <v/>
      </c>
      <c r="H92" s="359" t="str">
        <f>IF($D92="","", VLOOKUP($D92,'Final Update'!$P$21:$AD1000,Column(J90),False))</f>
        <v/>
      </c>
      <c r="I92" s="359" t="str">
        <f>IF($D92="","", VLOOKUP($D92,'Final Update'!$P$21:$AD1000,Column(K90),False))</f>
        <v/>
      </c>
      <c r="J92" s="359" t="str">
        <f>IF($D92="","", VLOOKUP($D92,'Final Update'!$P$21:$AD1000,Column(L90),False))</f>
        <v/>
      </c>
      <c r="K92" s="360" t="str">
        <f>IF($D92="","", VLOOKUP($D92,'Final Update'!$P$21:$AD1000,Column(M90),False))</f>
        <v/>
      </c>
      <c r="L92" s="360" t="str">
        <f>IF($D92="","", VLOOKUP($D92,'Final Update'!$P$21:$AD1000,Column(N90),False))</f>
        <v/>
      </c>
      <c r="M92" s="359" t="str">
        <f>IF($D92="","", VLOOKUP($D92,'Final Update'!$P$21:$AD1000,Column(O90),False))</f>
        <v/>
      </c>
      <c r="N92" s="359" t="str">
        <f>IF($D92="","", VLOOKUP($D92,'Final Update'!$P$21:$AD1000,Column(C90),False))</f>
        <v/>
      </c>
      <c r="O92" s="353">
        <f t="array" ref="O92">COUNTIF(FIND(P92,$N88:$N101),"&gt;0")</f>
        <v>0</v>
      </c>
      <c r="P92" s="354" t="s">
        <v>34</v>
      </c>
      <c r="Q92" s="170"/>
      <c r="R92" s="170"/>
      <c r="S92" s="170"/>
      <c r="T92" s="170"/>
      <c r="U92" s="170"/>
      <c r="V92" s="170"/>
      <c r="W92" s="170"/>
      <c r="X92" s="170"/>
      <c r="Y92" s="170"/>
      <c r="Z92" s="170"/>
    </row>
    <row r="93">
      <c r="A93" s="170"/>
      <c r="B93" s="352">
        <f>Projections!$AJ$27</f>
        <v>100</v>
      </c>
      <c r="C93" s="353">
        <v>6.0</v>
      </c>
      <c r="D93" s="363" t="str">
        <f t="array" ref="D93">INDIRECT("Draft!I"&amp;TEXT(15-A87,"0"))</f>
        <v/>
      </c>
      <c r="E93" s="359" t="str">
        <f>IF($D93="","", VLOOKUP($D93,'Final Update'!$P$21:$AD1000,Column(G91),False))</f>
        <v/>
      </c>
      <c r="F93" s="359" t="str">
        <f>IF($D93="","", VLOOKUP($D93,'Final Update'!$P$21:$AD1000,Column(H91),False))</f>
        <v/>
      </c>
      <c r="G93" s="359" t="str">
        <f>IF($D93="","", VLOOKUP($D93,'Final Update'!$P$21:$AD1000,Column(I91),False))</f>
        <v/>
      </c>
      <c r="H93" s="359" t="str">
        <f>IF($D93="","", VLOOKUP($D93,'Final Update'!$P$21:$AD1000,Column(J91),False))</f>
        <v/>
      </c>
      <c r="I93" s="359" t="str">
        <f>IF($D93="","", VLOOKUP($D93,'Final Update'!$P$21:$AD1000,Column(K91),False))</f>
        <v/>
      </c>
      <c r="J93" s="359" t="str">
        <f>IF($D93="","", VLOOKUP($D93,'Final Update'!$P$21:$AD1000,Column(L91),False))</f>
        <v/>
      </c>
      <c r="K93" s="360" t="str">
        <f>IF($D93="","", VLOOKUP($D93,'Final Update'!$P$21:$AD1000,Column(M91),False))</f>
        <v/>
      </c>
      <c r="L93" s="360" t="str">
        <f>IF($D93="","", VLOOKUP($D93,'Final Update'!$P$21:$AD1000,Column(N91),False))</f>
        <v/>
      </c>
      <c r="M93" s="359" t="str">
        <f>IF($D93="","", VLOOKUP($D93,'Final Update'!$P$21:$AD1000,Column(O91),False))</f>
        <v/>
      </c>
      <c r="N93" s="359" t="str">
        <f>IF($D93="","", VLOOKUP($D93,'Final Update'!$P$21:$AD1000,Column(C91),False))</f>
        <v/>
      </c>
      <c r="O93" s="170"/>
      <c r="P93" s="170"/>
      <c r="Q93" s="170"/>
      <c r="R93" s="170"/>
      <c r="S93" s="170"/>
      <c r="T93" s="170"/>
      <c r="U93" s="170"/>
      <c r="V93" s="170"/>
      <c r="W93" s="170"/>
      <c r="X93" s="170"/>
      <c r="Y93" s="170"/>
      <c r="Z93" s="170"/>
    </row>
    <row r="94">
      <c r="A94" s="170"/>
      <c r="B94" s="352">
        <f>Projections!$AJ$28</f>
        <v>100</v>
      </c>
      <c r="C94" s="353">
        <v>7.0</v>
      </c>
      <c r="D94" s="362" t="str">
        <f t="array" ref="D94">INDIRECT("Draft!J"&amp;TEXT(A87+2,"0"))</f>
        <v/>
      </c>
      <c r="E94" s="359" t="str">
        <f>IF($D94="","", VLOOKUP($D94,'Final Update'!$P$21:$AD1000,Column(G92),False))</f>
        <v/>
      </c>
      <c r="F94" s="359" t="str">
        <f>IF($D94="","", VLOOKUP($D94,'Final Update'!$P$21:$AD1000,Column(H92),False))</f>
        <v/>
      </c>
      <c r="G94" s="359" t="str">
        <f>IF($D94="","", VLOOKUP($D94,'Final Update'!$P$21:$AD1000,Column(I92),False))</f>
        <v/>
      </c>
      <c r="H94" s="359" t="str">
        <f>IF($D94="","", VLOOKUP($D94,'Final Update'!$P$21:$AD1000,Column(J92),False))</f>
        <v/>
      </c>
      <c r="I94" s="359" t="str">
        <f>IF($D94="","", VLOOKUP($D94,'Final Update'!$P$21:$AD1000,Column(K92),False))</f>
        <v/>
      </c>
      <c r="J94" s="359" t="str">
        <f>IF($D94="","", VLOOKUP($D94,'Final Update'!$P$21:$AD1000,Column(L92),False))</f>
        <v/>
      </c>
      <c r="K94" s="360" t="str">
        <f>IF($D94="","", VLOOKUP($D94,'Final Update'!$P$21:$AD1000,Column(M92),False))</f>
        <v/>
      </c>
      <c r="L94" s="360" t="str">
        <f>IF($D94="","", VLOOKUP($D94,'Final Update'!$P$21:$AD1000,Column(N92),False))</f>
        <v/>
      </c>
      <c r="M94" s="359" t="str">
        <f>IF($D94="","", VLOOKUP($D94,'Final Update'!$P$21:$AD1000,Column(O92),False))</f>
        <v/>
      </c>
      <c r="N94" s="359" t="str">
        <f>IF($D94="","", VLOOKUP($D94,'Final Update'!$P$21:$AD1000,Column(C92),False))</f>
        <v/>
      </c>
      <c r="O94" s="170"/>
      <c r="P94" s="170"/>
      <c r="Q94" s="170"/>
      <c r="R94" s="170"/>
      <c r="S94" s="170"/>
      <c r="T94" s="170"/>
      <c r="U94" s="170"/>
      <c r="V94" s="170"/>
      <c r="W94" s="170"/>
      <c r="X94" s="170"/>
      <c r="Y94" s="170"/>
      <c r="Z94" s="170"/>
    </row>
    <row r="95">
      <c r="A95" s="170"/>
      <c r="B95" s="352">
        <f>Projections!$AJ$29</f>
        <v>100</v>
      </c>
      <c r="C95" s="353">
        <v>8.0</v>
      </c>
      <c r="D95" s="363" t="str">
        <f t="array" ref="D95">INDIRECT("Draft!K"&amp;TEXT(15-A87,"0"))</f>
        <v/>
      </c>
      <c r="E95" s="359" t="str">
        <f>IF($D95="","", VLOOKUP($D95,'Final Update'!$P$21:$AD1000,Column(G93),False))</f>
        <v/>
      </c>
      <c r="F95" s="359" t="str">
        <f>IF($D95="","", VLOOKUP($D95,'Final Update'!$P$21:$AD1000,Column(H93),False))</f>
        <v/>
      </c>
      <c r="G95" s="359" t="str">
        <f>IF($D95="","", VLOOKUP($D95,'Final Update'!$P$21:$AD1000,Column(I93),False))</f>
        <v/>
      </c>
      <c r="H95" s="359" t="str">
        <f>IF($D95="","", VLOOKUP($D95,'Final Update'!$P$21:$AD1000,Column(J93),False))</f>
        <v/>
      </c>
      <c r="I95" s="359" t="str">
        <f>IF($D95="","", VLOOKUP($D95,'Final Update'!$P$21:$AD1000,Column(K93),False))</f>
        <v/>
      </c>
      <c r="J95" s="359" t="str">
        <f>IF($D95="","", VLOOKUP($D95,'Final Update'!$P$21:$AD1000,Column(L93),False))</f>
        <v/>
      </c>
      <c r="K95" s="360" t="str">
        <f>IF($D95="","", VLOOKUP($D95,'Final Update'!$P$21:$AD1000,Column(M93),False))</f>
        <v/>
      </c>
      <c r="L95" s="360" t="str">
        <f>IF($D95="","", VLOOKUP($D95,'Final Update'!$P$21:$AD1000,Column(N93),False))</f>
        <v/>
      </c>
      <c r="M95" s="359" t="str">
        <f>IF($D95="","", VLOOKUP($D95,'Final Update'!$P$21:$AD1000,Column(O93),False))</f>
        <v/>
      </c>
      <c r="N95" s="359" t="str">
        <f>IF($D95="","", VLOOKUP($D95,'Final Update'!$P$21:$AD1000,Column(C93),False))</f>
        <v/>
      </c>
      <c r="O95" s="170"/>
      <c r="P95" s="170"/>
      <c r="Q95" s="170"/>
      <c r="R95" s="170"/>
      <c r="S95" s="170"/>
      <c r="T95" s="170"/>
      <c r="U95" s="170"/>
      <c r="V95" s="170"/>
      <c r="W95" s="170"/>
      <c r="X95" s="170"/>
      <c r="Y95" s="170"/>
      <c r="Z95" s="170"/>
    </row>
    <row r="96">
      <c r="A96" s="170"/>
      <c r="B96" s="352">
        <f>Projections!$AJ$30</f>
        <v>100</v>
      </c>
      <c r="C96" s="353">
        <v>9.0</v>
      </c>
      <c r="D96" s="362" t="str">
        <f t="array" ref="D96">INDIRECT("Draft!L"&amp;TEXT(A87+2,"0"))</f>
        <v/>
      </c>
      <c r="E96" s="359" t="str">
        <f>IF($D96="","", VLOOKUP($D96,'Final Update'!$P$21:$AD1000,Column(G94),False))</f>
        <v/>
      </c>
      <c r="F96" s="359" t="str">
        <f>IF($D96="","", VLOOKUP($D96,'Final Update'!$P$21:$AD1000,Column(H94),False))</f>
        <v/>
      </c>
      <c r="G96" s="359" t="str">
        <f>IF($D96="","", VLOOKUP($D96,'Final Update'!$P$21:$AD1000,Column(I94),False))</f>
        <v/>
      </c>
      <c r="H96" s="359" t="str">
        <f>IF($D96="","", VLOOKUP($D96,'Final Update'!$P$21:$AD1000,Column(J94),False))</f>
        <v/>
      </c>
      <c r="I96" s="359" t="str">
        <f>IF($D96="","", VLOOKUP($D96,'Final Update'!$P$21:$AD1000,Column(K94),False))</f>
        <v/>
      </c>
      <c r="J96" s="359" t="str">
        <f>IF($D96="","", VLOOKUP($D96,'Final Update'!$P$21:$AD1000,Column(L94),False))</f>
        <v/>
      </c>
      <c r="K96" s="360" t="str">
        <f>IF($D96="","", VLOOKUP($D96,'Final Update'!$P$21:$AD1000,Column(M94),False))</f>
        <v/>
      </c>
      <c r="L96" s="360" t="str">
        <f>IF($D96="","", VLOOKUP($D96,'Final Update'!$P$21:$AD1000,Column(N94),False))</f>
        <v/>
      </c>
      <c r="M96" s="359" t="str">
        <f>IF($D96="","", VLOOKUP($D96,'Final Update'!$P$21:$AD1000,Column(O94),False))</f>
        <v/>
      </c>
      <c r="N96" s="359" t="str">
        <f>IF($D96="","", VLOOKUP($D96,'Final Update'!$P$21:$AD1000,Column(C94),False))</f>
        <v/>
      </c>
      <c r="O96" s="170"/>
      <c r="P96" s="170"/>
      <c r="Q96" s="170"/>
      <c r="R96" s="170"/>
      <c r="S96" s="170"/>
      <c r="T96" s="170"/>
      <c r="U96" s="170"/>
      <c r="V96" s="170"/>
      <c r="W96" s="170"/>
      <c r="X96" s="170"/>
      <c r="Y96" s="170"/>
      <c r="Z96" s="170"/>
    </row>
    <row r="97">
      <c r="A97" s="170"/>
      <c r="B97" s="352">
        <f>Projections!$AJ$31</f>
        <v>100</v>
      </c>
      <c r="C97" s="353">
        <v>10.0</v>
      </c>
      <c r="D97" s="363" t="str">
        <f t="array" ref="D97">INDIRECT("Draft!M"&amp;TEXT(15-A87,"0"))</f>
        <v/>
      </c>
      <c r="E97" s="359" t="str">
        <f>IF($D97="","", VLOOKUP($D97,'Final Update'!$P$21:$AD1000,Column(G95),False))</f>
        <v/>
      </c>
      <c r="F97" s="359" t="str">
        <f>IF($D97="","", VLOOKUP($D97,'Final Update'!$P$21:$AD1000,Column(H95),False))</f>
        <v/>
      </c>
      <c r="G97" s="359" t="str">
        <f>IF($D97="","", VLOOKUP($D97,'Final Update'!$P$21:$AD1000,Column(I95),False))</f>
        <v/>
      </c>
      <c r="H97" s="359" t="str">
        <f>IF($D97="","", VLOOKUP($D97,'Final Update'!$P$21:$AD1000,Column(J95),False))</f>
        <v/>
      </c>
      <c r="I97" s="359" t="str">
        <f>IF($D97="","", VLOOKUP($D97,'Final Update'!$P$21:$AD1000,Column(K95),False))</f>
        <v/>
      </c>
      <c r="J97" s="359" t="str">
        <f>IF($D97="","", VLOOKUP($D97,'Final Update'!$P$21:$AD1000,Column(L95),False))</f>
        <v/>
      </c>
      <c r="K97" s="360" t="str">
        <f>IF($D97="","", VLOOKUP($D97,'Final Update'!$P$21:$AD1000,Column(M95),False))</f>
        <v/>
      </c>
      <c r="L97" s="360" t="str">
        <f>IF($D97="","", VLOOKUP($D97,'Final Update'!$P$21:$AD1000,Column(N95),False))</f>
        <v/>
      </c>
      <c r="M97" s="359" t="str">
        <f>IF($D97="","", VLOOKUP($D97,'Final Update'!$P$21:$AD1000,Column(O95),False))</f>
        <v/>
      </c>
      <c r="N97" s="359" t="str">
        <f>IF($D97="","", VLOOKUP($D97,'Final Update'!$P$21:$AD1000,Column(C95),False))</f>
        <v/>
      </c>
      <c r="O97" s="170"/>
      <c r="P97" s="170"/>
      <c r="Q97" s="170"/>
      <c r="R97" s="170"/>
      <c r="S97" s="170"/>
      <c r="T97" s="170"/>
      <c r="U97" s="170"/>
      <c r="V97" s="170"/>
      <c r="W97" s="170"/>
      <c r="X97" s="170"/>
      <c r="Y97" s="170"/>
      <c r="Z97" s="170"/>
    </row>
    <row r="98">
      <c r="A98" s="170"/>
      <c r="B98" s="352">
        <f>Projections!$AJ$32</f>
        <v>100</v>
      </c>
      <c r="C98" s="353">
        <v>11.0</v>
      </c>
      <c r="D98" s="362" t="str">
        <f t="array" ref="D98">INDIRECT("Draft!N"&amp;TEXT(A87+2,"0"))</f>
        <v/>
      </c>
      <c r="E98" s="359" t="str">
        <f>IF($D98="","", VLOOKUP($D98,'Final Update'!$P$21:$AD1000,Column(G96),False))</f>
        <v/>
      </c>
      <c r="F98" s="359" t="str">
        <f>IF($D98="","", VLOOKUP($D98,'Final Update'!$P$21:$AD1000,Column(H96),False))</f>
        <v/>
      </c>
      <c r="G98" s="359" t="str">
        <f>IF($D98="","", VLOOKUP($D98,'Final Update'!$P$21:$AD1000,Column(I96),False))</f>
        <v/>
      </c>
      <c r="H98" s="359" t="str">
        <f>IF($D98="","", VLOOKUP($D98,'Final Update'!$P$21:$AD1000,Column(J96),False))</f>
        <v/>
      </c>
      <c r="I98" s="359" t="str">
        <f>IF($D98="","", VLOOKUP($D98,'Final Update'!$P$21:$AD1000,Column(K96),False))</f>
        <v/>
      </c>
      <c r="J98" s="359" t="str">
        <f>IF($D98="","", VLOOKUP($D98,'Final Update'!$P$21:$AD1000,Column(L96),False))</f>
        <v/>
      </c>
      <c r="K98" s="360" t="str">
        <f>IF($D98="","", VLOOKUP($D98,'Final Update'!$P$21:$AD1000,Column(M96),False))</f>
        <v/>
      </c>
      <c r="L98" s="360" t="str">
        <f>IF($D98="","", VLOOKUP($D98,'Final Update'!$P$21:$AD1000,Column(N96),False))</f>
        <v/>
      </c>
      <c r="M98" s="359" t="str">
        <f>IF($D98="","", VLOOKUP($D98,'Final Update'!$P$21:$AD1000,Column(O96),False))</f>
        <v/>
      </c>
      <c r="N98" s="359" t="str">
        <f>IF($D98="","", VLOOKUP($D98,'Final Update'!$P$21:$AD1000,Column(C96),False))</f>
        <v/>
      </c>
      <c r="O98" s="170"/>
      <c r="P98" s="170"/>
      <c r="Q98" s="170"/>
      <c r="R98" s="170"/>
      <c r="S98" s="170"/>
      <c r="T98" s="170"/>
      <c r="U98" s="170"/>
      <c r="V98" s="170"/>
      <c r="W98" s="170"/>
      <c r="X98" s="170"/>
      <c r="Y98" s="170"/>
      <c r="Z98" s="170"/>
    </row>
    <row r="99">
      <c r="A99" s="170"/>
      <c r="B99" s="352">
        <f>Projections!$AJ$33</f>
        <v>100</v>
      </c>
      <c r="C99" s="353">
        <v>12.0</v>
      </c>
      <c r="D99" s="363" t="str">
        <f t="array" ref="D99">INDIRECT("Draft!O"&amp;TEXT(15-A87,"0"))</f>
        <v/>
      </c>
      <c r="E99" s="359" t="str">
        <f>IF($D99="","", VLOOKUP($D99,'Final Update'!$P$21:$AD1000,Column(G97),False))</f>
        <v/>
      </c>
      <c r="F99" s="359" t="str">
        <f>IF($D99="","", VLOOKUP($D99,'Final Update'!$P$21:$AD1000,Column(H97),False))</f>
        <v/>
      </c>
      <c r="G99" s="359" t="str">
        <f>IF($D99="","", VLOOKUP($D99,'Final Update'!$P$21:$AD1000,Column(I97),False))</f>
        <v/>
      </c>
      <c r="H99" s="359" t="str">
        <f>IF($D99="","", VLOOKUP($D99,'Final Update'!$P$21:$AD1000,Column(J97),False))</f>
        <v/>
      </c>
      <c r="I99" s="359" t="str">
        <f>IF($D99="","", VLOOKUP($D99,'Final Update'!$P$21:$AD1000,Column(K97),False))</f>
        <v/>
      </c>
      <c r="J99" s="359" t="str">
        <f>IF($D99="","", VLOOKUP($D99,'Final Update'!$P$21:$AD1000,Column(L97),False))</f>
        <v/>
      </c>
      <c r="K99" s="360" t="str">
        <f>IF($D99="","", VLOOKUP($D99,'Final Update'!$P$21:$AD1000,Column(M97),False))</f>
        <v/>
      </c>
      <c r="L99" s="360" t="str">
        <f>IF($D99="","", VLOOKUP($D99,'Final Update'!$P$21:$AD1000,Column(N97),False))</f>
        <v/>
      </c>
      <c r="M99" s="359" t="str">
        <f>IF($D99="","", VLOOKUP($D99,'Final Update'!$P$21:$AD1000,Column(O97),False))</f>
        <v/>
      </c>
      <c r="N99" s="359" t="str">
        <f>IF($D99="","", VLOOKUP($D99,'Final Update'!$P$21:$AD1000,Column(C97),False))</f>
        <v/>
      </c>
      <c r="O99" s="170"/>
      <c r="P99" s="170"/>
      <c r="Q99" s="170"/>
      <c r="R99" s="170"/>
      <c r="S99" s="170"/>
      <c r="T99" s="170"/>
      <c r="U99" s="170"/>
      <c r="V99" s="170"/>
      <c r="W99" s="170"/>
      <c r="X99" s="170"/>
      <c r="Y99" s="170"/>
      <c r="Z99" s="170"/>
    </row>
    <row r="100">
      <c r="A100" s="170"/>
      <c r="B100" s="405">
        <v>75.0</v>
      </c>
      <c r="C100" s="353">
        <v>13.0</v>
      </c>
      <c r="D100" s="362" t="str">
        <f t="array" ref="D100">INDIRECT("Draft!P"&amp;TEXT(A87+2,"0"))</f>
        <v/>
      </c>
      <c r="E100" s="359" t="str">
        <f>IF($D100="","", VLOOKUP($D100,'Final Update'!$P$21:$AD1000,Column(G98),False))</f>
        <v/>
      </c>
      <c r="F100" s="359" t="str">
        <f>IF($D100="","", VLOOKUP($D100,'Final Update'!$P$21:$AD1000,Column(H98),False))</f>
        <v/>
      </c>
      <c r="G100" s="359" t="str">
        <f>IF($D100="","", VLOOKUP($D100,'Final Update'!$P$21:$AD1000,Column(I98),False))</f>
        <v/>
      </c>
      <c r="H100" s="359" t="str">
        <f>IF($D100="","", VLOOKUP($D100,'Final Update'!$P$21:$AD1000,Column(J98),False))</f>
        <v/>
      </c>
      <c r="I100" s="359" t="str">
        <f>IF($D100="","", VLOOKUP($D100,'Final Update'!$P$21:$AD1000,Column(K98),False))</f>
        <v/>
      </c>
      <c r="J100" s="359" t="str">
        <f>IF($D100="","", VLOOKUP($D100,'Final Update'!$P$21:$AD1000,Column(L98),False))</f>
        <v/>
      </c>
      <c r="K100" s="360" t="str">
        <f>IF($D100="","", VLOOKUP($D100,'Final Update'!$P$21:$AD1000,Column(M98),False))</f>
        <v/>
      </c>
      <c r="L100" s="360" t="str">
        <f>IF($D100="","", VLOOKUP($D100,'Final Update'!$P$21:$AD1000,Column(N98),False))</f>
        <v/>
      </c>
      <c r="M100" s="359" t="str">
        <f>IF($D100="","", VLOOKUP($D100,'Final Update'!$P$21:$AD1000,Column(O98),False))</f>
        <v/>
      </c>
      <c r="N100" s="359" t="str">
        <f>IF($D100="","", VLOOKUP($D100,'Final Update'!$P$21:$AD1000,Column(C98),False))</f>
        <v/>
      </c>
      <c r="O100" s="170"/>
      <c r="P100" s="170"/>
      <c r="Q100" s="170"/>
      <c r="R100" s="170"/>
      <c r="S100" s="170"/>
      <c r="T100" s="170"/>
      <c r="U100" s="170"/>
      <c r="V100" s="170"/>
      <c r="W100" s="170"/>
      <c r="X100" s="170"/>
      <c r="Y100" s="170"/>
      <c r="Z100" s="170"/>
    </row>
    <row r="101">
      <c r="A101" s="170"/>
      <c r="B101" s="352">
        <f>Projections!$AJ$35</f>
        <v>50</v>
      </c>
      <c r="C101" s="353">
        <v>14.0</v>
      </c>
      <c r="D101" s="363" t="str">
        <f t="array" ref="D101">INDIRECT("Draft!Q"&amp;TEXT(15-A87,"0"))</f>
        <v/>
      </c>
      <c r="E101" s="359" t="str">
        <f>IF($D101="","", VLOOKUP($D101,'Final Update'!$P$21:$AD1000,Column(G99),False))</f>
        <v/>
      </c>
      <c r="F101" s="359" t="str">
        <f>IF($D101="","", VLOOKUP($D101,'Final Update'!$P$21:$AD1000,Column(H99),False))</f>
        <v/>
      </c>
      <c r="G101" s="359" t="str">
        <f>IF($D101="","", VLOOKUP($D101,'Final Update'!$P$21:$AD1000,Column(I99),False))</f>
        <v/>
      </c>
      <c r="H101" s="359" t="str">
        <f>IF($D101="","", VLOOKUP($D101,'Final Update'!$P$21:$AD1000,Column(J99),False))</f>
        <v/>
      </c>
      <c r="I101" s="359" t="str">
        <f>IF($D101="","", VLOOKUP($D101,'Final Update'!$P$21:$AD1000,Column(K99),False))</f>
        <v/>
      </c>
      <c r="J101" s="359" t="str">
        <f>IF($D101="","", VLOOKUP($D101,'Final Update'!$P$21:$AD1000,Column(L99),False))</f>
        <v/>
      </c>
      <c r="K101" s="360" t="str">
        <f>IF($D101="","", VLOOKUP($D101,'Final Update'!$P$21:$AD1000,Column(M99),False))</f>
        <v/>
      </c>
      <c r="L101" s="360" t="str">
        <f>IF($D101="","", VLOOKUP($D101,'Final Update'!$P$21:$AD1000,Column(N99),False))</f>
        <v/>
      </c>
      <c r="M101" s="359" t="str">
        <f>IF($D101="","", VLOOKUP($D101,'Final Update'!$P$21:$AD1000,Column(O99),False))</f>
        <v/>
      </c>
      <c r="N101" s="359" t="str">
        <f>IF($D101="","", VLOOKUP($D101,'Final Update'!$P$21:$AD1000,Column(C99),False))</f>
        <v/>
      </c>
      <c r="O101" s="170"/>
      <c r="P101" s="170"/>
      <c r="Q101" s="170"/>
      <c r="R101" s="170"/>
      <c r="S101" s="170"/>
      <c r="T101" s="170"/>
      <c r="U101" s="170"/>
      <c r="V101" s="170"/>
      <c r="W101" s="170"/>
      <c r="X101" s="170"/>
      <c r="Y101" s="170"/>
      <c r="Z101" s="170"/>
    </row>
    <row r="102">
      <c r="A102" s="348" t="s">
        <v>5</v>
      </c>
      <c r="B102" s="170"/>
      <c r="C102" s="170"/>
      <c r="D102" s="351" t="s">
        <v>1328</v>
      </c>
      <c r="E102" s="365" t="str">
        <f t="shared" ref="E102:J102" si="6">IFERROR(AVERAGE(SUMPRODUCT(E88:E101,$B88:$B101/100))/(SUM(OFFSET($B88,0,0,COUNT(E88:E101)))/100),"")</f>
        <v/>
      </c>
      <c r="F102" s="365" t="str">
        <f t="shared" si="6"/>
        <v/>
      </c>
      <c r="G102" s="365" t="str">
        <f t="shared" si="6"/>
        <v/>
      </c>
      <c r="H102" s="365" t="str">
        <f t="shared" si="6"/>
        <v/>
      </c>
      <c r="I102" s="365" t="str">
        <f t="shared" si="6"/>
        <v/>
      </c>
      <c r="J102" s="365" t="str">
        <f t="shared" si="6"/>
        <v/>
      </c>
      <c r="K102" s="365" t="str">
        <f t="array" ref="K102">IFERROR(100*SUMPRODUCT(IFERROR(VLOOKUP($D88:$D101,UpdateHashtag!$C:$S,6,False),"")*$B88:$B101/100)/SUMPRODUCT(IFERROR(VLOOKUP($D88:$D101,UpdateHashtag!$C:$S,17,False),"")*$B88:$B101/100),"")</f>
        <v/>
      </c>
      <c r="L102" s="365" t="str">
        <f t="array" ref="L102">IFERROR(100*SUMPRODUCT(IFERROR(VLOOKUP($D88:$D101,UpdateHashtag!$C:$T,8,False),"")*$B88:$B101/100)/SUMPRODUCT(IFERROR(VLOOKUP($D88:$D101,UpdateHashtag!$C:$T,18,False),"")*$B88:$B101/100),"")</f>
        <v/>
      </c>
      <c r="M102" s="365" t="str">
        <f>IFERROR(AVERAGE(SUMPRODUCT(M88:M101,$B88:$B101/100))/(SUM(OFFSET($B88,0,0,COUNT(M88:M101)))/100),"")</f>
        <v/>
      </c>
      <c r="N102" s="170"/>
      <c r="O102" s="170"/>
      <c r="P102" s="170"/>
      <c r="Q102" s="170"/>
      <c r="R102" s="170"/>
      <c r="S102" s="170"/>
      <c r="T102" s="170"/>
      <c r="U102" s="170"/>
      <c r="V102" s="170"/>
      <c r="W102" s="170"/>
      <c r="X102" s="170"/>
      <c r="Y102" s="170"/>
      <c r="Z102" s="170"/>
    </row>
    <row r="103">
      <c r="A103" s="170"/>
      <c r="B103" s="170"/>
      <c r="C103" s="170"/>
      <c r="D103" s="351" t="s">
        <v>1329</v>
      </c>
      <c r="E103" s="366" t="str">
        <f>IFERROR((SUM(OFFSET('All Teams'!$B88,0,0,COUNT('All Teams'!E88:E101)))/100)*('All Teams'!E102-'Final Update'!$B$1)/'Final Update'!$B$2,"")</f>
        <v/>
      </c>
      <c r="F103" s="366" t="str">
        <f>IFERROR((SUM(OFFSET('All Teams'!$B88,0,0,COUNT('All Teams'!F88:F101)))/100)*('All Teams'!F102-'Final Update'!$C$1)/'Final Update'!$C$2,"")</f>
        <v/>
      </c>
      <c r="G103" s="366" t="str">
        <f>IFERROR((SUM(OFFSET('All Teams'!$B88,0,0,COUNT('All Teams'!G88:G101)))/100)*('All Teams'!G102-'Final Update'!$D$1)/'Final Update'!$D$2,"")</f>
        <v/>
      </c>
      <c r="H103" s="366" t="str">
        <f>IFERROR((SUM(OFFSET('All Teams'!$B88,0,0,COUNT('All Teams'!H88:H101)))/100)*('All Teams'!H102-'Final Update'!$E$1)/'Final Update'!$E$2,"")</f>
        <v/>
      </c>
      <c r="I103" s="366" t="str">
        <f>IFERROR((SUM(OFFSET('All Teams'!$B88,0,0,COUNT('All Teams'!I88:I101)))/100)*('All Teams'!I102-'Final Update'!$F$1)/'Final Update'!$F$2,"")</f>
        <v/>
      </c>
      <c r="J103" s="366" t="str">
        <f>IFERROR((SUM(OFFSET('All Teams'!$B88,0,0,COUNT('All Teams'!J88:J101)))/100)*('All Teams'!J102-'Final Update'!$G$1)/'Final Update'!$G$2,"")</f>
        <v/>
      </c>
      <c r="K103" s="366">
        <f t="array" ref="K103">SUMPRODUCT(IFERROR(VLOOKUP($D88:$D101,'Final Update'!$A$4:$L$403,8,False)*$B88:$B101/100,""))</f>
        <v>0</v>
      </c>
      <c r="L103" s="366">
        <f t="array" ref="L103">SUMPRODUCT(IFERROR(VLOOKUP($D88:$D101,'Final Update'!$A$4:$L$403,10,False)*$B88:$B101/100,""))</f>
        <v>0</v>
      </c>
      <c r="M103" s="366" t="str">
        <f>IFERROR(-(SUM(OFFSET('All Teams'!$B88,0,0,COUNT('All Teams'!M88:M101)))/100)*('All Teams'!M102-'Final Update'!$L$1)/'Final Update'!$L$2,"")</f>
        <v/>
      </c>
      <c r="N103" s="170"/>
      <c r="O103" s="170"/>
      <c r="P103" s="170"/>
      <c r="Q103" s="170"/>
      <c r="R103" s="170"/>
      <c r="S103" s="170"/>
      <c r="T103" s="170"/>
      <c r="U103" s="170"/>
      <c r="V103" s="170"/>
      <c r="W103" s="170"/>
      <c r="X103" s="170"/>
      <c r="Y103" s="170"/>
      <c r="Z103" s="170"/>
    </row>
    <row r="104">
      <c r="A104" s="349">
        <v>7.0</v>
      </c>
      <c r="B104" s="350" t="s">
        <v>810</v>
      </c>
      <c r="C104" s="351" t="s">
        <v>812</v>
      </c>
      <c r="D104" s="350" t="s">
        <v>1076</v>
      </c>
      <c r="E104" s="350" t="s">
        <v>11</v>
      </c>
      <c r="F104" s="350" t="s">
        <v>51</v>
      </c>
      <c r="G104" s="350" t="s">
        <v>53</v>
      </c>
      <c r="H104" s="350" t="s">
        <v>14</v>
      </c>
      <c r="I104" s="350" t="s">
        <v>15</v>
      </c>
      <c r="J104" s="350" t="s">
        <v>16</v>
      </c>
      <c r="K104" s="350" t="s">
        <v>8</v>
      </c>
      <c r="L104" s="350" t="s">
        <v>9</v>
      </c>
      <c r="M104" s="350" t="s">
        <v>17</v>
      </c>
      <c r="N104" s="350" t="s">
        <v>4</v>
      </c>
      <c r="O104" s="350" t="s">
        <v>816</v>
      </c>
      <c r="P104" s="350" t="s">
        <v>4</v>
      </c>
      <c r="Q104" s="170"/>
      <c r="R104" s="170"/>
      <c r="S104" s="170"/>
      <c r="T104" s="170"/>
      <c r="U104" s="170"/>
      <c r="V104" s="170"/>
      <c r="W104" s="170"/>
      <c r="X104" s="170"/>
      <c r="Y104" s="170"/>
      <c r="Z104" s="170"/>
    </row>
    <row r="105">
      <c r="A105" s="170"/>
      <c r="B105" s="352">
        <f>Projections!$AJ$22</f>
        <v>100</v>
      </c>
      <c r="C105" s="353">
        <v>1.0</v>
      </c>
      <c r="D105" s="354" t="str">
        <f t="array" ref="D105">INDIRECT("Draft!D"&amp;TEXT(A104+2,"0"))</f>
        <v/>
      </c>
      <c r="E105" s="355" t="str">
        <f>IF($D105="","", VLOOKUP($D105,'Final Update'!$P$21:$AD1000,Column(G103),False))</f>
        <v/>
      </c>
      <c r="F105" s="355" t="str">
        <f>IF($D105="","", VLOOKUP($D105,'Final Update'!$P$21:$AD1000,Column(H103),False))</f>
        <v/>
      </c>
      <c r="G105" s="355" t="str">
        <f>IF($D105="","", VLOOKUP($D105,'Final Update'!$P$21:$AD1000,Column(I103),False))</f>
        <v/>
      </c>
      <c r="H105" s="355" t="str">
        <f>IF($D105="","", VLOOKUP($D105,'Final Update'!$P$21:$AD1000,Column(J103),False))</f>
        <v/>
      </c>
      <c r="I105" s="355" t="str">
        <f>IF($D105="","", VLOOKUP($D105,'Final Update'!$P$21:$AD1000,Column(K103),False))</f>
        <v/>
      </c>
      <c r="J105" s="355" t="str">
        <f>IF($D105="","", VLOOKUP($D105,'Final Update'!$P$21:$AD1000,Column(L103),False))</f>
        <v/>
      </c>
      <c r="K105" s="356" t="str">
        <f>IF($D105="","", VLOOKUP($D105,'Final Update'!$P$21:$AD1000,Column(M103),False))</f>
        <v/>
      </c>
      <c r="L105" s="356" t="str">
        <f>IF($D105="","", VLOOKUP($D105,'Final Update'!$P$21:$AD1000,Column(N103),False))</f>
        <v/>
      </c>
      <c r="M105" s="355" t="str">
        <f>IF($D105="","", VLOOKUP($D105,'Final Update'!$P$21:$AD1000,Column(O103),False))</f>
        <v/>
      </c>
      <c r="N105" s="355" t="str">
        <f>IF($D105="","", VLOOKUP($D105,'Final Update'!$P$21:$AD1000,Column(C103),False))</f>
        <v/>
      </c>
      <c r="O105" s="353">
        <f t="array" ref="O105">COUNTIF(FIND(P105,$N105:$N118),"&gt;0")</f>
        <v>0</v>
      </c>
      <c r="P105" s="354" t="s">
        <v>44</v>
      </c>
      <c r="Q105" s="170"/>
      <c r="R105" s="170"/>
      <c r="S105" s="170"/>
      <c r="T105" s="170"/>
      <c r="U105" s="170"/>
      <c r="V105" s="170"/>
      <c r="W105" s="170"/>
      <c r="X105" s="170"/>
      <c r="Y105" s="170"/>
      <c r="Z105" s="170"/>
    </row>
    <row r="106">
      <c r="A106" s="170"/>
      <c r="B106" s="352">
        <f>Projections!$AJ$23</f>
        <v>100</v>
      </c>
      <c r="C106" s="353">
        <v>2.0</v>
      </c>
      <c r="D106" s="357" t="str">
        <f t="array" ref="D106">INDIRECT("Draft!E"&amp;TEXT(15-A104,"0"))</f>
        <v/>
      </c>
      <c r="E106" s="355" t="str">
        <f>IF($D106="","", VLOOKUP($D106,'Final Update'!$P$21:$AD1000,Column(G104),False))</f>
        <v/>
      </c>
      <c r="F106" s="355" t="str">
        <f>IF($D106="","", VLOOKUP($D106,'Final Update'!$P$21:$AD1000,Column(H104),False))</f>
        <v/>
      </c>
      <c r="G106" s="355" t="str">
        <f>IF($D106="","", VLOOKUP($D106,'Final Update'!$P$21:$AD1000,Column(I104),False))</f>
        <v/>
      </c>
      <c r="H106" s="355" t="str">
        <f>IF($D106="","", VLOOKUP($D106,'Final Update'!$P$21:$AD1000,Column(J104),False))</f>
        <v/>
      </c>
      <c r="I106" s="355" t="str">
        <f>IF($D106="","", VLOOKUP($D106,'Final Update'!$P$21:$AD1000,Column(K104),False))</f>
        <v/>
      </c>
      <c r="J106" s="355" t="str">
        <f>IF($D106="","", VLOOKUP($D106,'Final Update'!$P$21:$AD1000,Column(L104),False))</f>
        <v/>
      </c>
      <c r="K106" s="356" t="str">
        <f>IF($D106="","", VLOOKUP($D106,'Final Update'!$P$21:$AD1000,Column(M104),False))</f>
        <v/>
      </c>
      <c r="L106" s="356" t="str">
        <f>IF($D106="","", VLOOKUP($D106,'Final Update'!$P$21:$AD1000,Column(N104),False))</f>
        <v/>
      </c>
      <c r="M106" s="355" t="str">
        <f>IF($D106="","", VLOOKUP($D106,'Final Update'!$P$21:$AD1000,Column(O104),False))</f>
        <v/>
      </c>
      <c r="N106" s="355" t="str">
        <f>IF($D106="","", VLOOKUP($D106,'Final Update'!$P$21:$AD1000,Column(C104),False))</f>
        <v/>
      </c>
      <c r="O106" s="353">
        <f t="array" ref="O106">COUNTIF(FIND(P106,$N105:$N118),"&gt;0")</f>
        <v>0</v>
      </c>
      <c r="P106" s="354" t="s">
        <v>71</v>
      </c>
      <c r="Q106" s="170"/>
      <c r="R106" s="170"/>
      <c r="S106" s="170"/>
      <c r="T106" s="170"/>
      <c r="U106" s="170"/>
      <c r="V106" s="170"/>
      <c r="W106" s="170"/>
      <c r="X106" s="170"/>
      <c r="Y106" s="170"/>
      <c r="Z106" s="170"/>
    </row>
    <row r="107">
      <c r="A107" s="170"/>
      <c r="B107" s="352">
        <f>Projections!$AJ$24</f>
        <v>100</v>
      </c>
      <c r="C107" s="353">
        <v>3.0</v>
      </c>
      <c r="D107" s="358" t="str">
        <f t="array" ref="D107">INDIRECT("Draft!F"&amp;TEXT(A104+2,"0"))</f>
        <v/>
      </c>
      <c r="E107" s="359" t="str">
        <f>IF($D107="","", VLOOKUP($D107,'Final Update'!$P$21:$AD1000,Column(G105),False))</f>
        <v/>
      </c>
      <c r="F107" s="359" t="str">
        <f>IF($D107="","", VLOOKUP($D107,'Final Update'!$P$21:$AD1000,Column(H105),False))</f>
        <v/>
      </c>
      <c r="G107" s="359" t="str">
        <f>IF($D107="","", VLOOKUP($D107,'Final Update'!$P$21:$AD1000,Column(I105),False))</f>
        <v/>
      </c>
      <c r="H107" s="359" t="str">
        <f>IF($D107="","", VLOOKUP($D107,'Final Update'!$P$21:$AD1000,Column(J105),False))</f>
        <v/>
      </c>
      <c r="I107" s="359" t="str">
        <f>IF($D107="","", VLOOKUP($D107,'Final Update'!$P$21:$AD1000,Column(K105),False))</f>
        <v/>
      </c>
      <c r="J107" s="359" t="str">
        <f>IF($D107="","", VLOOKUP($D107,'Final Update'!$P$21:$AD1000,Column(L105),False))</f>
        <v/>
      </c>
      <c r="K107" s="360" t="str">
        <f>IF($D107="","", VLOOKUP($D107,'Final Update'!$P$21:$AD1000,Column(M105),False))</f>
        <v/>
      </c>
      <c r="L107" s="360" t="str">
        <f>IF($D107="","", VLOOKUP($D107,'Final Update'!$P$21:$AD1000,Column(N105),False))</f>
        <v/>
      </c>
      <c r="M107" s="359" t="str">
        <f>IF($D107="","", VLOOKUP($D107,'Final Update'!$P$21:$AD1000,Column(O105),False))</f>
        <v/>
      </c>
      <c r="N107" s="359" t="str">
        <f>IF($D107="","", VLOOKUP($D107,'Final Update'!$P$21:$AD1000,Column(C105),False))</f>
        <v/>
      </c>
      <c r="O107" s="353">
        <f t="array" ref="O107">COUNTIF(FIND(P107,$N105:$N118),"&gt;0")</f>
        <v>0</v>
      </c>
      <c r="P107" s="354" t="s">
        <v>72</v>
      </c>
      <c r="Q107" s="170"/>
      <c r="R107" s="170"/>
      <c r="S107" s="170"/>
      <c r="T107" s="170"/>
      <c r="U107" s="170"/>
      <c r="V107" s="170"/>
      <c r="W107" s="170"/>
      <c r="X107" s="170"/>
      <c r="Y107" s="170"/>
      <c r="Z107" s="170"/>
    </row>
    <row r="108">
      <c r="A108" s="170"/>
      <c r="B108" s="352">
        <f>Projections!$AJ$25</f>
        <v>100</v>
      </c>
      <c r="C108" s="353">
        <v>4.0</v>
      </c>
      <c r="D108" s="361" t="str">
        <f t="array" ref="D108">INDIRECT("Draft!G"&amp;TEXT(15-A104,"0"))</f>
        <v/>
      </c>
      <c r="E108" s="359" t="str">
        <f>IF($D108="","", VLOOKUP($D108,'Final Update'!$P$21:$AD1000,Column(G106),False))</f>
        <v/>
      </c>
      <c r="F108" s="359" t="str">
        <f>IF($D108="","", VLOOKUP($D108,'Final Update'!$P$21:$AD1000,Column(H106),False))</f>
        <v/>
      </c>
      <c r="G108" s="359" t="str">
        <f>IF($D108="","", VLOOKUP($D108,'Final Update'!$P$21:$AD1000,Column(I106),False))</f>
        <v/>
      </c>
      <c r="H108" s="359" t="str">
        <f>IF($D108="","", VLOOKUP($D108,'Final Update'!$P$21:$AD1000,Column(J106),False))</f>
        <v/>
      </c>
      <c r="I108" s="359" t="str">
        <f>IF($D108="","", VLOOKUP($D108,'Final Update'!$P$21:$AD1000,Column(K106),False))</f>
        <v/>
      </c>
      <c r="J108" s="359" t="str">
        <f>IF($D108="","", VLOOKUP($D108,'Final Update'!$P$21:$AD1000,Column(L106),False))</f>
        <v/>
      </c>
      <c r="K108" s="360" t="str">
        <f>IF($D108="","", VLOOKUP($D108,'Final Update'!$P$21:$AD1000,Column(M106),False))</f>
        <v/>
      </c>
      <c r="L108" s="360" t="str">
        <f>IF($D108="","", VLOOKUP($D108,'Final Update'!$P$21:$AD1000,Column(N106),False))</f>
        <v/>
      </c>
      <c r="M108" s="359" t="str">
        <f>IF($D108="","", VLOOKUP($D108,'Final Update'!$P$21:$AD1000,Column(O106),False))</f>
        <v/>
      </c>
      <c r="N108" s="359" t="str">
        <f>IF($D108="","", VLOOKUP($D108,'Final Update'!$P$21:$AD1000,Column(C106),False))</f>
        <v/>
      </c>
      <c r="O108" s="353">
        <f t="array" ref="O108">COUNTIF(FIND(P108,$N105:$N118),"&gt;0")</f>
        <v>0</v>
      </c>
      <c r="P108" s="354" t="s">
        <v>73</v>
      </c>
      <c r="Q108" s="170"/>
      <c r="R108" s="170"/>
      <c r="S108" s="170"/>
      <c r="T108" s="170"/>
      <c r="U108" s="170"/>
      <c r="V108" s="170"/>
      <c r="W108" s="170"/>
      <c r="X108" s="170"/>
      <c r="Y108" s="170"/>
      <c r="Z108" s="170"/>
    </row>
    <row r="109">
      <c r="A109" s="170"/>
      <c r="B109" s="352">
        <f>Projections!$AJ$26</f>
        <v>100</v>
      </c>
      <c r="C109" s="353">
        <v>5.0</v>
      </c>
      <c r="D109" s="362" t="str">
        <f t="array" ref="D109">INDIRECT("Draft!H"&amp;TEXT(A104+2,"0"))</f>
        <v/>
      </c>
      <c r="E109" s="359" t="str">
        <f>IF($D109="","", VLOOKUP($D109,'Final Update'!$P$21:$AD1000,Column(G107),False))</f>
        <v/>
      </c>
      <c r="F109" s="359" t="str">
        <f>IF($D109="","", VLOOKUP($D109,'Final Update'!$P$21:$AD1000,Column(H107),False))</f>
        <v/>
      </c>
      <c r="G109" s="359" t="str">
        <f>IF($D109="","", VLOOKUP($D109,'Final Update'!$P$21:$AD1000,Column(I107),False))</f>
        <v/>
      </c>
      <c r="H109" s="359" t="str">
        <f>IF($D109="","", VLOOKUP($D109,'Final Update'!$P$21:$AD1000,Column(J107),False))</f>
        <v/>
      </c>
      <c r="I109" s="359" t="str">
        <f>IF($D109="","", VLOOKUP($D109,'Final Update'!$P$21:$AD1000,Column(K107),False))</f>
        <v/>
      </c>
      <c r="J109" s="359" t="str">
        <f>IF($D109="","", VLOOKUP($D109,'Final Update'!$P$21:$AD1000,Column(L107),False))</f>
        <v/>
      </c>
      <c r="K109" s="360" t="str">
        <f>IF($D109="","", VLOOKUP($D109,'Final Update'!$P$21:$AD1000,Column(M107),False))</f>
        <v/>
      </c>
      <c r="L109" s="360" t="str">
        <f>IF($D109="","", VLOOKUP($D109,'Final Update'!$P$21:$AD1000,Column(N107),False))</f>
        <v/>
      </c>
      <c r="M109" s="359" t="str">
        <f>IF($D109="","", VLOOKUP($D109,'Final Update'!$P$21:$AD1000,Column(O107),False))</f>
        <v/>
      </c>
      <c r="N109" s="359" t="str">
        <f>IF($D109="","", VLOOKUP($D109,'Final Update'!$P$21:$AD1000,Column(C107),False))</f>
        <v/>
      </c>
      <c r="O109" s="353">
        <f t="array" ref="O109">COUNTIF(FIND(P109,$N105:$N118),"&gt;0")</f>
        <v>0</v>
      </c>
      <c r="P109" s="354" t="s">
        <v>34</v>
      </c>
      <c r="Q109" s="170"/>
      <c r="R109" s="170"/>
      <c r="S109" s="170"/>
      <c r="T109" s="170"/>
      <c r="U109" s="170"/>
      <c r="V109" s="170"/>
      <c r="W109" s="170"/>
      <c r="X109" s="170"/>
      <c r="Y109" s="170"/>
      <c r="Z109" s="170"/>
    </row>
    <row r="110">
      <c r="A110" s="170"/>
      <c r="B110" s="352">
        <f>Projections!$AJ$27</f>
        <v>100</v>
      </c>
      <c r="C110" s="353">
        <v>6.0</v>
      </c>
      <c r="D110" s="363" t="str">
        <f t="array" ref="D110">INDIRECT("Draft!I"&amp;TEXT(15-A104,"0"))</f>
        <v/>
      </c>
      <c r="E110" s="359" t="str">
        <f>IF($D110="","", VLOOKUP($D110,'Final Update'!$P$21:$AD1000,Column(G108),False))</f>
        <v/>
      </c>
      <c r="F110" s="359" t="str">
        <f>IF($D110="","", VLOOKUP($D110,'Final Update'!$P$21:$AD1000,Column(H108),False))</f>
        <v/>
      </c>
      <c r="G110" s="359" t="str">
        <f>IF($D110="","", VLOOKUP($D110,'Final Update'!$P$21:$AD1000,Column(I108),False))</f>
        <v/>
      </c>
      <c r="H110" s="359" t="str">
        <f>IF($D110="","", VLOOKUP($D110,'Final Update'!$P$21:$AD1000,Column(J108),False))</f>
        <v/>
      </c>
      <c r="I110" s="359" t="str">
        <f>IF($D110="","", VLOOKUP($D110,'Final Update'!$P$21:$AD1000,Column(K108),False))</f>
        <v/>
      </c>
      <c r="J110" s="359" t="str">
        <f>IF($D110="","", VLOOKUP($D110,'Final Update'!$P$21:$AD1000,Column(L108),False))</f>
        <v/>
      </c>
      <c r="K110" s="360" t="str">
        <f>IF($D110="","", VLOOKUP($D110,'Final Update'!$P$21:$AD1000,Column(M108),False))</f>
        <v/>
      </c>
      <c r="L110" s="360" t="str">
        <f>IF($D110="","", VLOOKUP($D110,'Final Update'!$P$21:$AD1000,Column(N108),False))</f>
        <v/>
      </c>
      <c r="M110" s="359" t="str">
        <f>IF($D110="","", VLOOKUP($D110,'Final Update'!$P$21:$AD1000,Column(O108),False))</f>
        <v/>
      </c>
      <c r="N110" s="359" t="str">
        <f>IF($D110="","", VLOOKUP($D110,'Final Update'!$P$21:$AD1000,Column(C108),False))</f>
        <v/>
      </c>
      <c r="O110" s="170"/>
      <c r="P110" s="170"/>
      <c r="Q110" s="170"/>
      <c r="R110" s="170"/>
      <c r="S110" s="170"/>
      <c r="T110" s="170"/>
      <c r="U110" s="170"/>
      <c r="V110" s="170"/>
      <c r="W110" s="170"/>
      <c r="X110" s="170"/>
      <c r="Y110" s="170"/>
      <c r="Z110" s="170"/>
    </row>
    <row r="111">
      <c r="A111" s="170"/>
      <c r="B111" s="352">
        <f>Projections!$AJ$28</f>
        <v>100</v>
      </c>
      <c r="C111" s="353">
        <v>7.0</v>
      </c>
      <c r="D111" s="362" t="str">
        <f t="array" ref="D111">INDIRECT("Draft!J"&amp;TEXT(A104+2,"0"))</f>
        <v/>
      </c>
      <c r="E111" s="359" t="str">
        <f>IF($D111="","", VLOOKUP($D111,'Final Update'!$P$21:$AD1000,Column(G109),False))</f>
        <v/>
      </c>
      <c r="F111" s="359" t="str">
        <f>IF($D111="","", VLOOKUP($D111,'Final Update'!$P$21:$AD1000,Column(H109),False))</f>
        <v/>
      </c>
      <c r="G111" s="359" t="str">
        <f>IF($D111="","", VLOOKUP($D111,'Final Update'!$P$21:$AD1000,Column(I109),False))</f>
        <v/>
      </c>
      <c r="H111" s="359" t="str">
        <f>IF($D111="","", VLOOKUP($D111,'Final Update'!$P$21:$AD1000,Column(J109),False))</f>
        <v/>
      </c>
      <c r="I111" s="359" t="str">
        <f>IF($D111="","", VLOOKUP($D111,'Final Update'!$P$21:$AD1000,Column(K109),False))</f>
        <v/>
      </c>
      <c r="J111" s="359" t="str">
        <f>IF($D111="","", VLOOKUP($D111,'Final Update'!$P$21:$AD1000,Column(L109),False))</f>
        <v/>
      </c>
      <c r="K111" s="360" t="str">
        <f>IF($D111="","", VLOOKUP($D111,'Final Update'!$P$21:$AD1000,Column(M109),False))</f>
        <v/>
      </c>
      <c r="L111" s="360" t="str">
        <f>IF($D111="","", VLOOKUP($D111,'Final Update'!$P$21:$AD1000,Column(N109),False))</f>
        <v/>
      </c>
      <c r="M111" s="359" t="str">
        <f>IF($D111="","", VLOOKUP($D111,'Final Update'!$P$21:$AD1000,Column(O109),False))</f>
        <v/>
      </c>
      <c r="N111" s="359" t="str">
        <f>IF($D111="","", VLOOKUP($D111,'Final Update'!$P$21:$AD1000,Column(C109),False))</f>
        <v/>
      </c>
      <c r="O111" s="170"/>
      <c r="P111" s="170"/>
      <c r="Q111" s="170"/>
      <c r="R111" s="170"/>
      <c r="S111" s="170"/>
      <c r="T111" s="170"/>
      <c r="U111" s="170"/>
      <c r="V111" s="170"/>
      <c r="W111" s="170"/>
      <c r="X111" s="170"/>
      <c r="Y111" s="170"/>
      <c r="Z111" s="170"/>
    </row>
    <row r="112">
      <c r="A112" s="170"/>
      <c r="B112" s="352">
        <f>Projections!$AJ$29</f>
        <v>100</v>
      </c>
      <c r="C112" s="353">
        <v>8.0</v>
      </c>
      <c r="D112" s="363" t="str">
        <f t="array" ref="D112">INDIRECT("Draft!K"&amp;TEXT(15-A104,"0"))</f>
        <v/>
      </c>
      <c r="E112" s="359" t="str">
        <f>IF($D112="","", VLOOKUP($D112,'Final Update'!$P$21:$AD1000,Column(G110),False))</f>
        <v/>
      </c>
      <c r="F112" s="359" t="str">
        <f>IF($D112="","", VLOOKUP($D112,'Final Update'!$P$21:$AD1000,Column(H110),False))</f>
        <v/>
      </c>
      <c r="G112" s="359" t="str">
        <f>IF($D112="","", VLOOKUP($D112,'Final Update'!$P$21:$AD1000,Column(I110),False))</f>
        <v/>
      </c>
      <c r="H112" s="359" t="str">
        <f>IF($D112="","", VLOOKUP($D112,'Final Update'!$P$21:$AD1000,Column(J110),False))</f>
        <v/>
      </c>
      <c r="I112" s="359" t="str">
        <f>IF($D112="","", VLOOKUP($D112,'Final Update'!$P$21:$AD1000,Column(K110),False))</f>
        <v/>
      </c>
      <c r="J112" s="359" t="str">
        <f>IF($D112="","", VLOOKUP($D112,'Final Update'!$P$21:$AD1000,Column(L110),False))</f>
        <v/>
      </c>
      <c r="K112" s="360" t="str">
        <f>IF($D112="","", VLOOKUP($D112,'Final Update'!$P$21:$AD1000,Column(M110),False))</f>
        <v/>
      </c>
      <c r="L112" s="360" t="str">
        <f>IF($D112="","", VLOOKUP($D112,'Final Update'!$P$21:$AD1000,Column(N110),False))</f>
        <v/>
      </c>
      <c r="M112" s="359" t="str">
        <f>IF($D112="","", VLOOKUP($D112,'Final Update'!$P$21:$AD1000,Column(O110),False))</f>
        <v/>
      </c>
      <c r="N112" s="359" t="str">
        <f>IF($D112="","", VLOOKUP($D112,'Final Update'!$P$21:$AD1000,Column(C110),False))</f>
        <v/>
      </c>
      <c r="O112" s="170"/>
      <c r="P112" s="170"/>
      <c r="Q112" s="170"/>
      <c r="R112" s="170"/>
      <c r="S112" s="170"/>
      <c r="T112" s="170"/>
      <c r="U112" s="170"/>
      <c r="V112" s="170"/>
      <c r="W112" s="170"/>
      <c r="X112" s="170"/>
      <c r="Y112" s="170"/>
      <c r="Z112" s="170"/>
    </row>
    <row r="113">
      <c r="A113" s="170"/>
      <c r="B113" s="352">
        <f>Projections!$AJ$30</f>
        <v>100</v>
      </c>
      <c r="C113" s="353">
        <v>9.0</v>
      </c>
      <c r="D113" s="362" t="str">
        <f t="array" ref="D113">INDIRECT("Draft!L"&amp;TEXT(A104+2,"0"))</f>
        <v/>
      </c>
      <c r="E113" s="359" t="str">
        <f>IF($D113="","", VLOOKUP($D113,'Final Update'!$P$21:$AD1000,Column(G111),False))</f>
        <v/>
      </c>
      <c r="F113" s="359" t="str">
        <f>IF($D113="","", VLOOKUP($D113,'Final Update'!$P$21:$AD1000,Column(H111),False))</f>
        <v/>
      </c>
      <c r="G113" s="359" t="str">
        <f>IF($D113="","", VLOOKUP($D113,'Final Update'!$P$21:$AD1000,Column(I111),False))</f>
        <v/>
      </c>
      <c r="H113" s="359" t="str">
        <f>IF($D113="","", VLOOKUP($D113,'Final Update'!$P$21:$AD1000,Column(J111),False))</f>
        <v/>
      </c>
      <c r="I113" s="359" t="str">
        <f>IF($D113="","", VLOOKUP($D113,'Final Update'!$P$21:$AD1000,Column(K111),False))</f>
        <v/>
      </c>
      <c r="J113" s="359" t="str">
        <f>IF($D113="","", VLOOKUP($D113,'Final Update'!$P$21:$AD1000,Column(L111),False))</f>
        <v/>
      </c>
      <c r="K113" s="360" t="str">
        <f>IF($D113="","", VLOOKUP($D113,'Final Update'!$P$21:$AD1000,Column(M111),False))</f>
        <v/>
      </c>
      <c r="L113" s="360" t="str">
        <f>IF($D113="","", VLOOKUP($D113,'Final Update'!$P$21:$AD1000,Column(N111),False))</f>
        <v/>
      </c>
      <c r="M113" s="359" t="str">
        <f>IF($D113="","", VLOOKUP($D113,'Final Update'!$P$21:$AD1000,Column(O111),False))</f>
        <v/>
      </c>
      <c r="N113" s="359" t="str">
        <f>IF($D113="","", VLOOKUP($D113,'Final Update'!$P$21:$AD1000,Column(C111),False))</f>
        <v/>
      </c>
      <c r="O113" s="170"/>
      <c r="P113" s="170"/>
      <c r="Q113" s="170"/>
      <c r="R113" s="170"/>
      <c r="S113" s="170"/>
      <c r="T113" s="170"/>
      <c r="U113" s="170"/>
      <c r="V113" s="170"/>
      <c r="W113" s="170"/>
      <c r="X113" s="170"/>
      <c r="Y113" s="170"/>
      <c r="Z113" s="170"/>
    </row>
    <row r="114">
      <c r="A114" s="170"/>
      <c r="B114" s="352">
        <f>Projections!$AJ$31</f>
        <v>100</v>
      </c>
      <c r="C114" s="353">
        <v>10.0</v>
      </c>
      <c r="D114" s="363" t="str">
        <f t="array" ref="D114">INDIRECT("Draft!M"&amp;TEXT(15-A104,"0"))</f>
        <v/>
      </c>
      <c r="E114" s="359" t="str">
        <f>IF($D114="","", VLOOKUP($D114,'Final Update'!$P$21:$AD1000,Column(G112),False))</f>
        <v/>
      </c>
      <c r="F114" s="359" t="str">
        <f>IF($D114="","", VLOOKUP($D114,'Final Update'!$P$21:$AD1000,Column(H112),False))</f>
        <v/>
      </c>
      <c r="G114" s="359" t="str">
        <f>IF($D114="","", VLOOKUP($D114,'Final Update'!$P$21:$AD1000,Column(I112),False))</f>
        <v/>
      </c>
      <c r="H114" s="359" t="str">
        <f>IF($D114="","", VLOOKUP($D114,'Final Update'!$P$21:$AD1000,Column(J112),False))</f>
        <v/>
      </c>
      <c r="I114" s="359" t="str">
        <f>IF($D114="","", VLOOKUP($D114,'Final Update'!$P$21:$AD1000,Column(K112),False))</f>
        <v/>
      </c>
      <c r="J114" s="359" t="str">
        <f>IF($D114="","", VLOOKUP($D114,'Final Update'!$P$21:$AD1000,Column(L112),False))</f>
        <v/>
      </c>
      <c r="K114" s="360" t="str">
        <f>IF($D114="","", VLOOKUP($D114,'Final Update'!$P$21:$AD1000,Column(M112),False))</f>
        <v/>
      </c>
      <c r="L114" s="360" t="str">
        <f>IF($D114="","", VLOOKUP($D114,'Final Update'!$P$21:$AD1000,Column(N112),False))</f>
        <v/>
      </c>
      <c r="M114" s="359" t="str">
        <f>IF($D114="","", VLOOKUP($D114,'Final Update'!$P$21:$AD1000,Column(O112),False))</f>
        <v/>
      </c>
      <c r="N114" s="359" t="str">
        <f>IF($D114="","", VLOOKUP($D114,'Final Update'!$P$21:$AD1000,Column(C112),False))</f>
        <v/>
      </c>
      <c r="O114" s="170"/>
      <c r="P114" s="170"/>
      <c r="Q114" s="170"/>
      <c r="R114" s="170"/>
      <c r="S114" s="170"/>
      <c r="T114" s="170"/>
      <c r="U114" s="170"/>
      <c r="V114" s="170"/>
      <c r="W114" s="170"/>
      <c r="X114" s="170"/>
      <c r="Y114" s="170"/>
      <c r="Z114" s="170"/>
    </row>
    <row r="115">
      <c r="A115" s="170"/>
      <c r="B115" s="352">
        <f>Projections!$AJ$32</f>
        <v>100</v>
      </c>
      <c r="C115" s="353">
        <v>11.0</v>
      </c>
      <c r="D115" s="362" t="str">
        <f t="array" ref="D115">INDIRECT("Draft!N"&amp;TEXT(A104+2,"0"))</f>
        <v/>
      </c>
      <c r="E115" s="359" t="str">
        <f>IF($D115="","", VLOOKUP($D115,'Final Update'!$P$21:$AD1000,Column(G113),False))</f>
        <v/>
      </c>
      <c r="F115" s="359" t="str">
        <f>IF($D115="","", VLOOKUP($D115,'Final Update'!$P$21:$AD1000,Column(H113),False))</f>
        <v/>
      </c>
      <c r="G115" s="359" t="str">
        <f>IF($D115="","", VLOOKUP($D115,'Final Update'!$P$21:$AD1000,Column(I113),False))</f>
        <v/>
      </c>
      <c r="H115" s="359" t="str">
        <f>IF($D115="","", VLOOKUP($D115,'Final Update'!$P$21:$AD1000,Column(J113),False))</f>
        <v/>
      </c>
      <c r="I115" s="359" t="str">
        <f>IF($D115="","", VLOOKUP($D115,'Final Update'!$P$21:$AD1000,Column(K113),False))</f>
        <v/>
      </c>
      <c r="J115" s="359" t="str">
        <f>IF($D115="","", VLOOKUP($D115,'Final Update'!$P$21:$AD1000,Column(L113),False))</f>
        <v/>
      </c>
      <c r="K115" s="360" t="str">
        <f>IF($D115="","", VLOOKUP($D115,'Final Update'!$P$21:$AD1000,Column(M113),False))</f>
        <v/>
      </c>
      <c r="L115" s="360" t="str">
        <f>IF($D115="","", VLOOKUP($D115,'Final Update'!$P$21:$AD1000,Column(N113),False))</f>
        <v/>
      </c>
      <c r="M115" s="359" t="str">
        <f>IF($D115="","", VLOOKUP($D115,'Final Update'!$P$21:$AD1000,Column(O113),False))</f>
        <v/>
      </c>
      <c r="N115" s="359" t="str">
        <f>IF($D115="","", VLOOKUP($D115,'Final Update'!$P$21:$AD1000,Column(C113),False))</f>
        <v/>
      </c>
      <c r="O115" s="170"/>
      <c r="P115" s="170"/>
      <c r="Q115" s="170"/>
      <c r="R115" s="170"/>
      <c r="S115" s="170"/>
      <c r="T115" s="170"/>
      <c r="U115" s="170"/>
      <c r="V115" s="170"/>
      <c r="W115" s="170"/>
      <c r="X115" s="170"/>
      <c r="Y115" s="170"/>
      <c r="Z115" s="170"/>
    </row>
    <row r="116">
      <c r="A116" s="170"/>
      <c r="B116" s="352">
        <f>Projections!$AJ$33</f>
        <v>100</v>
      </c>
      <c r="C116" s="353">
        <v>12.0</v>
      </c>
      <c r="D116" s="363" t="str">
        <f t="array" ref="D116">INDIRECT("Draft!O"&amp;TEXT(15-A104,"0"))</f>
        <v/>
      </c>
      <c r="E116" s="359" t="str">
        <f>IF($D116="","", VLOOKUP($D116,'Final Update'!$P$21:$AD1000,Column(G114),False))</f>
        <v/>
      </c>
      <c r="F116" s="359" t="str">
        <f>IF($D116="","", VLOOKUP($D116,'Final Update'!$P$21:$AD1000,Column(H114),False))</f>
        <v/>
      </c>
      <c r="G116" s="359" t="str">
        <f>IF($D116="","", VLOOKUP($D116,'Final Update'!$P$21:$AD1000,Column(I114),False))</f>
        <v/>
      </c>
      <c r="H116" s="359" t="str">
        <f>IF($D116="","", VLOOKUP($D116,'Final Update'!$P$21:$AD1000,Column(J114),False))</f>
        <v/>
      </c>
      <c r="I116" s="359" t="str">
        <f>IF($D116="","", VLOOKUP($D116,'Final Update'!$P$21:$AD1000,Column(K114),False))</f>
        <v/>
      </c>
      <c r="J116" s="359" t="str">
        <f>IF($D116="","", VLOOKUP($D116,'Final Update'!$P$21:$AD1000,Column(L114),False))</f>
        <v/>
      </c>
      <c r="K116" s="360" t="str">
        <f>IF($D116="","", VLOOKUP($D116,'Final Update'!$P$21:$AD1000,Column(M114),False))</f>
        <v/>
      </c>
      <c r="L116" s="360" t="str">
        <f>IF($D116="","", VLOOKUP($D116,'Final Update'!$P$21:$AD1000,Column(N114),False))</f>
        <v/>
      </c>
      <c r="M116" s="359" t="str">
        <f>IF($D116="","", VLOOKUP($D116,'Final Update'!$P$21:$AD1000,Column(O114),False))</f>
        <v/>
      </c>
      <c r="N116" s="359" t="str">
        <f>IF($D116="","", VLOOKUP($D116,'Final Update'!$P$21:$AD1000,Column(C114),False))</f>
        <v/>
      </c>
      <c r="O116" s="170"/>
      <c r="P116" s="170"/>
      <c r="Q116" s="170"/>
      <c r="R116" s="170"/>
      <c r="S116" s="170"/>
      <c r="T116" s="170"/>
      <c r="U116" s="170"/>
      <c r="V116" s="170"/>
      <c r="W116" s="170"/>
      <c r="X116" s="170"/>
      <c r="Y116" s="170"/>
      <c r="Z116" s="170"/>
    </row>
    <row r="117">
      <c r="A117" s="170"/>
      <c r="B117" s="405">
        <v>75.0</v>
      </c>
      <c r="C117" s="353">
        <v>13.0</v>
      </c>
      <c r="D117" s="362" t="str">
        <f t="array" ref="D117">INDIRECT("Draft!P"&amp;TEXT(A104+2,"0"))</f>
        <v/>
      </c>
      <c r="E117" s="359" t="str">
        <f>IF($D117="","", VLOOKUP($D117,'Final Update'!$P$21:$AD1000,Column(G115),False))</f>
        <v/>
      </c>
      <c r="F117" s="359" t="str">
        <f>IF($D117="","", VLOOKUP($D117,'Final Update'!$P$21:$AD1000,Column(H115),False))</f>
        <v/>
      </c>
      <c r="G117" s="359" t="str">
        <f>IF($D117="","", VLOOKUP($D117,'Final Update'!$P$21:$AD1000,Column(I115),False))</f>
        <v/>
      </c>
      <c r="H117" s="359" t="str">
        <f>IF($D117="","", VLOOKUP($D117,'Final Update'!$P$21:$AD1000,Column(J115),False))</f>
        <v/>
      </c>
      <c r="I117" s="359" t="str">
        <f>IF($D117="","", VLOOKUP($D117,'Final Update'!$P$21:$AD1000,Column(K115),False))</f>
        <v/>
      </c>
      <c r="J117" s="359" t="str">
        <f>IF($D117="","", VLOOKUP($D117,'Final Update'!$P$21:$AD1000,Column(L115),False))</f>
        <v/>
      </c>
      <c r="K117" s="360" t="str">
        <f>IF($D117="","", VLOOKUP($D117,'Final Update'!$P$21:$AD1000,Column(M115),False))</f>
        <v/>
      </c>
      <c r="L117" s="360" t="str">
        <f>IF($D117="","", VLOOKUP($D117,'Final Update'!$P$21:$AD1000,Column(N115),False))</f>
        <v/>
      </c>
      <c r="M117" s="359" t="str">
        <f>IF($D117="","", VLOOKUP($D117,'Final Update'!$P$21:$AD1000,Column(O115),False))</f>
        <v/>
      </c>
      <c r="N117" s="359" t="str">
        <f>IF($D117="","", VLOOKUP($D117,'Final Update'!$P$21:$AD1000,Column(C115),False))</f>
        <v/>
      </c>
      <c r="O117" s="170"/>
      <c r="P117" s="170"/>
      <c r="Q117" s="170"/>
      <c r="R117" s="170"/>
      <c r="S117" s="170"/>
      <c r="T117" s="170"/>
      <c r="U117" s="170"/>
      <c r="V117" s="170"/>
      <c r="W117" s="170"/>
      <c r="X117" s="170"/>
      <c r="Y117" s="170"/>
      <c r="Z117" s="170"/>
    </row>
    <row r="118">
      <c r="A118" s="170"/>
      <c r="B118" s="352">
        <f>Projections!$AJ$35</f>
        <v>50</v>
      </c>
      <c r="C118" s="353">
        <v>14.0</v>
      </c>
      <c r="D118" s="363" t="str">
        <f t="array" ref="D118">INDIRECT("Draft!Q"&amp;TEXT(15-A104,"0"))</f>
        <v/>
      </c>
      <c r="E118" s="359" t="str">
        <f>IF($D118="","", VLOOKUP($D118,'Final Update'!$P$21:$AD1000,Column(G116),False))</f>
        <v/>
      </c>
      <c r="F118" s="359" t="str">
        <f>IF($D118="","", VLOOKUP($D118,'Final Update'!$P$21:$AD1000,Column(H116),False))</f>
        <v/>
      </c>
      <c r="G118" s="359" t="str">
        <f>IF($D118="","", VLOOKUP($D118,'Final Update'!$P$21:$AD1000,Column(I116),False))</f>
        <v/>
      </c>
      <c r="H118" s="359" t="str">
        <f>IF($D118="","", VLOOKUP($D118,'Final Update'!$P$21:$AD1000,Column(J116),False))</f>
        <v/>
      </c>
      <c r="I118" s="359" t="str">
        <f>IF($D118="","", VLOOKUP($D118,'Final Update'!$P$21:$AD1000,Column(K116),False))</f>
        <v/>
      </c>
      <c r="J118" s="359" t="str">
        <f>IF($D118="","", VLOOKUP($D118,'Final Update'!$P$21:$AD1000,Column(L116),False))</f>
        <v/>
      </c>
      <c r="K118" s="360" t="str">
        <f>IF($D118="","", VLOOKUP($D118,'Final Update'!$P$21:$AD1000,Column(M116),False))</f>
        <v/>
      </c>
      <c r="L118" s="360" t="str">
        <f>IF($D118="","", VLOOKUP($D118,'Final Update'!$P$21:$AD1000,Column(N116),False))</f>
        <v/>
      </c>
      <c r="M118" s="359" t="str">
        <f>IF($D118="","", VLOOKUP($D118,'Final Update'!$P$21:$AD1000,Column(O116),False))</f>
        <v/>
      </c>
      <c r="N118" s="359" t="str">
        <f>IF($D118="","", VLOOKUP($D118,'Final Update'!$P$21:$AD1000,Column(C116),False))</f>
        <v/>
      </c>
      <c r="O118" s="170"/>
      <c r="P118" s="170"/>
      <c r="Q118" s="170"/>
      <c r="R118" s="170"/>
      <c r="S118" s="170"/>
      <c r="T118" s="170"/>
      <c r="U118" s="170"/>
      <c r="V118" s="170"/>
      <c r="W118" s="170"/>
      <c r="X118" s="170"/>
      <c r="Y118" s="170"/>
      <c r="Z118" s="170"/>
    </row>
    <row r="119">
      <c r="A119" s="348" t="s">
        <v>5</v>
      </c>
      <c r="B119" s="170"/>
      <c r="C119" s="170"/>
      <c r="D119" s="351" t="s">
        <v>1328</v>
      </c>
      <c r="E119" s="365" t="str">
        <f t="shared" ref="E119:J119" si="7">IFERROR(AVERAGE(SUMPRODUCT(E105:E118,$B105:$B118/100))/(SUM(OFFSET($B105,0,0,COUNT(E105:E118)))/100),"")</f>
        <v/>
      </c>
      <c r="F119" s="365" t="str">
        <f t="shared" si="7"/>
        <v/>
      </c>
      <c r="G119" s="365" t="str">
        <f t="shared" si="7"/>
        <v/>
      </c>
      <c r="H119" s="365" t="str">
        <f t="shared" si="7"/>
        <v/>
      </c>
      <c r="I119" s="365" t="str">
        <f t="shared" si="7"/>
        <v/>
      </c>
      <c r="J119" s="365" t="str">
        <f t="shared" si="7"/>
        <v/>
      </c>
      <c r="K119" s="365" t="str">
        <f t="array" ref="K119">IFERROR(100*SUMPRODUCT(IFERROR(VLOOKUP($D105:$D118,UpdateHashtag!$C:$S,6,False),"")*$B105:$B118/100)/SUMPRODUCT(IFERROR(VLOOKUP($D105:$D118,UpdateHashtag!$C:$S,17,False),"")*$B105:$B118/100),"")</f>
        <v/>
      </c>
      <c r="L119" s="365" t="str">
        <f t="array" ref="L119">IFERROR(100*SUMPRODUCT(IFERROR(VLOOKUP($D105:$D118,UpdateHashtag!$C:$T,8,False),"")*$B105:$B118/100)/SUMPRODUCT(IFERROR(VLOOKUP($D105:$D118,UpdateHashtag!$C:$T,18,False),"")*$B105:$B118/100),"")</f>
        <v/>
      </c>
      <c r="M119" s="365" t="str">
        <f>IFERROR(AVERAGE(SUMPRODUCT(M105:M118,$B105:$B118/100))/(SUM(OFFSET($B105,0,0,COUNT(M105:M118)))/100),"")</f>
        <v/>
      </c>
      <c r="N119" s="170"/>
      <c r="O119" s="170"/>
      <c r="P119" s="170"/>
      <c r="Q119" s="170"/>
      <c r="R119" s="170"/>
      <c r="S119" s="170"/>
      <c r="T119" s="170"/>
      <c r="U119" s="170"/>
      <c r="V119" s="170"/>
      <c r="W119" s="170"/>
      <c r="X119" s="170"/>
      <c r="Y119" s="170"/>
      <c r="Z119" s="170"/>
    </row>
    <row r="120">
      <c r="A120" s="170"/>
      <c r="B120" s="170"/>
      <c r="C120" s="170"/>
      <c r="D120" s="351" t="s">
        <v>1329</v>
      </c>
      <c r="E120" s="366" t="str">
        <f>IFERROR((SUM(OFFSET('All Teams'!$B105,0,0,COUNT('All Teams'!E105:E118)))/100)*('All Teams'!E119-'Final Update'!$B$1)/'Final Update'!$B$2,"")</f>
        <v/>
      </c>
      <c r="F120" s="366" t="str">
        <f>IFERROR((SUM(OFFSET('All Teams'!$B105,0,0,COUNT('All Teams'!F105:F118)))/100)*('All Teams'!F119-'Final Update'!$C$1)/'Final Update'!$C$2,"")</f>
        <v/>
      </c>
      <c r="G120" s="366" t="str">
        <f>IFERROR((SUM(OFFSET('All Teams'!$B105,0,0,COUNT('All Teams'!G105:G118)))/100)*('All Teams'!G119-'Final Update'!$D$1)/'Final Update'!$D$2,"")</f>
        <v/>
      </c>
      <c r="H120" s="366" t="str">
        <f>IFERROR((SUM(OFFSET('All Teams'!$B105,0,0,COUNT('All Teams'!H105:H118)))/100)*('All Teams'!H119-'Final Update'!$E$1)/'Final Update'!$E$2,"")</f>
        <v/>
      </c>
      <c r="I120" s="366" t="str">
        <f>IFERROR((SUM(OFFSET('All Teams'!$B105,0,0,COUNT('All Teams'!I105:I118)))/100)*('All Teams'!I119-'Final Update'!$F$1)/'Final Update'!$F$2,"")</f>
        <v/>
      </c>
      <c r="J120" s="366" t="str">
        <f>IFERROR((SUM(OFFSET('All Teams'!$B105,0,0,COUNT('All Teams'!J105:J118)))/100)*('All Teams'!J119-'Final Update'!$G$1)/'Final Update'!$G$2,"")</f>
        <v/>
      </c>
      <c r="K120" s="366">
        <f t="array" ref="K120">SUMPRODUCT(IFERROR(VLOOKUP($D105:$D118,'Final Update'!$A$4:$L$403,8,False)*$B105:$B118/100,""))</f>
        <v>0</v>
      </c>
      <c r="L120" s="366">
        <f t="array" ref="L120">SUMPRODUCT(IFERROR(VLOOKUP($D105:$D118,'Final Update'!$A$4:$L$403,10,False)*$B105:$B118/100,""))</f>
        <v>0</v>
      </c>
      <c r="M120" s="366" t="str">
        <f>IFERROR(-(SUM(OFFSET('All Teams'!$B105,0,0,COUNT('All Teams'!M105:M118)))/100)*('All Teams'!M119-'Final Update'!$L$1)/'Final Update'!$L$2,"")</f>
        <v/>
      </c>
      <c r="N120" s="170"/>
      <c r="O120" s="170"/>
      <c r="P120" s="170"/>
      <c r="Q120" s="170"/>
      <c r="R120" s="170"/>
      <c r="S120" s="170"/>
      <c r="T120" s="170"/>
      <c r="U120" s="170"/>
      <c r="V120" s="170"/>
      <c r="W120" s="170"/>
      <c r="X120" s="170"/>
      <c r="Y120" s="170"/>
      <c r="Z120" s="170"/>
    </row>
    <row r="121">
      <c r="A121" s="349">
        <v>8.0</v>
      </c>
      <c r="B121" s="350" t="s">
        <v>810</v>
      </c>
      <c r="C121" s="351" t="s">
        <v>812</v>
      </c>
      <c r="D121" s="350" t="s">
        <v>1076</v>
      </c>
      <c r="E121" s="350" t="s">
        <v>11</v>
      </c>
      <c r="F121" s="350" t="s">
        <v>51</v>
      </c>
      <c r="G121" s="350" t="s">
        <v>53</v>
      </c>
      <c r="H121" s="350" t="s">
        <v>14</v>
      </c>
      <c r="I121" s="350" t="s">
        <v>15</v>
      </c>
      <c r="J121" s="350" t="s">
        <v>16</v>
      </c>
      <c r="K121" s="350" t="s">
        <v>8</v>
      </c>
      <c r="L121" s="350" t="s">
        <v>9</v>
      </c>
      <c r="M121" s="350" t="s">
        <v>17</v>
      </c>
      <c r="N121" s="350" t="s">
        <v>4</v>
      </c>
      <c r="O121" s="350" t="s">
        <v>816</v>
      </c>
      <c r="P121" s="350" t="s">
        <v>4</v>
      </c>
      <c r="Q121" s="170"/>
      <c r="R121" s="170"/>
      <c r="S121" s="170"/>
      <c r="T121" s="170"/>
      <c r="U121" s="170"/>
      <c r="V121" s="170"/>
      <c r="W121" s="170"/>
      <c r="X121" s="170"/>
      <c r="Y121" s="170"/>
      <c r="Z121" s="170"/>
    </row>
    <row r="122">
      <c r="A122" s="170"/>
      <c r="B122" s="352">
        <f>Projections!$AJ$22</f>
        <v>100</v>
      </c>
      <c r="C122" s="353">
        <v>1.0</v>
      </c>
      <c r="D122" s="354" t="str">
        <f t="array" ref="D122">INDIRECT("Draft!D"&amp;TEXT(A121+2,"0"))</f>
        <v/>
      </c>
      <c r="E122" s="355" t="str">
        <f>IF($D122="","", VLOOKUP($D122,'Final Update'!$P$21:$AD1000,Column(G120),False))</f>
        <v/>
      </c>
      <c r="F122" s="355" t="str">
        <f>IF($D122="","", VLOOKUP($D122,'Final Update'!$P$21:$AD1000,Column(H120),False))</f>
        <v/>
      </c>
      <c r="G122" s="355" t="str">
        <f>IF($D122="","", VLOOKUP($D122,'Final Update'!$P$21:$AD1000,Column(I120),False))</f>
        <v/>
      </c>
      <c r="H122" s="355" t="str">
        <f>IF($D122="","", VLOOKUP($D122,'Final Update'!$P$21:$AD1000,Column(J120),False))</f>
        <v/>
      </c>
      <c r="I122" s="355" t="str">
        <f>IF($D122="","", VLOOKUP($D122,'Final Update'!$P$21:$AD1000,Column(K120),False))</f>
        <v/>
      </c>
      <c r="J122" s="355" t="str">
        <f>IF($D122="","", VLOOKUP($D122,'Final Update'!$P$21:$AD1000,Column(L120),False))</f>
        <v/>
      </c>
      <c r="K122" s="356" t="str">
        <f>IF($D122="","", VLOOKUP($D122,'Final Update'!$P$21:$AD1000,Column(M120),False))</f>
        <v/>
      </c>
      <c r="L122" s="356" t="str">
        <f>IF($D122="","", VLOOKUP($D122,'Final Update'!$P$21:$AD1000,Column(N120),False))</f>
        <v/>
      </c>
      <c r="M122" s="355" t="str">
        <f>IF($D122="","", VLOOKUP($D122,'Final Update'!$P$21:$AD1000,Column(O120),False))</f>
        <v/>
      </c>
      <c r="N122" s="355" t="str">
        <f>IF($D122="","", VLOOKUP($D122,'Final Update'!$P$21:$AD1000,Column(C120),False))</f>
        <v/>
      </c>
      <c r="O122" s="353">
        <f t="array" ref="O122">COUNTIF(FIND(P122,$N122:$N135),"&gt;0")</f>
        <v>0</v>
      </c>
      <c r="P122" s="354" t="s">
        <v>44</v>
      </c>
      <c r="Q122" s="170"/>
      <c r="R122" s="170"/>
      <c r="S122" s="170"/>
      <c r="T122" s="170"/>
      <c r="U122" s="170"/>
      <c r="V122" s="170"/>
      <c r="W122" s="170"/>
      <c r="X122" s="170"/>
      <c r="Y122" s="170"/>
      <c r="Z122" s="170"/>
    </row>
    <row r="123">
      <c r="A123" s="170"/>
      <c r="B123" s="352">
        <f>Projections!$AJ$23</f>
        <v>100</v>
      </c>
      <c r="C123" s="353">
        <v>2.0</v>
      </c>
      <c r="D123" s="357" t="str">
        <f t="array" ref="D123">INDIRECT("Draft!E"&amp;TEXT(15-A121,"0"))</f>
        <v/>
      </c>
      <c r="E123" s="355" t="str">
        <f>IF($D123="","", VLOOKUP($D123,'Final Update'!$P$21:$AD1000,Column(G121),False))</f>
        <v/>
      </c>
      <c r="F123" s="355" t="str">
        <f>IF($D123="","", VLOOKUP($D123,'Final Update'!$P$21:$AD1000,Column(H121),False))</f>
        <v/>
      </c>
      <c r="G123" s="355" t="str">
        <f>IF($D123="","", VLOOKUP($D123,'Final Update'!$P$21:$AD1000,Column(I121),False))</f>
        <v/>
      </c>
      <c r="H123" s="355" t="str">
        <f>IF($D123="","", VLOOKUP($D123,'Final Update'!$P$21:$AD1000,Column(J121),False))</f>
        <v/>
      </c>
      <c r="I123" s="355" t="str">
        <f>IF($D123="","", VLOOKUP($D123,'Final Update'!$P$21:$AD1000,Column(K121),False))</f>
        <v/>
      </c>
      <c r="J123" s="355" t="str">
        <f>IF($D123="","", VLOOKUP($D123,'Final Update'!$P$21:$AD1000,Column(L121),False))</f>
        <v/>
      </c>
      <c r="K123" s="356" t="str">
        <f>IF($D123="","", VLOOKUP($D123,'Final Update'!$P$21:$AD1000,Column(M121),False))</f>
        <v/>
      </c>
      <c r="L123" s="356" t="str">
        <f>IF($D123="","", VLOOKUP($D123,'Final Update'!$P$21:$AD1000,Column(N121),False))</f>
        <v/>
      </c>
      <c r="M123" s="355" t="str">
        <f>IF($D123="","", VLOOKUP($D123,'Final Update'!$P$21:$AD1000,Column(O121),False))</f>
        <v/>
      </c>
      <c r="N123" s="355" t="str">
        <f>IF($D123="","", VLOOKUP($D123,'Final Update'!$P$21:$AD1000,Column(C121),False))</f>
        <v/>
      </c>
      <c r="O123" s="353">
        <f t="array" ref="O123">COUNTIF(FIND(P123,$N122:$N135),"&gt;0")</f>
        <v>0</v>
      </c>
      <c r="P123" s="354" t="s">
        <v>71</v>
      </c>
      <c r="Q123" s="170"/>
      <c r="R123" s="170"/>
      <c r="S123" s="170"/>
      <c r="T123" s="170"/>
      <c r="U123" s="170"/>
      <c r="V123" s="170"/>
      <c r="W123" s="170"/>
      <c r="X123" s="170"/>
      <c r="Y123" s="170"/>
      <c r="Z123" s="170"/>
    </row>
    <row r="124">
      <c r="A124" s="170"/>
      <c r="B124" s="352">
        <f>Projections!$AJ$24</f>
        <v>100</v>
      </c>
      <c r="C124" s="353">
        <v>3.0</v>
      </c>
      <c r="D124" s="358" t="str">
        <f t="array" ref="D124">INDIRECT("Draft!F"&amp;TEXT(A121+2,"0"))</f>
        <v/>
      </c>
      <c r="E124" s="359" t="str">
        <f>IF($D124="","", VLOOKUP($D124,'Final Update'!$P$21:$AD1000,Column(G122),False))</f>
        <v/>
      </c>
      <c r="F124" s="359" t="str">
        <f>IF($D124="","", VLOOKUP($D124,'Final Update'!$P$21:$AD1000,Column(H122),False))</f>
        <v/>
      </c>
      <c r="G124" s="359" t="str">
        <f>IF($D124="","", VLOOKUP($D124,'Final Update'!$P$21:$AD1000,Column(I122),False))</f>
        <v/>
      </c>
      <c r="H124" s="359" t="str">
        <f>IF($D124="","", VLOOKUP($D124,'Final Update'!$P$21:$AD1000,Column(J122),False))</f>
        <v/>
      </c>
      <c r="I124" s="359" t="str">
        <f>IF($D124="","", VLOOKUP($D124,'Final Update'!$P$21:$AD1000,Column(K122),False))</f>
        <v/>
      </c>
      <c r="J124" s="359" t="str">
        <f>IF($D124="","", VLOOKUP($D124,'Final Update'!$P$21:$AD1000,Column(L122),False))</f>
        <v/>
      </c>
      <c r="K124" s="360" t="str">
        <f>IF($D124="","", VLOOKUP($D124,'Final Update'!$P$21:$AD1000,Column(M122),False))</f>
        <v/>
      </c>
      <c r="L124" s="360" t="str">
        <f>IF($D124="","", VLOOKUP($D124,'Final Update'!$P$21:$AD1000,Column(N122),False))</f>
        <v/>
      </c>
      <c r="M124" s="359" t="str">
        <f>IF($D124="","", VLOOKUP($D124,'Final Update'!$P$21:$AD1000,Column(O122),False))</f>
        <v/>
      </c>
      <c r="N124" s="359" t="str">
        <f>IF($D124="","", VLOOKUP($D124,'Final Update'!$P$21:$AD1000,Column(C122),False))</f>
        <v/>
      </c>
      <c r="O124" s="353">
        <f t="array" ref="O124">COUNTIF(FIND(P124,$N122:$N135),"&gt;0")</f>
        <v>0</v>
      </c>
      <c r="P124" s="354" t="s">
        <v>72</v>
      </c>
      <c r="Q124" s="170"/>
      <c r="R124" s="170"/>
      <c r="S124" s="170"/>
      <c r="T124" s="170"/>
      <c r="U124" s="170"/>
      <c r="V124" s="170"/>
      <c r="W124" s="170"/>
      <c r="X124" s="170"/>
      <c r="Y124" s="170"/>
      <c r="Z124" s="170"/>
    </row>
    <row r="125">
      <c r="A125" s="170"/>
      <c r="B125" s="352">
        <f>Projections!$AJ$25</f>
        <v>100</v>
      </c>
      <c r="C125" s="353">
        <v>4.0</v>
      </c>
      <c r="D125" s="361" t="str">
        <f t="array" ref="D125">INDIRECT("Draft!G"&amp;TEXT(15-A121,"0"))</f>
        <v/>
      </c>
      <c r="E125" s="359" t="str">
        <f>IF($D125="","", VLOOKUP($D125,'Final Update'!$P$21:$AD1000,Column(G123),False))</f>
        <v/>
      </c>
      <c r="F125" s="359" t="str">
        <f>IF($D125="","", VLOOKUP($D125,'Final Update'!$P$21:$AD1000,Column(H123),False))</f>
        <v/>
      </c>
      <c r="G125" s="359" t="str">
        <f>IF($D125="","", VLOOKUP($D125,'Final Update'!$P$21:$AD1000,Column(I123),False))</f>
        <v/>
      </c>
      <c r="H125" s="359" t="str">
        <f>IF($D125="","", VLOOKUP($D125,'Final Update'!$P$21:$AD1000,Column(J123),False))</f>
        <v/>
      </c>
      <c r="I125" s="359" t="str">
        <f>IF($D125="","", VLOOKUP($D125,'Final Update'!$P$21:$AD1000,Column(K123),False))</f>
        <v/>
      </c>
      <c r="J125" s="359" t="str">
        <f>IF($D125="","", VLOOKUP($D125,'Final Update'!$P$21:$AD1000,Column(L123),False))</f>
        <v/>
      </c>
      <c r="K125" s="360" t="str">
        <f>IF($D125="","", VLOOKUP($D125,'Final Update'!$P$21:$AD1000,Column(M123),False))</f>
        <v/>
      </c>
      <c r="L125" s="360" t="str">
        <f>IF($D125="","", VLOOKUP($D125,'Final Update'!$P$21:$AD1000,Column(N123),False))</f>
        <v/>
      </c>
      <c r="M125" s="359" t="str">
        <f>IF($D125="","", VLOOKUP($D125,'Final Update'!$P$21:$AD1000,Column(O123),False))</f>
        <v/>
      </c>
      <c r="N125" s="359" t="str">
        <f>IF($D125="","", VLOOKUP($D125,'Final Update'!$P$21:$AD1000,Column(C123),False))</f>
        <v/>
      </c>
      <c r="O125" s="353">
        <f t="array" ref="O125">COUNTIF(FIND(P125,$N122:$N135),"&gt;0")</f>
        <v>0</v>
      </c>
      <c r="P125" s="354" t="s">
        <v>73</v>
      </c>
      <c r="Q125" s="170"/>
      <c r="R125" s="170"/>
      <c r="S125" s="170"/>
      <c r="T125" s="170"/>
      <c r="U125" s="170"/>
      <c r="V125" s="170"/>
      <c r="W125" s="170"/>
      <c r="X125" s="170"/>
      <c r="Y125" s="170"/>
      <c r="Z125" s="170"/>
    </row>
    <row r="126">
      <c r="A126" s="170"/>
      <c r="B126" s="352">
        <f>Projections!$AJ$26</f>
        <v>100</v>
      </c>
      <c r="C126" s="353">
        <v>5.0</v>
      </c>
      <c r="D126" s="362" t="str">
        <f t="array" ref="D126">INDIRECT("Draft!H"&amp;TEXT(A121+2,"0"))</f>
        <v/>
      </c>
      <c r="E126" s="359" t="str">
        <f>IF($D126="","", VLOOKUP($D126,'Final Update'!$P$21:$AD1000,Column(G124),False))</f>
        <v/>
      </c>
      <c r="F126" s="359" t="str">
        <f>IF($D126="","", VLOOKUP($D126,'Final Update'!$P$21:$AD1000,Column(H124),False))</f>
        <v/>
      </c>
      <c r="G126" s="359" t="str">
        <f>IF($D126="","", VLOOKUP($D126,'Final Update'!$P$21:$AD1000,Column(I124),False))</f>
        <v/>
      </c>
      <c r="H126" s="359" t="str">
        <f>IF($D126="","", VLOOKUP($D126,'Final Update'!$P$21:$AD1000,Column(J124),False))</f>
        <v/>
      </c>
      <c r="I126" s="359" t="str">
        <f>IF($D126="","", VLOOKUP($D126,'Final Update'!$P$21:$AD1000,Column(K124),False))</f>
        <v/>
      </c>
      <c r="J126" s="359" t="str">
        <f>IF($D126="","", VLOOKUP($D126,'Final Update'!$P$21:$AD1000,Column(L124),False))</f>
        <v/>
      </c>
      <c r="K126" s="360" t="str">
        <f>IF($D126="","", VLOOKUP($D126,'Final Update'!$P$21:$AD1000,Column(M124),False))</f>
        <v/>
      </c>
      <c r="L126" s="360" t="str">
        <f>IF($D126="","", VLOOKUP($D126,'Final Update'!$P$21:$AD1000,Column(N124),False))</f>
        <v/>
      </c>
      <c r="M126" s="359" t="str">
        <f>IF($D126="","", VLOOKUP($D126,'Final Update'!$P$21:$AD1000,Column(O124),False))</f>
        <v/>
      </c>
      <c r="N126" s="359" t="str">
        <f>IF($D126="","", VLOOKUP($D126,'Final Update'!$P$21:$AD1000,Column(C124),False))</f>
        <v/>
      </c>
      <c r="O126" s="353">
        <f t="array" ref="O126">COUNTIF(FIND(P126,$N122:$N135),"&gt;0")</f>
        <v>0</v>
      </c>
      <c r="P126" s="354" t="s">
        <v>34</v>
      </c>
      <c r="Q126" s="170"/>
      <c r="R126" s="170"/>
      <c r="S126" s="170"/>
      <c r="T126" s="170"/>
      <c r="U126" s="170"/>
      <c r="V126" s="170"/>
      <c r="W126" s="170"/>
      <c r="X126" s="170"/>
      <c r="Y126" s="170"/>
      <c r="Z126" s="170"/>
    </row>
    <row r="127">
      <c r="A127" s="170"/>
      <c r="B127" s="352">
        <f>Projections!$AJ$27</f>
        <v>100</v>
      </c>
      <c r="C127" s="353">
        <v>6.0</v>
      </c>
      <c r="D127" s="363" t="str">
        <f t="array" ref="D127">INDIRECT("Draft!I"&amp;TEXT(15-A121,"0"))</f>
        <v/>
      </c>
      <c r="E127" s="359" t="str">
        <f>IF($D127="","", VLOOKUP($D127,'Final Update'!$P$21:$AD1000,Column(G125),False))</f>
        <v/>
      </c>
      <c r="F127" s="359" t="str">
        <f>IF($D127="","", VLOOKUP($D127,'Final Update'!$P$21:$AD1000,Column(H125),False))</f>
        <v/>
      </c>
      <c r="G127" s="359" t="str">
        <f>IF($D127="","", VLOOKUP($D127,'Final Update'!$P$21:$AD1000,Column(I125),False))</f>
        <v/>
      </c>
      <c r="H127" s="359" t="str">
        <f>IF($D127="","", VLOOKUP($D127,'Final Update'!$P$21:$AD1000,Column(J125),False))</f>
        <v/>
      </c>
      <c r="I127" s="359" t="str">
        <f>IF($D127="","", VLOOKUP($D127,'Final Update'!$P$21:$AD1000,Column(K125),False))</f>
        <v/>
      </c>
      <c r="J127" s="359" t="str">
        <f>IF($D127="","", VLOOKUP($D127,'Final Update'!$P$21:$AD1000,Column(L125),False))</f>
        <v/>
      </c>
      <c r="K127" s="360" t="str">
        <f>IF($D127="","", VLOOKUP($D127,'Final Update'!$P$21:$AD1000,Column(M125),False))</f>
        <v/>
      </c>
      <c r="L127" s="360" t="str">
        <f>IF($D127="","", VLOOKUP($D127,'Final Update'!$P$21:$AD1000,Column(N125),False))</f>
        <v/>
      </c>
      <c r="M127" s="359" t="str">
        <f>IF($D127="","", VLOOKUP($D127,'Final Update'!$P$21:$AD1000,Column(O125),False))</f>
        <v/>
      </c>
      <c r="N127" s="359" t="str">
        <f>IF($D127="","", VLOOKUP($D127,'Final Update'!$P$21:$AD1000,Column(C125),False))</f>
        <v/>
      </c>
      <c r="O127" s="170"/>
      <c r="P127" s="170"/>
      <c r="Q127" s="170"/>
      <c r="R127" s="170"/>
      <c r="S127" s="170"/>
      <c r="T127" s="170"/>
      <c r="U127" s="170"/>
      <c r="V127" s="170"/>
      <c r="W127" s="170"/>
      <c r="X127" s="170"/>
      <c r="Y127" s="170"/>
      <c r="Z127" s="170"/>
    </row>
    <row r="128">
      <c r="A128" s="170"/>
      <c r="B128" s="352">
        <f>Projections!$AJ$28</f>
        <v>100</v>
      </c>
      <c r="C128" s="353">
        <v>7.0</v>
      </c>
      <c r="D128" s="362" t="str">
        <f t="array" ref="D128">INDIRECT("Draft!J"&amp;TEXT(A121+2,"0"))</f>
        <v/>
      </c>
      <c r="E128" s="359" t="str">
        <f>IF($D128="","", VLOOKUP($D128,'Final Update'!$P$21:$AD1000,Column(G126),False))</f>
        <v/>
      </c>
      <c r="F128" s="359" t="str">
        <f>IF($D128="","", VLOOKUP($D128,'Final Update'!$P$21:$AD1000,Column(H126),False))</f>
        <v/>
      </c>
      <c r="G128" s="359" t="str">
        <f>IF($D128="","", VLOOKUP($D128,'Final Update'!$P$21:$AD1000,Column(I126),False))</f>
        <v/>
      </c>
      <c r="H128" s="359" t="str">
        <f>IF($D128="","", VLOOKUP($D128,'Final Update'!$P$21:$AD1000,Column(J126),False))</f>
        <v/>
      </c>
      <c r="I128" s="359" t="str">
        <f>IF($D128="","", VLOOKUP($D128,'Final Update'!$P$21:$AD1000,Column(K126),False))</f>
        <v/>
      </c>
      <c r="J128" s="359" t="str">
        <f>IF($D128="","", VLOOKUP($D128,'Final Update'!$P$21:$AD1000,Column(L126),False))</f>
        <v/>
      </c>
      <c r="K128" s="360" t="str">
        <f>IF($D128="","", VLOOKUP($D128,'Final Update'!$P$21:$AD1000,Column(M126),False))</f>
        <v/>
      </c>
      <c r="L128" s="360" t="str">
        <f>IF($D128="","", VLOOKUP($D128,'Final Update'!$P$21:$AD1000,Column(N126),False))</f>
        <v/>
      </c>
      <c r="M128" s="359" t="str">
        <f>IF($D128="","", VLOOKUP($D128,'Final Update'!$P$21:$AD1000,Column(O126),False))</f>
        <v/>
      </c>
      <c r="N128" s="359" t="str">
        <f>IF($D128="","", VLOOKUP($D128,'Final Update'!$P$21:$AD1000,Column(C126),False))</f>
        <v/>
      </c>
      <c r="O128" s="170"/>
      <c r="P128" s="170"/>
      <c r="Q128" s="170"/>
      <c r="R128" s="170"/>
      <c r="S128" s="170"/>
      <c r="T128" s="170"/>
      <c r="U128" s="170"/>
      <c r="V128" s="170"/>
      <c r="W128" s="170"/>
      <c r="X128" s="170"/>
      <c r="Y128" s="170"/>
      <c r="Z128" s="170"/>
    </row>
    <row r="129">
      <c r="A129" s="170"/>
      <c r="B129" s="352">
        <f>Projections!$AJ$29</f>
        <v>100</v>
      </c>
      <c r="C129" s="353">
        <v>8.0</v>
      </c>
      <c r="D129" s="363" t="str">
        <f t="array" ref="D129">INDIRECT("Draft!K"&amp;TEXT(15-A121,"0"))</f>
        <v/>
      </c>
      <c r="E129" s="359" t="str">
        <f>IF($D129="","", VLOOKUP($D129,'Final Update'!$P$21:$AD1000,Column(G127),False))</f>
        <v/>
      </c>
      <c r="F129" s="359" t="str">
        <f>IF($D129="","", VLOOKUP($D129,'Final Update'!$P$21:$AD1000,Column(H127),False))</f>
        <v/>
      </c>
      <c r="G129" s="359" t="str">
        <f>IF($D129="","", VLOOKUP($D129,'Final Update'!$P$21:$AD1000,Column(I127),False))</f>
        <v/>
      </c>
      <c r="H129" s="359" t="str">
        <f>IF($D129="","", VLOOKUP($D129,'Final Update'!$P$21:$AD1000,Column(J127),False))</f>
        <v/>
      </c>
      <c r="I129" s="359" t="str">
        <f>IF($D129="","", VLOOKUP($D129,'Final Update'!$P$21:$AD1000,Column(K127),False))</f>
        <v/>
      </c>
      <c r="J129" s="359" t="str">
        <f>IF($D129="","", VLOOKUP($D129,'Final Update'!$P$21:$AD1000,Column(L127),False))</f>
        <v/>
      </c>
      <c r="K129" s="360" t="str">
        <f>IF($D129="","", VLOOKUP($D129,'Final Update'!$P$21:$AD1000,Column(M127),False))</f>
        <v/>
      </c>
      <c r="L129" s="360" t="str">
        <f>IF($D129="","", VLOOKUP($D129,'Final Update'!$P$21:$AD1000,Column(N127),False))</f>
        <v/>
      </c>
      <c r="M129" s="359" t="str">
        <f>IF($D129="","", VLOOKUP($D129,'Final Update'!$P$21:$AD1000,Column(O127),False))</f>
        <v/>
      </c>
      <c r="N129" s="359" t="str">
        <f>IF($D129="","", VLOOKUP($D129,'Final Update'!$P$21:$AD1000,Column(C127),False))</f>
        <v/>
      </c>
      <c r="O129" s="170"/>
      <c r="P129" s="170"/>
      <c r="Q129" s="170"/>
      <c r="R129" s="170"/>
      <c r="S129" s="170"/>
      <c r="T129" s="170"/>
      <c r="U129" s="170"/>
      <c r="V129" s="170"/>
      <c r="W129" s="170"/>
      <c r="X129" s="170"/>
      <c r="Y129" s="170"/>
      <c r="Z129" s="170"/>
    </row>
    <row r="130">
      <c r="A130" s="170"/>
      <c r="B130" s="352">
        <f>Projections!$AJ$30</f>
        <v>100</v>
      </c>
      <c r="C130" s="353">
        <v>9.0</v>
      </c>
      <c r="D130" s="362" t="str">
        <f t="array" ref="D130">INDIRECT("Draft!L"&amp;TEXT(A121+2,"0"))</f>
        <v/>
      </c>
      <c r="E130" s="359" t="str">
        <f>IF($D130="","", VLOOKUP($D130,'Final Update'!$P$21:$AD1000,Column(G128),False))</f>
        <v/>
      </c>
      <c r="F130" s="359" t="str">
        <f>IF($D130="","", VLOOKUP($D130,'Final Update'!$P$21:$AD1000,Column(H128),False))</f>
        <v/>
      </c>
      <c r="G130" s="359" t="str">
        <f>IF($D130="","", VLOOKUP($D130,'Final Update'!$P$21:$AD1000,Column(I128),False))</f>
        <v/>
      </c>
      <c r="H130" s="359" t="str">
        <f>IF($D130="","", VLOOKUP($D130,'Final Update'!$P$21:$AD1000,Column(J128),False))</f>
        <v/>
      </c>
      <c r="I130" s="359" t="str">
        <f>IF($D130="","", VLOOKUP($D130,'Final Update'!$P$21:$AD1000,Column(K128),False))</f>
        <v/>
      </c>
      <c r="J130" s="359" t="str">
        <f>IF($D130="","", VLOOKUP($D130,'Final Update'!$P$21:$AD1000,Column(L128),False))</f>
        <v/>
      </c>
      <c r="K130" s="360" t="str">
        <f>IF($D130="","", VLOOKUP($D130,'Final Update'!$P$21:$AD1000,Column(M128),False))</f>
        <v/>
      </c>
      <c r="L130" s="360" t="str">
        <f>IF($D130="","", VLOOKUP($D130,'Final Update'!$P$21:$AD1000,Column(N128),False))</f>
        <v/>
      </c>
      <c r="M130" s="359" t="str">
        <f>IF($D130="","", VLOOKUP($D130,'Final Update'!$P$21:$AD1000,Column(O128),False))</f>
        <v/>
      </c>
      <c r="N130" s="359" t="str">
        <f>IF($D130="","", VLOOKUP($D130,'Final Update'!$P$21:$AD1000,Column(C128),False))</f>
        <v/>
      </c>
      <c r="O130" s="170"/>
      <c r="P130" s="170"/>
      <c r="Q130" s="170"/>
      <c r="R130" s="170"/>
      <c r="S130" s="170"/>
      <c r="T130" s="170"/>
      <c r="U130" s="170"/>
      <c r="V130" s="170"/>
      <c r="W130" s="170"/>
      <c r="X130" s="170"/>
      <c r="Y130" s="170"/>
      <c r="Z130" s="170"/>
    </row>
    <row r="131">
      <c r="A131" s="170"/>
      <c r="B131" s="352">
        <f>Projections!$AJ$31</f>
        <v>100</v>
      </c>
      <c r="C131" s="353">
        <v>10.0</v>
      </c>
      <c r="D131" s="363" t="str">
        <f t="array" ref="D131">INDIRECT("Draft!M"&amp;TEXT(15-A121,"0"))</f>
        <v/>
      </c>
      <c r="E131" s="359" t="str">
        <f>IF($D131="","", VLOOKUP($D131,'Final Update'!$P$21:$AD1000,Column(G129),False))</f>
        <v/>
      </c>
      <c r="F131" s="359" t="str">
        <f>IF($D131="","", VLOOKUP($D131,'Final Update'!$P$21:$AD1000,Column(H129),False))</f>
        <v/>
      </c>
      <c r="G131" s="359" t="str">
        <f>IF($D131="","", VLOOKUP($D131,'Final Update'!$P$21:$AD1000,Column(I129),False))</f>
        <v/>
      </c>
      <c r="H131" s="359" t="str">
        <f>IF($D131="","", VLOOKUP($D131,'Final Update'!$P$21:$AD1000,Column(J129),False))</f>
        <v/>
      </c>
      <c r="I131" s="359" t="str">
        <f>IF($D131="","", VLOOKUP($D131,'Final Update'!$P$21:$AD1000,Column(K129),False))</f>
        <v/>
      </c>
      <c r="J131" s="359" t="str">
        <f>IF($D131="","", VLOOKUP($D131,'Final Update'!$P$21:$AD1000,Column(L129),False))</f>
        <v/>
      </c>
      <c r="K131" s="360" t="str">
        <f>IF($D131="","", VLOOKUP($D131,'Final Update'!$P$21:$AD1000,Column(M129),False))</f>
        <v/>
      </c>
      <c r="L131" s="360" t="str">
        <f>IF($D131="","", VLOOKUP($D131,'Final Update'!$P$21:$AD1000,Column(N129),False))</f>
        <v/>
      </c>
      <c r="M131" s="359" t="str">
        <f>IF($D131="","", VLOOKUP($D131,'Final Update'!$P$21:$AD1000,Column(O129),False))</f>
        <v/>
      </c>
      <c r="N131" s="359" t="str">
        <f>IF($D131="","", VLOOKUP($D131,'Final Update'!$P$21:$AD1000,Column(C129),False))</f>
        <v/>
      </c>
      <c r="O131" s="170"/>
      <c r="P131" s="170"/>
      <c r="Q131" s="170"/>
      <c r="R131" s="170"/>
      <c r="S131" s="170"/>
      <c r="T131" s="170"/>
      <c r="U131" s="170"/>
      <c r="V131" s="170"/>
      <c r="W131" s="170"/>
      <c r="X131" s="170"/>
      <c r="Y131" s="170"/>
      <c r="Z131" s="170"/>
    </row>
    <row r="132">
      <c r="A132" s="170"/>
      <c r="B132" s="352">
        <f>Projections!$AJ$32</f>
        <v>100</v>
      </c>
      <c r="C132" s="353">
        <v>11.0</v>
      </c>
      <c r="D132" s="362" t="str">
        <f t="array" ref="D132">INDIRECT("Draft!N"&amp;TEXT(A121+2,"0"))</f>
        <v/>
      </c>
      <c r="E132" s="359" t="str">
        <f>IF($D132="","", VLOOKUP($D132,'Final Update'!$P$21:$AD1000,Column(G130),False))</f>
        <v/>
      </c>
      <c r="F132" s="359" t="str">
        <f>IF($D132="","", VLOOKUP($D132,'Final Update'!$P$21:$AD1000,Column(H130),False))</f>
        <v/>
      </c>
      <c r="G132" s="359" t="str">
        <f>IF($D132="","", VLOOKUP($D132,'Final Update'!$P$21:$AD1000,Column(I130),False))</f>
        <v/>
      </c>
      <c r="H132" s="359" t="str">
        <f>IF($D132="","", VLOOKUP($D132,'Final Update'!$P$21:$AD1000,Column(J130),False))</f>
        <v/>
      </c>
      <c r="I132" s="359" t="str">
        <f>IF($D132="","", VLOOKUP($D132,'Final Update'!$P$21:$AD1000,Column(K130),False))</f>
        <v/>
      </c>
      <c r="J132" s="359" t="str">
        <f>IF($D132="","", VLOOKUP($D132,'Final Update'!$P$21:$AD1000,Column(L130),False))</f>
        <v/>
      </c>
      <c r="K132" s="360" t="str">
        <f>IF($D132="","", VLOOKUP($D132,'Final Update'!$P$21:$AD1000,Column(M130),False))</f>
        <v/>
      </c>
      <c r="L132" s="360" t="str">
        <f>IF($D132="","", VLOOKUP($D132,'Final Update'!$P$21:$AD1000,Column(N130),False))</f>
        <v/>
      </c>
      <c r="M132" s="359" t="str">
        <f>IF($D132="","", VLOOKUP($D132,'Final Update'!$P$21:$AD1000,Column(O130),False))</f>
        <v/>
      </c>
      <c r="N132" s="359" t="str">
        <f>IF($D132="","", VLOOKUP($D132,'Final Update'!$P$21:$AD1000,Column(C130),False))</f>
        <v/>
      </c>
      <c r="O132" s="170"/>
      <c r="P132" s="170"/>
      <c r="Q132" s="170"/>
      <c r="R132" s="170"/>
      <c r="S132" s="170"/>
      <c r="T132" s="170"/>
      <c r="U132" s="170"/>
      <c r="V132" s="170"/>
      <c r="W132" s="170"/>
      <c r="X132" s="170"/>
      <c r="Y132" s="170"/>
      <c r="Z132" s="170"/>
    </row>
    <row r="133">
      <c r="A133" s="170"/>
      <c r="B133" s="352">
        <f>Projections!$AJ$33</f>
        <v>100</v>
      </c>
      <c r="C133" s="353">
        <v>12.0</v>
      </c>
      <c r="D133" s="363" t="str">
        <f t="array" ref="D133">INDIRECT("Draft!O"&amp;TEXT(15-A121,"0"))</f>
        <v/>
      </c>
      <c r="E133" s="359" t="str">
        <f>IF($D133="","", VLOOKUP($D133,'Final Update'!$P$21:$AD1000,Column(G131),False))</f>
        <v/>
      </c>
      <c r="F133" s="359" t="str">
        <f>IF($D133="","", VLOOKUP($D133,'Final Update'!$P$21:$AD1000,Column(H131),False))</f>
        <v/>
      </c>
      <c r="G133" s="359" t="str">
        <f>IF($D133="","", VLOOKUP($D133,'Final Update'!$P$21:$AD1000,Column(I131),False))</f>
        <v/>
      </c>
      <c r="H133" s="359" t="str">
        <f>IF($D133="","", VLOOKUP($D133,'Final Update'!$P$21:$AD1000,Column(J131),False))</f>
        <v/>
      </c>
      <c r="I133" s="359" t="str">
        <f>IF($D133="","", VLOOKUP($D133,'Final Update'!$P$21:$AD1000,Column(K131),False))</f>
        <v/>
      </c>
      <c r="J133" s="359" t="str">
        <f>IF($D133="","", VLOOKUP($D133,'Final Update'!$P$21:$AD1000,Column(L131),False))</f>
        <v/>
      </c>
      <c r="K133" s="360" t="str">
        <f>IF($D133="","", VLOOKUP($D133,'Final Update'!$P$21:$AD1000,Column(M131),False))</f>
        <v/>
      </c>
      <c r="L133" s="360" t="str">
        <f>IF($D133="","", VLOOKUP($D133,'Final Update'!$P$21:$AD1000,Column(N131),False))</f>
        <v/>
      </c>
      <c r="M133" s="359" t="str">
        <f>IF($D133="","", VLOOKUP($D133,'Final Update'!$P$21:$AD1000,Column(O131),False))</f>
        <v/>
      </c>
      <c r="N133" s="359" t="str">
        <f>IF($D133="","", VLOOKUP($D133,'Final Update'!$P$21:$AD1000,Column(C131),False))</f>
        <v/>
      </c>
      <c r="O133" s="170"/>
      <c r="P133" s="170"/>
      <c r="Q133" s="170"/>
      <c r="R133" s="170"/>
      <c r="S133" s="170"/>
      <c r="T133" s="170"/>
      <c r="U133" s="170"/>
      <c r="V133" s="170"/>
      <c r="W133" s="170"/>
      <c r="X133" s="170"/>
      <c r="Y133" s="170"/>
      <c r="Z133" s="170"/>
    </row>
    <row r="134">
      <c r="A134" s="170"/>
      <c r="B134" s="405">
        <v>75.0</v>
      </c>
      <c r="C134" s="353">
        <v>13.0</v>
      </c>
      <c r="D134" s="362" t="str">
        <f t="array" ref="D134">INDIRECT("Draft!P"&amp;TEXT(A121+2,"0"))</f>
        <v/>
      </c>
      <c r="E134" s="359" t="str">
        <f>IF($D134="","", VLOOKUP($D134,'Final Update'!$P$21:$AD1000,Column(G132),False))</f>
        <v/>
      </c>
      <c r="F134" s="359" t="str">
        <f>IF($D134="","", VLOOKUP($D134,'Final Update'!$P$21:$AD1000,Column(H132),False))</f>
        <v/>
      </c>
      <c r="G134" s="359" t="str">
        <f>IF($D134="","", VLOOKUP($D134,'Final Update'!$P$21:$AD1000,Column(I132),False))</f>
        <v/>
      </c>
      <c r="H134" s="359" t="str">
        <f>IF($D134="","", VLOOKUP($D134,'Final Update'!$P$21:$AD1000,Column(J132),False))</f>
        <v/>
      </c>
      <c r="I134" s="359" t="str">
        <f>IF($D134="","", VLOOKUP($D134,'Final Update'!$P$21:$AD1000,Column(K132),False))</f>
        <v/>
      </c>
      <c r="J134" s="359" t="str">
        <f>IF($D134="","", VLOOKUP($D134,'Final Update'!$P$21:$AD1000,Column(L132),False))</f>
        <v/>
      </c>
      <c r="K134" s="360" t="str">
        <f>IF($D134="","", VLOOKUP($D134,'Final Update'!$P$21:$AD1000,Column(M132),False))</f>
        <v/>
      </c>
      <c r="L134" s="360" t="str">
        <f>IF($D134="","", VLOOKUP($D134,'Final Update'!$P$21:$AD1000,Column(N132),False))</f>
        <v/>
      </c>
      <c r="M134" s="359" t="str">
        <f>IF($D134="","", VLOOKUP($D134,'Final Update'!$P$21:$AD1000,Column(O132),False))</f>
        <v/>
      </c>
      <c r="N134" s="359" t="str">
        <f>IF($D134="","", VLOOKUP($D134,'Final Update'!$P$21:$AD1000,Column(C132),False))</f>
        <v/>
      </c>
      <c r="O134" s="170"/>
      <c r="P134" s="170"/>
      <c r="Q134" s="170"/>
      <c r="R134" s="170"/>
      <c r="S134" s="170"/>
      <c r="T134" s="170"/>
      <c r="U134" s="170"/>
      <c r="V134" s="170"/>
      <c r="W134" s="170"/>
      <c r="X134" s="170"/>
      <c r="Y134" s="170"/>
      <c r="Z134" s="170"/>
    </row>
    <row r="135">
      <c r="A135" s="170"/>
      <c r="B135" s="352">
        <f>Projections!$AJ$35</f>
        <v>50</v>
      </c>
      <c r="C135" s="353">
        <v>14.0</v>
      </c>
      <c r="D135" s="363" t="str">
        <f t="array" ref="D135">INDIRECT("Draft!Q"&amp;TEXT(15-A121,"0"))</f>
        <v/>
      </c>
      <c r="E135" s="359" t="str">
        <f>IF($D135="","", VLOOKUP($D135,'Final Update'!$P$21:$AD1000,Column(G133),False))</f>
        <v/>
      </c>
      <c r="F135" s="359" t="str">
        <f>IF($D135="","", VLOOKUP($D135,'Final Update'!$P$21:$AD1000,Column(H133),False))</f>
        <v/>
      </c>
      <c r="G135" s="359" t="str">
        <f>IF($D135="","", VLOOKUP($D135,'Final Update'!$P$21:$AD1000,Column(I133),False))</f>
        <v/>
      </c>
      <c r="H135" s="359" t="str">
        <f>IF($D135="","", VLOOKUP($D135,'Final Update'!$P$21:$AD1000,Column(J133),False))</f>
        <v/>
      </c>
      <c r="I135" s="359" t="str">
        <f>IF($D135="","", VLOOKUP($D135,'Final Update'!$P$21:$AD1000,Column(K133),False))</f>
        <v/>
      </c>
      <c r="J135" s="359" t="str">
        <f>IF($D135="","", VLOOKUP($D135,'Final Update'!$P$21:$AD1000,Column(L133),False))</f>
        <v/>
      </c>
      <c r="K135" s="360" t="str">
        <f>IF($D135="","", VLOOKUP($D135,'Final Update'!$P$21:$AD1000,Column(M133),False))</f>
        <v/>
      </c>
      <c r="L135" s="360" t="str">
        <f>IF($D135="","", VLOOKUP($D135,'Final Update'!$P$21:$AD1000,Column(N133),False))</f>
        <v/>
      </c>
      <c r="M135" s="359" t="str">
        <f>IF($D135="","", VLOOKUP($D135,'Final Update'!$P$21:$AD1000,Column(O133),False))</f>
        <v/>
      </c>
      <c r="N135" s="359" t="str">
        <f>IF($D135="","", VLOOKUP($D135,'Final Update'!$P$21:$AD1000,Column(C133),False))</f>
        <v/>
      </c>
      <c r="O135" s="170"/>
      <c r="P135" s="170"/>
      <c r="Q135" s="170"/>
      <c r="R135" s="170"/>
      <c r="S135" s="170"/>
      <c r="T135" s="170"/>
      <c r="U135" s="170"/>
      <c r="V135" s="170"/>
      <c r="W135" s="170"/>
      <c r="X135" s="170"/>
      <c r="Y135" s="170"/>
      <c r="Z135" s="170"/>
    </row>
    <row r="136">
      <c r="A136" s="348" t="s">
        <v>5</v>
      </c>
      <c r="B136" s="170"/>
      <c r="C136" s="170"/>
      <c r="D136" s="351" t="s">
        <v>1328</v>
      </c>
      <c r="E136" s="365" t="str">
        <f t="shared" ref="E136:J136" si="8">IFERROR(AVERAGE(SUMPRODUCT(E122:E135,$B122:$B135/100))/(SUM(OFFSET($B122,0,0,COUNT(E122:E135)))/100),"")</f>
        <v/>
      </c>
      <c r="F136" s="365" t="str">
        <f t="shared" si="8"/>
        <v/>
      </c>
      <c r="G136" s="365" t="str">
        <f t="shared" si="8"/>
        <v/>
      </c>
      <c r="H136" s="365" t="str">
        <f t="shared" si="8"/>
        <v/>
      </c>
      <c r="I136" s="365" t="str">
        <f t="shared" si="8"/>
        <v/>
      </c>
      <c r="J136" s="365" t="str">
        <f t="shared" si="8"/>
        <v/>
      </c>
      <c r="K136" s="365" t="str">
        <f t="array" ref="K136">IFERROR(100*SUMPRODUCT(IFERROR(VLOOKUP($D122:$D135,UpdateHashtag!$C:$S,6,False),"")*$B122:$B135/100)/SUMPRODUCT(IFERROR(VLOOKUP($D122:$D135,UpdateHashtag!$C:$S,17,False),"")*$B122:$B135/100),"")</f>
        <v/>
      </c>
      <c r="L136" s="365" t="str">
        <f t="array" ref="L136">IFERROR(100*SUMPRODUCT(IFERROR(VLOOKUP($D122:$D135,UpdateHashtag!$C:$T,8,False),"")*$B122:$B135/100)/SUMPRODUCT(IFERROR(VLOOKUP($D122:$D135,UpdateHashtag!$C:$T,18,False),"")*$B122:$B135/100),"")</f>
        <v/>
      </c>
      <c r="M136" s="365" t="str">
        <f>IFERROR(AVERAGE(SUMPRODUCT(M122:M135,$B122:$B135/100))/(SUM(OFFSET($B122,0,0,COUNT(M122:M135)))/100),"")</f>
        <v/>
      </c>
      <c r="N136" s="170"/>
      <c r="O136" s="170"/>
      <c r="P136" s="170"/>
      <c r="Q136" s="170"/>
      <c r="R136" s="170"/>
      <c r="S136" s="170"/>
      <c r="T136" s="170"/>
      <c r="U136" s="170"/>
      <c r="V136" s="170"/>
      <c r="W136" s="170"/>
      <c r="X136" s="170"/>
      <c r="Y136" s="170"/>
      <c r="Z136" s="170"/>
    </row>
    <row r="137">
      <c r="A137" s="170"/>
      <c r="B137" s="170"/>
      <c r="C137" s="170"/>
      <c r="D137" s="351" t="s">
        <v>1329</v>
      </c>
      <c r="E137" s="366" t="str">
        <f>IFERROR((SUM(OFFSET('All Teams'!$B122,0,0,COUNT('All Teams'!E122:E135)))/100)*('All Teams'!E136-'Final Update'!$B$1)/'Final Update'!$B$2,"")</f>
        <v/>
      </c>
      <c r="F137" s="366" t="str">
        <f>IFERROR((SUM(OFFSET('All Teams'!$B122,0,0,COUNT('All Teams'!F122:F135)))/100)*('All Teams'!F136-'Final Update'!$C$1)/'Final Update'!$C$2,"")</f>
        <v/>
      </c>
      <c r="G137" s="366" t="str">
        <f>IFERROR((SUM(OFFSET('All Teams'!$B122,0,0,COUNT('All Teams'!G122:G135)))/100)*('All Teams'!G136-'Final Update'!$D$1)/'Final Update'!$D$2,"")</f>
        <v/>
      </c>
      <c r="H137" s="366" t="str">
        <f>IFERROR((SUM(OFFSET('All Teams'!$B122,0,0,COUNT('All Teams'!H122:H135)))/100)*('All Teams'!H136-'Final Update'!$E$1)/'Final Update'!$E$2,"")</f>
        <v/>
      </c>
      <c r="I137" s="366" t="str">
        <f>IFERROR((SUM(OFFSET('All Teams'!$B122,0,0,COUNT('All Teams'!I122:I135)))/100)*('All Teams'!I136-'Final Update'!$F$1)/'Final Update'!$F$2,"")</f>
        <v/>
      </c>
      <c r="J137" s="366" t="str">
        <f>IFERROR((SUM(OFFSET('All Teams'!$B122,0,0,COUNT('All Teams'!J122:J135)))/100)*('All Teams'!J136-'Final Update'!$G$1)/'Final Update'!$G$2,"")</f>
        <v/>
      </c>
      <c r="K137" s="366">
        <f t="array" ref="K137">SUMPRODUCT(IFERROR(VLOOKUP($D122:$D135,'Final Update'!$A$4:$L$403,8,False)*$B122:$B135/100,""))</f>
        <v>0</v>
      </c>
      <c r="L137" s="366">
        <f t="array" ref="L137">SUMPRODUCT(IFERROR(VLOOKUP($D122:$D135,'Final Update'!$A$4:$L$403,10,False)*$B122:$B135/100,""))</f>
        <v>0</v>
      </c>
      <c r="M137" s="366" t="str">
        <f>IFERROR(-(SUM(OFFSET('All Teams'!$B122,0,0,COUNT('All Teams'!M122:M135)))/100)*('All Teams'!M136-'Final Update'!$L$1)/'Final Update'!$L$2,"")</f>
        <v/>
      </c>
      <c r="N137" s="170"/>
      <c r="O137" s="170"/>
      <c r="P137" s="170"/>
      <c r="Q137" s="170"/>
      <c r="R137" s="170"/>
      <c r="S137" s="170"/>
      <c r="T137" s="170"/>
      <c r="U137" s="170"/>
      <c r="V137" s="170"/>
      <c r="W137" s="170"/>
      <c r="X137" s="170"/>
      <c r="Y137" s="170"/>
      <c r="Z137" s="170"/>
    </row>
    <row r="138">
      <c r="A138" s="349">
        <v>9.0</v>
      </c>
      <c r="B138" s="350" t="s">
        <v>810</v>
      </c>
      <c r="C138" s="351" t="s">
        <v>812</v>
      </c>
      <c r="D138" s="350" t="s">
        <v>1076</v>
      </c>
      <c r="E138" s="350" t="s">
        <v>11</v>
      </c>
      <c r="F138" s="350" t="s">
        <v>51</v>
      </c>
      <c r="G138" s="350" t="s">
        <v>53</v>
      </c>
      <c r="H138" s="350" t="s">
        <v>14</v>
      </c>
      <c r="I138" s="350" t="s">
        <v>15</v>
      </c>
      <c r="J138" s="350" t="s">
        <v>16</v>
      </c>
      <c r="K138" s="350" t="s">
        <v>8</v>
      </c>
      <c r="L138" s="350" t="s">
        <v>9</v>
      </c>
      <c r="M138" s="350" t="s">
        <v>17</v>
      </c>
      <c r="N138" s="350" t="s">
        <v>4</v>
      </c>
      <c r="O138" s="350" t="s">
        <v>816</v>
      </c>
      <c r="P138" s="350" t="s">
        <v>4</v>
      </c>
      <c r="Q138" s="170"/>
      <c r="R138" s="170"/>
      <c r="S138" s="170"/>
      <c r="T138" s="170"/>
      <c r="U138" s="170"/>
      <c r="V138" s="170"/>
      <c r="W138" s="170"/>
      <c r="X138" s="170"/>
      <c r="Y138" s="170"/>
      <c r="Z138" s="170"/>
    </row>
    <row r="139">
      <c r="A139" s="170"/>
      <c r="B139" s="352">
        <f>Projections!$AJ$22</f>
        <v>100</v>
      </c>
      <c r="C139" s="353">
        <v>1.0</v>
      </c>
      <c r="D139" s="354" t="str">
        <f t="array" ref="D139">INDIRECT("Draft!D"&amp;TEXT(A138+2,"0"))</f>
        <v/>
      </c>
      <c r="E139" s="355" t="str">
        <f>IF($D139="","", VLOOKUP($D139,'Final Update'!$P$21:$AD1000,Column(G137),False))</f>
        <v/>
      </c>
      <c r="F139" s="355" t="str">
        <f>IF($D139="","", VLOOKUP($D139,'Final Update'!$P$21:$AD1000,Column(H137),False))</f>
        <v/>
      </c>
      <c r="G139" s="355" t="str">
        <f>IF($D139="","", VLOOKUP($D139,'Final Update'!$P$21:$AD1000,Column(I137),False))</f>
        <v/>
      </c>
      <c r="H139" s="355" t="str">
        <f>IF($D139="","", VLOOKUP($D139,'Final Update'!$P$21:$AD1000,Column(J137),False))</f>
        <v/>
      </c>
      <c r="I139" s="355" t="str">
        <f>IF($D139="","", VLOOKUP($D139,'Final Update'!$P$21:$AD1000,Column(K137),False))</f>
        <v/>
      </c>
      <c r="J139" s="355" t="str">
        <f>IF($D139="","", VLOOKUP($D139,'Final Update'!$P$21:$AD1000,Column(L137),False))</f>
        <v/>
      </c>
      <c r="K139" s="356" t="str">
        <f>IF($D139="","", VLOOKUP($D139,'Final Update'!$P$21:$AD1000,Column(M137),False))</f>
        <v/>
      </c>
      <c r="L139" s="356" t="str">
        <f>IF($D139="","", VLOOKUP($D139,'Final Update'!$P$21:$AD1000,Column(N137),False))</f>
        <v/>
      </c>
      <c r="M139" s="355" t="str">
        <f>IF($D139="","", VLOOKUP($D139,'Final Update'!$P$21:$AD1000,Column(O137),False))</f>
        <v/>
      </c>
      <c r="N139" s="355" t="str">
        <f>IF($D139="","", VLOOKUP($D139,'Final Update'!$P$21:$AD1000,Column(C137),False))</f>
        <v/>
      </c>
      <c r="O139" s="353">
        <f t="array" ref="O139">COUNTIF(FIND(P139,$N139:$N152),"&gt;0")</f>
        <v>0</v>
      </c>
      <c r="P139" s="354" t="s">
        <v>44</v>
      </c>
      <c r="Q139" s="170"/>
      <c r="R139" s="170"/>
      <c r="S139" s="170"/>
      <c r="T139" s="170"/>
      <c r="U139" s="170"/>
      <c r="V139" s="170"/>
      <c r="W139" s="170"/>
      <c r="X139" s="170"/>
      <c r="Y139" s="170"/>
      <c r="Z139" s="170"/>
    </row>
    <row r="140">
      <c r="A140" s="170"/>
      <c r="B140" s="352">
        <f>Projections!$AJ$23</f>
        <v>100</v>
      </c>
      <c r="C140" s="353">
        <v>2.0</v>
      </c>
      <c r="D140" s="357" t="str">
        <f t="array" ref="D140">INDIRECT("Draft!E"&amp;TEXT(15-A138,"0"))</f>
        <v/>
      </c>
      <c r="E140" s="355" t="str">
        <f>IF($D140="","", VLOOKUP($D140,'Final Update'!$P$21:$AD1000,Column(G138),False))</f>
        <v/>
      </c>
      <c r="F140" s="355" t="str">
        <f>IF($D140="","", VLOOKUP($D140,'Final Update'!$P$21:$AD1000,Column(H138),False))</f>
        <v/>
      </c>
      <c r="G140" s="355" t="str">
        <f>IF($D140="","", VLOOKUP($D140,'Final Update'!$P$21:$AD1000,Column(I138),False))</f>
        <v/>
      </c>
      <c r="H140" s="355" t="str">
        <f>IF($D140="","", VLOOKUP($D140,'Final Update'!$P$21:$AD1000,Column(J138),False))</f>
        <v/>
      </c>
      <c r="I140" s="355" t="str">
        <f>IF($D140="","", VLOOKUP($D140,'Final Update'!$P$21:$AD1000,Column(K138),False))</f>
        <v/>
      </c>
      <c r="J140" s="355" t="str">
        <f>IF($D140="","", VLOOKUP($D140,'Final Update'!$P$21:$AD1000,Column(L138),False))</f>
        <v/>
      </c>
      <c r="K140" s="356" t="str">
        <f>IF($D140="","", VLOOKUP($D140,'Final Update'!$P$21:$AD1000,Column(M138),False))</f>
        <v/>
      </c>
      <c r="L140" s="356" t="str">
        <f>IF($D140="","", VLOOKUP($D140,'Final Update'!$P$21:$AD1000,Column(N138),False))</f>
        <v/>
      </c>
      <c r="M140" s="355" t="str">
        <f>IF($D140="","", VLOOKUP($D140,'Final Update'!$P$21:$AD1000,Column(O138),False))</f>
        <v/>
      </c>
      <c r="N140" s="355" t="str">
        <f>IF($D140="","", VLOOKUP($D140,'Final Update'!$P$21:$AD1000,Column(C138),False))</f>
        <v/>
      </c>
      <c r="O140" s="353">
        <f t="array" ref="O140">COUNTIF(FIND(P140,$N139:$N152),"&gt;0")</f>
        <v>0</v>
      </c>
      <c r="P140" s="354" t="s">
        <v>71</v>
      </c>
      <c r="Q140" s="170"/>
      <c r="R140" s="170"/>
      <c r="S140" s="170"/>
      <c r="T140" s="170"/>
      <c r="U140" s="170"/>
      <c r="V140" s="170"/>
      <c r="W140" s="170"/>
      <c r="X140" s="170"/>
      <c r="Y140" s="170"/>
      <c r="Z140" s="170"/>
    </row>
    <row r="141">
      <c r="A141" s="170"/>
      <c r="B141" s="352">
        <f>Projections!$AJ$24</f>
        <v>100</v>
      </c>
      <c r="C141" s="353">
        <v>3.0</v>
      </c>
      <c r="D141" s="358" t="str">
        <f t="array" ref="D141">INDIRECT("Draft!F"&amp;TEXT(A138+2,"0"))</f>
        <v/>
      </c>
      <c r="E141" s="359" t="str">
        <f>IF($D141="","", VLOOKUP($D141,'Final Update'!$P$21:$AD1000,Column(G139),False))</f>
        <v/>
      </c>
      <c r="F141" s="359" t="str">
        <f>IF($D141="","", VLOOKUP($D141,'Final Update'!$P$21:$AD1000,Column(H139),False))</f>
        <v/>
      </c>
      <c r="G141" s="359" t="str">
        <f>IF($D141="","", VLOOKUP($D141,'Final Update'!$P$21:$AD1000,Column(I139),False))</f>
        <v/>
      </c>
      <c r="H141" s="359" t="str">
        <f>IF($D141="","", VLOOKUP($D141,'Final Update'!$P$21:$AD1000,Column(J139),False))</f>
        <v/>
      </c>
      <c r="I141" s="359" t="str">
        <f>IF($D141="","", VLOOKUP($D141,'Final Update'!$P$21:$AD1000,Column(K139),False))</f>
        <v/>
      </c>
      <c r="J141" s="359" t="str">
        <f>IF($D141="","", VLOOKUP($D141,'Final Update'!$P$21:$AD1000,Column(L139),False))</f>
        <v/>
      </c>
      <c r="K141" s="360" t="str">
        <f>IF($D141="","", VLOOKUP($D141,'Final Update'!$P$21:$AD1000,Column(M139),False))</f>
        <v/>
      </c>
      <c r="L141" s="360" t="str">
        <f>IF($D141="","", VLOOKUP($D141,'Final Update'!$P$21:$AD1000,Column(N139),False))</f>
        <v/>
      </c>
      <c r="M141" s="359" t="str">
        <f>IF($D141="","", VLOOKUP($D141,'Final Update'!$P$21:$AD1000,Column(O139),False))</f>
        <v/>
      </c>
      <c r="N141" s="359" t="str">
        <f>IF($D141="","", VLOOKUP($D141,'Final Update'!$P$21:$AD1000,Column(C139),False))</f>
        <v/>
      </c>
      <c r="O141" s="353">
        <f t="array" ref="O141">COUNTIF(FIND(P141,$N139:$N152),"&gt;0")</f>
        <v>0</v>
      </c>
      <c r="P141" s="354" t="s">
        <v>72</v>
      </c>
      <c r="Q141" s="170"/>
      <c r="R141" s="170"/>
      <c r="S141" s="170"/>
      <c r="T141" s="170"/>
      <c r="U141" s="170"/>
      <c r="V141" s="170"/>
      <c r="W141" s="170"/>
      <c r="X141" s="170"/>
      <c r="Y141" s="170"/>
      <c r="Z141" s="170"/>
    </row>
    <row r="142">
      <c r="A142" s="170"/>
      <c r="B142" s="352">
        <f>Projections!$AJ$25</f>
        <v>100</v>
      </c>
      <c r="C142" s="353">
        <v>4.0</v>
      </c>
      <c r="D142" s="361" t="str">
        <f t="array" ref="D142">INDIRECT("Draft!G"&amp;TEXT(15-A138,"0"))</f>
        <v/>
      </c>
      <c r="E142" s="359" t="str">
        <f>IF($D142="","", VLOOKUP($D142,'Final Update'!$P$21:$AD1000,Column(G140),False))</f>
        <v/>
      </c>
      <c r="F142" s="359" t="str">
        <f>IF($D142="","", VLOOKUP($D142,'Final Update'!$P$21:$AD1000,Column(H140),False))</f>
        <v/>
      </c>
      <c r="G142" s="359" t="str">
        <f>IF($D142="","", VLOOKUP($D142,'Final Update'!$P$21:$AD1000,Column(I140),False))</f>
        <v/>
      </c>
      <c r="H142" s="359" t="str">
        <f>IF($D142="","", VLOOKUP($D142,'Final Update'!$P$21:$AD1000,Column(J140),False))</f>
        <v/>
      </c>
      <c r="I142" s="359" t="str">
        <f>IF($D142="","", VLOOKUP($D142,'Final Update'!$P$21:$AD1000,Column(K140),False))</f>
        <v/>
      </c>
      <c r="J142" s="359" t="str">
        <f>IF($D142="","", VLOOKUP($D142,'Final Update'!$P$21:$AD1000,Column(L140),False))</f>
        <v/>
      </c>
      <c r="K142" s="360" t="str">
        <f>IF($D142="","", VLOOKUP($D142,'Final Update'!$P$21:$AD1000,Column(M140),False))</f>
        <v/>
      </c>
      <c r="L142" s="360" t="str">
        <f>IF($D142="","", VLOOKUP($D142,'Final Update'!$P$21:$AD1000,Column(N140),False))</f>
        <v/>
      </c>
      <c r="M142" s="359" t="str">
        <f>IF($D142="","", VLOOKUP($D142,'Final Update'!$P$21:$AD1000,Column(O140),False))</f>
        <v/>
      </c>
      <c r="N142" s="359" t="str">
        <f>IF($D142="","", VLOOKUP($D142,'Final Update'!$P$21:$AD1000,Column(C140),False))</f>
        <v/>
      </c>
      <c r="O142" s="353">
        <f t="array" ref="O142">COUNTIF(FIND(P142,$N139:$N152),"&gt;0")</f>
        <v>0</v>
      </c>
      <c r="P142" s="354" t="s">
        <v>73</v>
      </c>
      <c r="Q142" s="170"/>
      <c r="R142" s="170"/>
      <c r="S142" s="170"/>
      <c r="T142" s="170"/>
      <c r="U142" s="170"/>
      <c r="V142" s="170"/>
      <c r="W142" s="170"/>
      <c r="X142" s="170"/>
      <c r="Y142" s="170"/>
      <c r="Z142" s="170"/>
    </row>
    <row r="143">
      <c r="A143" s="170"/>
      <c r="B143" s="352">
        <f>Projections!$AJ$26</f>
        <v>100</v>
      </c>
      <c r="C143" s="353">
        <v>5.0</v>
      </c>
      <c r="D143" s="362" t="str">
        <f t="array" ref="D143">INDIRECT("Draft!H"&amp;TEXT(A138+2,"0"))</f>
        <v/>
      </c>
      <c r="E143" s="359" t="str">
        <f>IF($D143="","", VLOOKUP($D143,'Final Update'!$P$21:$AD1000,Column(G141),False))</f>
        <v/>
      </c>
      <c r="F143" s="359" t="str">
        <f>IF($D143="","", VLOOKUP($D143,'Final Update'!$P$21:$AD1000,Column(H141),False))</f>
        <v/>
      </c>
      <c r="G143" s="359" t="str">
        <f>IF($D143="","", VLOOKUP($D143,'Final Update'!$P$21:$AD1000,Column(I141),False))</f>
        <v/>
      </c>
      <c r="H143" s="359" t="str">
        <f>IF($D143="","", VLOOKUP($D143,'Final Update'!$P$21:$AD1000,Column(J141),False))</f>
        <v/>
      </c>
      <c r="I143" s="359" t="str">
        <f>IF($D143="","", VLOOKUP($D143,'Final Update'!$P$21:$AD1000,Column(K141),False))</f>
        <v/>
      </c>
      <c r="J143" s="359" t="str">
        <f>IF($D143="","", VLOOKUP($D143,'Final Update'!$P$21:$AD1000,Column(L141),False))</f>
        <v/>
      </c>
      <c r="K143" s="360" t="str">
        <f>IF($D143="","", VLOOKUP($D143,'Final Update'!$P$21:$AD1000,Column(M141),False))</f>
        <v/>
      </c>
      <c r="L143" s="360" t="str">
        <f>IF($D143="","", VLOOKUP($D143,'Final Update'!$P$21:$AD1000,Column(N141),False))</f>
        <v/>
      </c>
      <c r="M143" s="359" t="str">
        <f>IF($D143="","", VLOOKUP($D143,'Final Update'!$P$21:$AD1000,Column(O141),False))</f>
        <v/>
      </c>
      <c r="N143" s="359" t="str">
        <f>IF($D143="","", VLOOKUP($D143,'Final Update'!$P$21:$AD1000,Column(C141),False))</f>
        <v/>
      </c>
      <c r="O143" s="353">
        <f t="array" ref="O143">COUNTIF(FIND(P143,$N139:$N152),"&gt;0")</f>
        <v>0</v>
      </c>
      <c r="P143" s="354" t="s">
        <v>34</v>
      </c>
      <c r="Q143" s="170"/>
      <c r="R143" s="170"/>
      <c r="S143" s="170"/>
      <c r="T143" s="170"/>
      <c r="U143" s="170"/>
      <c r="V143" s="170"/>
      <c r="W143" s="170"/>
      <c r="X143" s="170"/>
      <c r="Y143" s="170"/>
      <c r="Z143" s="170"/>
    </row>
    <row r="144">
      <c r="A144" s="170"/>
      <c r="B144" s="352">
        <f>Projections!$AJ$27</f>
        <v>100</v>
      </c>
      <c r="C144" s="353">
        <v>6.0</v>
      </c>
      <c r="D144" s="363" t="str">
        <f t="array" ref="D144">INDIRECT("Draft!I"&amp;TEXT(15-A138,"0"))</f>
        <v/>
      </c>
      <c r="E144" s="359" t="str">
        <f>IF($D144="","", VLOOKUP($D144,'Final Update'!$P$21:$AD1000,Column(G142),False))</f>
        <v/>
      </c>
      <c r="F144" s="359" t="str">
        <f>IF($D144="","", VLOOKUP($D144,'Final Update'!$P$21:$AD1000,Column(H142),False))</f>
        <v/>
      </c>
      <c r="G144" s="359" t="str">
        <f>IF($D144="","", VLOOKUP($D144,'Final Update'!$P$21:$AD1000,Column(I142),False))</f>
        <v/>
      </c>
      <c r="H144" s="359" t="str">
        <f>IF($D144="","", VLOOKUP($D144,'Final Update'!$P$21:$AD1000,Column(J142),False))</f>
        <v/>
      </c>
      <c r="I144" s="359" t="str">
        <f>IF($D144="","", VLOOKUP($D144,'Final Update'!$P$21:$AD1000,Column(K142),False))</f>
        <v/>
      </c>
      <c r="J144" s="359" t="str">
        <f>IF($D144="","", VLOOKUP($D144,'Final Update'!$P$21:$AD1000,Column(L142),False))</f>
        <v/>
      </c>
      <c r="K144" s="360" t="str">
        <f>IF($D144="","", VLOOKUP($D144,'Final Update'!$P$21:$AD1000,Column(M142),False))</f>
        <v/>
      </c>
      <c r="L144" s="360" t="str">
        <f>IF($D144="","", VLOOKUP($D144,'Final Update'!$P$21:$AD1000,Column(N142),False))</f>
        <v/>
      </c>
      <c r="M144" s="359" t="str">
        <f>IF($D144="","", VLOOKUP($D144,'Final Update'!$P$21:$AD1000,Column(O142),False))</f>
        <v/>
      </c>
      <c r="N144" s="359" t="str">
        <f>IF($D144="","", VLOOKUP($D144,'Final Update'!$P$21:$AD1000,Column(C142),False))</f>
        <v/>
      </c>
      <c r="O144" s="170"/>
      <c r="P144" s="170"/>
      <c r="Q144" s="170"/>
      <c r="R144" s="170"/>
      <c r="S144" s="170"/>
      <c r="T144" s="170"/>
      <c r="U144" s="170"/>
      <c r="V144" s="170"/>
      <c r="W144" s="170"/>
      <c r="X144" s="170"/>
      <c r="Y144" s="170"/>
      <c r="Z144" s="170"/>
    </row>
    <row r="145">
      <c r="A145" s="170"/>
      <c r="B145" s="352">
        <f>Projections!$AJ$28</f>
        <v>100</v>
      </c>
      <c r="C145" s="353">
        <v>7.0</v>
      </c>
      <c r="D145" s="362" t="str">
        <f t="array" ref="D145">INDIRECT("Draft!J"&amp;TEXT(A138+2,"0"))</f>
        <v/>
      </c>
      <c r="E145" s="359" t="str">
        <f>IF($D145="","", VLOOKUP($D145,'Final Update'!$P$21:$AD1000,Column(G143),False))</f>
        <v/>
      </c>
      <c r="F145" s="359" t="str">
        <f>IF($D145="","", VLOOKUP($D145,'Final Update'!$P$21:$AD1000,Column(H143),False))</f>
        <v/>
      </c>
      <c r="G145" s="359" t="str">
        <f>IF($D145="","", VLOOKUP($D145,'Final Update'!$P$21:$AD1000,Column(I143),False))</f>
        <v/>
      </c>
      <c r="H145" s="359" t="str">
        <f>IF($D145="","", VLOOKUP($D145,'Final Update'!$P$21:$AD1000,Column(J143),False))</f>
        <v/>
      </c>
      <c r="I145" s="359" t="str">
        <f>IF($D145="","", VLOOKUP($D145,'Final Update'!$P$21:$AD1000,Column(K143),False))</f>
        <v/>
      </c>
      <c r="J145" s="359" t="str">
        <f>IF($D145="","", VLOOKUP($D145,'Final Update'!$P$21:$AD1000,Column(L143),False))</f>
        <v/>
      </c>
      <c r="K145" s="360" t="str">
        <f>IF($D145="","", VLOOKUP($D145,'Final Update'!$P$21:$AD1000,Column(M143),False))</f>
        <v/>
      </c>
      <c r="L145" s="360" t="str">
        <f>IF($D145="","", VLOOKUP($D145,'Final Update'!$P$21:$AD1000,Column(N143),False))</f>
        <v/>
      </c>
      <c r="M145" s="359" t="str">
        <f>IF($D145="","", VLOOKUP($D145,'Final Update'!$P$21:$AD1000,Column(O143),False))</f>
        <v/>
      </c>
      <c r="N145" s="359" t="str">
        <f>IF($D145="","", VLOOKUP($D145,'Final Update'!$P$21:$AD1000,Column(C143),False))</f>
        <v/>
      </c>
      <c r="O145" s="170"/>
      <c r="P145" s="170"/>
      <c r="Q145" s="170"/>
      <c r="R145" s="170"/>
      <c r="S145" s="170"/>
      <c r="T145" s="170"/>
      <c r="U145" s="170"/>
      <c r="V145" s="170"/>
      <c r="W145" s="170"/>
      <c r="X145" s="170"/>
      <c r="Y145" s="170"/>
      <c r="Z145" s="170"/>
    </row>
    <row r="146">
      <c r="A146" s="170"/>
      <c r="B146" s="352">
        <f>Projections!$AJ$29</f>
        <v>100</v>
      </c>
      <c r="C146" s="353">
        <v>8.0</v>
      </c>
      <c r="D146" s="363" t="str">
        <f t="array" ref="D146">INDIRECT("Draft!K"&amp;TEXT(15-A138,"0"))</f>
        <v/>
      </c>
      <c r="E146" s="359" t="str">
        <f>IF($D146="","", VLOOKUP($D146,'Final Update'!$P$21:$AD1000,Column(G144),False))</f>
        <v/>
      </c>
      <c r="F146" s="359" t="str">
        <f>IF($D146="","", VLOOKUP($D146,'Final Update'!$P$21:$AD1000,Column(H144),False))</f>
        <v/>
      </c>
      <c r="G146" s="359" t="str">
        <f>IF($D146="","", VLOOKUP($D146,'Final Update'!$P$21:$AD1000,Column(I144),False))</f>
        <v/>
      </c>
      <c r="H146" s="359" t="str">
        <f>IF($D146="","", VLOOKUP($D146,'Final Update'!$P$21:$AD1000,Column(J144),False))</f>
        <v/>
      </c>
      <c r="I146" s="359" t="str">
        <f>IF($D146="","", VLOOKUP($D146,'Final Update'!$P$21:$AD1000,Column(K144),False))</f>
        <v/>
      </c>
      <c r="J146" s="359" t="str">
        <f>IF($D146="","", VLOOKUP($D146,'Final Update'!$P$21:$AD1000,Column(L144),False))</f>
        <v/>
      </c>
      <c r="K146" s="360" t="str">
        <f>IF($D146="","", VLOOKUP($D146,'Final Update'!$P$21:$AD1000,Column(M144),False))</f>
        <v/>
      </c>
      <c r="L146" s="360" t="str">
        <f>IF($D146="","", VLOOKUP($D146,'Final Update'!$P$21:$AD1000,Column(N144),False))</f>
        <v/>
      </c>
      <c r="M146" s="359" t="str">
        <f>IF($D146="","", VLOOKUP($D146,'Final Update'!$P$21:$AD1000,Column(O144),False))</f>
        <v/>
      </c>
      <c r="N146" s="359" t="str">
        <f>IF($D146="","", VLOOKUP($D146,'Final Update'!$P$21:$AD1000,Column(C144),False))</f>
        <v/>
      </c>
      <c r="O146" s="170"/>
      <c r="P146" s="170"/>
      <c r="Q146" s="170"/>
      <c r="R146" s="170"/>
      <c r="S146" s="170"/>
      <c r="T146" s="170"/>
      <c r="U146" s="170"/>
      <c r="V146" s="170"/>
      <c r="W146" s="170"/>
      <c r="X146" s="170"/>
      <c r="Y146" s="170"/>
      <c r="Z146" s="170"/>
    </row>
    <row r="147">
      <c r="A147" s="170"/>
      <c r="B147" s="352">
        <f>Projections!$AJ$30</f>
        <v>100</v>
      </c>
      <c r="C147" s="353">
        <v>9.0</v>
      </c>
      <c r="D147" s="362" t="str">
        <f t="array" ref="D147">INDIRECT("Draft!L"&amp;TEXT(A138+2,"0"))</f>
        <v/>
      </c>
      <c r="E147" s="359" t="str">
        <f>IF($D147="","", VLOOKUP($D147,'Final Update'!$P$21:$AD1000,Column(G145),False))</f>
        <v/>
      </c>
      <c r="F147" s="359" t="str">
        <f>IF($D147="","", VLOOKUP($D147,'Final Update'!$P$21:$AD1000,Column(H145),False))</f>
        <v/>
      </c>
      <c r="G147" s="359" t="str">
        <f>IF($D147="","", VLOOKUP($D147,'Final Update'!$P$21:$AD1000,Column(I145),False))</f>
        <v/>
      </c>
      <c r="H147" s="359" t="str">
        <f>IF($D147="","", VLOOKUP($D147,'Final Update'!$P$21:$AD1000,Column(J145),False))</f>
        <v/>
      </c>
      <c r="I147" s="359" t="str">
        <f>IF($D147="","", VLOOKUP($D147,'Final Update'!$P$21:$AD1000,Column(K145),False))</f>
        <v/>
      </c>
      <c r="J147" s="359" t="str">
        <f>IF($D147="","", VLOOKUP($D147,'Final Update'!$P$21:$AD1000,Column(L145),False))</f>
        <v/>
      </c>
      <c r="K147" s="360" t="str">
        <f>IF($D147="","", VLOOKUP($D147,'Final Update'!$P$21:$AD1000,Column(M145),False))</f>
        <v/>
      </c>
      <c r="L147" s="360" t="str">
        <f>IF($D147="","", VLOOKUP($D147,'Final Update'!$P$21:$AD1000,Column(N145),False))</f>
        <v/>
      </c>
      <c r="M147" s="359" t="str">
        <f>IF($D147="","", VLOOKUP($D147,'Final Update'!$P$21:$AD1000,Column(O145),False))</f>
        <v/>
      </c>
      <c r="N147" s="359" t="str">
        <f>IF($D147="","", VLOOKUP($D147,'Final Update'!$P$21:$AD1000,Column(C145),False))</f>
        <v/>
      </c>
      <c r="O147" s="170"/>
      <c r="P147" s="170"/>
      <c r="Q147" s="170"/>
      <c r="R147" s="170"/>
      <c r="S147" s="170"/>
      <c r="T147" s="170"/>
      <c r="U147" s="170"/>
      <c r="V147" s="170"/>
      <c r="W147" s="170"/>
      <c r="X147" s="170"/>
      <c r="Y147" s="170"/>
      <c r="Z147" s="170"/>
    </row>
    <row r="148">
      <c r="A148" s="170"/>
      <c r="B148" s="352">
        <f>Projections!$AJ$31</f>
        <v>100</v>
      </c>
      <c r="C148" s="353">
        <v>10.0</v>
      </c>
      <c r="D148" s="363" t="str">
        <f t="array" ref="D148">INDIRECT("Draft!M"&amp;TEXT(15-A138,"0"))</f>
        <v/>
      </c>
      <c r="E148" s="359" t="str">
        <f>IF($D148="","", VLOOKUP($D148,'Final Update'!$P$21:$AD1000,Column(G146),False))</f>
        <v/>
      </c>
      <c r="F148" s="359" t="str">
        <f>IF($D148="","", VLOOKUP($D148,'Final Update'!$P$21:$AD1000,Column(H146),False))</f>
        <v/>
      </c>
      <c r="G148" s="359" t="str">
        <f>IF($D148="","", VLOOKUP($D148,'Final Update'!$P$21:$AD1000,Column(I146),False))</f>
        <v/>
      </c>
      <c r="H148" s="359" t="str">
        <f>IF($D148="","", VLOOKUP($D148,'Final Update'!$P$21:$AD1000,Column(J146),False))</f>
        <v/>
      </c>
      <c r="I148" s="359" t="str">
        <f>IF($D148="","", VLOOKUP($D148,'Final Update'!$P$21:$AD1000,Column(K146),False))</f>
        <v/>
      </c>
      <c r="J148" s="359" t="str">
        <f>IF($D148="","", VLOOKUP($D148,'Final Update'!$P$21:$AD1000,Column(L146),False))</f>
        <v/>
      </c>
      <c r="K148" s="360" t="str">
        <f>IF($D148="","", VLOOKUP($D148,'Final Update'!$P$21:$AD1000,Column(M146),False))</f>
        <v/>
      </c>
      <c r="L148" s="360" t="str">
        <f>IF($D148="","", VLOOKUP($D148,'Final Update'!$P$21:$AD1000,Column(N146),False))</f>
        <v/>
      </c>
      <c r="M148" s="359" t="str">
        <f>IF($D148="","", VLOOKUP($D148,'Final Update'!$P$21:$AD1000,Column(O146),False))</f>
        <v/>
      </c>
      <c r="N148" s="359" t="str">
        <f>IF($D148="","", VLOOKUP($D148,'Final Update'!$P$21:$AD1000,Column(C146),False))</f>
        <v/>
      </c>
      <c r="O148" s="170"/>
      <c r="P148" s="170"/>
      <c r="Q148" s="170"/>
      <c r="R148" s="170"/>
      <c r="S148" s="170"/>
      <c r="T148" s="170"/>
      <c r="U148" s="170"/>
      <c r="V148" s="170"/>
      <c r="W148" s="170"/>
      <c r="X148" s="170"/>
      <c r="Y148" s="170"/>
      <c r="Z148" s="170"/>
    </row>
    <row r="149">
      <c r="A149" s="170"/>
      <c r="B149" s="352">
        <f>Projections!$AJ$32</f>
        <v>100</v>
      </c>
      <c r="C149" s="353">
        <v>11.0</v>
      </c>
      <c r="D149" s="362" t="str">
        <f t="array" ref="D149">INDIRECT("Draft!N"&amp;TEXT(A138+2,"0"))</f>
        <v/>
      </c>
      <c r="E149" s="359" t="str">
        <f>IF($D149="","", VLOOKUP($D149,'Final Update'!$P$21:$AD1000,Column(G147),False))</f>
        <v/>
      </c>
      <c r="F149" s="359" t="str">
        <f>IF($D149="","", VLOOKUP($D149,'Final Update'!$P$21:$AD1000,Column(H147),False))</f>
        <v/>
      </c>
      <c r="G149" s="359" t="str">
        <f>IF($D149="","", VLOOKUP($D149,'Final Update'!$P$21:$AD1000,Column(I147),False))</f>
        <v/>
      </c>
      <c r="H149" s="359" t="str">
        <f>IF($D149="","", VLOOKUP($D149,'Final Update'!$P$21:$AD1000,Column(J147),False))</f>
        <v/>
      </c>
      <c r="I149" s="359" t="str">
        <f>IF($D149="","", VLOOKUP($D149,'Final Update'!$P$21:$AD1000,Column(K147),False))</f>
        <v/>
      </c>
      <c r="J149" s="359" t="str">
        <f>IF($D149="","", VLOOKUP($D149,'Final Update'!$P$21:$AD1000,Column(L147),False))</f>
        <v/>
      </c>
      <c r="K149" s="360" t="str">
        <f>IF($D149="","", VLOOKUP($D149,'Final Update'!$P$21:$AD1000,Column(M147),False))</f>
        <v/>
      </c>
      <c r="L149" s="360" t="str">
        <f>IF($D149="","", VLOOKUP($D149,'Final Update'!$P$21:$AD1000,Column(N147),False))</f>
        <v/>
      </c>
      <c r="M149" s="359" t="str">
        <f>IF($D149="","", VLOOKUP($D149,'Final Update'!$P$21:$AD1000,Column(O147),False))</f>
        <v/>
      </c>
      <c r="N149" s="359" t="str">
        <f>IF($D149="","", VLOOKUP($D149,'Final Update'!$P$21:$AD1000,Column(C147),False))</f>
        <v/>
      </c>
      <c r="O149" s="170"/>
      <c r="P149" s="170"/>
      <c r="Q149" s="170"/>
      <c r="R149" s="170"/>
      <c r="S149" s="170"/>
      <c r="T149" s="170"/>
      <c r="U149" s="170"/>
      <c r="V149" s="170"/>
      <c r="W149" s="170"/>
      <c r="X149" s="170"/>
      <c r="Y149" s="170"/>
      <c r="Z149" s="170"/>
    </row>
    <row r="150">
      <c r="A150" s="170"/>
      <c r="B150" s="352">
        <f>Projections!$AJ$33</f>
        <v>100</v>
      </c>
      <c r="C150" s="353">
        <v>12.0</v>
      </c>
      <c r="D150" s="363" t="str">
        <f t="array" ref="D150">INDIRECT("Draft!O"&amp;TEXT(15-A138,"0"))</f>
        <v/>
      </c>
      <c r="E150" s="359" t="str">
        <f>IF($D150="","", VLOOKUP($D150,'Final Update'!$P$21:$AD1000,Column(G148),False))</f>
        <v/>
      </c>
      <c r="F150" s="359" t="str">
        <f>IF($D150="","", VLOOKUP($D150,'Final Update'!$P$21:$AD1000,Column(H148),False))</f>
        <v/>
      </c>
      <c r="G150" s="359" t="str">
        <f>IF($D150="","", VLOOKUP($D150,'Final Update'!$P$21:$AD1000,Column(I148),False))</f>
        <v/>
      </c>
      <c r="H150" s="359" t="str">
        <f>IF($D150="","", VLOOKUP($D150,'Final Update'!$P$21:$AD1000,Column(J148),False))</f>
        <v/>
      </c>
      <c r="I150" s="359" t="str">
        <f>IF($D150="","", VLOOKUP($D150,'Final Update'!$P$21:$AD1000,Column(K148),False))</f>
        <v/>
      </c>
      <c r="J150" s="359" t="str">
        <f>IF($D150="","", VLOOKUP($D150,'Final Update'!$P$21:$AD1000,Column(L148),False))</f>
        <v/>
      </c>
      <c r="K150" s="360" t="str">
        <f>IF($D150="","", VLOOKUP($D150,'Final Update'!$P$21:$AD1000,Column(M148),False))</f>
        <v/>
      </c>
      <c r="L150" s="360" t="str">
        <f>IF($D150="","", VLOOKUP($D150,'Final Update'!$P$21:$AD1000,Column(N148),False))</f>
        <v/>
      </c>
      <c r="M150" s="359" t="str">
        <f>IF($D150="","", VLOOKUP($D150,'Final Update'!$P$21:$AD1000,Column(O148),False))</f>
        <v/>
      </c>
      <c r="N150" s="359" t="str">
        <f>IF($D150="","", VLOOKUP($D150,'Final Update'!$P$21:$AD1000,Column(C148),False))</f>
        <v/>
      </c>
      <c r="O150" s="170"/>
      <c r="P150" s="170"/>
      <c r="Q150" s="170"/>
      <c r="R150" s="170"/>
      <c r="S150" s="170"/>
      <c r="T150" s="170"/>
      <c r="U150" s="170"/>
      <c r="V150" s="170"/>
      <c r="W150" s="170"/>
      <c r="X150" s="170"/>
      <c r="Y150" s="170"/>
      <c r="Z150" s="170"/>
    </row>
    <row r="151">
      <c r="A151" s="170"/>
      <c r="B151" s="405">
        <v>75.0</v>
      </c>
      <c r="C151" s="353">
        <v>13.0</v>
      </c>
      <c r="D151" s="362" t="str">
        <f t="array" ref="D151">INDIRECT("Draft!P"&amp;TEXT(A138+2,"0"))</f>
        <v/>
      </c>
      <c r="E151" s="359" t="str">
        <f>IF($D151="","", VLOOKUP($D151,'Final Update'!$P$21:$AD1000,Column(G149),False))</f>
        <v/>
      </c>
      <c r="F151" s="359" t="str">
        <f>IF($D151="","", VLOOKUP($D151,'Final Update'!$P$21:$AD1000,Column(H149),False))</f>
        <v/>
      </c>
      <c r="G151" s="359" t="str">
        <f>IF($D151="","", VLOOKUP($D151,'Final Update'!$P$21:$AD1000,Column(I149),False))</f>
        <v/>
      </c>
      <c r="H151" s="359" t="str">
        <f>IF($D151="","", VLOOKUP($D151,'Final Update'!$P$21:$AD1000,Column(J149),False))</f>
        <v/>
      </c>
      <c r="I151" s="359" t="str">
        <f>IF($D151="","", VLOOKUP($D151,'Final Update'!$P$21:$AD1000,Column(K149),False))</f>
        <v/>
      </c>
      <c r="J151" s="359" t="str">
        <f>IF($D151="","", VLOOKUP($D151,'Final Update'!$P$21:$AD1000,Column(L149),False))</f>
        <v/>
      </c>
      <c r="K151" s="360" t="str">
        <f>IF($D151="","", VLOOKUP($D151,'Final Update'!$P$21:$AD1000,Column(M149),False))</f>
        <v/>
      </c>
      <c r="L151" s="360" t="str">
        <f>IF($D151="","", VLOOKUP($D151,'Final Update'!$P$21:$AD1000,Column(N149),False))</f>
        <v/>
      </c>
      <c r="M151" s="359" t="str">
        <f>IF($D151="","", VLOOKUP($D151,'Final Update'!$P$21:$AD1000,Column(O149),False))</f>
        <v/>
      </c>
      <c r="N151" s="359" t="str">
        <f>IF($D151="","", VLOOKUP($D151,'Final Update'!$P$21:$AD1000,Column(C149),False))</f>
        <v/>
      </c>
      <c r="O151" s="170"/>
      <c r="P151" s="170"/>
      <c r="Q151" s="170"/>
      <c r="R151" s="170"/>
      <c r="S151" s="170"/>
      <c r="T151" s="170"/>
      <c r="U151" s="170"/>
      <c r="V151" s="170"/>
      <c r="W151" s="170"/>
      <c r="X151" s="170"/>
      <c r="Y151" s="170"/>
      <c r="Z151" s="170"/>
    </row>
    <row r="152">
      <c r="A152" s="170"/>
      <c r="B152" s="352">
        <f>Projections!$AJ$35</f>
        <v>50</v>
      </c>
      <c r="C152" s="353">
        <v>14.0</v>
      </c>
      <c r="D152" s="363" t="str">
        <f t="array" ref="D152">INDIRECT("Draft!Q"&amp;TEXT(15-A138,"0"))</f>
        <v/>
      </c>
      <c r="E152" s="359" t="str">
        <f>IF($D152="","", VLOOKUP($D152,'Final Update'!$P$21:$AD1000,Column(G150),False))</f>
        <v/>
      </c>
      <c r="F152" s="359" t="str">
        <f>IF($D152="","", VLOOKUP($D152,'Final Update'!$P$21:$AD1000,Column(H150),False))</f>
        <v/>
      </c>
      <c r="G152" s="359" t="str">
        <f>IF($D152="","", VLOOKUP($D152,'Final Update'!$P$21:$AD1000,Column(I150),False))</f>
        <v/>
      </c>
      <c r="H152" s="359" t="str">
        <f>IF($D152="","", VLOOKUP($D152,'Final Update'!$P$21:$AD1000,Column(J150),False))</f>
        <v/>
      </c>
      <c r="I152" s="359" t="str">
        <f>IF($D152="","", VLOOKUP($D152,'Final Update'!$P$21:$AD1000,Column(K150),False))</f>
        <v/>
      </c>
      <c r="J152" s="359" t="str">
        <f>IF($D152="","", VLOOKUP($D152,'Final Update'!$P$21:$AD1000,Column(L150),False))</f>
        <v/>
      </c>
      <c r="K152" s="360" t="str">
        <f>IF($D152="","", VLOOKUP($D152,'Final Update'!$P$21:$AD1000,Column(M150),False))</f>
        <v/>
      </c>
      <c r="L152" s="360" t="str">
        <f>IF($D152="","", VLOOKUP($D152,'Final Update'!$P$21:$AD1000,Column(N150),False))</f>
        <v/>
      </c>
      <c r="M152" s="359" t="str">
        <f>IF($D152="","", VLOOKUP($D152,'Final Update'!$P$21:$AD1000,Column(O150),False))</f>
        <v/>
      </c>
      <c r="N152" s="359" t="str">
        <f>IF($D152="","", VLOOKUP($D152,'Final Update'!$P$21:$AD1000,Column(C150),False))</f>
        <v/>
      </c>
      <c r="O152" s="170"/>
      <c r="P152" s="170"/>
      <c r="Q152" s="170"/>
      <c r="R152" s="170"/>
      <c r="S152" s="170"/>
      <c r="T152" s="170"/>
      <c r="U152" s="170"/>
      <c r="V152" s="170"/>
      <c r="W152" s="170"/>
      <c r="X152" s="170"/>
      <c r="Y152" s="170"/>
      <c r="Z152" s="170"/>
    </row>
    <row r="153">
      <c r="A153" s="348" t="s">
        <v>5</v>
      </c>
      <c r="B153" s="170"/>
      <c r="C153" s="170"/>
      <c r="D153" s="351" t="s">
        <v>1328</v>
      </c>
      <c r="E153" s="365" t="str">
        <f t="shared" ref="E153:J153" si="9">IFERROR(AVERAGE(SUMPRODUCT(E139:E152,$B139:$B152/100))/(SUM(OFFSET($B139,0,0,COUNT(E139:E152)))/100),"")</f>
        <v/>
      </c>
      <c r="F153" s="365" t="str">
        <f t="shared" si="9"/>
        <v/>
      </c>
      <c r="G153" s="365" t="str">
        <f t="shared" si="9"/>
        <v/>
      </c>
      <c r="H153" s="365" t="str">
        <f t="shared" si="9"/>
        <v/>
      </c>
      <c r="I153" s="365" t="str">
        <f t="shared" si="9"/>
        <v/>
      </c>
      <c r="J153" s="365" t="str">
        <f t="shared" si="9"/>
        <v/>
      </c>
      <c r="K153" s="365" t="str">
        <f t="array" ref="K153">IFERROR(100*SUMPRODUCT(IFERROR(VLOOKUP($D139:$D152,UpdateHashtag!$C:$S,6,False),"")*$B139:$B152/100)/SUMPRODUCT(IFERROR(VLOOKUP($D139:$D152,UpdateHashtag!$C:$S,17,False),"")*$B139:$B152/100),"")</f>
        <v/>
      </c>
      <c r="L153" s="365" t="str">
        <f t="array" ref="L153">IFERROR(100*SUMPRODUCT(IFERROR(VLOOKUP($D139:$D152,UpdateHashtag!$C:$T,8,False),"")*$B139:$B152/100)/SUMPRODUCT(IFERROR(VLOOKUP($D139:$D152,UpdateHashtag!$C:$T,18,False),"")*$B139:$B152/100),"")</f>
        <v/>
      </c>
      <c r="M153" s="365" t="str">
        <f>IFERROR(AVERAGE(SUMPRODUCT(M139:M152,$B139:$B152/100))/(SUM(OFFSET($B139,0,0,COUNT(M139:M152)))/100),"")</f>
        <v/>
      </c>
      <c r="N153" s="170"/>
      <c r="O153" s="170"/>
      <c r="P153" s="170"/>
      <c r="Q153" s="170"/>
      <c r="R153" s="170"/>
      <c r="S153" s="170"/>
      <c r="T153" s="170"/>
      <c r="U153" s="170"/>
      <c r="V153" s="170"/>
      <c r="W153" s="170"/>
      <c r="X153" s="170"/>
      <c r="Y153" s="170"/>
      <c r="Z153" s="170"/>
    </row>
    <row r="154">
      <c r="A154" s="170"/>
      <c r="B154" s="170"/>
      <c r="C154" s="170"/>
      <c r="D154" s="351" t="s">
        <v>1329</v>
      </c>
      <c r="E154" s="366" t="str">
        <f>IFERROR((SUM(OFFSET('All Teams'!$B139,0,0,COUNT('All Teams'!E139:E152)))/100)*('All Teams'!E153-'Final Update'!$B$1)/'Final Update'!$B$2,"")</f>
        <v/>
      </c>
      <c r="F154" s="366" t="str">
        <f>IFERROR((SUM(OFFSET('All Teams'!$B139,0,0,COUNT('All Teams'!F139:F152)))/100)*('All Teams'!F153-'Final Update'!$C$1)/'Final Update'!$C$2,"")</f>
        <v/>
      </c>
      <c r="G154" s="366" t="str">
        <f>IFERROR((SUM(OFFSET('All Teams'!$B139,0,0,COUNT('All Teams'!G139:G152)))/100)*('All Teams'!G153-'Final Update'!$D$1)/'Final Update'!$D$2,"")</f>
        <v/>
      </c>
      <c r="H154" s="366" t="str">
        <f>IFERROR((SUM(OFFSET('All Teams'!$B139,0,0,COUNT('All Teams'!H139:H152)))/100)*('All Teams'!H153-'Final Update'!$E$1)/'Final Update'!$E$2,"")</f>
        <v/>
      </c>
      <c r="I154" s="366" t="str">
        <f>IFERROR((SUM(OFFSET('All Teams'!$B139,0,0,COUNT('All Teams'!I139:I152)))/100)*('All Teams'!I153-'Final Update'!$F$1)/'Final Update'!$F$2,"")</f>
        <v/>
      </c>
      <c r="J154" s="366" t="str">
        <f>IFERROR((SUM(OFFSET('All Teams'!$B139,0,0,COUNT('All Teams'!J139:J152)))/100)*('All Teams'!J153-'Final Update'!$G$1)/'Final Update'!$G$2,"")</f>
        <v/>
      </c>
      <c r="K154" s="366">
        <f t="array" ref="K154">SUMPRODUCT(IFERROR(VLOOKUP($D139:$D152,'Final Update'!$A$4:$L$403,8,False)*$B139:$B152/100,""))</f>
        <v>0</v>
      </c>
      <c r="L154" s="366">
        <f t="array" ref="L154">SUMPRODUCT(IFERROR(VLOOKUP($D139:$D152,'Final Update'!$A$4:$L$403,10,False)*$B139:$B152/100,""))</f>
        <v>0</v>
      </c>
      <c r="M154" s="366" t="str">
        <f>IFERROR(-(SUM(OFFSET('All Teams'!$B139,0,0,COUNT('All Teams'!M139:M152)))/100)*('All Teams'!M153-'Final Update'!$L$1)/'Final Update'!$L$2,"")</f>
        <v/>
      </c>
      <c r="N154" s="170"/>
      <c r="O154" s="170"/>
      <c r="P154" s="170"/>
      <c r="Q154" s="170"/>
      <c r="R154" s="170"/>
      <c r="S154" s="170"/>
      <c r="T154" s="170"/>
      <c r="U154" s="170"/>
      <c r="V154" s="170"/>
      <c r="W154" s="170"/>
      <c r="X154" s="170"/>
      <c r="Y154" s="170"/>
      <c r="Z154" s="170"/>
    </row>
    <row r="155">
      <c r="A155" s="349">
        <v>10.0</v>
      </c>
      <c r="B155" s="350" t="s">
        <v>810</v>
      </c>
      <c r="C155" s="351" t="s">
        <v>812</v>
      </c>
      <c r="D155" s="350" t="s">
        <v>1076</v>
      </c>
      <c r="E155" s="350" t="s">
        <v>11</v>
      </c>
      <c r="F155" s="350" t="s">
        <v>51</v>
      </c>
      <c r="G155" s="350" t="s">
        <v>53</v>
      </c>
      <c r="H155" s="350" t="s">
        <v>14</v>
      </c>
      <c r="I155" s="350" t="s">
        <v>15</v>
      </c>
      <c r="J155" s="350" t="s">
        <v>16</v>
      </c>
      <c r="K155" s="350" t="s">
        <v>8</v>
      </c>
      <c r="L155" s="350" t="s">
        <v>9</v>
      </c>
      <c r="M155" s="350" t="s">
        <v>17</v>
      </c>
      <c r="N155" s="350" t="s">
        <v>4</v>
      </c>
      <c r="O155" s="350" t="s">
        <v>816</v>
      </c>
      <c r="P155" s="350" t="s">
        <v>4</v>
      </c>
      <c r="Q155" s="170"/>
      <c r="R155" s="170"/>
      <c r="S155" s="170"/>
      <c r="T155" s="170"/>
      <c r="U155" s="170"/>
      <c r="V155" s="170"/>
      <c r="W155" s="170"/>
      <c r="X155" s="170"/>
      <c r="Y155" s="170"/>
      <c r="Z155" s="170"/>
    </row>
    <row r="156">
      <c r="A156" s="170"/>
      <c r="B156" s="352">
        <f>Projections!$AJ$22</f>
        <v>100</v>
      </c>
      <c r="C156" s="353">
        <v>1.0</v>
      </c>
      <c r="D156" s="354" t="str">
        <f t="array" ref="D156">INDIRECT("Draft!D"&amp;TEXT(A155+2,"0"))</f>
        <v/>
      </c>
      <c r="E156" s="355" t="str">
        <f>IF($D156="","", VLOOKUP($D156,'Final Update'!$P$21:$AD1000,Column(G154),False))</f>
        <v/>
      </c>
      <c r="F156" s="355" t="str">
        <f>IF($D156="","", VLOOKUP($D156,'Final Update'!$P$21:$AD1000,Column(H154),False))</f>
        <v/>
      </c>
      <c r="G156" s="355" t="str">
        <f>IF($D156="","", VLOOKUP($D156,'Final Update'!$P$21:$AD1000,Column(I154),False))</f>
        <v/>
      </c>
      <c r="H156" s="355" t="str">
        <f>IF($D156="","", VLOOKUP($D156,'Final Update'!$P$21:$AD1000,Column(J154),False))</f>
        <v/>
      </c>
      <c r="I156" s="355" t="str">
        <f>IF($D156="","", VLOOKUP($D156,'Final Update'!$P$21:$AD1000,Column(K154),False))</f>
        <v/>
      </c>
      <c r="J156" s="355" t="str">
        <f>IF($D156="","", VLOOKUP($D156,'Final Update'!$P$21:$AD1000,Column(L154),False))</f>
        <v/>
      </c>
      <c r="K156" s="356" t="str">
        <f>IF($D156="","", VLOOKUP($D156,'Final Update'!$P$21:$AD1000,Column(M154),False))</f>
        <v/>
      </c>
      <c r="L156" s="356" t="str">
        <f>IF($D156="","", VLOOKUP($D156,'Final Update'!$P$21:$AD1000,Column(N154),False))</f>
        <v/>
      </c>
      <c r="M156" s="355" t="str">
        <f>IF($D156="","", VLOOKUP($D156,'Final Update'!$P$21:$AD1000,Column(O154),False))</f>
        <v/>
      </c>
      <c r="N156" s="355" t="str">
        <f>IF($D156="","", VLOOKUP($D156,'Final Update'!$P$21:$AD1000,Column(C154),False))</f>
        <v/>
      </c>
      <c r="O156" s="353">
        <f t="array" ref="O156">COUNTIF(FIND(P156,$N156:$N169),"&gt;0")</f>
        <v>0</v>
      </c>
      <c r="P156" s="354" t="s">
        <v>44</v>
      </c>
      <c r="Q156" s="170"/>
      <c r="R156" s="170"/>
      <c r="S156" s="170"/>
      <c r="T156" s="170"/>
      <c r="U156" s="170"/>
      <c r="V156" s="170"/>
      <c r="W156" s="170"/>
      <c r="X156" s="170"/>
      <c r="Y156" s="170"/>
      <c r="Z156" s="170"/>
    </row>
    <row r="157">
      <c r="A157" s="170"/>
      <c r="B157" s="352">
        <f>Projections!$AJ$23</f>
        <v>100</v>
      </c>
      <c r="C157" s="353">
        <v>2.0</v>
      </c>
      <c r="D157" s="357" t="str">
        <f t="array" ref="D157">INDIRECT("Draft!E"&amp;TEXT(15-A155,"0"))</f>
        <v/>
      </c>
      <c r="E157" s="355" t="str">
        <f>IF($D157="","", VLOOKUP($D157,'Final Update'!$P$21:$AD1000,Column(G155),False))</f>
        <v/>
      </c>
      <c r="F157" s="355" t="str">
        <f>IF($D157="","", VLOOKUP($D157,'Final Update'!$P$21:$AD1000,Column(H155),False))</f>
        <v/>
      </c>
      <c r="G157" s="355" t="str">
        <f>IF($D157="","", VLOOKUP($D157,'Final Update'!$P$21:$AD1000,Column(I155),False))</f>
        <v/>
      </c>
      <c r="H157" s="355" t="str">
        <f>IF($D157="","", VLOOKUP($D157,'Final Update'!$P$21:$AD1000,Column(J155),False))</f>
        <v/>
      </c>
      <c r="I157" s="355" t="str">
        <f>IF($D157="","", VLOOKUP($D157,'Final Update'!$P$21:$AD1000,Column(K155),False))</f>
        <v/>
      </c>
      <c r="J157" s="355" t="str">
        <f>IF($D157="","", VLOOKUP($D157,'Final Update'!$P$21:$AD1000,Column(L155),False))</f>
        <v/>
      </c>
      <c r="K157" s="356" t="str">
        <f>IF($D157="","", VLOOKUP($D157,'Final Update'!$P$21:$AD1000,Column(M155),False))</f>
        <v/>
      </c>
      <c r="L157" s="356" t="str">
        <f>IF($D157="","", VLOOKUP($D157,'Final Update'!$P$21:$AD1000,Column(N155),False))</f>
        <v/>
      </c>
      <c r="M157" s="355" t="str">
        <f>IF($D157="","", VLOOKUP($D157,'Final Update'!$P$21:$AD1000,Column(O155),False))</f>
        <v/>
      </c>
      <c r="N157" s="355" t="str">
        <f>IF($D157="","", VLOOKUP($D157,'Final Update'!$P$21:$AD1000,Column(C155),False))</f>
        <v/>
      </c>
      <c r="O157" s="353">
        <f t="array" ref="O157">COUNTIF(FIND(P157,$N156:$N169),"&gt;0")</f>
        <v>0</v>
      </c>
      <c r="P157" s="354" t="s">
        <v>71</v>
      </c>
      <c r="Q157" s="170"/>
      <c r="R157" s="170"/>
      <c r="S157" s="170"/>
      <c r="T157" s="170"/>
      <c r="U157" s="170"/>
      <c r="V157" s="170"/>
      <c r="W157" s="170"/>
      <c r="X157" s="170"/>
      <c r="Y157" s="170"/>
      <c r="Z157" s="170"/>
    </row>
    <row r="158">
      <c r="A158" s="170"/>
      <c r="B158" s="352">
        <f>Projections!$AJ$24</f>
        <v>100</v>
      </c>
      <c r="C158" s="353">
        <v>3.0</v>
      </c>
      <c r="D158" s="358" t="str">
        <f t="array" ref="D158">INDIRECT("Draft!F"&amp;TEXT(A155+2,"0"))</f>
        <v/>
      </c>
      <c r="E158" s="359" t="str">
        <f>IF($D158="","", VLOOKUP($D158,'Final Update'!$P$21:$AD1000,Column(G156),False))</f>
        <v/>
      </c>
      <c r="F158" s="359" t="str">
        <f>IF($D158="","", VLOOKUP($D158,'Final Update'!$P$21:$AD1000,Column(H156),False))</f>
        <v/>
      </c>
      <c r="G158" s="359" t="str">
        <f>IF($D158="","", VLOOKUP($D158,'Final Update'!$P$21:$AD1000,Column(I156),False))</f>
        <v/>
      </c>
      <c r="H158" s="359" t="str">
        <f>IF($D158="","", VLOOKUP($D158,'Final Update'!$P$21:$AD1000,Column(J156),False))</f>
        <v/>
      </c>
      <c r="I158" s="359" t="str">
        <f>IF($D158="","", VLOOKUP($D158,'Final Update'!$P$21:$AD1000,Column(K156),False))</f>
        <v/>
      </c>
      <c r="J158" s="359" t="str">
        <f>IF($D158="","", VLOOKUP($D158,'Final Update'!$P$21:$AD1000,Column(L156),False))</f>
        <v/>
      </c>
      <c r="K158" s="360" t="str">
        <f>IF($D158="","", VLOOKUP($D158,'Final Update'!$P$21:$AD1000,Column(M156),False))</f>
        <v/>
      </c>
      <c r="L158" s="360" t="str">
        <f>IF($D158="","", VLOOKUP($D158,'Final Update'!$P$21:$AD1000,Column(N156),False))</f>
        <v/>
      </c>
      <c r="M158" s="359" t="str">
        <f>IF($D158="","", VLOOKUP($D158,'Final Update'!$P$21:$AD1000,Column(O156),False))</f>
        <v/>
      </c>
      <c r="N158" s="359" t="str">
        <f>IF($D158="","", VLOOKUP($D158,'Final Update'!$P$21:$AD1000,Column(C156),False))</f>
        <v/>
      </c>
      <c r="O158" s="353">
        <f t="array" ref="O158">COUNTIF(FIND(P158,$N156:$N169),"&gt;0")</f>
        <v>0</v>
      </c>
      <c r="P158" s="354" t="s">
        <v>72</v>
      </c>
      <c r="Q158" s="170"/>
      <c r="R158" s="170"/>
      <c r="S158" s="170"/>
      <c r="T158" s="170"/>
      <c r="U158" s="170"/>
      <c r="V158" s="170"/>
      <c r="W158" s="170"/>
      <c r="X158" s="170"/>
      <c r="Y158" s="170"/>
      <c r="Z158" s="170"/>
    </row>
    <row r="159">
      <c r="A159" s="170"/>
      <c r="B159" s="352">
        <f>Projections!$AJ$25</f>
        <v>100</v>
      </c>
      <c r="C159" s="353">
        <v>4.0</v>
      </c>
      <c r="D159" s="361" t="str">
        <f t="array" ref="D159">INDIRECT("Draft!G"&amp;TEXT(15-A155,"0"))</f>
        <v/>
      </c>
      <c r="E159" s="359" t="str">
        <f>IF($D159="","", VLOOKUP($D159,'Final Update'!$P$21:$AD1000,Column(G157),False))</f>
        <v/>
      </c>
      <c r="F159" s="359" t="str">
        <f>IF($D159="","", VLOOKUP($D159,'Final Update'!$P$21:$AD1000,Column(H157),False))</f>
        <v/>
      </c>
      <c r="G159" s="359" t="str">
        <f>IF($D159="","", VLOOKUP($D159,'Final Update'!$P$21:$AD1000,Column(I157),False))</f>
        <v/>
      </c>
      <c r="H159" s="359" t="str">
        <f>IF($D159="","", VLOOKUP($D159,'Final Update'!$P$21:$AD1000,Column(J157),False))</f>
        <v/>
      </c>
      <c r="I159" s="359" t="str">
        <f>IF($D159="","", VLOOKUP($D159,'Final Update'!$P$21:$AD1000,Column(K157),False))</f>
        <v/>
      </c>
      <c r="J159" s="359" t="str">
        <f>IF($D159="","", VLOOKUP($D159,'Final Update'!$P$21:$AD1000,Column(L157),False))</f>
        <v/>
      </c>
      <c r="K159" s="360" t="str">
        <f>IF($D159="","", VLOOKUP($D159,'Final Update'!$P$21:$AD1000,Column(M157),False))</f>
        <v/>
      </c>
      <c r="L159" s="360" t="str">
        <f>IF($D159="","", VLOOKUP($D159,'Final Update'!$P$21:$AD1000,Column(N157),False))</f>
        <v/>
      </c>
      <c r="M159" s="359" t="str">
        <f>IF($D159="","", VLOOKUP($D159,'Final Update'!$P$21:$AD1000,Column(O157),False))</f>
        <v/>
      </c>
      <c r="N159" s="359" t="str">
        <f>IF($D159="","", VLOOKUP($D159,'Final Update'!$P$21:$AD1000,Column(C157),False))</f>
        <v/>
      </c>
      <c r="O159" s="353">
        <f t="array" ref="O159">COUNTIF(FIND(P159,$N156:$N169),"&gt;0")</f>
        <v>0</v>
      </c>
      <c r="P159" s="354" t="s">
        <v>73</v>
      </c>
      <c r="Q159" s="170"/>
      <c r="R159" s="170"/>
      <c r="S159" s="170"/>
      <c r="T159" s="170"/>
      <c r="U159" s="170"/>
      <c r="V159" s="170"/>
      <c r="W159" s="170"/>
      <c r="X159" s="170"/>
      <c r="Y159" s="170"/>
      <c r="Z159" s="170"/>
    </row>
    <row r="160">
      <c r="A160" s="170"/>
      <c r="B160" s="352">
        <f>Projections!$AJ$26</f>
        <v>100</v>
      </c>
      <c r="C160" s="353">
        <v>5.0</v>
      </c>
      <c r="D160" s="362" t="str">
        <f t="array" ref="D160">INDIRECT("Draft!H"&amp;TEXT(A155+2,"0"))</f>
        <v/>
      </c>
      <c r="E160" s="359" t="str">
        <f>IF($D160="","", VLOOKUP($D160,'Final Update'!$P$21:$AD1000,Column(G158),False))</f>
        <v/>
      </c>
      <c r="F160" s="359" t="str">
        <f>IF($D160="","", VLOOKUP($D160,'Final Update'!$P$21:$AD1000,Column(H158),False))</f>
        <v/>
      </c>
      <c r="G160" s="359" t="str">
        <f>IF($D160="","", VLOOKUP($D160,'Final Update'!$P$21:$AD1000,Column(I158),False))</f>
        <v/>
      </c>
      <c r="H160" s="359" t="str">
        <f>IF($D160="","", VLOOKUP($D160,'Final Update'!$P$21:$AD1000,Column(J158),False))</f>
        <v/>
      </c>
      <c r="I160" s="359" t="str">
        <f>IF($D160="","", VLOOKUP($D160,'Final Update'!$P$21:$AD1000,Column(K158),False))</f>
        <v/>
      </c>
      <c r="J160" s="359" t="str">
        <f>IF($D160="","", VLOOKUP($D160,'Final Update'!$P$21:$AD1000,Column(L158),False))</f>
        <v/>
      </c>
      <c r="K160" s="360" t="str">
        <f>IF($D160="","", VLOOKUP($D160,'Final Update'!$P$21:$AD1000,Column(M158),False))</f>
        <v/>
      </c>
      <c r="L160" s="360" t="str">
        <f>IF($D160="","", VLOOKUP($D160,'Final Update'!$P$21:$AD1000,Column(N158),False))</f>
        <v/>
      </c>
      <c r="M160" s="359" t="str">
        <f>IF($D160="","", VLOOKUP($D160,'Final Update'!$P$21:$AD1000,Column(O158),False))</f>
        <v/>
      </c>
      <c r="N160" s="359" t="str">
        <f>IF($D160="","", VLOOKUP($D160,'Final Update'!$P$21:$AD1000,Column(C158),False))</f>
        <v/>
      </c>
      <c r="O160" s="353">
        <f t="array" ref="O160">COUNTIF(FIND(P160,$N156:$N169),"&gt;0")</f>
        <v>0</v>
      </c>
      <c r="P160" s="354" t="s">
        <v>34</v>
      </c>
      <c r="Q160" s="170"/>
      <c r="R160" s="170"/>
      <c r="S160" s="170"/>
      <c r="T160" s="170"/>
      <c r="U160" s="170"/>
      <c r="V160" s="170"/>
      <c r="W160" s="170"/>
      <c r="X160" s="170"/>
      <c r="Y160" s="170"/>
      <c r="Z160" s="170"/>
    </row>
    <row r="161">
      <c r="A161" s="170"/>
      <c r="B161" s="352">
        <f>Projections!$AJ$27</f>
        <v>100</v>
      </c>
      <c r="C161" s="353">
        <v>6.0</v>
      </c>
      <c r="D161" s="363" t="str">
        <f t="array" ref="D161">INDIRECT("Draft!I"&amp;TEXT(15-A155,"0"))</f>
        <v/>
      </c>
      <c r="E161" s="359" t="str">
        <f>IF($D161="","", VLOOKUP($D161,'Final Update'!$P$21:$AD1000,Column(G159),False))</f>
        <v/>
      </c>
      <c r="F161" s="359" t="str">
        <f>IF($D161="","", VLOOKUP($D161,'Final Update'!$P$21:$AD1000,Column(H159),False))</f>
        <v/>
      </c>
      <c r="G161" s="359" t="str">
        <f>IF($D161="","", VLOOKUP($D161,'Final Update'!$P$21:$AD1000,Column(I159),False))</f>
        <v/>
      </c>
      <c r="H161" s="359" t="str">
        <f>IF($D161="","", VLOOKUP($D161,'Final Update'!$P$21:$AD1000,Column(J159),False))</f>
        <v/>
      </c>
      <c r="I161" s="359" t="str">
        <f>IF($D161="","", VLOOKUP($D161,'Final Update'!$P$21:$AD1000,Column(K159),False))</f>
        <v/>
      </c>
      <c r="J161" s="359" t="str">
        <f>IF($D161="","", VLOOKUP($D161,'Final Update'!$P$21:$AD1000,Column(L159),False))</f>
        <v/>
      </c>
      <c r="K161" s="360" t="str">
        <f>IF($D161="","", VLOOKUP($D161,'Final Update'!$P$21:$AD1000,Column(M159),False))</f>
        <v/>
      </c>
      <c r="L161" s="360" t="str">
        <f>IF($D161="","", VLOOKUP($D161,'Final Update'!$P$21:$AD1000,Column(N159),False))</f>
        <v/>
      </c>
      <c r="M161" s="359" t="str">
        <f>IF($D161="","", VLOOKUP($D161,'Final Update'!$P$21:$AD1000,Column(O159),False))</f>
        <v/>
      </c>
      <c r="N161" s="359" t="str">
        <f>IF($D161="","", VLOOKUP($D161,'Final Update'!$P$21:$AD1000,Column(C159),False))</f>
        <v/>
      </c>
      <c r="O161" s="170"/>
      <c r="P161" s="170"/>
      <c r="Q161" s="170"/>
      <c r="R161" s="170"/>
      <c r="S161" s="170"/>
      <c r="T161" s="170"/>
      <c r="U161" s="170"/>
      <c r="V161" s="170"/>
      <c r="W161" s="170"/>
      <c r="X161" s="170"/>
      <c r="Y161" s="170"/>
      <c r="Z161" s="170"/>
    </row>
    <row r="162">
      <c r="A162" s="170"/>
      <c r="B162" s="352">
        <f>Projections!$AJ$28</f>
        <v>100</v>
      </c>
      <c r="C162" s="353">
        <v>7.0</v>
      </c>
      <c r="D162" s="362" t="str">
        <f t="array" ref="D162">INDIRECT("Draft!J"&amp;TEXT(A155+2,"0"))</f>
        <v/>
      </c>
      <c r="E162" s="359" t="str">
        <f>IF($D162="","", VLOOKUP($D162,'Final Update'!$P$21:$AD1000,Column(G160),False))</f>
        <v/>
      </c>
      <c r="F162" s="359" t="str">
        <f>IF($D162="","", VLOOKUP($D162,'Final Update'!$P$21:$AD1000,Column(H160),False))</f>
        <v/>
      </c>
      <c r="G162" s="359" t="str">
        <f>IF($D162="","", VLOOKUP($D162,'Final Update'!$P$21:$AD1000,Column(I160),False))</f>
        <v/>
      </c>
      <c r="H162" s="359" t="str">
        <f>IF($D162="","", VLOOKUP($D162,'Final Update'!$P$21:$AD1000,Column(J160),False))</f>
        <v/>
      </c>
      <c r="I162" s="359" t="str">
        <f>IF($D162="","", VLOOKUP($D162,'Final Update'!$P$21:$AD1000,Column(K160),False))</f>
        <v/>
      </c>
      <c r="J162" s="359" t="str">
        <f>IF($D162="","", VLOOKUP($D162,'Final Update'!$P$21:$AD1000,Column(L160),False))</f>
        <v/>
      </c>
      <c r="K162" s="360" t="str">
        <f>IF($D162="","", VLOOKUP($D162,'Final Update'!$P$21:$AD1000,Column(M160),False))</f>
        <v/>
      </c>
      <c r="L162" s="360" t="str">
        <f>IF($D162="","", VLOOKUP($D162,'Final Update'!$P$21:$AD1000,Column(N160),False))</f>
        <v/>
      </c>
      <c r="M162" s="359" t="str">
        <f>IF($D162="","", VLOOKUP($D162,'Final Update'!$P$21:$AD1000,Column(O160),False))</f>
        <v/>
      </c>
      <c r="N162" s="359" t="str">
        <f>IF($D162="","", VLOOKUP($D162,'Final Update'!$P$21:$AD1000,Column(C160),False))</f>
        <v/>
      </c>
      <c r="O162" s="170"/>
      <c r="P162" s="170"/>
      <c r="Q162" s="170"/>
      <c r="R162" s="170"/>
      <c r="S162" s="170"/>
      <c r="T162" s="170"/>
      <c r="U162" s="170"/>
      <c r="V162" s="170"/>
      <c r="W162" s="170"/>
      <c r="X162" s="170"/>
      <c r="Y162" s="170"/>
      <c r="Z162" s="170"/>
    </row>
    <row r="163">
      <c r="A163" s="170"/>
      <c r="B163" s="352">
        <f>Projections!$AJ$29</f>
        <v>100</v>
      </c>
      <c r="C163" s="353">
        <v>8.0</v>
      </c>
      <c r="D163" s="363" t="str">
        <f t="array" ref="D163">INDIRECT("Draft!K"&amp;TEXT(15-A155,"0"))</f>
        <v/>
      </c>
      <c r="E163" s="359" t="str">
        <f>IF($D163="","", VLOOKUP($D163,'Final Update'!$P$21:$AD1000,Column(G161),False))</f>
        <v/>
      </c>
      <c r="F163" s="359" t="str">
        <f>IF($D163="","", VLOOKUP($D163,'Final Update'!$P$21:$AD1000,Column(H161),False))</f>
        <v/>
      </c>
      <c r="G163" s="359" t="str">
        <f>IF($D163="","", VLOOKUP($D163,'Final Update'!$P$21:$AD1000,Column(I161),False))</f>
        <v/>
      </c>
      <c r="H163" s="359" t="str">
        <f>IF($D163="","", VLOOKUP($D163,'Final Update'!$P$21:$AD1000,Column(J161),False))</f>
        <v/>
      </c>
      <c r="I163" s="359" t="str">
        <f>IF($D163="","", VLOOKUP($D163,'Final Update'!$P$21:$AD1000,Column(K161),False))</f>
        <v/>
      </c>
      <c r="J163" s="359" t="str">
        <f>IF($D163="","", VLOOKUP($D163,'Final Update'!$P$21:$AD1000,Column(L161),False))</f>
        <v/>
      </c>
      <c r="K163" s="360" t="str">
        <f>IF($D163="","", VLOOKUP($D163,'Final Update'!$P$21:$AD1000,Column(M161),False))</f>
        <v/>
      </c>
      <c r="L163" s="360" t="str">
        <f>IF($D163="","", VLOOKUP($D163,'Final Update'!$P$21:$AD1000,Column(N161),False))</f>
        <v/>
      </c>
      <c r="M163" s="359" t="str">
        <f>IF($D163="","", VLOOKUP($D163,'Final Update'!$P$21:$AD1000,Column(O161),False))</f>
        <v/>
      </c>
      <c r="N163" s="359" t="str">
        <f>IF($D163="","", VLOOKUP($D163,'Final Update'!$P$21:$AD1000,Column(C161),False))</f>
        <v/>
      </c>
      <c r="O163" s="170"/>
      <c r="P163" s="170"/>
      <c r="Q163" s="170"/>
      <c r="R163" s="170"/>
      <c r="S163" s="170"/>
      <c r="T163" s="170"/>
      <c r="U163" s="170"/>
      <c r="V163" s="170"/>
      <c r="W163" s="170"/>
      <c r="X163" s="170"/>
      <c r="Y163" s="170"/>
      <c r="Z163" s="170"/>
    </row>
    <row r="164">
      <c r="A164" s="170"/>
      <c r="B164" s="352">
        <f>Projections!$AJ$30</f>
        <v>100</v>
      </c>
      <c r="C164" s="353">
        <v>9.0</v>
      </c>
      <c r="D164" s="362" t="str">
        <f t="array" ref="D164">INDIRECT("Draft!L"&amp;TEXT(A155+2,"0"))</f>
        <v/>
      </c>
      <c r="E164" s="359" t="str">
        <f>IF($D164="","", VLOOKUP($D164,'Final Update'!$P$21:$AD1000,Column(G162),False))</f>
        <v/>
      </c>
      <c r="F164" s="359" t="str">
        <f>IF($D164="","", VLOOKUP($D164,'Final Update'!$P$21:$AD1000,Column(H162),False))</f>
        <v/>
      </c>
      <c r="G164" s="359" t="str">
        <f>IF($D164="","", VLOOKUP($D164,'Final Update'!$P$21:$AD1000,Column(I162),False))</f>
        <v/>
      </c>
      <c r="H164" s="359" t="str">
        <f>IF($D164="","", VLOOKUP($D164,'Final Update'!$P$21:$AD1000,Column(J162),False))</f>
        <v/>
      </c>
      <c r="I164" s="359" t="str">
        <f>IF($D164="","", VLOOKUP($D164,'Final Update'!$P$21:$AD1000,Column(K162),False))</f>
        <v/>
      </c>
      <c r="J164" s="359" t="str">
        <f>IF($D164="","", VLOOKUP($D164,'Final Update'!$P$21:$AD1000,Column(L162),False))</f>
        <v/>
      </c>
      <c r="K164" s="360" t="str">
        <f>IF($D164="","", VLOOKUP($D164,'Final Update'!$P$21:$AD1000,Column(M162),False))</f>
        <v/>
      </c>
      <c r="L164" s="360" t="str">
        <f>IF($D164="","", VLOOKUP($D164,'Final Update'!$P$21:$AD1000,Column(N162),False))</f>
        <v/>
      </c>
      <c r="M164" s="359" t="str">
        <f>IF($D164="","", VLOOKUP($D164,'Final Update'!$P$21:$AD1000,Column(O162),False))</f>
        <v/>
      </c>
      <c r="N164" s="359" t="str">
        <f>IF($D164="","", VLOOKUP($D164,'Final Update'!$P$21:$AD1000,Column(C162),False))</f>
        <v/>
      </c>
      <c r="O164" s="170"/>
      <c r="P164" s="170"/>
      <c r="Q164" s="170"/>
      <c r="R164" s="170"/>
      <c r="S164" s="170"/>
      <c r="T164" s="170"/>
      <c r="U164" s="170"/>
      <c r="V164" s="170"/>
      <c r="W164" s="170"/>
      <c r="X164" s="170"/>
      <c r="Y164" s="170"/>
      <c r="Z164" s="170"/>
    </row>
    <row r="165">
      <c r="A165" s="170"/>
      <c r="B165" s="352">
        <f>Projections!$AJ$31</f>
        <v>100</v>
      </c>
      <c r="C165" s="353">
        <v>10.0</v>
      </c>
      <c r="D165" s="363" t="str">
        <f t="array" ref="D165">INDIRECT("Draft!M"&amp;TEXT(15-A155,"0"))</f>
        <v/>
      </c>
      <c r="E165" s="359" t="str">
        <f>IF($D165="","", VLOOKUP($D165,'Final Update'!$P$21:$AD1000,Column(G163),False))</f>
        <v/>
      </c>
      <c r="F165" s="359" t="str">
        <f>IF($D165="","", VLOOKUP($D165,'Final Update'!$P$21:$AD1000,Column(H163),False))</f>
        <v/>
      </c>
      <c r="G165" s="359" t="str">
        <f>IF($D165="","", VLOOKUP($D165,'Final Update'!$P$21:$AD1000,Column(I163),False))</f>
        <v/>
      </c>
      <c r="H165" s="359" t="str">
        <f>IF($D165="","", VLOOKUP($D165,'Final Update'!$P$21:$AD1000,Column(J163),False))</f>
        <v/>
      </c>
      <c r="I165" s="359" t="str">
        <f>IF($D165="","", VLOOKUP($D165,'Final Update'!$P$21:$AD1000,Column(K163),False))</f>
        <v/>
      </c>
      <c r="J165" s="359" t="str">
        <f>IF($D165="","", VLOOKUP($D165,'Final Update'!$P$21:$AD1000,Column(L163),False))</f>
        <v/>
      </c>
      <c r="K165" s="360" t="str">
        <f>IF($D165="","", VLOOKUP($D165,'Final Update'!$P$21:$AD1000,Column(M163),False))</f>
        <v/>
      </c>
      <c r="L165" s="360" t="str">
        <f>IF($D165="","", VLOOKUP($D165,'Final Update'!$P$21:$AD1000,Column(N163),False))</f>
        <v/>
      </c>
      <c r="M165" s="359" t="str">
        <f>IF($D165="","", VLOOKUP($D165,'Final Update'!$P$21:$AD1000,Column(O163),False))</f>
        <v/>
      </c>
      <c r="N165" s="359" t="str">
        <f>IF($D165="","", VLOOKUP($D165,'Final Update'!$P$21:$AD1000,Column(C163),False))</f>
        <v/>
      </c>
      <c r="O165" s="170"/>
      <c r="P165" s="170"/>
      <c r="Q165" s="170"/>
      <c r="R165" s="170"/>
      <c r="S165" s="170"/>
      <c r="T165" s="170"/>
      <c r="U165" s="170"/>
      <c r="V165" s="170"/>
      <c r="W165" s="170"/>
      <c r="X165" s="170"/>
      <c r="Y165" s="170"/>
      <c r="Z165" s="170"/>
    </row>
    <row r="166">
      <c r="A166" s="170"/>
      <c r="B166" s="352">
        <f>Projections!$AJ$32</f>
        <v>100</v>
      </c>
      <c r="C166" s="353">
        <v>11.0</v>
      </c>
      <c r="D166" s="362" t="str">
        <f t="array" ref="D166">INDIRECT("Draft!N"&amp;TEXT(A155+2,"0"))</f>
        <v/>
      </c>
      <c r="E166" s="359" t="str">
        <f>IF($D166="","", VLOOKUP($D166,'Final Update'!$P$21:$AD1000,Column(G164),False))</f>
        <v/>
      </c>
      <c r="F166" s="359" t="str">
        <f>IF($D166="","", VLOOKUP($D166,'Final Update'!$P$21:$AD1000,Column(H164),False))</f>
        <v/>
      </c>
      <c r="G166" s="359" t="str">
        <f>IF($D166="","", VLOOKUP($D166,'Final Update'!$P$21:$AD1000,Column(I164),False))</f>
        <v/>
      </c>
      <c r="H166" s="359" t="str">
        <f>IF($D166="","", VLOOKUP($D166,'Final Update'!$P$21:$AD1000,Column(J164),False))</f>
        <v/>
      </c>
      <c r="I166" s="359" t="str">
        <f>IF($D166="","", VLOOKUP($D166,'Final Update'!$P$21:$AD1000,Column(K164),False))</f>
        <v/>
      </c>
      <c r="J166" s="359" t="str">
        <f>IF($D166="","", VLOOKUP($D166,'Final Update'!$P$21:$AD1000,Column(L164),False))</f>
        <v/>
      </c>
      <c r="K166" s="360" t="str">
        <f>IF($D166="","", VLOOKUP($D166,'Final Update'!$P$21:$AD1000,Column(M164),False))</f>
        <v/>
      </c>
      <c r="L166" s="360" t="str">
        <f>IF($D166="","", VLOOKUP($D166,'Final Update'!$P$21:$AD1000,Column(N164),False))</f>
        <v/>
      </c>
      <c r="M166" s="359" t="str">
        <f>IF($D166="","", VLOOKUP($D166,'Final Update'!$P$21:$AD1000,Column(O164),False))</f>
        <v/>
      </c>
      <c r="N166" s="359" t="str">
        <f>IF($D166="","", VLOOKUP($D166,'Final Update'!$P$21:$AD1000,Column(C164),False))</f>
        <v/>
      </c>
      <c r="O166" s="170"/>
      <c r="P166" s="170"/>
      <c r="Q166" s="170"/>
      <c r="R166" s="170"/>
      <c r="S166" s="170"/>
      <c r="T166" s="170"/>
      <c r="U166" s="170"/>
      <c r="V166" s="170"/>
      <c r="W166" s="170"/>
      <c r="X166" s="170"/>
      <c r="Y166" s="170"/>
      <c r="Z166" s="170"/>
    </row>
    <row r="167">
      <c r="A167" s="170"/>
      <c r="B167" s="352">
        <f>Projections!$AJ$33</f>
        <v>100</v>
      </c>
      <c r="C167" s="353">
        <v>12.0</v>
      </c>
      <c r="D167" s="363" t="str">
        <f t="array" ref="D167">INDIRECT("Draft!O"&amp;TEXT(15-A155,"0"))</f>
        <v/>
      </c>
      <c r="E167" s="359" t="str">
        <f>IF($D167="","", VLOOKUP($D167,'Final Update'!$P$21:$AD1000,Column(G165),False))</f>
        <v/>
      </c>
      <c r="F167" s="359" t="str">
        <f>IF($D167="","", VLOOKUP($D167,'Final Update'!$P$21:$AD1000,Column(H165),False))</f>
        <v/>
      </c>
      <c r="G167" s="359" t="str">
        <f>IF($D167="","", VLOOKUP($D167,'Final Update'!$P$21:$AD1000,Column(I165),False))</f>
        <v/>
      </c>
      <c r="H167" s="359" t="str">
        <f>IF($D167="","", VLOOKUP($D167,'Final Update'!$P$21:$AD1000,Column(J165),False))</f>
        <v/>
      </c>
      <c r="I167" s="359" t="str">
        <f>IF($D167="","", VLOOKUP($D167,'Final Update'!$P$21:$AD1000,Column(K165),False))</f>
        <v/>
      </c>
      <c r="J167" s="359" t="str">
        <f>IF($D167="","", VLOOKUP($D167,'Final Update'!$P$21:$AD1000,Column(L165),False))</f>
        <v/>
      </c>
      <c r="K167" s="360" t="str">
        <f>IF($D167="","", VLOOKUP($D167,'Final Update'!$P$21:$AD1000,Column(M165),False))</f>
        <v/>
      </c>
      <c r="L167" s="360" t="str">
        <f>IF($D167="","", VLOOKUP($D167,'Final Update'!$P$21:$AD1000,Column(N165),False))</f>
        <v/>
      </c>
      <c r="M167" s="359" t="str">
        <f>IF($D167="","", VLOOKUP($D167,'Final Update'!$P$21:$AD1000,Column(O165),False))</f>
        <v/>
      </c>
      <c r="N167" s="359" t="str">
        <f>IF($D167="","", VLOOKUP($D167,'Final Update'!$P$21:$AD1000,Column(C165),False))</f>
        <v/>
      </c>
      <c r="O167" s="170"/>
      <c r="P167" s="170"/>
      <c r="Q167" s="170"/>
      <c r="R167" s="170"/>
      <c r="S167" s="170"/>
      <c r="T167" s="170"/>
      <c r="U167" s="170"/>
      <c r="V167" s="170"/>
      <c r="W167" s="170"/>
      <c r="X167" s="170"/>
      <c r="Y167" s="170"/>
      <c r="Z167" s="170"/>
    </row>
    <row r="168">
      <c r="A168" s="170"/>
      <c r="B168" s="364">
        <f>Projections!$AJ$34</f>
        <v>100</v>
      </c>
      <c r="C168" s="353">
        <v>13.0</v>
      </c>
      <c r="D168" s="362" t="str">
        <f t="array" ref="D168">INDIRECT("Draft!P"&amp;TEXT(A155+2,"0"))</f>
        <v/>
      </c>
      <c r="E168" s="359" t="str">
        <f>IF($D168="","", VLOOKUP($D168,'Final Update'!$P$21:$AD1000,Column(G166),False))</f>
        <v/>
      </c>
      <c r="F168" s="359" t="str">
        <f>IF($D168="","", VLOOKUP($D168,'Final Update'!$P$21:$AD1000,Column(H166),False))</f>
        <v/>
      </c>
      <c r="G168" s="359" t="str">
        <f>IF($D168="","", VLOOKUP($D168,'Final Update'!$P$21:$AD1000,Column(I166),False))</f>
        <v/>
      </c>
      <c r="H168" s="359" t="str">
        <f>IF($D168="","", VLOOKUP($D168,'Final Update'!$P$21:$AD1000,Column(J166),False))</f>
        <v/>
      </c>
      <c r="I168" s="359" t="str">
        <f>IF($D168="","", VLOOKUP($D168,'Final Update'!$P$21:$AD1000,Column(K166),False))</f>
        <v/>
      </c>
      <c r="J168" s="359" t="str">
        <f>IF($D168="","", VLOOKUP($D168,'Final Update'!$P$21:$AD1000,Column(L166),False))</f>
        <v/>
      </c>
      <c r="K168" s="360" t="str">
        <f>IF($D168="","", VLOOKUP($D168,'Final Update'!$P$21:$AD1000,Column(M166),False))</f>
        <v/>
      </c>
      <c r="L168" s="360" t="str">
        <f>IF($D168="","", VLOOKUP($D168,'Final Update'!$P$21:$AD1000,Column(N166),False))</f>
        <v/>
      </c>
      <c r="M168" s="359" t="str">
        <f>IF($D168="","", VLOOKUP($D168,'Final Update'!$P$21:$AD1000,Column(O166),False))</f>
        <v/>
      </c>
      <c r="N168" s="359" t="str">
        <f>IF($D168="","", VLOOKUP($D168,'Final Update'!$P$21:$AD1000,Column(C166),False))</f>
        <v/>
      </c>
      <c r="O168" s="170"/>
      <c r="P168" s="170"/>
      <c r="Q168" s="170"/>
      <c r="R168" s="170"/>
      <c r="S168" s="170"/>
      <c r="T168" s="170"/>
      <c r="U168" s="170"/>
      <c r="V168" s="170"/>
      <c r="W168" s="170"/>
      <c r="X168" s="170"/>
      <c r="Y168" s="170"/>
      <c r="Z168" s="170"/>
    </row>
    <row r="169">
      <c r="A169" s="170"/>
      <c r="B169" s="352">
        <f>Projections!$AJ$35</f>
        <v>50</v>
      </c>
      <c r="C169" s="353">
        <v>14.0</v>
      </c>
      <c r="D169" s="363" t="str">
        <f t="array" ref="D169">INDIRECT("Draft!Q"&amp;TEXT(15-A155,"0"))</f>
        <v/>
      </c>
      <c r="E169" s="359" t="str">
        <f>IF($D169="","", VLOOKUP($D169,'Final Update'!$P$21:$AD1000,Column(G167),False))</f>
        <v/>
      </c>
      <c r="F169" s="359" t="str">
        <f>IF($D169="","", VLOOKUP($D169,'Final Update'!$P$21:$AD1000,Column(H167),False))</f>
        <v/>
      </c>
      <c r="G169" s="359" t="str">
        <f>IF($D169="","", VLOOKUP($D169,'Final Update'!$P$21:$AD1000,Column(I167),False))</f>
        <v/>
      </c>
      <c r="H169" s="359" t="str">
        <f>IF($D169="","", VLOOKUP($D169,'Final Update'!$P$21:$AD1000,Column(J167),False))</f>
        <v/>
      </c>
      <c r="I169" s="359" t="str">
        <f>IF($D169="","", VLOOKUP($D169,'Final Update'!$P$21:$AD1000,Column(K167),False))</f>
        <v/>
      </c>
      <c r="J169" s="359" t="str">
        <f>IF($D169="","", VLOOKUP($D169,'Final Update'!$P$21:$AD1000,Column(L167),False))</f>
        <v/>
      </c>
      <c r="K169" s="360" t="str">
        <f>IF($D169="","", VLOOKUP($D169,'Final Update'!$P$21:$AD1000,Column(M167),False))</f>
        <v/>
      </c>
      <c r="L169" s="360" t="str">
        <f>IF($D169="","", VLOOKUP($D169,'Final Update'!$P$21:$AD1000,Column(N167),False))</f>
        <v/>
      </c>
      <c r="M169" s="359" t="str">
        <f>IF($D169="","", VLOOKUP($D169,'Final Update'!$P$21:$AD1000,Column(O167),False))</f>
        <v/>
      </c>
      <c r="N169" s="359" t="str">
        <f>IF($D169="","", VLOOKUP($D169,'Final Update'!$P$21:$AD1000,Column(C167),False))</f>
        <v/>
      </c>
      <c r="O169" s="170"/>
      <c r="P169" s="170"/>
      <c r="Q169" s="170"/>
      <c r="R169" s="170"/>
      <c r="S169" s="170"/>
      <c r="T169" s="170"/>
      <c r="U169" s="170"/>
      <c r="V169" s="170"/>
      <c r="W169" s="170"/>
      <c r="X169" s="170"/>
      <c r="Y169" s="170"/>
      <c r="Z169" s="170"/>
    </row>
    <row r="170">
      <c r="A170" s="348" t="s">
        <v>5</v>
      </c>
      <c r="B170" s="170"/>
      <c r="C170" s="170"/>
      <c r="D170" s="351" t="s">
        <v>1328</v>
      </c>
      <c r="E170" s="365" t="str">
        <f t="shared" ref="E170:J170" si="10">IFERROR(AVERAGE(SUMPRODUCT(E156:E169,$B156:$B169/100))/(SUM(OFFSET($B156,0,0,COUNT(E156:E169)))/100),"")</f>
        <v/>
      </c>
      <c r="F170" s="365" t="str">
        <f t="shared" si="10"/>
        <v/>
      </c>
      <c r="G170" s="365" t="str">
        <f t="shared" si="10"/>
        <v/>
      </c>
      <c r="H170" s="365" t="str">
        <f t="shared" si="10"/>
        <v/>
      </c>
      <c r="I170" s="365" t="str">
        <f t="shared" si="10"/>
        <v/>
      </c>
      <c r="J170" s="365" t="str">
        <f t="shared" si="10"/>
        <v/>
      </c>
      <c r="K170" s="365" t="str">
        <f t="array" ref="K170">IFERROR(100*SUMPRODUCT(IFERROR(VLOOKUP($D156:$D169,UpdateHashtag!$C:$S,6,False),"")*$B156:$B169/100)/SUMPRODUCT(IFERROR(VLOOKUP($D156:$D169,UpdateHashtag!$C:$S,17,False),"")*$B156:$B169/100),"")</f>
        <v/>
      </c>
      <c r="L170" s="365" t="str">
        <f t="array" ref="L170">IFERROR(100*SUMPRODUCT(IFERROR(VLOOKUP($D156:$D169,UpdateHashtag!$C:$T,8,False),"")*$B156:$B169/100)/SUMPRODUCT(IFERROR(VLOOKUP($D156:$D169,UpdateHashtag!$C:$T,18,False),"")*$B156:$B169/100),"")</f>
        <v/>
      </c>
      <c r="M170" s="365" t="str">
        <f>IFERROR(AVERAGE(SUMPRODUCT(M156:M169,$B156:$B169/100))/(SUM(OFFSET($B156,0,0,COUNT(M156:M169)))/100),"")</f>
        <v/>
      </c>
      <c r="N170" s="170"/>
      <c r="O170" s="170"/>
      <c r="P170" s="170"/>
      <c r="Q170" s="170"/>
      <c r="R170" s="170"/>
      <c r="S170" s="170"/>
      <c r="T170" s="170"/>
      <c r="U170" s="170"/>
      <c r="V170" s="170"/>
      <c r="W170" s="170"/>
      <c r="X170" s="170"/>
      <c r="Y170" s="170"/>
      <c r="Z170" s="170"/>
    </row>
    <row r="171">
      <c r="A171" s="170"/>
      <c r="B171" s="170"/>
      <c r="C171" s="170"/>
      <c r="D171" s="351" t="s">
        <v>1329</v>
      </c>
      <c r="E171" s="366" t="str">
        <f>IFERROR((SUM(OFFSET('All Teams'!$B156,0,0,COUNT('All Teams'!E156:E169)))/100)*('All Teams'!E170-'Final Update'!$B$1)/'Final Update'!$B$2,"")</f>
        <v/>
      </c>
      <c r="F171" s="366" t="str">
        <f>IFERROR((SUM(OFFSET('All Teams'!$B156,0,0,COUNT('All Teams'!F156:F169)))/100)*('All Teams'!F170-'Final Update'!$C$1)/'Final Update'!$C$2,"")</f>
        <v/>
      </c>
      <c r="G171" s="366" t="str">
        <f>IFERROR((SUM(OFFSET('All Teams'!$B156,0,0,COUNT('All Teams'!G156:G169)))/100)*('All Teams'!G170-'Final Update'!$D$1)/'Final Update'!$D$2,"")</f>
        <v/>
      </c>
      <c r="H171" s="366" t="str">
        <f>IFERROR((SUM(OFFSET('All Teams'!$B156,0,0,COUNT('All Teams'!H156:H169)))/100)*('All Teams'!H170-'Final Update'!$E$1)/'Final Update'!$E$2,"")</f>
        <v/>
      </c>
      <c r="I171" s="366" t="str">
        <f>IFERROR((SUM(OFFSET('All Teams'!$B156,0,0,COUNT('All Teams'!I156:I169)))/100)*('All Teams'!I170-'Final Update'!$F$1)/'Final Update'!$F$2,"")</f>
        <v/>
      </c>
      <c r="J171" s="366" t="str">
        <f>IFERROR((SUM(OFFSET('All Teams'!$B156,0,0,COUNT('All Teams'!J156:J169)))/100)*('All Teams'!J170-'Final Update'!$G$1)/'Final Update'!$G$2,"")</f>
        <v/>
      </c>
      <c r="K171" s="366">
        <f t="array" ref="K171">SUMPRODUCT(IFERROR(VLOOKUP($D156:$D169,'Final Update'!$A$4:$L$403,8,False)*$B156:$B169/100,""))</f>
        <v>0</v>
      </c>
      <c r="L171" s="366">
        <f t="array" ref="L171">SUMPRODUCT(IFERROR(VLOOKUP($D156:$D169,'Final Update'!$A$4:$L$403,10,False)*$B156:$B169/100,""))</f>
        <v>0</v>
      </c>
      <c r="M171" s="366" t="str">
        <f>IFERROR(-(SUM(OFFSET('All Teams'!$B156,0,0,COUNT('All Teams'!M156:M169)))/100)*('All Teams'!M170-'Final Update'!$L$1)/'Final Update'!$L$2,"")</f>
        <v/>
      </c>
      <c r="N171" s="170"/>
      <c r="O171" s="170"/>
      <c r="P171" s="170"/>
      <c r="Q171" s="170"/>
      <c r="R171" s="170"/>
      <c r="S171" s="170"/>
      <c r="T171" s="170"/>
      <c r="U171" s="170"/>
      <c r="V171" s="170"/>
      <c r="W171" s="170"/>
      <c r="X171" s="170"/>
      <c r="Y171" s="170"/>
      <c r="Z171" s="170"/>
    </row>
    <row r="172">
      <c r="A172" s="349">
        <v>11.0</v>
      </c>
      <c r="B172" s="350" t="s">
        <v>810</v>
      </c>
      <c r="C172" s="351" t="s">
        <v>812</v>
      </c>
      <c r="D172" s="350" t="s">
        <v>1076</v>
      </c>
      <c r="E172" s="350" t="s">
        <v>11</v>
      </c>
      <c r="F172" s="350" t="s">
        <v>51</v>
      </c>
      <c r="G172" s="350" t="s">
        <v>53</v>
      </c>
      <c r="H172" s="350" t="s">
        <v>14</v>
      </c>
      <c r="I172" s="350" t="s">
        <v>15</v>
      </c>
      <c r="J172" s="350" t="s">
        <v>16</v>
      </c>
      <c r="K172" s="350" t="s">
        <v>8</v>
      </c>
      <c r="L172" s="350" t="s">
        <v>9</v>
      </c>
      <c r="M172" s="350" t="s">
        <v>17</v>
      </c>
      <c r="N172" s="350" t="s">
        <v>4</v>
      </c>
      <c r="O172" s="350" t="s">
        <v>816</v>
      </c>
      <c r="P172" s="350" t="s">
        <v>4</v>
      </c>
      <c r="Q172" s="170"/>
      <c r="R172" s="170"/>
      <c r="S172" s="170"/>
      <c r="T172" s="170"/>
      <c r="U172" s="170"/>
      <c r="V172" s="170"/>
      <c r="W172" s="170"/>
      <c r="X172" s="170"/>
      <c r="Y172" s="170"/>
      <c r="Z172" s="170"/>
    </row>
    <row r="173">
      <c r="A173" s="170"/>
      <c r="B173" s="352">
        <f>Projections!$AJ$22</f>
        <v>100</v>
      </c>
      <c r="C173" s="353">
        <v>1.0</v>
      </c>
      <c r="D173" s="354" t="str">
        <f t="array" ref="D173">INDIRECT("Draft!D"&amp;TEXT(A172+2,"0"))</f>
        <v/>
      </c>
      <c r="E173" s="355" t="str">
        <f>IF($D173="","", VLOOKUP($D173,'Final Update'!$P$21:$AD1000,Column(G171),False))</f>
        <v/>
      </c>
      <c r="F173" s="355" t="str">
        <f>IF($D173="","", VLOOKUP($D173,'Final Update'!$P$21:$AD1000,Column(H171),False))</f>
        <v/>
      </c>
      <c r="G173" s="355" t="str">
        <f>IF($D173="","", VLOOKUP($D173,'Final Update'!$P$21:$AD1000,Column(I171),False))</f>
        <v/>
      </c>
      <c r="H173" s="355" t="str">
        <f>IF($D173="","", VLOOKUP($D173,'Final Update'!$P$21:$AD1000,Column(J171),False))</f>
        <v/>
      </c>
      <c r="I173" s="355" t="str">
        <f>IF($D173="","", VLOOKUP($D173,'Final Update'!$P$21:$AD1000,Column(K171),False))</f>
        <v/>
      </c>
      <c r="J173" s="355" t="str">
        <f>IF($D173="","", VLOOKUP($D173,'Final Update'!$P$21:$AD1000,Column(L171),False))</f>
        <v/>
      </c>
      <c r="K173" s="356" t="str">
        <f>IF($D173="","", VLOOKUP($D173,'Final Update'!$P$21:$AD1000,Column(M171),False))</f>
        <v/>
      </c>
      <c r="L173" s="356" t="str">
        <f>IF($D173="","", VLOOKUP($D173,'Final Update'!$P$21:$AD1000,Column(N171),False))</f>
        <v/>
      </c>
      <c r="M173" s="355" t="str">
        <f>IF($D173="","", VLOOKUP($D173,'Final Update'!$P$21:$AD1000,Column(O171),False))</f>
        <v/>
      </c>
      <c r="N173" s="355" t="str">
        <f>IF($D173="","", VLOOKUP($D173,'Final Update'!$P$21:$AD1000,Column(C171),False))</f>
        <v/>
      </c>
      <c r="O173" s="353">
        <f t="array" ref="O173">COUNTIF(FIND(P173,$N173:$N186),"&gt;0")</f>
        <v>0</v>
      </c>
      <c r="P173" s="354" t="s">
        <v>44</v>
      </c>
      <c r="Q173" s="170"/>
      <c r="R173" s="170"/>
      <c r="S173" s="170"/>
      <c r="T173" s="170"/>
      <c r="U173" s="170"/>
      <c r="V173" s="170"/>
      <c r="W173" s="170"/>
      <c r="X173" s="170"/>
      <c r="Y173" s="170"/>
      <c r="Z173" s="170"/>
    </row>
    <row r="174">
      <c r="A174" s="170"/>
      <c r="B174" s="352">
        <f>Projections!$AJ$23</f>
        <v>100</v>
      </c>
      <c r="C174" s="353">
        <v>2.0</v>
      </c>
      <c r="D174" s="357" t="str">
        <f t="array" ref="D174">INDIRECT("Draft!E"&amp;TEXT(15-A172,"0"))</f>
        <v/>
      </c>
      <c r="E174" s="355" t="str">
        <f>IF($D174="","", VLOOKUP($D174,'Final Update'!$P$21:$AD1000,Column(G172),False))</f>
        <v/>
      </c>
      <c r="F174" s="355" t="str">
        <f>IF($D174="","", VLOOKUP($D174,'Final Update'!$P$21:$AD1000,Column(H172),False))</f>
        <v/>
      </c>
      <c r="G174" s="355" t="str">
        <f>IF($D174="","", VLOOKUP($D174,'Final Update'!$P$21:$AD1000,Column(I172),False))</f>
        <v/>
      </c>
      <c r="H174" s="355" t="str">
        <f>IF($D174="","", VLOOKUP($D174,'Final Update'!$P$21:$AD1000,Column(J172),False))</f>
        <v/>
      </c>
      <c r="I174" s="355" t="str">
        <f>IF($D174="","", VLOOKUP($D174,'Final Update'!$P$21:$AD1000,Column(K172),False))</f>
        <v/>
      </c>
      <c r="J174" s="355" t="str">
        <f>IF($D174="","", VLOOKUP($D174,'Final Update'!$P$21:$AD1000,Column(L172),False))</f>
        <v/>
      </c>
      <c r="K174" s="356" t="str">
        <f>IF($D174="","", VLOOKUP($D174,'Final Update'!$P$21:$AD1000,Column(M172),False))</f>
        <v/>
      </c>
      <c r="L174" s="356" t="str">
        <f>IF($D174="","", VLOOKUP($D174,'Final Update'!$P$21:$AD1000,Column(N172),False))</f>
        <v/>
      </c>
      <c r="M174" s="355" t="str">
        <f>IF($D174="","", VLOOKUP($D174,'Final Update'!$P$21:$AD1000,Column(O172),False))</f>
        <v/>
      </c>
      <c r="N174" s="355" t="str">
        <f>IF($D174="","", VLOOKUP($D174,'Final Update'!$P$21:$AD1000,Column(C172),False))</f>
        <v/>
      </c>
      <c r="O174" s="353">
        <f t="array" ref="O174">COUNTIF(FIND(P174,$N173:$N186),"&gt;0")</f>
        <v>0</v>
      </c>
      <c r="P174" s="354" t="s">
        <v>71</v>
      </c>
      <c r="Q174" s="170"/>
      <c r="R174" s="170"/>
      <c r="S174" s="170"/>
      <c r="T174" s="170"/>
      <c r="U174" s="170"/>
      <c r="V174" s="170"/>
      <c r="W174" s="170"/>
      <c r="X174" s="170"/>
      <c r="Y174" s="170"/>
      <c r="Z174" s="170"/>
    </row>
    <row r="175">
      <c r="A175" s="170"/>
      <c r="B175" s="352">
        <f>Projections!$AJ$24</f>
        <v>100</v>
      </c>
      <c r="C175" s="353">
        <v>3.0</v>
      </c>
      <c r="D175" s="358" t="str">
        <f t="array" ref="D175">INDIRECT("Draft!F"&amp;TEXT(A172+2,"0"))</f>
        <v/>
      </c>
      <c r="E175" s="359" t="str">
        <f>IF($D175="","", VLOOKUP($D175,'Final Update'!$P$21:$AD1000,Column(G173),False))</f>
        <v/>
      </c>
      <c r="F175" s="359" t="str">
        <f>IF($D175="","", VLOOKUP($D175,'Final Update'!$P$21:$AD1000,Column(H173),False))</f>
        <v/>
      </c>
      <c r="G175" s="359" t="str">
        <f>IF($D175="","", VLOOKUP($D175,'Final Update'!$P$21:$AD1000,Column(I173),False))</f>
        <v/>
      </c>
      <c r="H175" s="359" t="str">
        <f>IF($D175="","", VLOOKUP($D175,'Final Update'!$P$21:$AD1000,Column(J173),False))</f>
        <v/>
      </c>
      <c r="I175" s="359" t="str">
        <f>IF($D175="","", VLOOKUP($D175,'Final Update'!$P$21:$AD1000,Column(K173),False))</f>
        <v/>
      </c>
      <c r="J175" s="359" t="str">
        <f>IF($D175="","", VLOOKUP($D175,'Final Update'!$P$21:$AD1000,Column(L173),False))</f>
        <v/>
      </c>
      <c r="K175" s="360" t="str">
        <f>IF($D175="","", VLOOKUP($D175,'Final Update'!$P$21:$AD1000,Column(M173),False))</f>
        <v/>
      </c>
      <c r="L175" s="360" t="str">
        <f>IF($D175="","", VLOOKUP($D175,'Final Update'!$P$21:$AD1000,Column(N173),False))</f>
        <v/>
      </c>
      <c r="M175" s="359" t="str">
        <f>IF($D175="","", VLOOKUP($D175,'Final Update'!$P$21:$AD1000,Column(O173),False))</f>
        <v/>
      </c>
      <c r="N175" s="359" t="str">
        <f>IF($D175="","", VLOOKUP($D175,'Final Update'!$P$21:$AD1000,Column(C173),False))</f>
        <v/>
      </c>
      <c r="O175" s="353">
        <f t="array" ref="O175">COUNTIF(FIND(P175,$N173:$N186),"&gt;0")</f>
        <v>0</v>
      </c>
      <c r="P175" s="354" t="s">
        <v>72</v>
      </c>
      <c r="Q175" s="170"/>
      <c r="R175" s="170"/>
      <c r="S175" s="170"/>
      <c r="T175" s="170"/>
      <c r="U175" s="170"/>
      <c r="V175" s="170"/>
      <c r="W175" s="170"/>
      <c r="X175" s="170"/>
      <c r="Y175" s="170"/>
      <c r="Z175" s="170"/>
    </row>
    <row r="176">
      <c r="A176" s="170"/>
      <c r="B176" s="352">
        <f>Projections!$AJ$25</f>
        <v>100</v>
      </c>
      <c r="C176" s="353">
        <v>4.0</v>
      </c>
      <c r="D176" s="361" t="str">
        <f t="array" ref="D176">INDIRECT("Draft!G"&amp;TEXT(15-A172,"0"))</f>
        <v/>
      </c>
      <c r="E176" s="359" t="str">
        <f>IF($D176="","", VLOOKUP($D176,'Final Update'!$P$21:$AD1000,Column(G174),False))</f>
        <v/>
      </c>
      <c r="F176" s="359" t="str">
        <f>IF($D176="","", VLOOKUP($D176,'Final Update'!$P$21:$AD1000,Column(H174),False))</f>
        <v/>
      </c>
      <c r="G176" s="359" t="str">
        <f>IF($D176="","", VLOOKUP($D176,'Final Update'!$P$21:$AD1000,Column(I174),False))</f>
        <v/>
      </c>
      <c r="H176" s="359" t="str">
        <f>IF($D176="","", VLOOKUP($D176,'Final Update'!$P$21:$AD1000,Column(J174),False))</f>
        <v/>
      </c>
      <c r="I176" s="359" t="str">
        <f>IF($D176="","", VLOOKUP($D176,'Final Update'!$P$21:$AD1000,Column(K174),False))</f>
        <v/>
      </c>
      <c r="J176" s="359" t="str">
        <f>IF($D176="","", VLOOKUP($D176,'Final Update'!$P$21:$AD1000,Column(L174),False))</f>
        <v/>
      </c>
      <c r="K176" s="360" t="str">
        <f>IF($D176="","", VLOOKUP($D176,'Final Update'!$P$21:$AD1000,Column(M174),False))</f>
        <v/>
      </c>
      <c r="L176" s="360" t="str">
        <f>IF($D176="","", VLOOKUP($D176,'Final Update'!$P$21:$AD1000,Column(N174),False))</f>
        <v/>
      </c>
      <c r="M176" s="359" t="str">
        <f>IF($D176="","", VLOOKUP($D176,'Final Update'!$P$21:$AD1000,Column(O174),False))</f>
        <v/>
      </c>
      <c r="N176" s="359" t="str">
        <f>IF($D176="","", VLOOKUP($D176,'Final Update'!$P$21:$AD1000,Column(C174),False))</f>
        <v/>
      </c>
      <c r="O176" s="353">
        <f t="array" ref="O176">COUNTIF(FIND(P176,$N173:$N186),"&gt;0")</f>
        <v>0</v>
      </c>
      <c r="P176" s="354" t="s">
        <v>73</v>
      </c>
      <c r="Q176" s="170"/>
      <c r="R176" s="170"/>
      <c r="S176" s="170"/>
      <c r="T176" s="170"/>
      <c r="U176" s="170"/>
      <c r="V176" s="170"/>
      <c r="W176" s="170"/>
      <c r="X176" s="170"/>
      <c r="Y176" s="170"/>
      <c r="Z176" s="170"/>
    </row>
    <row r="177">
      <c r="A177" s="170"/>
      <c r="B177" s="352">
        <f>Projections!$AJ$26</f>
        <v>100</v>
      </c>
      <c r="C177" s="353">
        <v>5.0</v>
      </c>
      <c r="D177" s="362" t="str">
        <f t="array" ref="D177">INDIRECT("Draft!H"&amp;TEXT(A172+2,"0"))</f>
        <v/>
      </c>
      <c r="E177" s="359" t="str">
        <f>IF($D177="","", VLOOKUP($D177,'Final Update'!$P$21:$AD1000,Column(G175),False))</f>
        <v/>
      </c>
      <c r="F177" s="359" t="str">
        <f>IF($D177="","", VLOOKUP($D177,'Final Update'!$P$21:$AD1000,Column(H175),False))</f>
        <v/>
      </c>
      <c r="G177" s="359" t="str">
        <f>IF($D177="","", VLOOKUP($D177,'Final Update'!$P$21:$AD1000,Column(I175),False))</f>
        <v/>
      </c>
      <c r="H177" s="359" t="str">
        <f>IF($D177="","", VLOOKUP($D177,'Final Update'!$P$21:$AD1000,Column(J175),False))</f>
        <v/>
      </c>
      <c r="I177" s="359" t="str">
        <f>IF($D177="","", VLOOKUP($D177,'Final Update'!$P$21:$AD1000,Column(K175),False))</f>
        <v/>
      </c>
      <c r="J177" s="359" t="str">
        <f>IF($D177="","", VLOOKUP($D177,'Final Update'!$P$21:$AD1000,Column(L175),False))</f>
        <v/>
      </c>
      <c r="K177" s="360" t="str">
        <f>IF($D177="","", VLOOKUP($D177,'Final Update'!$P$21:$AD1000,Column(M175),False))</f>
        <v/>
      </c>
      <c r="L177" s="360" t="str">
        <f>IF($D177="","", VLOOKUP($D177,'Final Update'!$P$21:$AD1000,Column(N175),False))</f>
        <v/>
      </c>
      <c r="M177" s="359" t="str">
        <f>IF($D177="","", VLOOKUP($D177,'Final Update'!$P$21:$AD1000,Column(O175),False))</f>
        <v/>
      </c>
      <c r="N177" s="359" t="str">
        <f>IF($D177="","", VLOOKUP($D177,'Final Update'!$P$21:$AD1000,Column(C175),False))</f>
        <v/>
      </c>
      <c r="O177" s="353">
        <f t="array" ref="O177">COUNTIF(FIND(P177,$N173:$N186),"&gt;0")</f>
        <v>0</v>
      </c>
      <c r="P177" s="354" t="s">
        <v>34</v>
      </c>
      <c r="Q177" s="170"/>
      <c r="R177" s="170"/>
      <c r="S177" s="170"/>
      <c r="T177" s="170"/>
      <c r="U177" s="170"/>
      <c r="V177" s="170"/>
      <c r="W177" s="170"/>
      <c r="X177" s="170"/>
      <c r="Y177" s="170"/>
      <c r="Z177" s="170"/>
    </row>
    <row r="178">
      <c r="A178" s="170"/>
      <c r="B178" s="352">
        <f>Projections!$AJ$27</f>
        <v>100</v>
      </c>
      <c r="C178" s="353">
        <v>6.0</v>
      </c>
      <c r="D178" s="363" t="str">
        <f t="array" ref="D178">INDIRECT("Draft!I"&amp;TEXT(15-A172,"0"))</f>
        <v/>
      </c>
      <c r="E178" s="359" t="str">
        <f>IF($D178="","", VLOOKUP($D178,'Final Update'!$P$21:$AD1000,Column(G176),False))</f>
        <v/>
      </c>
      <c r="F178" s="359" t="str">
        <f>IF($D178="","", VLOOKUP($D178,'Final Update'!$P$21:$AD1000,Column(H176),False))</f>
        <v/>
      </c>
      <c r="G178" s="359" t="str">
        <f>IF($D178="","", VLOOKUP($D178,'Final Update'!$P$21:$AD1000,Column(I176),False))</f>
        <v/>
      </c>
      <c r="H178" s="359" t="str">
        <f>IF($D178="","", VLOOKUP($D178,'Final Update'!$P$21:$AD1000,Column(J176),False))</f>
        <v/>
      </c>
      <c r="I178" s="359" t="str">
        <f>IF($D178="","", VLOOKUP($D178,'Final Update'!$P$21:$AD1000,Column(K176),False))</f>
        <v/>
      </c>
      <c r="J178" s="359" t="str">
        <f>IF($D178="","", VLOOKUP($D178,'Final Update'!$P$21:$AD1000,Column(L176),False))</f>
        <v/>
      </c>
      <c r="K178" s="360" t="str">
        <f>IF($D178="","", VLOOKUP($D178,'Final Update'!$P$21:$AD1000,Column(M176),False))</f>
        <v/>
      </c>
      <c r="L178" s="360" t="str">
        <f>IF($D178="","", VLOOKUP($D178,'Final Update'!$P$21:$AD1000,Column(N176),False))</f>
        <v/>
      </c>
      <c r="M178" s="359" t="str">
        <f>IF($D178="","", VLOOKUP($D178,'Final Update'!$P$21:$AD1000,Column(O176),False))</f>
        <v/>
      </c>
      <c r="N178" s="359" t="str">
        <f>IF($D178="","", VLOOKUP($D178,'Final Update'!$P$21:$AD1000,Column(C176),False))</f>
        <v/>
      </c>
      <c r="O178" s="170"/>
      <c r="P178" s="170"/>
      <c r="Q178" s="170"/>
      <c r="R178" s="170"/>
      <c r="S178" s="170"/>
      <c r="T178" s="170"/>
      <c r="U178" s="170"/>
      <c r="V178" s="170"/>
      <c r="W178" s="170"/>
      <c r="X178" s="170"/>
      <c r="Y178" s="170"/>
      <c r="Z178" s="170"/>
    </row>
    <row r="179">
      <c r="A179" s="170"/>
      <c r="B179" s="352">
        <f>Projections!$AJ$28</f>
        <v>100</v>
      </c>
      <c r="C179" s="353">
        <v>7.0</v>
      </c>
      <c r="D179" s="362" t="str">
        <f t="array" ref="D179">INDIRECT("Draft!J"&amp;TEXT(A172+2,"0"))</f>
        <v/>
      </c>
      <c r="E179" s="359" t="str">
        <f>IF($D179="","", VLOOKUP($D179,'Final Update'!$P$21:$AD1000,Column(G177),False))</f>
        <v/>
      </c>
      <c r="F179" s="359" t="str">
        <f>IF($D179="","", VLOOKUP($D179,'Final Update'!$P$21:$AD1000,Column(H177),False))</f>
        <v/>
      </c>
      <c r="G179" s="359" t="str">
        <f>IF($D179="","", VLOOKUP($D179,'Final Update'!$P$21:$AD1000,Column(I177),False))</f>
        <v/>
      </c>
      <c r="H179" s="359" t="str">
        <f>IF($D179="","", VLOOKUP($D179,'Final Update'!$P$21:$AD1000,Column(J177),False))</f>
        <v/>
      </c>
      <c r="I179" s="359" t="str">
        <f>IF($D179="","", VLOOKUP($D179,'Final Update'!$P$21:$AD1000,Column(K177),False))</f>
        <v/>
      </c>
      <c r="J179" s="359" t="str">
        <f>IF($D179="","", VLOOKUP($D179,'Final Update'!$P$21:$AD1000,Column(L177),False))</f>
        <v/>
      </c>
      <c r="K179" s="360" t="str">
        <f>IF($D179="","", VLOOKUP($D179,'Final Update'!$P$21:$AD1000,Column(M177),False))</f>
        <v/>
      </c>
      <c r="L179" s="360" t="str">
        <f>IF($D179="","", VLOOKUP($D179,'Final Update'!$P$21:$AD1000,Column(N177),False))</f>
        <v/>
      </c>
      <c r="M179" s="359" t="str">
        <f>IF($D179="","", VLOOKUP($D179,'Final Update'!$P$21:$AD1000,Column(O177),False))</f>
        <v/>
      </c>
      <c r="N179" s="359" t="str">
        <f>IF($D179="","", VLOOKUP($D179,'Final Update'!$P$21:$AD1000,Column(C177),False))</f>
        <v/>
      </c>
      <c r="O179" s="170"/>
      <c r="P179" s="170"/>
      <c r="Q179" s="170"/>
      <c r="R179" s="170"/>
      <c r="S179" s="170"/>
      <c r="T179" s="170"/>
      <c r="U179" s="170"/>
      <c r="V179" s="170"/>
      <c r="W179" s="170"/>
      <c r="X179" s="170"/>
      <c r="Y179" s="170"/>
      <c r="Z179" s="170"/>
    </row>
    <row r="180">
      <c r="A180" s="170"/>
      <c r="B180" s="352">
        <f>Projections!$AJ$29</f>
        <v>100</v>
      </c>
      <c r="C180" s="353">
        <v>8.0</v>
      </c>
      <c r="D180" s="363" t="str">
        <f t="array" ref="D180">INDIRECT("Draft!K"&amp;TEXT(15-A172,"0"))</f>
        <v/>
      </c>
      <c r="E180" s="359" t="str">
        <f>IF($D180="","", VLOOKUP($D180,'Final Update'!$P$21:$AD1000,Column(G178),False))</f>
        <v/>
      </c>
      <c r="F180" s="359" t="str">
        <f>IF($D180="","", VLOOKUP($D180,'Final Update'!$P$21:$AD1000,Column(H178),False))</f>
        <v/>
      </c>
      <c r="G180" s="359" t="str">
        <f>IF($D180="","", VLOOKUP($D180,'Final Update'!$P$21:$AD1000,Column(I178),False))</f>
        <v/>
      </c>
      <c r="H180" s="359" t="str">
        <f>IF($D180="","", VLOOKUP($D180,'Final Update'!$P$21:$AD1000,Column(J178),False))</f>
        <v/>
      </c>
      <c r="I180" s="359" t="str">
        <f>IF($D180="","", VLOOKUP($D180,'Final Update'!$P$21:$AD1000,Column(K178),False))</f>
        <v/>
      </c>
      <c r="J180" s="359" t="str">
        <f>IF($D180="","", VLOOKUP($D180,'Final Update'!$P$21:$AD1000,Column(L178),False))</f>
        <v/>
      </c>
      <c r="K180" s="360" t="str">
        <f>IF($D180="","", VLOOKUP($D180,'Final Update'!$P$21:$AD1000,Column(M178),False))</f>
        <v/>
      </c>
      <c r="L180" s="360" t="str">
        <f>IF($D180="","", VLOOKUP($D180,'Final Update'!$P$21:$AD1000,Column(N178),False))</f>
        <v/>
      </c>
      <c r="M180" s="359" t="str">
        <f>IF($D180="","", VLOOKUP($D180,'Final Update'!$P$21:$AD1000,Column(O178),False))</f>
        <v/>
      </c>
      <c r="N180" s="359" t="str">
        <f>IF($D180="","", VLOOKUP($D180,'Final Update'!$P$21:$AD1000,Column(C178),False))</f>
        <v/>
      </c>
      <c r="O180" s="170"/>
      <c r="P180" s="170"/>
      <c r="Q180" s="170"/>
      <c r="R180" s="170"/>
      <c r="S180" s="170"/>
      <c r="T180" s="170"/>
      <c r="U180" s="170"/>
      <c r="V180" s="170"/>
      <c r="W180" s="170"/>
      <c r="X180" s="170"/>
      <c r="Y180" s="170"/>
      <c r="Z180" s="170"/>
    </row>
    <row r="181">
      <c r="A181" s="170"/>
      <c r="B181" s="352">
        <f>Projections!$AJ$30</f>
        <v>100</v>
      </c>
      <c r="C181" s="353">
        <v>9.0</v>
      </c>
      <c r="D181" s="362" t="str">
        <f t="array" ref="D181">INDIRECT("Draft!L"&amp;TEXT(A172+2,"0"))</f>
        <v/>
      </c>
      <c r="E181" s="359" t="str">
        <f>IF($D181="","", VLOOKUP($D181,'Final Update'!$P$21:$AD1000,Column(G179),False))</f>
        <v/>
      </c>
      <c r="F181" s="359" t="str">
        <f>IF($D181="","", VLOOKUP($D181,'Final Update'!$P$21:$AD1000,Column(H179),False))</f>
        <v/>
      </c>
      <c r="G181" s="359" t="str">
        <f>IF($D181="","", VLOOKUP($D181,'Final Update'!$P$21:$AD1000,Column(I179),False))</f>
        <v/>
      </c>
      <c r="H181" s="359" t="str">
        <f>IF($D181="","", VLOOKUP($D181,'Final Update'!$P$21:$AD1000,Column(J179),False))</f>
        <v/>
      </c>
      <c r="I181" s="359" t="str">
        <f>IF($D181="","", VLOOKUP($D181,'Final Update'!$P$21:$AD1000,Column(K179),False))</f>
        <v/>
      </c>
      <c r="J181" s="359" t="str">
        <f>IF($D181="","", VLOOKUP($D181,'Final Update'!$P$21:$AD1000,Column(L179),False))</f>
        <v/>
      </c>
      <c r="K181" s="360" t="str">
        <f>IF($D181="","", VLOOKUP($D181,'Final Update'!$P$21:$AD1000,Column(M179),False))</f>
        <v/>
      </c>
      <c r="L181" s="360" t="str">
        <f>IF($D181="","", VLOOKUP($D181,'Final Update'!$P$21:$AD1000,Column(N179),False))</f>
        <v/>
      </c>
      <c r="M181" s="359" t="str">
        <f>IF($D181="","", VLOOKUP($D181,'Final Update'!$P$21:$AD1000,Column(O179),False))</f>
        <v/>
      </c>
      <c r="N181" s="359" t="str">
        <f>IF($D181="","", VLOOKUP($D181,'Final Update'!$P$21:$AD1000,Column(C179),False))</f>
        <v/>
      </c>
      <c r="O181" s="170"/>
      <c r="P181" s="170"/>
      <c r="Q181" s="170"/>
      <c r="R181" s="170"/>
      <c r="S181" s="170"/>
      <c r="T181" s="170"/>
      <c r="U181" s="170"/>
      <c r="V181" s="170"/>
      <c r="W181" s="170"/>
      <c r="X181" s="170"/>
      <c r="Y181" s="170"/>
      <c r="Z181" s="170"/>
    </row>
    <row r="182">
      <c r="A182" s="170"/>
      <c r="B182" s="352">
        <f>Projections!$AJ$31</f>
        <v>100</v>
      </c>
      <c r="C182" s="353">
        <v>10.0</v>
      </c>
      <c r="D182" s="363" t="str">
        <f t="array" ref="D182">INDIRECT("Draft!M"&amp;TEXT(15-A172,"0"))</f>
        <v/>
      </c>
      <c r="E182" s="359" t="str">
        <f>IF($D182="","", VLOOKUP($D182,'Final Update'!$P$21:$AD1000,Column(G180),False))</f>
        <v/>
      </c>
      <c r="F182" s="359" t="str">
        <f>IF($D182="","", VLOOKUP($D182,'Final Update'!$P$21:$AD1000,Column(H180),False))</f>
        <v/>
      </c>
      <c r="G182" s="359" t="str">
        <f>IF($D182="","", VLOOKUP($D182,'Final Update'!$P$21:$AD1000,Column(I180),False))</f>
        <v/>
      </c>
      <c r="H182" s="359" t="str">
        <f>IF($D182="","", VLOOKUP($D182,'Final Update'!$P$21:$AD1000,Column(J180),False))</f>
        <v/>
      </c>
      <c r="I182" s="359" t="str">
        <f>IF($D182="","", VLOOKUP($D182,'Final Update'!$P$21:$AD1000,Column(K180),False))</f>
        <v/>
      </c>
      <c r="J182" s="359" t="str">
        <f>IF($D182="","", VLOOKUP($D182,'Final Update'!$P$21:$AD1000,Column(L180),False))</f>
        <v/>
      </c>
      <c r="K182" s="360" t="str">
        <f>IF($D182="","", VLOOKUP($D182,'Final Update'!$P$21:$AD1000,Column(M180),False))</f>
        <v/>
      </c>
      <c r="L182" s="360" t="str">
        <f>IF($D182="","", VLOOKUP($D182,'Final Update'!$P$21:$AD1000,Column(N180),False))</f>
        <v/>
      </c>
      <c r="M182" s="359" t="str">
        <f>IF($D182="","", VLOOKUP($D182,'Final Update'!$P$21:$AD1000,Column(O180),False))</f>
        <v/>
      </c>
      <c r="N182" s="359" t="str">
        <f>IF($D182="","", VLOOKUP($D182,'Final Update'!$P$21:$AD1000,Column(C180),False))</f>
        <v/>
      </c>
      <c r="O182" s="170"/>
      <c r="P182" s="170"/>
      <c r="Q182" s="170"/>
      <c r="R182" s="170"/>
      <c r="S182" s="170"/>
      <c r="T182" s="170"/>
      <c r="U182" s="170"/>
      <c r="V182" s="170"/>
      <c r="W182" s="170"/>
      <c r="X182" s="170"/>
      <c r="Y182" s="170"/>
      <c r="Z182" s="170"/>
    </row>
    <row r="183">
      <c r="A183" s="170"/>
      <c r="B183" s="352">
        <f>Projections!$AJ$32</f>
        <v>100</v>
      </c>
      <c r="C183" s="353">
        <v>11.0</v>
      </c>
      <c r="D183" s="362" t="str">
        <f t="array" ref="D183">INDIRECT("Draft!N"&amp;TEXT(A172+2,"0"))</f>
        <v/>
      </c>
      <c r="E183" s="359" t="str">
        <f>IF($D183="","", VLOOKUP($D183,'Final Update'!$P$21:$AD1000,Column(G181),False))</f>
        <v/>
      </c>
      <c r="F183" s="359" t="str">
        <f>IF($D183="","", VLOOKUP($D183,'Final Update'!$P$21:$AD1000,Column(H181),False))</f>
        <v/>
      </c>
      <c r="G183" s="359" t="str">
        <f>IF($D183="","", VLOOKUP($D183,'Final Update'!$P$21:$AD1000,Column(I181),False))</f>
        <v/>
      </c>
      <c r="H183" s="359" t="str">
        <f>IF($D183="","", VLOOKUP($D183,'Final Update'!$P$21:$AD1000,Column(J181),False))</f>
        <v/>
      </c>
      <c r="I183" s="359" t="str">
        <f>IF($D183="","", VLOOKUP($D183,'Final Update'!$P$21:$AD1000,Column(K181),False))</f>
        <v/>
      </c>
      <c r="J183" s="359" t="str">
        <f>IF($D183="","", VLOOKUP($D183,'Final Update'!$P$21:$AD1000,Column(L181),False))</f>
        <v/>
      </c>
      <c r="K183" s="360" t="str">
        <f>IF($D183="","", VLOOKUP($D183,'Final Update'!$P$21:$AD1000,Column(M181),False))</f>
        <v/>
      </c>
      <c r="L183" s="360" t="str">
        <f>IF($D183="","", VLOOKUP($D183,'Final Update'!$P$21:$AD1000,Column(N181),False))</f>
        <v/>
      </c>
      <c r="M183" s="359" t="str">
        <f>IF($D183="","", VLOOKUP($D183,'Final Update'!$P$21:$AD1000,Column(O181),False))</f>
        <v/>
      </c>
      <c r="N183" s="359" t="str">
        <f>IF($D183="","", VLOOKUP($D183,'Final Update'!$P$21:$AD1000,Column(C181),False))</f>
        <v/>
      </c>
      <c r="O183" s="170"/>
      <c r="P183" s="170"/>
      <c r="Q183" s="170"/>
      <c r="R183" s="170"/>
      <c r="S183" s="170"/>
      <c r="T183" s="170"/>
      <c r="U183" s="170"/>
      <c r="V183" s="170"/>
      <c r="W183" s="170"/>
      <c r="X183" s="170"/>
      <c r="Y183" s="170"/>
      <c r="Z183" s="170"/>
    </row>
    <row r="184">
      <c r="A184" s="170"/>
      <c r="B184" s="352">
        <f>Projections!$AJ$33</f>
        <v>100</v>
      </c>
      <c r="C184" s="353">
        <v>12.0</v>
      </c>
      <c r="D184" s="363" t="str">
        <f t="array" ref="D184">INDIRECT("Draft!O"&amp;TEXT(15-A172,"0"))</f>
        <v/>
      </c>
      <c r="E184" s="359" t="str">
        <f>IF($D184="","", VLOOKUP($D184,'Final Update'!$P$21:$AD1000,Column(G182),False))</f>
        <v/>
      </c>
      <c r="F184" s="359" t="str">
        <f>IF($D184="","", VLOOKUP($D184,'Final Update'!$P$21:$AD1000,Column(H182),False))</f>
        <v/>
      </c>
      <c r="G184" s="359" t="str">
        <f>IF($D184="","", VLOOKUP($D184,'Final Update'!$P$21:$AD1000,Column(I182),False))</f>
        <v/>
      </c>
      <c r="H184" s="359" t="str">
        <f>IF($D184="","", VLOOKUP($D184,'Final Update'!$P$21:$AD1000,Column(J182),False))</f>
        <v/>
      </c>
      <c r="I184" s="359" t="str">
        <f>IF($D184="","", VLOOKUP($D184,'Final Update'!$P$21:$AD1000,Column(K182),False))</f>
        <v/>
      </c>
      <c r="J184" s="359" t="str">
        <f>IF($D184="","", VLOOKUP($D184,'Final Update'!$P$21:$AD1000,Column(L182),False))</f>
        <v/>
      </c>
      <c r="K184" s="360" t="str">
        <f>IF($D184="","", VLOOKUP($D184,'Final Update'!$P$21:$AD1000,Column(M182),False))</f>
        <v/>
      </c>
      <c r="L184" s="360" t="str">
        <f>IF($D184="","", VLOOKUP($D184,'Final Update'!$P$21:$AD1000,Column(N182),False))</f>
        <v/>
      </c>
      <c r="M184" s="359" t="str">
        <f>IF($D184="","", VLOOKUP($D184,'Final Update'!$P$21:$AD1000,Column(O182),False))</f>
        <v/>
      </c>
      <c r="N184" s="359" t="str">
        <f>IF($D184="","", VLOOKUP($D184,'Final Update'!$P$21:$AD1000,Column(C182),False))</f>
        <v/>
      </c>
      <c r="O184" s="170"/>
      <c r="P184" s="170"/>
      <c r="Q184" s="170"/>
      <c r="R184" s="170"/>
      <c r="S184" s="170"/>
      <c r="T184" s="170"/>
      <c r="U184" s="170"/>
      <c r="V184" s="170"/>
      <c r="W184" s="170"/>
      <c r="X184" s="170"/>
      <c r="Y184" s="170"/>
      <c r="Z184" s="170"/>
    </row>
    <row r="185">
      <c r="A185" s="170"/>
      <c r="B185" s="364">
        <f>Projections!$AJ$34</f>
        <v>100</v>
      </c>
      <c r="C185" s="353">
        <v>13.0</v>
      </c>
      <c r="D185" s="362" t="str">
        <f t="array" ref="D185">INDIRECT("Draft!P"&amp;TEXT(A172+2,"0"))</f>
        <v/>
      </c>
      <c r="E185" s="359" t="str">
        <f>IF($D185="","", VLOOKUP($D185,'Final Update'!$P$21:$AD1000,Column(G183),False))</f>
        <v/>
      </c>
      <c r="F185" s="359" t="str">
        <f>IF($D185="","", VLOOKUP($D185,'Final Update'!$P$21:$AD1000,Column(H183),False))</f>
        <v/>
      </c>
      <c r="G185" s="359" t="str">
        <f>IF($D185="","", VLOOKUP($D185,'Final Update'!$P$21:$AD1000,Column(I183),False))</f>
        <v/>
      </c>
      <c r="H185" s="359" t="str">
        <f>IF($D185="","", VLOOKUP($D185,'Final Update'!$P$21:$AD1000,Column(J183),False))</f>
        <v/>
      </c>
      <c r="I185" s="359" t="str">
        <f>IF($D185="","", VLOOKUP($D185,'Final Update'!$P$21:$AD1000,Column(K183),False))</f>
        <v/>
      </c>
      <c r="J185" s="359" t="str">
        <f>IF($D185="","", VLOOKUP($D185,'Final Update'!$P$21:$AD1000,Column(L183),False))</f>
        <v/>
      </c>
      <c r="K185" s="360" t="str">
        <f>IF($D185="","", VLOOKUP($D185,'Final Update'!$P$21:$AD1000,Column(M183),False))</f>
        <v/>
      </c>
      <c r="L185" s="360" t="str">
        <f>IF($D185="","", VLOOKUP($D185,'Final Update'!$P$21:$AD1000,Column(N183),False))</f>
        <v/>
      </c>
      <c r="M185" s="359" t="str">
        <f>IF($D185="","", VLOOKUP($D185,'Final Update'!$P$21:$AD1000,Column(O183),False))</f>
        <v/>
      </c>
      <c r="N185" s="359" t="str">
        <f>IF($D185="","", VLOOKUP($D185,'Final Update'!$P$21:$AD1000,Column(C183),False))</f>
        <v/>
      </c>
      <c r="O185" s="170"/>
      <c r="P185" s="170"/>
      <c r="Q185" s="170"/>
      <c r="R185" s="170"/>
      <c r="S185" s="170"/>
      <c r="T185" s="170"/>
      <c r="U185" s="170"/>
      <c r="V185" s="170"/>
      <c r="W185" s="170"/>
      <c r="X185" s="170"/>
      <c r="Y185" s="170"/>
      <c r="Z185" s="170"/>
    </row>
    <row r="186">
      <c r="A186" s="170"/>
      <c r="B186" s="352">
        <f>Projections!$AJ$35</f>
        <v>50</v>
      </c>
      <c r="C186" s="353">
        <v>14.0</v>
      </c>
      <c r="D186" s="363" t="str">
        <f t="array" ref="D186">INDIRECT("Draft!Q"&amp;TEXT(15-A172,"0"))</f>
        <v/>
      </c>
      <c r="E186" s="359" t="str">
        <f>IF($D186="","", VLOOKUP($D186,'Final Update'!$P$21:$AD1000,Column(G184),False))</f>
        <v/>
      </c>
      <c r="F186" s="359" t="str">
        <f>IF($D186="","", VLOOKUP($D186,'Final Update'!$P$21:$AD1000,Column(H184),False))</f>
        <v/>
      </c>
      <c r="G186" s="359" t="str">
        <f>IF($D186="","", VLOOKUP($D186,'Final Update'!$P$21:$AD1000,Column(I184),False))</f>
        <v/>
      </c>
      <c r="H186" s="359" t="str">
        <f>IF($D186="","", VLOOKUP($D186,'Final Update'!$P$21:$AD1000,Column(J184),False))</f>
        <v/>
      </c>
      <c r="I186" s="359" t="str">
        <f>IF($D186="","", VLOOKUP($D186,'Final Update'!$P$21:$AD1000,Column(K184),False))</f>
        <v/>
      </c>
      <c r="J186" s="359" t="str">
        <f>IF($D186="","", VLOOKUP($D186,'Final Update'!$P$21:$AD1000,Column(L184),False))</f>
        <v/>
      </c>
      <c r="K186" s="360" t="str">
        <f>IF($D186="","", VLOOKUP($D186,'Final Update'!$P$21:$AD1000,Column(M184),False))</f>
        <v/>
      </c>
      <c r="L186" s="360" t="str">
        <f>IF($D186="","", VLOOKUP($D186,'Final Update'!$P$21:$AD1000,Column(N184),False))</f>
        <v/>
      </c>
      <c r="M186" s="359" t="str">
        <f>IF($D186="","", VLOOKUP($D186,'Final Update'!$P$21:$AD1000,Column(O184),False))</f>
        <v/>
      </c>
      <c r="N186" s="359" t="str">
        <f>IF($D186="","", VLOOKUP($D186,'Final Update'!$P$21:$AD1000,Column(C184),False))</f>
        <v/>
      </c>
      <c r="O186" s="170"/>
      <c r="P186" s="170"/>
      <c r="Q186" s="170"/>
      <c r="R186" s="170"/>
      <c r="S186" s="170"/>
      <c r="T186" s="170"/>
      <c r="U186" s="170"/>
      <c r="V186" s="170"/>
      <c r="W186" s="170"/>
      <c r="X186" s="170"/>
      <c r="Y186" s="170"/>
      <c r="Z186" s="170"/>
    </row>
    <row r="187">
      <c r="A187" s="348" t="s">
        <v>5</v>
      </c>
      <c r="B187" s="170"/>
      <c r="C187" s="170"/>
      <c r="D187" s="351" t="s">
        <v>1328</v>
      </c>
      <c r="E187" s="365" t="str">
        <f t="shared" ref="E187:J187" si="11">IFERROR(AVERAGE(SUMPRODUCT(E173:E186,$B173:$B186/100))/(SUM(OFFSET($B173,0,0,COUNT(E173:E186)))/100),"")</f>
        <v/>
      </c>
      <c r="F187" s="365" t="str">
        <f t="shared" si="11"/>
        <v/>
      </c>
      <c r="G187" s="365" t="str">
        <f t="shared" si="11"/>
        <v/>
      </c>
      <c r="H187" s="365" t="str">
        <f t="shared" si="11"/>
        <v/>
      </c>
      <c r="I187" s="365" t="str">
        <f t="shared" si="11"/>
        <v/>
      </c>
      <c r="J187" s="365" t="str">
        <f t="shared" si="11"/>
        <v/>
      </c>
      <c r="K187" s="365" t="str">
        <f t="array" ref="K187">IFERROR(100*SUMPRODUCT(IFERROR(VLOOKUP($D173:$D186,UpdateHashtag!$C:$S,6,False),"")*$B173:$B186/100)/SUMPRODUCT(IFERROR(VLOOKUP($D173:$D186,UpdateHashtag!$C:$S,17,False),"")*$B173:$B186/100),"")</f>
        <v/>
      </c>
      <c r="L187" s="365" t="str">
        <f t="array" ref="L187">IFERROR(100*SUMPRODUCT(IFERROR(VLOOKUP($D173:$D186,UpdateHashtag!$C:$T,8,False),"")*$B173:$B186/100)/SUMPRODUCT(IFERROR(VLOOKUP($D173:$D186,UpdateHashtag!$C:$T,18,False),"")*$B173:$B186/100),"")</f>
        <v/>
      </c>
      <c r="M187" s="365" t="str">
        <f>IFERROR(AVERAGE(SUMPRODUCT(M173:M186,$B173:$B186/100))/(SUM(OFFSET($B173,0,0,COUNT(M173:M186)))/100),"")</f>
        <v/>
      </c>
      <c r="N187" s="170"/>
      <c r="O187" s="170"/>
      <c r="P187" s="170"/>
      <c r="Q187" s="170"/>
      <c r="R187" s="170"/>
      <c r="S187" s="170"/>
      <c r="T187" s="170"/>
      <c r="U187" s="170"/>
      <c r="V187" s="170"/>
      <c r="W187" s="170"/>
      <c r="X187" s="170"/>
      <c r="Y187" s="170"/>
      <c r="Z187" s="170"/>
    </row>
    <row r="188">
      <c r="A188" s="170"/>
      <c r="B188" s="170"/>
      <c r="C188" s="170"/>
      <c r="D188" s="351" t="s">
        <v>1329</v>
      </c>
      <c r="E188" s="366" t="str">
        <f>IFERROR((SUM(OFFSET('All Teams'!$B173,0,0,COUNT('All Teams'!E173:E186)))/100)*('All Teams'!E187-'Final Update'!$B$1)/'Final Update'!$B$2,"")</f>
        <v/>
      </c>
      <c r="F188" s="366" t="str">
        <f>IFERROR((SUM(OFFSET('All Teams'!$B173,0,0,COUNT('All Teams'!F173:F186)))/100)*('All Teams'!F187-'Final Update'!$C$1)/'Final Update'!$C$2,"")</f>
        <v/>
      </c>
      <c r="G188" s="366" t="str">
        <f>IFERROR((SUM(OFFSET('All Teams'!$B173,0,0,COUNT('All Teams'!G173:G186)))/100)*('All Teams'!G187-'Final Update'!$D$1)/'Final Update'!$D$2,"")</f>
        <v/>
      </c>
      <c r="H188" s="366" t="str">
        <f>IFERROR((SUM(OFFSET('All Teams'!$B173,0,0,COUNT('All Teams'!H173:H186)))/100)*('All Teams'!H187-'Final Update'!$E$1)/'Final Update'!$E$2,"")</f>
        <v/>
      </c>
      <c r="I188" s="366" t="str">
        <f>IFERROR((SUM(OFFSET('All Teams'!$B173,0,0,COUNT('All Teams'!I173:I186)))/100)*('All Teams'!I187-'Final Update'!$F$1)/'Final Update'!$F$2,"")</f>
        <v/>
      </c>
      <c r="J188" s="366" t="str">
        <f>IFERROR((SUM(OFFSET('All Teams'!$B173,0,0,COUNT('All Teams'!J173:J186)))/100)*('All Teams'!J187-'Final Update'!$G$1)/'Final Update'!$G$2,"")</f>
        <v/>
      </c>
      <c r="K188" s="366">
        <f t="array" ref="K188">SUMPRODUCT(IFERROR(VLOOKUP($D173:$D186,'Final Update'!$A$4:$L$403,8,False)*$B173:$B186/100,""))</f>
        <v>0</v>
      </c>
      <c r="L188" s="366">
        <f t="array" ref="L188">SUMPRODUCT(IFERROR(VLOOKUP($D173:$D186,'Final Update'!$A$4:$L$403,10,False)*$B173:$B186/100,""))</f>
        <v>0</v>
      </c>
      <c r="M188" s="366" t="str">
        <f>IFERROR(-(SUM(OFFSET('All Teams'!$B173,0,0,COUNT('All Teams'!M173:M186)))/100)*('All Teams'!M187-'Final Update'!$L$1)/'Final Update'!$L$2,"")</f>
        <v/>
      </c>
      <c r="N188" s="170"/>
      <c r="O188" s="170"/>
      <c r="P188" s="170"/>
      <c r="Q188" s="170"/>
      <c r="R188" s="170"/>
      <c r="S188" s="170"/>
      <c r="T188" s="170"/>
      <c r="U188" s="170"/>
      <c r="V188" s="170"/>
      <c r="W188" s="170"/>
      <c r="X188" s="170"/>
      <c r="Y188" s="170"/>
      <c r="Z188" s="170"/>
    </row>
    <row r="189">
      <c r="A189" s="349">
        <v>12.0</v>
      </c>
      <c r="B189" s="350" t="s">
        <v>810</v>
      </c>
      <c r="C189" s="351" t="s">
        <v>812</v>
      </c>
      <c r="D189" s="350" t="s">
        <v>1076</v>
      </c>
      <c r="E189" s="350" t="s">
        <v>11</v>
      </c>
      <c r="F189" s="350" t="s">
        <v>51</v>
      </c>
      <c r="G189" s="350" t="s">
        <v>53</v>
      </c>
      <c r="H189" s="350" t="s">
        <v>14</v>
      </c>
      <c r="I189" s="350" t="s">
        <v>15</v>
      </c>
      <c r="J189" s="350" t="s">
        <v>16</v>
      </c>
      <c r="K189" s="350" t="s">
        <v>8</v>
      </c>
      <c r="L189" s="350" t="s">
        <v>9</v>
      </c>
      <c r="M189" s="350" t="s">
        <v>17</v>
      </c>
      <c r="N189" s="350" t="s">
        <v>4</v>
      </c>
      <c r="O189" s="350" t="s">
        <v>816</v>
      </c>
      <c r="P189" s="350" t="s">
        <v>4</v>
      </c>
      <c r="Q189" s="170"/>
      <c r="R189" s="170"/>
      <c r="S189" s="170"/>
      <c r="T189" s="170"/>
      <c r="U189" s="170"/>
      <c r="V189" s="170"/>
      <c r="W189" s="170"/>
      <c r="X189" s="170"/>
      <c r="Y189" s="170"/>
      <c r="Z189" s="170"/>
    </row>
    <row r="190">
      <c r="A190" s="170"/>
      <c r="B190" s="352">
        <f>Projections!$AJ$22</f>
        <v>100</v>
      </c>
      <c r="C190" s="353">
        <v>1.0</v>
      </c>
      <c r="D190" s="354" t="str">
        <f t="array" ref="D190">INDIRECT("Draft!D"&amp;TEXT(A189+2,"0"))</f>
        <v/>
      </c>
      <c r="E190" s="355" t="str">
        <f>IF($D190="","", VLOOKUP($D190,'Final Update'!$P$21:$AD1000,Column(G188),False))</f>
        <v/>
      </c>
      <c r="F190" s="355" t="str">
        <f>IF($D190="","", VLOOKUP($D190,'Final Update'!$P$21:$AD1000,Column(H188),False))</f>
        <v/>
      </c>
      <c r="G190" s="355" t="str">
        <f>IF($D190="","", VLOOKUP($D190,'Final Update'!$P$21:$AD1000,Column(I188),False))</f>
        <v/>
      </c>
      <c r="H190" s="355" t="str">
        <f>IF($D190="","", VLOOKUP($D190,'Final Update'!$P$21:$AD1000,Column(J188),False))</f>
        <v/>
      </c>
      <c r="I190" s="355" t="str">
        <f>IF($D190="","", VLOOKUP($D190,'Final Update'!$P$21:$AD1000,Column(K188),False))</f>
        <v/>
      </c>
      <c r="J190" s="355" t="str">
        <f>IF($D190="","", VLOOKUP($D190,'Final Update'!$P$21:$AD1000,Column(L188),False))</f>
        <v/>
      </c>
      <c r="K190" s="356" t="str">
        <f>IF($D190="","", VLOOKUP($D190,'Final Update'!$P$21:$AD1000,Column(M188),False))</f>
        <v/>
      </c>
      <c r="L190" s="356" t="str">
        <f>IF($D190="","", VLOOKUP($D190,'Final Update'!$P$21:$AD1000,Column(N188),False))</f>
        <v/>
      </c>
      <c r="M190" s="355" t="str">
        <f>IF($D190="","", VLOOKUP($D190,'Final Update'!$P$21:$AD1000,Column(O188),False))</f>
        <v/>
      </c>
      <c r="N190" s="355" t="str">
        <f>IF($D190="","", VLOOKUP($D190,'Final Update'!$P$21:$AD1000,Column(C188),False))</f>
        <v/>
      </c>
      <c r="O190" s="353">
        <f t="array" ref="O190">COUNTIF(FIND(P190,$N190:$N203),"&gt;0")</f>
        <v>0</v>
      </c>
      <c r="P190" s="354" t="s">
        <v>44</v>
      </c>
      <c r="Q190" s="170"/>
      <c r="R190" s="170"/>
      <c r="S190" s="170"/>
      <c r="T190" s="170"/>
      <c r="U190" s="170"/>
      <c r="V190" s="170"/>
      <c r="W190" s="170"/>
      <c r="X190" s="170"/>
      <c r="Y190" s="170"/>
      <c r="Z190" s="170"/>
    </row>
    <row r="191">
      <c r="A191" s="170"/>
      <c r="B191" s="352">
        <f>Projections!$AJ$23</f>
        <v>100</v>
      </c>
      <c r="C191" s="353">
        <v>2.0</v>
      </c>
      <c r="D191" s="357" t="str">
        <f t="array" ref="D191">INDIRECT("Draft!E"&amp;TEXT(15-A189,"0"))</f>
        <v/>
      </c>
      <c r="E191" s="355" t="str">
        <f>IF($D191="","", VLOOKUP($D191,'Final Update'!$P$21:$AD1000,Column(G189),False))</f>
        <v/>
      </c>
      <c r="F191" s="355" t="str">
        <f>IF($D191="","", VLOOKUP($D191,'Final Update'!$P$21:$AD1000,Column(H189),False))</f>
        <v/>
      </c>
      <c r="G191" s="355" t="str">
        <f>IF($D191="","", VLOOKUP($D191,'Final Update'!$P$21:$AD1000,Column(I189),False))</f>
        <v/>
      </c>
      <c r="H191" s="355" t="str">
        <f>IF($D191="","", VLOOKUP($D191,'Final Update'!$P$21:$AD1000,Column(J189),False))</f>
        <v/>
      </c>
      <c r="I191" s="355" t="str">
        <f>IF($D191="","", VLOOKUP($D191,'Final Update'!$P$21:$AD1000,Column(K189),False))</f>
        <v/>
      </c>
      <c r="J191" s="355" t="str">
        <f>IF($D191="","", VLOOKUP($D191,'Final Update'!$P$21:$AD1000,Column(L189),False))</f>
        <v/>
      </c>
      <c r="K191" s="356" t="str">
        <f>IF($D191="","", VLOOKUP($D191,'Final Update'!$P$21:$AD1000,Column(M189),False))</f>
        <v/>
      </c>
      <c r="L191" s="356" t="str">
        <f>IF($D191="","", VLOOKUP($D191,'Final Update'!$P$21:$AD1000,Column(N189),False))</f>
        <v/>
      </c>
      <c r="M191" s="355" t="str">
        <f>IF($D191="","", VLOOKUP($D191,'Final Update'!$P$21:$AD1000,Column(O189),False))</f>
        <v/>
      </c>
      <c r="N191" s="355" t="str">
        <f>IF($D191="","", VLOOKUP($D191,'Final Update'!$P$21:$AD1000,Column(C189),False))</f>
        <v/>
      </c>
      <c r="O191" s="353">
        <f t="array" ref="O191">COUNTIF(FIND(P191,$N190:$N203),"&gt;0")</f>
        <v>0</v>
      </c>
      <c r="P191" s="354" t="s">
        <v>71</v>
      </c>
      <c r="Q191" s="170"/>
      <c r="R191" s="170"/>
      <c r="S191" s="170"/>
      <c r="T191" s="170"/>
      <c r="U191" s="170"/>
      <c r="V191" s="170"/>
      <c r="W191" s="170"/>
      <c r="X191" s="170"/>
      <c r="Y191" s="170"/>
      <c r="Z191" s="170"/>
    </row>
    <row r="192">
      <c r="A192" s="170"/>
      <c r="B192" s="352">
        <f>Projections!$AJ$24</f>
        <v>100</v>
      </c>
      <c r="C192" s="353">
        <v>3.0</v>
      </c>
      <c r="D192" s="358" t="str">
        <f t="array" ref="D192">INDIRECT("Draft!F"&amp;TEXT(A189+2,"0"))</f>
        <v/>
      </c>
      <c r="E192" s="355" t="str">
        <f>IF($D192="","", VLOOKUP($D192,'Final Update'!$P$21:$AD1000,Column(G190),False))</f>
        <v/>
      </c>
      <c r="F192" s="355" t="str">
        <f>IF($D192="","", VLOOKUP($D192,'Final Update'!$P$21:$AD1000,Column(H190),False))</f>
        <v/>
      </c>
      <c r="G192" s="355" t="str">
        <f>IF($D192="","", VLOOKUP($D192,'Final Update'!$P$21:$AD1000,Column(I190),False))</f>
        <v/>
      </c>
      <c r="H192" s="355" t="str">
        <f>IF($D192="","", VLOOKUP($D192,'Final Update'!$P$21:$AD1000,Column(J190),False))</f>
        <v/>
      </c>
      <c r="I192" s="355" t="str">
        <f>IF($D192="","", VLOOKUP($D192,'Final Update'!$P$21:$AD1000,Column(K190),False))</f>
        <v/>
      </c>
      <c r="J192" s="355" t="str">
        <f>IF($D192="","", VLOOKUP($D192,'Final Update'!$P$21:$AD1000,Column(L190),False))</f>
        <v/>
      </c>
      <c r="K192" s="356" t="str">
        <f>IF($D192="","", VLOOKUP($D192,'Final Update'!$P$21:$AD1000,Column(M190),False))</f>
        <v/>
      </c>
      <c r="L192" s="356" t="str">
        <f>IF($D192="","", VLOOKUP($D192,'Final Update'!$P$21:$AD1000,Column(N190),False))</f>
        <v/>
      </c>
      <c r="M192" s="355" t="str">
        <f>IF($D192="","", VLOOKUP($D192,'Final Update'!$P$21:$AD1000,Column(O190),False))</f>
        <v/>
      </c>
      <c r="N192" s="355" t="str">
        <f>IF($D192="","", VLOOKUP($D192,'Final Update'!$P$21:$AD1000,Column(C190),False))</f>
        <v/>
      </c>
      <c r="O192" s="353">
        <f t="array" ref="O192">COUNTIF(FIND(P192,$N190:$N203),"&gt;0")</f>
        <v>0</v>
      </c>
      <c r="P192" s="354" t="s">
        <v>72</v>
      </c>
      <c r="Q192" s="170"/>
      <c r="R192" s="170"/>
      <c r="S192" s="170"/>
      <c r="T192" s="170"/>
      <c r="U192" s="170"/>
      <c r="V192" s="170"/>
      <c r="W192" s="170"/>
      <c r="X192" s="170"/>
      <c r="Y192" s="170"/>
      <c r="Z192" s="170"/>
    </row>
    <row r="193">
      <c r="A193" s="170"/>
      <c r="B193" s="352">
        <f>Projections!$AJ$25</f>
        <v>100</v>
      </c>
      <c r="C193" s="353">
        <v>4.0</v>
      </c>
      <c r="D193" s="361" t="str">
        <f t="array" ref="D193">INDIRECT("Draft!G"&amp;TEXT(15-A189,"0"))</f>
        <v/>
      </c>
      <c r="E193" s="359" t="str">
        <f>IF($D193="","", VLOOKUP($D193,'Final Update'!$P$21:$AD1000,Column(G191),False))</f>
        <v/>
      </c>
      <c r="F193" s="359" t="str">
        <f>IF($D193="","", VLOOKUP($D193,'Final Update'!$P$21:$AD1000,Column(H191),False))</f>
        <v/>
      </c>
      <c r="G193" s="359" t="str">
        <f>IF($D193="","", VLOOKUP($D193,'Final Update'!$P$21:$AD1000,Column(I191),False))</f>
        <v/>
      </c>
      <c r="H193" s="359" t="str">
        <f>IF($D193="","", VLOOKUP($D193,'Final Update'!$P$21:$AD1000,Column(J191),False))</f>
        <v/>
      </c>
      <c r="I193" s="359" t="str">
        <f>IF($D193="","", VLOOKUP($D193,'Final Update'!$P$21:$AD1000,Column(K191),False))</f>
        <v/>
      </c>
      <c r="J193" s="359" t="str">
        <f>IF($D193="","", VLOOKUP($D193,'Final Update'!$P$21:$AD1000,Column(L191),False))</f>
        <v/>
      </c>
      <c r="K193" s="360" t="str">
        <f>IF($D193="","", VLOOKUP($D193,'Final Update'!$P$21:$AD1000,Column(M191),False))</f>
        <v/>
      </c>
      <c r="L193" s="360" t="str">
        <f>IF($D193="","", VLOOKUP($D193,'Final Update'!$P$21:$AD1000,Column(N191),False))</f>
        <v/>
      </c>
      <c r="M193" s="359" t="str">
        <f>IF($D193="","", VLOOKUP($D193,'Final Update'!$P$21:$AD1000,Column(O191),False))</f>
        <v/>
      </c>
      <c r="N193" s="359" t="str">
        <f>IF($D193="","", VLOOKUP($D193,'Final Update'!$P$21:$AD1000,Column(C191),False))</f>
        <v/>
      </c>
      <c r="O193" s="353">
        <f t="array" ref="O193">COUNTIF(FIND(P193,$N190:$N203),"&gt;0")</f>
        <v>0</v>
      </c>
      <c r="P193" s="354" t="s">
        <v>73</v>
      </c>
      <c r="Q193" s="170"/>
      <c r="R193" s="170"/>
      <c r="S193" s="170"/>
      <c r="T193" s="170"/>
      <c r="U193" s="170"/>
      <c r="V193" s="170"/>
      <c r="W193" s="170"/>
      <c r="X193" s="170"/>
      <c r="Y193" s="170"/>
      <c r="Z193" s="170"/>
    </row>
    <row r="194">
      <c r="A194" s="170"/>
      <c r="B194" s="352">
        <f>Projections!$AJ$26</f>
        <v>100</v>
      </c>
      <c r="C194" s="353">
        <v>5.0</v>
      </c>
      <c r="D194" s="362" t="str">
        <f t="array" ref="D194">INDIRECT("Draft!H"&amp;TEXT(A189+2,"0"))</f>
        <v/>
      </c>
      <c r="E194" s="359" t="str">
        <f>IF($D194="","", VLOOKUP($D194,'Final Update'!$P$21:$AD1000,Column(G192),False))</f>
        <v/>
      </c>
      <c r="F194" s="359" t="str">
        <f>IF($D194="","", VLOOKUP($D194,'Final Update'!$P$21:$AD1000,Column(H192),False))</f>
        <v/>
      </c>
      <c r="G194" s="359" t="str">
        <f>IF($D194="","", VLOOKUP($D194,'Final Update'!$P$21:$AD1000,Column(I192),False))</f>
        <v/>
      </c>
      <c r="H194" s="359" t="str">
        <f>IF($D194="","", VLOOKUP($D194,'Final Update'!$P$21:$AD1000,Column(J192),False))</f>
        <v/>
      </c>
      <c r="I194" s="359" t="str">
        <f>IF($D194="","", VLOOKUP($D194,'Final Update'!$P$21:$AD1000,Column(K192),False))</f>
        <v/>
      </c>
      <c r="J194" s="359" t="str">
        <f>IF($D194="","", VLOOKUP($D194,'Final Update'!$P$21:$AD1000,Column(L192),False))</f>
        <v/>
      </c>
      <c r="K194" s="360" t="str">
        <f>IF($D194="","", VLOOKUP($D194,'Final Update'!$P$21:$AD1000,Column(M192),False))</f>
        <v/>
      </c>
      <c r="L194" s="360" t="str">
        <f>IF($D194="","", VLOOKUP($D194,'Final Update'!$P$21:$AD1000,Column(N192),False))</f>
        <v/>
      </c>
      <c r="M194" s="359" t="str">
        <f>IF($D194="","", VLOOKUP($D194,'Final Update'!$P$21:$AD1000,Column(O192),False))</f>
        <v/>
      </c>
      <c r="N194" s="359" t="str">
        <f>IF($D194="","", VLOOKUP($D194,'Final Update'!$P$21:$AD1000,Column(C192),False))</f>
        <v/>
      </c>
      <c r="O194" s="353">
        <f t="array" ref="O194">COUNTIF(FIND(P194,$N190:$N203),"&gt;0")</f>
        <v>0</v>
      </c>
      <c r="P194" s="354" t="s">
        <v>34</v>
      </c>
      <c r="Q194" s="170"/>
      <c r="R194" s="170"/>
      <c r="S194" s="170"/>
      <c r="T194" s="170"/>
      <c r="U194" s="170"/>
      <c r="V194" s="170"/>
      <c r="W194" s="170"/>
      <c r="X194" s="170"/>
      <c r="Y194" s="170"/>
      <c r="Z194" s="170"/>
    </row>
    <row r="195">
      <c r="A195" s="170"/>
      <c r="B195" s="352">
        <f>Projections!$AJ$27</f>
        <v>100</v>
      </c>
      <c r="C195" s="353">
        <v>6.0</v>
      </c>
      <c r="D195" s="363" t="str">
        <f t="array" ref="D195">INDIRECT("Draft!I"&amp;TEXT(15-A189,"0"))</f>
        <v/>
      </c>
      <c r="E195" s="359" t="str">
        <f>IF($D195="","", VLOOKUP($D195,'Final Update'!$P$21:$AD1000,Column(G193),False))</f>
        <v/>
      </c>
      <c r="F195" s="359" t="str">
        <f>IF($D195="","", VLOOKUP($D195,'Final Update'!$P$21:$AD1000,Column(H193),False))</f>
        <v/>
      </c>
      <c r="G195" s="359" t="str">
        <f>IF($D195="","", VLOOKUP($D195,'Final Update'!$P$21:$AD1000,Column(I193),False))</f>
        <v/>
      </c>
      <c r="H195" s="359" t="str">
        <f>IF($D195="","", VLOOKUP($D195,'Final Update'!$P$21:$AD1000,Column(J193),False))</f>
        <v/>
      </c>
      <c r="I195" s="359" t="str">
        <f>IF($D195="","", VLOOKUP($D195,'Final Update'!$P$21:$AD1000,Column(K193),False))</f>
        <v/>
      </c>
      <c r="J195" s="359" t="str">
        <f>IF($D195="","", VLOOKUP($D195,'Final Update'!$P$21:$AD1000,Column(L193),False))</f>
        <v/>
      </c>
      <c r="K195" s="360" t="str">
        <f>IF($D195="","", VLOOKUP($D195,'Final Update'!$P$21:$AD1000,Column(M193),False))</f>
        <v/>
      </c>
      <c r="L195" s="360" t="str">
        <f>IF($D195="","", VLOOKUP($D195,'Final Update'!$P$21:$AD1000,Column(N193),False))</f>
        <v/>
      </c>
      <c r="M195" s="359" t="str">
        <f>IF($D195="","", VLOOKUP($D195,'Final Update'!$P$21:$AD1000,Column(O193),False))</f>
        <v/>
      </c>
      <c r="N195" s="359" t="str">
        <f>IF($D195="","", VLOOKUP($D195,'Final Update'!$P$21:$AD1000,Column(C193),False))</f>
        <v/>
      </c>
      <c r="O195" s="170"/>
      <c r="P195" s="170"/>
      <c r="Q195" s="170"/>
      <c r="R195" s="170"/>
      <c r="S195" s="170"/>
      <c r="T195" s="170"/>
      <c r="U195" s="170"/>
      <c r="V195" s="170"/>
      <c r="W195" s="170"/>
      <c r="X195" s="170"/>
      <c r="Y195" s="170"/>
      <c r="Z195" s="170"/>
    </row>
    <row r="196">
      <c r="A196" s="170"/>
      <c r="B196" s="352">
        <f>Projections!$AJ$28</f>
        <v>100</v>
      </c>
      <c r="C196" s="353">
        <v>7.0</v>
      </c>
      <c r="D196" s="362" t="str">
        <f t="array" ref="D196">INDIRECT("Draft!J"&amp;TEXT(A189+2,"0"))</f>
        <v/>
      </c>
      <c r="E196" s="359" t="str">
        <f>IF($D196="","", VLOOKUP($D196,'Final Update'!$P$21:$AD1000,Column(G194),False))</f>
        <v/>
      </c>
      <c r="F196" s="359" t="str">
        <f>IF($D196="","", VLOOKUP($D196,'Final Update'!$P$21:$AD1000,Column(H194),False))</f>
        <v/>
      </c>
      <c r="G196" s="359" t="str">
        <f>IF($D196="","", VLOOKUP($D196,'Final Update'!$P$21:$AD1000,Column(I194),False))</f>
        <v/>
      </c>
      <c r="H196" s="359" t="str">
        <f>IF($D196="","", VLOOKUP($D196,'Final Update'!$P$21:$AD1000,Column(J194),False))</f>
        <v/>
      </c>
      <c r="I196" s="359" t="str">
        <f>IF($D196="","", VLOOKUP($D196,'Final Update'!$P$21:$AD1000,Column(K194),False))</f>
        <v/>
      </c>
      <c r="J196" s="359" t="str">
        <f>IF($D196="","", VLOOKUP($D196,'Final Update'!$P$21:$AD1000,Column(L194),False))</f>
        <v/>
      </c>
      <c r="K196" s="360" t="str">
        <f>IF($D196="","", VLOOKUP($D196,'Final Update'!$P$21:$AD1000,Column(M194),False))</f>
        <v/>
      </c>
      <c r="L196" s="360" t="str">
        <f>IF($D196="","", VLOOKUP($D196,'Final Update'!$P$21:$AD1000,Column(N194),False))</f>
        <v/>
      </c>
      <c r="M196" s="359" t="str">
        <f>IF($D196="","", VLOOKUP($D196,'Final Update'!$P$21:$AD1000,Column(O194),False))</f>
        <v/>
      </c>
      <c r="N196" s="359" t="str">
        <f>IF($D196="","", VLOOKUP($D196,'Final Update'!$P$21:$AD1000,Column(C194),False))</f>
        <v/>
      </c>
      <c r="O196" s="170"/>
      <c r="P196" s="170"/>
      <c r="Q196" s="170"/>
      <c r="R196" s="170"/>
      <c r="S196" s="170"/>
      <c r="T196" s="170"/>
      <c r="U196" s="170"/>
      <c r="V196" s="170"/>
      <c r="W196" s="170"/>
      <c r="X196" s="170"/>
      <c r="Y196" s="170"/>
      <c r="Z196" s="170"/>
    </row>
    <row r="197">
      <c r="A197" s="170"/>
      <c r="B197" s="352">
        <f>Projections!$AJ$29</f>
        <v>100</v>
      </c>
      <c r="C197" s="353">
        <v>8.0</v>
      </c>
      <c r="D197" s="363" t="str">
        <f t="array" ref="D197">INDIRECT("Draft!K"&amp;TEXT(15-A189,"0"))</f>
        <v/>
      </c>
      <c r="E197" s="359" t="str">
        <f>IF($D197="","", VLOOKUP($D197,'Final Update'!$P$21:$AD1000,Column(G195),False))</f>
        <v/>
      </c>
      <c r="F197" s="359" t="str">
        <f>IF($D197="","", VLOOKUP($D197,'Final Update'!$P$21:$AD1000,Column(H195),False))</f>
        <v/>
      </c>
      <c r="G197" s="359" t="str">
        <f>IF($D197="","", VLOOKUP($D197,'Final Update'!$P$21:$AD1000,Column(I195),False))</f>
        <v/>
      </c>
      <c r="H197" s="359" t="str">
        <f>IF($D197="","", VLOOKUP($D197,'Final Update'!$P$21:$AD1000,Column(J195),False))</f>
        <v/>
      </c>
      <c r="I197" s="359" t="str">
        <f>IF($D197="","", VLOOKUP($D197,'Final Update'!$P$21:$AD1000,Column(K195),False))</f>
        <v/>
      </c>
      <c r="J197" s="359" t="str">
        <f>IF($D197="","", VLOOKUP($D197,'Final Update'!$P$21:$AD1000,Column(L195),False))</f>
        <v/>
      </c>
      <c r="K197" s="360" t="str">
        <f>IF($D197="","", VLOOKUP($D197,'Final Update'!$P$21:$AD1000,Column(M195),False))</f>
        <v/>
      </c>
      <c r="L197" s="360" t="str">
        <f>IF($D197="","", VLOOKUP($D197,'Final Update'!$P$21:$AD1000,Column(N195),False))</f>
        <v/>
      </c>
      <c r="M197" s="359" t="str">
        <f>IF($D197="","", VLOOKUP($D197,'Final Update'!$P$21:$AD1000,Column(O195),False))</f>
        <v/>
      </c>
      <c r="N197" s="359" t="str">
        <f>IF($D197="","", VLOOKUP($D197,'Final Update'!$P$21:$AD1000,Column(C195),False))</f>
        <v/>
      </c>
      <c r="O197" s="170"/>
      <c r="P197" s="170"/>
      <c r="Q197" s="170"/>
      <c r="R197" s="170"/>
      <c r="S197" s="170"/>
      <c r="T197" s="170"/>
      <c r="U197" s="170"/>
      <c r="V197" s="170"/>
      <c r="W197" s="170"/>
      <c r="X197" s="170"/>
      <c r="Y197" s="170"/>
      <c r="Z197" s="170"/>
    </row>
    <row r="198">
      <c r="A198" s="170"/>
      <c r="B198" s="352">
        <f>Projections!$AJ$30</f>
        <v>100</v>
      </c>
      <c r="C198" s="353">
        <v>9.0</v>
      </c>
      <c r="D198" s="362" t="str">
        <f t="array" ref="D198">INDIRECT("Draft!L"&amp;TEXT(A189+2,"0"))</f>
        <v/>
      </c>
      <c r="E198" s="359" t="str">
        <f>IF($D198="","", VLOOKUP($D198,'Final Update'!$P$21:$AD1000,Column(G196),False))</f>
        <v/>
      </c>
      <c r="F198" s="359" t="str">
        <f>IF($D198="","", VLOOKUP($D198,'Final Update'!$P$21:$AD1000,Column(H196),False))</f>
        <v/>
      </c>
      <c r="G198" s="359" t="str">
        <f>IF($D198="","", VLOOKUP($D198,'Final Update'!$P$21:$AD1000,Column(I196),False))</f>
        <v/>
      </c>
      <c r="H198" s="359" t="str">
        <f>IF($D198="","", VLOOKUP($D198,'Final Update'!$P$21:$AD1000,Column(J196),False))</f>
        <v/>
      </c>
      <c r="I198" s="359" t="str">
        <f>IF($D198="","", VLOOKUP($D198,'Final Update'!$P$21:$AD1000,Column(K196),False))</f>
        <v/>
      </c>
      <c r="J198" s="359" t="str">
        <f>IF($D198="","", VLOOKUP($D198,'Final Update'!$P$21:$AD1000,Column(L196),False))</f>
        <v/>
      </c>
      <c r="K198" s="360" t="str">
        <f>IF($D198="","", VLOOKUP($D198,'Final Update'!$P$21:$AD1000,Column(M196),False))</f>
        <v/>
      </c>
      <c r="L198" s="360" t="str">
        <f>IF($D198="","", VLOOKUP($D198,'Final Update'!$P$21:$AD1000,Column(N196),False))</f>
        <v/>
      </c>
      <c r="M198" s="359" t="str">
        <f>IF($D198="","", VLOOKUP($D198,'Final Update'!$P$21:$AD1000,Column(O196),False))</f>
        <v/>
      </c>
      <c r="N198" s="359" t="str">
        <f>IF($D198="","", VLOOKUP($D198,'Final Update'!$P$21:$AD1000,Column(C196),False))</f>
        <v/>
      </c>
      <c r="O198" s="170"/>
      <c r="P198" s="170"/>
      <c r="Q198" s="170"/>
      <c r="R198" s="170"/>
      <c r="S198" s="170"/>
      <c r="T198" s="170"/>
      <c r="U198" s="170"/>
      <c r="V198" s="170"/>
      <c r="W198" s="170"/>
      <c r="X198" s="170"/>
      <c r="Y198" s="170"/>
      <c r="Z198" s="170"/>
    </row>
    <row r="199">
      <c r="A199" s="170"/>
      <c r="B199" s="352">
        <f>Projections!$AJ$31</f>
        <v>100</v>
      </c>
      <c r="C199" s="353">
        <v>10.0</v>
      </c>
      <c r="D199" s="363" t="str">
        <f t="array" ref="D199">INDIRECT("Draft!M"&amp;TEXT(15-A189,"0"))</f>
        <v/>
      </c>
      <c r="E199" s="359" t="str">
        <f>IF($D199="","", VLOOKUP($D199,'Final Update'!$P$21:$AD1000,Column(G197),False))</f>
        <v/>
      </c>
      <c r="F199" s="359" t="str">
        <f>IF($D199="","", VLOOKUP($D199,'Final Update'!$P$21:$AD1000,Column(H197),False))</f>
        <v/>
      </c>
      <c r="G199" s="359" t="str">
        <f>IF($D199="","", VLOOKUP($D199,'Final Update'!$P$21:$AD1000,Column(I197),False))</f>
        <v/>
      </c>
      <c r="H199" s="359" t="str">
        <f>IF($D199="","", VLOOKUP($D199,'Final Update'!$P$21:$AD1000,Column(J197),False))</f>
        <v/>
      </c>
      <c r="I199" s="359" t="str">
        <f>IF($D199="","", VLOOKUP($D199,'Final Update'!$P$21:$AD1000,Column(K197),False))</f>
        <v/>
      </c>
      <c r="J199" s="359" t="str">
        <f>IF($D199="","", VLOOKUP($D199,'Final Update'!$P$21:$AD1000,Column(L197),False))</f>
        <v/>
      </c>
      <c r="K199" s="360" t="str">
        <f>IF($D199="","", VLOOKUP($D199,'Final Update'!$P$21:$AD1000,Column(M197),False))</f>
        <v/>
      </c>
      <c r="L199" s="360" t="str">
        <f>IF($D199="","", VLOOKUP($D199,'Final Update'!$P$21:$AD1000,Column(N197),False))</f>
        <v/>
      </c>
      <c r="M199" s="359" t="str">
        <f>IF($D199="","", VLOOKUP($D199,'Final Update'!$P$21:$AD1000,Column(O197),False))</f>
        <v/>
      </c>
      <c r="N199" s="359" t="str">
        <f>IF($D199="","", VLOOKUP($D199,'Final Update'!$P$21:$AD1000,Column(C197),False))</f>
        <v/>
      </c>
      <c r="O199" s="170"/>
      <c r="P199" s="170"/>
      <c r="Q199" s="170"/>
      <c r="R199" s="170"/>
      <c r="S199" s="170"/>
      <c r="T199" s="170"/>
      <c r="U199" s="170"/>
      <c r="V199" s="170"/>
      <c r="W199" s="170"/>
      <c r="X199" s="170"/>
      <c r="Y199" s="170"/>
      <c r="Z199" s="170"/>
    </row>
    <row r="200">
      <c r="A200" s="170"/>
      <c r="B200" s="352">
        <f>Projections!$AJ$32</f>
        <v>100</v>
      </c>
      <c r="C200" s="353">
        <v>11.0</v>
      </c>
      <c r="D200" s="362" t="str">
        <f t="array" ref="D200">INDIRECT("Draft!N"&amp;TEXT(A189+2,"0"))</f>
        <v/>
      </c>
      <c r="E200" s="359" t="str">
        <f>IF($D200="","", VLOOKUP($D200,'Final Update'!$P$21:$AD1000,Column(G198),False))</f>
        <v/>
      </c>
      <c r="F200" s="359" t="str">
        <f>IF($D200="","", VLOOKUP($D200,'Final Update'!$P$21:$AD1000,Column(H198),False))</f>
        <v/>
      </c>
      <c r="G200" s="359" t="str">
        <f>IF($D200="","", VLOOKUP($D200,'Final Update'!$P$21:$AD1000,Column(I198),False))</f>
        <v/>
      </c>
      <c r="H200" s="359" t="str">
        <f>IF($D200="","", VLOOKUP($D200,'Final Update'!$P$21:$AD1000,Column(J198),False))</f>
        <v/>
      </c>
      <c r="I200" s="359" t="str">
        <f>IF($D200="","", VLOOKUP($D200,'Final Update'!$P$21:$AD1000,Column(K198),False))</f>
        <v/>
      </c>
      <c r="J200" s="359" t="str">
        <f>IF($D200="","", VLOOKUP($D200,'Final Update'!$P$21:$AD1000,Column(L198),False))</f>
        <v/>
      </c>
      <c r="K200" s="360" t="str">
        <f>IF($D200="","", VLOOKUP($D200,'Final Update'!$P$21:$AD1000,Column(M198),False))</f>
        <v/>
      </c>
      <c r="L200" s="360" t="str">
        <f>IF($D200="","", VLOOKUP($D200,'Final Update'!$P$21:$AD1000,Column(N198),False))</f>
        <v/>
      </c>
      <c r="M200" s="359" t="str">
        <f>IF($D200="","", VLOOKUP($D200,'Final Update'!$P$21:$AD1000,Column(O198),False))</f>
        <v/>
      </c>
      <c r="N200" s="359" t="str">
        <f>IF($D200="","", VLOOKUP($D200,'Final Update'!$P$21:$AD1000,Column(C198),False))</f>
        <v/>
      </c>
      <c r="O200" s="170"/>
      <c r="P200" s="170"/>
      <c r="Q200" s="170"/>
      <c r="R200" s="170"/>
      <c r="S200" s="170"/>
      <c r="T200" s="170"/>
      <c r="U200" s="170"/>
      <c r="V200" s="170"/>
      <c r="W200" s="170"/>
      <c r="X200" s="170"/>
      <c r="Y200" s="170"/>
      <c r="Z200" s="170"/>
    </row>
    <row r="201">
      <c r="A201" s="170"/>
      <c r="B201" s="352">
        <f>Projections!$AJ$33</f>
        <v>100</v>
      </c>
      <c r="C201" s="353">
        <v>12.0</v>
      </c>
      <c r="D201" s="363" t="str">
        <f t="array" ref="D201">INDIRECT("Draft!O"&amp;TEXT(15-A189,"0"))</f>
        <v/>
      </c>
      <c r="E201" s="359" t="str">
        <f>IF($D201="","", VLOOKUP($D201,'Final Update'!$P$21:$AD1000,Column(G199),False))</f>
        <v/>
      </c>
      <c r="F201" s="359" t="str">
        <f>IF($D201="","", VLOOKUP($D201,'Final Update'!$P$21:$AD1000,Column(H199),False))</f>
        <v/>
      </c>
      <c r="G201" s="359" t="str">
        <f>IF($D201="","", VLOOKUP($D201,'Final Update'!$P$21:$AD1000,Column(I199),False))</f>
        <v/>
      </c>
      <c r="H201" s="359" t="str">
        <f>IF($D201="","", VLOOKUP($D201,'Final Update'!$P$21:$AD1000,Column(J199),False))</f>
        <v/>
      </c>
      <c r="I201" s="359" t="str">
        <f>IF($D201="","", VLOOKUP($D201,'Final Update'!$P$21:$AD1000,Column(K199),False))</f>
        <v/>
      </c>
      <c r="J201" s="359" t="str">
        <f>IF($D201="","", VLOOKUP($D201,'Final Update'!$P$21:$AD1000,Column(L199),False))</f>
        <v/>
      </c>
      <c r="K201" s="360" t="str">
        <f>IF($D201="","", VLOOKUP($D201,'Final Update'!$P$21:$AD1000,Column(M199),False))</f>
        <v/>
      </c>
      <c r="L201" s="360" t="str">
        <f>IF($D201="","", VLOOKUP($D201,'Final Update'!$P$21:$AD1000,Column(N199),False))</f>
        <v/>
      </c>
      <c r="M201" s="359" t="str">
        <f>IF($D201="","", VLOOKUP($D201,'Final Update'!$P$21:$AD1000,Column(O199),False))</f>
        <v/>
      </c>
      <c r="N201" s="359" t="str">
        <f>IF($D201="","", VLOOKUP($D201,'Final Update'!$P$21:$AD1000,Column(C199),False))</f>
        <v/>
      </c>
      <c r="O201" s="170"/>
      <c r="P201" s="170"/>
      <c r="Q201" s="170"/>
      <c r="R201" s="170"/>
      <c r="S201" s="170"/>
      <c r="T201" s="170"/>
      <c r="U201" s="170"/>
      <c r="V201" s="170"/>
      <c r="W201" s="170"/>
      <c r="X201" s="170"/>
      <c r="Y201" s="170"/>
      <c r="Z201" s="170"/>
    </row>
    <row r="202">
      <c r="A202" s="170"/>
      <c r="B202" s="364">
        <f>Projections!$AJ$34</f>
        <v>100</v>
      </c>
      <c r="C202" s="353">
        <v>13.0</v>
      </c>
      <c r="D202" s="362" t="str">
        <f t="array" ref="D202">INDIRECT("Draft!P"&amp;TEXT(A189+2,"0"))</f>
        <v/>
      </c>
      <c r="E202" s="359" t="str">
        <f>IF($D202="","", VLOOKUP($D202,'Final Update'!$P$21:$AD1000,Column(G200),False))</f>
        <v/>
      </c>
      <c r="F202" s="359" t="str">
        <f>IF($D202="","", VLOOKUP($D202,'Final Update'!$P$21:$AD1000,Column(H200),False))</f>
        <v/>
      </c>
      <c r="G202" s="359" t="str">
        <f>IF($D202="","", VLOOKUP($D202,'Final Update'!$P$21:$AD1000,Column(I200),False))</f>
        <v/>
      </c>
      <c r="H202" s="359" t="str">
        <f>IF($D202="","", VLOOKUP($D202,'Final Update'!$P$21:$AD1000,Column(J200),False))</f>
        <v/>
      </c>
      <c r="I202" s="359" t="str">
        <f>IF($D202="","", VLOOKUP($D202,'Final Update'!$P$21:$AD1000,Column(K200),False))</f>
        <v/>
      </c>
      <c r="J202" s="359" t="str">
        <f>IF($D202="","", VLOOKUP($D202,'Final Update'!$P$21:$AD1000,Column(L200),False))</f>
        <v/>
      </c>
      <c r="K202" s="360" t="str">
        <f>IF($D202="","", VLOOKUP($D202,'Final Update'!$P$21:$AD1000,Column(M200),False))</f>
        <v/>
      </c>
      <c r="L202" s="360" t="str">
        <f>IF($D202="","", VLOOKUP($D202,'Final Update'!$P$21:$AD1000,Column(N200),False))</f>
        <v/>
      </c>
      <c r="M202" s="359" t="str">
        <f>IF($D202="","", VLOOKUP($D202,'Final Update'!$P$21:$AD1000,Column(O200),False))</f>
        <v/>
      </c>
      <c r="N202" s="359" t="str">
        <f>IF($D202="","", VLOOKUP($D202,'Final Update'!$P$21:$AD1000,Column(C200),False))</f>
        <v/>
      </c>
      <c r="O202" s="170"/>
      <c r="P202" s="170"/>
      <c r="Q202" s="170"/>
      <c r="R202" s="170"/>
      <c r="S202" s="170"/>
      <c r="T202" s="170"/>
      <c r="U202" s="170"/>
      <c r="V202" s="170"/>
      <c r="W202" s="170"/>
      <c r="X202" s="170"/>
      <c r="Y202" s="170"/>
      <c r="Z202" s="170"/>
    </row>
    <row r="203">
      <c r="A203" s="170"/>
      <c r="B203" s="352">
        <f>Projections!$AJ$35</f>
        <v>50</v>
      </c>
      <c r="C203" s="353">
        <v>14.0</v>
      </c>
      <c r="D203" s="363" t="str">
        <f t="array" ref="D203">INDIRECT("Draft!Q"&amp;TEXT(15-A189,"0"))</f>
        <v/>
      </c>
      <c r="E203" s="359" t="str">
        <f>IF($D203="","", VLOOKUP($D203,'Final Update'!$P$21:$AD1000,Column(G201),False))</f>
        <v/>
      </c>
      <c r="F203" s="359" t="str">
        <f>IF($D203="","", VLOOKUP($D203,'Final Update'!$P$21:$AD1000,Column(H201),False))</f>
        <v/>
      </c>
      <c r="G203" s="359" t="str">
        <f>IF($D203="","", VLOOKUP($D203,'Final Update'!$P$21:$AD1000,Column(I201),False))</f>
        <v/>
      </c>
      <c r="H203" s="359" t="str">
        <f>IF($D203="","", VLOOKUP($D203,'Final Update'!$P$21:$AD1000,Column(J201),False))</f>
        <v/>
      </c>
      <c r="I203" s="359" t="str">
        <f>IF($D203="","", VLOOKUP($D203,'Final Update'!$P$21:$AD1000,Column(K201),False))</f>
        <v/>
      </c>
      <c r="J203" s="359" t="str">
        <f>IF($D203="","", VLOOKUP($D203,'Final Update'!$P$21:$AD1000,Column(L201),False))</f>
        <v/>
      </c>
      <c r="K203" s="360" t="str">
        <f>IF($D203="","", VLOOKUP($D203,'Final Update'!$P$21:$AD1000,Column(M201),False))</f>
        <v/>
      </c>
      <c r="L203" s="360" t="str">
        <f>IF($D203="","", VLOOKUP($D203,'Final Update'!$P$21:$AD1000,Column(N201),False))</f>
        <v/>
      </c>
      <c r="M203" s="359" t="str">
        <f>IF($D203="","", VLOOKUP($D203,'Final Update'!$P$21:$AD1000,Column(O201),False))</f>
        <v/>
      </c>
      <c r="N203" s="359" t="str">
        <f>IF($D203="","", VLOOKUP($D203,'Final Update'!$P$21:$AD1000,Column(C201),False))</f>
        <v/>
      </c>
      <c r="O203" s="170"/>
      <c r="P203" s="170"/>
      <c r="Q203" s="170"/>
      <c r="R203" s="170"/>
      <c r="S203" s="170"/>
      <c r="T203" s="170"/>
      <c r="U203" s="170"/>
      <c r="V203" s="170"/>
      <c r="W203" s="170"/>
      <c r="X203" s="170"/>
      <c r="Y203" s="170"/>
      <c r="Z203" s="170"/>
    </row>
    <row r="204">
      <c r="A204" s="170"/>
      <c r="B204" s="170"/>
      <c r="C204" s="170"/>
      <c r="D204" s="351" t="s">
        <v>1328</v>
      </c>
      <c r="E204" s="365" t="str">
        <f t="shared" ref="E204:J204" si="12">IFERROR(AVERAGE(SUMPRODUCT(E190:E203,$B190:$B203/100))/(SUM(OFFSET($B190,0,0,COUNT(E190:E203)))/100),"")</f>
        <v/>
      </c>
      <c r="F204" s="365" t="str">
        <f t="shared" si="12"/>
        <v/>
      </c>
      <c r="G204" s="365" t="str">
        <f t="shared" si="12"/>
        <v/>
      </c>
      <c r="H204" s="365" t="str">
        <f t="shared" si="12"/>
        <v/>
      </c>
      <c r="I204" s="365" t="str">
        <f t="shared" si="12"/>
        <v/>
      </c>
      <c r="J204" s="365" t="str">
        <f t="shared" si="12"/>
        <v/>
      </c>
      <c r="K204" s="365" t="str">
        <f t="array" ref="K204">IFERROR(100*SUMPRODUCT(IFERROR(VLOOKUP($D190:$D203,UpdateHashtag!$C:$S,6,False),"")*$B190:$B203/100)/SUMPRODUCT(IFERROR(VLOOKUP($D190:$D203,UpdateHashtag!$C:$S,17,False),"")*$B190:$B203/100),"")</f>
        <v/>
      </c>
      <c r="L204" s="365" t="str">
        <f t="array" ref="L204">IFERROR(100*SUMPRODUCT(IFERROR(VLOOKUP($D190:$D203,UpdateHashtag!$C:$T,8,False),"")*$B190:$B203/100)/SUMPRODUCT(IFERROR(VLOOKUP($D190:$D203,UpdateHashtag!$C:$T,18,False),"")*$B190:$B203/100),"")</f>
        <v/>
      </c>
      <c r="M204" s="365" t="str">
        <f>IFERROR(AVERAGE(SUMPRODUCT(M190:M203,$B190:$B203/100))/(SUM(OFFSET($B190,0,0,COUNT(M190:M203)))/100),"")</f>
        <v/>
      </c>
      <c r="N204" s="170"/>
      <c r="O204" s="170"/>
      <c r="P204" s="170"/>
      <c r="Q204" s="170"/>
      <c r="R204" s="170"/>
      <c r="S204" s="170"/>
      <c r="T204" s="170"/>
      <c r="U204" s="170"/>
      <c r="V204" s="170"/>
      <c r="W204" s="170"/>
      <c r="X204" s="170"/>
      <c r="Y204" s="170"/>
      <c r="Z204" s="170"/>
    </row>
    <row r="205">
      <c r="A205" s="170"/>
      <c r="B205" s="170"/>
      <c r="C205" s="170"/>
      <c r="D205" s="351" t="s">
        <v>1329</v>
      </c>
      <c r="E205" s="366" t="str">
        <f>IFERROR((SUM(OFFSET('All Teams'!$B190,0,0,COUNT('All Teams'!E190:E203)))/100)*('All Teams'!E204-'Final Update'!$B$1)/'Final Update'!$B$2,"")</f>
        <v/>
      </c>
      <c r="F205" s="366" t="str">
        <f>IFERROR((SUM(OFFSET('All Teams'!$B190,0,0,COUNT('All Teams'!F190:F203)))/100)*('All Teams'!F204-'Final Update'!$C$1)/'Final Update'!$C$2,"")</f>
        <v/>
      </c>
      <c r="G205" s="366" t="str">
        <f>IFERROR((SUM(OFFSET('All Teams'!$B190,0,0,COUNT('All Teams'!G190:G203)))/100)*('All Teams'!G204-'Final Update'!$D$1)/'Final Update'!$D$2,"")</f>
        <v/>
      </c>
      <c r="H205" s="366" t="str">
        <f>IFERROR((SUM(OFFSET('All Teams'!$B190,0,0,COUNT('All Teams'!H190:H203)))/100)*('All Teams'!H204-'Final Update'!$E$1)/'Final Update'!$E$2,"")</f>
        <v/>
      </c>
      <c r="I205" s="366" t="str">
        <f>IFERROR((SUM(OFFSET('All Teams'!$B190,0,0,COUNT('All Teams'!I190:I203)))/100)*('All Teams'!I204-'Final Update'!$F$1)/'Final Update'!$F$2,"")</f>
        <v/>
      </c>
      <c r="J205" s="366" t="str">
        <f>IFERROR((SUM(OFFSET('All Teams'!$B190,0,0,COUNT('All Teams'!J190:J203)))/100)*('All Teams'!J204-'Final Update'!$G$1)/'Final Update'!$G$2,"")</f>
        <v/>
      </c>
      <c r="K205" s="366">
        <f t="array" ref="K205">SUMPRODUCT(IFERROR(VLOOKUP($D190:$D203,'Final Update'!$A$4:$L$403,8,False)*$B190:$B203/100,""))</f>
        <v>0</v>
      </c>
      <c r="L205" s="366">
        <f t="array" ref="L205">SUMPRODUCT(IFERROR(VLOOKUP($D190:$D203,'Final Update'!$A$4:$L$403,10,False)*$B190:$B203/100,""))</f>
        <v>0</v>
      </c>
      <c r="M205" s="366" t="str">
        <f>IFERROR(-(SUM(OFFSET('All Teams'!$B190,0,0,COUNT('All Teams'!M190:M203)))/100)*('All Teams'!M204-'Final Update'!$L$1)/'Final Update'!$L$2,"")</f>
        <v/>
      </c>
      <c r="N205" s="170"/>
      <c r="O205" s="170"/>
      <c r="P205" s="170"/>
      <c r="Q205" s="170"/>
      <c r="R205" s="170"/>
      <c r="S205" s="170"/>
      <c r="T205" s="170"/>
      <c r="U205" s="170"/>
      <c r="V205" s="170"/>
      <c r="W205" s="170"/>
      <c r="X205" s="170"/>
      <c r="Y205" s="170"/>
      <c r="Z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dataValidations>
    <dataValidation type="list" allowBlank="1" sqref="B3:B16 B20:B33 B37:B50 B54:B67 B71:B84 B88:B101 B105:B118 B122:B135 B139:B152 B156:B169 B173:B186 B190:B203">
      <formula1>"100,75,50,25,0"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
    <col customWidth="1" min="3" max="3" width="20.13"/>
    <col customWidth="1" min="12" max="12" width="11.13"/>
    <col customWidth="1" hidden="1" min="13" max="13" width="16.75"/>
    <col hidden="1" min="14" max="24" width="12.63"/>
    <col customWidth="1" min="25" max="25" width="14.75"/>
  </cols>
  <sheetData>
    <row r="1">
      <c r="C1" s="409" t="s">
        <v>50</v>
      </c>
      <c r="D1" s="410">
        <f>VLOOKUP(TRUE(),Projections!I3:J14,2,FALSE)</f>
        <v>6</v>
      </c>
      <c r="Y1" s="410" t="s">
        <v>2611</v>
      </c>
      <c r="Z1" s="410">
        <v>150.0</v>
      </c>
      <c r="AB1" s="411"/>
    </row>
    <row r="2">
      <c r="C2" s="412"/>
      <c r="D2" s="412"/>
      <c r="F2" s="413" t="s">
        <v>2612</v>
      </c>
      <c r="Y2" s="412"/>
      <c r="Z2" s="412"/>
    </row>
    <row r="3">
      <c r="M3" s="5">
        <f>Projections!J3</f>
        <v>1</v>
      </c>
      <c r="N3" s="5">
        <f>Projections!J4</f>
        <v>2</v>
      </c>
      <c r="O3" s="5">
        <f>Projections!J5</f>
        <v>3</v>
      </c>
      <c r="P3">
        <f>Projections!J6</f>
        <v>4</v>
      </c>
      <c r="Q3" s="5">
        <f>Projections!J7</f>
        <v>5</v>
      </c>
      <c r="R3">
        <f>Projections!J8</f>
        <v>6</v>
      </c>
      <c r="S3">
        <f>Projections!J9</f>
        <v>7</v>
      </c>
      <c r="T3">
        <f>Projections!J10</f>
        <v>8</v>
      </c>
      <c r="U3">
        <f>Projections!J11</f>
        <v>9</v>
      </c>
      <c r="V3">
        <f>Projections!J12</f>
        <v>10</v>
      </c>
      <c r="W3">
        <f>Projections!J13</f>
        <v>11</v>
      </c>
      <c r="X3">
        <f>Projections!J14</f>
        <v>12</v>
      </c>
    </row>
    <row r="7" ht="15.75" customHeight="1"/>
    <row r="12">
      <c r="AA12" s="414"/>
    </row>
    <row r="17">
      <c r="D17" s="415"/>
      <c r="M17" s="416"/>
    </row>
    <row r="19">
      <c r="B19" s="417"/>
      <c r="C19" s="418" t="str">
        <f>'Final Update'!A3</f>
        <v>ADP</v>
      </c>
      <c r="D19" s="419" t="s">
        <v>11</v>
      </c>
      <c r="E19" s="419" t="s">
        <v>51</v>
      </c>
      <c r="F19" s="419" t="s">
        <v>53</v>
      </c>
      <c r="G19" s="419" t="s">
        <v>14</v>
      </c>
      <c r="H19" s="419" t="s">
        <v>15</v>
      </c>
      <c r="I19" s="419" t="s">
        <v>16</v>
      </c>
      <c r="J19" s="419" t="s">
        <v>8</v>
      </c>
      <c r="K19" s="419" t="s">
        <v>9</v>
      </c>
      <c r="L19" s="419" t="s">
        <v>17</v>
      </c>
      <c r="M19" s="418"/>
      <c r="N19" s="418"/>
      <c r="O19" s="418"/>
      <c r="P19" s="418"/>
      <c r="Q19" s="418"/>
      <c r="R19" s="418"/>
      <c r="S19" s="418"/>
      <c r="T19" s="418"/>
      <c r="U19" s="418"/>
      <c r="V19" s="418"/>
      <c r="W19" s="418"/>
      <c r="X19" s="418"/>
      <c r="Y19" s="420" t="s">
        <v>4</v>
      </c>
      <c r="Z19" s="420" t="s">
        <v>816</v>
      </c>
      <c r="AA19" s="420" t="s">
        <v>4</v>
      </c>
    </row>
    <row r="20">
      <c r="B20" s="421">
        <v>1.0</v>
      </c>
      <c r="C20" s="421" t="b">
        <f t="array" ref="C20">INDIRECT("Draft!C"&amp;TEXT(D1+2,"0"))</f>
        <v>1</v>
      </c>
      <c r="D20" s="422" t="str">
        <f>IF($C20="","", VLOOKUP($C20,UpdateHashtag!$B$2:$R$420,11,False))</f>
        <v>#N/A</v>
      </c>
      <c r="E20" s="422" t="str">
        <f>IF($C20="","", VLOOKUP($C20,UpdateHashtag!$B$2:$R$420,10,False))</f>
        <v>#N/A</v>
      </c>
      <c r="F20" s="422" t="str">
        <f>IF($C20="","", VLOOKUP($C20,UpdateHashtag!$B$2:$R$420,12,False))</f>
        <v>#N/A</v>
      </c>
      <c r="G20" s="422" t="str">
        <f>IF($C20="","", VLOOKUP($C20,UpdateHashtag!$B$2:$R$420,13,False))</f>
        <v>#N/A</v>
      </c>
      <c r="H20" s="422" t="str">
        <f>IF($C20="","", VLOOKUP($C20,UpdateHashtag!$B$2:$R$420,14,False))</f>
        <v>#N/A</v>
      </c>
      <c r="I20" s="422" t="str">
        <f>IF($C20="","", VLOOKUP($C20,UpdateHashtag!$B$2:$R$420,15,False))</f>
        <v>#N/A</v>
      </c>
      <c r="J20" s="423" t="str">
        <f> IF($C20="","", 100*VLOOKUP($C20,UpdateHashtag!$B$2:$R$420,6,False)/VLOOKUP($C20,'Final Update'!$A$3:$L$420,9,False))</f>
        <v>#N/A</v>
      </c>
      <c r="K20" s="423" t="str">
        <f>IF($C20="","", 100*VLOOKUP($C20,UpdateHashtag!$B$2:$R$420,9,False))</f>
        <v>#N/A</v>
      </c>
      <c r="L20" s="422" t="str">
        <f>IF($C20="","", VLOOKUP($C20,UpdateHashtag!$B$2:$R$420,16,False))</f>
        <v>#N/A</v>
      </c>
      <c r="M20" s="417"/>
      <c r="N20" s="417"/>
      <c r="O20" s="417"/>
      <c r="P20" s="417"/>
      <c r="Q20" s="417"/>
      <c r="R20" s="417"/>
      <c r="S20" s="417"/>
      <c r="T20" s="417"/>
      <c r="U20" s="417"/>
      <c r="V20" s="417"/>
      <c r="W20" s="417"/>
      <c r="X20" s="417"/>
      <c r="Y20" s="417" t="str">
        <f>IF($C20="","", VLOOKUP($C20,UpdateHashtag!$B$2:$C$420,2,FALSE))</f>
        <v>#N/A</v>
      </c>
      <c r="Z20" s="417">
        <f t="array" ref="Z20">COUNTIF(FIND(AA20,$Y$20:$Y$31),"&gt;0")</f>
        <v>0</v>
      </c>
      <c r="AA20" s="421" t="s">
        <v>44</v>
      </c>
    </row>
    <row r="21">
      <c r="B21" s="421">
        <v>2.0</v>
      </c>
      <c r="C21" s="424" t="str">
        <f t="array" ref="C21">INDIRECT("Draft!D"&amp;TEXT(15-D1,"0"))</f>
        <v/>
      </c>
      <c r="D21" s="422" t="str">
        <f>IF($C21="","", VLOOKUP($C21,UpdateHashtag!$B$2:$R$420,11,False))</f>
        <v/>
      </c>
      <c r="E21" s="422" t="str">
        <f>IF($C21="","", VLOOKUP($C21,UpdateHashtag!$B$2:$R$420,10,False))</f>
        <v/>
      </c>
      <c r="F21" s="422" t="str">
        <f>IF($C21="","", VLOOKUP($C21,UpdateHashtag!$B$2:$R$420,12,False))</f>
        <v/>
      </c>
      <c r="G21" s="422" t="str">
        <f>IF($C21="","", VLOOKUP($C21,UpdateHashtag!$B$2:$R$420,13,False))</f>
        <v/>
      </c>
      <c r="H21" s="422" t="str">
        <f>IF($C21="","", VLOOKUP($C21,UpdateHashtag!$B$2:$R$420,14,False))</f>
        <v/>
      </c>
      <c r="I21" s="422" t="str">
        <f>IF($C21="","", VLOOKUP($C21,UpdateHashtag!$B$2:$R$420,15,False))</f>
        <v/>
      </c>
      <c r="J21" s="423" t="str">
        <f> IF($C21="","", 100*VLOOKUP($C21,UpdateHashtag!$B$2:$R$420,6,False)/VLOOKUP($C21,'Final Update'!$A$3:$L$420,9,False))</f>
        <v/>
      </c>
      <c r="K21" s="423" t="str">
        <f>IF($C21="","", 100*VLOOKUP($C21,UpdateHashtag!$B$2:$R$420,9,False))</f>
        <v/>
      </c>
      <c r="L21" s="422" t="str">
        <f>IF($C21="","", VLOOKUP($C21,UpdateHashtag!$B$2:$R$420,16,False))</f>
        <v/>
      </c>
      <c r="M21" s="417"/>
      <c r="N21" s="417"/>
      <c r="O21" s="417"/>
      <c r="P21" s="417"/>
      <c r="Q21" s="417"/>
      <c r="R21" s="417"/>
      <c r="S21" s="417"/>
      <c r="T21" s="417"/>
      <c r="U21" s="417"/>
      <c r="V21" s="417"/>
      <c r="W21" s="417"/>
      <c r="X21" s="417"/>
      <c r="Y21" s="417" t="str">
        <f>IF($C21="","", VLOOKUP($C21,UpdateHashtag!$B$2:$C$420,2,FALSE))</f>
        <v/>
      </c>
      <c r="Z21" s="417">
        <f t="array" ref="Z21">COUNTIF(FIND(AA21,$Y$20:$Y$31),"&gt;0")</f>
        <v>0</v>
      </c>
      <c r="AA21" s="421" t="s">
        <v>71</v>
      </c>
    </row>
    <row r="22">
      <c r="B22" s="421">
        <v>3.0</v>
      </c>
      <c r="C22" s="421" t="str">
        <f t="array" ref="C22">INDIRECT("Draft!E"&amp;TEXT(D1+2,"0"))</f>
        <v/>
      </c>
      <c r="D22" s="422" t="str">
        <f>IF($C22="","", VLOOKUP($C22,UpdateHashtag!$B$2:$R$420,11,False))</f>
        <v/>
      </c>
      <c r="E22" s="422" t="str">
        <f>IF($C22="","", VLOOKUP($C22,UpdateHashtag!$B$2:$R$420,10,False))</f>
        <v/>
      </c>
      <c r="F22" s="422" t="str">
        <f>IF($C22="","", VLOOKUP($C22,UpdateHashtag!$B$2:$R$420,12,False))</f>
        <v/>
      </c>
      <c r="G22" s="422" t="str">
        <f>IF($C22="","", VLOOKUP($C22,UpdateHashtag!$B$2:$R$420,13,False))</f>
        <v/>
      </c>
      <c r="H22" s="422" t="str">
        <f>IF($C22="","", VLOOKUP($C22,UpdateHashtag!$B$2:$R$420,14,False))</f>
        <v/>
      </c>
      <c r="I22" s="422" t="str">
        <f>IF($C22="","", VLOOKUP($C22,UpdateHashtag!$B$2:$R$420,15,False))</f>
        <v/>
      </c>
      <c r="J22" s="423" t="str">
        <f> IF($C22="","", 100*VLOOKUP($C22,UpdateHashtag!$B$2:$R$420,6,False)/VLOOKUP($C22,'Final Update'!$A$3:$L$420,9,False))</f>
        <v/>
      </c>
      <c r="K22" s="423" t="str">
        <f>IF($C22="","", 100*VLOOKUP($C22,UpdateHashtag!$B$2:$R$420,9,False))</f>
        <v/>
      </c>
      <c r="L22" s="422" t="str">
        <f>IF($C22="","", VLOOKUP($C22,UpdateHashtag!$B$2:$R$420,16,False))</f>
        <v/>
      </c>
      <c r="M22" s="417"/>
      <c r="N22" s="417"/>
      <c r="O22" s="417"/>
      <c r="P22" s="417"/>
      <c r="Q22" s="417"/>
      <c r="R22" s="417"/>
      <c r="S22" s="417"/>
      <c r="T22" s="417"/>
      <c r="U22" s="417"/>
      <c r="V22" s="417"/>
      <c r="W22" s="417"/>
      <c r="X22" s="417"/>
      <c r="Y22" s="417" t="str">
        <f>IF($C22="","", VLOOKUP($C22,UpdateHashtag!$B$2:$C$420,2,FALSE))</f>
        <v/>
      </c>
      <c r="Z22" s="417">
        <f t="array" ref="Z22">COUNTIF(FIND(AA22,$Y$20:$Y$31),"&gt;0")</f>
        <v>0</v>
      </c>
      <c r="AA22" s="421" t="s">
        <v>72</v>
      </c>
    </row>
    <row r="23">
      <c r="B23" s="421">
        <v>4.0</v>
      </c>
      <c r="C23" s="425" t="str">
        <f t="array" ref="C23">INDIRECT("Draft!F"&amp;TEXT(15-D1,"0"))</f>
        <v/>
      </c>
      <c r="D23" s="422" t="str">
        <f>IF($C23="","", VLOOKUP($C23,UpdateHashtag!$B$2:$R$420,11,False))</f>
        <v/>
      </c>
      <c r="E23" s="422" t="str">
        <f>IF($C23="","", VLOOKUP($C23,UpdateHashtag!$B$2:$R$420,10,False))</f>
        <v/>
      </c>
      <c r="F23" s="422" t="str">
        <f>IF($C23="","", VLOOKUP($C23,UpdateHashtag!$B$2:$R$420,12,False))</f>
        <v/>
      </c>
      <c r="G23" s="422" t="str">
        <f>IF($C23="","", VLOOKUP($C23,UpdateHashtag!$B$2:$R$420,13,False))</f>
        <v/>
      </c>
      <c r="H23" s="422" t="str">
        <f>IF($C23="","", VLOOKUP($C23,UpdateHashtag!$B$2:$R$420,14,False))</f>
        <v/>
      </c>
      <c r="I23" s="422" t="str">
        <f>IF($C23="","", VLOOKUP($C23,UpdateHashtag!$B$2:$R$420,15,False))</f>
        <v/>
      </c>
      <c r="J23" s="423" t="str">
        <f> IF($C23="","", 100*VLOOKUP($C23,UpdateHashtag!$B$2:$R$420,6,False)/VLOOKUP($C23,'Final Update'!$A$3:$L$420,9,False))</f>
        <v/>
      </c>
      <c r="K23" s="423" t="str">
        <f>IF($C23="","", 100*VLOOKUP($C23,UpdateHashtag!$B$2:$R$420,9,False))</f>
        <v/>
      </c>
      <c r="L23" s="422" t="str">
        <f>IF($C23="","", VLOOKUP($C23,UpdateHashtag!$B$2:$R$420,16,False))</f>
        <v/>
      </c>
      <c r="M23" s="417"/>
      <c r="N23" s="417"/>
      <c r="O23" s="417"/>
      <c r="P23" s="417"/>
      <c r="Q23" s="417"/>
      <c r="R23" s="417"/>
      <c r="S23" s="417"/>
      <c r="T23" s="417"/>
      <c r="U23" s="417"/>
      <c r="V23" s="417"/>
      <c r="W23" s="417"/>
      <c r="X23" s="417"/>
      <c r="Y23" s="417" t="str">
        <f>IF($C23="","", VLOOKUP($C23,UpdateHashtag!$B$2:$C$420,2,FALSE))</f>
        <v/>
      </c>
      <c r="Z23" s="417">
        <f t="array" ref="Z23">COUNTIF(FIND(AA23,$Y$20:$Y$31),"&gt;0")</f>
        <v>0</v>
      </c>
      <c r="AA23" s="421" t="s">
        <v>73</v>
      </c>
    </row>
    <row r="24">
      <c r="B24" s="421">
        <v>5.0</v>
      </c>
      <c r="C24" s="426" t="str">
        <f t="array" ref="C24">INDIRECT("Draft!G"&amp;TEXT(D1+2,"0"))</f>
        <v/>
      </c>
      <c r="D24" s="422" t="str">
        <f>IF($C24="","", VLOOKUP($C24,UpdateHashtag!$B$2:$R$420,11,False))</f>
        <v/>
      </c>
      <c r="E24" s="422" t="str">
        <f>IF($C24="","", VLOOKUP($C24,UpdateHashtag!$B$2:$R$420,10,False))</f>
        <v/>
      </c>
      <c r="F24" s="422" t="str">
        <f>IF($C24="","", VLOOKUP($C24,UpdateHashtag!$B$2:$R$420,12,False))</f>
        <v/>
      </c>
      <c r="G24" s="422" t="str">
        <f>IF($C24="","", VLOOKUP($C24,UpdateHashtag!$B$2:$R$420,13,False))</f>
        <v/>
      </c>
      <c r="H24" s="422" t="str">
        <f>IF($C24="","", VLOOKUP($C24,UpdateHashtag!$B$2:$R$420,14,False))</f>
        <v/>
      </c>
      <c r="I24" s="422" t="str">
        <f>IF($C24="","", VLOOKUP($C24,UpdateHashtag!$B$2:$R$420,15,False))</f>
        <v/>
      </c>
      <c r="J24" s="423" t="str">
        <f> IF($C24="","", 100*VLOOKUP($C24,UpdateHashtag!$B$2:$R$420,6,False)/VLOOKUP($C24,'Final Update'!$A$3:$L$420,9,False))</f>
        <v/>
      </c>
      <c r="K24" s="423" t="str">
        <f>IF($C24="","", 100*VLOOKUP($C24,UpdateHashtag!$B$2:$R$420,9,False))</f>
        <v/>
      </c>
      <c r="L24" s="422" t="str">
        <f>IF($C24="","", VLOOKUP($C24,UpdateHashtag!$B$2:$R$420,16,False))</f>
        <v/>
      </c>
      <c r="M24" s="417"/>
      <c r="N24" s="417"/>
      <c r="O24" s="417"/>
      <c r="P24" s="417"/>
      <c r="Q24" s="417"/>
      <c r="R24" s="417"/>
      <c r="S24" s="417"/>
      <c r="T24" s="417"/>
      <c r="U24" s="417"/>
      <c r="V24" s="417"/>
      <c r="W24" s="417"/>
      <c r="X24" s="417"/>
      <c r="Y24" s="417" t="str">
        <f>IF($C24="","", VLOOKUP($C24,UpdateHashtag!$B$2:$C$420,2,FALSE))</f>
        <v/>
      </c>
      <c r="Z24" s="417">
        <f t="array" ref="Z24">COUNTIF(FIND(AA24,$Y$20:$Y$31),"&gt;0")</f>
        <v>0</v>
      </c>
      <c r="AA24" s="421" t="s">
        <v>34</v>
      </c>
    </row>
    <row r="25">
      <c r="B25" s="421">
        <v>6.0</v>
      </c>
      <c r="C25" s="425" t="str">
        <f t="array" ref="C25">INDIRECT("Draft!H"&amp;TEXT(15-D1,"0"))</f>
        <v/>
      </c>
      <c r="D25" s="422" t="str">
        <f>IF($C25="","", VLOOKUP($C25,UpdateHashtag!$B$2:$R$420,11,False))</f>
        <v/>
      </c>
      <c r="E25" s="422" t="str">
        <f>IF($C25="","", VLOOKUP($C25,UpdateHashtag!$B$2:$R$420,10,False))</f>
        <v/>
      </c>
      <c r="F25" s="422" t="str">
        <f>IF($C25="","", VLOOKUP($C25,UpdateHashtag!$B$2:$R$420,12,False))</f>
        <v/>
      </c>
      <c r="G25" s="422" t="str">
        <f>IF($C25="","", VLOOKUP($C25,UpdateHashtag!$B$2:$R$420,13,False))</f>
        <v/>
      </c>
      <c r="H25" s="422" t="str">
        <f>IF($C25="","", VLOOKUP($C25,UpdateHashtag!$B$2:$R$420,14,False))</f>
        <v/>
      </c>
      <c r="I25" s="422" t="str">
        <f>IF($C25="","", VLOOKUP($C25,UpdateHashtag!$B$2:$R$420,15,False))</f>
        <v/>
      </c>
      <c r="J25" s="423" t="str">
        <f> IF($C25="","", 100*VLOOKUP($C25,UpdateHashtag!$B$2:$R$420,6,False)/VLOOKUP($C25,'Final Update'!$A$3:$L$420,9,False))</f>
        <v/>
      </c>
      <c r="K25" s="423" t="str">
        <f>IF($C25="","", 100*VLOOKUP($C25,UpdateHashtag!$B$2:$R$420,9,False))</f>
        <v/>
      </c>
      <c r="L25" s="422" t="str">
        <f>IF($C25="","", VLOOKUP($C25,UpdateHashtag!$B$2:$R$420,16,False))</f>
        <v/>
      </c>
      <c r="M25" s="417"/>
      <c r="N25" s="417"/>
      <c r="O25" s="417"/>
      <c r="P25" s="417"/>
      <c r="Q25" s="417"/>
      <c r="R25" s="417"/>
      <c r="S25" s="417"/>
      <c r="T25" s="417"/>
      <c r="U25" s="417"/>
      <c r="V25" s="417"/>
      <c r="W25" s="417"/>
      <c r="X25" s="417"/>
      <c r="Y25" s="417" t="str">
        <f>IF($C25="","", VLOOKUP($C25,UpdateHashtag!$B$2:$C$420,2,FALSE))</f>
        <v/>
      </c>
      <c r="Z25" s="427"/>
      <c r="AA25" s="427"/>
    </row>
    <row r="26">
      <c r="B26" s="421">
        <v>7.0</v>
      </c>
      <c r="C26" s="426" t="str">
        <f t="array" ref="C26">INDIRECT("Draft!I"&amp;TEXT(D1+2,"0"))</f>
        <v/>
      </c>
      <c r="D26" s="422" t="str">
        <f>IF($C26="","", VLOOKUP($C26,UpdateHashtag!$B$2:$R$420,11,False))</f>
        <v/>
      </c>
      <c r="E26" s="422" t="str">
        <f>IF($C26="","", VLOOKUP($C26,UpdateHashtag!$B$2:$R$420,10,False))</f>
        <v/>
      </c>
      <c r="F26" s="422" t="str">
        <f>IF($C26="","", VLOOKUP($C26,UpdateHashtag!$B$2:$R$420,12,False))</f>
        <v/>
      </c>
      <c r="G26" s="422" t="str">
        <f>IF($C26="","", VLOOKUP($C26,UpdateHashtag!$B$2:$R$420,13,False))</f>
        <v/>
      </c>
      <c r="H26" s="422" t="str">
        <f>IF($C26="","", VLOOKUP($C26,UpdateHashtag!$B$2:$R$420,14,False))</f>
        <v/>
      </c>
      <c r="I26" s="422" t="str">
        <f>IF($C26="","", VLOOKUP($C26,UpdateHashtag!$B$2:$R$420,15,False))</f>
        <v/>
      </c>
      <c r="J26" s="423" t="str">
        <f> IF($C26="","", 100*VLOOKUP($C26,UpdateHashtag!$B$2:$R$420,6,False)/VLOOKUP($C26,'Final Update'!$A$3:$L$420,9,False))</f>
        <v/>
      </c>
      <c r="K26" s="423" t="str">
        <f>IF($C26="","", 100*VLOOKUP($C26,UpdateHashtag!$B$2:$R$420,9,False))</f>
        <v/>
      </c>
      <c r="L26" s="422" t="str">
        <f>IF($C26="","", VLOOKUP($C26,UpdateHashtag!$B$2:$R$420,16,False))</f>
        <v/>
      </c>
      <c r="M26" s="417"/>
      <c r="N26" s="417"/>
      <c r="O26" s="417"/>
      <c r="P26" s="417"/>
      <c r="Q26" s="417"/>
      <c r="R26" s="417"/>
      <c r="S26" s="417"/>
      <c r="T26" s="417"/>
      <c r="U26" s="417"/>
      <c r="V26" s="417"/>
      <c r="W26" s="417"/>
      <c r="X26" s="417"/>
      <c r="Y26" s="417" t="str">
        <f>IF($C26="","", VLOOKUP($C26,UpdateHashtag!$B$2:$C$420,2,FALSE))</f>
        <v/>
      </c>
      <c r="Z26" s="427"/>
      <c r="AA26" s="427"/>
    </row>
    <row r="27">
      <c r="B27" s="421">
        <v>8.0</v>
      </c>
      <c r="C27" s="425" t="str">
        <f t="array" ref="C27">INDIRECT("Draft!J"&amp;TEXT(15-D1,"0"))</f>
        <v/>
      </c>
      <c r="D27" s="422" t="str">
        <f>IF($C27="","", VLOOKUP($C27,UpdateHashtag!$B$2:$R$420,11,False))</f>
        <v/>
      </c>
      <c r="E27" s="422" t="str">
        <f>IF($C27="","", VLOOKUP($C27,UpdateHashtag!$B$2:$R$420,10,False))</f>
        <v/>
      </c>
      <c r="F27" s="422" t="str">
        <f>IF($C27="","", VLOOKUP($C27,UpdateHashtag!$B$2:$R$420,12,False))</f>
        <v/>
      </c>
      <c r="G27" s="422" t="str">
        <f>IF($C27="","", VLOOKUP($C27,UpdateHashtag!$B$2:$R$420,13,False))</f>
        <v/>
      </c>
      <c r="H27" s="422" t="str">
        <f>IF($C27="","", VLOOKUP($C27,UpdateHashtag!$B$2:$R$420,14,False))</f>
        <v/>
      </c>
      <c r="I27" s="422" t="str">
        <f>IF($C27="","", VLOOKUP($C27,UpdateHashtag!$B$2:$R$420,15,False))</f>
        <v/>
      </c>
      <c r="J27" s="423" t="str">
        <f> IF($C27="","", 100*VLOOKUP($C27,UpdateHashtag!$B$2:$R$420,6,False)/VLOOKUP($C27,'Final Update'!$A$3:$L$420,9,False))</f>
        <v/>
      </c>
      <c r="K27" s="423" t="str">
        <f>IF($C27="","", 100*VLOOKUP($C27,UpdateHashtag!$B$2:$R$420,9,False))</f>
        <v/>
      </c>
      <c r="L27" s="422" t="str">
        <f>IF($C27="","", VLOOKUP($C27,UpdateHashtag!$B$2:$R$420,16,False))</f>
        <v/>
      </c>
      <c r="M27" s="417"/>
      <c r="N27" s="417"/>
      <c r="O27" s="417"/>
      <c r="P27" s="417"/>
      <c r="Q27" s="417"/>
      <c r="R27" s="417"/>
      <c r="S27" s="417"/>
      <c r="T27" s="417"/>
      <c r="U27" s="417"/>
      <c r="V27" s="417"/>
      <c r="W27" s="417"/>
      <c r="X27" s="417"/>
      <c r="Y27" s="417" t="str">
        <f>IF($C27="","", VLOOKUP($C27,UpdateHashtag!$B$2:$C$420,2,FALSE))</f>
        <v/>
      </c>
      <c r="Z27" s="427"/>
      <c r="AA27" s="427"/>
    </row>
    <row r="28">
      <c r="B28" s="421">
        <v>9.0</v>
      </c>
      <c r="C28" s="426" t="str">
        <f t="array" ref="C28">INDIRECT("Draft!K"&amp;TEXT(D1+2,"0"))</f>
        <v/>
      </c>
      <c r="D28" s="422" t="str">
        <f>IF($C28="","", VLOOKUP($C28,UpdateHashtag!$B$2:$R$420,11,False))</f>
        <v/>
      </c>
      <c r="E28" s="422" t="str">
        <f>IF($C28="","", VLOOKUP($C28,UpdateHashtag!$B$2:$R$420,10,False))</f>
        <v/>
      </c>
      <c r="F28" s="422" t="str">
        <f>IF($C28="","", VLOOKUP($C28,UpdateHashtag!$B$2:$R$420,12,False))</f>
        <v/>
      </c>
      <c r="G28" s="422" t="str">
        <f>IF($C28="","", VLOOKUP($C28,UpdateHashtag!$B$2:$R$420,13,False))</f>
        <v/>
      </c>
      <c r="H28" s="422" t="str">
        <f>IF($C28="","", VLOOKUP($C28,UpdateHashtag!$B$2:$R$420,14,False))</f>
        <v/>
      </c>
      <c r="I28" s="422" t="str">
        <f>IF($C28="","", VLOOKUP($C28,UpdateHashtag!$B$2:$R$420,15,False))</f>
        <v/>
      </c>
      <c r="J28" s="423" t="str">
        <f> IF($C28="","", 100*VLOOKUP($C28,UpdateHashtag!$B$2:$R$420,6,False)/VLOOKUP($C28,'Final Update'!$A$3:$L$420,9,False))</f>
        <v/>
      </c>
      <c r="K28" s="423" t="str">
        <f>IF($C28="","", 100*VLOOKUP($C28,UpdateHashtag!$B$2:$R$420,9,False))</f>
        <v/>
      </c>
      <c r="L28" s="422" t="str">
        <f>IF($C28="","", VLOOKUP($C28,UpdateHashtag!$B$2:$R$420,16,False))</f>
        <v/>
      </c>
      <c r="M28" s="417"/>
      <c r="N28" s="417"/>
      <c r="O28" s="417"/>
      <c r="P28" s="417"/>
      <c r="Q28" s="417"/>
      <c r="R28" s="417"/>
      <c r="S28" s="417"/>
      <c r="T28" s="417"/>
      <c r="U28" s="417"/>
      <c r="V28" s="417"/>
      <c r="W28" s="417"/>
      <c r="X28" s="417"/>
      <c r="Y28" s="417" t="str">
        <f>IF($C28="","", VLOOKUP($C28,UpdateHashtag!$B$2:$C$420,2,FALSE))</f>
        <v/>
      </c>
      <c r="Z28" s="427"/>
      <c r="AA28" s="427"/>
      <c r="AB28" s="411"/>
    </row>
    <row r="29">
      <c r="B29" s="421">
        <v>10.0</v>
      </c>
      <c r="C29" s="425" t="str">
        <f t="array" ref="C29">INDIRECT("Draft!L"&amp;TEXT(15-D1,"0"))</f>
        <v/>
      </c>
      <c r="D29" s="422" t="str">
        <f>IF($C29="","", VLOOKUP($C29,UpdateHashtag!$B$2:$R$420,11,False))</f>
        <v/>
      </c>
      <c r="E29" s="422" t="str">
        <f>IF($C29="","", VLOOKUP($C29,UpdateHashtag!$B$2:$R$420,10,False))</f>
        <v/>
      </c>
      <c r="F29" s="422" t="str">
        <f>IF($C29="","", VLOOKUP($C29,UpdateHashtag!$B$2:$R$420,12,False))</f>
        <v/>
      </c>
      <c r="G29" s="422" t="str">
        <f>IF($C29="","", VLOOKUP($C29,UpdateHashtag!$B$2:$R$420,13,False))</f>
        <v/>
      </c>
      <c r="H29" s="422" t="str">
        <f>IF($C29="","", VLOOKUP($C29,UpdateHashtag!$B$2:$R$420,14,False))</f>
        <v/>
      </c>
      <c r="I29" s="422" t="str">
        <f>IF($C29="","", VLOOKUP($C29,UpdateHashtag!$B$2:$R$420,15,False))</f>
        <v/>
      </c>
      <c r="J29" s="423" t="str">
        <f> IF($C29="","", 100*VLOOKUP($C29,UpdateHashtag!$B$2:$R$420,6,False)/VLOOKUP($C29,'Final Update'!$A$3:$L$420,9,False))</f>
        <v/>
      </c>
      <c r="K29" s="423" t="str">
        <f>IF($C29="","", 100*VLOOKUP($C29,UpdateHashtag!$B$2:$R$420,9,False))</f>
        <v/>
      </c>
      <c r="L29" s="422" t="str">
        <f>IF($C29="","", VLOOKUP($C29,UpdateHashtag!$B$2:$R$420,16,False))</f>
        <v/>
      </c>
      <c r="M29" s="417"/>
      <c r="N29" s="417"/>
      <c r="O29" s="417"/>
      <c r="P29" s="417"/>
      <c r="Q29" s="417"/>
      <c r="R29" s="417"/>
      <c r="S29" s="417"/>
      <c r="T29" s="417"/>
      <c r="U29" s="417"/>
      <c r="V29" s="417"/>
      <c r="W29" s="417"/>
      <c r="X29" s="417"/>
      <c r="Y29" s="417" t="str">
        <f>IF($C29="","", VLOOKUP($C29,UpdateHashtag!$B$2:$C$420,2,FALSE))</f>
        <v/>
      </c>
      <c r="Z29" s="427"/>
      <c r="AA29" s="427"/>
    </row>
    <row r="30">
      <c r="B30" s="421">
        <v>11.0</v>
      </c>
      <c r="C30" s="426" t="str">
        <f t="array" ref="C30">INDIRECT("Draft!M"&amp;TEXT(D1+2,"0"))</f>
        <v/>
      </c>
      <c r="D30" s="422" t="str">
        <f>IF($C30="","", VLOOKUP($C30,UpdateHashtag!$B$2:$R$420,11,False))</f>
        <v/>
      </c>
      <c r="E30" s="422" t="str">
        <f>IF($C30="","", VLOOKUP($C30,UpdateHashtag!$B$2:$R$420,10,False))</f>
        <v/>
      </c>
      <c r="F30" s="422" t="str">
        <f>IF($C30="","", VLOOKUP($C30,UpdateHashtag!$B$2:$R$420,12,False))</f>
        <v/>
      </c>
      <c r="G30" s="422" t="str">
        <f>IF($C30="","", VLOOKUP($C30,UpdateHashtag!$B$2:$R$420,13,False))</f>
        <v/>
      </c>
      <c r="H30" s="422" t="str">
        <f>IF($C30="","", VLOOKUP($C30,UpdateHashtag!$B$2:$R$420,14,False))</f>
        <v/>
      </c>
      <c r="I30" s="422" t="str">
        <f>IF($C30="","", VLOOKUP($C30,UpdateHashtag!$B$2:$R$420,15,False))</f>
        <v/>
      </c>
      <c r="J30" s="423" t="str">
        <f> IF($C30="","", 100*VLOOKUP($C30,UpdateHashtag!$B$2:$R$420,6,False)/VLOOKUP($C30,'Final Update'!$A$3:$L$420,9,False))</f>
        <v/>
      </c>
      <c r="K30" s="423" t="str">
        <f>IF($C30="","", 100*VLOOKUP($C30,UpdateHashtag!$B$2:$R$420,9,False))</f>
        <v/>
      </c>
      <c r="L30" s="422" t="str">
        <f>IF($C30="","", VLOOKUP($C30,UpdateHashtag!$B$2:$R$420,16,False))</f>
        <v/>
      </c>
      <c r="M30" s="417"/>
      <c r="N30" s="417"/>
      <c r="O30" s="417"/>
      <c r="P30" s="417"/>
      <c r="Q30" s="417"/>
      <c r="R30" s="417"/>
      <c r="S30" s="417"/>
      <c r="T30" s="417"/>
      <c r="U30" s="417"/>
      <c r="V30" s="417"/>
      <c r="W30" s="417"/>
      <c r="X30" s="417"/>
      <c r="Y30" s="417" t="str">
        <f>IF($C30="","", VLOOKUP($C30,UpdateHashtag!$B$2:$C$420,2,FALSE))</f>
        <v/>
      </c>
      <c r="Z30" s="427"/>
      <c r="AA30" s="427"/>
    </row>
    <row r="31">
      <c r="B31" s="421">
        <v>12.0</v>
      </c>
      <c r="C31" s="425" t="str">
        <f t="array" ref="C31">INDIRECT("Draft!N"&amp;TEXT(15-D1,"0"))</f>
        <v/>
      </c>
      <c r="D31" s="422" t="str">
        <f>IF($C31="","", VLOOKUP($C31,UpdateHashtag!$B$2:$R$420,11,False))</f>
        <v/>
      </c>
      <c r="E31" s="422" t="str">
        <f>IF($C31="","", VLOOKUP($C31,UpdateHashtag!$B$2:$R$420,10,False))</f>
        <v/>
      </c>
      <c r="F31" s="422" t="str">
        <f>IF($C31="","", VLOOKUP($C31,UpdateHashtag!$B$2:$R$420,12,False))</f>
        <v/>
      </c>
      <c r="G31" s="422" t="str">
        <f>IF($C31="","", VLOOKUP($C31,UpdateHashtag!$B$2:$R$420,13,False))</f>
        <v/>
      </c>
      <c r="H31" s="422" t="str">
        <f>IF($C31="","", VLOOKUP($C31,UpdateHashtag!$B$2:$R$420,14,False))</f>
        <v/>
      </c>
      <c r="I31" s="422" t="str">
        <f>IF($C31="","", VLOOKUP($C31,UpdateHashtag!$B$2:$R$420,15,False))</f>
        <v/>
      </c>
      <c r="J31" s="423" t="str">
        <f> IF($C31="","", 100*VLOOKUP($C31,UpdateHashtag!$B$2:$R$420,6,False)/VLOOKUP($C31,'Final Update'!$A$3:$L$420,9,False))</f>
        <v/>
      </c>
      <c r="K31" s="423" t="str">
        <f>IF($C31="","", 100*VLOOKUP($C31,UpdateHashtag!$B$2:$R$420,9,False))</f>
        <v/>
      </c>
      <c r="L31" s="422" t="str">
        <f>IF($C31="","", VLOOKUP($C31,UpdateHashtag!$B$2:$R$420,16,False))</f>
        <v/>
      </c>
      <c r="M31" s="417"/>
      <c r="N31" s="417"/>
      <c r="O31" s="417"/>
      <c r="P31" s="417"/>
      <c r="Q31" s="417"/>
      <c r="R31" s="417"/>
      <c r="S31" s="417"/>
      <c r="T31" s="417"/>
      <c r="U31" s="417"/>
      <c r="V31" s="417"/>
      <c r="W31" s="417"/>
      <c r="X31" s="417"/>
      <c r="Y31" s="417" t="str">
        <f>IF($C31="","", VLOOKUP($C31,UpdateHashtag!$B$2:$C$420,2,FALSE))</f>
        <v/>
      </c>
      <c r="Z31" s="427"/>
      <c r="AA31" s="427"/>
    </row>
    <row r="32">
      <c r="C32" s="429" t="s">
        <v>1328</v>
      </c>
      <c r="D32" s="423" t="str">
        <f t="shared" ref="D32:I32" si="1">IFERROR(AVERAGE(D20:D31),"")</f>
        <v/>
      </c>
      <c r="E32" s="423" t="str">
        <f t="shared" si="1"/>
        <v/>
      </c>
      <c r="F32" s="423" t="str">
        <f t="shared" si="1"/>
        <v/>
      </c>
      <c r="G32" s="423" t="str">
        <f t="shared" si="1"/>
        <v/>
      </c>
      <c r="H32" s="423" t="str">
        <f t="shared" si="1"/>
        <v/>
      </c>
      <c r="I32" s="423" t="str">
        <f t="shared" si="1"/>
        <v/>
      </c>
      <c r="J32" s="423" t="str">
        <f t="array" ref="J32">IFERROR(100*SUMPRODUCT(IFERROR(VLOOKUP(C20:C31,UpdateHashtag!B:S,6,False),""))/SUMPRODUCT(IFERROR(VLOOKUP(C20:C31,UpdateHashtag!B:S,17,False),"")),"")</f>
        <v/>
      </c>
      <c r="K32" s="423" t="str">
        <f t="array" ref="K32">IFERROR(100*SUMPRODUCT(IFERROR(VLOOKUP(C20:C31,UpdateHashtag!B:S,8,False),""))/SUMPRODUCT(IFERROR(VLOOKUP(C20:C31,UpdateHashtag!B:S,18,False),"")),"")</f>
        <v/>
      </c>
      <c r="L32" s="423" t="str">
        <f>IFERROR(AVERAGE(L20:L31),"")</f>
        <v/>
      </c>
      <c r="M32" s="417"/>
      <c r="N32" s="417"/>
      <c r="O32" s="417"/>
      <c r="P32" s="417"/>
      <c r="Q32" s="417"/>
      <c r="R32" s="417"/>
      <c r="S32" s="417"/>
      <c r="T32" s="417"/>
      <c r="U32" s="417"/>
      <c r="V32" s="417"/>
      <c r="W32" s="417"/>
      <c r="X32" s="430"/>
      <c r="Y32" s="427"/>
    </row>
  </sheetData>
  <mergeCells count="4">
    <mergeCell ref="C1:C2"/>
    <mergeCell ref="D1:D2"/>
    <mergeCell ref="Y1:Y2"/>
    <mergeCell ref="Z1:Z2"/>
  </mergeCells>
  <dataValidations>
    <dataValidation type="list" allowBlank="1" sqref="Z1">
      <formula1>"50,100,150,200,250,300,350,400"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c r="A2" s="4"/>
      <c r="B2" s="4"/>
      <c r="C2" s="4"/>
      <c r="D2" s="15" t="s">
        <v>2613</v>
      </c>
      <c r="E2" s="15" t="s">
        <v>2614</v>
      </c>
      <c r="F2" s="15" t="s">
        <v>1404</v>
      </c>
      <c r="G2" s="15" t="s">
        <v>1380</v>
      </c>
      <c r="H2" s="15" t="s">
        <v>1374</v>
      </c>
      <c r="I2" s="15" t="s">
        <v>2615</v>
      </c>
      <c r="J2" s="15" t="s">
        <v>2616</v>
      </c>
      <c r="K2" s="15" t="s">
        <v>2617</v>
      </c>
      <c r="L2" s="15" t="s">
        <v>1378</v>
      </c>
      <c r="M2" s="15" t="s">
        <v>1368</v>
      </c>
      <c r="N2" s="15" t="s">
        <v>2618</v>
      </c>
      <c r="O2" s="15" t="s">
        <v>2619</v>
      </c>
      <c r="P2" s="15" t="s">
        <v>2620</v>
      </c>
      <c r="Q2" s="15" t="s">
        <v>2621</v>
      </c>
      <c r="R2" s="4"/>
      <c r="S2" s="4"/>
      <c r="T2" s="4"/>
      <c r="U2" s="4"/>
      <c r="V2" s="4"/>
      <c r="W2" s="4"/>
      <c r="X2" s="4"/>
      <c r="Y2" s="4"/>
      <c r="Z2" s="4"/>
      <c r="AA2" s="4"/>
      <c r="AB2" s="4"/>
      <c r="AC2" s="4"/>
      <c r="AD2" s="4"/>
      <c r="AE2" s="4"/>
      <c r="AF2" s="4"/>
      <c r="AG2" s="4"/>
      <c r="AH2" s="4"/>
      <c r="AI2" s="4"/>
      <c r="AJ2" s="4"/>
      <c r="AK2" s="4"/>
      <c r="AL2" s="4"/>
      <c r="AM2" s="4"/>
      <c r="AN2" s="4"/>
    </row>
    <row r="3">
      <c r="A3" s="15" t="s">
        <v>2622</v>
      </c>
      <c r="B3" s="4" t="str">
        <f t="array" ref="B3">TOCOL(IF(IF(Projections!G12,D16:O27,D3:O14)=Projections!G13,D15:O15&amp;C16:C27,NA()),2)</f>
        <v>D4</v>
      </c>
      <c r="C3" s="15">
        <v>3.0</v>
      </c>
      <c r="D3" s="11">
        <v>1.0</v>
      </c>
      <c r="E3" s="11">
        <v>13.0</v>
      </c>
      <c r="F3" s="428">
        <v>25.0</v>
      </c>
      <c r="G3" s="428">
        <v>37.0</v>
      </c>
      <c r="H3" s="428">
        <v>49.0</v>
      </c>
      <c r="I3" s="428">
        <v>61.0</v>
      </c>
      <c r="J3" s="428">
        <v>73.0</v>
      </c>
      <c r="K3" s="428">
        <v>85.0</v>
      </c>
      <c r="L3" s="428">
        <v>97.0</v>
      </c>
      <c r="M3" s="428">
        <v>109.0</v>
      </c>
      <c r="N3" s="428">
        <v>121.0</v>
      </c>
      <c r="O3" s="428">
        <v>133.0</v>
      </c>
      <c r="P3" s="428">
        <v>145.0</v>
      </c>
      <c r="Q3" s="428">
        <v>157.0</v>
      </c>
      <c r="R3" s="4"/>
      <c r="S3" s="4"/>
      <c r="T3" s="4"/>
      <c r="U3" s="4" t="str">
        <f>IFERROR(__xludf.DUMMYFUNCTION("(FILTER(FLATTEN(Draft!D3:O14), FLATTEN(Draft!D3:O14)&lt;&gt;""""))"),"Victor Wembanyama")</f>
        <v>Victor Wembanyama</v>
      </c>
      <c r="V3" s="4"/>
      <c r="W3" s="4" t="b">
        <f>IFERROR(__xludf.DUMMYFUNCTION("ArrayFormula(IF(FILTER(FLATTEN(Draft!D3:O14), FLATTEN(Draft!D3:O14)&lt;&gt;"""")&lt;&gt;0,true,false))"),TRUE)</f>
        <v>1</v>
      </c>
      <c r="X3" s="4"/>
      <c r="Y3" s="4"/>
      <c r="Z3" s="4"/>
      <c r="AA3" s="4"/>
      <c r="AB3" s="4"/>
      <c r="AC3" s="4"/>
      <c r="AD3" s="4"/>
      <c r="AE3" s="4"/>
      <c r="AF3" s="4"/>
      <c r="AG3" s="4"/>
      <c r="AH3" s="4"/>
      <c r="AI3" s="4"/>
      <c r="AJ3" s="4"/>
      <c r="AK3" s="4"/>
      <c r="AL3" s="4"/>
      <c r="AM3" s="4"/>
      <c r="AN3" s="4"/>
    </row>
    <row r="4">
      <c r="A4" s="15" t="s">
        <v>2623</v>
      </c>
      <c r="B4" s="4" t="str">
        <f t="array" ref="B4">TOCOL(IF(IF(Projections!G12,D16:O27,D3:O14)=(Projections!G13-1),D15:O15&amp;C16:C27,NA()),2)</f>
        <v>D3</v>
      </c>
      <c r="C4" s="15">
        <v>4.0</v>
      </c>
      <c r="D4" s="11">
        <v>2.0</v>
      </c>
      <c r="E4" s="11">
        <v>14.0</v>
      </c>
      <c r="F4" s="428">
        <v>26.0</v>
      </c>
      <c r="G4" s="428">
        <v>38.0</v>
      </c>
      <c r="H4" s="428">
        <v>50.0</v>
      </c>
      <c r="I4" s="428">
        <v>62.0</v>
      </c>
      <c r="J4" s="428">
        <v>74.0</v>
      </c>
      <c r="K4" s="428">
        <v>86.0</v>
      </c>
      <c r="L4" s="428">
        <v>98.0</v>
      </c>
      <c r="M4" s="428">
        <v>110.0</v>
      </c>
      <c r="N4" s="428">
        <v>122.0</v>
      </c>
      <c r="O4" s="428">
        <v>134.0</v>
      </c>
      <c r="P4" s="428">
        <v>146.0</v>
      </c>
      <c r="Q4" s="428">
        <v>158.0</v>
      </c>
      <c r="R4" s="4"/>
      <c r="S4" s="4"/>
      <c r="T4" s="4"/>
      <c r="U4" s="4"/>
      <c r="V4" s="4"/>
      <c r="W4" s="4"/>
      <c r="X4" s="4"/>
      <c r="Y4" s="4"/>
      <c r="Z4" s="4"/>
      <c r="AA4" s="4"/>
      <c r="AB4" s="4"/>
      <c r="AC4" s="4"/>
      <c r="AD4" s="4"/>
      <c r="AE4" s="4"/>
      <c r="AF4" s="4"/>
      <c r="AG4" s="4"/>
      <c r="AH4" s="4"/>
      <c r="AI4" s="4"/>
      <c r="AJ4" s="4"/>
      <c r="AK4" s="4"/>
      <c r="AL4" s="4"/>
      <c r="AM4" s="4"/>
      <c r="AN4" s="4"/>
    </row>
    <row r="5">
      <c r="A5" s="15" t="s">
        <v>10</v>
      </c>
      <c r="B5" s="17" t="str">
        <f t="array" ref="B5">TOCOL(IF(IF(Projections!G12,D16:Q27,D3:Q14)=Indirect("Draft!"&amp;ADDRESS(IF(Projections!G12,17,16),Projections!G6+3)),D15:O15&amp;C16:C27,NA()),2)</f>
        <v>D8</v>
      </c>
      <c r="C5" s="15">
        <v>5.0</v>
      </c>
      <c r="D5" s="11">
        <v>3.0</v>
      </c>
      <c r="E5" s="11">
        <v>15.0</v>
      </c>
      <c r="F5" s="428">
        <v>27.0</v>
      </c>
      <c r="G5" s="428">
        <v>39.0</v>
      </c>
      <c r="H5" s="428">
        <v>51.0</v>
      </c>
      <c r="I5" s="428">
        <v>63.0</v>
      </c>
      <c r="J5" s="428">
        <v>75.0</v>
      </c>
      <c r="K5" s="428">
        <v>87.0</v>
      </c>
      <c r="L5" s="428">
        <v>99.0</v>
      </c>
      <c r="M5" s="428">
        <v>111.0</v>
      </c>
      <c r="N5" s="428">
        <v>123.0</v>
      </c>
      <c r="O5" s="428">
        <v>135.0</v>
      </c>
      <c r="P5" s="428">
        <v>147.0</v>
      </c>
      <c r="Q5" s="428">
        <v>159.0</v>
      </c>
      <c r="R5" s="4"/>
      <c r="S5" s="4"/>
      <c r="T5" s="4"/>
      <c r="U5" s="4"/>
      <c r="V5" s="4"/>
      <c r="W5" s="4"/>
      <c r="X5" s="4"/>
      <c r="Y5" s="4"/>
      <c r="Z5" s="4"/>
      <c r="AA5" s="4"/>
      <c r="AB5" s="4"/>
      <c r="AC5" s="4"/>
      <c r="AD5" s="4"/>
      <c r="AE5" s="4"/>
      <c r="AF5" s="4"/>
      <c r="AG5" s="4"/>
      <c r="AH5" s="4"/>
      <c r="AI5" s="4"/>
      <c r="AJ5" s="4"/>
      <c r="AK5" s="4"/>
      <c r="AL5" s="4"/>
      <c r="AM5" s="4"/>
      <c r="AN5" s="4"/>
    </row>
    <row r="6">
      <c r="A6" s="4"/>
      <c r="B6" s="4"/>
      <c r="C6" s="15">
        <v>6.0</v>
      </c>
      <c r="D6" s="11">
        <v>4.0</v>
      </c>
      <c r="E6" s="11">
        <v>16.0</v>
      </c>
      <c r="F6" s="428">
        <v>28.0</v>
      </c>
      <c r="G6" s="428">
        <v>40.0</v>
      </c>
      <c r="H6" s="428">
        <v>52.0</v>
      </c>
      <c r="I6" s="428">
        <v>64.0</v>
      </c>
      <c r="J6" s="428">
        <v>76.0</v>
      </c>
      <c r="K6" s="428">
        <v>88.0</v>
      </c>
      <c r="L6" s="428">
        <v>100.0</v>
      </c>
      <c r="M6" s="428">
        <v>112.0</v>
      </c>
      <c r="N6" s="428">
        <v>124.0</v>
      </c>
      <c r="O6" s="428">
        <v>136.0</v>
      </c>
      <c r="P6" s="428">
        <v>148.0</v>
      </c>
      <c r="Q6" s="428">
        <v>160.0</v>
      </c>
      <c r="R6" s="4"/>
      <c r="S6" s="4"/>
      <c r="T6" s="4"/>
      <c r="U6" s="4"/>
      <c r="V6" s="4"/>
      <c r="W6" s="4"/>
      <c r="X6" s="4"/>
      <c r="Y6" s="4"/>
      <c r="Z6" s="4"/>
      <c r="AA6" s="4"/>
      <c r="AB6" s="4"/>
      <c r="AC6" s="4"/>
      <c r="AD6" s="4"/>
      <c r="AE6" s="4"/>
      <c r="AF6" s="4"/>
      <c r="AG6" s="4"/>
      <c r="AH6" s="4"/>
      <c r="AI6" s="4"/>
      <c r="AJ6" s="4"/>
      <c r="AK6" s="4"/>
      <c r="AL6" s="4"/>
      <c r="AM6" s="4"/>
      <c r="AN6" s="4"/>
    </row>
    <row r="7">
      <c r="A7" s="4"/>
      <c r="B7" s="4"/>
      <c r="C7" s="15">
        <v>7.0</v>
      </c>
      <c r="D7" s="11">
        <v>5.0</v>
      </c>
      <c r="E7" s="11">
        <v>17.0</v>
      </c>
      <c r="F7" s="428">
        <v>29.0</v>
      </c>
      <c r="G7" s="428">
        <v>41.0</v>
      </c>
      <c r="H7" s="428">
        <v>53.0</v>
      </c>
      <c r="I7" s="428">
        <v>65.0</v>
      </c>
      <c r="J7" s="428">
        <v>77.0</v>
      </c>
      <c r="K7" s="428">
        <v>89.0</v>
      </c>
      <c r="L7" s="428">
        <v>101.0</v>
      </c>
      <c r="M7" s="428">
        <v>113.0</v>
      </c>
      <c r="N7" s="428">
        <v>125.0</v>
      </c>
      <c r="O7" s="428">
        <v>137.0</v>
      </c>
      <c r="P7" s="428">
        <v>149.0</v>
      </c>
      <c r="Q7" s="428">
        <v>161.0</v>
      </c>
      <c r="R7" s="4"/>
      <c r="S7" s="4"/>
      <c r="T7" s="4"/>
      <c r="U7" s="4"/>
      <c r="V7" s="4"/>
      <c r="W7" s="4"/>
      <c r="X7" s="4"/>
      <c r="Y7" s="4"/>
      <c r="Z7" s="4"/>
      <c r="AA7" s="4"/>
      <c r="AB7" s="4"/>
      <c r="AC7" s="4"/>
      <c r="AD7" s="4"/>
      <c r="AE7" s="4"/>
      <c r="AF7" s="4"/>
      <c r="AG7" s="4"/>
      <c r="AH7" s="4"/>
      <c r="AI7" s="4"/>
      <c r="AJ7" s="4"/>
      <c r="AK7" s="4"/>
      <c r="AL7" s="4"/>
      <c r="AM7" s="4"/>
      <c r="AN7" s="4"/>
    </row>
    <row r="8">
      <c r="A8" s="4"/>
      <c r="B8" s="4"/>
      <c r="C8" s="15">
        <v>8.0</v>
      </c>
      <c r="D8" s="11">
        <v>6.0</v>
      </c>
      <c r="E8" s="11">
        <v>18.0</v>
      </c>
      <c r="F8" s="428">
        <v>30.0</v>
      </c>
      <c r="G8" s="428">
        <v>42.0</v>
      </c>
      <c r="H8" s="428">
        <v>54.0</v>
      </c>
      <c r="I8" s="428">
        <v>66.0</v>
      </c>
      <c r="J8" s="428">
        <v>78.0</v>
      </c>
      <c r="K8" s="428">
        <v>90.0</v>
      </c>
      <c r="L8" s="428">
        <v>102.0</v>
      </c>
      <c r="M8" s="428">
        <v>114.0</v>
      </c>
      <c r="N8" s="428">
        <v>126.0</v>
      </c>
      <c r="O8" s="428">
        <v>138.0</v>
      </c>
      <c r="P8" s="428">
        <v>150.0</v>
      </c>
      <c r="Q8" s="428">
        <v>162.0</v>
      </c>
      <c r="R8" s="4"/>
      <c r="S8" s="4"/>
      <c r="T8" s="4"/>
      <c r="U8" s="4"/>
      <c r="V8" s="4"/>
      <c r="W8" s="4"/>
      <c r="X8" s="4"/>
      <c r="Y8" s="4"/>
      <c r="Z8" s="4"/>
      <c r="AA8" s="4"/>
      <c r="AB8" s="4"/>
      <c r="AC8" s="4"/>
      <c r="AD8" s="4"/>
      <c r="AE8" s="4"/>
      <c r="AF8" s="4"/>
      <c r="AG8" s="4"/>
      <c r="AH8" s="4"/>
      <c r="AI8" s="4"/>
      <c r="AJ8" s="4"/>
      <c r="AK8" s="4"/>
      <c r="AL8" s="4"/>
      <c r="AM8" s="4"/>
      <c r="AN8" s="4"/>
    </row>
    <row r="9">
      <c r="A9" s="4"/>
      <c r="B9" s="4"/>
      <c r="C9" s="15">
        <v>9.0</v>
      </c>
      <c r="D9" s="11">
        <v>7.0</v>
      </c>
      <c r="E9" s="11">
        <v>19.0</v>
      </c>
      <c r="F9" s="428">
        <v>31.0</v>
      </c>
      <c r="G9" s="428">
        <v>43.0</v>
      </c>
      <c r="H9" s="428">
        <v>55.0</v>
      </c>
      <c r="I9" s="428">
        <v>67.0</v>
      </c>
      <c r="J9" s="428">
        <v>79.0</v>
      </c>
      <c r="K9" s="428">
        <v>91.0</v>
      </c>
      <c r="L9" s="428">
        <v>103.0</v>
      </c>
      <c r="M9" s="428">
        <v>115.0</v>
      </c>
      <c r="N9" s="428">
        <v>127.0</v>
      </c>
      <c r="O9" s="428">
        <v>139.0</v>
      </c>
      <c r="P9" s="428">
        <v>151.0</v>
      </c>
      <c r="Q9" s="428">
        <v>163.0</v>
      </c>
      <c r="R9" s="4"/>
      <c r="S9" s="4"/>
      <c r="T9" s="4"/>
      <c r="U9" s="4"/>
      <c r="V9" s="4"/>
      <c r="W9" s="4"/>
      <c r="X9" s="4"/>
      <c r="Y9" s="4"/>
      <c r="Z9" s="4"/>
      <c r="AA9" s="4"/>
      <c r="AB9" s="4"/>
      <c r="AC9" s="4"/>
      <c r="AD9" s="4"/>
      <c r="AE9" s="4"/>
      <c r="AF9" s="4"/>
      <c r="AG9" s="4"/>
      <c r="AH9" s="4"/>
      <c r="AI9" s="4"/>
      <c r="AJ9" s="4"/>
      <c r="AK9" s="4"/>
      <c r="AL9" s="4"/>
      <c r="AM9" s="4"/>
      <c r="AN9" s="4"/>
    </row>
    <row r="10">
      <c r="A10" s="4"/>
      <c r="B10" s="4"/>
      <c r="C10" s="15">
        <v>10.0</v>
      </c>
      <c r="D10" s="11">
        <v>8.0</v>
      </c>
      <c r="E10" s="11">
        <v>20.0</v>
      </c>
      <c r="F10" s="428">
        <v>32.0</v>
      </c>
      <c r="G10" s="428">
        <v>44.0</v>
      </c>
      <c r="H10" s="428">
        <v>56.0</v>
      </c>
      <c r="I10" s="428">
        <v>68.0</v>
      </c>
      <c r="J10" s="428">
        <v>80.0</v>
      </c>
      <c r="K10" s="428">
        <v>92.0</v>
      </c>
      <c r="L10" s="428">
        <v>104.0</v>
      </c>
      <c r="M10" s="428">
        <v>116.0</v>
      </c>
      <c r="N10" s="428">
        <v>128.0</v>
      </c>
      <c r="O10" s="428">
        <v>140.0</v>
      </c>
      <c r="P10" s="428">
        <v>152.0</v>
      </c>
      <c r="Q10" s="428">
        <v>164.0</v>
      </c>
      <c r="R10" s="4"/>
      <c r="S10" s="4"/>
      <c r="T10" s="4"/>
      <c r="U10" s="4"/>
      <c r="V10" s="4"/>
      <c r="W10" s="4"/>
      <c r="X10" s="4"/>
      <c r="Y10" s="4"/>
      <c r="Z10" s="4"/>
      <c r="AA10" s="4"/>
      <c r="AB10" s="4"/>
      <c r="AC10" s="4"/>
      <c r="AD10" s="4"/>
      <c r="AE10" s="4"/>
      <c r="AF10" s="4"/>
      <c r="AG10" s="4"/>
      <c r="AH10" s="4"/>
      <c r="AI10" s="4"/>
      <c r="AJ10" s="4"/>
      <c r="AK10" s="4"/>
      <c r="AL10" s="4"/>
      <c r="AM10" s="4"/>
      <c r="AN10" s="4"/>
    </row>
    <row r="11">
      <c r="A11" s="4"/>
      <c r="B11" s="4"/>
      <c r="C11" s="15">
        <v>11.0</v>
      </c>
      <c r="D11" s="11">
        <v>9.0</v>
      </c>
      <c r="E11" s="11">
        <v>21.0</v>
      </c>
      <c r="F11" s="428">
        <v>33.0</v>
      </c>
      <c r="G11" s="428">
        <v>45.0</v>
      </c>
      <c r="H11" s="428">
        <v>57.0</v>
      </c>
      <c r="I11" s="428">
        <v>69.0</v>
      </c>
      <c r="J11" s="428">
        <v>81.0</v>
      </c>
      <c r="K11" s="428">
        <v>93.0</v>
      </c>
      <c r="L11" s="428">
        <v>105.0</v>
      </c>
      <c r="M11" s="428">
        <v>117.0</v>
      </c>
      <c r="N11" s="428">
        <v>129.0</v>
      </c>
      <c r="O11" s="428">
        <v>141.0</v>
      </c>
      <c r="P11" s="428">
        <v>153.0</v>
      </c>
      <c r="Q11" s="428">
        <v>165.0</v>
      </c>
      <c r="R11" s="4"/>
      <c r="S11" s="4"/>
      <c r="T11" s="4"/>
      <c r="U11" s="4"/>
      <c r="V11" s="4"/>
      <c r="W11" s="4"/>
      <c r="X11" s="4"/>
      <c r="Y11" s="4"/>
      <c r="Z11" s="4"/>
      <c r="AA11" s="4"/>
      <c r="AB11" s="4"/>
      <c r="AC11" s="4"/>
      <c r="AD11" s="4"/>
      <c r="AE11" s="4"/>
      <c r="AF11" s="4"/>
      <c r="AG11" s="4"/>
      <c r="AH11" s="4"/>
      <c r="AI11" s="4"/>
      <c r="AJ11" s="4"/>
      <c r="AK11" s="4"/>
      <c r="AL11" s="4"/>
      <c r="AM11" s="4"/>
      <c r="AN11" s="4"/>
    </row>
    <row r="12">
      <c r="A12" s="4"/>
      <c r="B12" s="4"/>
      <c r="C12" s="15">
        <v>12.0</v>
      </c>
      <c r="D12" s="11">
        <v>10.0</v>
      </c>
      <c r="E12" s="11">
        <v>22.0</v>
      </c>
      <c r="F12" s="428">
        <v>34.0</v>
      </c>
      <c r="G12" s="428">
        <v>46.0</v>
      </c>
      <c r="H12" s="428">
        <v>58.0</v>
      </c>
      <c r="I12" s="428">
        <v>70.0</v>
      </c>
      <c r="J12" s="428">
        <v>82.0</v>
      </c>
      <c r="K12" s="428">
        <v>94.0</v>
      </c>
      <c r="L12" s="428">
        <v>106.0</v>
      </c>
      <c r="M12" s="428">
        <v>118.0</v>
      </c>
      <c r="N12" s="428">
        <v>130.0</v>
      </c>
      <c r="O12" s="428">
        <v>142.0</v>
      </c>
      <c r="P12" s="428">
        <v>154.0</v>
      </c>
      <c r="Q12" s="428">
        <v>166.0</v>
      </c>
      <c r="R12" s="4"/>
      <c r="S12" s="4"/>
      <c r="T12" s="4"/>
      <c r="U12" s="4"/>
      <c r="V12" s="4"/>
      <c r="W12" s="4"/>
      <c r="X12" s="4"/>
      <c r="Y12" s="4"/>
      <c r="Z12" s="4"/>
      <c r="AA12" s="4"/>
      <c r="AB12" s="4"/>
      <c r="AC12" s="4"/>
      <c r="AD12" s="4"/>
      <c r="AE12" s="4"/>
      <c r="AF12" s="4"/>
      <c r="AG12" s="4"/>
      <c r="AH12" s="4"/>
      <c r="AI12" s="4"/>
      <c r="AJ12" s="4"/>
      <c r="AK12" s="4"/>
      <c r="AL12" s="4"/>
      <c r="AM12" s="4"/>
      <c r="AN12" s="4"/>
    </row>
    <row r="13">
      <c r="A13" s="4"/>
      <c r="B13" s="4"/>
      <c r="C13" s="15">
        <v>13.0</v>
      </c>
      <c r="D13" s="11">
        <v>11.0</v>
      </c>
      <c r="E13" s="11">
        <v>23.0</v>
      </c>
      <c r="F13" s="428">
        <v>35.0</v>
      </c>
      <c r="G13" s="428">
        <v>47.0</v>
      </c>
      <c r="H13" s="428">
        <v>59.0</v>
      </c>
      <c r="I13" s="428">
        <v>71.0</v>
      </c>
      <c r="J13" s="428">
        <v>83.0</v>
      </c>
      <c r="K13" s="428">
        <v>95.0</v>
      </c>
      <c r="L13" s="428">
        <v>107.0</v>
      </c>
      <c r="M13" s="428">
        <v>119.0</v>
      </c>
      <c r="N13" s="428">
        <v>131.0</v>
      </c>
      <c r="O13" s="428">
        <v>143.0</v>
      </c>
      <c r="P13" s="428">
        <v>155.0</v>
      </c>
      <c r="Q13" s="428">
        <v>167.0</v>
      </c>
      <c r="R13" s="4"/>
      <c r="S13" s="4"/>
      <c r="T13" s="4"/>
      <c r="U13" s="4"/>
      <c r="V13" s="4"/>
      <c r="W13" s="4"/>
      <c r="X13" s="4"/>
      <c r="Y13" s="4"/>
      <c r="Z13" s="4"/>
      <c r="AA13" s="4"/>
      <c r="AB13" s="4"/>
      <c r="AC13" s="4"/>
      <c r="AD13" s="4"/>
      <c r="AE13" s="4"/>
      <c r="AF13" s="4"/>
      <c r="AG13" s="4"/>
      <c r="AH13" s="4"/>
      <c r="AI13" s="4"/>
      <c r="AJ13" s="4"/>
      <c r="AK13" s="4"/>
      <c r="AL13" s="4"/>
      <c r="AM13" s="4"/>
      <c r="AN13" s="4"/>
    </row>
    <row r="14">
      <c r="A14" s="4"/>
      <c r="B14" s="4"/>
      <c r="C14" s="15">
        <v>14.0</v>
      </c>
      <c r="D14" s="11">
        <v>12.0</v>
      </c>
      <c r="E14" s="11">
        <v>24.0</v>
      </c>
      <c r="F14" s="428">
        <v>36.0</v>
      </c>
      <c r="G14" s="428">
        <v>48.0</v>
      </c>
      <c r="H14" s="428">
        <v>60.0</v>
      </c>
      <c r="I14" s="428">
        <v>72.0</v>
      </c>
      <c r="J14" s="428">
        <v>84.0</v>
      </c>
      <c r="K14" s="428">
        <v>96.0</v>
      </c>
      <c r="L14" s="428">
        <v>108.0</v>
      </c>
      <c r="M14" s="428">
        <v>120.0</v>
      </c>
      <c r="N14" s="428">
        <v>132.0</v>
      </c>
      <c r="O14" s="428">
        <v>144.0</v>
      </c>
      <c r="P14" s="428">
        <v>156.0</v>
      </c>
      <c r="Q14" s="428">
        <v>168.0</v>
      </c>
      <c r="R14" s="4"/>
      <c r="S14" s="4"/>
      <c r="T14" s="4"/>
      <c r="U14" s="4"/>
      <c r="V14" s="4"/>
      <c r="W14" s="4"/>
      <c r="X14" s="4"/>
      <c r="Y14" s="4"/>
      <c r="Z14" s="4"/>
      <c r="AA14" s="4"/>
      <c r="AB14" s="4"/>
      <c r="AC14" s="4"/>
      <c r="AD14" s="4"/>
      <c r="AE14" s="4"/>
      <c r="AF14" s="4"/>
      <c r="AG14" s="4"/>
      <c r="AH14" s="4"/>
      <c r="AI14" s="4"/>
      <c r="AJ14" s="4"/>
      <c r="AK14" s="4"/>
      <c r="AL14" s="4"/>
      <c r="AM14" s="4"/>
      <c r="AN14" s="4"/>
    </row>
    <row r="15">
      <c r="A15" s="4"/>
      <c r="B15" s="4"/>
      <c r="C15" s="4"/>
      <c r="D15" s="15" t="s">
        <v>2613</v>
      </c>
      <c r="E15" s="15" t="s">
        <v>2614</v>
      </c>
      <c r="F15" s="15" t="s">
        <v>1404</v>
      </c>
      <c r="G15" s="15" t="s">
        <v>1380</v>
      </c>
      <c r="H15" s="15" t="s">
        <v>1374</v>
      </c>
      <c r="I15" s="15" t="s">
        <v>2615</v>
      </c>
      <c r="J15" s="15" t="s">
        <v>2616</v>
      </c>
      <c r="K15" s="15" t="s">
        <v>2617</v>
      </c>
      <c r="L15" s="15" t="s">
        <v>1378</v>
      </c>
      <c r="M15" s="15" t="s">
        <v>1368</v>
      </c>
      <c r="N15" s="15" t="s">
        <v>2618</v>
      </c>
      <c r="O15" s="15" t="s">
        <v>2619</v>
      </c>
      <c r="P15" s="15" t="s">
        <v>2620</v>
      </c>
      <c r="Q15" s="15" t="s">
        <v>2621</v>
      </c>
      <c r="R15" s="4"/>
      <c r="S15" s="4"/>
      <c r="T15" s="4"/>
      <c r="U15" s="4"/>
      <c r="V15" s="4"/>
      <c r="W15" s="4"/>
      <c r="X15" s="4"/>
      <c r="Y15" s="4"/>
      <c r="Z15" s="4"/>
      <c r="AA15" s="4"/>
      <c r="AB15" s="4"/>
      <c r="AC15" s="4"/>
      <c r="AD15" s="4"/>
      <c r="AE15" s="4"/>
      <c r="AF15" s="4"/>
      <c r="AG15" s="4"/>
      <c r="AH15" s="4"/>
      <c r="AI15" s="4"/>
      <c r="AJ15" s="4"/>
      <c r="AK15" s="4"/>
      <c r="AL15" s="4"/>
      <c r="AM15" s="4"/>
      <c r="AN15" s="4"/>
    </row>
    <row r="16">
      <c r="A16" s="4"/>
      <c r="B16" s="15"/>
      <c r="C16" s="15">
        <v>3.0</v>
      </c>
      <c r="D16" s="11">
        <v>1.0</v>
      </c>
      <c r="E16" s="11">
        <v>13.0</v>
      </c>
      <c r="F16" s="428">
        <v>36.0</v>
      </c>
      <c r="G16" s="428">
        <v>48.0</v>
      </c>
      <c r="H16" s="428">
        <v>60.0</v>
      </c>
      <c r="I16" s="428">
        <v>72.0</v>
      </c>
      <c r="J16" s="428">
        <v>84.0</v>
      </c>
      <c r="K16" s="428">
        <v>96.0</v>
      </c>
      <c r="L16" s="428">
        <v>108.0</v>
      </c>
      <c r="M16" s="428">
        <v>120.0</v>
      </c>
      <c r="N16" s="428">
        <v>132.0</v>
      </c>
      <c r="O16" s="428">
        <v>144.0</v>
      </c>
      <c r="P16" s="428">
        <v>156.0</v>
      </c>
      <c r="Q16" s="428">
        <v>168.0</v>
      </c>
      <c r="R16" s="4"/>
      <c r="S16" s="4"/>
      <c r="T16" s="4"/>
      <c r="U16" s="4"/>
      <c r="V16" s="4"/>
      <c r="W16" s="4"/>
      <c r="X16" s="4"/>
      <c r="Y16" s="4"/>
      <c r="Z16" s="4"/>
      <c r="AA16" s="4"/>
      <c r="AB16" s="4"/>
      <c r="AC16" s="4"/>
      <c r="AD16" s="4"/>
      <c r="AE16" s="4"/>
      <c r="AF16" s="4"/>
      <c r="AG16" s="4"/>
      <c r="AH16" s="4"/>
      <c r="AI16" s="4"/>
      <c r="AJ16" s="4"/>
      <c r="AK16" s="4"/>
      <c r="AL16" s="4"/>
      <c r="AM16" s="4"/>
      <c r="AN16" s="4"/>
    </row>
    <row r="17">
      <c r="A17" s="4"/>
      <c r="B17" s="4"/>
      <c r="C17" s="15">
        <v>4.0</v>
      </c>
      <c r="D17" s="11">
        <v>2.0</v>
      </c>
      <c r="E17" s="11">
        <v>14.0</v>
      </c>
      <c r="F17" s="428">
        <v>35.0</v>
      </c>
      <c r="G17" s="428">
        <v>47.0</v>
      </c>
      <c r="H17" s="428">
        <v>59.0</v>
      </c>
      <c r="I17" s="428">
        <v>71.0</v>
      </c>
      <c r="J17" s="428">
        <v>83.0</v>
      </c>
      <c r="K17" s="428">
        <v>95.0</v>
      </c>
      <c r="L17" s="428">
        <v>107.0</v>
      </c>
      <c r="M17" s="428">
        <v>119.0</v>
      </c>
      <c r="N17" s="428">
        <v>131.0</v>
      </c>
      <c r="O17" s="428">
        <v>143.0</v>
      </c>
      <c r="P17" s="428">
        <v>155.0</v>
      </c>
      <c r="Q17" s="428">
        <v>167.0</v>
      </c>
      <c r="R17" s="4"/>
      <c r="S17" s="4"/>
      <c r="T17" s="4"/>
      <c r="U17" s="4"/>
      <c r="V17" s="4"/>
      <c r="W17" s="4"/>
      <c r="X17" s="4"/>
      <c r="Y17" s="4"/>
      <c r="Z17" s="4"/>
      <c r="AA17" s="4"/>
      <c r="AB17" s="4"/>
      <c r="AC17" s="4"/>
      <c r="AD17" s="4"/>
      <c r="AE17" s="4"/>
      <c r="AF17" s="4"/>
      <c r="AG17" s="4"/>
      <c r="AH17" s="4"/>
      <c r="AI17" s="4"/>
      <c r="AJ17" s="4"/>
      <c r="AK17" s="4"/>
      <c r="AL17" s="4"/>
      <c r="AM17" s="4"/>
      <c r="AN17" s="4"/>
    </row>
    <row r="18">
      <c r="A18" s="4"/>
      <c r="B18" s="4"/>
      <c r="C18" s="15">
        <v>5.0</v>
      </c>
      <c r="D18" s="11">
        <v>3.0</v>
      </c>
      <c r="E18" s="11">
        <v>15.0</v>
      </c>
      <c r="F18" s="428">
        <v>34.0</v>
      </c>
      <c r="G18" s="428">
        <v>46.0</v>
      </c>
      <c r="H18" s="428">
        <v>58.0</v>
      </c>
      <c r="I18" s="428">
        <v>70.0</v>
      </c>
      <c r="J18" s="428">
        <v>82.0</v>
      </c>
      <c r="K18" s="428">
        <v>94.0</v>
      </c>
      <c r="L18" s="428">
        <v>106.0</v>
      </c>
      <c r="M18" s="428">
        <v>118.0</v>
      </c>
      <c r="N18" s="428">
        <v>130.0</v>
      </c>
      <c r="O18" s="428">
        <v>142.0</v>
      </c>
      <c r="P18" s="428">
        <v>154.0</v>
      </c>
      <c r="Q18" s="428">
        <v>166.0</v>
      </c>
      <c r="R18" s="4"/>
      <c r="S18" s="4"/>
      <c r="T18" s="4"/>
      <c r="U18" s="4"/>
      <c r="V18" s="4"/>
      <c r="W18" s="4"/>
      <c r="X18" s="4"/>
      <c r="Y18" s="4"/>
      <c r="Z18" s="4"/>
      <c r="AA18" s="4"/>
      <c r="AB18" s="4"/>
      <c r="AC18" s="4"/>
      <c r="AD18" s="4"/>
      <c r="AE18" s="4"/>
      <c r="AF18" s="4"/>
      <c r="AG18" s="4"/>
      <c r="AH18" s="4"/>
      <c r="AI18" s="4"/>
      <c r="AJ18" s="4"/>
      <c r="AK18" s="4"/>
      <c r="AL18" s="4"/>
      <c r="AM18" s="4"/>
      <c r="AN18" s="4"/>
    </row>
    <row r="19">
      <c r="A19" s="4"/>
      <c r="B19" s="4"/>
      <c r="C19" s="15">
        <v>6.0</v>
      </c>
      <c r="D19" s="11">
        <v>4.0</v>
      </c>
      <c r="E19" s="11">
        <v>16.0</v>
      </c>
      <c r="F19" s="428">
        <v>33.0</v>
      </c>
      <c r="G19" s="428">
        <v>45.0</v>
      </c>
      <c r="H19" s="428">
        <v>57.0</v>
      </c>
      <c r="I19" s="428">
        <v>69.0</v>
      </c>
      <c r="J19" s="428">
        <v>81.0</v>
      </c>
      <c r="K19" s="428">
        <v>93.0</v>
      </c>
      <c r="L19" s="428">
        <v>105.0</v>
      </c>
      <c r="M19" s="428">
        <v>117.0</v>
      </c>
      <c r="N19" s="428">
        <v>129.0</v>
      </c>
      <c r="O19" s="428">
        <v>141.0</v>
      </c>
      <c r="P19" s="428">
        <v>153.0</v>
      </c>
      <c r="Q19" s="428">
        <v>165.0</v>
      </c>
      <c r="R19" s="4"/>
      <c r="S19" s="4"/>
      <c r="T19" s="4"/>
      <c r="U19" s="4"/>
      <c r="V19" s="4"/>
      <c r="W19" s="4"/>
      <c r="X19" s="4"/>
      <c r="Y19" s="4"/>
      <c r="Z19" s="4"/>
      <c r="AA19" s="4"/>
      <c r="AB19" s="4"/>
      <c r="AC19" s="4"/>
      <c r="AD19" s="4"/>
      <c r="AE19" s="4"/>
      <c r="AF19" s="4"/>
      <c r="AG19" s="4"/>
      <c r="AH19" s="4"/>
      <c r="AI19" s="4"/>
      <c r="AJ19" s="4"/>
      <c r="AK19" s="4"/>
      <c r="AL19" s="4"/>
      <c r="AM19" s="4"/>
      <c r="AN19" s="4"/>
    </row>
    <row r="20">
      <c r="A20" s="4"/>
      <c r="B20" s="4"/>
      <c r="C20" s="15">
        <v>7.0</v>
      </c>
      <c r="D20" s="11">
        <v>5.0</v>
      </c>
      <c r="E20" s="11">
        <v>17.0</v>
      </c>
      <c r="F20" s="428">
        <v>32.0</v>
      </c>
      <c r="G20" s="428">
        <v>44.0</v>
      </c>
      <c r="H20" s="428">
        <v>56.0</v>
      </c>
      <c r="I20" s="428">
        <v>68.0</v>
      </c>
      <c r="J20" s="428">
        <v>80.0</v>
      </c>
      <c r="K20" s="428">
        <v>92.0</v>
      </c>
      <c r="L20" s="428">
        <v>104.0</v>
      </c>
      <c r="M20" s="428">
        <v>116.0</v>
      </c>
      <c r="N20" s="428">
        <v>128.0</v>
      </c>
      <c r="O20" s="428">
        <v>140.0</v>
      </c>
      <c r="P20" s="428">
        <v>152.0</v>
      </c>
      <c r="Q20" s="428">
        <v>164.0</v>
      </c>
      <c r="R20" s="4"/>
      <c r="S20" s="4"/>
      <c r="T20" s="4"/>
      <c r="U20" s="4"/>
      <c r="V20" s="4"/>
      <c r="W20" s="4"/>
      <c r="X20" s="4"/>
      <c r="Y20" s="4"/>
      <c r="Z20" s="4"/>
      <c r="AA20" s="4"/>
      <c r="AB20" s="4"/>
      <c r="AC20" s="4"/>
      <c r="AD20" s="4"/>
      <c r="AE20" s="4"/>
      <c r="AF20" s="4"/>
      <c r="AG20" s="4"/>
      <c r="AH20" s="4"/>
      <c r="AI20" s="4"/>
      <c r="AJ20" s="4"/>
      <c r="AK20" s="4"/>
      <c r="AL20" s="4"/>
      <c r="AM20" s="4"/>
      <c r="AN20" s="4"/>
    </row>
    <row r="21">
      <c r="A21" s="4"/>
      <c r="B21" s="4"/>
      <c r="C21" s="15">
        <v>8.0</v>
      </c>
      <c r="D21" s="11">
        <v>6.0</v>
      </c>
      <c r="E21" s="11">
        <v>18.0</v>
      </c>
      <c r="F21" s="428">
        <v>31.0</v>
      </c>
      <c r="G21" s="428">
        <v>43.0</v>
      </c>
      <c r="H21" s="428">
        <v>55.0</v>
      </c>
      <c r="I21" s="428">
        <v>67.0</v>
      </c>
      <c r="J21" s="428">
        <v>79.0</v>
      </c>
      <c r="K21" s="428">
        <v>91.0</v>
      </c>
      <c r="L21" s="428">
        <v>103.0</v>
      </c>
      <c r="M21" s="428">
        <v>115.0</v>
      </c>
      <c r="N21" s="428">
        <v>127.0</v>
      </c>
      <c r="O21" s="428">
        <v>139.0</v>
      </c>
      <c r="P21" s="428">
        <v>151.0</v>
      </c>
      <c r="Q21" s="428">
        <v>163.0</v>
      </c>
      <c r="R21" s="4"/>
      <c r="S21" s="4"/>
      <c r="T21" s="4"/>
      <c r="U21" s="4"/>
      <c r="V21" s="4"/>
      <c r="W21" s="4"/>
      <c r="X21" s="4"/>
      <c r="Y21" s="4"/>
      <c r="Z21" s="4"/>
      <c r="AA21" s="4"/>
      <c r="AB21" s="4"/>
      <c r="AC21" s="4"/>
      <c r="AD21" s="4"/>
      <c r="AE21" s="4"/>
      <c r="AF21" s="4"/>
      <c r="AG21" s="4"/>
      <c r="AH21" s="4"/>
      <c r="AI21" s="4"/>
      <c r="AJ21" s="4"/>
      <c r="AK21" s="4"/>
      <c r="AL21" s="4"/>
      <c r="AM21" s="4"/>
      <c r="AN21" s="4"/>
    </row>
    <row r="22">
      <c r="A22" s="4"/>
      <c r="B22" s="4"/>
      <c r="C22" s="15">
        <v>9.0</v>
      </c>
      <c r="D22" s="11">
        <v>7.0</v>
      </c>
      <c r="E22" s="11">
        <v>19.0</v>
      </c>
      <c r="F22" s="428">
        <v>30.0</v>
      </c>
      <c r="G22" s="428">
        <v>42.0</v>
      </c>
      <c r="H22" s="428">
        <v>54.0</v>
      </c>
      <c r="I22" s="428">
        <v>66.0</v>
      </c>
      <c r="J22" s="428">
        <v>78.0</v>
      </c>
      <c r="K22" s="428">
        <v>90.0</v>
      </c>
      <c r="L22" s="428">
        <v>102.0</v>
      </c>
      <c r="M22" s="428">
        <v>114.0</v>
      </c>
      <c r="N22" s="428">
        <v>126.0</v>
      </c>
      <c r="O22" s="428">
        <v>138.0</v>
      </c>
      <c r="P22" s="428">
        <v>150.0</v>
      </c>
      <c r="Q22" s="428">
        <v>162.0</v>
      </c>
      <c r="R22" s="4"/>
      <c r="S22" s="4"/>
      <c r="T22" s="4"/>
      <c r="U22" s="4"/>
      <c r="V22" s="4"/>
      <c r="W22" s="4"/>
      <c r="X22" s="4"/>
      <c r="Y22" s="4"/>
      <c r="Z22" s="4"/>
      <c r="AA22" s="4"/>
      <c r="AB22" s="4"/>
      <c r="AC22" s="4"/>
      <c r="AD22" s="4"/>
      <c r="AE22" s="4"/>
      <c r="AF22" s="4"/>
      <c r="AG22" s="4"/>
      <c r="AH22" s="4"/>
      <c r="AI22" s="4"/>
      <c r="AJ22" s="4"/>
      <c r="AK22" s="4"/>
      <c r="AL22" s="4"/>
      <c r="AM22" s="4"/>
      <c r="AN22" s="4"/>
    </row>
    <row r="23">
      <c r="A23" s="4"/>
      <c r="B23" s="4"/>
      <c r="C23" s="15">
        <v>10.0</v>
      </c>
      <c r="D23" s="11">
        <v>8.0</v>
      </c>
      <c r="E23" s="11">
        <v>20.0</v>
      </c>
      <c r="F23" s="428">
        <v>29.0</v>
      </c>
      <c r="G23" s="428">
        <v>41.0</v>
      </c>
      <c r="H23" s="428">
        <v>53.0</v>
      </c>
      <c r="I23" s="428">
        <v>65.0</v>
      </c>
      <c r="J23" s="428">
        <v>77.0</v>
      </c>
      <c r="K23" s="428">
        <v>89.0</v>
      </c>
      <c r="L23" s="428">
        <v>101.0</v>
      </c>
      <c r="M23" s="428">
        <v>113.0</v>
      </c>
      <c r="N23" s="428">
        <v>125.0</v>
      </c>
      <c r="O23" s="428">
        <v>137.0</v>
      </c>
      <c r="P23" s="428">
        <v>149.0</v>
      </c>
      <c r="Q23" s="428">
        <v>161.0</v>
      </c>
      <c r="R23" s="4"/>
      <c r="S23" s="4"/>
      <c r="T23" s="4"/>
      <c r="U23" s="4"/>
      <c r="V23" s="4"/>
      <c r="W23" s="4"/>
      <c r="X23" s="4"/>
      <c r="Y23" s="4"/>
      <c r="Z23" s="4"/>
      <c r="AA23" s="4"/>
      <c r="AB23" s="4"/>
      <c r="AC23" s="4"/>
      <c r="AD23" s="4"/>
      <c r="AE23" s="4"/>
      <c r="AF23" s="4"/>
      <c r="AG23" s="4"/>
      <c r="AH23" s="4"/>
      <c r="AI23" s="4"/>
      <c r="AJ23" s="4"/>
      <c r="AK23" s="4"/>
      <c r="AL23" s="4"/>
      <c r="AM23" s="4"/>
      <c r="AN23" s="4"/>
    </row>
    <row r="24">
      <c r="A24" s="4"/>
      <c r="B24" s="4"/>
      <c r="C24" s="15">
        <v>11.0</v>
      </c>
      <c r="D24" s="11">
        <v>9.0</v>
      </c>
      <c r="E24" s="11">
        <v>21.0</v>
      </c>
      <c r="F24" s="428">
        <v>28.0</v>
      </c>
      <c r="G24" s="428">
        <v>40.0</v>
      </c>
      <c r="H24" s="428">
        <v>52.0</v>
      </c>
      <c r="I24" s="428">
        <v>64.0</v>
      </c>
      <c r="J24" s="428">
        <v>76.0</v>
      </c>
      <c r="K24" s="428">
        <v>88.0</v>
      </c>
      <c r="L24" s="428">
        <v>100.0</v>
      </c>
      <c r="M24" s="428">
        <v>112.0</v>
      </c>
      <c r="N24" s="428">
        <v>124.0</v>
      </c>
      <c r="O24" s="428">
        <v>136.0</v>
      </c>
      <c r="P24" s="428">
        <v>148.0</v>
      </c>
      <c r="Q24" s="428">
        <v>160.0</v>
      </c>
      <c r="R24" s="4"/>
      <c r="S24" s="4"/>
      <c r="T24" s="4"/>
      <c r="U24" s="4"/>
      <c r="V24" s="4"/>
      <c r="W24" s="4"/>
      <c r="X24" s="4"/>
      <c r="Y24" s="4"/>
      <c r="Z24" s="4"/>
      <c r="AA24" s="4"/>
      <c r="AB24" s="4"/>
      <c r="AC24" s="4"/>
      <c r="AD24" s="4"/>
      <c r="AE24" s="4"/>
      <c r="AF24" s="4"/>
      <c r="AG24" s="4"/>
      <c r="AH24" s="4"/>
      <c r="AI24" s="4"/>
      <c r="AJ24" s="4"/>
      <c r="AK24" s="4"/>
      <c r="AL24" s="4"/>
      <c r="AM24" s="4"/>
      <c r="AN24" s="4"/>
    </row>
    <row r="25">
      <c r="A25" s="4"/>
      <c r="B25" s="4"/>
      <c r="C25" s="15">
        <v>12.0</v>
      </c>
      <c r="D25" s="11">
        <v>10.0</v>
      </c>
      <c r="E25" s="11">
        <v>22.0</v>
      </c>
      <c r="F25" s="428">
        <v>27.0</v>
      </c>
      <c r="G25" s="428">
        <v>39.0</v>
      </c>
      <c r="H25" s="428">
        <v>51.0</v>
      </c>
      <c r="I25" s="428">
        <v>63.0</v>
      </c>
      <c r="J25" s="428">
        <v>75.0</v>
      </c>
      <c r="K25" s="428">
        <v>87.0</v>
      </c>
      <c r="L25" s="428">
        <v>99.0</v>
      </c>
      <c r="M25" s="428">
        <v>111.0</v>
      </c>
      <c r="N25" s="428">
        <v>123.0</v>
      </c>
      <c r="O25" s="428">
        <v>135.0</v>
      </c>
      <c r="P25" s="428">
        <v>147.0</v>
      </c>
      <c r="Q25" s="428">
        <v>159.0</v>
      </c>
      <c r="R25" s="4"/>
      <c r="S25" s="4"/>
      <c r="T25" s="4"/>
      <c r="U25" s="4"/>
      <c r="V25" s="4"/>
      <c r="W25" s="4"/>
      <c r="X25" s="4"/>
      <c r="Y25" s="4"/>
      <c r="Z25" s="4"/>
      <c r="AA25" s="4"/>
      <c r="AB25" s="4"/>
      <c r="AC25" s="4"/>
      <c r="AD25" s="4"/>
      <c r="AE25" s="4"/>
      <c r="AF25" s="4"/>
      <c r="AG25" s="4"/>
      <c r="AH25" s="4"/>
      <c r="AI25" s="4"/>
      <c r="AJ25" s="4"/>
      <c r="AK25" s="4"/>
      <c r="AL25" s="4"/>
      <c r="AM25" s="4"/>
      <c r="AN25" s="4"/>
    </row>
    <row r="26">
      <c r="A26" s="4"/>
      <c r="B26" s="4"/>
      <c r="C26" s="15">
        <v>13.0</v>
      </c>
      <c r="D26" s="11">
        <v>11.0</v>
      </c>
      <c r="E26" s="11">
        <v>23.0</v>
      </c>
      <c r="F26" s="428">
        <v>26.0</v>
      </c>
      <c r="G26" s="428">
        <v>38.0</v>
      </c>
      <c r="H26" s="428">
        <v>50.0</v>
      </c>
      <c r="I26" s="428">
        <v>62.0</v>
      </c>
      <c r="J26" s="428">
        <v>74.0</v>
      </c>
      <c r="K26" s="428">
        <v>86.0</v>
      </c>
      <c r="L26" s="428">
        <v>98.0</v>
      </c>
      <c r="M26" s="428">
        <v>110.0</v>
      </c>
      <c r="N26" s="428">
        <v>122.0</v>
      </c>
      <c r="O26" s="428">
        <v>134.0</v>
      </c>
      <c r="P26" s="428">
        <v>146.0</v>
      </c>
      <c r="Q26" s="428">
        <v>158.0</v>
      </c>
      <c r="R26" s="4"/>
      <c r="S26" s="4"/>
      <c r="T26" s="4"/>
      <c r="U26" s="4"/>
      <c r="V26" s="4"/>
      <c r="W26" s="4"/>
      <c r="X26" s="4"/>
      <c r="Y26" s="4"/>
      <c r="Z26" s="4"/>
      <c r="AA26" s="4"/>
      <c r="AB26" s="4"/>
      <c r="AC26" s="4"/>
      <c r="AD26" s="4"/>
      <c r="AE26" s="4"/>
      <c r="AF26" s="4"/>
      <c r="AG26" s="4"/>
      <c r="AH26" s="4"/>
      <c r="AI26" s="4"/>
      <c r="AJ26" s="4"/>
      <c r="AK26" s="4"/>
      <c r="AL26" s="4"/>
      <c r="AM26" s="4"/>
      <c r="AN26" s="4"/>
    </row>
    <row r="27">
      <c r="A27" s="4"/>
      <c r="B27" s="4"/>
      <c r="C27" s="15">
        <v>14.0</v>
      </c>
      <c r="D27" s="11">
        <v>12.0</v>
      </c>
      <c r="E27" s="11">
        <v>24.0</v>
      </c>
      <c r="F27" s="428">
        <v>25.0</v>
      </c>
      <c r="G27" s="428">
        <v>37.0</v>
      </c>
      <c r="H27" s="428">
        <v>49.0</v>
      </c>
      <c r="I27" s="428">
        <v>61.0</v>
      </c>
      <c r="J27" s="428">
        <v>73.0</v>
      </c>
      <c r="K27" s="428">
        <v>85.0</v>
      </c>
      <c r="L27" s="428">
        <v>97.0</v>
      </c>
      <c r="M27" s="428">
        <v>109.0</v>
      </c>
      <c r="N27" s="428">
        <v>121.0</v>
      </c>
      <c r="O27" s="428">
        <v>133.0</v>
      </c>
      <c r="P27" s="428">
        <v>145.0</v>
      </c>
      <c r="Q27" s="428">
        <v>157.0</v>
      </c>
      <c r="R27" s="4"/>
      <c r="S27" s="4"/>
      <c r="T27" s="4"/>
      <c r="U27" s="4"/>
      <c r="V27" s="4"/>
      <c r="W27" s="4"/>
      <c r="X27" s="4"/>
      <c r="Y27" s="4"/>
      <c r="Z27" s="4"/>
      <c r="AA27" s="4"/>
      <c r="AB27" s="4"/>
      <c r="AC27" s="4"/>
      <c r="AD27" s="4"/>
      <c r="AE27" s="4"/>
      <c r="AF27" s="4"/>
      <c r="AG27" s="4"/>
      <c r="AH27" s="4"/>
      <c r="AI27" s="4"/>
      <c r="AJ27" s="4"/>
      <c r="AK27" s="4"/>
      <c r="AL27" s="4"/>
      <c r="AM27" s="4"/>
      <c r="AN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row>
  </sheetData>
  <conditionalFormatting sqref="H6">
    <cfRule type="expression" dxfId="0" priority="1">
      <formula>(A7=TRUE)</formula>
    </cfRule>
  </conditionalFormatting>
  <conditionalFormatting sqref="F6">
    <cfRule type="expression" dxfId="0" priority="2">
      <formula>(A7=TRUE)</formula>
    </cfRule>
  </conditionalFormatting>
  <conditionalFormatting sqref="G11">
    <cfRule type="expression" dxfId="0" priority="3">
      <formula>(A7=TRUE)</formula>
    </cfRule>
  </conditionalFormatting>
  <conditionalFormatting sqref="K11">
    <cfRule type="expression" dxfId="0" priority="4">
      <formula>(A7=TRUE)</formula>
    </cfRule>
  </conditionalFormatting>
  <conditionalFormatting sqref="L6">
    <cfRule type="expression" dxfId="0" priority="5">
      <formula>(A7=TRUE)</formula>
    </cfRule>
  </conditionalFormatting>
  <conditionalFormatting sqref="M11">
    <cfRule type="expression" dxfId="0" priority="6">
      <formula>(A7=TRUE)</formula>
    </cfRule>
  </conditionalFormatting>
  <conditionalFormatting sqref="I11">
    <cfRule type="expression" dxfId="0" priority="7">
      <formula>(A7=TRUE)</formula>
    </cfRule>
  </conditionalFormatting>
  <conditionalFormatting sqref="O11">
    <cfRule type="expression" dxfId="0" priority="8">
      <formula>(A7=TRUE)</formula>
    </cfRule>
  </conditionalFormatting>
  <conditionalFormatting sqref="N6">
    <cfRule type="expression" dxfId="0" priority="9">
      <formula>(A7=TRUE)</formula>
    </cfRule>
  </conditionalFormatting>
  <conditionalFormatting sqref="D3 D6 D9 D12">
    <cfRule type="expression" dxfId="0" priority="10">
      <formula>(A4=TRUE)</formula>
    </cfRule>
  </conditionalFormatting>
  <conditionalFormatting sqref="J6">
    <cfRule type="expression" dxfId="0" priority="11">
      <formula>(A7=TRUE)</formula>
    </cfRule>
  </conditionalFormatting>
  <conditionalFormatting sqref="E11">
    <cfRule type="expression" dxfId="0" priority="12">
      <formula>(A7=TRUE)</formula>
    </cfRule>
  </conditionalFormatting>
  <conditionalFormatting sqref="E14">
    <cfRule type="expression" dxfId="0" priority="13">
      <formula>(A4=TRUE)</formula>
    </cfRule>
  </conditionalFormatting>
  <conditionalFormatting sqref="D6">
    <cfRule type="expression" dxfId="0" priority="14">
      <formula>(A7=TRUE)</formula>
    </cfRule>
  </conditionalFormatting>
  <conditionalFormatting sqref="D16 D19 D22 D25">
    <cfRule type="expression" dxfId="0" priority="15">
      <formula>(A17=TRUE)</formula>
    </cfRule>
  </conditionalFormatting>
  <conditionalFormatting sqref="D19">
    <cfRule type="expression" dxfId="0" priority="16">
      <formula>(A20=TRUE)</formula>
    </cfRule>
  </conditionalFormatting>
  <conditionalFormatting sqref="E24">
    <cfRule type="expression" dxfId="0" priority="17">
      <formula>(A20=TRUE)</formula>
    </cfRule>
  </conditionalFormatting>
  <conditionalFormatting sqref="F19">
    <cfRule type="expression" dxfId="0" priority="18">
      <formula>(A20=TRUE)</formula>
    </cfRule>
  </conditionalFormatting>
  <conditionalFormatting sqref="P6 N19 P19">
    <cfRule type="expression" dxfId="0" priority="19">
      <formula>(C7=TRUE)</formula>
    </cfRule>
  </conditionalFormatting>
  <conditionalFormatting sqref="H19">
    <cfRule type="expression" dxfId="0" priority="20">
      <formula>(A20=TRUE)</formula>
    </cfRule>
  </conditionalFormatting>
  <conditionalFormatting sqref="J19">
    <cfRule type="expression" dxfId="0" priority="21">
      <formula>(A20=TRUE)</formula>
    </cfRule>
  </conditionalFormatting>
  <conditionalFormatting sqref="L19">
    <cfRule type="expression" dxfId="0" priority="22">
      <formula>(A20=TRUE)</formula>
    </cfRule>
  </conditionalFormatting>
  <conditionalFormatting sqref="G24">
    <cfRule type="expression" dxfId="0" priority="23">
      <formula>(A20=TRUE)</formula>
    </cfRule>
  </conditionalFormatting>
  <conditionalFormatting sqref="I24">
    <cfRule type="expression" dxfId="0" priority="24">
      <formula>(A20=TRUE)</formula>
    </cfRule>
  </conditionalFormatting>
  <conditionalFormatting sqref="K24">
    <cfRule type="expression" dxfId="0" priority="25">
      <formula>(A20=TRUE)</formula>
    </cfRule>
  </conditionalFormatting>
  <conditionalFormatting sqref="M24">
    <cfRule type="expression" dxfId="0" priority="26">
      <formula>(A20=TRUE)</formula>
    </cfRule>
  </conditionalFormatting>
  <conditionalFormatting sqref="Q11 O24 Q24">
    <cfRule type="expression" dxfId="0" priority="27">
      <formula>(C7=TRUE)</formula>
    </cfRule>
  </conditionalFormatting>
  <conditionalFormatting sqref="E27">
    <cfRule type="expression" dxfId="0" priority="28">
      <formula>(A17=TRUE)</formula>
    </cfRule>
  </conditionalFormatting>
  <conditionalFormatting sqref="F3 H3 P3 Q4 F5 H5 P5 Q6 F7 H7 P7 Q8 F9 H9 P9 Q10 F11 H11 P11 Q12 F13 H13 P13 G14 I14 Q14 J16 L16 N16 P16 Q17 P18 Q19 P20 Q21 P22 Q23 P24 Q25 P26 K27 M27 O27 Q27">
    <cfRule type="expression" dxfId="0" priority="29">
      <formula>($C$3=TRUE)</formula>
    </cfRule>
  </conditionalFormatting>
  <conditionalFormatting sqref="J3 L3 N3 J5 L5 N5 J7 L7 N7 J9 L9 N9 J11 L11 N11 J13 L13 N13 K14 M14 O14">
    <cfRule type="expression" dxfId="0" priority="30">
      <formula>($C$3=TRUE)</formula>
    </cfRule>
  </conditionalFormatting>
  <conditionalFormatting sqref="D2 F2 H2 J2 L2 N2 P2 Q3 D4:D5 F4:F15 H4:H15 J4:J15 L4:L15 N4 P4 B5 Q5 N6 P6 D7 Q7 B8 N8 P8 D9:D11 Q9 N10 P10 B11 Q11 N12 P12 D13 E13:E14 G13:G14 I13:I14 K13:K14 M13:M14 O13 Q13 B14:C14 N14:N15 P14:P15 D15 Q16 D17 F17 H17 J17 L17 N17 P17 Q18 P19 D20 Q20 P21 Q22 D23 P23 Q24 P25 D26:E26 G26 I26 K26 M26 O26 Q26 P27">
    <cfRule type="expression" dxfId="0" priority="31">
      <formula>($C$4=TRUE)</formula>
    </cfRule>
  </conditionalFormatting>
  <conditionalFormatting sqref="D5 F5 H5 J5 L5 N5 P5 D8 D11 E12 G12 I12 K12 M12 O12 Q12 D14 D18 F18 H18 J18 L18 N18 P18 D21 D24 E25 G25 I25 K25 M25 O25 Q25 D27">
    <cfRule type="expression" dxfId="1" priority="32">
      <formula>($E$4=TRUE)</formula>
    </cfRule>
  </conditionalFormatting>
  <conditionalFormatting sqref="D7 F7 H7 J7 L7 N7 P7 E10 G10 I10 K10 M10 O10 Q10 D20 F20 H20 J20 L20 N20 P20 E23 G23 I23 K23 M23 O23 Q23">
    <cfRule type="expression" dxfId="0" priority="33">
      <formula>($E$6=TRUE)</formula>
    </cfRule>
  </conditionalFormatting>
  <conditionalFormatting sqref="D8 F8 H8 J8 L8 N8 P8 E9 G9 I9 K9 M9 O9 Q9 D21 F21 H21 J21 L21 N21 P21 E22 G22 I22 K22 M22 O22 Q22">
    <cfRule type="expression" dxfId="0" priority="34">
      <formula>($E$7=TRUE)</formula>
    </cfRule>
  </conditionalFormatting>
  <conditionalFormatting sqref="E8 G8 I8 K8 M8 O8 Q8 D9 F9 H9 J9 L9 N9 P9 E21 G21 I21 K21 M21 O21 Q21 D22 F22 H22 J22 L22 N22 P22">
    <cfRule type="expression" dxfId="1" priority="35">
      <formula>($E$8=TRUE)</formula>
    </cfRule>
  </conditionalFormatting>
  <conditionalFormatting sqref="E7 G7 I7 K7 M7 O7 Q7 D10 F10 H10 J10 L10 N10 P10 E20 G20 I20 K20 M20 O20 Q20 D23 F23 H23 J23 L23 N23 P23">
    <cfRule type="expression" dxfId="0" priority="36">
      <formula>($E$9=TRUE)</formula>
    </cfRule>
  </conditionalFormatting>
  <conditionalFormatting sqref="E6 G6 I6 K6 M6 O6 Q6 D11 F11 H11 J11 L11 N11 P11 E19 G19 I19 K19 M19 O19 Q19 D24 F24 H24 J24 L24 N24 P24">
    <cfRule type="expression" dxfId="0" priority="37">
      <formula>($E$10=TRUE)</formula>
    </cfRule>
  </conditionalFormatting>
  <conditionalFormatting sqref="E5 G5 I5 K5 M5 O5 Q5 D12 F12 H12 J12 L12 N12 P12 F16 E18 G18 I18 K18 M18 O18 Q18 F19 F22 D25 F25 H25 J25 L25 N25 P25">
    <cfRule type="expression" dxfId="0" priority="38">
      <formula>($E$11=TRUE)</formula>
    </cfRule>
  </conditionalFormatting>
  <conditionalFormatting sqref="P3 E4 G4 I4 K4 M4 O4 Q4 C5 P5 E6 G6 I6 K6 M6 O6 Q6 C7 P7 E8 G8 I8 K8 M8 O8 Q8 C9 P9 E10 G10 I10 K10 M10 O10 Q10 C11 P11 E12 G12 I12 K12 M12 O12 Q12 C13:D13 F13 H13 J13 L13 N13 P13 E14 G14 I14 K14 M14 O14 Q14 H16:H27 J16:J27 L16:L27 N16 P16 E17:E28 F17 G17:G28 I17:I28 K17:K28 M17:M28 O17 Q17 C18:D18 N18 P18 F19:F21 O19 Q19 C20 N20 P20 D21 O21 Q21 C22 N22 P22 F23 O23 Q23 C24:D24 N24 P24 F25:F27 O25 Q25 C26 D26:D27 N26 P26 B27 O27 Q27 C28">
    <cfRule type="expression" dxfId="0" priority="39">
      <formula>($E$12=TRUE)</formula>
    </cfRule>
  </conditionalFormatting>
  <conditionalFormatting sqref="E3 G3 I3 K3 M3 O3 Q3 C4 P4 E5 G5 I5 K5 M5 O5 Q5 C6 P6 E7 G7 I7 K7 M7 O7 Q7 C8 P8 E9 G9 I9 K9 M9 O9 Q9 C10 P10 E11 G11 I11 K11 M11 O11 Q11 C12 P12 E13 G13 I13 K13 M13 O13 Q13 C14:D14 F14 H14 J14 L14 N14 P14 E16:E27 G16:G27 I16:I27 K16:K27 M16:M27 O16 Q16 C17 H17:H28 J17:J28 L17:L28 N17 P17 F18 O18 Q18 C19:D19 N19 P19 F20:F22 O20 Q20 C21 N21 P21 D22 O22 Q22 C23 N23 P23 F24 O24 Q24 C25:D25 N25 P25 F26:F28 O26 Q26 C27 D27:D28 N27 P27 B28">
    <cfRule type="expression" dxfId="0" priority="40">
      <formula>($E$13=TRUE)</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5"/>
      <c r="C4" s="420" t="s">
        <v>50</v>
      </c>
      <c r="D4" s="420" t="s">
        <v>11</v>
      </c>
      <c r="E4" s="431" t="s">
        <v>51</v>
      </c>
      <c r="F4" s="420" t="s">
        <v>53</v>
      </c>
      <c r="G4" s="420" t="s">
        <v>14</v>
      </c>
      <c r="H4" s="420" t="s">
        <v>15</v>
      </c>
      <c r="I4" s="420" t="s">
        <v>16</v>
      </c>
      <c r="J4" s="420" t="s">
        <v>8</v>
      </c>
      <c r="K4" s="420" t="s">
        <v>9</v>
      </c>
      <c r="L4" s="420" t="s">
        <v>17</v>
      </c>
      <c r="M4" s="420" t="s">
        <v>811</v>
      </c>
      <c r="N4" s="420"/>
      <c r="O4" s="420"/>
      <c r="P4" s="420"/>
      <c r="Q4" s="420"/>
      <c r="R4" s="420"/>
      <c r="S4" s="420"/>
      <c r="T4" s="420"/>
      <c r="U4" s="420"/>
      <c r="V4" s="420"/>
      <c r="W4" s="420"/>
      <c r="X4" s="420"/>
      <c r="Y4" s="420" t="s">
        <v>2624</v>
      </c>
      <c r="Z4" s="420" t="s">
        <v>55</v>
      </c>
    </row>
    <row r="5">
      <c r="B5" s="432" t="b">
        <f>Draft!C3</f>
        <v>0</v>
      </c>
      <c r="C5" s="421">
        <v>1.0</v>
      </c>
      <c r="D5" s="433">
        <f>((IF(ISBLANK(Draft!D3),0,VLOOKUP(Draft!D3, 'Final Update'!A4:L1000,2,FALSE)+(IF(ISBLANK(Draft!E14),0,VLOOKUP(Draft!E14, 'Final Update'!A4:L1000,2,FALSE)+(IF(ISBLANK(Draft!F3),0,VLOOKUP(Draft!F3, 'Final Update'!A4:L1000,2,FALSE)+(IF(ISBLANK(Draft!G14),0,VLOOKUP(Draft!G14, 'Final Update'!A4:L1000,2,FALSE)+(IF(ISBLANK(Draft!H3),0,VLOOKUP(Draft!H3, 'Final Update'!A4:L1000,2,FALSE)+(IF(ISBLANK(Draft!I14),0,VLOOKUP(Draft!I14, 'Final Update'!A4:L1000,2,FALSE)+(IF(ISBLANK(Draft!J3),0,VLOOKUP(Draft!J3, 'Final Update'!A4:L1000,2,FALSE)+(IF(ISBLANK(Draft!K14),0,VLOOKUP(Draft!K14, 'Final Update'!A4:L1000,2,FALSE)+(IF(ISBLANK(Draft!L3),0,VLOOKUP(Draft!L3, 'Final Update'!A4:L1000,2,FALSE)+(IF(ISBLANK(Draft!M14),0,VLOOKUP(Draft!M14, 'Final Update'!A4:L1000,2,FALSE)+IF(ISBLANK(Draft!N3),0,VLOOKUP(Draft!N3, 'Final Update'!A4:L1000,2,FALSE)+IF(ISBLANK(Draft!O14),0,VLOOKUP(Draft!O14, 'Final Update'!A4:L1000,2,FALSE))))))))))))))))))))))))</f>
        <v>1.191730113</v>
      </c>
      <c r="E5" s="433">
        <f>((IF(ISBLANK(Draft!D3),0,VLOOKUP(Draft!D3, 'Final Update'!A4:L1000,3,FALSE)+(IF(ISBLANK(Draft!E14),0,VLOOKUP(Draft!E14, 'Final Update'!A4:L1000,3,FALSE)+(IF(ISBLANK(Draft!F3),0,VLOOKUP(Draft!F3, 'Final Update'!A4:L1000,3,FALSE)+(IF(ISBLANK(Draft!G14),0,VLOOKUP(Draft!G14, 'Final Update'!A4:L1000,3,FALSE)+(IF(ISBLANK(Draft!H3),0,VLOOKUP(Draft!H3, 'Final Update'!A4:L1000,3,FALSE)+(IF(ISBLANK(Draft!I14),0,VLOOKUP(Draft!I14, 'Final Update'!A4:L1000,3,FALSE)+(IF(ISBLANK(Draft!J3),0,VLOOKUP(Draft!J3, 'Final Update'!A4:L1000,3,FALSE)+(IF(ISBLANK(Draft!K14),0,VLOOKUP(Draft!K14, 'Final Update'!A4:L1000,3,FALSE)+(IF(ISBLANK(Draft!L3),0,VLOOKUP(Draft!L3, 'Final Update'!A4:L1000,3,FALSE)+(IF(ISBLANK(Draft!M14),0,VLOOKUP(Draft!M14, 'Final Update'!A4:L1000,3,FALSE)+IF(ISBLANK(Draft!N3),0,VLOOKUP(Draft!N3, 'Final Update'!A4:L1000,3,FALSE)+IF(ISBLANK(Draft!O14),0,VLOOKUP(Draft!O14, 'Final Update'!A4:L1000,3,FALSE))))))))))))))))))))))))</f>
        <v>0.2493047061</v>
      </c>
      <c r="F5" s="433">
        <f>((IF(ISBLANK(Draft!D3),0,VLOOKUP(Draft!D3, 'Final Update'!A4:L1000,4,FALSE)+(IF(ISBLANK(Draft!E14),0,VLOOKUP(Draft!E14, 'Final Update'!A4:L1000,4,FALSE)+(IF(ISBLANK(Draft!F3),0,VLOOKUP(Draft!F3, 'Final Update'!A4:L1000,4,FALSE)+(IF(ISBLANK(Draft!G14),0,VLOOKUP(Draft!G14, 'Final Update'!A4:L1000,4,FALSE)+(IF(ISBLANK(Draft!H3),0,VLOOKUP(Draft!H3, 'Final Update'!A4:L1000,4,FALSE)+(IF(ISBLANK(Draft!I14),0,VLOOKUP(Draft!I14, 'Final Update'!A4:L1000,4,FALSE)+(IF(ISBLANK(Draft!J3),0,VLOOKUP(Draft!J3, 'Final Update'!A4:L1000,4,FALSE)+(IF(ISBLANK(Draft!K14),0,VLOOKUP(Draft!K14, 'Final Update'!A4:L1000,4,FALSE)+(IF(ISBLANK(Draft!L3),0,VLOOKUP(Draft!L3, 'Final Update'!A4:L1000,4,FALSE)+(IF(ISBLANK(Draft!M14),0,VLOOKUP(Draft!M14, 'Final Update'!A4:L1000,4,FALSE)+IF(ISBLANK(Draft!N3),0,VLOOKUP(Draft!N3, 'Final Update'!A4:L1000,4,FALSE)+IF(ISBLANK(Draft!O14),0,VLOOKUP(Draft!O14, 'Final Update'!A4:L1000,4,FALSE))))))))))))))))))))))))</f>
        <v>2.162020263</v>
      </c>
      <c r="G5" s="433">
        <f>((IF(ISBLANK(Draft!D3),0,VLOOKUP(Draft!D3, 'Final Update'!A4:L1000,5,FALSE)+(IF(ISBLANK(Draft!E14),0,VLOOKUP(Draft!E14, 'Final Update'!A4:L1000,5,FALSE)+(IF(ISBLANK(Draft!F3),0,VLOOKUP(Draft!F3, 'Final Update'!A4:L1000,5,FALSE)+(IF(ISBLANK(Draft!G14),0,VLOOKUP(Draft!G14, 'Final Update'!A4:L1000,5,FALSE)+(IF(ISBLANK(Draft!H3),0,VLOOKUP(Draft!H3, 'Final Update'!A4:L1000,5,FALSE)+(IF(ISBLANK(Draft!I14),0,VLOOKUP(Draft!I14, 'Final Update'!A4:L1000,5,FALSE)+(IF(ISBLANK(Draft!J3),0,VLOOKUP(Draft!J3, 'Final Update'!A4:L1000,5,FALSE)+(IF(ISBLANK(Draft!K14),0,VLOOKUP(Draft!K14, 'Final Update'!A4:L1000,5,FALSE)+(IF(ISBLANK(Draft!L3),0,VLOOKUP(Draft!L3, 'Final Update'!A4:L1000,5,FALSE)+(IF(ISBLANK(Draft!M14),0,VLOOKUP(Draft!M14, 'Final Update'!A4:L1000,5,FALSE)+IF(ISBLANK(Draft!N3),0,VLOOKUP(Draft!N3, 'Final Update'!A4:L1000,5,FALSE)+IF(ISBLANK(Draft!O14),0,VLOOKUP(Draft!O14, 'Final Update'!A4:L1000,5,FALSE))))))))))))))))))))))))</f>
        <v>0.2119312578</v>
      </c>
      <c r="H5" s="433">
        <f>((IF(ISBLANK(Draft!D3),0,VLOOKUP(Draft!D3, 'Final Update'!A4:L1000,6,FALSE)+(IF(ISBLANK(Draft!E14),0,VLOOKUP(Draft!E14, 'Final Update'!A4:L1000,6,FALSE)+(IF(ISBLANK(Draft!F3),0,VLOOKUP(Draft!F3, 'Final Update'!A4:L1000,6,FALSE)+(IF(ISBLANK(Draft!G14),0,VLOOKUP(Draft!G14, 'Final Update'!A4:L1000,6,FALSE)+(IF(ISBLANK(Draft!H3),0,VLOOKUP(Draft!H3, 'Final Update'!A4:L1000,6,FALSE)+(IF(ISBLANK(Draft!I14),0,VLOOKUP(Draft!I14, 'Final Update'!A4:L1000,6,FALSE)+(IF(ISBLANK(Draft!J3),0,VLOOKUP(Draft!J3, 'Final Update'!A4:L1000,6,FALSE)+(IF(ISBLANK(Draft!K14),0,VLOOKUP(Draft!K14, 'Final Update'!A4:L1000,6,FALSE)+(IF(ISBLANK(Draft!L3),0,VLOOKUP(Draft!L3, 'Final Update'!A4:L1000,6,FALSE)+(IF(ISBLANK(Draft!M14),0,VLOOKUP(Draft!M14, 'Final Update'!A4:L1000,6,FALSE)+IF(ISBLANK(Draft!N3),0,VLOOKUP(Draft!N3, 'Final Update'!A4:L1000,6,FALSE)+IF(ISBLANK(Draft!O14),0,VLOOKUP(Draft!O14, 'Final Update'!A4:L1000,6,FALSE))))))))))))))))))))))))</f>
        <v>1.402724873</v>
      </c>
      <c r="I5" s="433">
        <f>((IF(ISBLANK(Draft!D3),0,VLOOKUP(Draft!D3, 'Final Update'!A4:L1000,7,FALSE)+(IF(ISBLANK(Draft!E14),0,VLOOKUP(Draft!E14, 'Final Update'!A4:L1000,7,FALSE)+(IF(ISBLANK(Draft!F3),0,VLOOKUP(Draft!F3, 'Final Update'!A4:L1000,7,FALSE)+(IF(ISBLANK(Draft!G14),0,VLOOKUP(Draft!G14, 'Final Update'!A4:L1000,7,FALSE)+(IF(ISBLANK(Draft!H3),0,VLOOKUP(Draft!H3, 'Final Update'!A4:L1000,7,FALSE)+(IF(ISBLANK(Draft!I14),0,VLOOKUP(Draft!I14, 'Final Update'!A4:L1000,7,FALSE)+(IF(ISBLANK(Draft!J3),0,VLOOKUP(Draft!J3, 'Final Update'!A4:L1000,7,FALSE)+(IF(ISBLANK(Draft!K14),0,VLOOKUP(Draft!K14, 'Final Update'!A4:L1000,7,FALSE)+(IF(ISBLANK(Draft!L3),0,VLOOKUP(Draft!L3, 'Final Update'!A4:L1000,7,FALSE)+(IF(ISBLANK(Draft!M14),0,VLOOKUP(Draft!M14, 'Final Update'!A4:L1000,7,FALSE)+IF(ISBLANK(Draft!N3),0,VLOOKUP(Draft!N3, 'Final Update'!A4:L1000,7,FALSE)+IF(ISBLANK(Draft!O14),0,VLOOKUP(Draft!O14, 'Final Update'!A4:L1000,7,FALSE))))))))))))))))))))))))</f>
        <v>5.620868842</v>
      </c>
      <c r="J5" s="434">
        <f>((IF(ISBLANK(Draft!D3),0,VLOOKUP(Draft!D3, 'Final Update'!A4:L1000,8,FALSE)+(IF(ISBLANK(Draft!E14),0,VLOOKUP(Draft!E14, 'Final Update'!A4:L1000,8,FALSE)+(IF(ISBLANK(Draft!F3),0,VLOOKUP(Draft!F3, 'Final Update'!A4:L1000,8,FALSE)+(IF(ISBLANK(Draft!G14),0,VLOOKUP(Draft!G14, 'Final Update'!A4:L1000,8,FALSE)+(IF(ISBLANK(Draft!H3),0,VLOOKUP(Draft!H3, 'Final Update'!A4:L1000,8,FALSE)+(IF(ISBLANK(Draft!I14),0,VLOOKUP(Draft!I14, 'Final Update'!A4:L1000,8,FALSE)+(IF(ISBLANK(Draft!J3),0,VLOOKUP(Draft!J3, 'Final Update'!A4:L1000,8,FALSE)+(IF(ISBLANK(Draft!K14),0,VLOOKUP(Draft!K14, 'Final Update'!A4:L1000,8,FALSE)+(IF(ISBLANK(Draft!L3),0,VLOOKUP(Draft!L3, 'Final Update'!A4:L1000,8,FALSE)+(IF(ISBLANK(Draft!M14),0,VLOOKUP(Draft!M14, 'Final Update'!A4:L1000,8,FALSE)+IF(ISBLANK(Draft!N3),0,VLOOKUP(Draft!N3, 'Final Update'!A4:L1000,8,FALSE)+IF(ISBLANK(Draft!O14),0,VLOOKUP(Draft!O14, 'Final Update'!A4:L1000,8,FALSE))))))))))))))))))))))))</f>
        <v>-0.5245718845</v>
      </c>
      <c r="K5" s="433">
        <f>((IF(ISBLANK(Draft!D3),0,VLOOKUP(Draft!D3, 'Final Update'!A4:L1000,10,FALSE)+(IF(ISBLANK(Draft!E14),0,VLOOKUP(Draft!E14, 'Final Update'!A4:L1000,10,FALSE)+(IF(ISBLANK(Draft!F3),0,VLOOKUP(Draft!F3, 'Final Update'!A4:L1000,10,FALSE)+(IF(ISBLANK(Draft!G14),0,VLOOKUP(Draft!G14, 'Final Update'!A4:L1000,10,FALSE)+(IF(ISBLANK(Draft!H3),0,VLOOKUP(Draft!H3, 'Final Update'!A4:L1000,10,FALSE)+(IF(ISBLANK(Draft!I14),0,VLOOKUP(Draft!I14, 'Final Update'!A4:L1000,10,FALSE)+(IF(ISBLANK(Draft!J3),0,VLOOKUP(Draft!J3, 'Final Update'!A4:L1000,10,FALSE)+(IF(ISBLANK(Draft!K14),0,VLOOKUP(Draft!K14, 'Final Update'!A4:L1000,10,FALSE)+(IF(ISBLANK(Draft!L3),0,VLOOKUP(Draft!L3, 'Final Update'!A4:L1000,10,FALSE)+(IF(ISBLANK(Draft!M14),0,VLOOKUP(Draft!M14, 'Final Update'!A4:L1000,10,FALSE)+IF(ISBLANK(Draft!N3),0,VLOOKUP(Draft!N3, 'Final Update'!A4:L1000,10,FALSE)+IF(ISBLANK(Draft!O14),0,VLOOKUP(Draft!O14, 'Final Update'!A4:L1000,10,FALSE))))))))))))))))))))))))</f>
        <v>0.138105526</v>
      </c>
      <c r="L5" s="433">
        <f>((IF(ISBLANK(Draft!D3),0,VLOOKUP(Draft!D3, 'Final Update'!A4:L1000,12,FALSE)+(IF(ISBLANK(Draft!E14),0,VLOOKUP(Draft!E14, 'Final Update'!A4:L1000,12,FALSE)+(IF(ISBLANK(Draft!F3),0,VLOOKUP(Draft!F3, 'Final Update'!A4:L1000,12,FALSE)+(IF(ISBLANK(Draft!G14),0,VLOOKUP(Draft!G14, 'Final Update'!A4:L1000,12,FALSE)+(IF(ISBLANK(Draft!H3),0,VLOOKUP(Draft!H3, 'Final Update'!A4:L1000,12,FALSE)+(IF(ISBLANK(Draft!I14),0,VLOOKUP(Draft!I14, 'Final Update'!A4:L1000,12,FALSE)+(IF(ISBLANK(Draft!J3),0,VLOOKUP(Draft!J3, 'Final Update'!A4:L1000,12,FALSE)+(IF(ISBLANK(Draft!K14),0,VLOOKUP(Draft!K14, 'Final Update'!A4:L1000,12,FALSE)+(IF(ISBLANK(Draft!L3),0,VLOOKUP(Draft!L3, 'Final Update'!A4:L1000,12,FALSE)+(IF(ISBLANK(Draft!M14),0,VLOOKUP(Draft!M14, 'Final Update'!A4:L1000,12,FALSE)+IF(ISBLANK(Draft!N3),0,VLOOKUP(Draft!N3, 'Final Update'!A4:L1000,12,FALSE)+IF(ISBLANK(Draft!O14),0,VLOOKUP(Draft!O14, 'Final Update'!A4:L1000,12,FALSE))))))))))))))))))))))))</f>
        <v>-1.638004661</v>
      </c>
      <c r="M5" s="435">
        <f t="array" ref="M5">if(M$3=$C5,"-", countif(indirect(address(row($C$4)+ VLOOKUP(M$3,$C$5:$C$16,1),COLUMN($D$4))):indirect(address(row($C$4)+ VLOOKUP(M$3,$C$5:$C$16,1),COLUMN($L$4)))&gt;indirect(address(row($C5),COLUMN($D$4))):indirect(address(row($C5),COLUMN($L$4))),TRUE()))</f>
        <v>0</v>
      </c>
      <c r="N5" s="435">
        <f t="array" ref="N5">if(N$3=$C5,"-", countif(indirect(address(row($C$4)+ VLOOKUP(N$3,$C$5:$C$16,1),COLUMN($D$4))):indirect(address(row($C$4)+ VLOOKUP(N$3,$C$5:$C$16,1),COLUMN($L$4)))&gt;indirect(address(row($C5),COLUMN($D$4))):indirect(address(row($C5),COLUMN($L$4))),TRUE()))</f>
        <v>0</v>
      </c>
      <c r="O5" s="435">
        <f t="array" ref="O5">if(O$3=$C5,"-", countif(indirect(address(row($C$4)+ VLOOKUP(O$3,$C$5:$C$16,1),COLUMN($D$4))):indirect(address(row($C$4)+ VLOOKUP(O$3,$C$5:$C$16,1),COLUMN($L$4)))&gt;indirect(address(row($C5),COLUMN($D$4))):indirect(address(row($C5),COLUMN($L$4))),TRUE()))</f>
        <v>0</v>
      </c>
      <c r="P5" s="435">
        <f t="array" ref="P5">if(P$3=$C5,"-", countif(indirect(address(row($C$4)+ VLOOKUP(P$3,$C$5:$C$16,1),COLUMN($D$4))):indirect(address(row($C$4)+ VLOOKUP(P$3,$C$5:$C$16,1),COLUMN($L$4)))&gt;indirect(address(row($C5),COLUMN($D$4))):indirect(address(row($C5),COLUMN($L$4))),TRUE()))</f>
        <v>0</v>
      </c>
      <c r="Q5" s="435">
        <f t="array" ref="Q5">if(Q$3=$C5,"-", countif(indirect(address(row($C$4)+ VLOOKUP(Q$3,$C$5:$C$16,1),COLUMN($D$4))):indirect(address(row($C$4)+ VLOOKUP(Q$3,$C$5:$C$16,1),COLUMN($L$4)))&gt;indirect(address(row($C5),COLUMN($D$4))):indirect(address(row($C5),COLUMN($L$4))),TRUE()))</f>
        <v>0</v>
      </c>
      <c r="R5" s="435">
        <f t="array" ref="R5">if(R$3=$C5,"-", countif(indirect(address(row($C$4)+ VLOOKUP(R$3,$C$5:$C$16,1),COLUMN($D$4))):indirect(address(row($C$4)+ VLOOKUP(R$3,$C$5:$C$16,1),COLUMN($L$4)))&gt;indirect(address(row($C5),COLUMN($D$4))):indirect(address(row($C5),COLUMN($L$4))),TRUE()))</f>
        <v>0</v>
      </c>
      <c r="S5" s="435">
        <f t="array" ref="S5">if(S$3=$C5,"-", countif(indirect(address(row($C$4)+ VLOOKUP(S$3,$C$5:$C$16,1),COLUMN($D$4))):indirect(address(row($C$4)+ VLOOKUP(S$3,$C$5:$C$16,1),COLUMN($L$4)))&gt;indirect(address(row($C5),COLUMN($D$4))):indirect(address(row($C5),COLUMN($L$4))),TRUE()))</f>
        <v>0</v>
      </c>
      <c r="T5" s="435">
        <f t="array" ref="T5">if(T$3=$C5,"-", countif(indirect(address(row($C$4)+ VLOOKUP(T$3,$C$5:$C$16,1),COLUMN($D$4))):indirect(address(row($C$4)+ VLOOKUP(T$3,$C$5:$C$16,1),COLUMN($L$4)))&gt;indirect(address(row($C5),COLUMN($D$4))):indirect(address(row($C5),COLUMN($L$4))),TRUE()))</f>
        <v>0</v>
      </c>
      <c r="U5" s="435">
        <f t="array" ref="U5">if(U$3=$C5,"-", countif(indirect(address(row($C$4)+ VLOOKUP(U$3,$C$5:$C$16,1),COLUMN($D$4))):indirect(address(row($C$4)+ VLOOKUP(U$3,$C$5:$C$16,1),COLUMN($L$4)))&gt;indirect(address(row($C5),COLUMN($D$4))):indirect(address(row($C5),COLUMN($L$4))),TRUE()))</f>
        <v>0</v>
      </c>
      <c r="V5" s="435">
        <f t="array" ref="V5">if(V$3=$C5,"-", countif(indirect(address(row($C$4)+ VLOOKUP(V$3,$C$5:$C$16,1),COLUMN($D$4))):indirect(address(row($C$4)+ VLOOKUP(V$3,$C$5:$C$16,1),COLUMN($L$4)))&gt;indirect(address(row($C5),COLUMN($D$4))):indirect(address(row($C5),COLUMN($L$4))),TRUE()))</f>
        <v>0</v>
      </c>
      <c r="W5" s="435">
        <f t="array" ref="W5">if(W$3=$C5,"-", countif(indirect(address(row($C$4)+ VLOOKUP(W$3,$C$5:$C$16,1),COLUMN($D$4))):indirect(address(row($C$4)+ VLOOKUP(W$3,$C$5:$C$16,1),COLUMN($L$4)))&gt;indirect(address(row($C5),COLUMN($D$4))):indirect(address(row($C5),COLUMN($L$4))),TRUE()))</f>
        <v>0</v>
      </c>
      <c r="X5" s="435">
        <f t="array" ref="X5">if(X$3=$C5,"-", countif(indirect(address(row($C$4)+ VLOOKUP(X$3,$C$5:$C$16,1),COLUMN($D$4))):indirect(address(row($C$4)+ VLOOKUP(X$3,$C$5:$C$16,1),COLUMN($L$4)))&gt;indirect(address(row($C5),COLUMN($D$4))):indirect(address(row($C5),COLUMN($L$4))),TRUE()))</f>
        <v>0</v>
      </c>
      <c r="Y5" s="435">
        <f t="array" ref="Y5">if(D$1=$C5,"-", countif(indirect(address(row($C$4)+ VLOOKUP(D$1,$C$5:$C$16,1),COLUMN($D$4))):indirect(address(row($C$4)+ VLOOKUP(D$1,$C$5:$C$16,1),COLUMN($L$4)))&gt;indirect(address(row($C5),COLUMN($D$4))):indirect(address(row($C5),COLUMN($L$4))),TRUE()))</f>
        <v>0</v>
      </c>
      <c r="Z5" s="433">
        <f>SUM(M$5:M$16)/99</f>
        <v>0</v>
      </c>
    </row>
    <row r="6">
      <c r="B6" s="432" t="b">
        <f>Draft!C4</f>
        <v>0</v>
      </c>
      <c r="C6" s="421">
        <v>2.0</v>
      </c>
      <c r="D6" s="417">
        <f>((IF(ISBLANK(Draft!D4),0,VLOOKUP(Draft!D4, 'Final Update'!A4:L1000,2,FALSE)+(IF(ISBLANK(Draft!E13),0,VLOOKUP(Draft!E13, 'Final Update'!A4:L1000,2,FALSE)+(IF(ISBLANK(Draft!F4),0,VLOOKUP(Draft!F4, 'Final Update'!A4:L1000,2,FALSE)+(IF(ISBLANK(Draft!G13),0,VLOOKUP(Draft!G13, 'Final Update'!A4:L1000,2,FALSE)+(IF(ISBLANK(Draft!H4),0,VLOOKUP(Draft!H4, 'Final Update'!A4:L1000,2,FALSE)+(IF(ISBLANK(Draft!I13),0,VLOOKUP(Draft!I13, 'Final Update'!A4:L1000,2,FALSE)+(IF(ISBLANK(Draft!J4),0,VLOOKUP(Draft!J4, 'Final Update'!A4:L1000,2,FALSE)+(IF(ISBLANK(Draft!K13),0,VLOOKUP(Draft!K13, 'Final Update'!A4:L1000,2,FALSE)+(IF(ISBLANK(Draft!L4),0,VLOOKUP(Draft!L4, 'Final Update'!A4:L1000,2,FALSE)+(IF(ISBLANK(Draft!M13),0,VLOOKUP(Draft!M13, 'Final Update'!A4:L1000,2,FALSE)+IF(ISBLANK(Draft!N4),0,VLOOKUP(Draft!N4, 'Final Update'!A4:L1000,2,FALSE)+IF(ISBLANK(Draft!O13),0,VLOOKUP(Draft!O13, 'Final Update'!A4:L1000,2,FALSE))))))))))))))))))))))))</f>
        <v>0</v>
      </c>
      <c r="E6" s="417">
        <f>((IF(ISBLANK(Draft!D4),0,VLOOKUP(Draft!D4, 'Final Update'!A4:L1000,3,FALSE)+(IF(ISBLANK(Draft!E13),0,VLOOKUP(Draft!E13, 'Final Update'!A4:L1000,3,FALSE)+(IF(ISBLANK(Draft!F4),0,VLOOKUP(Draft!F4, 'Final Update'!A4:L1000,3,FALSE)+(IF(ISBLANK(Draft!G13),0,VLOOKUP(Draft!G13, 'Final Update'!A4:L1000,3,FALSE)+(IF(ISBLANK(Draft!H4),0,VLOOKUP(Draft!H4, 'Final Update'!A4:L1000,3,FALSE)+(IF(ISBLANK(Draft!I13),0,VLOOKUP(Draft!I13, 'Final Update'!A4:L1000,3,FALSE)+(IF(ISBLANK(Draft!J4),0,VLOOKUP(Draft!J4, 'Final Update'!A4:L1000,3,FALSE)+(IF(ISBLANK(Draft!K13),0,VLOOKUP(Draft!K13, 'Final Update'!A4:L1000,3,FALSE)+(IF(ISBLANK(Draft!L4),0,VLOOKUP(Draft!L4, 'Final Update'!A4:L1000,3,FALSE)+(IF(ISBLANK(Draft!M13),0,VLOOKUP(Draft!M13, 'Final Update'!A4:L1000,3,FALSE)+IF(ISBLANK(Draft!N4),0,VLOOKUP(Draft!N4, 'Final Update'!A4:L1000,3,FALSE)+IF(ISBLANK(Draft!O13),0,VLOOKUP(Draft!O13, 'Final Update'!A4:L1000,3,FALSE))))))))))))))))))))))))</f>
        <v>0</v>
      </c>
      <c r="F6" s="417">
        <f>((IF(ISBLANK(Draft!D4),0,VLOOKUP(Draft!D4, 'Final Update'!A4:L1000,4,FALSE)+(IF(ISBLANK(Draft!E13),0,VLOOKUP(Draft!E13, 'Final Update'!A4:L1000,4,FALSE)+(IF(ISBLANK(Draft!F4),0,VLOOKUP(Draft!F4, 'Final Update'!A4:L1000,4,FALSE)+(IF(ISBLANK(Draft!G13),0,VLOOKUP(Draft!G13, 'Final Update'!A4:L1000,4,FALSE)+(IF(ISBLANK(Draft!H4),0,VLOOKUP(Draft!H4, 'Final Update'!A4:L1000,4,FALSE)+(IF(ISBLANK(Draft!I13),0,VLOOKUP(Draft!I13, 'Final Update'!A4:L1000,4,FALSE)+(IF(ISBLANK(Draft!J4),0,VLOOKUP(Draft!J4, 'Final Update'!A4:L1000,4,FALSE)+(IF(ISBLANK(Draft!K13),0,VLOOKUP(Draft!K13, 'Final Update'!A4:L1000,4,FALSE)+(IF(ISBLANK(Draft!L4),0,VLOOKUP(Draft!L4, 'Final Update'!A4:L1000,4,FALSE)+(IF(ISBLANK(Draft!M13),0,VLOOKUP(Draft!M13, 'Final Update'!A4:L1000,4,FALSE)+IF(ISBLANK(Draft!N4),0,VLOOKUP(Draft!N4, 'Final Update'!A4:L1000,4,FALSE)+IF(ISBLANK(Draft!O13),0,VLOOKUP(Draft!O13, 'Final Update'!A4:L1000,4,FALSE))))))))))))))))))))))))</f>
        <v>0</v>
      </c>
      <c r="G6" s="417">
        <f>((IF(ISBLANK(Draft!D4),0,VLOOKUP(Draft!D4, 'Final Update'!A4:L1000,5,FALSE)+(IF(ISBLANK(Draft!E13),0,VLOOKUP(Draft!E13, 'Final Update'!A4:L1000,5,FALSE)+(IF(ISBLANK(Draft!F4),0,VLOOKUP(Draft!F4, 'Final Update'!A4:L1000,5,FALSE)+(IF(ISBLANK(Draft!G13),0,VLOOKUP(Draft!G13, 'Final Update'!A4:L1000,5,FALSE)+(IF(ISBLANK(Draft!H4),0,VLOOKUP(Draft!H4, 'Final Update'!A4:L1000,5,FALSE)+(IF(ISBLANK(Draft!I13),0,VLOOKUP(Draft!I13, 'Final Update'!A4:L1000,5,FALSE)+(IF(ISBLANK(Draft!J4),0,VLOOKUP(Draft!J4, 'Final Update'!A4:L1000,5,FALSE)+(IF(ISBLANK(Draft!K13),0,VLOOKUP(Draft!K13, 'Final Update'!A4:L1000,5,FALSE)+(IF(ISBLANK(Draft!L4),0,VLOOKUP(Draft!L4, 'Final Update'!A4:L1000,5,FALSE)+(IF(ISBLANK(Draft!M13),0,VLOOKUP(Draft!M13, 'Final Update'!A4:L1000,5,FALSE)+IF(ISBLANK(Draft!N4),0,VLOOKUP(Draft!N4, 'Final Update'!A4:L1000,5,FALSE)+IF(ISBLANK(Draft!O13),0,VLOOKUP(Draft!O13, 'Final Update'!A4:L1000,5,FALSE))))))))))))))))))))))))</f>
        <v>0</v>
      </c>
      <c r="H6" s="417">
        <f>((IF(ISBLANK(Draft!D4),0,VLOOKUP(Draft!D4, 'Final Update'!A4:L1000,6,FALSE)+(IF(ISBLANK(Draft!E13),0,VLOOKUP(Draft!E13, 'Final Update'!A4:L1000,6,FALSE)+(IF(ISBLANK(Draft!F4),0,VLOOKUP(Draft!F4, 'Final Update'!A4:L1000,6,FALSE)+(IF(ISBLANK(Draft!G13),0,VLOOKUP(Draft!G13, 'Final Update'!A4:L1000,6,FALSE)+(IF(ISBLANK(Draft!H4),0,VLOOKUP(Draft!H4, 'Final Update'!A4:L1000,6,FALSE)+(IF(ISBLANK(Draft!I13),0,VLOOKUP(Draft!I13, 'Final Update'!A4:L1000,6,FALSE)+(IF(ISBLANK(Draft!J4),0,VLOOKUP(Draft!J4, 'Final Update'!A4:L1000,6,FALSE)+(IF(ISBLANK(Draft!K13),0,VLOOKUP(Draft!K13, 'Final Update'!A4:L1000,6,FALSE)+(IF(ISBLANK(Draft!L4),0,VLOOKUP(Draft!L4, 'Final Update'!A4:L1000,6,FALSE)+(IF(ISBLANK(Draft!M13),0,VLOOKUP(Draft!M13, 'Final Update'!A4:L1000,6,FALSE)+IF(ISBLANK(Draft!N4),0,VLOOKUP(Draft!N4, 'Final Update'!A4:L1000,6,FALSE)+IF(ISBLANK(Draft!O13),0,VLOOKUP(Draft!O13, 'Final Update'!A4:L1000,6,FALSE))))))))))))))))))))))))</f>
        <v>0</v>
      </c>
      <c r="I6" s="417">
        <f>((IF(ISBLANK(Draft!D4),0,VLOOKUP(Draft!D4, 'Final Update'!A4:L1000,7,FALSE)+(IF(ISBLANK(Draft!E13),0,VLOOKUP(Draft!E13, 'Final Update'!A4:L1000,7,FALSE)+(IF(ISBLANK(Draft!F4),0,VLOOKUP(Draft!F4, 'Final Update'!A4:L1000,7,FALSE)+(IF(ISBLANK(Draft!G13),0,VLOOKUP(Draft!G13, 'Final Update'!A4:L1000,7,FALSE)+(IF(ISBLANK(Draft!H4),0,VLOOKUP(Draft!H4, 'Final Update'!A4:L1000,7,FALSE)+(IF(ISBLANK(Draft!I13),0,VLOOKUP(Draft!I13, 'Final Update'!A4:L1000,7,FALSE)+(IF(ISBLANK(Draft!J4),0,VLOOKUP(Draft!J4, 'Final Update'!A4:L1000,7,FALSE)+(IF(ISBLANK(Draft!K13),0,VLOOKUP(Draft!K13, 'Final Update'!A4:L1000,7,FALSE)+(IF(ISBLANK(Draft!L4),0,VLOOKUP(Draft!L4, 'Final Update'!A4:L1000,7,FALSE)+(IF(ISBLANK(Draft!M13),0,VLOOKUP(Draft!M13, 'Final Update'!A4:L1000,7,FALSE)+IF(ISBLANK(Draft!N4),0,VLOOKUP(Draft!N4, 'Final Update'!A4:L1000,7,FALSE)+IF(ISBLANK(Draft!O13),0,VLOOKUP(Draft!O13, 'Final Update'!A4:L1000,7,FALSE))))))))))))))))))))))))</f>
        <v>0</v>
      </c>
      <c r="J6" s="417">
        <f>((IF(ISBLANK(Draft!D4),0,VLOOKUP(Draft!D4, 'Final Update'!A4:L1000,8,FALSE)+(IF(ISBLANK(Draft!E13),0,VLOOKUP(Draft!E13, 'Final Update'!A4:L1000,8,FALSE)+(IF(ISBLANK(Draft!F4),0,VLOOKUP(Draft!F4, 'Final Update'!A4:L1000,8,FALSE)+(IF(ISBLANK(Draft!G13),0,VLOOKUP(Draft!G13, 'Final Update'!A4:L1000,8,FALSE)+(IF(ISBLANK(Draft!H4),0,VLOOKUP(Draft!H4, 'Final Update'!A4:L1000,8,FALSE)+(IF(ISBLANK(Draft!I13),0,VLOOKUP(Draft!I13, 'Final Update'!A4:L1000,8,FALSE)+(IF(ISBLANK(Draft!J4),0,VLOOKUP(Draft!J4, 'Final Update'!A4:L1000,8,FALSE)+(IF(ISBLANK(Draft!K13),0,VLOOKUP(Draft!K13, 'Final Update'!A4:L1000,8,FALSE)+(IF(ISBLANK(Draft!L4),0,VLOOKUP(Draft!L4, 'Final Update'!A4:L1000,8,FALSE)+(IF(ISBLANK(Draft!M13),0,VLOOKUP(Draft!M13, 'Final Update'!A4:L1000,8,FALSE)+IF(ISBLANK(Draft!N4),0,VLOOKUP(Draft!N4, 'Final Update'!A4:L1000,8,FALSE)+IF(ISBLANK(Draft!O13),0,VLOOKUP(Draft!O13, 'Final Update'!A4:L1000,8,FALSE))))))))))))))))))))))))</f>
        <v>0</v>
      </c>
      <c r="K6" s="417">
        <f>((IF(ISBLANK(Draft!D4),0,VLOOKUP(Draft!D4, 'Final Update'!A4:L1000,10,FALSE)+(IF(ISBLANK(Draft!E13),0,VLOOKUP(Draft!E13, 'Final Update'!A4:L1000,10,FALSE)+(IF(ISBLANK(Draft!F4),0,VLOOKUP(Draft!F4, 'Final Update'!A4:L1000,10,FALSE)+(IF(ISBLANK(Draft!G13),0,VLOOKUP(Draft!G13, 'Final Update'!A4:L1000,10,FALSE)+(IF(ISBLANK(Draft!H4),0,VLOOKUP(Draft!H4, 'Final Update'!A4:L1000,10,FALSE)+(IF(ISBLANK(Draft!I13),0,VLOOKUP(Draft!I13, 'Final Update'!A4:L1000,10,FALSE)+(IF(ISBLANK(Draft!J4),0,VLOOKUP(Draft!J4, 'Final Update'!A4:L1000,10,FALSE)+(IF(ISBLANK(Draft!K13),0,VLOOKUP(Draft!K13, 'Final Update'!A4:L1000,10,FALSE)+(IF(ISBLANK(Draft!L4),0,VLOOKUP(Draft!L4, 'Final Update'!A4:L1000,10,FALSE)+(IF(ISBLANK(Draft!M13),0,VLOOKUP(Draft!M13, 'Final Update'!A4:L1000,10,FALSE)+IF(ISBLANK(Draft!N4),0,VLOOKUP(Draft!N4, 'Final Update'!A4:L1000,10,FALSE)+IF(ISBLANK(Draft!O13),0,VLOOKUP(Draft!O13, 'Final Update'!A4:L1000,10,FALSE))))))))))))))))))))))))</f>
        <v>0</v>
      </c>
      <c r="L6" s="417">
        <f>((IF(ISBLANK(Draft!D4),0,VLOOKUP(Draft!D4, 'Final Update'!A4:L1000,12,FALSE)+(IF(ISBLANK(Draft!E13),0,VLOOKUP(Draft!E13, 'Final Update'!A4:L1000,12,FALSE)+(IF(ISBLANK(Draft!F4),0,VLOOKUP(Draft!F4, 'Final Update'!A4:L1000,12,FALSE)+(IF(ISBLANK(Draft!G13),0,VLOOKUP(Draft!G13, 'Final Update'!A4:L1000,12,FALSE)+(IF(ISBLANK(Draft!H4),0,VLOOKUP(Draft!H4, 'Final Update'!A4:L1000,12,FALSE)+(IF(ISBLANK(Draft!I13),0,VLOOKUP(Draft!I13, 'Final Update'!A4:L1000,12,FALSE)+(IF(ISBLANK(Draft!J4),0,VLOOKUP(Draft!J4, 'Final Update'!A4:L1000,12,FALSE)+(IF(ISBLANK(Draft!K13),0,VLOOKUP(Draft!K13, 'Final Update'!A4:L1000,12,FALSE)+(IF(ISBLANK(Draft!L4),0,VLOOKUP(Draft!L4, 'Final Update'!A4:L1000,12,FALSE)+(IF(ISBLANK(Draft!M13),0,VLOOKUP(Draft!M13, 'Final Update'!A4:L1000,12,FALSE)+IF(ISBLANK(Draft!N4),0,VLOOKUP(Draft!N4, 'Final Update'!A4:L1000,12,FALSE)+IF(ISBLANK(Draft!O13),0,VLOOKUP(Draft!O13, 'Final Update'!A4:L1000,12,FALSE))))))))))))))))))))))))</f>
        <v>0</v>
      </c>
      <c r="M6" s="435">
        <f t="array" ref="M6">if(M$3=$C6,"-", countif(indirect(address(row($C$4)+ VLOOKUP(M$3,$C$5:$C$16,1),COLUMN($D$4))):indirect(address(row($C$4)+ VLOOKUP(M$3,$C$5:$C$16,1),COLUMN($L$4)))&gt;indirect(address(row($C6),COLUMN($D$4))):indirect(address(row($C6),COLUMN($L$4))),TRUE()))</f>
        <v>0</v>
      </c>
      <c r="N6" s="435">
        <f t="array" ref="N6">if(N$3=$C6,"-", countif(indirect(address(row($C$4)+ VLOOKUP(N$3,$C$5:$C$16,1),COLUMN($D$4))):indirect(address(row($C$4)+ VLOOKUP(N$3,$C$5:$C$16,1),COLUMN($L$4)))&gt;indirect(address(row($C6),COLUMN($D$4))):indirect(address(row($C6),COLUMN($L$4))),TRUE()))</f>
        <v>0</v>
      </c>
      <c r="O6" s="435">
        <f t="array" ref="O6">if(O$3=$C6,"-", countif(indirect(address(row($C$4)+ VLOOKUP(O$3,$C$5:$C$16,1),COLUMN($D$4))):indirect(address(row($C$4)+ VLOOKUP(O$3,$C$5:$C$16,1),COLUMN($L$4)))&gt;indirect(address(row($C6),COLUMN($D$4))):indirect(address(row($C6),COLUMN($L$4))),TRUE()))</f>
        <v>0</v>
      </c>
      <c r="P6" s="435">
        <f t="array" ref="P6">if(P$3=$C6,"-", countif(indirect(address(row($C$4)+ VLOOKUP(P$3,$C$5:$C$16,1),COLUMN($D$4))):indirect(address(row($C$4)+ VLOOKUP(P$3,$C$5:$C$16,1),COLUMN($L$4)))&gt;indirect(address(row($C6),COLUMN($D$4))):indirect(address(row($C6),COLUMN($L$4))),TRUE()))</f>
        <v>0</v>
      </c>
      <c r="Q6" s="435">
        <f t="array" ref="Q6">if(Q$3=$C6,"-", countif(indirect(address(row($C$4)+ VLOOKUP(Q$3,$C$5:$C$16,1),COLUMN($D$4))):indirect(address(row($C$4)+ VLOOKUP(Q$3,$C$5:$C$16,1),COLUMN($L$4)))&gt;indirect(address(row($C6),COLUMN($D$4))):indirect(address(row($C6),COLUMN($L$4))),TRUE()))</f>
        <v>0</v>
      </c>
      <c r="R6" s="435">
        <f t="array" ref="R6">if(R$3=$C6,"-", countif(indirect(address(row($C$4)+ VLOOKUP(R$3,$C$5:$C$16,1),COLUMN($D$4))):indirect(address(row($C$4)+ VLOOKUP(R$3,$C$5:$C$16,1),COLUMN($L$4)))&gt;indirect(address(row($C6),COLUMN($D$4))):indirect(address(row($C6),COLUMN($L$4))),TRUE()))</f>
        <v>0</v>
      </c>
      <c r="S6" s="435">
        <f t="array" ref="S6">if(S$3=$C6,"-", countif(indirect(address(row($C$4)+ VLOOKUP(S$3,$C$5:$C$16,1),COLUMN($D$4))):indirect(address(row($C$4)+ VLOOKUP(S$3,$C$5:$C$16,1),COLUMN($L$4)))&gt;indirect(address(row($C6),COLUMN($D$4))):indirect(address(row($C6),COLUMN($L$4))),TRUE()))</f>
        <v>0</v>
      </c>
      <c r="T6" s="435">
        <f t="array" ref="T6">if(T$3=$C6,"-", countif(indirect(address(row($C$4)+ VLOOKUP(T$3,$C$5:$C$16,1),COLUMN($D$4))):indirect(address(row($C$4)+ VLOOKUP(T$3,$C$5:$C$16,1),COLUMN($L$4)))&gt;indirect(address(row($C6),COLUMN($D$4))):indirect(address(row($C6),COLUMN($L$4))),TRUE()))</f>
        <v>0</v>
      </c>
      <c r="U6" s="435">
        <f t="array" ref="U6">if(U$3=$C6,"-", countif(indirect(address(row($C$4)+ VLOOKUP(U$3,$C$5:$C$16,1),COLUMN($D$4))):indirect(address(row($C$4)+ VLOOKUP(U$3,$C$5:$C$16,1),COLUMN($L$4)))&gt;indirect(address(row($C6),COLUMN($D$4))):indirect(address(row($C6),COLUMN($L$4))),TRUE()))</f>
        <v>0</v>
      </c>
      <c r="V6" s="435">
        <f t="array" ref="V6">if(V$3=$C6,"-", countif(indirect(address(row($C$4)+ VLOOKUP(V$3,$C$5:$C$16,1),COLUMN($D$4))):indirect(address(row($C$4)+ VLOOKUP(V$3,$C$5:$C$16,1),COLUMN($L$4)))&gt;indirect(address(row($C6),COLUMN($D$4))):indirect(address(row($C6),COLUMN($L$4))),TRUE()))</f>
        <v>0</v>
      </c>
      <c r="W6" s="435">
        <f t="array" ref="W6">if(W$3=$C6,"-", countif(indirect(address(row($C$4)+ VLOOKUP(W$3,$C$5:$C$16,1),COLUMN($D$4))):indirect(address(row($C$4)+ VLOOKUP(W$3,$C$5:$C$16,1),COLUMN($L$4)))&gt;indirect(address(row($C6),COLUMN($D$4))):indirect(address(row($C6),COLUMN($L$4))),TRUE()))</f>
        <v>0</v>
      </c>
      <c r="X6" s="435">
        <f t="array" ref="X6">if(X$3=$C6,"-", countif(indirect(address(row($C$4)+ VLOOKUP(X$3,$C$5:$C$16,1),COLUMN($D$4))):indirect(address(row($C$4)+ VLOOKUP(X$3,$C$5:$C$16,1),COLUMN($L$4)))&gt;indirect(address(row($C6),COLUMN($D$4))):indirect(address(row($C6),COLUMN($L$4))),TRUE()))</f>
        <v>0</v>
      </c>
      <c r="Y6" s="435">
        <f t="array" ref="Y6">if(D$1=$C6,"-", countif(indirect(address(row($C$4)+ VLOOKUP(D$1,$C$5:$C$16,1),COLUMN($D$4))):indirect(address(row($C$4)+ VLOOKUP(D$1,$C$5:$C$16,1),COLUMN($L$4)))&gt;indirect(address(row($C6),COLUMN($D$4))):indirect(address(row($C6),COLUMN($L$4))),TRUE()))</f>
        <v>0</v>
      </c>
      <c r="Z6" s="433">
        <f>SUM(N$5:N$16)/99</f>
        <v>0</v>
      </c>
    </row>
    <row r="7">
      <c r="B7" s="432" t="b">
        <f>Draft!C5</f>
        <v>0</v>
      </c>
      <c r="C7" s="421">
        <v>3.0</v>
      </c>
      <c r="D7" s="417">
        <f>((IF(ISBLANK(Draft!D5),0,VLOOKUP(Draft!D5, 'Final Update'!A4:L1000,2,FALSE)+(IF(ISBLANK(Draft!E12),0,VLOOKUP(Draft!E12, 'Final Update'!A4:L1000,2,FALSE)+(IF(ISBLANK(Draft!F5),0,VLOOKUP(Draft!F5, 'Final Update'!A4:L1000,2,FALSE)+(IF(ISBLANK(Draft!G12),0,VLOOKUP(Draft!G12, 'Final Update'!A4:L1000,2,FALSE)+(IF(ISBLANK(Draft!H5),0,VLOOKUP(Draft!H5, 'Final Update'!A4:L1000,2,FALSE)+(IF(ISBLANK(Draft!I12),0,VLOOKUP(Draft!I12, 'Final Update'!A4:L1000,2,FALSE)+(IF(ISBLANK(Draft!J5),0,VLOOKUP(Draft!J5, 'Final Update'!A4:L1000,2,FALSE)+(IF(ISBLANK(Draft!K12),0,VLOOKUP(Draft!K12, 'Final Update'!A4:L1000,2,FALSE)+(IF(ISBLANK(Draft!L5),0,VLOOKUP(Draft!L5, 'Final Update'!A4:L1000,2,FALSE)+(IF(ISBLANK(Draft!M12),0,VLOOKUP(Draft!M12, 'Final Update'!A4:L1000,2,FALSE)+IF(ISBLANK(Draft!N5),0,VLOOKUP(Draft!N5, 'Final Update'!A4:L1000,2,FALSE)+IF(ISBLANK(Draft!O12),0,VLOOKUP(Draft!O12, 'Final Update'!A4:L1000,2,FALSE))))))))))))))))))))))))</f>
        <v>0</v>
      </c>
      <c r="E7" s="417">
        <f>((IF(ISBLANK(Draft!D5),0,VLOOKUP(Draft!D5, 'Final Update'!A4:L1000,3,FALSE)+(IF(ISBLANK(Draft!E12),0,VLOOKUP(Draft!E12, 'Final Update'!A4:L1000,3,FALSE)+(IF(ISBLANK(Draft!F5),0,VLOOKUP(Draft!F5, 'Final Update'!A4:L1000,3,FALSE)+(IF(ISBLANK(Draft!G12),0,VLOOKUP(Draft!G12, 'Final Update'!A4:L1000,3,FALSE)+(IF(ISBLANK(Draft!H5),0,VLOOKUP(Draft!H5, 'Final Update'!A4:L1000,3,FALSE)+(IF(ISBLANK(Draft!I12),0,VLOOKUP(Draft!I12, 'Final Update'!A4:L1000,3,FALSE)+(IF(ISBLANK(Draft!J5),0,VLOOKUP(Draft!J5, 'Final Update'!A4:L1000,3,FALSE)+(IF(ISBLANK(Draft!K12),0,VLOOKUP(Draft!K12, 'Final Update'!A4:L1000,3,FALSE)+(IF(ISBLANK(Draft!L5),0,VLOOKUP(Draft!L5, 'Final Update'!A4:L1000,3,FALSE)+(IF(ISBLANK(Draft!M12),0,VLOOKUP(Draft!M12, 'Final Update'!A4:L1000,3,FALSE)+IF(ISBLANK(Draft!N5),0,VLOOKUP(Draft!N5, 'Final Update'!A4:L1000,3,FALSE)+IF(ISBLANK(Draft!O12),0,VLOOKUP(Draft!O12, 'Final Update'!A4:L1000,3,FALSE))))))))))))))))))))))))</f>
        <v>0</v>
      </c>
      <c r="F7" s="417">
        <f>((IF(ISBLANK(Draft!D5),0,VLOOKUP(Draft!D5, 'Final Update'!A4:L1000,4,FALSE)+(IF(ISBLANK(Draft!E12),0,VLOOKUP(Draft!E12, 'Final Update'!A4:L1000,4,FALSE)+(IF(ISBLANK(Draft!F5),0,VLOOKUP(Draft!F5, 'Final Update'!A4:L1000,4,FALSE)+(IF(ISBLANK(Draft!G12),0,VLOOKUP(Draft!G12, 'Final Update'!A4:L1000,4,FALSE)+(IF(ISBLANK(Draft!H5),0,VLOOKUP(Draft!H5, 'Final Update'!A4:L1000,4,FALSE)+(IF(ISBLANK(Draft!I12),0,VLOOKUP(Draft!I12, 'Final Update'!A4:L1000,4,FALSE)+(IF(ISBLANK(Draft!J5),0,VLOOKUP(Draft!J5, 'Final Update'!A4:L1000,4,FALSE)+(IF(ISBLANK(Draft!K12),0,VLOOKUP(Draft!K12, 'Final Update'!A4:L1000,4,FALSE)+(IF(ISBLANK(Draft!L5),0,VLOOKUP(Draft!L5, 'Final Update'!A4:L1000,4,FALSE)+(IF(ISBLANK(Draft!M12),0,VLOOKUP(Draft!M12, 'Final Update'!A4:L1000,4,FALSE)+IF(ISBLANK(Draft!N5),0,VLOOKUP(Draft!N5, 'Final Update'!A4:L1000,4,FALSE)+IF(ISBLANK(Draft!O12),0,VLOOKUP(Draft!O12, 'Final Update'!A4:L1000,4,FALSE))))))))))))))))))))))))</f>
        <v>0</v>
      </c>
      <c r="G7" s="417">
        <f>((IF(ISBLANK(Draft!D5),0,VLOOKUP(Draft!D5, 'Final Update'!A4:L1000,5,FALSE)+(IF(ISBLANK(Draft!E12),0,VLOOKUP(Draft!E12, 'Final Update'!A4:L1000,5,FALSE)+(IF(ISBLANK(Draft!F5),0,VLOOKUP(Draft!F5, 'Final Update'!A4:L1000,5,FALSE)+(IF(ISBLANK(Draft!G12),0,VLOOKUP(Draft!G12, 'Final Update'!A4:L1000,5,FALSE)+(IF(ISBLANK(Draft!H5),0,VLOOKUP(Draft!H5, 'Final Update'!A4:L1000,5,FALSE)+(IF(ISBLANK(Draft!I12),0,VLOOKUP(Draft!I12, 'Final Update'!A4:L1000,5,FALSE)+(IF(ISBLANK(Draft!J5),0,VLOOKUP(Draft!J5, 'Final Update'!A4:L1000,5,FALSE)+(IF(ISBLANK(Draft!K12),0,VLOOKUP(Draft!K12, 'Final Update'!A4:L1000,5,FALSE)+(IF(ISBLANK(Draft!L5),0,VLOOKUP(Draft!L5, 'Final Update'!A4:L1000,5,FALSE)+(IF(ISBLANK(Draft!M12),0,VLOOKUP(Draft!M12, 'Final Update'!A4:L1000,5,FALSE)+IF(ISBLANK(Draft!N5),0,VLOOKUP(Draft!N5, 'Final Update'!A4:L1000,5,FALSE)+IF(ISBLANK(Draft!O12),0,VLOOKUP(Draft!O12, 'Final Update'!A4:L1000,5,FALSE))))))))))))))))))))))))</f>
        <v>0</v>
      </c>
      <c r="H7" s="417">
        <f>((IF(ISBLANK(Draft!D5),0,VLOOKUP(Draft!D5, 'Final Update'!A4:L1000,6,FALSE)+(IF(ISBLANK(Draft!E12),0,VLOOKUP(Draft!E12, 'Final Update'!A4:L1000,6,FALSE)+(IF(ISBLANK(Draft!F5),0,VLOOKUP(Draft!F5, 'Final Update'!A4:L1000,6,FALSE)+(IF(ISBLANK(Draft!G12),0,VLOOKUP(Draft!G12, 'Final Update'!A4:L1000,6,FALSE)+(IF(ISBLANK(Draft!H5),0,VLOOKUP(Draft!H5, 'Final Update'!A4:L1000,6,FALSE)+(IF(ISBLANK(Draft!I12),0,VLOOKUP(Draft!I12, 'Final Update'!A4:L1000,6,FALSE)+(IF(ISBLANK(Draft!J5),0,VLOOKUP(Draft!J5, 'Final Update'!A4:L1000,6,FALSE)+(IF(ISBLANK(Draft!K12),0,VLOOKUP(Draft!K12, 'Final Update'!A4:L1000,6,FALSE)+(IF(ISBLANK(Draft!L5),0,VLOOKUP(Draft!L5, 'Final Update'!A4:L1000,6,FALSE)+(IF(ISBLANK(Draft!M12),0,VLOOKUP(Draft!M12, 'Final Update'!A4:L1000,6,FALSE)+IF(ISBLANK(Draft!N5),0,VLOOKUP(Draft!N5, 'Final Update'!A4:L1000,6,FALSE)+IF(ISBLANK(Draft!O12),0,VLOOKUP(Draft!O12, 'Final Update'!A4:L1000,6,FALSE))))))))))))))))))))))))</f>
        <v>0</v>
      </c>
      <c r="I7" s="417">
        <f>((IF(ISBLANK(Draft!D5),0,VLOOKUP(Draft!D5, 'Final Update'!A4:L1000,7,FALSE)+(IF(ISBLANK(Draft!E12),0,VLOOKUP(Draft!E12, 'Final Update'!A4:L1000,7,FALSE)+(IF(ISBLANK(Draft!F5),0,VLOOKUP(Draft!F5, 'Final Update'!A4:L1000,7,FALSE)+(IF(ISBLANK(Draft!G12),0,VLOOKUP(Draft!G12, 'Final Update'!A4:L1000,7,FALSE)+(IF(ISBLANK(Draft!H5),0,VLOOKUP(Draft!H5, 'Final Update'!A4:L1000,7,FALSE)+(IF(ISBLANK(Draft!I12),0,VLOOKUP(Draft!I12, 'Final Update'!A4:L1000,7,FALSE)+(IF(ISBLANK(Draft!J5),0,VLOOKUP(Draft!J5, 'Final Update'!A4:L1000,7,FALSE)+(IF(ISBLANK(Draft!K12),0,VLOOKUP(Draft!K12, 'Final Update'!A4:L1000,7,FALSE)+(IF(ISBLANK(Draft!L5),0,VLOOKUP(Draft!L5, 'Final Update'!A4:L1000,7,FALSE)+(IF(ISBLANK(Draft!M12),0,VLOOKUP(Draft!M12, 'Final Update'!A4:L1000,7,FALSE)+IF(ISBLANK(Draft!N5),0,VLOOKUP(Draft!N5, 'Final Update'!A4:L1000,7,FALSE)+IF(ISBLANK(Draft!O12),0,VLOOKUP(Draft!O12, 'Final Update'!A4:L1000,7,FALSE))))))))))))))))))))))))</f>
        <v>0</v>
      </c>
      <c r="J7" s="417">
        <f>((IF(ISBLANK(Draft!D5),0,VLOOKUP(Draft!D5, 'Final Update'!A4:L1000,8,FALSE)+(IF(ISBLANK(Draft!E12),0,VLOOKUP(Draft!E12, 'Final Update'!A4:L1000,8,FALSE)+(IF(ISBLANK(Draft!F5),0,VLOOKUP(Draft!F5, 'Final Update'!A4:L1000,8,FALSE)+(IF(ISBLANK(Draft!G12),0,VLOOKUP(Draft!G12, 'Final Update'!A4:L1000,8,FALSE)+(IF(ISBLANK(Draft!H5),0,VLOOKUP(Draft!H5, 'Final Update'!A4:L1000,8,FALSE)+(IF(ISBLANK(Draft!I12),0,VLOOKUP(Draft!I12, 'Final Update'!A4:L1000,8,FALSE)+(IF(ISBLANK(Draft!J5),0,VLOOKUP(Draft!J5, 'Final Update'!A4:L1000,8,FALSE)+(IF(ISBLANK(Draft!K12),0,VLOOKUP(Draft!K12, 'Final Update'!A4:L1000,8,FALSE)+(IF(ISBLANK(Draft!L5),0,VLOOKUP(Draft!L5, 'Final Update'!A4:L1000,8,FALSE)+(IF(ISBLANK(Draft!M12),0,VLOOKUP(Draft!M12, 'Final Update'!A4:L1000,8,FALSE)+IF(ISBLANK(Draft!N5),0,VLOOKUP(Draft!N5, 'Final Update'!A4:L1000,8,FALSE)+IF(ISBLANK(Draft!O12),0,VLOOKUP(Draft!O12, 'Final Update'!A4:L1000,8,FALSE))))))))))))))))))))))))</f>
        <v>0</v>
      </c>
      <c r="K7" s="417">
        <f>((IF(ISBLANK(Draft!D5),0,VLOOKUP(Draft!D5, 'Final Update'!A4:L1000,10,FALSE)+(IF(ISBLANK(Draft!E12),0,VLOOKUP(Draft!E12, 'Final Update'!A4:L1000,10,FALSE)+(IF(ISBLANK(Draft!F5),0,VLOOKUP(Draft!F5, 'Final Update'!A4:L1000,10,FALSE)+(IF(ISBLANK(Draft!G12),0,VLOOKUP(Draft!G12, 'Final Update'!A4:L1000,10,FALSE)+(IF(ISBLANK(Draft!H5),0,VLOOKUP(Draft!H5, 'Final Update'!A4:L1000,10,FALSE)+(IF(ISBLANK(Draft!I12),0,VLOOKUP(Draft!I12, 'Final Update'!A4:L1000,10,FALSE)+(IF(ISBLANK(Draft!J5),0,VLOOKUP(Draft!J5, 'Final Update'!A4:L1000,10,FALSE)+(IF(ISBLANK(Draft!K12),0,VLOOKUP(Draft!K12, 'Final Update'!A4:L1000,10,FALSE)+(IF(ISBLANK(Draft!L5),0,VLOOKUP(Draft!L5, 'Final Update'!A4:L1000,10,FALSE)+(IF(ISBLANK(Draft!M12),0,VLOOKUP(Draft!M12, 'Final Update'!A4:L1000,10,FALSE)+IF(ISBLANK(Draft!N5),0,VLOOKUP(Draft!N5, 'Final Update'!A4:L1000,10,FALSE)+IF(ISBLANK(Draft!O12),0,VLOOKUP(Draft!O12, 'Final Update'!A4:L1000,10,FALSE))))))))))))))))))))))))</f>
        <v>0</v>
      </c>
      <c r="L7" s="417">
        <f>((IF(ISBLANK(Draft!D5),0,VLOOKUP(Draft!D5, 'Final Update'!A4:L1000,12,FALSE)+(IF(ISBLANK(Draft!E12),0,VLOOKUP(Draft!E12, 'Final Update'!A4:L1000,12,FALSE)+(IF(ISBLANK(Draft!F5),0,VLOOKUP(Draft!F5, 'Final Update'!A4:L1000,12,FALSE)+(IF(ISBLANK(Draft!G12),0,VLOOKUP(Draft!G12, 'Final Update'!A4:L1000,12,FALSE)+(IF(ISBLANK(Draft!H5),0,VLOOKUP(Draft!H5, 'Final Update'!A4:L1000,12,FALSE)+(IF(ISBLANK(Draft!I12),0,VLOOKUP(Draft!I12, 'Final Update'!A4:L1000,12,FALSE)+(IF(ISBLANK(Draft!J5),0,VLOOKUP(Draft!J5, 'Final Update'!A4:L1000,12,FALSE)+(IF(ISBLANK(Draft!K12),0,VLOOKUP(Draft!K12, 'Final Update'!A4:L1000,12,FALSE)+(IF(ISBLANK(Draft!L5),0,VLOOKUP(Draft!L5, 'Final Update'!A4:L1000,12,FALSE)+(IF(ISBLANK(Draft!M12),0,VLOOKUP(Draft!M12, 'Final Update'!A4:L1000,12,FALSE)+IF(ISBLANK(Draft!N5),0,VLOOKUP(Draft!N5, 'Final Update'!A4:L1000,12,FALSE)+IF(ISBLANK(Draft!O12),0,VLOOKUP(Draft!O12, 'Final Update'!A4:L1000,12,FALSE))))))))))))))))))))))))</f>
        <v>0</v>
      </c>
      <c r="M7" s="435">
        <f t="array" ref="M7">if(M$3=$C7,"-", countif(indirect(address(row($C$4)+ VLOOKUP(M$3,$C$5:$C$16,1),COLUMN($D$4))):indirect(address(row($C$4)+ VLOOKUP(M$3,$C$5:$C$16,1),COLUMN($L$4)))&gt;indirect(address(row($C7),COLUMN($D$4))):indirect(address(row($C7),COLUMN($L$4))),TRUE()))</f>
        <v>0</v>
      </c>
      <c r="N7" s="435">
        <f t="array" ref="N7">if(N$3=$C7,"-", countif(indirect(address(row($C$4)+ VLOOKUP(N$3,$C$5:$C$16,1),COLUMN($D$4))):indirect(address(row($C$4)+ VLOOKUP(N$3,$C$5:$C$16,1),COLUMN($L$4)))&gt;indirect(address(row($C7),COLUMN($D$4))):indirect(address(row($C7),COLUMN($L$4))),TRUE()))</f>
        <v>0</v>
      </c>
      <c r="O7" s="435">
        <f t="array" ref="O7">if(O$3=$C7,"-", countif(indirect(address(row($C$4)+ VLOOKUP(O$3,$C$5:$C$16,1),COLUMN($D$4))):indirect(address(row($C$4)+ VLOOKUP(O$3,$C$5:$C$16,1),COLUMN($L$4)))&gt;indirect(address(row($C7),COLUMN($D$4))):indirect(address(row($C7),COLUMN($L$4))),TRUE()))</f>
        <v>0</v>
      </c>
      <c r="P7" s="435">
        <f t="array" ref="P7">if(P$3=$C7,"-", countif(indirect(address(row($C$4)+ VLOOKUP(P$3,$C$5:$C$16,1),COLUMN($D$4))):indirect(address(row($C$4)+ VLOOKUP(P$3,$C$5:$C$16,1),COLUMN($L$4)))&gt;indirect(address(row($C7),COLUMN($D$4))):indirect(address(row($C7),COLUMN($L$4))),TRUE()))</f>
        <v>0</v>
      </c>
      <c r="Q7" s="435">
        <f t="array" ref="Q7">if(Q$3=$C7,"-", countif(indirect(address(row($C$4)+ VLOOKUP(Q$3,$C$5:$C$16,1),COLUMN($D$4))):indirect(address(row($C$4)+ VLOOKUP(Q$3,$C$5:$C$16,1),COLUMN($L$4)))&gt;indirect(address(row($C7),COLUMN($D$4))):indirect(address(row($C7),COLUMN($L$4))),TRUE()))</f>
        <v>0</v>
      </c>
      <c r="R7" s="435">
        <f t="array" ref="R7">if(R$3=$C7,"-", countif(indirect(address(row($C$4)+ VLOOKUP(R$3,$C$5:$C$16,1),COLUMN($D$4))):indirect(address(row($C$4)+ VLOOKUP(R$3,$C$5:$C$16,1),COLUMN($L$4)))&gt;indirect(address(row($C7),COLUMN($D$4))):indirect(address(row($C7),COLUMN($L$4))),TRUE()))</f>
        <v>0</v>
      </c>
      <c r="S7" s="435">
        <f t="array" ref="S7">if(S$3=$C7,"-", countif(indirect(address(row($C$4)+ VLOOKUP(S$3,$C$5:$C$16,1),COLUMN($D$4))):indirect(address(row($C$4)+ VLOOKUP(S$3,$C$5:$C$16,1),COLUMN($L$4)))&gt;indirect(address(row($C7),COLUMN($D$4))):indirect(address(row($C7),COLUMN($L$4))),TRUE()))</f>
        <v>0</v>
      </c>
      <c r="T7" s="435">
        <f t="array" ref="T7">if(T$3=$C7,"-", countif(indirect(address(row($C$4)+ VLOOKUP(T$3,$C$5:$C$16,1),COLUMN($D$4))):indirect(address(row($C$4)+ VLOOKUP(T$3,$C$5:$C$16,1),COLUMN($L$4)))&gt;indirect(address(row($C7),COLUMN($D$4))):indirect(address(row($C7),COLUMN($L$4))),TRUE()))</f>
        <v>0</v>
      </c>
      <c r="U7" s="435">
        <f t="array" ref="U7">if(U$3=$C7,"-", countif(indirect(address(row($C$4)+ VLOOKUP(U$3,$C$5:$C$16,1),COLUMN($D$4))):indirect(address(row($C$4)+ VLOOKUP(U$3,$C$5:$C$16,1),COLUMN($L$4)))&gt;indirect(address(row($C7),COLUMN($D$4))):indirect(address(row($C7),COLUMN($L$4))),TRUE()))</f>
        <v>0</v>
      </c>
      <c r="V7" s="435">
        <f t="array" ref="V7">if(V$3=$C7,"-", countif(indirect(address(row($C$4)+ VLOOKUP(V$3,$C$5:$C$16,1),COLUMN($D$4))):indirect(address(row($C$4)+ VLOOKUP(V$3,$C$5:$C$16,1),COLUMN($L$4)))&gt;indirect(address(row($C7),COLUMN($D$4))):indirect(address(row($C7),COLUMN($L$4))),TRUE()))</f>
        <v>0</v>
      </c>
      <c r="W7" s="435">
        <f t="array" ref="W7">if(W$3=$C7,"-", countif(indirect(address(row($C$4)+ VLOOKUP(W$3,$C$5:$C$16,1),COLUMN($D$4))):indirect(address(row($C$4)+ VLOOKUP(W$3,$C$5:$C$16,1),COLUMN($L$4)))&gt;indirect(address(row($C7),COLUMN($D$4))):indirect(address(row($C7),COLUMN($L$4))),TRUE()))</f>
        <v>0</v>
      </c>
      <c r="X7" s="435">
        <f t="array" ref="X7">if(X$3=$C7,"-", countif(indirect(address(row($C$4)+ VLOOKUP(X$3,$C$5:$C$16,1),COLUMN($D$4))):indirect(address(row($C$4)+ VLOOKUP(X$3,$C$5:$C$16,1),COLUMN($L$4)))&gt;indirect(address(row($C7),COLUMN($D$4))):indirect(address(row($C7),COLUMN($L$4))),TRUE()))</f>
        <v>0</v>
      </c>
      <c r="Y7" s="435">
        <f t="array" ref="Y7">if(D$1=$C7,"-", countif(indirect(address(row($C$4)+ VLOOKUP(D$1,$C$5:$C$16,1),COLUMN($D$4))):indirect(address(row($C$4)+ VLOOKUP(D$1,$C$5:$C$16,1),COLUMN($L$4)))&gt;indirect(address(row($C7),COLUMN($D$4))):indirect(address(row($C7),COLUMN($L$4))),TRUE()))</f>
        <v>0</v>
      </c>
      <c r="Z7" s="433">
        <f>SUM(O$5:O$16)/99</f>
        <v>0</v>
      </c>
    </row>
    <row r="8">
      <c r="B8" s="432" t="b">
        <f>Draft!C6</f>
        <v>0</v>
      </c>
      <c r="C8" s="421">
        <v>4.0</v>
      </c>
      <c r="D8" s="417">
        <f>((IF(ISBLANK(Draft!D6),0,VLOOKUP(Draft!D6, 'Final Update'!A4:L1000,2,FALSE)+(IF(ISBLANK(Draft!E11),0,VLOOKUP(Draft!E11, 'Final Update'!A4:L1000,2,FALSE)+(IF(ISBLANK(Draft!F6),0,VLOOKUP(Draft!F6, 'Final Update'!A4:L1000,2,FALSE)+(IF(ISBLANK(Draft!G11),0,VLOOKUP(Draft!G11, 'Final Update'!A4:L1000,2,FALSE)+(IF(ISBLANK(Draft!H6),0,VLOOKUP(Draft!H6, 'Final Update'!A4:L1000,2,FALSE)+(IF(ISBLANK(Draft!I11),0,VLOOKUP(Draft!I11, 'Final Update'!A4:L1000,2,FALSE)+(IF(ISBLANK(Draft!J6),0,VLOOKUP(Draft!J6, 'Final Update'!A4:L1000,2,FALSE)+(IF(ISBLANK(Draft!K11),0,VLOOKUP(Draft!K11, 'Final Update'!A4:L1000,2,FALSE)+(IF(ISBLANK(Draft!L6),0,VLOOKUP(Draft!L6, 'Final Update'!A4:L1000,2,FALSE)+(IF(ISBLANK(Draft!M11),0,VLOOKUP(Draft!M11, 'Final Update'!A4:L1000,2,FALSE)+IF(ISBLANK(Draft!N6),0,VLOOKUP(Draft!N6, 'Final Update'!A4:L1000,2,FALSE)+IF(ISBLANK(Draft!O11),0,VLOOKUP(Draft!O11, 'Final Update'!A4:L1000,2,FALSE))))))))))))))))))))))))</f>
        <v>0</v>
      </c>
      <c r="E8" s="417">
        <f>((IF(ISBLANK(Draft!D6),0,VLOOKUP(Draft!D6, 'Final Update'!A4:L1000,3,FALSE)+(IF(ISBLANK(Draft!E11),0,VLOOKUP(Draft!E11, 'Final Update'!A4:L1000,3,FALSE)+(IF(ISBLANK(Draft!F6),0,VLOOKUP(Draft!F6, 'Final Update'!A4:L1000,3,FALSE)+(IF(ISBLANK(Draft!G11),0,VLOOKUP(Draft!G11, 'Final Update'!A4:L1000,3,FALSE)+(IF(ISBLANK(Draft!H6),0,VLOOKUP(Draft!H6, 'Final Update'!A4:L1000,3,FALSE)+(IF(ISBLANK(Draft!I11),0,VLOOKUP(Draft!I11, 'Final Update'!A4:L1000,3,FALSE)+(IF(ISBLANK(Draft!J6),0,VLOOKUP(Draft!J6, 'Final Update'!A4:L1000,3,FALSE)+(IF(ISBLANK(Draft!K11),0,VLOOKUP(Draft!K11, 'Final Update'!A4:L1000,3,FALSE)+(IF(ISBLANK(Draft!L6),0,VLOOKUP(Draft!L6, 'Final Update'!A4:L1000,3,FALSE)+(IF(ISBLANK(Draft!M11),0,VLOOKUP(Draft!M11, 'Final Update'!A4:L1000,3,FALSE)+IF(ISBLANK(Draft!N6),0,VLOOKUP(Draft!N6, 'Final Update'!A4:L1000,3,FALSE)+IF(ISBLANK(Draft!O11),0,VLOOKUP(Draft!O11, 'Final Update'!A4:L1000,3,FALSE))))))))))))))))))))))))</f>
        <v>0</v>
      </c>
      <c r="F8" s="417">
        <f>((IF(ISBLANK(Draft!D6),0,VLOOKUP(Draft!D6, 'Final Update'!A4:L1000,4,FALSE)+(IF(ISBLANK(Draft!E11),0,VLOOKUP(Draft!E11, 'Final Update'!A4:L1000,4,FALSE)+(IF(ISBLANK(Draft!F6),0,VLOOKUP(Draft!F6, 'Final Update'!A4:L1000,4,FALSE)+(IF(ISBLANK(Draft!G11),0,VLOOKUP(Draft!G11, 'Final Update'!A4:L1000,4,FALSE)+(IF(ISBLANK(Draft!H6),0,VLOOKUP(Draft!H6, 'Final Update'!A4:L1000,4,FALSE)+(IF(ISBLANK(Draft!I11),0,VLOOKUP(Draft!I11, 'Final Update'!A4:L1000,4,FALSE)+(IF(ISBLANK(Draft!J6),0,VLOOKUP(Draft!J6, 'Final Update'!A4:L1000,4,FALSE)+(IF(ISBLANK(Draft!K11),0,VLOOKUP(Draft!K11, 'Final Update'!A4:L1000,4,FALSE)+(IF(ISBLANK(Draft!L6),0,VLOOKUP(Draft!L6, 'Final Update'!A4:L1000,4,FALSE)+(IF(ISBLANK(Draft!M11),0,VLOOKUP(Draft!M11, 'Final Update'!A4:L1000,4,FALSE)+IF(ISBLANK(Draft!N6),0,VLOOKUP(Draft!N6, 'Final Update'!A4:L1000,4,FALSE)+IF(ISBLANK(Draft!O11),0,VLOOKUP(Draft!O11, 'Final Update'!A4:L1000,4,FALSE))))))))))))))))))))))))</f>
        <v>0</v>
      </c>
      <c r="G8" s="417">
        <f>((IF(ISBLANK(Draft!D6),0,VLOOKUP(Draft!D6, 'Final Update'!A4:L1000,5,FALSE)+(IF(ISBLANK(Draft!E11),0,VLOOKUP(Draft!E11, 'Final Update'!A4:L1000,5,FALSE)+(IF(ISBLANK(Draft!F6),0,VLOOKUP(Draft!F6, 'Final Update'!A4:L1000,5,FALSE)+(IF(ISBLANK(Draft!G11),0,VLOOKUP(Draft!G11, 'Final Update'!A4:L1000,5,FALSE)+(IF(ISBLANK(Draft!H6),0,VLOOKUP(Draft!H6, 'Final Update'!A4:L1000,5,FALSE)+(IF(ISBLANK(Draft!I11),0,VLOOKUP(Draft!I11, 'Final Update'!A4:L1000,5,FALSE)+(IF(ISBLANK(Draft!J6),0,VLOOKUP(Draft!J6, 'Final Update'!A4:L1000,5,FALSE)+(IF(ISBLANK(Draft!K11),0,VLOOKUP(Draft!K11, 'Final Update'!A4:L1000,5,FALSE)+(IF(ISBLANK(Draft!L6),0,VLOOKUP(Draft!L6, 'Final Update'!A4:L1000,5,FALSE)+(IF(ISBLANK(Draft!M11),0,VLOOKUP(Draft!M11, 'Final Update'!A4:L1000,5,FALSE)+IF(ISBLANK(Draft!N6),0,VLOOKUP(Draft!N6, 'Final Update'!A4:L1000,5,FALSE)+IF(ISBLANK(Draft!O11),0,VLOOKUP(Draft!O11, 'Final Update'!A4:L1000,5,FALSE))))))))))))))))))))))))</f>
        <v>0</v>
      </c>
      <c r="H8" s="417">
        <f>((IF(ISBLANK(Draft!D6),0,VLOOKUP(Draft!D6, 'Final Update'!A4:L1000,6,FALSE)+(IF(ISBLANK(Draft!E11),0,VLOOKUP(Draft!E11, 'Final Update'!A4:L1000,6,FALSE)+(IF(ISBLANK(Draft!F6),0,VLOOKUP(Draft!F6, 'Final Update'!A4:L1000,6,FALSE)+(IF(ISBLANK(Draft!G11),0,VLOOKUP(Draft!G11, 'Final Update'!A4:L1000,6,FALSE)+(IF(ISBLANK(Draft!H6),0,VLOOKUP(Draft!H6, 'Final Update'!A4:L1000,6,FALSE)+(IF(ISBLANK(Draft!I11),0,VLOOKUP(Draft!I11, 'Final Update'!A4:L1000,6,FALSE)+(IF(ISBLANK(Draft!J6),0,VLOOKUP(Draft!J6, 'Final Update'!A4:L1000,6,FALSE)+(IF(ISBLANK(Draft!K11),0,VLOOKUP(Draft!K11, 'Final Update'!A4:L1000,6,FALSE)+(IF(ISBLANK(Draft!L6),0,VLOOKUP(Draft!L6, 'Final Update'!A4:L1000,6,FALSE)+(IF(ISBLANK(Draft!M11),0,VLOOKUP(Draft!M11, 'Final Update'!A4:L1000,6,FALSE)+IF(ISBLANK(Draft!N6),0,VLOOKUP(Draft!N6, 'Final Update'!A4:L1000,6,FALSE)+IF(ISBLANK(Draft!O11),0,VLOOKUP(Draft!O11, 'Final Update'!A4:L1000,6,FALSE))))))))))))))))))))))))</f>
        <v>0</v>
      </c>
      <c r="I8" s="417">
        <f>((IF(ISBLANK(Draft!D6),0,VLOOKUP(Draft!D6, 'Final Update'!A4:L1000,7,FALSE)+(IF(ISBLANK(Draft!E11),0,VLOOKUP(Draft!E11, 'Final Update'!A4:L1000,7,FALSE)+(IF(ISBLANK(Draft!F6),0,VLOOKUP(Draft!F6, 'Final Update'!A4:L1000,7,FALSE)+(IF(ISBLANK(Draft!G11),0,VLOOKUP(Draft!G11, 'Final Update'!A4:L1000,7,FALSE)+(IF(ISBLANK(Draft!H6),0,VLOOKUP(Draft!H6, 'Final Update'!A4:L1000,7,FALSE)+(IF(ISBLANK(Draft!I11),0,VLOOKUP(Draft!I11, 'Final Update'!A4:L1000,7,FALSE)+(IF(ISBLANK(Draft!J6),0,VLOOKUP(Draft!J6, 'Final Update'!A4:L1000,7,FALSE)+(IF(ISBLANK(Draft!K11),0,VLOOKUP(Draft!K11, 'Final Update'!A4:L1000,7,FALSE)+(IF(ISBLANK(Draft!L6),0,VLOOKUP(Draft!L6, 'Final Update'!A4:L1000,7,FALSE)+(IF(ISBLANK(Draft!M11),0,VLOOKUP(Draft!M11, 'Final Update'!A4:L1000,7,FALSE)+IF(ISBLANK(Draft!N6),0,VLOOKUP(Draft!N6, 'Final Update'!A4:L1000,7,FALSE)+IF(ISBLANK(Draft!O11),0,VLOOKUP(Draft!O11, 'Final Update'!A4:L1000,7,FALSE))))))))))))))))))))))))</f>
        <v>0</v>
      </c>
      <c r="J8" s="417">
        <f>((IF(ISBLANK(Draft!D6),0,VLOOKUP(Draft!D6, 'Final Update'!A4:L1000,8,FALSE)+(IF(ISBLANK(Draft!E11),0,VLOOKUP(Draft!E11, 'Final Update'!A4:L1000,8,FALSE)+(IF(ISBLANK(Draft!F6),0,VLOOKUP(Draft!F6, 'Final Update'!A4:L1000,8,FALSE)+(IF(ISBLANK(Draft!G11),0,VLOOKUP(Draft!G11, 'Final Update'!A4:L1000,8,FALSE)+(IF(ISBLANK(Draft!H6),0,VLOOKUP(Draft!H6, 'Final Update'!A4:L1000,8,FALSE)+(IF(ISBLANK(Draft!I11),0,VLOOKUP(Draft!I11, 'Final Update'!A4:L1000,8,FALSE)+(IF(ISBLANK(Draft!J6),0,VLOOKUP(Draft!J6, 'Final Update'!A4:L1000,8,FALSE)+(IF(ISBLANK(Draft!K11),0,VLOOKUP(Draft!K11, 'Final Update'!A4:L1000,8,FALSE)+(IF(ISBLANK(Draft!L6),0,VLOOKUP(Draft!L6, 'Final Update'!A4:L1000,8,FALSE)+(IF(ISBLANK(Draft!M11),0,VLOOKUP(Draft!M11, 'Final Update'!A4:L1000,8,FALSE)+IF(ISBLANK(Draft!N6),0,VLOOKUP(Draft!N6, 'Final Update'!A4:L1000,8,FALSE)+IF(ISBLANK(Draft!O11),0,VLOOKUP(Draft!O11, 'Final Update'!A4:L1000,8,FALSE))))))))))))))))))))))))</f>
        <v>0</v>
      </c>
      <c r="K8" s="417">
        <f>((IF(ISBLANK(Draft!D6),0,VLOOKUP(Draft!D6, 'Final Update'!A4:L1000,10,FALSE)+(IF(ISBLANK(Draft!E11),0,VLOOKUP(Draft!E11, 'Final Update'!A4:L1000,10,FALSE)+(IF(ISBLANK(Draft!F6),0,VLOOKUP(Draft!F6, 'Final Update'!A4:L1000,10,FALSE)+(IF(ISBLANK(Draft!G11),0,VLOOKUP(Draft!G11, 'Final Update'!A4:L1000,10,FALSE)+(IF(ISBLANK(Draft!H6),0,VLOOKUP(Draft!H6, 'Final Update'!A4:L1000,10,FALSE)+(IF(ISBLANK(Draft!I11),0,VLOOKUP(Draft!I11, 'Final Update'!A4:L1000,10,FALSE)+(IF(ISBLANK(Draft!J6),0,VLOOKUP(Draft!J6, 'Final Update'!A4:L1000,10,FALSE)+(IF(ISBLANK(Draft!K11),0,VLOOKUP(Draft!K11, 'Final Update'!A4:L1000,10,FALSE)+(IF(ISBLANK(Draft!L6),0,VLOOKUP(Draft!L6, 'Final Update'!A4:L1000,10,FALSE)+(IF(ISBLANK(Draft!M11),0,VLOOKUP(Draft!M11, 'Final Update'!A4:L1000,10,FALSE)+IF(ISBLANK(Draft!N6),0,VLOOKUP(Draft!N6, 'Final Update'!A4:L1000,10,FALSE)+IF(ISBLANK(Draft!O11),0,VLOOKUP(Draft!O11, 'Final Update'!A4:L1000,10,FALSE))))))))))))))))))))))))</f>
        <v>0</v>
      </c>
      <c r="L8" s="417">
        <f>((IF(ISBLANK(Draft!D6),0,VLOOKUP(Draft!D6, 'Final Update'!A4:L1000,12,FALSE)+(IF(ISBLANK(Draft!E11),0,VLOOKUP(Draft!E11, 'Final Update'!A4:L1000,12,FALSE)+(IF(ISBLANK(Draft!F6),0,VLOOKUP(Draft!F6, 'Final Update'!A4:L1000,12,FALSE)+(IF(ISBLANK(Draft!G11),0,VLOOKUP(Draft!G11, 'Final Update'!A4:L1000,12,FALSE)+(IF(ISBLANK(Draft!H6),0,VLOOKUP(Draft!H6, 'Final Update'!A4:L1000,12,FALSE)+(IF(ISBLANK(Draft!I11),0,VLOOKUP(Draft!I11, 'Final Update'!A4:L1000,12,FALSE)+(IF(ISBLANK(Draft!J6),0,VLOOKUP(Draft!J6, 'Final Update'!A4:L1000,12,FALSE)+(IF(ISBLANK(Draft!K11),0,VLOOKUP(Draft!K11, 'Final Update'!A4:L1000,12,FALSE)+(IF(ISBLANK(Draft!L6),0,VLOOKUP(Draft!L6, 'Final Update'!A4:L1000,12,FALSE)+(IF(ISBLANK(Draft!M11),0,VLOOKUP(Draft!M11, 'Final Update'!A4:L1000,12,FALSE)+IF(ISBLANK(Draft!N6),0,VLOOKUP(Draft!N6, 'Final Update'!A4:L1000,12,FALSE)+IF(ISBLANK(Draft!O11),0,VLOOKUP(Draft!O11, 'Final Update'!A4:L1000,12,FALSE))))))))))))))))))))))))</f>
        <v>0</v>
      </c>
      <c r="M8" s="435">
        <f t="array" ref="M8">if(M$3=$C8,"-", countif(indirect(address(row($C$4)+ VLOOKUP(M$3,$C$5:$C$16,1),COLUMN($D$4))):indirect(address(row($C$4)+ VLOOKUP(M$3,$C$5:$C$16,1),COLUMN($L$4)))&gt;indirect(address(row($C8),COLUMN($D$4))):indirect(address(row($C8),COLUMN($L$4))),TRUE()))</f>
        <v>0</v>
      </c>
      <c r="N8" s="435">
        <f t="array" ref="N8">if(N$3=$C8,"-", countif(indirect(address(row($C$4)+ VLOOKUP(N$3,$C$5:$C$16,1),COLUMN($D$4))):indirect(address(row($C$4)+ VLOOKUP(N$3,$C$5:$C$16,1),COLUMN($L$4)))&gt;indirect(address(row($C8),COLUMN($D$4))):indirect(address(row($C8),COLUMN($L$4))),TRUE()))</f>
        <v>0</v>
      </c>
      <c r="O8" s="435">
        <f t="array" ref="O8">if(O$3=$C8,"-", countif(indirect(address(row($C$4)+ VLOOKUP(O$3,$C$5:$C$16,1),COLUMN($D$4))):indirect(address(row($C$4)+ VLOOKUP(O$3,$C$5:$C$16,1),COLUMN($L$4)))&gt;indirect(address(row($C8),COLUMN($D$4))):indirect(address(row($C8),COLUMN($L$4))),TRUE()))</f>
        <v>0</v>
      </c>
      <c r="P8" s="435">
        <f t="array" ref="P8">if(P$3=$C8,"-", countif(indirect(address(row($C$4)+ VLOOKUP(P$3,$C$5:$C$16,1),COLUMN($D$4))):indirect(address(row($C$4)+ VLOOKUP(P$3,$C$5:$C$16,1),COLUMN($L$4)))&gt;indirect(address(row($C8),COLUMN($D$4))):indirect(address(row($C8),COLUMN($L$4))),TRUE()))</f>
        <v>0</v>
      </c>
      <c r="Q8" s="435">
        <f t="array" ref="Q8">if(Q$3=$C8,"-", countif(indirect(address(row($C$4)+ VLOOKUP(Q$3,$C$5:$C$16,1),COLUMN($D$4))):indirect(address(row($C$4)+ VLOOKUP(Q$3,$C$5:$C$16,1),COLUMN($L$4)))&gt;indirect(address(row($C8),COLUMN($D$4))):indirect(address(row($C8),COLUMN($L$4))),TRUE()))</f>
        <v>0</v>
      </c>
      <c r="R8" s="435">
        <f t="array" ref="R8">if(R$3=$C8,"-", countif(indirect(address(row($C$4)+ VLOOKUP(R$3,$C$5:$C$16,1),COLUMN($D$4))):indirect(address(row($C$4)+ VLOOKUP(R$3,$C$5:$C$16,1),COLUMN($L$4)))&gt;indirect(address(row($C8),COLUMN($D$4))):indirect(address(row($C8),COLUMN($L$4))),TRUE()))</f>
        <v>0</v>
      </c>
      <c r="S8" s="435">
        <f t="array" ref="S8">if(S$3=$C8,"-", countif(indirect(address(row($C$4)+ VLOOKUP(S$3,$C$5:$C$16,1),COLUMN($D$4))):indirect(address(row($C$4)+ VLOOKUP(S$3,$C$5:$C$16,1),COLUMN($L$4)))&gt;indirect(address(row($C8),COLUMN($D$4))):indirect(address(row($C8),COLUMN($L$4))),TRUE()))</f>
        <v>0</v>
      </c>
      <c r="T8" s="435">
        <f t="array" ref="T8">if(T$3=$C8,"-", countif(indirect(address(row($C$4)+ VLOOKUP(T$3,$C$5:$C$16,1),COLUMN($D$4))):indirect(address(row($C$4)+ VLOOKUP(T$3,$C$5:$C$16,1),COLUMN($L$4)))&gt;indirect(address(row($C8),COLUMN($D$4))):indirect(address(row($C8),COLUMN($L$4))),TRUE()))</f>
        <v>0</v>
      </c>
      <c r="U8" s="435">
        <f t="array" ref="U8">if(U$3=$C8,"-", countif(indirect(address(row($C$4)+ VLOOKUP(U$3,$C$5:$C$16,1),COLUMN($D$4))):indirect(address(row($C$4)+ VLOOKUP(U$3,$C$5:$C$16,1),COLUMN($L$4)))&gt;indirect(address(row($C8),COLUMN($D$4))):indirect(address(row($C8),COLUMN($L$4))),TRUE()))</f>
        <v>0</v>
      </c>
      <c r="V8" s="435">
        <f t="array" ref="V8">if(V$3=$C8,"-", countif(indirect(address(row($C$4)+ VLOOKUP(V$3,$C$5:$C$16,1),COLUMN($D$4))):indirect(address(row($C$4)+ VLOOKUP(V$3,$C$5:$C$16,1),COLUMN($L$4)))&gt;indirect(address(row($C8),COLUMN($D$4))):indirect(address(row($C8),COLUMN($L$4))),TRUE()))</f>
        <v>0</v>
      </c>
      <c r="W8" s="435">
        <f t="array" ref="W8">if(W$3=$C8,"-", countif(indirect(address(row($C$4)+ VLOOKUP(W$3,$C$5:$C$16,1),COLUMN($D$4))):indirect(address(row($C$4)+ VLOOKUP(W$3,$C$5:$C$16,1),COLUMN($L$4)))&gt;indirect(address(row($C8),COLUMN($D$4))):indirect(address(row($C8),COLUMN($L$4))),TRUE()))</f>
        <v>0</v>
      </c>
      <c r="X8" s="435">
        <f t="array" ref="X8">if(X$3=$C8,"-", countif(indirect(address(row($C$4)+ VLOOKUP(X$3,$C$5:$C$16,1),COLUMN($D$4))):indirect(address(row($C$4)+ VLOOKUP(X$3,$C$5:$C$16,1),COLUMN($L$4)))&gt;indirect(address(row($C8),COLUMN($D$4))):indirect(address(row($C8),COLUMN($L$4))),TRUE()))</f>
        <v>0</v>
      </c>
      <c r="Y8" s="435">
        <f t="array" ref="Y8">if(D$1=$C8,"-", countif(indirect(address(row($C$4)+ VLOOKUP(D$1,$C$5:$C$16,1),COLUMN($D$4))):indirect(address(row($C$4)+ VLOOKUP(D$1,$C$5:$C$16,1),COLUMN($L$4)))&gt;indirect(address(row($C8),COLUMN($D$4))):indirect(address(row($C8),COLUMN($L$4))),TRUE()))</f>
        <v>0</v>
      </c>
      <c r="Z8" s="433">
        <f>SUM(P$5:P$16)/99</f>
        <v>0</v>
      </c>
    </row>
    <row r="9">
      <c r="B9" s="432" t="b">
        <f>Draft!C7</f>
        <v>0</v>
      </c>
      <c r="C9" s="421">
        <v>5.0</v>
      </c>
      <c r="D9" s="417">
        <f>((IF(ISBLANK(Draft!D7),0,VLOOKUP(Draft!D7, 'Final Update'!A4:L1000,2,FALSE)+(IF(ISBLANK(Draft!E10),0,VLOOKUP(Draft!E10, 'Final Update'!A4:L1000,2,FALSE)+(IF(ISBLANK(Draft!F7),0,VLOOKUP(Draft!F7, 'Final Update'!A4:L1000,2,FALSE)+(IF(ISBLANK(Draft!G10),0,VLOOKUP(Draft!G10, 'Final Update'!A4:L1000,2,FALSE)+(IF(ISBLANK(Draft!H7),0,VLOOKUP(Draft!H7, 'Final Update'!A4:L1000,2,FALSE)+(IF(ISBLANK(Draft!I10),0,VLOOKUP(Draft!I10, 'Final Update'!A4:L1000,2,FALSE)+(IF(ISBLANK(Draft!J7),0,VLOOKUP(Draft!J7, 'Final Update'!A4:L1000,2,FALSE)+(IF(ISBLANK(Draft!K10),0,VLOOKUP(Draft!K10, 'Final Update'!A4:L1000,2,FALSE)+(IF(ISBLANK(Draft!L7),0,VLOOKUP(Draft!L7, 'Final Update'!A4:L1000,2,FALSE)+(IF(ISBLANK(Draft!M10),0,VLOOKUP(Draft!M10, 'Final Update'!A4:L1000,2,FALSE)+IF(ISBLANK(Draft!N7),0,VLOOKUP(Draft!N7, 'Final Update'!A4:L1000,2,FALSE)+IF(ISBLANK(Draft!O10),0,VLOOKUP(Draft!O10, 'Final Update'!A4:L1000,2,FALSE))))))))))))))))))))))))</f>
        <v>0</v>
      </c>
      <c r="E9" s="417">
        <f>((IF(ISBLANK(Draft!D7),0,VLOOKUP(Draft!D7, 'Final Update'!A4:L1000,3,FALSE)+(IF(ISBLANK(Draft!E10),0,VLOOKUP(Draft!E10, 'Final Update'!A4:L1000,3,FALSE)+(IF(ISBLANK(Draft!F7),0,VLOOKUP(Draft!F7, 'Final Update'!A4:L1000,3,FALSE)+(IF(ISBLANK(Draft!G10),0,VLOOKUP(Draft!G10, 'Final Update'!A4:L1000,3,FALSE)+(IF(ISBLANK(Draft!H7),0,VLOOKUP(Draft!H7, 'Final Update'!A4:L1000,3,FALSE)+(IF(ISBLANK(Draft!I10),0,VLOOKUP(Draft!I10, 'Final Update'!A4:L1000,3,FALSE)+(IF(ISBLANK(Draft!J7),0,VLOOKUP(Draft!J7, 'Final Update'!A4:L1000,3,FALSE)+(IF(ISBLANK(Draft!K10),0,VLOOKUP(Draft!K10, 'Final Update'!A4:L1000,3,FALSE)+(IF(ISBLANK(Draft!L7),0,VLOOKUP(Draft!L7, 'Final Update'!A4:L1000,3,FALSE)+(IF(ISBLANK(Draft!M10),0,VLOOKUP(Draft!M10, 'Final Update'!A4:L1000,3,FALSE)+IF(ISBLANK(Draft!N7),0,VLOOKUP(Draft!N7, 'Final Update'!A4:L1000,3,FALSE)+IF(ISBLANK(Draft!O10),0,VLOOKUP(Draft!O10, 'Final Update'!A4:L1000,3,FALSE))))))))))))))))))))))))</f>
        <v>0</v>
      </c>
      <c r="F9" s="417">
        <f>((IF(ISBLANK(Draft!D7),0,VLOOKUP(Draft!D7, 'Final Update'!A4:L1000,4,FALSE)+(IF(ISBLANK(Draft!E10),0,VLOOKUP(Draft!E10, 'Final Update'!A4:L1000,4,FALSE)+(IF(ISBLANK(Draft!F7),0,VLOOKUP(Draft!F7, 'Final Update'!A4:L1000,4,FALSE)+(IF(ISBLANK(Draft!G10),0,VLOOKUP(Draft!G10, 'Final Update'!A4:L1000,4,FALSE)+(IF(ISBLANK(Draft!H7),0,VLOOKUP(Draft!H7, 'Final Update'!A4:L1000,4,FALSE)+(IF(ISBLANK(Draft!I10),0,VLOOKUP(Draft!I10, 'Final Update'!A4:L1000,4,FALSE)+(IF(ISBLANK(Draft!J7),0,VLOOKUP(Draft!J7, 'Final Update'!A4:L1000,4,FALSE)+(IF(ISBLANK(Draft!K10),0,VLOOKUP(Draft!K10, 'Final Update'!A4:L1000,4,FALSE)+(IF(ISBLANK(Draft!L7),0,VLOOKUP(Draft!L7, 'Final Update'!A4:L1000,4,FALSE)+(IF(ISBLANK(Draft!M10),0,VLOOKUP(Draft!M10, 'Final Update'!A4:L1000,4,FALSE)+IF(ISBLANK(Draft!N7),0,VLOOKUP(Draft!N7, 'Final Update'!A4:L1000,4,FALSE)+IF(ISBLANK(Draft!O10),0,VLOOKUP(Draft!O10, 'Final Update'!A4:L1000,4,FALSE))))))))))))))))))))))))</f>
        <v>0</v>
      </c>
      <c r="G9" s="417">
        <f>((IF(ISBLANK(Draft!D7),0,VLOOKUP(Draft!D7, 'Final Update'!A4:L1000,5,FALSE)+(IF(ISBLANK(Draft!E10),0,VLOOKUP(Draft!E10, 'Final Update'!A4:L1000,5,FALSE)+(IF(ISBLANK(Draft!F7),0,VLOOKUP(Draft!F7, 'Final Update'!A4:L1000,5,FALSE)+(IF(ISBLANK(Draft!G10),0,VLOOKUP(Draft!G10, 'Final Update'!A4:L1000,5,FALSE)+(IF(ISBLANK(Draft!H7),0,VLOOKUP(Draft!H7, 'Final Update'!A4:L1000,5,FALSE)+(IF(ISBLANK(Draft!I10),0,VLOOKUP(Draft!I10, 'Final Update'!A4:L1000,5,FALSE)+(IF(ISBLANK(Draft!J7),0,VLOOKUP(Draft!J7, 'Final Update'!A4:L1000,5,FALSE)+(IF(ISBLANK(Draft!K10),0,VLOOKUP(Draft!K10, 'Final Update'!A4:L1000,5,FALSE)+(IF(ISBLANK(Draft!L7),0,VLOOKUP(Draft!L7, 'Final Update'!A4:L1000,5,FALSE)+(IF(ISBLANK(Draft!M10),0,VLOOKUP(Draft!M10, 'Final Update'!A4:L1000,5,FALSE)+IF(ISBLANK(Draft!N7),0,VLOOKUP(Draft!N7, 'Final Update'!A4:L1000,5,FALSE)+IF(ISBLANK(Draft!O10),0,VLOOKUP(Draft!O10, 'Final Update'!A4:L1000,5,FALSE))))))))))))))))))))))))</f>
        <v>0</v>
      </c>
      <c r="H9" s="417">
        <f>((IF(ISBLANK(Draft!D7),0,VLOOKUP(Draft!D7, 'Final Update'!A4:L1000,6,FALSE)+(IF(ISBLANK(Draft!E10),0,VLOOKUP(Draft!E10, 'Final Update'!A4:L1000,6,FALSE)+(IF(ISBLANK(Draft!F7),0,VLOOKUP(Draft!F7, 'Final Update'!A4:L1000,6,FALSE)+(IF(ISBLANK(Draft!G10),0,VLOOKUP(Draft!G10, 'Final Update'!A4:L1000,6,FALSE)+(IF(ISBLANK(Draft!H7),0,VLOOKUP(Draft!H7, 'Final Update'!A4:L1000,6,FALSE)+(IF(ISBLANK(Draft!I10),0,VLOOKUP(Draft!I10, 'Final Update'!A4:L1000,6,FALSE)+(IF(ISBLANK(Draft!J7),0,VLOOKUP(Draft!J7, 'Final Update'!A4:L1000,6,FALSE)+(IF(ISBLANK(Draft!K10),0,VLOOKUP(Draft!K10, 'Final Update'!A4:L1000,6,FALSE)+(IF(ISBLANK(Draft!L7),0,VLOOKUP(Draft!L7, 'Final Update'!A4:L1000,6,FALSE)+(IF(ISBLANK(Draft!M10),0,VLOOKUP(Draft!M10, 'Final Update'!A4:L1000,6,FALSE)+IF(ISBLANK(Draft!N7),0,VLOOKUP(Draft!N7, 'Final Update'!A4:L1000,6,FALSE)+IF(ISBLANK(Draft!O10),0,VLOOKUP(Draft!O10, 'Final Update'!A4:L1000,6,FALSE))))))))))))))))))))))))</f>
        <v>0</v>
      </c>
      <c r="I9" s="417">
        <f>((IF(ISBLANK(Draft!D7),0,VLOOKUP(Draft!D7, 'Final Update'!A4:L1000,7,FALSE)+(IF(ISBLANK(Draft!E10),0,VLOOKUP(Draft!E10, 'Final Update'!A4:L1000,7,FALSE)+(IF(ISBLANK(Draft!F7),0,VLOOKUP(Draft!F7, 'Final Update'!A4:L1000,7,FALSE)+(IF(ISBLANK(Draft!G10),0,VLOOKUP(Draft!G10, 'Final Update'!A4:L1000,7,FALSE)+(IF(ISBLANK(Draft!H7),0,VLOOKUP(Draft!H7, 'Final Update'!A4:L1000,7,FALSE)+(IF(ISBLANK(Draft!I10),0,VLOOKUP(Draft!I10, 'Final Update'!A4:L1000,7,FALSE)+(IF(ISBLANK(Draft!J7),0,VLOOKUP(Draft!J7, 'Final Update'!A4:L1000,7,FALSE)+(IF(ISBLANK(Draft!K10),0,VLOOKUP(Draft!K10, 'Final Update'!A4:L1000,7,FALSE)+(IF(ISBLANK(Draft!L7),0,VLOOKUP(Draft!L7, 'Final Update'!A4:L1000,7,FALSE)+(IF(ISBLANK(Draft!M10),0,VLOOKUP(Draft!M10, 'Final Update'!A4:L1000,7,FALSE)+IF(ISBLANK(Draft!N7),0,VLOOKUP(Draft!N7, 'Final Update'!A4:L1000,7,FALSE)+IF(ISBLANK(Draft!O10),0,VLOOKUP(Draft!O10, 'Final Update'!A4:L1000,7,FALSE))))))))))))))))))))))))</f>
        <v>0</v>
      </c>
      <c r="J9" s="417">
        <f>((IF(ISBLANK(Draft!D7),0,VLOOKUP(Draft!D7, 'Final Update'!A4:L1000,8,FALSE)+(IF(ISBLANK(Draft!E10),0,VLOOKUP(Draft!E10, 'Final Update'!A4:L1000,8,FALSE)+(IF(ISBLANK(Draft!F7),0,VLOOKUP(Draft!F7, 'Final Update'!A4:L1000,8,FALSE)+(IF(ISBLANK(Draft!G10),0,VLOOKUP(Draft!G10, 'Final Update'!A4:L1000,8,FALSE)+(IF(ISBLANK(Draft!H7),0,VLOOKUP(Draft!H7, 'Final Update'!A4:L1000,8,FALSE)+(IF(ISBLANK(Draft!I10),0,VLOOKUP(Draft!I10, 'Final Update'!A4:L1000,8,FALSE)+(IF(ISBLANK(Draft!J7),0,VLOOKUP(Draft!J7, 'Final Update'!A4:L1000,8,FALSE)+(IF(ISBLANK(Draft!K10),0,VLOOKUP(Draft!K10, 'Final Update'!A4:L1000,8,FALSE)+(IF(ISBLANK(Draft!L7),0,VLOOKUP(Draft!L7, 'Final Update'!A4:L1000,8,FALSE)+(IF(ISBLANK(Draft!M10),0,VLOOKUP(Draft!M10, 'Final Update'!A4:L1000,8,FALSE)+IF(ISBLANK(Draft!N7),0,VLOOKUP(Draft!N7, 'Final Update'!A4:L1000,8,FALSE)+IF(ISBLANK(Draft!O10),0,VLOOKUP(Draft!O10, 'Final Update'!A4:L1000,7,FALSE))))))))))))))))))))))))</f>
        <v>0</v>
      </c>
      <c r="K9" s="417">
        <f>((IF(ISBLANK(Draft!D7),0,VLOOKUP(Draft!D7, 'Final Update'!A4:L1000,10,FALSE)+(IF(ISBLANK(Draft!E10),0,VLOOKUP(Draft!E10, 'Final Update'!A4:L1000,10,FALSE)+(IF(ISBLANK(Draft!F7),0,VLOOKUP(Draft!F7, 'Final Update'!A4:L1000,10,FALSE)+(IF(ISBLANK(Draft!G10),0,VLOOKUP(Draft!G10, 'Final Update'!A4:L1000,10,FALSE)+(IF(ISBLANK(Draft!H7),0,VLOOKUP(Draft!H7, 'Final Update'!A4:L1000,10,FALSE)+(IF(ISBLANK(Draft!I10),0,VLOOKUP(Draft!I10, 'Final Update'!A4:L1000,10,FALSE)+(IF(ISBLANK(Draft!J7),0,VLOOKUP(Draft!J7, 'Final Update'!A4:L1000,10,FALSE)+(IF(ISBLANK(Draft!K10),0,VLOOKUP(Draft!K10, 'Final Update'!A4:L1000,10,FALSE)+(IF(ISBLANK(Draft!L7),0,VLOOKUP(Draft!L7, 'Final Update'!A4:L1000,10,FALSE)+(IF(ISBLANK(Draft!M10),0,VLOOKUP(Draft!M10, 'Final Update'!A4:L1000,10,FALSE)+IF(ISBLANK(Draft!N7),0,VLOOKUP(Draft!N7, 'Final Update'!A4:L1000,10,FALSE)+IF(ISBLANK(Draft!O10),0,VLOOKUP(Draft!O10, 'Final Update'!A4:L1000,10,FALSE))))))))))))))))))))))))</f>
        <v>0</v>
      </c>
      <c r="L9" s="417">
        <f>((IF(ISBLANK(Draft!D7),0,VLOOKUP(Draft!D7, 'Final Update'!A4:L1000,12,FALSE)+(IF(ISBLANK(Draft!E10),0,VLOOKUP(Draft!E10, 'Final Update'!A4:L1000,12,FALSE)+(IF(ISBLANK(Draft!F7),0,VLOOKUP(Draft!F7, 'Final Update'!A4:L1000,12,FALSE)+(IF(ISBLANK(Draft!G10),0,VLOOKUP(Draft!G10, 'Final Update'!A4:L1000,12,FALSE)+(IF(ISBLANK(Draft!H7),0,VLOOKUP(Draft!H7, 'Final Update'!A4:L1000,12,FALSE)+(IF(ISBLANK(Draft!I10),0,VLOOKUP(Draft!I10, 'Final Update'!A4:L1000,12,FALSE)+(IF(ISBLANK(Draft!J7),0,VLOOKUP(Draft!J7, 'Final Update'!A4:L1000,12,FALSE)+(IF(ISBLANK(Draft!K10),0,VLOOKUP(Draft!K10, 'Final Update'!A4:L1000,12,FALSE)+(IF(ISBLANK(Draft!L7),0,VLOOKUP(Draft!L7, 'Final Update'!A4:L1000,12,FALSE)+(IF(ISBLANK(Draft!M10),0,VLOOKUP(Draft!M10, 'Final Update'!A4:L1000,12,FALSE)+IF(ISBLANK(Draft!N7),0,VLOOKUP(Draft!N7, 'Final Update'!A4:L1000,12,FALSE)+IF(ISBLANK(Draft!O10),0,VLOOKUP(Draft!O10, 'Final Update'!A4:L1000,12,FALSE))))))))))))))))))))))))</f>
        <v>0</v>
      </c>
      <c r="M9" s="435">
        <f t="array" ref="M9">if(M$3=$C9,"-", countif(indirect(address(row($C$4)+ VLOOKUP(M$3,$C$5:$C$16,1),COLUMN($D$4))):indirect(address(row($C$4)+ VLOOKUP(M$3,$C$5:$C$16,1),COLUMN($L$4)))&gt;indirect(address(row($C9),COLUMN($D$4))):indirect(address(row($C9),COLUMN($L$4))),TRUE()))</f>
        <v>0</v>
      </c>
      <c r="N9" s="435">
        <f t="array" ref="N9">if(N$3=$C9,"-", countif(indirect(address(row($C$4)+ VLOOKUP(N$3,$C$5:$C$16,1),COLUMN($D$4))):indirect(address(row($C$4)+ VLOOKUP(N$3,$C$5:$C$16,1),COLUMN($L$4)))&gt;indirect(address(row($C9),COLUMN($D$4))):indirect(address(row($C9),COLUMN($L$4))),TRUE()))</f>
        <v>0</v>
      </c>
      <c r="O9" s="435">
        <f t="array" ref="O9">if(O$3=$C9,"-", countif(indirect(address(row($C$4)+ VLOOKUP(O$3,$C$5:$C$16,1),COLUMN($D$4))):indirect(address(row($C$4)+ VLOOKUP(O$3,$C$5:$C$16,1),COLUMN($L$4)))&gt;indirect(address(row($C9),COLUMN($D$4))):indirect(address(row($C9),COLUMN($L$4))),TRUE()))</f>
        <v>0</v>
      </c>
      <c r="P9" s="435">
        <f t="array" ref="P9">if(P$3=$C9,"-", countif(indirect(address(row($C$4)+ VLOOKUP(P$3,$C$5:$C$16,1),COLUMN($D$4))):indirect(address(row($C$4)+ VLOOKUP(P$3,$C$5:$C$16,1),COLUMN($L$4)))&gt;indirect(address(row($C9),COLUMN($D$4))):indirect(address(row($C9),COLUMN($L$4))),TRUE()))</f>
        <v>0</v>
      </c>
      <c r="Q9" s="435">
        <f t="array" ref="Q9">if(Q$3=$C9,"-", countif(indirect(address(row($C$4)+ VLOOKUP(Q$3,$C$5:$C$16,1),COLUMN($D$4))):indirect(address(row($C$4)+ VLOOKUP(Q$3,$C$5:$C$16,1),COLUMN($L$4)))&gt;indirect(address(row($C9),COLUMN($D$4))):indirect(address(row($C9),COLUMN($L$4))),TRUE()))</f>
        <v>0</v>
      </c>
      <c r="R9" s="435">
        <f t="array" ref="R9">if(R$3=$C9,"-", countif(indirect(address(row($C$4)+ VLOOKUP(R$3,$C$5:$C$16,1),COLUMN($D$4))):indirect(address(row($C$4)+ VLOOKUP(R$3,$C$5:$C$16,1),COLUMN($L$4)))&gt;indirect(address(row($C9),COLUMN($D$4))):indirect(address(row($C9),COLUMN($L$4))),TRUE()))</f>
        <v>0</v>
      </c>
      <c r="S9" s="435">
        <f t="array" ref="S9">if(S$3=$C9,"-", countif(indirect(address(row($C$4)+ VLOOKUP(S$3,$C$5:$C$16,1),COLUMN($D$4))):indirect(address(row($C$4)+ VLOOKUP(S$3,$C$5:$C$16,1),COLUMN($L$4)))&gt;indirect(address(row($C9),COLUMN($D$4))):indirect(address(row($C9),COLUMN($L$4))),TRUE()))</f>
        <v>0</v>
      </c>
      <c r="T9" s="435">
        <f t="array" ref="T9">if(T$3=$C9,"-", countif(indirect(address(row($C$4)+ VLOOKUP(T$3,$C$5:$C$16,1),COLUMN($D$4))):indirect(address(row($C$4)+ VLOOKUP(T$3,$C$5:$C$16,1),COLUMN($L$4)))&gt;indirect(address(row($C9),COLUMN($D$4))):indirect(address(row($C9),COLUMN($L$4))),TRUE()))</f>
        <v>0</v>
      </c>
      <c r="U9" s="435">
        <f t="array" ref="U9">if(U$3=$C9,"-", countif(indirect(address(row($C$4)+ VLOOKUP(U$3,$C$5:$C$16,1),COLUMN($D$4))):indirect(address(row($C$4)+ VLOOKUP(U$3,$C$5:$C$16,1),COLUMN($L$4)))&gt;indirect(address(row($C9),COLUMN($D$4))):indirect(address(row($C9),COLUMN($L$4))),TRUE()))</f>
        <v>0</v>
      </c>
      <c r="V9" s="435">
        <f t="array" ref="V9">if(V$3=$C9,"-", countif(indirect(address(row($C$4)+ VLOOKUP(V$3,$C$5:$C$16,1),COLUMN($D$4))):indirect(address(row($C$4)+ VLOOKUP(V$3,$C$5:$C$16,1),COLUMN($L$4)))&gt;indirect(address(row($C9),COLUMN($D$4))):indirect(address(row($C9),COLUMN($L$4))),TRUE()))</f>
        <v>0</v>
      </c>
      <c r="W9" s="435">
        <f t="array" ref="W9">if(W$3=$C9,"-", countif(indirect(address(row($C$4)+ VLOOKUP(W$3,$C$5:$C$16,1),COLUMN($D$4))):indirect(address(row($C$4)+ VLOOKUP(W$3,$C$5:$C$16,1),COLUMN($L$4)))&gt;indirect(address(row($C9),COLUMN($D$4))):indirect(address(row($C9),COLUMN($L$4))),TRUE()))</f>
        <v>0</v>
      </c>
      <c r="X9" s="435">
        <f t="array" ref="X9">if(X$3=$C9,"-", countif(indirect(address(row($C$4)+ VLOOKUP(X$3,$C$5:$C$16,1),COLUMN($D$4))):indirect(address(row($C$4)+ VLOOKUP(X$3,$C$5:$C$16,1),COLUMN($L$4)))&gt;indirect(address(row($C9),COLUMN($D$4))):indirect(address(row($C9),COLUMN($L$4))),TRUE()))</f>
        <v>0</v>
      </c>
      <c r="Y9" s="435">
        <f t="array" ref="Y9">if(D$1=$C9,"-", countif(indirect(address(row($C$4)+ VLOOKUP(D$1,$C$5:$C$16,1),COLUMN($D$4))):indirect(address(row($C$4)+ VLOOKUP(D$1,$C$5:$C$16,1),COLUMN($L$4)))&gt;indirect(address(row($C9),COLUMN($D$4))):indirect(address(row($C9),COLUMN($L$4))),TRUE()))</f>
        <v>0</v>
      </c>
      <c r="Z9" s="433">
        <f>SUM(Q$5:Q$16)/99</f>
        <v>0</v>
      </c>
    </row>
    <row r="10">
      <c r="B10" s="432" t="b">
        <f>Draft!C8</f>
        <v>1</v>
      </c>
      <c r="C10" s="421">
        <v>6.0</v>
      </c>
      <c r="D10" s="466">
        <f>((IF(ISBLANK(Draft!D8),0,VLOOKUP(Draft!D8, 'Final Update'!A4:L1000,2,FALSE)+(IF(ISBLANK(Draft!E9),0,VLOOKUP(Draft!E9, 'Final Update'!A4:L1000,2,FALSE)+(IF(ISBLANK(Draft!F8),0,VLOOKUP(Draft!F8, 'Final Update'!A4:L1000,2,FALSE)+(IF(ISBLANK(Draft!G9),0,VLOOKUP(Draft!G9, 'Final Update'!A4:L1000,2,FALSE)+(IF(ISBLANK(Draft!H8),0,VLOOKUP(Draft!H8, 'Final Update'!A4:L1000,2,FALSE)+(IF(ISBLANK(Draft!I9),0,VLOOKUP(Draft!I9, 'Final Update'!A4:L1000,2,FALSE)+(IF(ISBLANK(Draft!J8),0,VLOOKUP(Draft!J8, 'Final Update'!A4:L1000,2,FALSE)+(IF(ISBLANK(Draft!K9),0,VLOOKUP(Draft!K9, 'Final Update'!A4:L1000,2,FALSE)+(IF(ISBLANK(Draft!L8),0,VLOOKUP(Draft!L8, 'Final Update'!A4:L1000,2,FALSE)+(IF(ISBLANK(Draft!M9),0,VLOOKUP(Draft!M9, 'Final Update'!A4:L1000,2,FALSE)+IF(ISBLANK(Draft!N8),0,VLOOKUP(Draft!N8, 'Final Update'!A4:L1000,2,FALSE)+IF(ISBLANK(Draft!O9),0,VLOOKUP(Draft!O9, 'Final Update'!A4:L1000,2,FALSE))))))))))))))))))))))))</f>
        <v>0</v>
      </c>
      <c r="E10" s="417">
        <f>((IF(ISBLANK(Draft!D8),0,VLOOKUP(Draft!D8, 'Final Update'!A4:L1000,3,FALSE)+(IF(ISBLANK(Draft!E9),0,VLOOKUP(Draft!E9, 'Final Update'!A4:L1000,3,FALSE)+(IF(ISBLANK(Draft!F8),0,VLOOKUP(Draft!F8, 'Final Update'!A4:L1000,3,FALSE)+(IF(ISBLANK(Draft!G9),0,VLOOKUP(Draft!G9, 'Final Update'!A4:L1000,3,FALSE)+(IF(ISBLANK(Draft!H8),0,VLOOKUP(Draft!H8, 'Final Update'!A4:L1000,3,FALSE)+(IF(ISBLANK(Draft!I9),0,VLOOKUP(Draft!I9, 'Final Update'!A4:L1000,3,FALSE)+(IF(ISBLANK(Draft!J8),0,VLOOKUP(Draft!J8, 'Final Update'!A4:L1000,3,FALSE)+(IF(ISBLANK(Draft!K9),0,VLOOKUP(Draft!K9, 'Final Update'!A4:L1000,3,FALSE)+(IF(ISBLANK(Draft!L8),0,VLOOKUP(Draft!L8, 'Final Update'!A4:L1000,3,FALSE)+(IF(ISBLANK(Draft!M9),0,VLOOKUP(Draft!M9, 'Final Update'!A4:L1000,3,FALSE)+IF(ISBLANK(Draft!N8),0,VLOOKUP(Draft!N8, 'Final Update'!A4:L1000,3,FALSE)+IF(ISBLANK(Draft!O9),0,VLOOKUP(Draft!O9, 'Final Update'!A4:L1000,3,FALSE))))))))))))))))))))))))</f>
        <v>0</v>
      </c>
      <c r="F10" s="417">
        <f>((IF(ISBLANK(Draft!D8),0,VLOOKUP(Draft!D8, 'Final Update'!A4:L1000,4,FALSE)+(IF(ISBLANK(Draft!E9),0,VLOOKUP(Draft!E9, 'Final Update'!A4:L1000,4,FALSE)+(IF(ISBLANK(Draft!F8),0,VLOOKUP(Draft!F8, 'Final Update'!A4:L1000,4,FALSE)+(IF(ISBLANK(Draft!G9),0,VLOOKUP(Draft!G9, 'Final Update'!A4:L1000,4,FALSE)+(IF(ISBLANK(Draft!H8),0,VLOOKUP(Draft!H8, 'Final Update'!A4:L1000,4,FALSE)+(IF(ISBLANK(Draft!I9),0,VLOOKUP(Draft!I9, 'Final Update'!A4:L1000,4,FALSE)+(IF(ISBLANK(Draft!J8),0,VLOOKUP(Draft!J8, 'Final Update'!A4:L1000,4,FALSE)+(IF(ISBLANK(Draft!K9),0,VLOOKUP(Draft!K9, 'Final Update'!A4:L1000,4,FALSE)+(IF(ISBLANK(Draft!L8),0,VLOOKUP(Draft!L8, 'Final Update'!A4:L1000,4,FALSE)+(IF(ISBLANK(Draft!M9),0,VLOOKUP(Draft!M9, 'Final Update'!A4:L1000,4,FALSE)+IF(ISBLANK(Draft!N8),0,VLOOKUP(Draft!N8, 'Final Update'!A4:L1000,4,FALSE)+IF(ISBLANK(Draft!O9),0,VLOOKUP(Draft!O9, 'Final Update'!A4:L1000,4,FALSE))))))))))))))))))))))))</f>
        <v>0</v>
      </c>
      <c r="G10" s="421">
        <f>((IF(ISBLANK(Draft!D8),0,VLOOKUP(Draft!D8, 'Final Update'!A4:L1000,5,FALSE)+(IF(ISBLANK(Draft!E9),0,VLOOKUP(Draft!E9, 'Final Update'!A4:L1000,5,FALSE)+(IF(ISBLANK(Draft!F8),0,VLOOKUP(Draft!F8, 'Final Update'!A4:L1000,5,FALSE)+(IF(ISBLANK(Draft!G9),0,VLOOKUP(Draft!G9, 'Final Update'!A4:L1000,5,FALSE)+(IF(ISBLANK(Draft!H8),0,VLOOKUP(Draft!H8, 'Final Update'!A4:L1000,5,FALSE)+(IF(ISBLANK(Draft!I9),0,VLOOKUP(Draft!I9, 'Final Update'!A4:L1000,5,FALSE)+(IF(ISBLANK(Draft!J8),0,VLOOKUP(Draft!J8, 'Final Update'!A4:L1000,5,FALSE)+(IF(ISBLANK(Draft!K9),0,VLOOKUP(Draft!K9, 'Final Update'!A4:L1000,5,FALSE)+(IF(ISBLANK(Draft!L8),0,VLOOKUP(Draft!L8, 'Final Update'!A4:L1000,5,FALSE)+(IF(ISBLANK(Draft!M9),0,VLOOKUP(Draft!M9, 'Final Update'!A4:L1000,5,FALSE)+IF(ISBLANK(Draft!N8),0,VLOOKUP(Draft!N8, 'Final Update'!A4:L1000,5,FALSE)+IF(ISBLANK(Draft!O9),0,VLOOKUP(Draft!O9, 'Final Update'!A4:L1000,5,FALSE))))))))))))))))))))))))</f>
        <v>0</v>
      </c>
      <c r="H10" s="417">
        <f>((IF(ISBLANK(Draft!D8),0,VLOOKUP(Draft!D8, 'Final Update'!A4:L1000,6,FALSE)+(IF(ISBLANK(Draft!E9),0,VLOOKUP(Draft!E9, 'Final Update'!A4:L1000,6,FALSE)+(IF(ISBLANK(Draft!F8),0,VLOOKUP(Draft!F8, 'Final Update'!A4:L1000,6,FALSE)+(IF(ISBLANK(Draft!G9),0,VLOOKUP(Draft!G9, 'Final Update'!A4:L1000,6,FALSE)+(IF(ISBLANK(Draft!H8),0,VLOOKUP(Draft!H8, 'Final Update'!A4:L1000,6,FALSE)+(IF(ISBLANK(Draft!I9),0,VLOOKUP(Draft!I9, 'Final Update'!A4:L1000,6,FALSE)+(IF(ISBLANK(Draft!J8),0,VLOOKUP(Draft!J8, 'Final Update'!A4:L1000,6,FALSE)+(IF(ISBLANK(Draft!K9),0,VLOOKUP(Draft!K9, 'Final Update'!A4:L1000,6,FALSE)+(IF(ISBLANK(Draft!L8),0,VLOOKUP(Draft!L8, 'Final Update'!A4:L1000,6,FALSE)+(IF(ISBLANK(Draft!M9),0,VLOOKUP(Draft!M9, 'Final Update'!A4:L1000,6,FALSE)+IF(ISBLANK(Draft!N8),0,VLOOKUP(Draft!N8, 'Final Update'!A4:L1000,6,FALSE)+IF(ISBLANK(Draft!O9),0,VLOOKUP(Draft!O9, 'Final Update'!A4:L1000,6,FALSE))))))))))))))))))))))))</f>
        <v>0</v>
      </c>
      <c r="I10" s="417">
        <f>((IF(ISBLANK(Draft!D8),0,VLOOKUP(Draft!D8, 'Final Update'!A4:L1000,7,FALSE)+(IF(ISBLANK(Draft!E9),0,VLOOKUP(Draft!E9, 'Final Update'!A4:L1000,7,FALSE)+(IF(ISBLANK(Draft!F8),0,VLOOKUP(Draft!F8, 'Final Update'!A4:L1000,7,FALSE)+(IF(ISBLANK(Draft!G9),0,VLOOKUP(Draft!G9, 'Final Update'!A4:L1000,7,FALSE)+(IF(ISBLANK(Draft!H8),0,VLOOKUP(Draft!H8, 'Final Update'!A4:L1000,7,FALSE)+(IF(ISBLANK(Draft!I9),0,VLOOKUP(Draft!I9, 'Final Update'!A4:L1000,7,FALSE)+(IF(ISBLANK(Draft!J8),0,VLOOKUP(Draft!J8, 'Final Update'!A4:L1000,7,FALSE)+(IF(ISBLANK(Draft!K9),0,VLOOKUP(Draft!K9, 'Final Update'!A4:L1000,7,FALSE)+(IF(ISBLANK(Draft!L8),0,VLOOKUP(Draft!L8, 'Final Update'!A4:L1000,7,FALSE)+(IF(ISBLANK(Draft!M9),0,VLOOKUP(Draft!M9, 'Final Update'!A4:L1000,7,FALSE)+IF(ISBLANK(Draft!N8),0,VLOOKUP(Draft!N8, 'Final Update'!A4:L1000,7,FALSE)+IF(ISBLANK(Draft!O9),0,VLOOKUP(Draft!O9, 'Final Update'!A4:L1000,7,FALSE))))))))))))))))))))))))</f>
        <v>0</v>
      </c>
      <c r="J10" s="417">
        <f>((IF(ISBLANK(Draft!D8),0,VLOOKUP(Draft!D8, 'Final Update'!A4:L1000,8,FALSE)+(IF(ISBLANK(Draft!E9),0,VLOOKUP(Draft!E9, 'Final Update'!A4:L1000,8,FALSE)+(IF(ISBLANK(Draft!F8),0,VLOOKUP(Draft!F8, 'Final Update'!A4:L1000,8,FALSE)+(IF(ISBLANK(Draft!G9),0,VLOOKUP(Draft!G9, 'Final Update'!A4:L1000,8,FALSE)+(IF(ISBLANK(Draft!H8),0,VLOOKUP(Draft!H8, 'Final Update'!A4:L1000,8,FALSE)+(IF(ISBLANK(Draft!I9),0,VLOOKUP(Draft!I9, 'Final Update'!A4:L1000,8,FALSE)+(IF(ISBLANK(Draft!J8),0,VLOOKUP(Draft!J8, 'Final Update'!A4:L1000,8,FALSE)+(IF(ISBLANK(Draft!K9),0,VLOOKUP(Draft!K9, 'Final Update'!A4:L1000,8,FALSE)+(IF(ISBLANK(Draft!L8),0,VLOOKUP(Draft!L8, 'Final Update'!A4:L1000,8,FALSE)+(IF(ISBLANK(Draft!M9),0,VLOOKUP(Draft!M9, 'Final Update'!A4:L1000,8,FALSE)+IF(ISBLANK(Draft!N8),0,VLOOKUP(Draft!N8, 'Final Update'!A4:L1000,8,FALSE)+IF(ISBLANK(Draft!O9),0,VLOOKUP(Draft!O9, 'Final Update'!A4:L1000,8,FALSE))))))))))))))))))))))))</f>
        <v>0</v>
      </c>
      <c r="K10" s="417">
        <f>((IF(ISBLANK(Draft!D8),0,VLOOKUP(Draft!D8, 'Final Update'!A4:L1000,10,FALSE)+(IF(ISBLANK(Draft!E9),0,VLOOKUP(Draft!E9, 'Final Update'!A4:L1000,10,FALSE)+(IF(ISBLANK(Draft!F8),0,VLOOKUP(Draft!F8, 'Final Update'!A4:L1000,10,FALSE)+(IF(ISBLANK(Draft!G9),0,VLOOKUP(Draft!G9, 'Final Update'!A4:L1000,10,FALSE)+(IF(ISBLANK(Draft!H8),0,VLOOKUP(Draft!H8, 'Final Update'!A4:L1000,10,FALSE)+(IF(ISBLANK(Draft!I9),0,VLOOKUP(Draft!I9, 'Final Update'!A4:L1000,10,FALSE)+(IF(ISBLANK(Draft!J8),0,VLOOKUP(Draft!J8, 'Final Update'!A4:L1000,10,FALSE)+(IF(ISBLANK(Draft!K9),0,VLOOKUP(Draft!K9, 'Final Update'!A4:L1000,10,FALSE)+(IF(ISBLANK(Draft!L8),0,VLOOKUP(Draft!L8, 'Final Update'!A4:L1000,10,FALSE)+(IF(ISBLANK(Draft!M9),0,VLOOKUP(Draft!M9, 'Final Update'!A4:L1000,10,FALSE)+IF(ISBLANK(Draft!N8),0,VLOOKUP(Draft!N8, 'Final Update'!A4:L1000,10,FALSE)+IF(ISBLANK(Draft!O9),0,VLOOKUP(Draft!O9, 'Final Update'!A4:L1000,10,FALSE))))))))))))))))))))))))</f>
        <v>0</v>
      </c>
      <c r="L10" s="421">
        <f>((IF(ISBLANK(Draft!D8),0,VLOOKUP(Draft!D8, 'Final Update'!A4:L1000,12,FALSE)+(IF(ISBLANK(Draft!E9),0,VLOOKUP(Draft!E9, 'Final Update'!A4:L1000,12,FALSE)+(IF(ISBLANK(Draft!F8),0,VLOOKUP(Draft!F8, 'Final Update'!A4:L1000,12,FALSE)+(IF(ISBLANK(Draft!G9),0,VLOOKUP(Draft!G9, 'Final Update'!A4:L1000,12,FALSE)+(IF(ISBLANK(Draft!H8),0,VLOOKUP(Draft!H8, 'Final Update'!A4:L1000,12,FALSE)+(IF(ISBLANK(Draft!I9),0,VLOOKUP(Draft!I9, 'Final Update'!A4:L1000,12,FALSE)+(IF(ISBLANK(Draft!J8),0,VLOOKUP(Draft!J8, 'Final Update'!A4:L1000,12,FALSE)+(IF(ISBLANK(Draft!K9),0,VLOOKUP(Draft!K9, 'Final Update'!A4:L1000,12,FALSE)+(IF(ISBLANK(Draft!L8),0,VLOOKUP(Draft!L8, 'Final Update'!A4:L1000,12,FALSE)+(IF(ISBLANK(Draft!M9),0,VLOOKUP(Draft!M9, 'Final Update'!A4:L1000,12,FALSE)+IF(ISBLANK(Draft!N8),0,VLOOKUP(Draft!N8, 'Final Update'!A4:L1000,12,FALSE)+IF(ISBLANK(Draft!O9),0,VLOOKUP(Draft!O9, 'Final Update'!A4:L1000,12,FALSE))))))))))))))))))))))))</f>
        <v>0</v>
      </c>
      <c r="M10" s="435">
        <f t="array" ref="M10">if(M$3=$C10,"-", countif(indirect(address(row($C$4)+ VLOOKUP(M$3,$C$5:$C$16,1),COLUMN($D$4))):indirect(address(row($C$4)+ VLOOKUP(M$3,$C$5:$C$16,1),COLUMN($L$4)))&gt;indirect(address(row($C10),COLUMN($D$4))):indirect(address(row($C10),COLUMN($L$4))),TRUE()))</f>
        <v>0</v>
      </c>
      <c r="N10" s="435">
        <f t="array" ref="N10">if(N$3=$C10,"-", countif(indirect(address(row($C$4)+ VLOOKUP(N$3,$C$5:$C$16,1),COLUMN($D$4))):indirect(address(row($C$4)+ VLOOKUP(N$3,$C$5:$C$16,1),COLUMN($L$4)))&gt;indirect(address(row($C10),COLUMN($D$4))):indirect(address(row($C10),COLUMN($L$4))),TRUE()))</f>
        <v>0</v>
      </c>
      <c r="O10" s="435">
        <f t="array" ref="O10">if(O$3=$C10,"-", countif(indirect(address(row($C$4)+ VLOOKUP(O$3,$C$5:$C$16,1),COLUMN($D$4))):indirect(address(row($C$4)+ VLOOKUP(O$3,$C$5:$C$16,1),COLUMN($L$4)))&gt;indirect(address(row($C10),COLUMN($D$4))):indirect(address(row($C10),COLUMN($L$4))),TRUE()))</f>
        <v>0</v>
      </c>
      <c r="P10" s="435">
        <f t="array" ref="P10">if(P$3=$C10,"-", countif(indirect(address(row($C$4)+ VLOOKUP(P$3,$C$5:$C$16,1),COLUMN($D$4))):indirect(address(row($C$4)+ VLOOKUP(P$3,$C$5:$C$16,1),COLUMN($L$4)))&gt;indirect(address(row($C10),COLUMN($D$4))):indirect(address(row($C10),COLUMN($L$4))),TRUE()))</f>
        <v>0</v>
      </c>
      <c r="Q10" s="435">
        <f t="array" ref="Q10">if(Q$3=$C10,"-", countif(indirect(address(row($C$4)+ VLOOKUP(Q$3,$C$5:$C$16,1),COLUMN($D$4))):indirect(address(row($C$4)+ VLOOKUP(Q$3,$C$5:$C$16,1),COLUMN($L$4)))&gt;indirect(address(row($C10),COLUMN($D$4))):indirect(address(row($C10),COLUMN($L$4))),TRUE()))</f>
        <v>0</v>
      </c>
      <c r="R10" s="435">
        <f t="array" ref="R10">if(R$3=$C10,"-", countif(indirect(address(row($C$4)+ VLOOKUP(R$3,$C$5:$C$16,1),COLUMN($D$4))):indirect(address(row($C$4)+ VLOOKUP(R$3,$C$5:$C$16,1),COLUMN($L$4)))&gt;indirect(address(row($C10),COLUMN($D$4))):indirect(address(row($C10),COLUMN($L$4))),TRUE()))</f>
        <v>0</v>
      </c>
      <c r="S10" s="435">
        <f t="array" ref="S10">if(S$3=$C10,"-", countif(indirect(address(row($C$4)+ VLOOKUP(S$3,$C$5:$C$16,1),COLUMN($D$4))):indirect(address(row($C$4)+ VLOOKUP(S$3,$C$5:$C$16,1),COLUMN($L$4)))&gt;indirect(address(row($C10),COLUMN($D$4))):indirect(address(row($C10),COLUMN($L$4))),TRUE()))</f>
        <v>0</v>
      </c>
      <c r="T10" s="435">
        <f t="array" ref="T10">if(T$3=$C10,"-", countif(indirect(address(row($C$4)+ VLOOKUP(T$3,$C$5:$C$16,1),COLUMN($D$4))):indirect(address(row($C$4)+ VLOOKUP(T$3,$C$5:$C$16,1),COLUMN($L$4)))&gt;indirect(address(row($C10),COLUMN($D$4))):indirect(address(row($C10),COLUMN($L$4))),TRUE()))</f>
        <v>0</v>
      </c>
      <c r="U10" s="435">
        <f t="array" ref="U10">if(U$3=$C10,"-", countif(indirect(address(row($C$4)+ VLOOKUP(U$3,$C$5:$C$16,1),COLUMN($D$4))):indirect(address(row($C$4)+ VLOOKUP(U$3,$C$5:$C$16,1),COLUMN($L$4)))&gt;indirect(address(row($C10),COLUMN($D$4))):indirect(address(row($C10),COLUMN($L$4))),TRUE()))</f>
        <v>0</v>
      </c>
      <c r="V10" s="435">
        <f t="array" ref="V10">if(V$3=$C10,"-", countif(indirect(address(row($C$4)+ VLOOKUP(V$3,$C$5:$C$16,1),COLUMN($D$4))):indirect(address(row($C$4)+ VLOOKUP(V$3,$C$5:$C$16,1),COLUMN($L$4)))&gt;indirect(address(row($C10),COLUMN($D$4))):indirect(address(row($C10),COLUMN($L$4))),TRUE()))</f>
        <v>0</v>
      </c>
      <c r="W10" s="435">
        <f t="array" ref="W10">if(W$3=$C10,"-", countif(indirect(address(row($C$4)+ VLOOKUP(W$3,$C$5:$C$16,1),COLUMN($D$4))):indirect(address(row($C$4)+ VLOOKUP(W$3,$C$5:$C$16,1),COLUMN($L$4)))&gt;indirect(address(row($C10),COLUMN($D$4))):indirect(address(row($C10),COLUMN($L$4))),TRUE()))</f>
        <v>0</v>
      </c>
      <c r="X10" s="435">
        <f t="array" ref="X10">if(X$3=$C10,"-", countif(indirect(address(row($C$4)+ VLOOKUP(X$3,$C$5:$C$16,1),COLUMN($D$4))):indirect(address(row($C$4)+ VLOOKUP(X$3,$C$5:$C$16,1),COLUMN($L$4)))&gt;indirect(address(row($C10),COLUMN($D$4))):indirect(address(row($C10),COLUMN($L$4))),TRUE()))</f>
        <v>0</v>
      </c>
      <c r="Y10" s="435">
        <f t="array" ref="Y10">if(D$1=$C10,"-", countif(indirect(address(row($C$4)+ VLOOKUP(D$1,$C$5:$C$16,1),COLUMN($D$4))):indirect(address(row($C$4)+ VLOOKUP(D$1,$C$5:$C$16,1),COLUMN($L$4)))&gt;indirect(address(row($C10),COLUMN($D$4))):indirect(address(row($C10),COLUMN($L$4))),TRUE()))</f>
        <v>0</v>
      </c>
      <c r="Z10" s="433">
        <f>SUM(R$5:R$16)/99</f>
        <v>0</v>
      </c>
    </row>
    <row r="11">
      <c r="B11" s="432" t="b">
        <f>Draft!C9</f>
        <v>0</v>
      </c>
      <c r="C11" s="421">
        <v>7.0</v>
      </c>
      <c r="D11" s="417">
        <f>((IF(ISBLANK(Draft!D9),0,VLOOKUP(Draft!D9, 'Final Update'!A4:L1000,2,FALSE)+(IF(ISBLANK(Draft!E8),0,VLOOKUP(Draft!E8, 'Final Update'!A4:L1000,2,FALSE)+(IF(ISBLANK(Draft!F9),0,VLOOKUP(Draft!F9, 'Final Update'!A4:L1000,2,FALSE)+(IF(ISBLANK(Draft!G8),0,VLOOKUP(Draft!G8, 'Final Update'!A4:L1000,2,FALSE)+(IF(ISBLANK(Draft!H9),0,VLOOKUP(Draft!H9, 'Final Update'!A4:L1000,2,FALSE)+(IF(ISBLANK(Draft!I8),0,VLOOKUP(Draft!I8, 'Final Update'!A4:L1000,2,FALSE)+(IF(ISBLANK(Draft!J9),0,VLOOKUP(Draft!J9, 'Final Update'!A4:L1000,2,FALSE)+(IF(ISBLANK(Draft!K8),0,VLOOKUP(Draft!K8, 'Final Update'!A4:L1000,2,FALSE)+(IF(ISBLANK(Draft!L9),0,VLOOKUP(Draft!L9, 'Final Update'!A4:L1000,2,FALSE)+(IF(ISBLANK(Draft!M8),0,VLOOKUP(Draft!M8, 'Final Update'!A4:L1000,2,FALSE)+IF(ISBLANK(Draft!N9),0,VLOOKUP(Draft!N9, 'Final Update'!A4:L1000,2,FALSE)+IF(ISBLANK(Draft!O8),0,VLOOKUP(Draft!O8, 'Final Update'!A4:L1000,2,FALSE))))))))))))))))))))))))</f>
        <v>0</v>
      </c>
      <c r="E11" s="417">
        <f>((IF(ISBLANK(Draft!D9),0,VLOOKUP(Draft!D9, 'Final Update'!A4:L1000,3,FALSE)+(IF(ISBLANK(Draft!E8),0,VLOOKUP(Draft!E8, 'Final Update'!A4:L1000,3,FALSE)+(IF(ISBLANK(Draft!F9),0,VLOOKUP(Draft!F9, 'Final Update'!A4:L1000,3,FALSE)+(IF(ISBLANK(Draft!G8),0,VLOOKUP(Draft!G8, 'Final Update'!A4:L1000,3,FALSE)+(IF(ISBLANK(Draft!H9),0,VLOOKUP(Draft!H9, 'Final Update'!A4:L1000,3,FALSE)+(IF(ISBLANK(Draft!I8),0,VLOOKUP(Draft!I8, 'Final Update'!A4:L1000,3,FALSE)+(IF(ISBLANK(Draft!J9),0,VLOOKUP(Draft!J9, 'Final Update'!A4:L1000,3,FALSE)+(IF(ISBLANK(Draft!K8),0,VLOOKUP(Draft!K8, 'Final Update'!A4:L1000,3,FALSE)+(IF(ISBLANK(Draft!L9),0,VLOOKUP(Draft!L9, 'Final Update'!A4:L1000,3,FALSE)+(IF(ISBLANK(Draft!M8),0,VLOOKUP(Draft!M8, 'Final Update'!A4:L1000,3,FALSE)+IF(ISBLANK(Draft!N9),0,VLOOKUP(Draft!N9, 'Final Update'!A4:L1000,3,FALSE)+IF(ISBLANK(Draft!O8),0,VLOOKUP(Draft!O8, 'Final Update'!A4:L1000,3,FALSE))))))))))))))))))))))))</f>
        <v>0</v>
      </c>
      <c r="F11" s="417">
        <f>((IF(ISBLANK(Draft!D9),0,VLOOKUP(Draft!D9, 'Final Update'!A4:L1000,4,FALSE)+(IF(ISBLANK(Draft!E8),0,VLOOKUP(Draft!E8, 'Final Update'!A4:L1000,4,FALSE)+(IF(ISBLANK(Draft!F9),0,VLOOKUP(Draft!F9, 'Final Update'!A4:L1000,4,FALSE)+(IF(ISBLANK(Draft!G8),0,VLOOKUP(Draft!G8, 'Final Update'!A4:L1000,4,FALSE)+(IF(ISBLANK(Draft!H9),0,VLOOKUP(Draft!H9, 'Final Update'!A4:L1000,4,FALSE)+(IF(ISBLANK(Draft!I8),0,VLOOKUP(Draft!I8, 'Final Update'!A4:L1000,4,FALSE)+(IF(ISBLANK(Draft!J9),0,VLOOKUP(Draft!J9, 'Final Update'!A4:L1000,4,FALSE)+(IF(ISBLANK(Draft!K8),0,VLOOKUP(Draft!K8, 'Final Update'!A4:L1000,4,FALSE)+(IF(ISBLANK(Draft!L9),0,VLOOKUP(Draft!L9, 'Final Update'!A4:L1000,4,FALSE)+(IF(ISBLANK(Draft!M8),0,VLOOKUP(Draft!M8, 'Final Update'!A4:L1000,4,FALSE)+IF(ISBLANK(Draft!N9),0,VLOOKUP(Draft!N9, 'Final Update'!A4:L1000,4,FALSE)+IF(ISBLANK(Draft!O8),0,VLOOKUP(Draft!O8, 'Final Update'!A4:L1000,4,FALSE))))))))))))))))))))))))</f>
        <v>0</v>
      </c>
      <c r="G11" s="417">
        <f>((IF(ISBLANK(Draft!D9),0,VLOOKUP(Draft!D9, 'Final Update'!A4:L1000,5,FALSE)+(IF(ISBLANK(Draft!E8),0,VLOOKUP(Draft!E8, 'Final Update'!A4:L1000,5,FALSE)+(IF(ISBLANK(Draft!F9),0,VLOOKUP(Draft!F9, 'Final Update'!A4:L1000,5,FALSE)+(IF(ISBLANK(Draft!G8),0,VLOOKUP(Draft!G8, 'Final Update'!A4:L1000,5,FALSE)+(IF(ISBLANK(Draft!H9),0,VLOOKUP(Draft!H9, 'Final Update'!A4:L1000,5,FALSE)+(IF(ISBLANK(Draft!I8),0,VLOOKUP(Draft!I8, 'Final Update'!A4:L1000,5,FALSE)+(IF(ISBLANK(Draft!J9),0,VLOOKUP(Draft!J9, 'Final Update'!A4:L1000,5,FALSE)+(IF(ISBLANK(Draft!K8),0,VLOOKUP(Draft!K8, 'Final Update'!A4:L1000,5,FALSE)+(IF(ISBLANK(Draft!L9),0,VLOOKUP(Draft!L9, 'Final Update'!A4:L1000,5,FALSE)+(IF(ISBLANK(Draft!M8),0,VLOOKUP(Draft!M8, 'Final Update'!A4:L1000,5,FALSE)+IF(ISBLANK(Draft!N9),0,VLOOKUP(Draft!N9, 'Final Update'!A4:L1000,5,FALSE)+IF(ISBLANK(Draft!O8),0,VLOOKUP(Draft!O8, 'Final Update'!A4:L1000,5,FALSE))))))))))))))))))))))))</f>
        <v>0</v>
      </c>
      <c r="H11" s="417">
        <f>((IF(ISBLANK(Draft!D9),0,VLOOKUP(Draft!D9, 'Final Update'!A4:L1000,6,FALSE)+(IF(ISBLANK(Draft!E8),0,VLOOKUP(Draft!E8, 'Final Update'!A4:L1000,6,FALSE)+(IF(ISBLANK(Draft!F9),0,VLOOKUP(Draft!F9, 'Final Update'!A4:L1000,6,FALSE)+(IF(ISBLANK(Draft!G8),0,VLOOKUP(Draft!G8, 'Final Update'!A4:L1000,6,FALSE)+(IF(ISBLANK(Draft!H9),0,VLOOKUP(Draft!H9, 'Final Update'!A4:L1000,6,FALSE)+(IF(ISBLANK(Draft!I8),0,VLOOKUP(Draft!I8, 'Final Update'!A4:L1000,6,FALSE)+(IF(ISBLANK(Draft!J9),0,VLOOKUP(Draft!J9, 'Final Update'!A4:L1000,6,FALSE)+(IF(ISBLANK(Draft!K8),0,VLOOKUP(Draft!K8, 'Final Update'!A4:L1000,6,FALSE)+(IF(ISBLANK(Draft!L9),0,VLOOKUP(Draft!L9, 'Final Update'!A4:L1000,6,FALSE)+(IF(ISBLANK(Draft!M8),0,VLOOKUP(Draft!M8, 'Final Update'!A4:L1000,6,FALSE)+IF(ISBLANK(Draft!N9),0,VLOOKUP(Draft!N9, 'Final Update'!A4:L1000,6,FALSE)+IF(ISBLANK(Draft!O8),0,VLOOKUP(Draft!O8, 'Final Update'!A4:L1000,6,FALSE))))))))))))))))))))))))</f>
        <v>0</v>
      </c>
      <c r="I11" s="417">
        <f>((IF(ISBLANK(Draft!D9),0,VLOOKUP(Draft!D9, 'Final Update'!A4:L1000,7,FALSE)+(IF(ISBLANK(Draft!E8),0,VLOOKUP(Draft!E8, 'Final Update'!A4:L1000,7,FALSE)+(IF(ISBLANK(Draft!F9),0,VLOOKUP(Draft!F9, 'Final Update'!A4:L1000,7,FALSE)+(IF(ISBLANK(Draft!G8),0,VLOOKUP(Draft!G8, 'Final Update'!A4:L1000,7,FALSE)+(IF(ISBLANK(Draft!H9),0,VLOOKUP(Draft!H9, 'Final Update'!A4:L1000,7,FALSE)+(IF(ISBLANK(Draft!I8),0,VLOOKUP(Draft!I8, 'Final Update'!A4:L1000,7,FALSE)+(IF(ISBLANK(Draft!J9),0,VLOOKUP(Draft!J9, 'Final Update'!A4:L1000,7,FALSE)+(IF(ISBLANK(Draft!K8),0,VLOOKUP(Draft!K8, 'Final Update'!A4:L1000,7,FALSE)+(IF(ISBLANK(Draft!L9),0,VLOOKUP(Draft!L9, 'Final Update'!A4:L1000,7,FALSE)+(IF(ISBLANK(Draft!M8),0,VLOOKUP(Draft!M8, 'Final Update'!A4:L1000,7,FALSE)+IF(ISBLANK(Draft!N9),0,VLOOKUP(Draft!N9, 'Final Update'!A4:L1000,7,FALSE)+IF(ISBLANK(Draft!O8),0,VLOOKUP(Draft!O8, 'Final Update'!A4:L1000,7,FALSE))))))))))))))))))))))))</f>
        <v>0</v>
      </c>
      <c r="J11" s="421">
        <f>((IF(ISBLANK(Draft!D9),0,VLOOKUP(Draft!D9, 'Final Update'!A4:L1000,8,FALSE)+(IF(ISBLANK(Draft!E8),0,VLOOKUP(Draft!E8, 'Final Update'!A4:L1000,8,FALSE)+(IF(ISBLANK(Draft!F9),0,VLOOKUP(Draft!F9, 'Final Update'!A4:L1000,8,FALSE)+(IF(ISBLANK(Draft!G8),0,VLOOKUP(Draft!G8, 'Final Update'!A4:L1000,8,FALSE)+(IF(ISBLANK(Draft!H9),0,VLOOKUP(Draft!H9, 'Final Update'!A4:L1000,8,FALSE)+(IF(ISBLANK(Draft!I8),0,VLOOKUP(Draft!I8, 'Final Update'!A4:L1000,8,FALSE)+(IF(ISBLANK(Draft!J9),0,VLOOKUP(Draft!J9, 'Final Update'!A4:L1000,8,FALSE)+(IF(ISBLANK(Draft!K8),0,VLOOKUP(Draft!K8, 'Final Update'!A4:L1000,8,FALSE)+(IF(ISBLANK(Draft!L9),0,VLOOKUP(Draft!L9, 'Final Update'!A4:L1000,8,FALSE)+(IF(ISBLANK(Draft!M8),0,VLOOKUP(Draft!M8, 'Final Update'!A4:L1000,8,FALSE)+IF(ISBLANK(Draft!N9),0,VLOOKUP(Draft!N9, 'Final Update'!A4:L1000,8,FALSE)+IF(ISBLANK(Draft!O8),0,VLOOKUP(Draft!O8, 'Final Update'!A4:L1000,8,FALSE))))))))))))))))))))))))</f>
        <v>0</v>
      </c>
      <c r="K11" s="417">
        <f>((IF(ISBLANK(Draft!D9),0,VLOOKUP(Draft!D9, 'Final Update'!A4:L1000,10,FALSE)+(IF(ISBLANK(Draft!E8),0,VLOOKUP(Draft!E8, 'Final Update'!A4:L1000,10,FALSE)+(IF(ISBLANK(Draft!F9),0,VLOOKUP(Draft!F9, 'Final Update'!A4:L1000,10,FALSE)+(IF(ISBLANK(Draft!G8),0,VLOOKUP(Draft!G8, 'Final Update'!A4:L1000,10,FALSE)+(IF(ISBLANK(Draft!H9),0,VLOOKUP(Draft!H9, 'Final Update'!A4:L1000,10,FALSE)+(IF(ISBLANK(Draft!I8),0,VLOOKUP(Draft!I8, 'Final Update'!A4:L1000,10,FALSE)+(IF(ISBLANK(Draft!J9),0,VLOOKUP(Draft!J9, 'Final Update'!A4:L1000,10,FALSE)+(IF(ISBLANK(Draft!K8),0,VLOOKUP(Draft!K8, 'Final Update'!A4:L1000,10,FALSE)+(IF(ISBLANK(Draft!L9),0,VLOOKUP(Draft!L9, 'Final Update'!A4:L1000,10,FALSE)+(IF(ISBLANK(Draft!M8),0,VLOOKUP(Draft!M8, 'Final Update'!A4:L1000,10,FALSE)+IF(ISBLANK(Draft!N9),0,VLOOKUP(Draft!N9, 'Final Update'!A4:L1000,10,FALSE)+IF(ISBLANK(Draft!O8),0,VLOOKUP(Draft!O8, 'Final Update'!A4:L1000,10,FALSE))))))))))))))))))))))))</f>
        <v>0</v>
      </c>
      <c r="L11" s="417">
        <f>((IF(ISBLANK(Draft!D9),0,VLOOKUP(Draft!D9, 'Final Update'!A4:L1000,12,FALSE)+(IF(ISBLANK(Draft!E8),0,VLOOKUP(Draft!E8, 'Final Update'!A4:L1000,12,FALSE)+(IF(ISBLANK(Draft!F9),0,VLOOKUP(Draft!F9, 'Final Update'!A4:L1000,12,FALSE)+(IF(ISBLANK(Draft!G8),0,VLOOKUP(Draft!G8, 'Final Update'!A4:L1000,12,FALSE)+(IF(ISBLANK(Draft!H9),0,VLOOKUP(Draft!H9, 'Final Update'!A4:L1000,12,FALSE)+(IF(ISBLANK(Draft!I8),0,VLOOKUP(Draft!I8, 'Final Update'!A4:L1000,12,FALSE)+(IF(ISBLANK(Draft!J9),0,VLOOKUP(Draft!J9, 'Final Update'!A4:L1000,12,FALSE)+(IF(ISBLANK(Draft!K8),0,VLOOKUP(Draft!K8, 'Final Update'!A4:L1000,12,FALSE)+(IF(ISBLANK(Draft!L9),0,VLOOKUP(Draft!L9, 'Final Update'!A4:L1000,12,FALSE)+(IF(ISBLANK(Draft!M8),0,VLOOKUP(Draft!M8, 'Final Update'!A4:L1000,12,FALSE)+IF(ISBLANK(Draft!N9),0,VLOOKUP(Draft!N9, 'Final Update'!A4:L1000,12,FALSE)+IF(ISBLANK(Draft!O8),0,VLOOKUP(Draft!O8, 'Final Update'!A4:L1000,12,FALSE))))))))))))))))))))))))</f>
        <v>0</v>
      </c>
      <c r="M11" s="435">
        <f t="array" ref="M11">if(M$3=$C11,"-", countif(indirect(address(row($C$4)+ VLOOKUP(M$3,$C$5:$C$16,1),COLUMN($D$4))):indirect(address(row($C$4)+ VLOOKUP(M$3,$C$5:$C$16,1),COLUMN($L$4)))&gt;indirect(address(row($C11),COLUMN($D$4))):indirect(address(row($C11),COLUMN($L$4))),TRUE()))</f>
        <v>0</v>
      </c>
      <c r="N11" s="435">
        <f t="array" ref="N11">if(N$3=$C11,"-", countif(indirect(address(row($C$4)+ VLOOKUP(N$3,$C$5:$C$16,1),COLUMN($D$4))):indirect(address(row($C$4)+ VLOOKUP(N$3,$C$5:$C$16,1),COLUMN($L$4)))&gt;indirect(address(row($C11),COLUMN($D$4))):indirect(address(row($C11),COLUMN($L$4))),TRUE()))</f>
        <v>0</v>
      </c>
      <c r="O11" s="435">
        <f t="array" ref="O11">if(O$3=$C11,"-", countif(indirect(address(row($C$4)+ VLOOKUP(O$3,$C$5:$C$16,1),COLUMN($D$4))):indirect(address(row($C$4)+ VLOOKUP(O$3,$C$5:$C$16,1),COLUMN($L$4)))&gt;indirect(address(row($C11),COLUMN($D$4))):indirect(address(row($C11),COLUMN($L$4))),TRUE()))</f>
        <v>0</v>
      </c>
      <c r="P11" s="435">
        <f t="array" ref="P11">if(P$3=$C11,"-", countif(indirect(address(row($C$4)+ VLOOKUP(P$3,$C$5:$C$16,1),COLUMN($D$4))):indirect(address(row($C$4)+ VLOOKUP(P$3,$C$5:$C$16,1),COLUMN($L$4)))&gt;indirect(address(row($C11),COLUMN($D$4))):indirect(address(row($C11),COLUMN($L$4))),TRUE()))</f>
        <v>0</v>
      </c>
      <c r="Q11" s="435">
        <f t="array" ref="Q11">if(Q$3=$C11,"-", countif(indirect(address(row($C$4)+ VLOOKUP(Q$3,$C$5:$C$16,1),COLUMN($D$4))):indirect(address(row($C$4)+ VLOOKUP(Q$3,$C$5:$C$16,1),COLUMN($L$4)))&gt;indirect(address(row($C11),COLUMN($D$4))):indirect(address(row($C11),COLUMN($L$4))),TRUE()))</f>
        <v>0</v>
      </c>
      <c r="R11" s="435">
        <f t="array" ref="R11">if(R$3=$C11,"-", countif(indirect(address(row($C$4)+ VLOOKUP(R$3,$C$5:$C$16,1),COLUMN($D$4))):indirect(address(row($C$4)+ VLOOKUP(R$3,$C$5:$C$16,1),COLUMN($L$4)))&gt;indirect(address(row($C11),COLUMN($D$4))):indirect(address(row($C11),COLUMN($L$4))),TRUE()))</f>
        <v>0</v>
      </c>
      <c r="S11" s="435">
        <f t="array" ref="S11">if(S$3=$C11,"-", countif(indirect(address(row($C$4)+ VLOOKUP(S$3,$C$5:$C$16,1),COLUMN($D$4))):indirect(address(row($C$4)+ VLOOKUP(S$3,$C$5:$C$16,1),COLUMN($L$4)))&gt;indirect(address(row($C11),COLUMN($D$4))):indirect(address(row($C11),COLUMN($L$4))),TRUE()))</f>
        <v>0</v>
      </c>
      <c r="T11" s="435">
        <f t="array" ref="T11">if(T$3=$C11,"-", countif(indirect(address(row($C$4)+ VLOOKUP(T$3,$C$5:$C$16,1),COLUMN($D$4))):indirect(address(row($C$4)+ VLOOKUP(T$3,$C$5:$C$16,1),COLUMN($L$4)))&gt;indirect(address(row($C11),COLUMN($D$4))):indirect(address(row($C11),COLUMN($L$4))),TRUE()))</f>
        <v>0</v>
      </c>
      <c r="U11" s="435">
        <f t="array" ref="U11">if(U$3=$C11,"-", countif(indirect(address(row($C$4)+ VLOOKUP(U$3,$C$5:$C$16,1),COLUMN($D$4))):indirect(address(row($C$4)+ VLOOKUP(U$3,$C$5:$C$16,1),COLUMN($L$4)))&gt;indirect(address(row($C11),COLUMN($D$4))):indirect(address(row($C11),COLUMN($L$4))),TRUE()))</f>
        <v>0</v>
      </c>
      <c r="V11" s="435">
        <f t="array" ref="V11">if(V$3=$C11,"-", countif(indirect(address(row($C$4)+ VLOOKUP(V$3,$C$5:$C$16,1),COLUMN($D$4))):indirect(address(row($C$4)+ VLOOKUP(V$3,$C$5:$C$16,1),COLUMN($L$4)))&gt;indirect(address(row($C11),COLUMN($D$4))):indirect(address(row($C11),COLUMN($L$4))),TRUE()))</f>
        <v>0</v>
      </c>
      <c r="W11" s="435">
        <f t="array" ref="W11">if(W$3=$C11,"-", countif(indirect(address(row($C$4)+ VLOOKUP(W$3,$C$5:$C$16,1),COLUMN($D$4))):indirect(address(row($C$4)+ VLOOKUP(W$3,$C$5:$C$16,1),COLUMN($L$4)))&gt;indirect(address(row($C11),COLUMN($D$4))):indirect(address(row($C11),COLUMN($L$4))),TRUE()))</f>
        <v>0</v>
      </c>
      <c r="X11" s="435">
        <f t="array" ref="X11">if(X$3=$C11,"-", countif(indirect(address(row($C$4)+ VLOOKUP(X$3,$C$5:$C$16,1),COLUMN($D$4))):indirect(address(row($C$4)+ VLOOKUP(X$3,$C$5:$C$16,1),COLUMN($L$4)))&gt;indirect(address(row($C11),COLUMN($D$4))):indirect(address(row($C11),COLUMN($L$4))),TRUE()))</f>
        <v>0</v>
      </c>
      <c r="Y11" s="435">
        <f t="array" ref="Y11">if(D$1=$C11,"-", countif(indirect(address(row($C$4)+ VLOOKUP(D$1,$C$5:$C$16,1),COLUMN($D$4))):indirect(address(row($C$4)+ VLOOKUP(D$1,$C$5:$C$16,1),COLUMN($L$4)))&gt;indirect(address(row($C11),COLUMN($D$4))):indirect(address(row($C11),COLUMN($L$4))),TRUE()))</f>
        <v>0</v>
      </c>
      <c r="Z11" s="433">
        <f>SUM(S$5:S$16)/99</f>
        <v>0</v>
      </c>
    </row>
    <row r="12">
      <c r="B12" s="432" t="b">
        <f>Draft!C10</f>
        <v>0</v>
      </c>
      <c r="C12" s="421">
        <v>8.0</v>
      </c>
      <c r="D12" s="417">
        <f>((IF(ISBLANK(Draft!D10),0,VLOOKUP(Draft!D10, 'Final Update'!A4:L1000,2,FALSE)+(IF(ISBLANK(Draft!E7),0,VLOOKUP(Draft!E7, 'Final Update'!A4:L1000,2,FALSE)+(IF(ISBLANK(Draft!F10),0,VLOOKUP(Draft!F10, 'Final Update'!A4:L1000,2,FALSE)+(IF(ISBLANK(Draft!G7),0,VLOOKUP(Draft!G7, 'Final Update'!A4:L1000,2,FALSE)+(IF(ISBLANK(Draft!H10),0,VLOOKUP(Draft!H10, 'Final Update'!A4:L1000,2,FALSE)+(IF(ISBLANK(Draft!I7),0,VLOOKUP(Draft!I7, 'Final Update'!A4:L1000,2,FALSE)+(IF(ISBLANK(Draft!J10),0,VLOOKUP(Draft!J10, 'Final Update'!A4:L1000,2,FALSE)+(IF(ISBLANK(Draft!K7),0,VLOOKUP(Draft!K7, 'Final Update'!A4:L1000,2,FALSE)+(IF(ISBLANK(Draft!L10),0,VLOOKUP(Draft!L10, 'Final Update'!A4:L1000,2,FALSE)+(IF(ISBLANK(Draft!M7),0,VLOOKUP(Draft!M7, 'Final Update'!A4:L1000,2,FALSE)+IF(ISBLANK(Draft!N10),0,VLOOKUP(Draft!N10, 'Final Update'!A4:L1000,2,FALSE)+IF(ISBLANK(Draft!O7),0,VLOOKUP(Draft!O7, 'Final Update'!A4:L1000,2,FALSE))))))))))))))))))))))))</f>
        <v>0</v>
      </c>
      <c r="E12" s="417">
        <f>((IF(ISBLANK(Draft!D10),0,VLOOKUP(Draft!D10, 'Final Update'!A4:L1000,3,FALSE)+(IF(ISBLANK(Draft!E7),0,VLOOKUP(Draft!E7, 'Final Update'!A4:L1000,3,FALSE)+(IF(ISBLANK(Draft!F10),0,VLOOKUP(Draft!F10, 'Final Update'!A4:L1000,3,FALSE)+(IF(ISBLANK(Draft!G7),0,VLOOKUP(Draft!G7, 'Final Update'!A4:L1000,3,FALSE)+(IF(ISBLANK(Draft!H10),0,VLOOKUP(Draft!H10, 'Final Update'!A4:L1000,3,FALSE)+(IF(ISBLANK(Draft!I7),0,VLOOKUP(Draft!I7, 'Final Update'!A4:L1000,3,FALSE)+(IF(ISBLANK(Draft!J10),0,VLOOKUP(Draft!J10, 'Final Update'!A4:L1000,3,FALSE)+(IF(ISBLANK(Draft!K7),0,VLOOKUP(Draft!K7, 'Final Update'!A4:L1000,3,FALSE)+(IF(ISBLANK(Draft!L10),0,VLOOKUP(Draft!L10, 'Final Update'!A4:L1000,3,FALSE)+(IF(ISBLANK(Draft!M7),0,VLOOKUP(Draft!M7, 'Final Update'!A4:L1000,3,FALSE)+IF(ISBLANK(Draft!N10),0,VLOOKUP(Draft!N10, 'Final Update'!A4:L1000,3,FALSE)+IF(ISBLANK(Draft!O7),0,VLOOKUP(Draft!O7, 'Final Update'!A4:L1000,3,FALSE))))))))))))))))))))))))</f>
        <v>0</v>
      </c>
      <c r="F12" s="417">
        <f>((IF(ISBLANK(Draft!D10),0,VLOOKUP(Draft!D10, 'Final Update'!A4:L1000,4,FALSE)+(IF(ISBLANK(Draft!E7),0,VLOOKUP(Draft!E7, 'Final Update'!A4:L1000,4,FALSE)+(IF(ISBLANK(Draft!F10),0,VLOOKUP(Draft!F10, 'Final Update'!A4:L1000,4,FALSE)+(IF(ISBLANK(Draft!G7),0,VLOOKUP(Draft!G7, 'Final Update'!A4:L1000,4,FALSE)+(IF(ISBLANK(Draft!H10),0,VLOOKUP(Draft!H10, 'Final Update'!A4:L1000,4,FALSE)+(IF(ISBLANK(Draft!I7),0,VLOOKUP(Draft!I7, 'Final Update'!A4:L1000,4,FALSE)+(IF(ISBLANK(Draft!J10),0,VLOOKUP(Draft!J10, 'Final Update'!A4:L1000,4,FALSE)+(IF(ISBLANK(Draft!K7),0,VLOOKUP(Draft!K7, 'Final Update'!A4:L1000,4,FALSE)+(IF(ISBLANK(Draft!L10),0,VLOOKUP(Draft!L10, 'Final Update'!A4:L1000,4,FALSE)+(IF(ISBLANK(Draft!M7),0,VLOOKUP(Draft!M7, 'Final Update'!A4:L1000,4,FALSE)+IF(ISBLANK(Draft!N10),0,VLOOKUP(Draft!N10, 'Final Update'!A4:L1000,4,FALSE)+IF(ISBLANK(Draft!O7),0,VLOOKUP(Draft!O7, 'Final Update'!A4:L1000,4,FALSE))))))))))))))))))))))))</f>
        <v>0</v>
      </c>
      <c r="G12" s="421">
        <f>((IF(ISBLANK(Draft!D10),0,VLOOKUP(Draft!D10, 'Final Update'!A4:L1000,5,FALSE)+(IF(ISBLANK(Draft!E7),0,VLOOKUP(Draft!E7, 'Final Update'!A4:L1000,5,FALSE)+(IF(ISBLANK(Draft!F10),0,VLOOKUP(Draft!F10, 'Final Update'!A4:L1000,5,FALSE)+(IF(ISBLANK(Draft!G7),0,VLOOKUP(Draft!G7, 'Final Update'!A4:L1000,5,FALSE)+(IF(ISBLANK(Draft!H10),0,VLOOKUP(Draft!H10, 'Final Update'!A4:L1000,5,FALSE)+(IF(ISBLANK(Draft!I7),0,VLOOKUP(Draft!I7, 'Final Update'!A4:L1000,5,FALSE)+(IF(ISBLANK(Draft!J10),0,VLOOKUP(Draft!J10, 'Final Update'!A4:L1000,5,FALSE)+(IF(ISBLANK(Draft!K7),0,VLOOKUP(Draft!K7, 'Final Update'!A4:L1000,5,FALSE)+(IF(ISBLANK(Draft!L10),0,VLOOKUP(Draft!L10, 'Final Update'!A4:L1000,5,FALSE)+(IF(ISBLANK(Draft!M7),0,VLOOKUP(Draft!M7, 'Final Update'!A4:L1000,5,FALSE)+IF(ISBLANK(Draft!N10),0,VLOOKUP(Draft!N10, 'Final Update'!A4:L1000,5,FALSE)+IF(ISBLANK(Draft!O7),0,VLOOKUP(Draft!O7, 'Final Update'!A4:L1000,5,FALSE))))))))))))))))))))))))</f>
        <v>0</v>
      </c>
      <c r="H12" s="417">
        <f>((IF(ISBLANK(Draft!D10),0,VLOOKUP(Draft!D10, 'Final Update'!A4:L1000,6,FALSE)+(IF(ISBLANK(Draft!E7),0,VLOOKUP(Draft!E7, 'Final Update'!A4:L1000,6,FALSE)+(IF(ISBLANK(Draft!F10),0,VLOOKUP(Draft!F10, 'Final Update'!A4:L1000,6,FALSE)+(IF(ISBLANK(Draft!G7),0,VLOOKUP(Draft!G7, 'Final Update'!A4:L1000,6,FALSE)+(IF(ISBLANK(Draft!H10),0,VLOOKUP(Draft!H10, 'Final Update'!A4:L1000,6,FALSE)+(IF(ISBLANK(Draft!I7),0,VLOOKUP(Draft!I7, 'Final Update'!A4:L1000,6,FALSE)+(IF(ISBLANK(Draft!J10),0,VLOOKUP(Draft!J10, 'Final Update'!A4:L1000,6,FALSE)+(IF(ISBLANK(Draft!K7),0,VLOOKUP(Draft!K7, 'Final Update'!A4:L1000,6,FALSE)+(IF(ISBLANK(Draft!L10),0,VLOOKUP(Draft!L10, 'Final Update'!A4:L1000,6,FALSE)+(IF(ISBLANK(Draft!M7),0,VLOOKUP(Draft!M7, 'Final Update'!A4:L1000,6,FALSE)+IF(ISBLANK(Draft!N10),0,VLOOKUP(Draft!N10, 'Final Update'!A4:L1000,6,FALSE)+IF(ISBLANK(Draft!O7),0,VLOOKUP(Draft!O7, 'Final Update'!A4:L1000,6,FALSE))))))))))))))))))))))))</f>
        <v>0</v>
      </c>
      <c r="I12" s="417">
        <f>((IF(ISBLANK(Draft!D10),0,VLOOKUP(Draft!D10, 'Final Update'!A4:L1000,7,FALSE)+(IF(ISBLANK(Draft!E7),0,VLOOKUP(Draft!E7, 'Final Update'!A4:L1000,7,FALSE)+(IF(ISBLANK(Draft!F10),0,VLOOKUP(Draft!F10, 'Final Update'!A4:L1000,7,FALSE)+(IF(ISBLANK(Draft!G7),0,VLOOKUP(Draft!G7, 'Final Update'!A4:L1000,7,FALSE)+(IF(ISBLANK(Draft!H10),0,VLOOKUP(Draft!H10, 'Final Update'!A4:L1000,7,FALSE)+(IF(ISBLANK(Draft!I7),0,VLOOKUP(Draft!I7, 'Final Update'!A4:L1000,7,FALSE)+(IF(ISBLANK(Draft!J10),0,VLOOKUP(Draft!J10, 'Final Update'!A4:L1000,7,FALSE)+(IF(ISBLANK(Draft!K7),0,VLOOKUP(Draft!K7, 'Final Update'!A4:L1000,7,FALSE)+(IF(ISBLANK(Draft!L10),0,VLOOKUP(Draft!L10, 'Final Update'!A4:L1000,7,FALSE)+(IF(ISBLANK(Draft!M7),0,VLOOKUP(Draft!M7, 'Final Update'!A4:L1000,7,FALSE)+IF(ISBLANK(Draft!N10),0,VLOOKUP(Draft!N10, 'Final Update'!A4:L1000,7,FALSE)+IF(ISBLANK(Draft!O7),0,VLOOKUP(Draft!O7, 'Final Update'!A4:L1000,7,FALSE))))))))))))))))))))))))</f>
        <v>0</v>
      </c>
      <c r="J12" s="417">
        <f>((IF(ISBLANK(Draft!D10),0,VLOOKUP(Draft!D10, 'Final Update'!A4:L1000,8,FALSE)+(IF(ISBLANK(Draft!E7),0,VLOOKUP(Draft!E7, 'Final Update'!A4:L1000,8,FALSE)+(IF(ISBLANK(Draft!F10),0,VLOOKUP(Draft!F10, 'Final Update'!A4:L1000,8,FALSE)+(IF(ISBLANK(Draft!G7),0,VLOOKUP(Draft!G7, 'Final Update'!A4:L1000,8,FALSE)+(IF(ISBLANK(Draft!H10),0,VLOOKUP(Draft!H10, 'Final Update'!A4:L1000,8,FALSE)+(IF(ISBLANK(Draft!I7),0,VLOOKUP(Draft!I7, 'Final Update'!A4:L1000,8,FALSE)+(IF(ISBLANK(Draft!J10),0,VLOOKUP(Draft!J10, 'Final Update'!A4:L1000,8,FALSE)+(IF(ISBLANK(Draft!K7),0,VLOOKUP(Draft!K7, 'Final Update'!A4:L1000,8,FALSE)+(IF(ISBLANK(Draft!L10),0,VLOOKUP(Draft!L10, 'Final Update'!A4:L1000,8,FALSE)+(IF(ISBLANK(Draft!M7),0,VLOOKUP(Draft!M7, 'Final Update'!A4:L1000,8,FALSE)+IF(ISBLANK(Draft!N10),0,VLOOKUP(Draft!N10, 'Final Update'!A4:L1000,8,FALSE)+IF(ISBLANK(Draft!O7),0,VLOOKUP(Draft!O7, 'Final Update'!A4:L1000,8,FALSE))))))))))))))))))))))))</f>
        <v>0</v>
      </c>
      <c r="K12" s="417">
        <f>((IF(ISBLANK(Draft!D10),0,VLOOKUP(Draft!D10, 'Final Update'!A4:L1000,10,FALSE)+(IF(ISBLANK(Draft!E7),0,VLOOKUP(Draft!E7, 'Final Update'!A4:L1000,10,FALSE)+(IF(ISBLANK(Draft!F10),0,VLOOKUP(Draft!F10, 'Final Update'!A4:L1000,10,FALSE)+(IF(ISBLANK(Draft!G7),0,VLOOKUP(Draft!G7, 'Final Update'!A4:L1000,10,FALSE)+(IF(ISBLANK(Draft!H10),0,VLOOKUP(Draft!H10, 'Final Update'!A4:L1000,10,FALSE)+(IF(ISBLANK(Draft!I7),0,VLOOKUP(Draft!I7, 'Final Update'!A4:L1000,10,FALSE)+(IF(ISBLANK(Draft!J10),0,VLOOKUP(Draft!J10, 'Final Update'!A4:L1000,10,FALSE)+(IF(ISBLANK(Draft!K7),0,VLOOKUP(Draft!K7, 'Final Update'!A4:L1000,10,FALSE)+(IF(ISBLANK(Draft!L10),0,VLOOKUP(Draft!L10, 'Final Update'!A4:L1000,10,FALSE)+(IF(ISBLANK(Draft!M7),0,VLOOKUP(Draft!M7, 'Final Update'!A4:L1000,10,FALSE)+IF(ISBLANK(Draft!N10),0,VLOOKUP(Draft!N10, 'Final Update'!A4:L1000,10,FALSE)+IF(ISBLANK(Draft!O7),0,VLOOKUP(Draft!O7, 'Final Update'!A4:L1000,10,FALSE))))))))))))))))))))))))</f>
        <v>0</v>
      </c>
      <c r="L12" s="417">
        <f>((IF(ISBLANK(Draft!D10),0,VLOOKUP(Draft!D10, 'Final Update'!A4:L1000,12,FALSE)+(IF(ISBLANK(Draft!E7),0,VLOOKUP(Draft!E7, 'Final Update'!A4:L1000,12,FALSE)+(IF(ISBLANK(Draft!F10),0,VLOOKUP(Draft!F10, 'Final Update'!A4:L1000,12,FALSE)+(IF(ISBLANK(Draft!G7),0,VLOOKUP(Draft!G7, 'Final Update'!A4:L1000,12,FALSE)+(IF(ISBLANK(Draft!H10),0,VLOOKUP(Draft!H10, 'Final Update'!A4:L1000,12,FALSE)+(IF(ISBLANK(Draft!I7),0,VLOOKUP(Draft!I7, 'Final Update'!A4:L1000,12,FALSE)+(IF(ISBLANK(Draft!J10),0,VLOOKUP(Draft!J10, 'Final Update'!A4:L1000,12,FALSE)+(IF(ISBLANK(Draft!K7),0,VLOOKUP(Draft!K7, 'Final Update'!A4:L1000,12,FALSE)+(IF(ISBLANK(Draft!L10),0,VLOOKUP(Draft!L10, 'Final Update'!A4:L1000,12,FALSE)+(IF(ISBLANK(Draft!M7),0,VLOOKUP(Draft!M7, 'Final Update'!A4:L1000,12,FALSE)+IF(ISBLANK(Draft!N10),0,VLOOKUP(Draft!N10, 'Final Update'!A4:L1000,12,FALSE)+IF(ISBLANK(Draft!O7),0,VLOOKUP(Draft!O7, 'Final Update'!A4:L1000,12,FALSE))))))))))))))))))))))))</f>
        <v>0</v>
      </c>
      <c r="M12" s="435">
        <f t="array" ref="M12">if(M$3=$C12,"-", countif(indirect(address(row($C$4)+ VLOOKUP(M$3,$C$5:$C$16,1),COLUMN($D$4))):indirect(address(row($C$4)+ VLOOKUP(M$3,$C$5:$C$16,1),COLUMN($L$4)))&gt;indirect(address(row($C12),COLUMN($D$4))):indirect(address(row($C12),COLUMN($L$4))),TRUE()))</f>
        <v>0</v>
      </c>
      <c r="N12" s="435">
        <f t="array" ref="N12">if(N$3=$C12,"-", countif(indirect(address(row($C$4)+ VLOOKUP(N$3,$C$5:$C$16,1),COLUMN($D$4))):indirect(address(row($C$4)+ VLOOKUP(N$3,$C$5:$C$16,1),COLUMN($L$4)))&gt;indirect(address(row($C12),COLUMN($D$4))):indirect(address(row($C12),COLUMN($L$4))),TRUE()))</f>
        <v>0</v>
      </c>
      <c r="O12" s="435">
        <f t="array" ref="O12">if(O$3=$C12,"-", countif(indirect(address(row($C$4)+ VLOOKUP(O$3,$C$5:$C$16,1),COLUMN($D$4))):indirect(address(row($C$4)+ VLOOKUP(O$3,$C$5:$C$16,1),COLUMN($L$4)))&gt;indirect(address(row($C12),COLUMN($D$4))):indirect(address(row($C12),COLUMN($L$4))),TRUE()))</f>
        <v>0</v>
      </c>
      <c r="P12" s="435">
        <f t="array" ref="P12">if(P$3=$C12,"-", countif(indirect(address(row($C$4)+ VLOOKUP(P$3,$C$5:$C$16,1),COLUMN($D$4))):indirect(address(row($C$4)+ VLOOKUP(P$3,$C$5:$C$16,1),COLUMN($L$4)))&gt;indirect(address(row($C12),COLUMN($D$4))):indirect(address(row($C12),COLUMN($L$4))),TRUE()))</f>
        <v>0</v>
      </c>
      <c r="Q12" s="435">
        <f t="array" ref="Q12">if(Q$3=$C12,"-", countif(indirect(address(row($C$4)+ VLOOKUP(Q$3,$C$5:$C$16,1),COLUMN($D$4))):indirect(address(row($C$4)+ VLOOKUP(Q$3,$C$5:$C$16,1),COLUMN($L$4)))&gt;indirect(address(row($C12),COLUMN($D$4))):indirect(address(row($C12),COLUMN($L$4))),TRUE()))</f>
        <v>0</v>
      </c>
      <c r="R12" s="435">
        <f t="array" ref="R12">if(R$3=$C12,"-", countif(indirect(address(row($C$4)+ VLOOKUP(R$3,$C$5:$C$16,1),COLUMN($D$4))):indirect(address(row($C$4)+ VLOOKUP(R$3,$C$5:$C$16,1),COLUMN($L$4)))&gt;indirect(address(row($C12),COLUMN($D$4))):indirect(address(row($C12),COLUMN($L$4))),TRUE()))</f>
        <v>0</v>
      </c>
      <c r="S12" s="435">
        <f t="array" ref="S12">if(S$3=$C12,"-", countif(indirect(address(row($C$4)+ VLOOKUP(S$3,$C$5:$C$16,1),COLUMN($D$4))):indirect(address(row($C$4)+ VLOOKUP(S$3,$C$5:$C$16,1),COLUMN($L$4)))&gt;indirect(address(row($C12),COLUMN($D$4))):indirect(address(row($C12),COLUMN($L$4))),TRUE()))</f>
        <v>0</v>
      </c>
      <c r="T12" s="435">
        <f t="array" ref="T12">if(T$3=$C12,"-", countif(indirect(address(row($C$4)+ VLOOKUP(T$3,$C$5:$C$16,1),COLUMN($D$4))):indirect(address(row($C$4)+ VLOOKUP(T$3,$C$5:$C$16,1),COLUMN($L$4)))&gt;indirect(address(row($C12),COLUMN($D$4))):indirect(address(row($C12),COLUMN($L$4))),TRUE()))</f>
        <v>0</v>
      </c>
      <c r="U12" s="435">
        <f t="array" ref="U12">if(U$3=$C12,"-", countif(indirect(address(row($C$4)+ VLOOKUP(U$3,$C$5:$C$16,1),COLUMN($D$4))):indirect(address(row($C$4)+ VLOOKUP(U$3,$C$5:$C$16,1),COLUMN($L$4)))&gt;indirect(address(row($C12),COLUMN($D$4))):indirect(address(row($C12),COLUMN($L$4))),TRUE()))</f>
        <v>0</v>
      </c>
      <c r="V12" s="435">
        <f t="array" ref="V12">if(V$3=$C12,"-", countif(indirect(address(row($C$4)+ VLOOKUP(V$3,$C$5:$C$16,1),COLUMN($D$4))):indirect(address(row($C$4)+ VLOOKUP(V$3,$C$5:$C$16,1),COLUMN($L$4)))&gt;indirect(address(row($C12),COLUMN($D$4))):indirect(address(row($C12),COLUMN($L$4))),TRUE()))</f>
        <v>0</v>
      </c>
      <c r="W12" s="435">
        <f t="array" ref="W12">if(W$3=$C12,"-", countif(indirect(address(row($C$4)+ VLOOKUP(W$3,$C$5:$C$16,1),COLUMN($D$4))):indirect(address(row($C$4)+ VLOOKUP(W$3,$C$5:$C$16,1),COLUMN($L$4)))&gt;indirect(address(row($C12),COLUMN($D$4))):indirect(address(row($C12),COLUMN($L$4))),TRUE()))</f>
        <v>0</v>
      </c>
      <c r="X12" s="435">
        <f t="array" ref="X12">if(X$3=$C12,"-", countif(indirect(address(row($C$4)+ VLOOKUP(X$3,$C$5:$C$16,1),COLUMN($D$4))):indirect(address(row($C$4)+ VLOOKUP(X$3,$C$5:$C$16,1),COLUMN($L$4)))&gt;indirect(address(row($C12),COLUMN($D$4))):indirect(address(row($C12),COLUMN($L$4))),TRUE()))</f>
        <v>0</v>
      </c>
      <c r="Y12" s="435">
        <f t="array" ref="Y12">if(D$1=$C12,"-", countif(indirect(address(row($C$4)+ VLOOKUP(D$1,$C$5:$C$16,1),COLUMN($D$4))):indirect(address(row($C$4)+ VLOOKUP(D$1,$C$5:$C$16,1),COLUMN($L$4)))&gt;indirect(address(row($C12),COLUMN($D$4))):indirect(address(row($C12),COLUMN($L$4))),TRUE()))</f>
        <v>0</v>
      </c>
      <c r="Z12" s="433">
        <f>SUM(T$5:T$16)/99</f>
        <v>0</v>
      </c>
    </row>
    <row r="13">
      <c r="B13" s="432" t="b">
        <f>Draft!C11</f>
        <v>0</v>
      </c>
      <c r="C13" s="421">
        <v>9.0</v>
      </c>
      <c r="D13" s="417">
        <f>((IF(ISBLANK(Draft!D11),0,VLOOKUP(Draft!D11, 'Final Update'!A4:L1000,2,FALSE)+(IF(ISBLANK(Draft!E6),0,VLOOKUP(Draft!E6, 'Final Update'!A4:L1000,2,FALSE)+(IF(ISBLANK(Draft!F11),0,VLOOKUP(Draft!F11, 'Final Update'!A4:L1000,2,FALSE)+(IF(ISBLANK(Draft!G6),0,VLOOKUP(Draft!G6, 'Final Update'!A4:L1000,2,FALSE)+(IF(ISBLANK(Draft!H11),0,VLOOKUP(Draft!H11, 'Final Update'!A4:L1000,2,FALSE)+(IF(ISBLANK(Draft!I6),0,VLOOKUP(Draft!I6, 'Final Update'!A4:L1000,2,FALSE)+(IF(ISBLANK(Draft!J11),0,VLOOKUP(Draft!J11, 'Final Update'!A4:L1000,2,FALSE)+(IF(ISBLANK(Draft!K6),0,VLOOKUP(Draft!K6, 'Final Update'!A4:L1000,2,FALSE)+(IF(ISBLANK(Draft!L11),0,VLOOKUP(Draft!L11, 'Final Update'!A4:L1000,2,FALSE)+(IF(ISBLANK(Draft!M6),0,VLOOKUP(Draft!M6, 'Final Update'!A4:L1000,2,FALSE)+IF(ISBLANK(Draft!N11),0,VLOOKUP(Draft!N11, 'Final Update'!A4:L1000,2,FALSE)+IF(ISBLANK(Draft!O6),0,VLOOKUP(Draft!O6, 'Final Update'!A4:L1000,2,FALSE))))))))))))))))))))))))</f>
        <v>0</v>
      </c>
      <c r="E13" s="417">
        <f>((IF(ISBLANK(Draft!D11),0,VLOOKUP(Draft!D11, 'Final Update'!A4:L1000,3,FALSE)+(IF(ISBLANK(Draft!E6),0,VLOOKUP(Draft!E6, 'Final Update'!A4:L1000,3,FALSE)+(IF(ISBLANK(Draft!F11),0,VLOOKUP(Draft!F11, 'Final Update'!A4:L1000,3,FALSE)+(IF(ISBLANK(Draft!G6),0,VLOOKUP(Draft!G6, 'Final Update'!A4:L1000,3,FALSE)+(IF(ISBLANK(Draft!H11),0,VLOOKUP(Draft!H11, 'Final Update'!A4:L1000,3,FALSE)+(IF(ISBLANK(Draft!I6),0,VLOOKUP(Draft!I6, 'Final Update'!A4:L1000,3,FALSE)+(IF(ISBLANK(Draft!J11),0,VLOOKUP(Draft!J11, 'Final Update'!A4:L1000,3,FALSE)+(IF(ISBLANK(Draft!K6),0,VLOOKUP(Draft!K6, 'Final Update'!A4:L1000,3,FALSE)+(IF(ISBLANK(Draft!L11),0,VLOOKUP(Draft!L11, 'Final Update'!A4:L1000,3,FALSE)+(IF(ISBLANK(Draft!M6),0,VLOOKUP(Draft!M6, 'Final Update'!A4:L1000,3,FALSE)+IF(ISBLANK(Draft!N11),0,VLOOKUP(Draft!N11, 'Final Update'!A4:L1000,3,FALSE)+IF(ISBLANK(Draft!O6),0,VLOOKUP(Draft!O6, 'Final Update'!A4:L1000,3,FALSE))))))))))))))))))))))))</f>
        <v>0</v>
      </c>
      <c r="F13" s="417">
        <f>((IF(ISBLANK(Draft!D11),0,VLOOKUP(Draft!D11, 'Final Update'!A4:L1000,4,FALSE)+(IF(ISBLANK(Draft!E6),0,VLOOKUP(Draft!E6, 'Final Update'!A4:L1000,4,FALSE)+(IF(ISBLANK(Draft!F11),0,VLOOKUP(Draft!F11, 'Final Update'!A4:L1000,4,FALSE)+(IF(ISBLANK(Draft!G6),0,VLOOKUP(Draft!G6, 'Final Update'!A4:L1000,4,FALSE)+(IF(ISBLANK(Draft!H11),0,VLOOKUP(Draft!H11, 'Final Update'!A4:L1000,4,FALSE)+(IF(ISBLANK(Draft!I6),0,VLOOKUP(Draft!I6, 'Final Update'!A4:L1000,4,FALSE)+(IF(ISBLANK(Draft!J11),0,VLOOKUP(Draft!J11, 'Final Update'!A4:L1000,4,FALSE)+(IF(ISBLANK(Draft!K6),0,VLOOKUP(Draft!K6, 'Final Update'!A4:L1000,4,FALSE)+(IF(ISBLANK(Draft!L11),0,VLOOKUP(Draft!L11, 'Final Update'!A4:L1000,4,FALSE)+(IF(ISBLANK(Draft!M6),0,VLOOKUP(Draft!M6, 'Final Update'!A4:L1000,4,FALSE)+IF(ISBLANK(Draft!N11),0,VLOOKUP(Draft!N11, 'Final Update'!A4:L1000,4,FALSE)+IF(ISBLANK(Draft!O6),0,VLOOKUP(Draft!O6, 'Final Update'!A4:L1000,4,FALSE))))))))))))))))))))))))</f>
        <v>0</v>
      </c>
      <c r="G13" s="417">
        <f>((IF(ISBLANK(Draft!D11),0,VLOOKUP(Draft!D11, 'Final Update'!A4:L1000,5,FALSE)+(IF(ISBLANK(Draft!E6),0,VLOOKUP(Draft!E6, 'Final Update'!A4:L1000,5,FALSE)+(IF(ISBLANK(Draft!F11),0,VLOOKUP(Draft!F11, 'Final Update'!A4:L1000,5,FALSE)+(IF(ISBLANK(Draft!G6),0,VLOOKUP(Draft!G6, 'Final Update'!A4:L1000,5,FALSE)+(IF(ISBLANK(Draft!H11),0,VLOOKUP(Draft!H11, 'Final Update'!A4:L1000,5,FALSE)+(IF(ISBLANK(Draft!I6),0,VLOOKUP(Draft!I6, 'Final Update'!A4:L1000,5,FALSE)+(IF(ISBLANK(Draft!J11),0,VLOOKUP(Draft!J11, 'Final Update'!A4:L1000,5,FALSE)+(IF(ISBLANK(Draft!K6),0,VLOOKUP(Draft!K6, 'Final Update'!A4:L1000,5,FALSE)+(IF(ISBLANK(Draft!L11),0,VLOOKUP(Draft!L11, 'Final Update'!A4:L1000,5,FALSE)+(IF(ISBLANK(Draft!M6),0,VLOOKUP(Draft!M6, 'Final Update'!A4:L1000,5,FALSE)+IF(ISBLANK(Draft!N11),0,VLOOKUP(Draft!N11, 'Final Update'!A4:L1000,5,FALSE)+IF(ISBLANK(Draft!O6),0,VLOOKUP(Draft!O6, 'Final Update'!A4:L1000,5,FALSE))))))))))))))))))))))))</f>
        <v>0</v>
      </c>
      <c r="H13" s="417">
        <f>((IF(ISBLANK(Draft!D11),0,VLOOKUP(Draft!D11, 'Final Update'!A4:L1000,6,FALSE)+(IF(ISBLANK(Draft!E6),0,VLOOKUP(Draft!E6, 'Final Update'!A4:L1000,6,FALSE)+(IF(ISBLANK(Draft!F11),0,VLOOKUP(Draft!F11, 'Final Update'!A4:L1000,6,FALSE)+(IF(ISBLANK(Draft!G6),0,VLOOKUP(Draft!G6, 'Final Update'!A4:L1000,6,FALSE)+(IF(ISBLANK(Draft!H11),0,VLOOKUP(Draft!H11, 'Final Update'!A4:L1000,6,FALSE)+(IF(ISBLANK(Draft!I6),0,VLOOKUP(Draft!I6, 'Final Update'!A4:L1000,6,FALSE)+(IF(ISBLANK(Draft!J11),0,VLOOKUP(Draft!J11, 'Final Update'!A4:L1000,6,FALSE)+(IF(ISBLANK(Draft!K6),0,VLOOKUP(Draft!K6, 'Final Update'!A4:L1000,6,FALSE)+(IF(ISBLANK(Draft!L11),0,VLOOKUP(Draft!L11, 'Final Update'!A4:L1000,6,FALSE)+(IF(ISBLANK(Draft!M6),0,VLOOKUP(Draft!M6, 'Final Update'!A4:L1000,6,FALSE)+IF(ISBLANK(Draft!N11),0,VLOOKUP(Draft!N11, 'Final Update'!A4:L1000,6,FALSE)+IF(ISBLANK(Draft!O6),0,VLOOKUP(Draft!O6, 'Final Update'!A4:L1000,6,FALSE))))))))))))))))))))))))</f>
        <v>0</v>
      </c>
      <c r="I13" s="417">
        <f>((IF(ISBLANK(Draft!D11),0,VLOOKUP(Draft!D11, 'Final Update'!A4:L1000,7,FALSE)+(IF(ISBLANK(Draft!E6),0,VLOOKUP(Draft!E6, 'Final Update'!A4:L1000,7,FALSE)+(IF(ISBLANK(Draft!F11),0,VLOOKUP(Draft!F11, 'Final Update'!A4:L1000,7,FALSE)+(IF(ISBLANK(Draft!G6),0,VLOOKUP(Draft!G6, 'Final Update'!A4:L1000,7,FALSE)+(IF(ISBLANK(Draft!H11),0,VLOOKUP(Draft!H11, 'Final Update'!A4:L1000,7,FALSE)+(IF(ISBLANK(Draft!I6),0,VLOOKUP(Draft!I6, 'Final Update'!A4:L1000,7,FALSE)+(IF(ISBLANK(Draft!J11),0,VLOOKUP(Draft!J11, 'Final Update'!A4:L1000,7,FALSE)+(IF(ISBLANK(Draft!K6),0,VLOOKUP(Draft!K6, 'Final Update'!A4:L1000,7,FALSE)+(IF(ISBLANK(Draft!L11),0,VLOOKUP(Draft!L11, 'Final Update'!A4:L1000,7,FALSE)+(IF(ISBLANK(Draft!M6),0,VLOOKUP(Draft!M6, 'Final Update'!A4:L1000,7,FALSE)+IF(ISBLANK(Draft!N11),0,VLOOKUP(Draft!N11, 'Final Update'!A4:L1000,7,FALSE)+IF(ISBLANK(Draft!O6),0,VLOOKUP(Draft!O6, 'Final Update'!A4:L1000,7,FALSE))))))))))))))))))))))))</f>
        <v>0</v>
      </c>
      <c r="J13" s="417">
        <f>((IF(ISBLANK(Draft!D11),0,VLOOKUP(Draft!D11, 'Final Update'!A4:L1000,8,FALSE)+(IF(ISBLANK(Draft!E6),0,VLOOKUP(Draft!E6, 'Final Update'!A4:L1000,8,FALSE)+(IF(ISBLANK(Draft!F11),0,VLOOKUP(Draft!F11, 'Final Update'!A4:L1000,8,FALSE)+(IF(ISBLANK(Draft!G6),0,VLOOKUP(Draft!G6, 'Final Update'!A4:L1000,8,FALSE)+(IF(ISBLANK(Draft!H11),0,VLOOKUP(Draft!H11, 'Final Update'!A4:L1000,8,FALSE)+(IF(ISBLANK(Draft!I6),0,VLOOKUP(Draft!I6, 'Final Update'!A4:L1000,8,FALSE)+(IF(ISBLANK(Draft!J11),0,VLOOKUP(Draft!J11, 'Final Update'!A4:L1000,8,FALSE)+(IF(ISBLANK(Draft!K6),0,VLOOKUP(Draft!K6, 'Final Update'!A4:L1000,8,FALSE)+(IF(ISBLANK(Draft!L11),0,VLOOKUP(Draft!L11, 'Final Update'!A4:L1000,8,FALSE)+(IF(ISBLANK(Draft!M6),0,VLOOKUP(Draft!M6, 'Final Update'!A4:L1000,8,FALSE)+IF(ISBLANK(Draft!N11),0,VLOOKUP(Draft!N11, 'Final Update'!A4:L1000,8,FALSE)+IF(ISBLANK(Draft!O6),0,VLOOKUP(Draft!O6, 'Final Update'!A4:L1000,8,FALSE))))))))))))))))))))))))</f>
        <v>0</v>
      </c>
      <c r="K13" s="417">
        <f>((IF(ISBLANK(Draft!D11),0,VLOOKUP(Draft!D11, 'Final Update'!A4:L1000,10,FALSE)+(IF(ISBLANK(Draft!E6),0,VLOOKUP(Draft!E6, 'Final Update'!A4:L1000,10,FALSE)+(IF(ISBLANK(Draft!F11),0,VLOOKUP(Draft!F11, 'Final Update'!A4:L1000,10,FALSE)+(IF(ISBLANK(Draft!G6),0,VLOOKUP(Draft!G6, 'Final Update'!A4:L1000,10,FALSE)+(IF(ISBLANK(Draft!H11),0,VLOOKUP(Draft!H11, 'Final Update'!A4:L1000,10,FALSE)+(IF(ISBLANK(Draft!I6),0,VLOOKUP(Draft!I6, 'Final Update'!A4:L1000,10,FALSE)+(IF(ISBLANK(Draft!J11),0,VLOOKUP(Draft!J11, 'Final Update'!A4:L1000,10,FALSE)+(IF(ISBLANK(Draft!K6),0,VLOOKUP(Draft!K6, 'Final Update'!A4:L1000,10,FALSE)+(IF(ISBLANK(Draft!L11),0,VLOOKUP(Draft!L11, 'Final Update'!A4:L1000,10,FALSE)+(IF(ISBLANK(Draft!M6),0,VLOOKUP(Draft!M6, 'Final Update'!A4:L1000,10,FALSE)+IF(ISBLANK(Draft!N11),0,VLOOKUP(Draft!N11, 'Final Update'!A4:L1000,10,FALSE)+IF(ISBLANK(Draft!O6),0,VLOOKUP(Draft!O6, 'Final Update'!A4:L1000,10,FALSE))))))))))))))))))))))))</f>
        <v>0</v>
      </c>
      <c r="L13" s="417">
        <f>((IF(ISBLANK(Draft!D11),0,VLOOKUP(Draft!D11, 'Final Update'!A4:L1000,12,FALSE)+(IF(ISBLANK(Draft!E6),0,VLOOKUP(Draft!E6, 'Final Update'!A4:L1000,12,FALSE)+(IF(ISBLANK(Draft!F11),0,VLOOKUP(Draft!F11, 'Final Update'!A4:L1000,12,FALSE)+(IF(ISBLANK(Draft!G6),0,VLOOKUP(Draft!G6, 'Final Update'!A4:L1000,12,FALSE)+(IF(ISBLANK(Draft!H11),0,VLOOKUP(Draft!H11, 'Final Update'!A4:L1000,12,FALSE)+(IF(ISBLANK(Draft!I6),0,VLOOKUP(Draft!I6, 'Final Update'!A4:L1000,12,FALSE)+(IF(ISBLANK(Draft!J11),0,VLOOKUP(Draft!J11, 'Final Update'!A4:L1000,12,FALSE)+(IF(ISBLANK(Draft!K6),0,VLOOKUP(Draft!K6, 'Final Update'!A4:L1000,12,FALSE)+(IF(ISBLANK(Draft!L11),0,VLOOKUP(Draft!L11, 'Final Update'!A4:L1000,12,FALSE)+(IF(ISBLANK(Draft!M6),0,VLOOKUP(Draft!M6, 'Final Update'!A4:L1000,12,FALSE)+IF(ISBLANK(Draft!N11),0,VLOOKUP(Draft!N11, 'Final Update'!A4:L1000,12,FALSE)+IF(ISBLANK(Draft!O6),0,VLOOKUP(Draft!O6, 'Final Update'!A4:L1000,12,FALSE))))))))))))))))))))))))</f>
        <v>0</v>
      </c>
      <c r="M13" s="435">
        <f t="array" ref="M13">if(M$3=$C13,"-", countif(indirect(address(row($C$4)+ VLOOKUP(M$3,$C$5:$C$16,1),COLUMN($D$4))):indirect(address(row($C$4)+ VLOOKUP(M$3,$C$5:$C$16,1),COLUMN($L$4)))&gt;indirect(address(row($C13),COLUMN($D$4))):indirect(address(row($C13),COLUMN($L$4))),TRUE()))</f>
        <v>0</v>
      </c>
      <c r="N13" s="435">
        <f t="array" ref="N13">if(N$3=$C13,"-", countif(indirect(address(row($C$4)+ VLOOKUP(N$3,$C$5:$C$16,1),COLUMN($D$4))):indirect(address(row($C$4)+ VLOOKUP(N$3,$C$5:$C$16,1),COLUMN($L$4)))&gt;indirect(address(row($C13),COLUMN($D$4))):indirect(address(row($C13),COLUMN($L$4))),TRUE()))</f>
        <v>0</v>
      </c>
      <c r="O13" s="435">
        <f t="array" ref="O13">if(O$3=$C13,"-", countif(indirect(address(row($C$4)+ VLOOKUP(O$3,$C$5:$C$16,1),COLUMN($D$4))):indirect(address(row($C$4)+ VLOOKUP(O$3,$C$5:$C$16,1),COLUMN($L$4)))&gt;indirect(address(row($C13),COLUMN($D$4))):indirect(address(row($C13),COLUMN($L$4))),TRUE()))</f>
        <v>0</v>
      </c>
      <c r="P13" s="435">
        <f t="array" ref="P13">if(P$3=$C13,"-", countif(indirect(address(row($C$4)+ VLOOKUP(P$3,$C$5:$C$16,1),COLUMN($D$4))):indirect(address(row($C$4)+ VLOOKUP(P$3,$C$5:$C$16,1),COLUMN($L$4)))&gt;indirect(address(row($C13),COLUMN($D$4))):indirect(address(row($C13),COLUMN($L$4))),TRUE()))</f>
        <v>0</v>
      </c>
      <c r="Q13" s="435">
        <f t="array" ref="Q13">if(Q$3=$C13,"-", countif(indirect(address(row($C$4)+ VLOOKUP(Q$3,$C$5:$C$16,1),COLUMN($D$4))):indirect(address(row($C$4)+ VLOOKUP(Q$3,$C$5:$C$16,1),COLUMN($L$4)))&gt;indirect(address(row($C13),COLUMN($D$4))):indirect(address(row($C13),COLUMN($L$4))),TRUE()))</f>
        <v>0</v>
      </c>
      <c r="R13" s="435">
        <f t="array" ref="R13">if(R$3=$C13,"-", countif(indirect(address(row($C$4)+ VLOOKUP(R$3,$C$5:$C$16,1),COLUMN($D$4))):indirect(address(row($C$4)+ VLOOKUP(R$3,$C$5:$C$16,1),COLUMN($L$4)))&gt;indirect(address(row($C13),COLUMN($D$4))):indirect(address(row($C13),COLUMN($L$4))),TRUE()))</f>
        <v>0</v>
      </c>
      <c r="S13" s="435">
        <f t="array" ref="S13">if(S$3=$C13,"-", countif(indirect(address(row($C$4)+ VLOOKUP(S$3,$C$5:$C$16,1),COLUMN($D$4))):indirect(address(row($C$4)+ VLOOKUP(S$3,$C$5:$C$16,1),COLUMN($L$4)))&gt;indirect(address(row($C13),COLUMN($D$4))):indirect(address(row($C13),COLUMN($L$4))),TRUE()))</f>
        <v>0</v>
      </c>
      <c r="T13" s="435">
        <f t="array" ref="T13">if(T$3=$C13,"-", countif(indirect(address(row($C$4)+ VLOOKUP(T$3,$C$5:$C$16,1),COLUMN($D$4))):indirect(address(row($C$4)+ VLOOKUP(T$3,$C$5:$C$16,1),COLUMN($L$4)))&gt;indirect(address(row($C13),COLUMN($D$4))):indirect(address(row($C13),COLUMN($L$4))),TRUE()))</f>
        <v>0</v>
      </c>
      <c r="U13" s="435">
        <f t="array" ref="U13">if(U$3=$C13,"-", countif(indirect(address(row($C$4)+ VLOOKUP(U$3,$C$5:$C$16,1),COLUMN($D$4))):indirect(address(row($C$4)+ VLOOKUP(U$3,$C$5:$C$16,1),COLUMN($L$4)))&gt;indirect(address(row($C13),COLUMN($D$4))):indirect(address(row($C13),COLUMN($L$4))),TRUE()))</f>
        <v>0</v>
      </c>
      <c r="V13" s="435">
        <f t="array" ref="V13">if(V$3=$C13,"-", countif(indirect(address(row($C$4)+ VLOOKUP(V$3,$C$5:$C$16,1),COLUMN($D$4))):indirect(address(row($C$4)+ VLOOKUP(V$3,$C$5:$C$16,1),COLUMN($L$4)))&gt;indirect(address(row($C13),COLUMN($D$4))):indirect(address(row($C13),COLUMN($L$4))),TRUE()))</f>
        <v>0</v>
      </c>
      <c r="W13" s="435">
        <f t="array" ref="W13">if(W$3=$C13,"-", countif(indirect(address(row($C$4)+ VLOOKUP(W$3,$C$5:$C$16,1),COLUMN($D$4))):indirect(address(row($C$4)+ VLOOKUP(W$3,$C$5:$C$16,1),COLUMN($L$4)))&gt;indirect(address(row($C13),COLUMN($D$4))):indirect(address(row($C13),COLUMN($L$4))),TRUE()))</f>
        <v>0</v>
      </c>
      <c r="X13" s="435">
        <f t="array" ref="X13">if(X$3=$C13,"-", countif(indirect(address(row($C$4)+ VLOOKUP(X$3,$C$5:$C$16,1),COLUMN($D$4))):indirect(address(row($C$4)+ VLOOKUP(X$3,$C$5:$C$16,1),COLUMN($L$4)))&gt;indirect(address(row($C13),COLUMN($D$4))):indirect(address(row($C13),COLUMN($L$4))),TRUE()))</f>
        <v>0</v>
      </c>
      <c r="Y13" s="435">
        <f t="array" ref="Y13">if(D$1=$C13,"-", countif(indirect(address(row($C$4)+ VLOOKUP(D$1,$C$5:$C$16,1),COLUMN($D$4))):indirect(address(row($C$4)+ VLOOKUP(D$1,$C$5:$C$16,1),COLUMN($L$4)))&gt;indirect(address(row($C13),COLUMN($D$4))):indirect(address(row($C13),COLUMN($L$4))),TRUE()))</f>
        <v>0</v>
      </c>
      <c r="Z13" s="433">
        <f>SUM(U$5:U$16)/99</f>
        <v>0</v>
      </c>
    </row>
    <row r="14">
      <c r="B14" s="432" t="b">
        <f>Draft!C12</f>
        <v>0</v>
      </c>
      <c r="C14" s="421">
        <v>10.0</v>
      </c>
      <c r="D14" s="417">
        <f>((IF(ISBLANK(Draft!D12),0,VLOOKUP(Draft!D12, 'Final Update'!A4:L1000,2,FALSE)+(IF(ISBLANK(Draft!E5),0,VLOOKUP(Draft!E5, 'Final Update'!A4:L1000,2,FALSE)+(IF(ISBLANK(Draft!F12),0,VLOOKUP(Draft!F12, 'Final Update'!A4:L1000,2,FALSE)+(IF(ISBLANK(Draft!G5),0,VLOOKUP(Draft!G5, 'Final Update'!A4:L1000,2,FALSE)+(IF(ISBLANK(Draft!H12),0,VLOOKUP(Draft!H12, 'Final Update'!A4:L1000,2,FALSE)+(IF(ISBLANK(Draft!I5),0,VLOOKUP(Draft!I5, 'Final Update'!A4:L1000,2,FALSE)+(IF(ISBLANK(Draft!J12),0,VLOOKUP(Draft!J12, 'Final Update'!A4:L1000,2,FALSE)+(IF(ISBLANK(Draft!K5),0,VLOOKUP(Draft!K5, 'Final Update'!A4:L1000,2,FALSE)+(IF(ISBLANK(Draft!L12),0,VLOOKUP(Draft!L12, 'Final Update'!A4:L1000,2,FALSE)+(IF(ISBLANK(Draft!M5),0,VLOOKUP(Draft!M5, 'Final Update'!A4:L1000,2,FALSE)+IF(ISBLANK(Draft!N12),0,VLOOKUP(Draft!N12, 'Final Update'!A4:L1000,2,FALSE)+IF(ISBLANK(Draft!O5),0,VLOOKUP(Draft!O5, 'Final Update'!A4:L1000,2,FALSE))))))))))))))))))))))))</f>
        <v>0</v>
      </c>
      <c r="E14" s="417">
        <f>((IF(ISBLANK(Draft!D12),0,VLOOKUP(Draft!D12, 'Final Update'!A4:L1000,3,FALSE)+(IF(ISBLANK(Draft!E5),0,VLOOKUP(Draft!E5, 'Final Update'!A4:L1000,3,FALSE)+(IF(ISBLANK(Draft!F12),0,VLOOKUP(Draft!F12, 'Final Update'!A4:L1000,3,FALSE)+(IF(ISBLANK(Draft!G5),0,VLOOKUP(Draft!G5, 'Final Update'!A4:L1000,3,FALSE)+(IF(ISBLANK(Draft!H12),0,VLOOKUP(Draft!H12, 'Final Update'!A4:L1000,3,FALSE)+(IF(ISBLANK(Draft!I5),0,VLOOKUP(Draft!I5, 'Final Update'!A4:L1000,3,FALSE)+(IF(ISBLANK(Draft!J12),0,VLOOKUP(Draft!J12, 'Final Update'!A4:L1000,3,FALSE)+(IF(ISBLANK(Draft!K5),0,VLOOKUP(Draft!K5, 'Final Update'!A4:L1000,3,FALSE)+(IF(ISBLANK(Draft!L12),0,VLOOKUP(Draft!L12, 'Final Update'!A4:L1000,3,FALSE)+(IF(ISBLANK(Draft!M5),0,VLOOKUP(Draft!M5, 'Final Update'!A4:L1000,3,FALSE)+IF(ISBLANK(Draft!N12),0,VLOOKUP(Draft!N12, 'Final Update'!A4:L1000,3,FALSE)+IF(ISBLANK(Draft!O5),0,VLOOKUP(Draft!O5, 'Final Update'!A4:L1000,3,FALSE))))))))))))))))))))))))</f>
        <v>0</v>
      </c>
      <c r="F14" s="417">
        <f>((IF(ISBLANK(Draft!D12),0,VLOOKUP(Draft!D12, 'Final Update'!A4:L1000,4,FALSE)+(IF(ISBLANK(Draft!E5),0,VLOOKUP(Draft!E5, 'Final Update'!A4:L1000,4,FALSE)+(IF(ISBLANK(Draft!F12),0,VLOOKUP(Draft!F12, 'Final Update'!A4:L1000,4,FALSE)+(IF(ISBLANK(Draft!G5),0,VLOOKUP(Draft!G5, 'Final Update'!A4:L1000,4,FALSE)+(IF(ISBLANK(Draft!H12),0,VLOOKUP(Draft!H12, 'Final Update'!A4:L1000,4,FALSE)+(IF(ISBLANK(Draft!I5),0,VLOOKUP(Draft!I5, 'Final Update'!A4:L1000,4,FALSE)+(IF(ISBLANK(Draft!J12),0,VLOOKUP(Draft!J12, 'Final Update'!A4:L1000,4,FALSE)+(IF(ISBLANK(Draft!K5),0,VLOOKUP(Draft!K5, 'Final Update'!A4:L1000,4,FALSE)+(IF(ISBLANK(Draft!L12),0,VLOOKUP(Draft!L12, 'Final Update'!A4:L1000,4,FALSE)+(IF(ISBLANK(Draft!M5),0,VLOOKUP(Draft!M5, 'Final Update'!A4:L1000,4,FALSE)+IF(ISBLANK(Draft!N12),0,VLOOKUP(Draft!N12, 'Final Update'!A4:L1000,4,FALSE)+IF(ISBLANK(Draft!O5),0,VLOOKUP(Draft!O5, 'Final Update'!A4:L1000,4,FALSE))))))))))))))))))))))))</f>
        <v>0</v>
      </c>
      <c r="G14" s="417">
        <f>((IF(ISBLANK(Draft!D12),0,VLOOKUP(Draft!D12, 'Final Update'!A4:L1000,5,FALSE)+(IF(ISBLANK(Draft!E5),0,VLOOKUP(Draft!E5, 'Final Update'!A4:L1000,5,FALSE)+(IF(ISBLANK(Draft!F12),0,VLOOKUP(Draft!F12, 'Final Update'!A4:L1000,5,FALSE)+(IF(ISBLANK(Draft!G5),0,VLOOKUP(Draft!G5, 'Final Update'!A4:L1000,5,FALSE)+(IF(ISBLANK(Draft!H12),0,VLOOKUP(Draft!H12, 'Final Update'!A4:L1000,5,FALSE)+(IF(ISBLANK(Draft!I5),0,VLOOKUP(Draft!I5, 'Final Update'!A4:L1000,5,FALSE)+(IF(ISBLANK(Draft!J12),0,VLOOKUP(Draft!J12, 'Final Update'!A4:L1000,5,FALSE)+(IF(ISBLANK(Draft!K5),0,VLOOKUP(Draft!K5, 'Final Update'!A4:L1000,5,FALSE)+(IF(ISBLANK(Draft!L12),0,VLOOKUP(Draft!L12, 'Final Update'!A4:L1000,5,FALSE)+(IF(ISBLANK(Draft!M5),0,VLOOKUP(Draft!M5, 'Final Update'!A4:L1000,5,FALSE)+IF(ISBLANK(Draft!N12),0,VLOOKUP(Draft!N12, 'Final Update'!A4:L1000,5,FALSE)+IF(ISBLANK(Draft!O5),0,VLOOKUP(Draft!O5, 'Final Update'!A4:L1000,5,FALSE))))))))))))))))))))))))</f>
        <v>0</v>
      </c>
      <c r="H14" s="417">
        <f>((IF(ISBLANK(Draft!D12),0,VLOOKUP(Draft!D12, 'Final Update'!A4:L1000,6,FALSE)+(IF(ISBLANK(Draft!E5),0,VLOOKUP(Draft!E5, 'Final Update'!A4:L1000,6,FALSE)+(IF(ISBLANK(Draft!F12),0,VLOOKUP(Draft!F12, 'Final Update'!A4:L1000,6,FALSE)+(IF(ISBLANK(Draft!G5),0,VLOOKUP(Draft!G5, 'Final Update'!A4:L1000,6,FALSE)+(IF(ISBLANK(Draft!H12),0,VLOOKUP(Draft!H12, 'Final Update'!A4:L1000,6,FALSE)+(IF(ISBLANK(Draft!I5),0,VLOOKUP(Draft!I5, 'Final Update'!A4:L1000,6,FALSE)+(IF(ISBLANK(Draft!J12),0,VLOOKUP(Draft!J12, 'Final Update'!A4:L1000,6,FALSE)+(IF(ISBLANK(Draft!K5),0,VLOOKUP(Draft!K5, 'Final Update'!A4:L1000,6,FALSE)+(IF(ISBLANK(Draft!L12),0,VLOOKUP(Draft!L12, 'Final Update'!A4:L1000,6,FALSE)+(IF(ISBLANK(Draft!M5),0,VLOOKUP(Draft!M5, 'Final Update'!A4:L1000,6,FALSE)+IF(ISBLANK(Draft!N12),0,VLOOKUP(Draft!N12, 'Final Update'!A4:L1000,6,FALSE)+IF(ISBLANK(Draft!O5),0,VLOOKUP(Draft!O5, 'Final Update'!A4:L1000,6,FALSE))))))))))))))))))))))))</f>
        <v>0</v>
      </c>
      <c r="I14" s="417">
        <f>((IF(ISBLANK(Draft!D12),0,VLOOKUP(Draft!D12, 'Final Update'!A4:L1000,7,FALSE)+(IF(ISBLANK(Draft!E5),0,VLOOKUP(Draft!E5, 'Final Update'!A4:L1000,7,FALSE)+(IF(ISBLANK(Draft!F12),0,VLOOKUP(Draft!F12, 'Final Update'!A4:L1000,7,FALSE)+(IF(ISBLANK(Draft!G5),0,VLOOKUP(Draft!G5, 'Final Update'!A4:L1000,7,FALSE)+(IF(ISBLANK(Draft!H12),0,VLOOKUP(Draft!H12, 'Final Update'!A4:L1000,7,FALSE)+(IF(ISBLANK(Draft!I5),0,VLOOKUP(Draft!I5, 'Final Update'!A4:L1000,7,FALSE)+(IF(ISBLANK(Draft!J12),0,VLOOKUP(Draft!J12, 'Final Update'!A4:L1000,7,FALSE)+(IF(ISBLANK(Draft!K5),0,VLOOKUP(Draft!K5, 'Final Update'!A4:L1000,7,FALSE)+(IF(ISBLANK(Draft!L12),0,VLOOKUP(Draft!L12, 'Final Update'!A4:L1000,7,FALSE)+(IF(ISBLANK(Draft!M5),0,VLOOKUP(Draft!M5, 'Final Update'!A4:L1000,7,FALSE)+IF(ISBLANK(Draft!N12),0,VLOOKUP(Draft!N12, 'Final Update'!A4:L1000,7,FALSE)+IF(ISBLANK(Draft!O5),0,VLOOKUP(Draft!O5, 'Final Update'!A4:L1000,7,FALSE))))))))))))))))))))))))</f>
        <v>0</v>
      </c>
      <c r="J14" s="417">
        <f>((IF(ISBLANK(Draft!D12),0,VLOOKUP(Draft!D12, 'Final Update'!A4:L1000,8,FALSE)+(IF(ISBLANK(Draft!E5),0,VLOOKUP(Draft!E5, 'Final Update'!A4:L1000,8,FALSE)+(IF(ISBLANK(Draft!F12),0,VLOOKUP(Draft!F12, 'Final Update'!A4:L1000,8,FALSE)+(IF(ISBLANK(Draft!G5),0,VLOOKUP(Draft!G5, 'Final Update'!A4:L1000,8,FALSE)+(IF(ISBLANK(Draft!H12),0,VLOOKUP(Draft!H12, 'Final Update'!A4:L1000,8,FALSE)+(IF(ISBLANK(Draft!I5),0,VLOOKUP(Draft!I5, 'Final Update'!A4:L1000,8,FALSE)+(IF(ISBLANK(Draft!J12),0,VLOOKUP(Draft!J12, 'Final Update'!A4:L1000,8,FALSE)+(IF(ISBLANK(Draft!K5),0,VLOOKUP(Draft!K5, 'Final Update'!A4:L1000,8,FALSE)+(IF(ISBLANK(Draft!L12),0,VLOOKUP(Draft!L12, 'Final Update'!A4:L1000,8,FALSE)+(IF(ISBLANK(Draft!M5),0,VLOOKUP(Draft!M5, 'Final Update'!A4:L1000,8,FALSE)+IF(ISBLANK(Draft!N12),0,VLOOKUP(Draft!N12, 'Final Update'!A4:L1000,8,FALSE)+IF(ISBLANK(Draft!O5),0,VLOOKUP(Draft!O5, 'Final Update'!A4:L1000,8,FALSE))))))))))))))))))))))))</f>
        <v>0</v>
      </c>
      <c r="K14" s="417">
        <f>((IF(ISBLANK(Draft!D12),0,VLOOKUP(Draft!D12, 'Final Update'!A4:L1000,10,FALSE)+(IF(ISBLANK(Draft!E5),0,VLOOKUP(Draft!E5, 'Final Update'!A4:L1000,10,FALSE)+(IF(ISBLANK(Draft!F12),0,VLOOKUP(Draft!F12, 'Final Update'!A4:L1000,10,FALSE)+(IF(ISBLANK(Draft!G5),0,VLOOKUP(Draft!G5, 'Final Update'!A4:L1000,10,FALSE)+(IF(ISBLANK(Draft!H12),0,VLOOKUP(Draft!H12, 'Final Update'!A4:L1000,10,FALSE)+(IF(ISBLANK(Draft!I5),0,VLOOKUP(Draft!I5, 'Final Update'!A4:L1000,10,FALSE)+(IF(ISBLANK(Draft!J12),0,VLOOKUP(Draft!J12, 'Final Update'!A4:L1000,10,FALSE)+(IF(ISBLANK(Draft!K5),0,VLOOKUP(Draft!K5, 'Final Update'!A4:L1000,10,FALSE)+(IF(ISBLANK(Draft!L12),0,VLOOKUP(Draft!L12, 'Final Update'!A4:L1000,10,FALSE)+(IF(ISBLANK(Draft!M5),0,VLOOKUP(Draft!M5, 'Final Update'!A4:L1000,10,FALSE)+IF(ISBLANK(Draft!N12),0,VLOOKUP(Draft!N12, 'Final Update'!A4:L1000,10,FALSE)+IF(ISBLANK(Draft!O5),0,VLOOKUP(Draft!O5, 'Final Update'!A4:L1000,7,FALSE))))))))))))))))))))))))</f>
        <v>0</v>
      </c>
      <c r="L14" s="417">
        <f>((IF(ISBLANK(Draft!D12),0,VLOOKUP(Draft!D12, 'Final Update'!A4:L1000,12,FALSE)+(IF(ISBLANK(Draft!E5),0,VLOOKUP(Draft!E5, 'Final Update'!A4:L1000,12,FALSE)+(IF(ISBLANK(Draft!F12),0,VLOOKUP(Draft!F12, 'Final Update'!A4:L1000,12,FALSE)+(IF(ISBLANK(Draft!G5),0,VLOOKUP(Draft!G5, 'Final Update'!A4:L1000,12,FALSE)+(IF(ISBLANK(Draft!H12),0,VLOOKUP(Draft!H12, 'Final Update'!A4:L1000,12,FALSE)+(IF(ISBLANK(Draft!I5),0,VLOOKUP(Draft!I5, 'Final Update'!A4:L1000,12,FALSE)+(IF(ISBLANK(Draft!J12),0,VLOOKUP(Draft!J12, 'Final Update'!A4:L1000,12,FALSE)+(IF(ISBLANK(Draft!K5),0,VLOOKUP(Draft!K5, 'Final Update'!A4:L1000,12,FALSE)+(IF(ISBLANK(Draft!L12),0,VLOOKUP(Draft!L12, 'Final Update'!A4:L1000,12,FALSE)+(IF(ISBLANK(Draft!M5),0,VLOOKUP(Draft!M5, 'Final Update'!A4:L1000,12,FALSE)+IF(ISBLANK(Draft!N12),0,VLOOKUP(Draft!N12, 'Final Update'!A4:L1000,12,FALSE)+IF(ISBLANK(Draft!O5),0,VLOOKUP(Draft!O5, 'Final Update'!A4:L1000,12,FALSE))))))))))))))))))))))))</f>
        <v>0</v>
      </c>
      <c r="M14" s="435">
        <f t="array" ref="M14">if(M$3=$C14,"-", countif(indirect(address(row($C$4)+ VLOOKUP(M$3,$C$5:$C$16,1),COLUMN($D$4))):indirect(address(row($C$4)+ VLOOKUP(M$3,$C$5:$C$16,1),COLUMN($L$4)))&gt;indirect(address(row($C14),COLUMN($D$4))):indirect(address(row($C14),COLUMN($L$4))),TRUE()))</f>
        <v>0</v>
      </c>
      <c r="N14" s="435">
        <f t="array" ref="N14">if(N$3=$C14,"-", countif(indirect(address(row($C$4)+ VLOOKUP(N$3,$C$5:$C$16,1),COLUMN($D$4))):indirect(address(row($C$4)+ VLOOKUP(N$3,$C$5:$C$16,1),COLUMN($L$4)))&gt;indirect(address(row($C14),COLUMN($D$4))):indirect(address(row($C14),COLUMN($L$4))),TRUE()))</f>
        <v>0</v>
      </c>
      <c r="O14" s="435">
        <f t="array" ref="O14">if(O$3=$C14,"-", countif(indirect(address(row($C$4)+ VLOOKUP(O$3,$C$5:$C$16,1),COLUMN($D$4))):indirect(address(row($C$4)+ VLOOKUP(O$3,$C$5:$C$16,1),COLUMN($L$4)))&gt;indirect(address(row($C14),COLUMN($D$4))):indirect(address(row($C14),COLUMN($L$4))),TRUE()))</f>
        <v>0</v>
      </c>
      <c r="P14" s="435">
        <f t="array" ref="P14">if(P$3=$C14,"-", countif(indirect(address(row($C$4)+ VLOOKUP(P$3,$C$5:$C$16,1),COLUMN($D$4))):indirect(address(row($C$4)+ VLOOKUP(P$3,$C$5:$C$16,1),COLUMN($L$4)))&gt;indirect(address(row($C14),COLUMN($D$4))):indirect(address(row($C14),COLUMN($L$4))),TRUE()))</f>
        <v>0</v>
      </c>
      <c r="Q14" s="435">
        <f t="array" ref="Q14">if(Q$3=$C14,"-", countif(indirect(address(row($C$4)+ VLOOKUP(Q$3,$C$5:$C$16,1),COLUMN($D$4))):indirect(address(row($C$4)+ VLOOKUP(Q$3,$C$5:$C$16,1),COLUMN($L$4)))&gt;indirect(address(row($C14),COLUMN($D$4))):indirect(address(row($C14),COLUMN($L$4))),TRUE()))</f>
        <v>0</v>
      </c>
      <c r="R14" s="435">
        <f t="array" ref="R14">if(R$3=$C14,"-", countif(indirect(address(row($C$4)+ VLOOKUP(R$3,$C$5:$C$16,1),COLUMN($D$4))):indirect(address(row($C$4)+ VLOOKUP(R$3,$C$5:$C$16,1),COLUMN($L$4)))&gt;indirect(address(row($C14),COLUMN($D$4))):indirect(address(row($C14),COLUMN($L$4))),TRUE()))</f>
        <v>0</v>
      </c>
      <c r="S14" s="435">
        <f t="array" ref="S14">if(S$3=$C14,"-", countif(indirect(address(row($C$4)+ VLOOKUP(S$3,$C$5:$C$16,1),COLUMN($D$4))):indirect(address(row($C$4)+ VLOOKUP(S$3,$C$5:$C$16,1),COLUMN($L$4)))&gt;indirect(address(row($C14),COLUMN($D$4))):indirect(address(row($C14),COLUMN($L$4))),TRUE()))</f>
        <v>0</v>
      </c>
      <c r="T14" s="435">
        <f t="array" ref="T14">if(T$3=$C14,"-", countif(indirect(address(row($C$4)+ VLOOKUP(T$3,$C$5:$C$16,1),COLUMN($D$4))):indirect(address(row($C$4)+ VLOOKUP(T$3,$C$5:$C$16,1),COLUMN($L$4)))&gt;indirect(address(row($C14),COLUMN($D$4))):indirect(address(row($C14),COLUMN($L$4))),TRUE()))</f>
        <v>0</v>
      </c>
      <c r="U14" s="435">
        <f t="array" ref="U14">if(U$3=$C14,"-", countif(indirect(address(row($C$4)+ VLOOKUP(U$3,$C$5:$C$16,1),COLUMN($D$4))):indirect(address(row($C$4)+ VLOOKUP(U$3,$C$5:$C$16,1),COLUMN($L$4)))&gt;indirect(address(row($C14),COLUMN($D$4))):indirect(address(row($C14),COLUMN($L$4))),TRUE()))</f>
        <v>0</v>
      </c>
      <c r="V14" s="435">
        <f t="array" ref="V14">if(V$3=$C14,"-", countif(indirect(address(row($C$4)+ VLOOKUP(V$3,$C$5:$C$16,1),COLUMN($D$4))):indirect(address(row($C$4)+ VLOOKUP(V$3,$C$5:$C$16,1),COLUMN($L$4)))&gt;indirect(address(row($C14),COLUMN($D$4))):indirect(address(row($C14),COLUMN($L$4))),TRUE()))</f>
        <v>0</v>
      </c>
      <c r="W14" s="435">
        <f t="array" ref="W14">if(W$3=$C14,"-", countif(indirect(address(row($C$4)+ VLOOKUP(W$3,$C$5:$C$16,1),COLUMN($D$4))):indirect(address(row($C$4)+ VLOOKUP(W$3,$C$5:$C$16,1),COLUMN($L$4)))&gt;indirect(address(row($C14),COLUMN($D$4))):indirect(address(row($C14),COLUMN($L$4))),TRUE()))</f>
        <v>0</v>
      </c>
      <c r="X14" s="435">
        <f t="array" ref="X14">if(X$3=$C14,"-", countif(indirect(address(row($C$4)+ VLOOKUP(X$3,$C$5:$C$16,1),COLUMN($D$4))):indirect(address(row($C$4)+ VLOOKUP(X$3,$C$5:$C$16,1),COLUMN($L$4)))&gt;indirect(address(row($C14),COLUMN($D$4))):indirect(address(row($C14),COLUMN($L$4))),TRUE()))</f>
        <v>0</v>
      </c>
      <c r="Y14" s="435">
        <f t="array" ref="Y14">if(D$1=$C14,"-", countif(indirect(address(row($C$4)+ VLOOKUP(D$1,$C$5:$C$16,1),COLUMN($D$4))):indirect(address(row($C$4)+ VLOOKUP(D$1,$C$5:$C$16,1),COLUMN($L$4)))&gt;indirect(address(row($C14),COLUMN($D$4))):indirect(address(row($C14),COLUMN($L$4))),TRUE()))</f>
        <v>0</v>
      </c>
      <c r="Z14" s="433">
        <f>SUM(V$5:V$16)/99</f>
        <v>0</v>
      </c>
    </row>
    <row r="15">
      <c r="B15" s="432" t="b">
        <f>Draft!C13</f>
        <v>0</v>
      </c>
      <c r="C15" s="421">
        <v>11.0</v>
      </c>
      <c r="D15" s="417">
        <f>((IF(ISBLANK(Draft!D13),0,VLOOKUP(Draft!D13, 'Final Update'!A4:L1000,2,FALSE)+(IF(ISBLANK(Draft!E4),0,VLOOKUP(Draft!E4, 'Final Update'!A4:L1000,2,FALSE)+(IF(ISBLANK(Draft!F13),0,VLOOKUP(Draft!F13, 'Final Update'!A4:L1000,2,FALSE)+(IF(ISBLANK(Draft!G4),0,VLOOKUP(Draft!G4, 'Final Update'!A4:L1000,2,FALSE)+(IF(ISBLANK(Draft!H13),0,VLOOKUP(Draft!H13, 'Final Update'!A4:L1000,2,FALSE)+(IF(ISBLANK(Draft!I4),0,VLOOKUP(Draft!I4, 'Final Update'!A4:L1000,2,FALSE)+(IF(ISBLANK(Draft!J13),0,VLOOKUP(Draft!J13, 'Final Update'!A4:L1000,2,FALSE)+(IF(ISBLANK(Draft!K4),0,VLOOKUP(Draft!K4, 'Final Update'!A4:L1000,2,FALSE)+(IF(ISBLANK(Draft!L13),0,VLOOKUP(Draft!L13, 'Final Update'!A4:L1000,2,FALSE)+(IF(ISBLANK(Draft!M4),0,VLOOKUP(Draft!M4, 'Final Update'!A4:L1000,2,FALSE)+IF(ISBLANK(Draft!N13),0,VLOOKUP(Draft!N13, 'Final Update'!A4:L1000,2,FALSE)+IF(ISBLANK(Draft!O4),0,VLOOKUP(Draft!O4, 'Final Update'!A4:L1000,2,FALSE))))))))))))))))))))))))</f>
        <v>0</v>
      </c>
      <c r="E15" s="417">
        <f>((IF(ISBLANK(Draft!D13),0,VLOOKUP(Draft!D13, 'Final Update'!A4:L1000,3,FALSE)+(IF(ISBLANK(Draft!E4),0,VLOOKUP(Draft!E4, 'Final Update'!A4:L1000,3,FALSE)+(IF(ISBLANK(Draft!F13),0,VLOOKUP(Draft!F13, 'Final Update'!A4:L1000,3,FALSE)+(IF(ISBLANK(Draft!G4),0,VLOOKUP(Draft!G4, 'Final Update'!A4:L1000,3,FALSE)+(IF(ISBLANK(Draft!H13),0,VLOOKUP(Draft!H13, 'Final Update'!A4:L1000,3,FALSE)+(IF(ISBLANK(Draft!I4),0,VLOOKUP(Draft!I4, 'Final Update'!A4:L1000,3,FALSE)+(IF(ISBLANK(Draft!J13),0,VLOOKUP(Draft!J13, 'Final Update'!A4:L1000,3,FALSE)+(IF(ISBLANK(Draft!K4),0,VLOOKUP(Draft!K4, 'Final Update'!A4:L1000,3,FALSE)+(IF(ISBLANK(Draft!L13),0,VLOOKUP(Draft!L13, 'Final Update'!A4:L1000,3,FALSE)+(IF(ISBLANK(Draft!M4),0,VLOOKUP(Draft!M4, 'Final Update'!A4:L1000,3,FALSE)+IF(ISBLANK(Draft!N13),0,VLOOKUP(Draft!N13, 'Final Update'!A4:L1000,3,FALSE)+IF(ISBLANK(Draft!O4),0,VLOOKUP(Draft!O4, 'Final Update'!A4:L1000,3,FALSE))))))))))))))))))))))))</f>
        <v>0</v>
      </c>
      <c r="F15" s="417">
        <f>((IF(ISBLANK(Draft!D13),0,VLOOKUP(Draft!D13, 'Final Update'!A4:L1000,4,FALSE)+(IF(ISBLANK(Draft!E4),0,VLOOKUP(Draft!E4, 'Final Update'!A4:L1000,4,FALSE)+(IF(ISBLANK(Draft!F13),0,VLOOKUP(Draft!F13, 'Final Update'!A4:L1000,4,FALSE)+(IF(ISBLANK(Draft!G4),0,VLOOKUP(Draft!G4, 'Final Update'!A4:L1000,4,FALSE)+(IF(ISBLANK(Draft!H13),0,VLOOKUP(Draft!H13, 'Final Update'!A4:L1000,4,FALSE)+(IF(ISBLANK(Draft!I4),0,VLOOKUP(Draft!I4, 'Final Update'!A4:L1000,4,FALSE)+(IF(ISBLANK(Draft!J13),0,VLOOKUP(Draft!J13, 'Final Update'!A4:L1000,4,FALSE)+(IF(ISBLANK(Draft!K4),0,VLOOKUP(Draft!K4, 'Final Update'!A4:L1000,4,FALSE)+(IF(ISBLANK(Draft!L13),0,VLOOKUP(Draft!L13, 'Final Update'!A4:L1000,4,FALSE)+(IF(ISBLANK(Draft!M4),0,VLOOKUP(Draft!M4, 'Final Update'!A4:L1000,4,FALSE)+IF(ISBLANK(Draft!N13),0,VLOOKUP(Draft!N13, 'Final Update'!A4:L1000,4,FALSE)+IF(ISBLANK(Draft!O4),0,VLOOKUP(Draft!O4, 'Final Update'!A4:L1000,4,FALSE))))))))))))))))))))))))</f>
        <v>0</v>
      </c>
      <c r="G15" s="417">
        <f>((IF(ISBLANK(Draft!D13),0,VLOOKUP(Draft!D13, 'Final Update'!A4:L1000,5,FALSE)+(IF(ISBLANK(Draft!E4),0,VLOOKUP(Draft!E4, 'Final Update'!A4:L1000,5,FALSE)+(IF(ISBLANK(Draft!F13),0,VLOOKUP(Draft!F13, 'Final Update'!A4:L1000,5,FALSE)+(IF(ISBLANK(Draft!G4),0,VLOOKUP(Draft!G4, 'Final Update'!A4:L1000,5,FALSE)+(IF(ISBLANK(Draft!H13),0,VLOOKUP(Draft!H13, 'Final Update'!A4:L1000,5,FALSE)+(IF(ISBLANK(Draft!I4),0,VLOOKUP(Draft!I4, 'Final Update'!A4:L1000,5,FALSE)+(IF(ISBLANK(Draft!J13),0,VLOOKUP(Draft!J13, 'Final Update'!A4:L1000,5,FALSE)+(IF(ISBLANK(Draft!K4),0,VLOOKUP(Draft!K4, 'Final Update'!A4:L1000,5,FALSE)+(IF(ISBLANK(Draft!L13),0,VLOOKUP(Draft!L13, 'Final Update'!A4:L1000,5,FALSE)+(IF(ISBLANK(Draft!M4),0,VLOOKUP(Draft!M4, 'Final Update'!A4:L1000,5,FALSE)+IF(ISBLANK(Draft!N13),0,VLOOKUP(Draft!N13, 'Final Update'!A4:L1000,5,FALSE)+IF(ISBLANK(Draft!O4),0,VLOOKUP(Draft!O4, 'Final Update'!A4:L1000,5,FALSE))))))))))))))))))))))))</f>
        <v>0</v>
      </c>
      <c r="H15" s="417">
        <f>((IF(ISBLANK(Draft!D13),0,VLOOKUP(Draft!D13, 'Final Update'!A4:L1000,6,FALSE)+(IF(ISBLANK(Draft!E4),0,VLOOKUP(Draft!E4, 'Final Update'!A4:L1000,6,FALSE)+(IF(ISBLANK(Draft!F13),0,VLOOKUP(Draft!F13, 'Final Update'!A4:L1000,6,FALSE)+(IF(ISBLANK(Draft!G4),0,VLOOKUP(Draft!G4, 'Final Update'!A4:L1000,6,FALSE)+(IF(ISBLANK(Draft!H13),0,VLOOKUP(Draft!H13, 'Final Update'!A4:L1000,6,FALSE)+(IF(ISBLANK(Draft!I4),0,VLOOKUP(Draft!I4, 'Final Update'!A4:L1000,6,FALSE)+(IF(ISBLANK(Draft!J13),0,VLOOKUP(Draft!J13, 'Final Update'!A4:L1000,6,FALSE)+(IF(ISBLANK(Draft!K4),0,VLOOKUP(Draft!K4, 'Final Update'!A4:L1000,6,FALSE)+(IF(ISBLANK(Draft!L13),0,VLOOKUP(Draft!L13, 'Final Update'!A4:L1000,6,FALSE)+(IF(ISBLANK(Draft!M4),0,VLOOKUP(Draft!M4, 'Final Update'!A4:L1000,6,FALSE)+IF(ISBLANK(Draft!N13),0,VLOOKUP(Draft!N13, 'Final Update'!A4:L1000,6,FALSE)+IF(ISBLANK(Draft!O4),0,VLOOKUP(Draft!O4, 'Final Update'!A4:L1000,6,FALSE))))))))))))))))))))))))</f>
        <v>0</v>
      </c>
      <c r="I15" s="417">
        <f>((IF(ISBLANK(Draft!D13),0,VLOOKUP(Draft!D13, 'Final Update'!A4:L1000,7,FALSE)+(IF(ISBLANK(Draft!E4),0,VLOOKUP(Draft!E4, 'Final Update'!A4:L1000,7,FALSE)+(IF(ISBLANK(Draft!F13),0,VLOOKUP(Draft!F13, 'Final Update'!A4:L1000,7,FALSE)+(IF(ISBLANK(Draft!G4),0,VLOOKUP(Draft!G4, 'Final Update'!A4:L1000,7,FALSE)+(IF(ISBLANK(Draft!H13),0,VLOOKUP(Draft!H13, 'Final Update'!A4:L1000,7,FALSE)+(IF(ISBLANK(Draft!I4),0,VLOOKUP(Draft!I4, 'Final Update'!A4:L1000,7,FALSE)+(IF(ISBLANK(Draft!J13),0,VLOOKUP(Draft!J13, 'Final Update'!A4:L1000,7,FALSE)+(IF(ISBLANK(Draft!K4),0,VLOOKUP(Draft!K4, 'Final Update'!A4:L1000,7,FALSE)+(IF(ISBLANK(Draft!L13),0,VLOOKUP(Draft!L13, 'Final Update'!A4:L1000,7,FALSE)+(IF(ISBLANK(Draft!M4),0,VLOOKUP(Draft!M4, 'Final Update'!A4:L1000,7,FALSE)+IF(ISBLANK(Draft!N13),0,VLOOKUP(Draft!N13, 'Final Update'!A4:L1000,7,FALSE)+IF(ISBLANK(Draft!O4),0,VLOOKUP(Draft!O4, 'Final Update'!A4:L1000,7,FALSE))))))))))))))))))))))))</f>
        <v>0</v>
      </c>
      <c r="J15" s="417">
        <f>((IF(ISBLANK(Draft!D13),0,VLOOKUP(Draft!D13, 'Final Update'!A4:L1000,8,FALSE)+(IF(ISBLANK(Draft!E4),0,VLOOKUP(Draft!E4, 'Final Update'!A4:L1000,8,FALSE)+(IF(ISBLANK(Draft!F13),0,VLOOKUP(Draft!F13, 'Final Update'!A4:L1000,8,FALSE)+(IF(ISBLANK(Draft!G4),0,VLOOKUP(Draft!G4, 'Final Update'!A4:L1000,8,FALSE)+(IF(ISBLANK(Draft!H13),0,VLOOKUP(Draft!H13, 'Final Update'!A4:L1000,8,FALSE)+(IF(ISBLANK(Draft!I4),0,VLOOKUP(Draft!I4, 'Final Update'!A4:L1000,8,FALSE)+(IF(ISBLANK(Draft!J13),0,VLOOKUP(Draft!J13, 'Final Update'!A4:L1000,8,FALSE)+(IF(ISBLANK(Draft!K4),0,VLOOKUP(Draft!K4, 'Final Update'!A4:L1000,8,FALSE)+(IF(ISBLANK(Draft!L13),0,VLOOKUP(Draft!L13, 'Final Update'!A4:L1000,8,FALSE)+(IF(ISBLANK(Draft!M4),0,VLOOKUP(Draft!M4, 'Final Update'!A4:L1000,8,FALSE)+IF(ISBLANK(Draft!N13),0,VLOOKUP(Draft!N13, 'Final Update'!A4:L1000,8,FALSE)+IF(ISBLANK(Draft!O4),0,VLOOKUP(Draft!O4, 'Final Update'!A4:L1000,8,FALSE))))))))))))))))))))))))</f>
        <v>0</v>
      </c>
      <c r="K15" s="417">
        <f>((IF(ISBLANK(Draft!D13),0,VLOOKUP(Draft!D13, 'Final Update'!A4:L1000,10,FALSE)+(IF(ISBLANK(Draft!E4),0,VLOOKUP(Draft!E4, 'Final Update'!A4:L1000,10,FALSE)+(IF(ISBLANK(Draft!F13),0,VLOOKUP(Draft!F13, 'Final Update'!A4:L1000,10,FALSE)+(IF(ISBLANK(Draft!G4),0,VLOOKUP(Draft!G4, 'Final Update'!A4:L1000,10,FALSE)+(IF(ISBLANK(Draft!H13),0,VLOOKUP(Draft!H13, 'Final Update'!A4:L1000,10,FALSE)+(IF(ISBLANK(Draft!I4),0,VLOOKUP(Draft!I4, 'Final Update'!A4:L1000,10,FALSE)+(IF(ISBLANK(Draft!J13),0,VLOOKUP(Draft!J13, 'Final Update'!A4:L1000,10,FALSE)+(IF(ISBLANK(Draft!K4),0,VLOOKUP(Draft!K4, 'Final Update'!A4:L1000,10,FALSE)+(IF(ISBLANK(Draft!L13),0,VLOOKUP(Draft!L13, 'Final Update'!A4:L1000,10,FALSE)+(IF(ISBLANK(Draft!M4),0,VLOOKUP(Draft!M4, 'Final Update'!A4:L1000,10,FALSE)+IF(ISBLANK(Draft!N13),0,VLOOKUP(Draft!N13, 'Final Update'!A4:L1000,10,FALSE)+IF(ISBLANK(Draft!O4),0,VLOOKUP(Draft!O4, 'Final Update'!A4:L1000,10,FALSE))))))))))))))))))))))))</f>
        <v>0</v>
      </c>
      <c r="L15" s="417">
        <f>((IF(ISBLANK(Draft!D13),0,VLOOKUP(Draft!D13, 'Final Update'!A4:L1000,12,FALSE)+(IF(ISBLANK(Draft!E4),0,VLOOKUP(Draft!E4, 'Final Update'!A4:L1000,12,FALSE)+(IF(ISBLANK(Draft!F13),0,VLOOKUP(Draft!F13, 'Final Update'!A4:L1000,12,FALSE)+(IF(ISBLANK(Draft!G4),0,VLOOKUP(Draft!G4, 'Final Update'!A4:L1000,12,FALSE)+(IF(ISBLANK(Draft!H13),0,VLOOKUP(Draft!H13, 'Final Update'!A4:L1000,12,FALSE)+(IF(ISBLANK(Draft!I4),0,VLOOKUP(Draft!I4, 'Final Update'!A4:L1000,12,FALSE)+(IF(ISBLANK(Draft!J13),0,VLOOKUP(Draft!J13, 'Final Update'!A4:L1000,12,FALSE)+(IF(ISBLANK(Draft!K4),0,VLOOKUP(Draft!K4, 'Final Update'!A4:L1000,12,FALSE)+(IF(ISBLANK(Draft!L13),0,VLOOKUP(Draft!L13, 'Final Update'!A4:L1000,12,FALSE)+(IF(ISBLANK(Draft!M4),0,VLOOKUP(Draft!M4, 'Final Update'!A4:L1000,12,FALSE)+IF(ISBLANK(Draft!N13),0,VLOOKUP(Draft!N13, 'Final Update'!A4:L1000,12,FALSE)+IF(ISBLANK(Draft!O4),0,VLOOKUP(Draft!O4, 'Final Update'!A4:L1000,12,FALSE))))))))))))))))))))))))</f>
        <v>0</v>
      </c>
      <c r="M15" s="435">
        <f t="array" ref="M15">if(M$3=$C15,"-", countif(indirect(address(row($C$4)+ VLOOKUP(M$3,$C$5:$C$16,1),COLUMN($D$4))):indirect(address(row($C$4)+ VLOOKUP(M$3,$C$5:$C$16,1),COLUMN($L$4)))&gt;indirect(address(row($C15),COLUMN($D$4))):indirect(address(row($C15),COLUMN($L$4))),TRUE()))</f>
        <v>0</v>
      </c>
      <c r="N15" s="435">
        <f t="array" ref="N15">if(N$3=$C15,"-", countif(indirect(address(row($C$4)+ VLOOKUP(N$3,$C$5:$C$16,1),COLUMN($D$4))):indirect(address(row($C$4)+ VLOOKUP(N$3,$C$5:$C$16,1),COLUMN($L$4)))&gt;indirect(address(row($C15),COLUMN($D$4))):indirect(address(row($C15),COLUMN($L$4))),TRUE()))</f>
        <v>0</v>
      </c>
      <c r="O15" s="435">
        <f t="array" ref="O15">if(O$3=$C15,"-", countif(indirect(address(row($C$4)+ VLOOKUP(O$3,$C$5:$C$16,1),COLUMN($D$4))):indirect(address(row($C$4)+ VLOOKUP(O$3,$C$5:$C$16,1),COLUMN($L$4)))&gt;indirect(address(row($C15),COLUMN($D$4))):indirect(address(row($C15),COLUMN($L$4))),TRUE()))</f>
        <v>0</v>
      </c>
      <c r="P15" s="435">
        <f t="array" ref="P15">if(P$3=$C15,"-", countif(indirect(address(row($C$4)+ VLOOKUP(P$3,$C$5:$C$16,1),COLUMN($D$4))):indirect(address(row($C$4)+ VLOOKUP(P$3,$C$5:$C$16,1),COLUMN($L$4)))&gt;indirect(address(row($C15),COLUMN($D$4))):indirect(address(row($C15),COLUMN($L$4))),TRUE()))</f>
        <v>0</v>
      </c>
      <c r="Q15" s="435">
        <f t="array" ref="Q15">if(Q$3=$C15,"-", countif(indirect(address(row($C$4)+ VLOOKUP(Q$3,$C$5:$C$16,1),COLUMN($D$4))):indirect(address(row($C$4)+ VLOOKUP(Q$3,$C$5:$C$16,1),COLUMN($L$4)))&gt;indirect(address(row($C15),COLUMN($D$4))):indirect(address(row($C15),COLUMN($L$4))),TRUE()))</f>
        <v>0</v>
      </c>
      <c r="R15" s="435">
        <f t="array" ref="R15">if(R$3=$C15,"-", countif(indirect(address(row($C$4)+ VLOOKUP(R$3,$C$5:$C$16,1),COLUMN($D$4))):indirect(address(row($C$4)+ VLOOKUP(R$3,$C$5:$C$16,1),COLUMN($L$4)))&gt;indirect(address(row($C15),COLUMN($D$4))):indirect(address(row($C15),COLUMN($L$4))),TRUE()))</f>
        <v>0</v>
      </c>
      <c r="S15" s="435">
        <f t="array" ref="S15">if(S$3=$C15,"-", countif(indirect(address(row($C$4)+ VLOOKUP(S$3,$C$5:$C$16,1),COLUMN($D$4))):indirect(address(row($C$4)+ VLOOKUP(S$3,$C$5:$C$16,1),COLUMN($L$4)))&gt;indirect(address(row($C15),COLUMN($D$4))):indirect(address(row($C15),COLUMN($L$4))),TRUE()))</f>
        <v>0</v>
      </c>
      <c r="T15" s="435">
        <f t="array" ref="T15">if(T$3=$C15,"-", countif(indirect(address(row($C$4)+ VLOOKUP(T$3,$C$5:$C$16,1),COLUMN($D$4))):indirect(address(row($C$4)+ VLOOKUP(T$3,$C$5:$C$16,1),COLUMN($L$4)))&gt;indirect(address(row($C15),COLUMN($D$4))):indirect(address(row($C15),COLUMN($L$4))),TRUE()))</f>
        <v>0</v>
      </c>
      <c r="U15" s="435">
        <f t="array" ref="U15">if(U$3=$C15,"-", countif(indirect(address(row($C$4)+ VLOOKUP(U$3,$C$5:$C$16,1),COLUMN($D$4))):indirect(address(row($C$4)+ VLOOKUP(U$3,$C$5:$C$16,1),COLUMN($L$4)))&gt;indirect(address(row($C15),COLUMN($D$4))):indirect(address(row($C15),COLUMN($L$4))),TRUE()))</f>
        <v>0</v>
      </c>
      <c r="V15" s="435">
        <f t="array" ref="V15">if(V$3=$C15,"-", countif(indirect(address(row($C$4)+ VLOOKUP(V$3,$C$5:$C$16,1),COLUMN($D$4))):indirect(address(row($C$4)+ VLOOKUP(V$3,$C$5:$C$16,1),COLUMN($L$4)))&gt;indirect(address(row($C15),COLUMN($D$4))):indirect(address(row($C15),COLUMN($L$4))),TRUE()))</f>
        <v>0</v>
      </c>
      <c r="W15" s="435">
        <f t="array" ref="W15">if(W$3=$C15,"-", countif(indirect(address(row($C$4)+ VLOOKUP(W$3,$C$5:$C$16,1),COLUMN($D$4))):indirect(address(row($C$4)+ VLOOKUP(W$3,$C$5:$C$16,1),COLUMN($L$4)))&gt;indirect(address(row($C15),COLUMN($D$4))):indirect(address(row($C15),COLUMN($L$4))),TRUE()))</f>
        <v>0</v>
      </c>
      <c r="X15" s="435">
        <f t="array" ref="X15">if(X$3=$C15,"-", countif(indirect(address(row($C$4)+ VLOOKUP(X$3,$C$5:$C$16,1),COLUMN($D$4))):indirect(address(row($C$4)+ VLOOKUP(X$3,$C$5:$C$16,1),COLUMN($L$4)))&gt;indirect(address(row($C15),COLUMN($D$4))):indirect(address(row($C15),COLUMN($L$4))),TRUE()))</f>
        <v>0</v>
      </c>
      <c r="Y15" s="435">
        <f t="array" ref="Y15">if(D$1=$C15,"-", countif(indirect(address(row($C$4)+ VLOOKUP(D$1,$C$5:$C$16,1),COLUMN($D$4))):indirect(address(row($C$4)+ VLOOKUP(D$1,$C$5:$C$16,1),COLUMN($L$4)))&gt;indirect(address(row($C15),COLUMN($D$4))):indirect(address(row($C15),COLUMN($L$4))),TRUE()))</f>
        <v>0</v>
      </c>
      <c r="Z15" s="433">
        <f>SUM(W$5:W$16)/99</f>
        <v>0</v>
      </c>
    </row>
    <row r="16">
      <c r="B16" s="432" t="b">
        <f>Draft!C14</f>
        <v>0</v>
      </c>
      <c r="C16" s="421">
        <v>12.0</v>
      </c>
      <c r="D16" s="417">
        <f>((IF(ISBLANK(Draft!D14),0,VLOOKUP(Draft!D14, 'Final Update'!A4:L1000,2,FALSE)+(IF(ISBLANK(Draft!E3),0,VLOOKUP(Draft!E3, 'Final Update'!A4:L1000,2,FALSE)+(IF(ISBLANK(Draft!F14),0,VLOOKUP(Draft!F14, 'Final Update'!A4:L1000,2,FALSE)+(IF(ISBLANK(Draft!G3),0,VLOOKUP(Draft!G3, 'Final Update'!A4:L1000,2,FALSE)+(IF(ISBLANK(Draft!H14),0,VLOOKUP(Draft!H14, 'Final Update'!A4:L1000,2,FALSE)+(IF(ISBLANK(Draft!I3),0,VLOOKUP(Draft!I3, 'Final Update'!A4:L1000,2,FALSE)+(IF(ISBLANK(Draft!J14),0,VLOOKUP(Draft!J14, 'Final Update'!A4:L1000,2,FALSE)+(IF(ISBLANK(Draft!K3),0,VLOOKUP(Draft!K3, 'Final Update'!A4:L1000,2,FALSE)+(IF(ISBLANK(Draft!L14),0,VLOOKUP(Draft!L14, 'Final Update'!A4:L1000,2,FALSE)+(IF(ISBLANK(Draft!M3),0,VLOOKUP(Draft!M3, 'Final Update'!A4:L1000,2,FALSE)+IF(ISBLANK(Draft!N14),0,VLOOKUP(Draft!N14, 'Final Update'!A4:L1000,2,FALSE)+IF(ISBLANK(Draft!O3),0,VLOOKUP(Draft!O3, 'Final Update'!A4:L1000,2,FALSE))))))))))))))))))))))))</f>
        <v>0</v>
      </c>
      <c r="E16" s="417">
        <f>((IF(ISBLANK(Draft!D14),0,VLOOKUP(Draft!D14, 'Final Update'!A4:L1000,3,FALSE)+(IF(ISBLANK(Draft!E3),0,VLOOKUP(Draft!E3, 'Final Update'!A4:L1000,3,FALSE)+(IF(ISBLANK(Draft!F14),0,VLOOKUP(Draft!F14, 'Final Update'!A4:L1000,3,FALSE)+(IF(ISBLANK(Draft!G3),0,VLOOKUP(Draft!G3, 'Final Update'!A4:L1000,3,FALSE)+(IF(ISBLANK(Draft!H14),0,VLOOKUP(Draft!H14, 'Final Update'!A4:L1000,3,FALSE)+(IF(ISBLANK(Draft!I3),0,VLOOKUP(Draft!I3, 'Final Update'!A4:L1000,3,FALSE)+(IF(ISBLANK(Draft!J14),0,VLOOKUP(Draft!J14, 'Final Update'!A4:L1000,3,FALSE)+(IF(ISBLANK(Draft!K3),0,VLOOKUP(Draft!K3, 'Final Update'!A4:L1000,3,FALSE)+(IF(ISBLANK(Draft!L14),0,VLOOKUP(Draft!L14, 'Final Update'!A4:L1000,3,FALSE)+(IF(ISBLANK(Draft!M3),0,VLOOKUP(Draft!M3, 'Final Update'!A4:L1000,3,FALSE)+IF(ISBLANK(Draft!N14),0,VLOOKUP(Draft!N14, 'Final Update'!A4:L1000,3,FALSE)+IF(ISBLANK(Draft!O3),0,VLOOKUP(Draft!O3, 'Final Update'!A4:L1000,3,FALSE))))))))))))))))))))))))</f>
        <v>0</v>
      </c>
      <c r="F16" s="417">
        <f>((IF(ISBLANK(Draft!D14),0,VLOOKUP(Draft!D14, 'Final Update'!A4:L1000,4,FALSE)+(IF(ISBLANK(Draft!E3),0,VLOOKUP(Draft!E3, 'Final Update'!A4:L1000,4,FALSE)+(IF(ISBLANK(Draft!F14),0,VLOOKUP(Draft!F14, 'Final Update'!A4:L1000,4,FALSE)+(IF(ISBLANK(Draft!G3),0,VLOOKUP(Draft!G3, 'Final Update'!A4:L1000,4,FALSE)+(IF(ISBLANK(Draft!H14),0,VLOOKUP(Draft!H14, 'Final Update'!A4:L1000,4,FALSE)+(IF(ISBLANK(Draft!I3),0,VLOOKUP(Draft!I3, 'Final Update'!A4:L1000,4,FALSE)+(IF(ISBLANK(Draft!J14),0,VLOOKUP(Draft!J14, 'Final Update'!A4:L1000,4,FALSE)+(IF(ISBLANK(Draft!K3),0,VLOOKUP(Draft!K3, 'Final Update'!A4:L1000,4,FALSE)+(IF(ISBLANK(Draft!L14),0,VLOOKUP(Draft!L14, 'Final Update'!A4:L1000,4,FALSE)+(IF(ISBLANK(Draft!M3),0,VLOOKUP(Draft!M3, 'Final Update'!A4:L1000,4,FALSE)+IF(ISBLANK(Draft!N14),0,VLOOKUP(Draft!N14, 'Final Update'!A4:L1000,4,FALSE)+IF(ISBLANK(Draft!O3),0,VLOOKUP(Draft!O3, 'Final Update'!A4:L1000,4,FALSE))))))))))))))))))))))))</f>
        <v>0</v>
      </c>
      <c r="G16" s="417">
        <f>((IF(ISBLANK(Draft!D14),0,VLOOKUP(Draft!D14, 'Final Update'!A4:L1000,5,FALSE)+(IF(ISBLANK(Draft!E3),0,VLOOKUP(Draft!E3, 'Final Update'!A4:L1000,5,FALSE)+(IF(ISBLANK(Draft!F14),0,VLOOKUP(Draft!F14, 'Final Update'!A4:L1000,5,FALSE)+(IF(ISBLANK(Draft!G3),0,VLOOKUP(Draft!G3, 'Final Update'!A4:L1000,5,FALSE)+(IF(ISBLANK(Draft!H14),0,VLOOKUP(Draft!H14, 'Final Update'!A4:L1000,5,FALSE)+(IF(ISBLANK(Draft!I3),0,VLOOKUP(Draft!I3, 'Final Update'!A4:L1000,5,FALSE)+(IF(ISBLANK(Draft!J14),0,VLOOKUP(Draft!J14, 'Final Update'!A4:L1000,5,FALSE)+(IF(ISBLANK(Draft!K3),0,VLOOKUP(Draft!K3, 'Final Update'!A4:L1000,5,FALSE)+(IF(ISBLANK(Draft!L14),0,VLOOKUP(Draft!L14, 'Final Update'!A4:L1000,5,FALSE)+(IF(ISBLANK(Draft!M3),0,VLOOKUP(Draft!M3, 'Final Update'!A4:L1000,5,FALSE)+IF(ISBLANK(Draft!N14),0,VLOOKUP(Draft!N14, 'Final Update'!A4:L1000,5,FALSE)+IF(ISBLANK(Draft!O3),0,VLOOKUP(Draft!O3, 'Final Update'!A4:L1000,5,FALSE))))))))))))))))))))))))</f>
        <v>0</v>
      </c>
      <c r="H16" s="417">
        <f>((IF(ISBLANK(Draft!D14),0,VLOOKUP(Draft!D14, 'Final Update'!A4:L1000,6,FALSE)+(IF(ISBLANK(Draft!E3),0,VLOOKUP(Draft!E3, 'Final Update'!A4:L1000,6,FALSE)+(IF(ISBLANK(Draft!F14),0,VLOOKUP(Draft!F14, 'Final Update'!A4:L1000,6,FALSE)+(IF(ISBLANK(Draft!G3),0,VLOOKUP(Draft!G3, 'Final Update'!A4:L1000,6,FALSE)+(IF(ISBLANK(Draft!H14),0,VLOOKUP(Draft!H14, 'Final Update'!A4:L1000,6,FALSE)+(IF(ISBLANK(Draft!I3),0,VLOOKUP(Draft!I3, 'Final Update'!A4:L1000,6,FALSE)+(IF(ISBLANK(Draft!J14),0,VLOOKUP(Draft!J14, 'Final Update'!A4:L1000,6,FALSE)+(IF(ISBLANK(Draft!K3),0,VLOOKUP(Draft!K3, 'Final Update'!A4:L1000,6,FALSE)+(IF(ISBLANK(Draft!L14),0,VLOOKUP(Draft!L14, 'Final Update'!A4:L1000,6,FALSE)+(IF(ISBLANK(Draft!M3),0,VLOOKUP(Draft!M3, 'Final Update'!A4:L1000,6,FALSE)+IF(ISBLANK(Draft!N14),0,VLOOKUP(Draft!N14, 'Final Update'!A4:L1000,6,FALSE)+IF(ISBLANK(Draft!O3),0,VLOOKUP(Draft!O3, 'Final Update'!A4:L1000,6,FALSE))))))))))))))))))))))))</f>
        <v>0</v>
      </c>
      <c r="I16" s="417">
        <f>((IF(ISBLANK(Draft!D14),0,VLOOKUP(Draft!D14, 'Final Update'!A4:L1000,7,FALSE)+(IF(ISBLANK(Draft!E3),0,VLOOKUP(Draft!E3, 'Final Update'!A4:L1000,7,FALSE)+(IF(ISBLANK(Draft!F14),0,VLOOKUP(Draft!F14, 'Final Update'!A4:L1000,7,FALSE)+(IF(ISBLANK(Draft!G3),0,VLOOKUP(Draft!G3, 'Final Update'!A4:L1000,7,FALSE)+(IF(ISBLANK(Draft!H14),0,VLOOKUP(Draft!H14, 'Final Update'!A4:L1000,7,FALSE)+(IF(ISBLANK(Draft!I3),0,VLOOKUP(Draft!I3, 'Final Update'!A4:L1000,7,FALSE)+(IF(ISBLANK(Draft!J14),0,VLOOKUP(Draft!J14, 'Final Update'!A4:L1000,7,FALSE)+(IF(ISBLANK(Draft!K3),0,VLOOKUP(Draft!K3, 'Final Update'!A4:L1000,7,FALSE)+(IF(ISBLANK(Draft!L14),0,VLOOKUP(Draft!L14, 'Final Update'!A4:L1000,7,FALSE)+(IF(ISBLANK(Draft!M3),0,VLOOKUP(Draft!M3, 'Final Update'!A4:L1000,7,FALSE)+IF(ISBLANK(Draft!N14),0,VLOOKUP(Draft!N14, 'Final Update'!A4:L1000,7,FALSE)+IF(ISBLANK(Draft!O3),0,VLOOKUP(Draft!O3, 'Final Update'!A4:L1000,7,FALSE))))))))))))))))))))))))</f>
        <v>0</v>
      </c>
      <c r="J16" s="417">
        <f>((IF(ISBLANK(Draft!D14),0,VLOOKUP(Draft!D14, 'Final Update'!A4:L1000,8,FALSE)+(IF(ISBLANK(Draft!E3),0,VLOOKUP(Draft!E3, 'Final Update'!A4:L1000,8,FALSE)+(IF(ISBLANK(Draft!F14),0,VLOOKUP(Draft!F14, 'Final Update'!A4:L1000,8,FALSE)+(IF(ISBLANK(Draft!G3),0,VLOOKUP(Draft!G3, 'Final Update'!A4:L1000,8,FALSE)+(IF(ISBLANK(Draft!H14),0,VLOOKUP(Draft!H14, 'Final Update'!A4:L1000,8,FALSE)+(IF(ISBLANK(Draft!I3),0,VLOOKUP(Draft!I3, 'Final Update'!A4:L1000,8,FALSE)+(IF(ISBLANK(Draft!J14),0,VLOOKUP(Draft!J14, 'Final Update'!A4:L1000,8,FALSE)+(IF(ISBLANK(Draft!K3),0,VLOOKUP(Draft!K3, 'Final Update'!A4:L1000,8,FALSE)+(IF(ISBLANK(Draft!L14),0,VLOOKUP(Draft!L14, 'Final Update'!A4:L1000,8,FALSE)+(IF(ISBLANK(Draft!M3),0,VLOOKUP(Draft!M3, 'Final Update'!A4:L1000,8,FALSE)+IF(ISBLANK(Draft!N14),0,VLOOKUP(Draft!N14, 'Final Update'!A4:L1000,8,FALSE)+IF(ISBLANK(Draft!O3),0,VLOOKUP(Draft!O3, 'Final Update'!A4:L1000,8,FALSE))))))))))))))))))))))))</f>
        <v>0</v>
      </c>
      <c r="K16" s="417">
        <f>((IF(ISBLANK(Draft!D14),0,VLOOKUP(Draft!D14, 'Final Update'!A4:L1000,10,FALSE)+(IF(ISBLANK(Draft!E3),0,VLOOKUP(Draft!E3, 'Final Update'!A4:L1000,10,FALSE)+(IF(ISBLANK(Draft!F14),0,VLOOKUP(Draft!F14, 'Final Update'!A4:L1000,10,FALSE)+(IF(ISBLANK(Draft!G3),0,VLOOKUP(Draft!G3, 'Final Update'!A4:L1000,10,FALSE)+(IF(ISBLANK(Draft!H14),0,VLOOKUP(Draft!H14, 'Final Update'!A4:L1000,10,FALSE)+(IF(ISBLANK(Draft!I3),0,VLOOKUP(Draft!I3, 'Final Update'!A4:L1000,10,FALSE)+(IF(ISBLANK(Draft!J14),0,VLOOKUP(Draft!J14, 'Final Update'!A4:L1000,10,FALSE)+(IF(ISBLANK(Draft!K3),0,VLOOKUP(Draft!K3, 'Final Update'!A4:L1000,10,FALSE)+(IF(ISBLANK(Draft!L14),0,VLOOKUP(Draft!L14, 'Final Update'!A4:L1000,10,FALSE)+(IF(ISBLANK(Draft!M3),0,VLOOKUP(Draft!M3, 'Final Update'!A4:L1000,10,FALSE)+IF(ISBLANK(Draft!N14),0,VLOOKUP(Draft!N14, 'Final Update'!A4:L1000,10,FALSE)+IF(ISBLANK(Draft!O3),0,VLOOKUP(Draft!O3, 'Final Update'!A4:L1000,10,FALSE))))))))))))))))))))))))</f>
        <v>0</v>
      </c>
      <c r="L16" s="417">
        <f>((IF(ISBLANK(Draft!D14),0,VLOOKUP(Draft!D14, 'Final Update'!A4:L1000,12,FALSE)+(IF(ISBLANK(Draft!E3),0,VLOOKUP(Draft!E3, 'Final Update'!A4:L1000,12,FALSE)+(IF(ISBLANK(Draft!F14),0,VLOOKUP(Draft!F14, 'Final Update'!A4:L1000,12,FALSE)+(IF(ISBLANK(Draft!G3),0,VLOOKUP(Draft!G3, 'Final Update'!A4:L1000,12,FALSE)+(IF(ISBLANK(Draft!H14),0,VLOOKUP(Draft!H14, 'Final Update'!A4:L1000,12,FALSE)+(IF(ISBLANK(Draft!I3),0,VLOOKUP(Draft!I3, 'Final Update'!A4:L1000,12,FALSE)+(IF(ISBLANK(Draft!J14),0,VLOOKUP(Draft!J14, 'Final Update'!A4:L1000,12,FALSE)+(IF(ISBLANK(Draft!K3),0,VLOOKUP(Draft!K3, 'Final Update'!A4:L1000,12,FALSE)+(IF(ISBLANK(Draft!L14),0,VLOOKUP(Draft!L14, 'Final Update'!A4:L1000,12,FALSE)+(IF(ISBLANK(Draft!M3),0,VLOOKUP(Draft!M3, 'Final Update'!A4:L1000,12,FALSE)+IF(ISBLANK(Draft!N14),0,VLOOKUP(Draft!N14, 'Final Update'!A4:L1000,12,FALSE)+IF(ISBLANK(Draft!O3),0,VLOOKUP(Draft!O3, 'Final Update'!A4:L1000,12,FALSE))))))))))))))))))))))))</f>
        <v>0</v>
      </c>
      <c r="M16" s="435">
        <f t="array" ref="M16">if(M$3=$C16,"-", countif(indirect(address(row($C$4)+ VLOOKUP(M$3,$C$5:$C$16,1),COLUMN($D$4))):indirect(address(row($C$4)+ VLOOKUP(M$3,$C$5:$C$16,1),COLUMN($L$4)))&gt;indirect(address(row($C16),COLUMN($D$4))):indirect(address(row($C16),COLUMN($L$4))),TRUE()))</f>
        <v>0</v>
      </c>
      <c r="N16" s="435">
        <f t="array" ref="N16">if(N$3=$C16,"-", countif(indirect(address(row($C$4)+ VLOOKUP(N$3,$C$5:$C$16,1),COLUMN($D$4))):indirect(address(row($C$4)+ VLOOKUP(N$3,$C$5:$C$16,1),COLUMN($L$4)))&gt;indirect(address(row($C16),COLUMN($D$4))):indirect(address(row($C16),COLUMN($L$4))),TRUE()))</f>
        <v>0</v>
      </c>
      <c r="O16" s="435">
        <f t="array" ref="O16">if(O$3=$C16,"-", countif(indirect(address(row($C$4)+ VLOOKUP(O$3,$C$5:$C$16,1),COLUMN($D$4))):indirect(address(row($C$4)+ VLOOKUP(O$3,$C$5:$C$16,1),COLUMN($L$4)))&gt;indirect(address(row($C16),COLUMN($D$4))):indirect(address(row($C16),COLUMN($L$4))),TRUE()))</f>
        <v>0</v>
      </c>
      <c r="P16" s="435">
        <f t="array" ref="P16">if(P$3=$C16,"-", countif(indirect(address(row($C$4)+ VLOOKUP(P$3,$C$5:$C$16,1),COLUMN($D$4))):indirect(address(row($C$4)+ VLOOKUP(P$3,$C$5:$C$16,1),COLUMN($L$4)))&gt;indirect(address(row($C16),COLUMN($D$4))):indirect(address(row($C16),COLUMN($L$4))),TRUE()))</f>
        <v>0</v>
      </c>
      <c r="Q16" s="435">
        <f t="array" ref="Q16">if(Q$3=$C16,"-", countif(indirect(address(row($C$4)+ VLOOKUP(Q$3,$C$5:$C$16,1),COLUMN($D$4))):indirect(address(row($C$4)+ VLOOKUP(Q$3,$C$5:$C$16,1),COLUMN($L$4)))&gt;indirect(address(row($C16),COLUMN($D$4))):indirect(address(row($C16),COLUMN($L$4))),TRUE()))</f>
        <v>0</v>
      </c>
      <c r="R16" s="435">
        <f t="array" ref="R16">if(R$3=$C16,"-", countif(indirect(address(row($C$4)+ VLOOKUP(R$3,$C$5:$C$16,1),COLUMN($D$4))):indirect(address(row($C$4)+ VLOOKUP(R$3,$C$5:$C$16,1),COLUMN($L$4)))&gt;indirect(address(row($C16),COLUMN($D$4))):indirect(address(row($C16),COLUMN($L$4))),TRUE()))</f>
        <v>0</v>
      </c>
      <c r="S16" s="435">
        <f t="array" ref="S16">if(S$3=$C16,"-", countif(indirect(address(row($C$4)+ VLOOKUP(S$3,$C$5:$C$16,1),COLUMN($D$4))):indirect(address(row($C$4)+ VLOOKUP(S$3,$C$5:$C$16,1),COLUMN($L$4)))&gt;indirect(address(row($C16),COLUMN($D$4))):indirect(address(row($C16),COLUMN($L$4))),TRUE()))</f>
        <v>0</v>
      </c>
      <c r="T16" s="435">
        <f t="array" ref="T16">if(T$3=$C16,"-", countif(indirect(address(row($C$4)+ VLOOKUP(T$3,$C$5:$C$16,1),COLUMN($D$4))):indirect(address(row($C$4)+ VLOOKUP(T$3,$C$5:$C$16,1),COLUMN($L$4)))&gt;indirect(address(row($C16),COLUMN($D$4))):indirect(address(row($C16),COLUMN($L$4))),TRUE()))</f>
        <v>0</v>
      </c>
      <c r="U16" s="435">
        <f t="array" ref="U16">if(U$3=$C16,"-", countif(indirect(address(row($C$4)+ VLOOKUP(U$3,$C$5:$C$16,1),COLUMN($D$4))):indirect(address(row($C$4)+ VLOOKUP(U$3,$C$5:$C$16,1),COLUMN($L$4)))&gt;indirect(address(row($C16),COLUMN($D$4))):indirect(address(row($C16),COLUMN($L$4))),TRUE()))</f>
        <v>0</v>
      </c>
      <c r="V16" s="435">
        <f t="array" ref="V16">if(V$3=$C16,"-", countif(indirect(address(row($C$4)+ VLOOKUP(V$3,$C$5:$C$16,1),COLUMN($D$4))):indirect(address(row($C$4)+ VLOOKUP(V$3,$C$5:$C$16,1),COLUMN($L$4)))&gt;indirect(address(row($C16),COLUMN($D$4))):indirect(address(row($C16),COLUMN($L$4))),TRUE()))</f>
        <v>0</v>
      </c>
      <c r="W16" s="435">
        <f t="array" ref="W16">if(W$3=$C16,"-", countif(indirect(address(row($C$4)+ VLOOKUP(W$3,$C$5:$C$16,1),COLUMN($D$4))):indirect(address(row($C$4)+ VLOOKUP(W$3,$C$5:$C$16,1),COLUMN($L$4)))&gt;indirect(address(row($C16),COLUMN($D$4))):indirect(address(row($C16),COLUMN($L$4))),TRUE()))</f>
        <v>0</v>
      </c>
      <c r="X16" s="435">
        <f t="array" ref="X16">if(X$3=$C16,"-", countif(indirect(address(row($C$4)+ VLOOKUP(X$3,$C$5:$C$16,1),COLUMN($D$4))):indirect(address(row($C$4)+ VLOOKUP(X$3,$C$5:$C$16,1),COLUMN($L$4)))&gt;indirect(address(row($C16),COLUMN($D$4))):indirect(address(row($C16),COLUMN($L$4))),TRUE()))</f>
        <v>0</v>
      </c>
      <c r="Y16" s="435">
        <f t="array" ref="Y16">if(D$1=$C16,"-", countif(indirect(address(row($C$4)+ VLOOKUP(D$1,$C$5:$C$16,1),COLUMN($D$4))):indirect(address(row($C$4)+ VLOOKUP(D$1,$C$5:$C$16,1),COLUMN($L$4)))&gt;indirect(address(row($C16),COLUMN($D$4))):indirect(address(row($C16),COLUMN($L$4))),TRUE()))</f>
        <v>0</v>
      </c>
      <c r="Z16" s="433">
        <f>SUM(X$5:X$16)/99</f>
        <v>0</v>
      </c>
    </row>
    <row r="19">
      <c r="D19" s="420" t="s">
        <v>11</v>
      </c>
      <c r="E19" s="431" t="s">
        <v>51</v>
      </c>
      <c r="F19" s="420" t="s">
        <v>53</v>
      </c>
      <c r="G19" s="420" t="s">
        <v>14</v>
      </c>
      <c r="H19" s="420" t="s">
        <v>15</v>
      </c>
      <c r="I19" s="420" t="s">
        <v>16</v>
      </c>
      <c r="J19" s="420" t="s">
        <v>8</v>
      </c>
      <c r="K19" s="420" t="s">
        <v>9</v>
      </c>
      <c r="L19" s="420" t="s">
        <v>17</v>
      </c>
    </row>
    <row r="20">
      <c r="C20" s="5" t="s">
        <v>2937</v>
      </c>
    </row>
    <row r="21">
      <c r="C21" s="5"/>
    </row>
    <row r="24">
      <c r="C24" s="5"/>
    </row>
    <row r="25">
      <c r="C25" s="5" t="s">
        <v>766</v>
      </c>
    </row>
    <row r="26">
      <c r="C26" s="5" t="s">
        <v>2938</v>
      </c>
    </row>
    <row r="31">
      <c r="C31" s="5" t="s">
        <v>766</v>
      </c>
    </row>
  </sheetData>
  <conditionalFormatting sqref="D5:L16">
    <cfRule type="cellIs" dxfId="3" priority="1" operator="equal">
      <formula>0</formula>
    </cfRule>
  </conditionalFormatting>
  <conditionalFormatting sqref="D5:L16">
    <cfRule type="colorScale" priority="2">
      <colorScale>
        <cfvo type="min"/>
        <cfvo type="formula" val="0"/>
        <cfvo type="max"/>
        <color rgb="FFFF0000"/>
        <color rgb="FFFFFFFF"/>
        <color rgb="FF00FF00"/>
      </colorScale>
    </cfRule>
  </conditionalFormatting>
  <conditionalFormatting sqref="Z5:Z16">
    <cfRule type="colorScale" priority="3">
      <colorScale>
        <cfvo type="min"/>
        <cfvo type="formula" val="0.5"/>
        <cfvo type="max"/>
        <color rgb="FFFF0000"/>
        <color rgb="FFFFFFFF"/>
        <color rgb="FF00FF00"/>
      </colorScale>
    </cfRule>
  </conditionalFormatting>
  <conditionalFormatting sqref="Y5:Y16">
    <cfRule type="colorScale" priority="4">
      <colorScale>
        <cfvo type="formula" val="2"/>
        <cfvo type="formula" val="4.5"/>
        <cfvo type="formula" val="8"/>
        <color rgb="FFFF0000"/>
        <color rgb="FFFFFFFF"/>
        <color rgb="FF00FF00"/>
      </colorScale>
    </cfRule>
  </conditionalFormatting>
  <dataValidations>
    <dataValidation type="list" allowBlank="1" sqref="C21:C24">
      <formula1>Trades!$C$6:$C$15</formula1>
    </dataValidation>
    <dataValidation type="list" allowBlank="1" sqref="C27:C30">
      <formula1>Trades!$C$7:$C$13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6" t="s">
        <v>2625</v>
      </c>
      <c r="C1" s="436" t="s">
        <v>2626</v>
      </c>
      <c r="E1" s="437">
        <f>+2.4</f>
        <v>2.4</v>
      </c>
      <c r="F1" s="438">
        <v>99.6</v>
      </c>
      <c r="R1" s="5" t="s">
        <v>44</v>
      </c>
      <c r="S1" s="5" t="s">
        <v>71</v>
      </c>
      <c r="T1" s="5" t="s">
        <v>72</v>
      </c>
      <c r="U1" s="5" t="s">
        <v>73</v>
      </c>
      <c r="V1" s="5" t="s">
        <v>34</v>
      </c>
    </row>
    <row r="2">
      <c r="A2" s="439" t="s">
        <v>2627</v>
      </c>
      <c r="B2" s="440" t="s">
        <v>3</v>
      </c>
      <c r="C2" s="439" t="s">
        <v>2628</v>
      </c>
      <c r="D2" s="441" t="s">
        <v>2629</v>
      </c>
      <c r="E2" s="442">
        <v>68.6</v>
      </c>
      <c r="F2" s="443">
        <f>+3.3</f>
        <v>3.3</v>
      </c>
      <c r="G2" s="442">
        <v>99.6</v>
      </c>
      <c r="R2" t="str">
        <f t="array" ref="R2:R1000">IF(ISNUMBER(SEARCH("PG", B2:B1000)), "PG", "")</f>
        <v/>
      </c>
      <c r="S2" s="411" t="str">
        <f t="array" ref="S2:S1000">IF(ISNUMBER(SEARCH("SG", B2:B1000)), "SG", "")</f>
        <v/>
      </c>
      <c r="T2" t="str">
        <f t="array" ref="T2:T1000">IF(ISNUMBER(SEARCH("SF", B2:B1000)), "SF", "")</f>
        <v/>
      </c>
      <c r="U2" s="411" t="str">
        <f t="array" ref="U2:U1000">IF(ISNUMBER(SEARCH("PF", B2:B1000)), "PF", "")</f>
        <v/>
      </c>
      <c r="V2" t="str">
        <f t="array" ref="V2:V1000">IF(ISNUMBER(SEARCH("C", B2:B1000)), "C", "")</f>
        <v/>
      </c>
      <c r="W2" t="str">
        <f t="shared" ref="W2:W500" si="1">R2&amp;S2&amp;T2&amp;U2&amp;V2</f>
        <v/>
      </c>
    </row>
    <row r="3">
      <c r="A3" s="444">
        <v>1.0</v>
      </c>
      <c r="B3" s="445" t="s">
        <v>2630</v>
      </c>
      <c r="C3" s="446"/>
      <c r="D3" s="446"/>
      <c r="E3" s="438">
        <v>63.0</v>
      </c>
      <c r="F3" s="437">
        <f>+0.3</f>
        <v>0.3</v>
      </c>
      <c r="G3" s="438">
        <v>99.6</v>
      </c>
      <c r="O3" t="str">
        <f>IFERROR(__xludf.DUMMYFUNCTION("regexextract(B3,""[\w]* [\w]*"")"),"Nikola Jokic")</f>
        <v>Nikola Jokic</v>
      </c>
      <c r="P3" t="str">
        <f t="shared" ref="P3:P500" si="2">SUBSTITUTE(O3,"DTD","")</f>
        <v>Nikola Jokic</v>
      </c>
      <c r="Q3" t="str">
        <f t="shared" ref="Q3:Q500" si="3">IF(RIGHT(P3,1)="O", LEFT(P3, LEN(P3)-1),P3)</f>
        <v>Nikola Jokic</v>
      </c>
      <c r="R3" t="s">
        <v>2631</v>
      </c>
      <c r="S3" s="411" t="s">
        <v>2631</v>
      </c>
      <c r="T3" t="s">
        <v>2631</v>
      </c>
      <c r="U3" t="s">
        <v>2631</v>
      </c>
      <c r="V3" t="s">
        <v>34</v>
      </c>
      <c r="W3" t="str">
        <f t="shared" si="1"/>
        <v>C</v>
      </c>
    </row>
    <row r="4">
      <c r="A4" s="447">
        <v>2.0</v>
      </c>
      <c r="B4" s="448" t="s">
        <v>2632</v>
      </c>
      <c r="C4" s="449"/>
      <c r="D4" s="450"/>
      <c r="E4" s="442">
        <v>66.6</v>
      </c>
      <c r="F4" s="443">
        <f>+1.8</f>
        <v>1.8</v>
      </c>
      <c r="G4" s="442">
        <v>99.6</v>
      </c>
      <c r="O4" t="str">
        <f>IFERROR(__xludf.DUMMYFUNCTION("regexextract(B4,""[\w]* [\w]*"")"),"Giannis AntetokounmpoDTD")</f>
        <v>Giannis AntetokounmpoDTD</v>
      </c>
      <c r="P4" t="str">
        <f t="shared" si="2"/>
        <v>Giannis Antetokounmpo</v>
      </c>
      <c r="Q4" t="str">
        <f t="shared" si="3"/>
        <v>Giannis Antetokounmp</v>
      </c>
      <c r="R4" t="s">
        <v>2631</v>
      </c>
      <c r="S4" s="411" t="s">
        <v>2631</v>
      </c>
      <c r="T4" t="s">
        <v>2631</v>
      </c>
      <c r="U4" t="s">
        <v>73</v>
      </c>
      <c r="V4" t="s">
        <v>2631</v>
      </c>
      <c r="W4" t="str">
        <f t="shared" si="1"/>
        <v>PF</v>
      </c>
    </row>
    <row r="5">
      <c r="A5" s="444">
        <v>3.0</v>
      </c>
      <c r="B5" s="445" t="s">
        <v>2633</v>
      </c>
      <c r="C5" s="446"/>
      <c r="D5" s="446"/>
      <c r="E5" s="438">
        <v>62.3</v>
      </c>
      <c r="F5" s="437">
        <f>+0.2</f>
        <v>0.2</v>
      </c>
      <c r="G5" s="438">
        <v>99.6</v>
      </c>
      <c r="O5" t="str">
        <f>IFERROR(__xludf.DUMMYFUNCTION("regexextract(B5,""[\w]* [\w]*"")"),"Luka Doncic")</f>
        <v>Luka Doncic</v>
      </c>
      <c r="P5" t="str">
        <f t="shared" si="2"/>
        <v>Luka Doncic</v>
      </c>
      <c r="Q5" t="str">
        <f t="shared" si="3"/>
        <v>Luka Doncic</v>
      </c>
      <c r="R5" t="s">
        <v>44</v>
      </c>
      <c r="S5" s="411" t="s">
        <v>2631</v>
      </c>
      <c r="T5" t="s">
        <v>2631</v>
      </c>
      <c r="U5" t="s">
        <v>2631</v>
      </c>
      <c r="V5" t="s">
        <v>34</v>
      </c>
      <c r="W5" t="str">
        <f t="shared" si="1"/>
        <v>PGC</v>
      </c>
    </row>
    <row r="6">
      <c r="A6" s="447">
        <v>4.0</v>
      </c>
      <c r="B6" s="448" t="s">
        <v>2634</v>
      </c>
      <c r="C6" s="449"/>
      <c r="D6" s="449"/>
      <c r="E6" s="442">
        <v>61.8</v>
      </c>
      <c r="F6" s="443">
        <f>+0.3</f>
        <v>0.3</v>
      </c>
      <c r="G6" s="442">
        <v>99.6</v>
      </c>
      <c r="O6" t="str">
        <f>IFERROR(__xludf.DUMMYFUNCTION("regexextract(B6,""[\w]* [\w]*"")"),"James Harden")</f>
        <v>James Harden</v>
      </c>
      <c r="P6" t="str">
        <f t="shared" si="2"/>
        <v>James Harden</v>
      </c>
      <c r="Q6" t="str">
        <f t="shared" si="3"/>
        <v>James Harden</v>
      </c>
      <c r="R6" t="s">
        <v>44</v>
      </c>
      <c r="S6" s="411" t="s">
        <v>71</v>
      </c>
      <c r="T6" t="s">
        <v>2631</v>
      </c>
      <c r="U6" t="s">
        <v>2631</v>
      </c>
      <c r="V6" t="s">
        <v>2631</v>
      </c>
      <c r="W6" t="str">
        <f t="shared" si="1"/>
        <v>PGSG</v>
      </c>
    </row>
    <row r="7">
      <c r="A7" s="444">
        <v>5.0</v>
      </c>
      <c r="B7" s="445" t="s">
        <v>2635</v>
      </c>
      <c r="C7" s="446"/>
      <c r="D7" s="446"/>
      <c r="E7" s="438">
        <v>62.6</v>
      </c>
      <c r="F7" s="437">
        <f t="shared" ref="F7:F8" si="4">+0.8</f>
        <v>0.8</v>
      </c>
      <c r="G7" s="438">
        <v>99.5</v>
      </c>
      <c r="O7" t="str">
        <f>IFERROR(__xludf.DUMMYFUNCTION("regexextract(B7,""[\w]* [\w]*"")"),"Anthony Towns")</f>
        <v>Anthony Towns</v>
      </c>
      <c r="P7" t="str">
        <f t="shared" si="2"/>
        <v>Anthony Towns</v>
      </c>
      <c r="Q7" t="str">
        <f t="shared" si="3"/>
        <v>Anthony Towns</v>
      </c>
      <c r="R7" t="s">
        <v>2631</v>
      </c>
      <c r="S7" s="411" t="s">
        <v>2631</v>
      </c>
      <c r="T7" t="s">
        <v>2631</v>
      </c>
      <c r="U7" t="s">
        <v>2631</v>
      </c>
      <c r="V7" t="s">
        <v>34</v>
      </c>
      <c r="W7" t="str">
        <f t="shared" si="1"/>
        <v>C</v>
      </c>
    </row>
    <row r="8">
      <c r="A8" s="447">
        <v>6.0</v>
      </c>
      <c r="B8" s="448" t="s">
        <v>2636</v>
      </c>
      <c r="C8" s="449"/>
      <c r="D8" s="450"/>
      <c r="E8" s="442">
        <v>51.1</v>
      </c>
      <c r="F8" s="443">
        <f t="shared" si="4"/>
        <v>0.8</v>
      </c>
      <c r="G8" s="442">
        <v>99.5</v>
      </c>
      <c r="O8" t="str">
        <f>IFERROR(__xludf.DUMMYFUNCTION("regexextract(B8,""[\w]* [\w]*"")"),"Bradley Beal")</f>
        <v>Bradley Beal</v>
      </c>
      <c r="P8" t="str">
        <f t="shared" si="2"/>
        <v>Bradley Beal</v>
      </c>
      <c r="Q8" t="str">
        <f t="shared" si="3"/>
        <v>Bradley Beal</v>
      </c>
      <c r="R8" t="s">
        <v>2631</v>
      </c>
      <c r="S8" s="411" t="s">
        <v>71</v>
      </c>
      <c r="T8" t="s">
        <v>2631</v>
      </c>
      <c r="U8" t="s">
        <v>2631</v>
      </c>
      <c r="V8" t="s">
        <v>2631</v>
      </c>
      <c r="W8" t="str">
        <f t="shared" si="1"/>
        <v>SG</v>
      </c>
    </row>
    <row r="9">
      <c r="A9" s="444">
        <v>7.0</v>
      </c>
      <c r="B9" s="445" t="s">
        <v>2637</v>
      </c>
      <c r="C9" s="446"/>
      <c r="D9" s="446"/>
      <c r="E9" s="438">
        <v>49.3</v>
      </c>
      <c r="F9" s="437">
        <f>+0.1</f>
        <v>0.1</v>
      </c>
      <c r="G9" s="438">
        <v>99.2</v>
      </c>
      <c r="O9" t="str">
        <f>IFERROR(__xludf.DUMMYFUNCTION("regexextract(B9,""[\w]* [\w]*"")"),"Damian Lillard")</f>
        <v>Damian Lillard</v>
      </c>
      <c r="P9" t="str">
        <f t="shared" si="2"/>
        <v>Damian Lillard</v>
      </c>
      <c r="Q9" t="str">
        <f t="shared" si="3"/>
        <v>Damian Lillard</v>
      </c>
      <c r="R9" t="s">
        <v>44</v>
      </c>
      <c r="S9" s="411" t="s">
        <v>2631</v>
      </c>
      <c r="T9" t="s">
        <v>2631</v>
      </c>
      <c r="U9" t="s">
        <v>2631</v>
      </c>
      <c r="V9" t="s">
        <v>2631</v>
      </c>
      <c r="W9" t="str">
        <f t="shared" si="1"/>
        <v>PG</v>
      </c>
    </row>
    <row r="10">
      <c r="A10" s="447">
        <v>8.0</v>
      </c>
      <c r="B10" s="448" t="s">
        <v>2638</v>
      </c>
      <c r="C10" s="449"/>
      <c r="D10" s="450"/>
      <c r="E10" s="442">
        <v>48.7</v>
      </c>
      <c r="F10" s="443">
        <f t="shared" ref="F10:F11" si="5">+0.4</f>
        <v>0.4</v>
      </c>
      <c r="G10" s="442">
        <v>99.6</v>
      </c>
      <c r="O10" t="str">
        <f>IFERROR(__xludf.DUMMYFUNCTION("regexextract(B10,""[\w]* [\w]*"")"),"Paul George")</f>
        <v>Paul George</v>
      </c>
      <c r="P10" t="str">
        <f t="shared" si="2"/>
        <v>Paul George</v>
      </c>
      <c r="Q10" t="str">
        <f t="shared" si="3"/>
        <v>Paul George</v>
      </c>
      <c r="R10" t="s">
        <v>2631</v>
      </c>
      <c r="S10" s="411" t="s">
        <v>71</v>
      </c>
      <c r="T10" t="s">
        <v>72</v>
      </c>
      <c r="U10" t="s">
        <v>2631</v>
      </c>
      <c r="V10" t="s">
        <v>34</v>
      </c>
      <c r="W10" t="str">
        <f t="shared" si="1"/>
        <v>SGSFC</v>
      </c>
    </row>
    <row r="11">
      <c r="A11" s="444">
        <v>9.0</v>
      </c>
      <c r="B11" s="445" t="s">
        <v>2639</v>
      </c>
      <c r="C11" s="446"/>
      <c r="D11" s="451"/>
      <c r="E11" s="438">
        <v>47.4</v>
      </c>
      <c r="F11" s="437">
        <f t="shared" si="5"/>
        <v>0.4</v>
      </c>
      <c r="G11" s="438">
        <v>99.5</v>
      </c>
      <c r="O11" t="str">
        <f>IFERROR(__xludf.DUMMYFUNCTION("regexextract(B11,""[\w]* [\w]*"")"),"Stephen Curry")</f>
        <v>Stephen Curry</v>
      </c>
      <c r="P11" t="str">
        <f t="shared" si="2"/>
        <v>Stephen Curry</v>
      </c>
      <c r="Q11" t="str">
        <f t="shared" si="3"/>
        <v>Stephen Curry</v>
      </c>
      <c r="R11" t="s">
        <v>44</v>
      </c>
      <c r="S11" s="411" t="s">
        <v>2631</v>
      </c>
      <c r="T11" t="s">
        <v>2631</v>
      </c>
      <c r="U11" t="s">
        <v>2631</v>
      </c>
      <c r="V11" t="s">
        <v>34</v>
      </c>
      <c r="W11" t="str">
        <f t="shared" si="1"/>
        <v>PGC</v>
      </c>
    </row>
    <row r="12">
      <c r="A12" s="447">
        <v>10.0</v>
      </c>
      <c r="B12" s="448" t="s">
        <v>2640</v>
      </c>
      <c r="C12" s="449"/>
      <c r="D12" s="449"/>
      <c r="E12" s="442">
        <v>46.8</v>
      </c>
      <c r="F12" s="452">
        <v>-0.1</v>
      </c>
      <c r="G12" s="442">
        <v>99.0</v>
      </c>
      <c r="O12" t="str">
        <f>IFERROR(__xludf.DUMMYFUNCTION("regexextract(B12,""[\w]* [\w]*"")"),"Jayson Tatum")</f>
        <v>Jayson Tatum</v>
      </c>
      <c r="P12" t="str">
        <f t="shared" si="2"/>
        <v>Jayson Tatum</v>
      </c>
      <c r="Q12" t="str">
        <f t="shared" si="3"/>
        <v>Jayson Tatum</v>
      </c>
      <c r="R12" t="s">
        <v>2631</v>
      </c>
      <c r="S12" s="411" t="s">
        <v>2631</v>
      </c>
      <c r="T12" t="s">
        <v>72</v>
      </c>
      <c r="U12" t="s">
        <v>73</v>
      </c>
      <c r="V12" t="s">
        <v>2631</v>
      </c>
      <c r="W12" t="str">
        <f t="shared" si="1"/>
        <v>SFPF</v>
      </c>
    </row>
    <row r="13">
      <c r="A13" s="444">
        <v>11.0</v>
      </c>
      <c r="B13" s="445" t="s">
        <v>2641</v>
      </c>
      <c r="C13" s="446"/>
      <c r="D13" s="446"/>
      <c r="E13" s="438">
        <v>45.8</v>
      </c>
      <c r="F13" s="437">
        <f>+0.3</f>
        <v>0.3</v>
      </c>
      <c r="G13" s="438">
        <v>99.5</v>
      </c>
      <c r="O13" t="str">
        <f>IFERROR(__xludf.DUMMYFUNCTION("regexextract(B13,""[\w]* [\w]*"")"),"Kevin Durant")</f>
        <v>Kevin Durant</v>
      </c>
      <c r="P13" t="str">
        <f t="shared" si="2"/>
        <v>Kevin Durant</v>
      </c>
      <c r="Q13" t="str">
        <f t="shared" si="3"/>
        <v>Kevin Durant</v>
      </c>
      <c r="R13" t="s">
        <v>2631</v>
      </c>
      <c r="S13" s="411" t="s">
        <v>2631</v>
      </c>
      <c r="T13" t="s">
        <v>72</v>
      </c>
      <c r="U13" t="s">
        <v>73</v>
      </c>
      <c r="V13" t="s">
        <v>2631</v>
      </c>
      <c r="W13" t="str">
        <f t="shared" si="1"/>
        <v>SFPF</v>
      </c>
    </row>
    <row r="14">
      <c r="A14" s="447">
        <v>12.0</v>
      </c>
      <c r="B14" s="448" t="s">
        <v>2642</v>
      </c>
      <c r="C14" s="449"/>
      <c r="D14" s="449"/>
      <c r="E14" s="442">
        <v>45.9</v>
      </c>
      <c r="F14" s="443">
        <f>+0.5</f>
        <v>0.5</v>
      </c>
      <c r="G14" s="442">
        <v>99.5</v>
      </c>
      <c r="O14" t="str">
        <f>IFERROR(__xludf.DUMMYFUNCTION("regexextract(B14,""[\w]* [\w]*"")"),"Nikola Vucevic")</f>
        <v>Nikola Vucevic</v>
      </c>
      <c r="P14" t="str">
        <f t="shared" si="2"/>
        <v>Nikola Vucevic</v>
      </c>
      <c r="Q14" t="str">
        <f t="shared" si="3"/>
        <v>Nikola Vucevic</v>
      </c>
      <c r="R14" t="s">
        <v>2631</v>
      </c>
      <c r="S14" s="411" t="s">
        <v>2631</v>
      </c>
      <c r="T14" t="s">
        <v>2631</v>
      </c>
      <c r="U14" t="s">
        <v>2631</v>
      </c>
      <c r="V14" t="s">
        <v>34</v>
      </c>
      <c r="W14" t="str">
        <f t="shared" si="1"/>
        <v>C</v>
      </c>
    </row>
    <row r="15">
      <c r="A15" s="444">
        <v>13.0</v>
      </c>
      <c r="B15" s="445" t="s">
        <v>2643</v>
      </c>
      <c r="C15" s="446"/>
      <c r="D15" s="451"/>
      <c r="E15" s="438">
        <v>45.4</v>
      </c>
      <c r="F15" s="453">
        <v>-0.6</v>
      </c>
      <c r="G15" s="438">
        <v>99.2</v>
      </c>
      <c r="O15" t="str">
        <f>IFERROR(__xludf.DUMMYFUNCTION("regexextract(B15,""[\w]* [\w]*"")"),"Zion WilliamsonO")</f>
        <v>Zion WilliamsonO</v>
      </c>
      <c r="P15" t="str">
        <f t="shared" si="2"/>
        <v>Zion WilliamsonO</v>
      </c>
      <c r="Q15" t="str">
        <f t="shared" si="3"/>
        <v>Zion Williamson</v>
      </c>
      <c r="R15" t="s">
        <v>2631</v>
      </c>
      <c r="S15" s="411" t="s">
        <v>2631</v>
      </c>
      <c r="T15" t="s">
        <v>2631</v>
      </c>
      <c r="U15" t="s">
        <v>73</v>
      </c>
      <c r="V15" t="s">
        <v>2631</v>
      </c>
      <c r="W15" t="str">
        <f t="shared" si="1"/>
        <v>PF</v>
      </c>
    </row>
    <row r="16">
      <c r="A16" s="447">
        <v>14.0</v>
      </c>
      <c r="B16" s="448" t="s">
        <v>2644</v>
      </c>
      <c r="C16" s="449"/>
      <c r="D16" s="449"/>
      <c r="E16" s="442">
        <v>31.9</v>
      </c>
      <c r="F16" s="452">
        <v>-2.8</v>
      </c>
      <c r="G16" s="442">
        <v>99.5</v>
      </c>
      <c r="O16" t="str">
        <f>IFERROR(__xludf.DUMMYFUNCTION("regexextract(B16,""[\w]* [\w]*"")"),"Aaron Fox")</f>
        <v>Aaron Fox</v>
      </c>
      <c r="P16" t="str">
        <f t="shared" si="2"/>
        <v>Aaron Fox</v>
      </c>
      <c r="Q16" t="str">
        <f t="shared" si="3"/>
        <v>Aaron Fox</v>
      </c>
      <c r="R16" t="s">
        <v>44</v>
      </c>
      <c r="S16" s="411" t="s">
        <v>2631</v>
      </c>
      <c r="T16" t="s">
        <v>2631</v>
      </c>
      <c r="U16" t="s">
        <v>2631</v>
      </c>
      <c r="V16" t="s">
        <v>34</v>
      </c>
      <c r="W16" t="str">
        <f t="shared" si="1"/>
        <v>PGC</v>
      </c>
    </row>
    <row r="17">
      <c r="A17" s="444">
        <v>15.0</v>
      </c>
      <c r="B17" s="445" t="s">
        <v>2645</v>
      </c>
      <c r="C17" s="446"/>
      <c r="D17" s="451"/>
      <c r="E17" s="438">
        <v>39.1</v>
      </c>
      <c r="F17" s="437">
        <f>+0.4</f>
        <v>0.4</v>
      </c>
      <c r="G17" s="438">
        <v>99.4</v>
      </c>
      <c r="O17" t="str">
        <f>IFERROR(__xludf.DUMMYFUNCTION("regexextract(B17,""[\w]* [\w]*"")"),"Joel Embiid")</f>
        <v>Joel Embiid</v>
      </c>
      <c r="P17" t="str">
        <f t="shared" si="2"/>
        <v>Joel Embiid</v>
      </c>
      <c r="Q17" t="str">
        <f t="shared" si="3"/>
        <v>Joel Embiid</v>
      </c>
      <c r="R17" t="s">
        <v>2631</v>
      </c>
      <c r="S17" s="411" t="s">
        <v>2631</v>
      </c>
      <c r="T17" t="s">
        <v>2631</v>
      </c>
      <c r="U17" t="s">
        <v>2631</v>
      </c>
      <c r="V17" t="s">
        <v>34</v>
      </c>
      <c r="W17" t="str">
        <f t="shared" si="1"/>
        <v>C</v>
      </c>
    </row>
    <row r="18">
      <c r="A18" s="447">
        <v>16.0</v>
      </c>
      <c r="B18" s="448" t="s">
        <v>2646</v>
      </c>
      <c r="C18" s="449"/>
      <c r="D18" s="449"/>
      <c r="E18" s="442">
        <v>32.9</v>
      </c>
      <c r="F18" s="452">
        <v>-1.0</v>
      </c>
      <c r="G18" s="442">
        <v>99.4</v>
      </c>
      <c r="O18" t="str">
        <f>IFERROR(__xludf.DUMMYFUNCTION("regexextract(B18,""[\w]* [\w]*"")"),"LeBron JamesO")</f>
        <v>LeBron JamesO</v>
      </c>
      <c r="P18" t="str">
        <f t="shared" si="2"/>
        <v>LeBron JamesO</v>
      </c>
      <c r="Q18" t="str">
        <f t="shared" si="3"/>
        <v>LeBron James</v>
      </c>
      <c r="R18" t="s">
        <v>44</v>
      </c>
      <c r="S18" s="411" t="s">
        <v>2631</v>
      </c>
      <c r="T18" t="s">
        <v>72</v>
      </c>
      <c r="U18" t="s">
        <v>73</v>
      </c>
      <c r="V18" t="s">
        <v>2631</v>
      </c>
      <c r="W18" t="str">
        <f t="shared" si="1"/>
        <v>PGSFPF</v>
      </c>
    </row>
    <row r="19">
      <c r="A19" s="444">
        <v>17.0</v>
      </c>
      <c r="B19" s="445" t="s">
        <v>2647</v>
      </c>
      <c r="C19" s="446"/>
      <c r="D19" s="446"/>
      <c r="E19" s="438">
        <v>40.2</v>
      </c>
      <c r="F19" s="453">
        <v>-0.8</v>
      </c>
      <c r="G19" s="438">
        <v>98.9</v>
      </c>
      <c r="O19" t="str">
        <f>IFERROR(__xludf.DUMMYFUNCTION("regexextract(B19,""[\w]* [\w]*"")"),"Trae Young")</f>
        <v>Trae Young</v>
      </c>
      <c r="P19" t="str">
        <f t="shared" si="2"/>
        <v>Trae Young</v>
      </c>
      <c r="Q19" t="str">
        <f t="shared" si="3"/>
        <v>Trae Young</v>
      </c>
      <c r="R19" t="s">
        <v>44</v>
      </c>
      <c r="S19" s="411" t="s">
        <v>2631</v>
      </c>
      <c r="T19" t="s">
        <v>2631</v>
      </c>
      <c r="U19" t="s">
        <v>2631</v>
      </c>
      <c r="V19" t="s">
        <v>2631</v>
      </c>
      <c r="W19" t="str">
        <f t="shared" si="1"/>
        <v>PG</v>
      </c>
    </row>
    <row r="20">
      <c r="A20" s="447">
        <v>18.0</v>
      </c>
      <c r="B20" s="448" t="s">
        <v>2648</v>
      </c>
      <c r="C20" s="449"/>
      <c r="D20" s="450"/>
      <c r="E20" s="442">
        <v>30.4</v>
      </c>
      <c r="F20" s="452">
        <v>-0.1</v>
      </c>
      <c r="G20" s="442">
        <v>99.5</v>
      </c>
      <c r="O20" t="str">
        <f>IFERROR(__xludf.DUMMYFUNCTION("regexextract(B20,""[\w]* [\w]*"")"),"Fred VanVleet")</f>
        <v>Fred VanVleet</v>
      </c>
      <c r="P20" t="str">
        <f t="shared" si="2"/>
        <v>Fred VanVleet</v>
      </c>
      <c r="Q20" t="str">
        <f t="shared" si="3"/>
        <v>Fred VanVleet</v>
      </c>
      <c r="R20" t="s">
        <v>44</v>
      </c>
      <c r="S20" s="411" t="s">
        <v>71</v>
      </c>
      <c r="T20" t="s">
        <v>2631</v>
      </c>
      <c r="U20" t="s">
        <v>2631</v>
      </c>
      <c r="V20" t="s">
        <v>2631</v>
      </c>
      <c r="W20" t="str">
        <f t="shared" si="1"/>
        <v>PGSG</v>
      </c>
    </row>
    <row r="21">
      <c r="A21" s="444">
        <v>19.0</v>
      </c>
      <c r="B21" s="445" t="s">
        <v>2649</v>
      </c>
      <c r="C21" s="446"/>
      <c r="D21" s="451"/>
      <c r="E21" s="438">
        <v>33.7</v>
      </c>
      <c r="F21" s="437">
        <f>+0.3</f>
        <v>0.3</v>
      </c>
      <c r="G21" s="438">
        <v>98.2</v>
      </c>
      <c r="O21" t="str">
        <f>IFERROR(__xludf.DUMMYFUNCTION("regexextract(B21,""[\w]* [\w]*"")"),"Donovan Mitchell")</f>
        <v>Donovan Mitchell</v>
      </c>
      <c r="P21" t="str">
        <f t="shared" si="2"/>
        <v>Donovan Mitchell</v>
      </c>
      <c r="Q21" t="str">
        <f t="shared" si="3"/>
        <v>Donovan Mitchell</v>
      </c>
      <c r="R21" t="s">
        <v>44</v>
      </c>
      <c r="S21" s="411" t="s">
        <v>71</v>
      </c>
      <c r="T21" t="s">
        <v>2631</v>
      </c>
      <c r="U21" t="s">
        <v>2631</v>
      </c>
      <c r="V21" t="s">
        <v>34</v>
      </c>
      <c r="W21" t="str">
        <f t="shared" si="1"/>
        <v>PGSGC</v>
      </c>
    </row>
    <row r="22">
      <c r="A22" s="447">
        <v>20.0</v>
      </c>
      <c r="B22" s="448" t="s">
        <v>2650</v>
      </c>
      <c r="C22" s="449"/>
      <c r="D22" s="450"/>
      <c r="E22" s="442">
        <v>38.6</v>
      </c>
      <c r="F22" s="452">
        <v>-0.6</v>
      </c>
      <c r="G22" s="442">
        <v>97.8</v>
      </c>
      <c r="O22" t="str">
        <f>IFERROR(__xludf.DUMMYFUNCTION("regexextract(B22,""[\w]* [\w]*"")"),"Domantas Sabonis")</f>
        <v>Domantas Sabonis</v>
      </c>
      <c r="P22" t="str">
        <f t="shared" si="2"/>
        <v>Domantas Sabonis</v>
      </c>
      <c r="Q22" t="str">
        <f t="shared" si="3"/>
        <v>Domantas Sabonis</v>
      </c>
      <c r="R22" t="s">
        <v>2631</v>
      </c>
      <c r="S22" s="411" t="s">
        <v>2631</v>
      </c>
      <c r="T22" t="s">
        <v>2631</v>
      </c>
      <c r="U22" t="s">
        <v>73</v>
      </c>
      <c r="V22" t="s">
        <v>2631</v>
      </c>
      <c r="W22" t="str">
        <f t="shared" si="1"/>
        <v>PF</v>
      </c>
    </row>
    <row r="23">
      <c r="A23" s="444">
        <v>21.0</v>
      </c>
      <c r="B23" s="445" t="s">
        <v>2651</v>
      </c>
      <c r="C23" s="446"/>
      <c r="D23" s="451"/>
      <c r="E23" s="438">
        <v>27.8</v>
      </c>
      <c r="F23" s="453">
        <v>-0.5</v>
      </c>
      <c r="G23" s="438">
        <v>99.4</v>
      </c>
      <c r="O23" t="str">
        <f>IFERROR(__xludf.DUMMYFUNCTION("regexextract(B23,""[\w]* [\w]*"")"),"Anthony Davis")</f>
        <v>Anthony Davis</v>
      </c>
      <c r="P23" t="str">
        <f t="shared" si="2"/>
        <v>Anthony Davis</v>
      </c>
      <c r="Q23" t="str">
        <f t="shared" si="3"/>
        <v>Anthony Davis</v>
      </c>
      <c r="R23" t="s">
        <v>2631</v>
      </c>
      <c r="S23" s="411" t="s">
        <v>2631</v>
      </c>
      <c r="T23" t="s">
        <v>2631</v>
      </c>
      <c r="U23" t="s">
        <v>73</v>
      </c>
      <c r="V23" t="s">
        <v>2631</v>
      </c>
      <c r="W23" t="str">
        <f t="shared" si="1"/>
        <v>PF</v>
      </c>
    </row>
    <row r="24">
      <c r="A24" s="447">
        <v>22.0</v>
      </c>
      <c r="B24" s="448" t="s">
        <v>2652</v>
      </c>
      <c r="C24" s="449"/>
      <c r="D24" s="449"/>
      <c r="E24" s="442">
        <v>36.0</v>
      </c>
      <c r="F24" s="452">
        <v>-0.6</v>
      </c>
      <c r="G24" s="442">
        <v>98.2</v>
      </c>
      <c r="O24" t="str">
        <f>IFERROR(__xludf.DUMMYFUNCTION("regexextract(B24,""[\w]* [\w]*"")"),"Julius Randle")</f>
        <v>Julius Randle</v>
      </c>
      <c r="P24" t="str">
        <f t="shared" si="2"/>
        <v>Julius Randle</v>
      </c>
      <c r="Q24" t="str">
        <f t="shared" si="3"/>
        <v>Julius Randle</v>
      </c>
      <c r="R24" t="s">
        <v>2631</v>
      </c>
      <c r="S24" s="411" t="s">
        <v>2631</v>
      </c>
      <c r="T24" t="s">
        <v>2631</v>
      </c>
      <c r="U24" t="s">
        <v>73</v>
      </c>
      <c r="V24" t="s">
        <v>2631</v>
      </c>
      <c r="W24" t="str">
        <f t="shared" si="1"/>
        <v>PF</v>
      </c>
    </row>
    <row r="25">
      <c r="A25" s="444">
        <v>23.0</v>
      </c>
      <c r="B25" s="445" t="s">
        <v>2653</v>
      </c>
      <c r="C25" s="446"/>
      <c r="D25" s="446"/>
      <c r="E25" s="438">
        <v>33.8</v>
      </c>
      <c r="F25" s="453">
        <v>-0.4</v>
      </c>
      <c r="G25" s="438">
        <v>98.9</v>
      </c>
      <c r="O25" t="str">
        <f>IFERROR(__xludf.DUMMYFUNCTION("regexextract(B25,""[\w]* [\w]*"")"),"Rudy Gobert")</f>
        <v>Rudy Gobert</v>
      </c>
      <c r="P25" t="str">
        <f t="shared" si="2"/>
        <v>Rudy Gobert</v>
      </c>
      <c r="Q25" t="str">
        <f t="shared" si="3"/>
        <v>Rudy Gobert</v>
      </c>
      <c r="R25" t="s">
        <v>2631</v>
      </c>
      <c r="S25" s="411" t="s">
        <v>2631</v>
      </c>
      <c r="T25" t="s">
        <v>2631</v>
      </c>
      <c r="U25" t="s">
        <v>2631</v>
      </c>
      <c r="V25" t="s">
        <v>34</v>
      </c>
      <c r="W25" t="str">
        <f t="shared" si="1"/>
        <v>C</v>
      </c>
    </row>
    <row r="26">
      <c r="A26" s="447">
        <v>24.0</v>
      </c>
      <c r="B26" s="448" t="s">
        <v>2654</v>
      </c>
      <c r="C26" s="449"/>
      <c r="D26" s="449"/>
      <c r="E26" s="442">
        <v>25.6</v>
      </c>
      <c r="F26" s="452">
        <v>-0.8</v>
      </c>
      <c r="G26" s="442">
        <v>99.3</v>
      </c>
      <c r="O26" t="str">
        <f>IFERROR(__xludf.DUMMYFUNCTION("regexextract(B26,""[\w]* [\w]*"")"),"LaMelo Ball")</f>
        <v>LaMelo Ball</v>
      </c>
      <c r="P26" t="str">
        <f t="shared" si="2"/>
        <v>LaMelo Ball</v>
      </c>
      <c r="Q26" t="str">
        <f t="shared" si="3"/>
        <v>LaMelo Ball</v>
      </c>
      <c r="R26" t="s">
        <v>44</v>
      </c>
      <c r="S26" s="411" t="s">
        <v>2631</v>
      </c>
      <c r="T26" t="s">
        <v>2631</v>
      </c>
      <c r="U26" t="s">
        <v>2631</v>
      </c>
      <c r="V26" t="s">
        <v>34</v>
      </c>
      <c r="W26" t="str">
        <f t="shared" si="1"/>
        <v>PGC</v>
      </c>
    </row>
    <row r="27">
      <c r="A27" s="444">
        <v>25.0</v>
      </c>
      <c r="B27" s="445" t="s">
        <v>2655</v>
      </c>
      <c r="C27" s="446"/>
      <c r="D27" s="446"/>
      <c r="E27" s="438">
        <v>34.8</v>
      </c>
      <c r="F27" s="438">
        <v>0.0</v>
      </c>
      <c r="G27" s="438">
        <v>97.7</v>
      </c>
      <c r="O27" t="str">
        <f>IFERROR(__xludf.DUMMYFUNCTION("regexextract(B27,""[\w]* [\w]*"")"),"Jimmy Butler")</f>
        <v>Jimmy Butler</v>
      </c>
      <c r="P27" t="str">
        <f t="shared" si="2"/>
        <v>Jimmy Butler</v>
      </c>
      <c r="Q27" t="str">
        <f t="shared" si="3"/>
        <v>Jimmy Butler</v>
      </c>
      <c r="R27" t="s">
        <v>2631</v>
      </c>
      <c r="S27" s="411" t="s">
        <v>71</v>
      </c>
      <c r="T27" t="s">
        <v>72</v>
      </c>
      <c r="U27" t="s">
        <v>2631</v>
      </c>
      <c r="V27" t="s">
        <v>2631</v>
      </c>
      <c r="W27" t="str">
        <f t="shared" si="1"/>
        <v>SGSF</v>
      </c>
    </row>
    <row r="28">
      <c r="A28" s="447">
        <v>26.0</v>
      </c>
      <c r="B28" s="448" t="s">
        <v>2656</v>
      </c>
      <c r="C28" s="449"/>
      <c r="D28" s="450"/>
      <c r="E28" s="442">
        <v>28.0</v>
      </c>
      <c r="F28" s="452">
        <v>-0.1</v>
      </c>
      <c r="G28" s="442">
        <v>98.2</v>
      </c>
      <c r="O28" t="str">
        <f>IFERROR(__xludf.DUMMYFUNCTION("regexextract(B28,""[\w]* [\w]*"")"),"Shai Gilgeous")</f>
        <v>Shai Gilgeous</v>
      </c>
      <c r="P28" t="str">
        <f t="shared" si="2"/>
        <v>Shai Gilgeous</v>
      </c>
      <c r="Q28" t="str">
        <f t="shared" si="3"/>
        <v>Shai Gilgeous</v>
      </c>
      <c r="R28" t="s">
        <v>44</v>
      </c>
      <c r="S28" s="411" t="s">
        <v>71</v>
      </c>
      <c r="T28" t="s">
        <v>2631</v>
      </c>
      <c r="U28" t="s">
        <v>2631</v>
      </c>
      <c r="V28" t="s">
        <v>34</v>
      </c>
      <c r="W28" t="str">
        <f t="shared" si="1"/>
        <v>PGSGC</v>
      </c>
    </row>
    <row r="29">
      <c r="A29" s="444">
        <v>27.0</v>
      </c>
      <c r="B29" s="445" t="s">
        <v>2657</v>
      </c>
      <c r="C29" s="446"/>
      <c r="D29" s="446"/>
      <c r="E29" s="438">
        <v>18.9</v>
      </c>
      <c r="F29" s="437">
        <f>+0.7</f>
        <v>0.7</v>
      </c>
      <c r="G29" s="438">
        <v>97.9</v>
      </c>
      <c r="O29" t="str">
        <f>IFERROR(__xludf.DUMMYFUNCTION("regexextract(B29,""[\w]* [\w]*"")"),"Dejounte Murray")</f>
        <v>Dejounte Murray</v>
      </c>
      <c r="P29" t="str">
        <f t="shared" si="2"/>
        <v>Dejounte Murray</v>
      </c>
      <c r="Q29" t="str">
        <f t="shared" si="3"/>
        <v>Dejounte Murray</v>
      </c>
      <c r="R29" t="s">
        <v>44</v>
      </c>
      <c r="S29" s="411" t="s">
        <v>71</v>
      </c>
      <c r="T29" t="s">
        <v>2631</v>
      </c>
      <c r="U29" t="s">
        <v>2631</v>
      </c>
      <c r="V29" t="s">
        <v>2631</v>
      </c>
      <c r="W29" t="str">
        <f t="shared" si="1"/>
        <v>PGSG</v>
      </c>
    </row>
    <row r="30">
      <c r="A30" s="447">
        <v>28.0</v>
      </c>
      <c r="B30" s="448" t="s">
        <v>2658</v>
      </c>
      <c r="C30" s="449"/>
      <c r="D30" s="450"/>
      <c r="E30" s="442">
        <v>19.0</v>
      </c>
      <c r="F30" s="452">
        <v>-0.5</v>
      </c>
      <c r="G30" s="442">
        <v>99.2</v>
      </c>
      <c r="O30" t="str">
        <f>IFERROR(__xludf.DUMMYFUNCTION("regexextract(B30,""[\w]* [\w]*"")"),"Bam Adebayo")</f>
        <v>Bam Adebayo</v>
      </c>
      <c r="P30" t="str">
        <f t="shared" si="2"/>
        <v>Bam Adebayo</v>
      </c>
      <c r="Q30" t="str">
        <f t="shared" si="3"/>
        <v>Bam Adebay</v>
      </c>
      <c r="R30" t="s">
        <v>2631</v>
      </c>
      <c r="S30" s="411" t="s">
        <v>2631</v>
      </c>
      <c r="T30" t="s">
        <v>2631</v>
      </c>
      <c r="U30" t="s">
        <v>73</v>
      </c>
      <c r="V30" t="s">
        <v>34</v>
      </c>
      <c r="W30" t="str">
        <f t="shared" si="1"/>
        <v>PFC</v>
      </c>
    </row>
    <row r="31">
      <c r="A31" s="444">
        <v>29.0</v>
      </c>
      <c r="B31" s="445" t="s">
        <v>2659</v>
      </c>
      <c r="C31" s="446"/>
      <c r="D31" s="446"/>
      <c r="E31" s="438">
        <v>18.7</v>
      </c>
      <c r="F31" s="453">
        <v>-0.4</v>
      </c>
      <c r="G31" s="438">
        <v>98.5</v>
      </c>
      <c r="O31" t="str">
        <f>IFERROR(__xludf.DUMMYFUNCTION("regexextract(B31,""[\w]* [\w]*"")"),"Jrue Holiday")</f>
        <v>Jrue Holiday</v>
      </c>
      <c r="P31" t="str">
        <f t="shared" si="2"/>
        <v>Jrue Holiday</v>
      </c>
      <c r="Q31" t="str">
        <f t="shared" si="3"/>
        <v>Jrue Holiday</v>
      </c>
      <c r="R31" t="s">
        <v>44</v>
      </c>
      <c r="S31" s="411" t="s">
        <v>71</v>
      </c>
      <c r="T31" t="s">
        <v>2631</v>
      </c>
      <c r="U31" t="s">
        <v>2631</v>
      </c>
      <c r="V31" t="s">
        <v>2631</v>
      </c>
      <c r="W31" t="str">
        <f t="shared" si="1"/>
        <v>PGSG</v>
      </c>
    </row>
    <row r="32">
      <c r="A32" s="447">
        <v>30.0</v>
      </c>
      <c r="B32" s="448" t="s">
        <v>2660</v>
      </c>
      <c r="C32" s="449"/>
      <c r="D32" s="450"/>
      <c r="E32" s="442">
        <v>21.3</v>
      </c>
      <c r="F32" s="443">
        <f>+0.2</f>
        <v>0.2</v>
      </c>
      <c r="G32" s="442">
        <v>95.1</v>
      </c>
      <c r="O32" t="str">
        <f>IFERROR(__xludf.DUMMYFUNCTION("regexextract(B32,""[\w]* [\w]*"")"),"Ben Simmons")</f>
        <v>Ben Simmons</v>
      </c>
      <c r="P32" t="str">
        <f t="shared" si="2"/>
        <v>Ben Simmons</v>
      </c>
      <c r="Q32" t="str">
        <f t="shared" si="3"/>
        <v>Ben Simmons</v>
      </c>
      <c r="R32" t="s">
        <v>44</v>
      </c>
      <c r="S32" s="411" t="s">
        <v>2631</v>
      </c>
      <c r="T32" t="s">
        <v>2631</v>
      </c>
      <c r="U32" t="s">
        <v>2631</v>
      </c>
      <c r="V32" t="s">
        <v>2631</v>
      </c>
      <c r="W32" t="str">
        <f t="shared" si="1"/>
        <v>PG</v>
      </c>
    </row>
    <row r="33">
      <c r="A33" s="444">
        <v>31.0</v>
      </c>
      <c r="B33" s="445" t="s">
        <v>2661</v>
      </c>
      <c r="C33" s="446"/>
      <c r="D33" s="446"/>
      <c r="E33" s="438">
        <v>18.6</v>
      </c>
      <c r="F33" s="453">
        <v>-0.6</v>
      </c>
      <c r="G33" s="438">
        <v>99.0</v>
      </c>
      <c r="O33" t="str">
        <f>IFERROR(__xludf.DUMMYFUNCTION("regexextract(B33,""[\w]* [\w]*"")"),"Kyrie Irving")</f>
        <v>Kyrie Irving</v>
      </c>
      <c r="P33" t="str">
        <f t="shared" si="2"/>
        <v>Kyrie Irving</v>
      </c>
      <c r="Q33" t="str">
        <f t="shared" si="3"/>
        <v>Kyrie Irving</v>
      </c>
      <c r="R33" t="s">
        <v>44</v>
      </c>
      <c r="S33" s="411" t="s">
        <v>71</v>
      </c>
      <c r="T33" t="s">
        <v>2631</v>
      </c>
      <c r="U33" t="s">
        <v>2631</v>
      </c>
      <c r="V33" t="s">
        <v>2631</v>
      </c>
      <c r="W33" t="str">
        <f t="shared" si="1"/>
        <v>PGSG</v>
      </c>
    </row>
    <row r="34">
      <c r="A34" s="447">
        <v>32.0</v>
      </c>
      <c r="B34" s="448" t="s">
        <v>2662</v>
      </c>
      <c r="C34" s="449"/>
      <c r="D34" s="450"/>
      <c r="E34" s="442">
        <v>19.0</v>
      </c>
      <c r="F34" s="443">
        <f>+0.4</f>
        <v>0.4</v>
      </c>
      <c r="G34" s="442">
        <v>98.4</v>
      </c>
      <c r="O34" t="str">
        <f>IFERROR(__xludf.DUMMYFUNCTION("regexextract(B34,""[\w]* [\w]*"")"),"Michael Porter")</f>
        <v>Michael Porter</v>
      </c>
      <c r="P34" t="str">
        <f t="shared" si="2"/>
        <v>Michael Porter</v>
      </c>
      <c r="Q34" t="str">
        <f t="shared" si="3"/>
        <v>Michael Porter</v>
      </c>
      <c r="R34" t="s">
        <v>2631</v>
      </c>
      <c r="S34" s="411" t="s">
        <v>2631</v>
      </c>
      <c r="T34" t="s">
        <v>72</v>
      </c>
      <c r="U34" t="s">
        <v>73</v>
      </c>
      <c r="V34" t="s">
        <v>34</v>
      </c>
      <c r="W34" t="str">
        <f t="shared" si="1"/>
        <v>SFPFC</v>
      </c>
    </row>
    <row r="35">
      <c r="A35" s="444">
        <v>33.0</v>
      </c>
      <c r="B35" s="445" t="s">
        <v>2663</v>
      </c>
      <c r="C35" s="446"/>
      <c r="D35" s="451"/>
      <c r="E35" s="438">
        <v>21.6</v>
      </c>
      <c r="F35" s="437">
        <f>+0.1</f>
        <v>0.1</v>
      </c>
      <c r="G35" s="438">
        <v>96.7</v>
      </c>
      <c r="O35" t="str">
        <f>IFERROR(__xludf.DUMMYFUNCTION("regexextract(B35,""[\w]* [\w]*"")"),"Chris PaulDTD")</f>
        <v>Chris PaulDTD</v>
      </c>
      <c r="P35" t="str">
        <f t="shared" si="2"/>
        <v>Chris Paul</v>
      </c>
      <c r="Q35" t="str">
        <f t="shared" si="3"/>
        <v>Chris Paul</v>
      </c>
      <c r="R35" t="s">
        <v>44</v>
      </c>
      <c r="S35" s="411" t="s">
        <v>2631</v>
      </c>
      <c r="T35" t="s">
        <v>2631</v>
      </c>
      <c r="U35" t="s">
        <v>2631</v>
      </c>
      <c r="V35" t="s">
        <v>34</v>
      </c>
      <c r="W35" t="str">
        <f t="shared" si="1"/>
        <v>PGC</v>
      </c>
    </row>
    <row r="36">
      <c r="A36" s="447">
        <v>34.0</v>
      </c>
      <c r="B36" s="448" t="s">
        <v>2664</v>
      </c>
      <c r="C36" s="449"/>
      <c r="D36" s="450"/>
      <c r="E36" s="442">
        <v>21.1</v>
      </c>
      <c r="F36" s="443">
        <f>+0.5</f>
        <v>0.5</v>
      </c>
      <c r="G36" s="442">
        <v>98.5</v>
      </c>
      <c r="O36" t="str">
        <f>IFERROR(__xludf.DUMMYFUNCTION("regexextract(B36,""[\w]* [\w]*"")"),"Russell WestbrookO")</f>
        <v>Russell WestbrookO</v>
      </c>
      <c r="P36" t="str">
        <f t="shared" si="2"/>
        <v>Russell WestbrookO</v>
      </c>
      <c r="Q36" t="str">
        <f t="shared" si="3"/>
        <v>Russell Westbrook</v>
      </c>
      <c r="R36" t="s">
        <v>44</v>
      </c>
      <c r="S36" s="411" t="s">
        <v>2631</v>
      </c>
      <c r="T36" t="s">
        <v>2631</v>
      </c>
      <c r="U36" t="s">
        <v>2631</v>
      </c>
      <c r="V36" t="s">
        <v>2631</v>
      </c>
      <c r="W36" t="str">
        <f t="shared" si="1"/>
        <v>PG</v>
      </c>
    </row>
    <row r="37">
      <c r="A37" s="444">
        <v>35.0</v>
      </c>
      <c r="B37" s="445" t="s">
        <v>2665</v>
      </c>
      <c r="C37" s="446"/>
      <c r="D37" s="451"/>
      <c r="E37" s="438">
        <v>17.9</v>
      </c>
      <c r="F37" s="453">
        <v>-0.2</v>
      </c>
      <c r="G37" s="438">
        <v>96.5</v>
      </c>
      <c r="O37" t="str">
        <f>IFERROR(__xludf.DUMMYFUNCTION("regexextract(B37,""[\w]* [\w]*"")"),"Clint CapelaDTD")</f>
        <v>Clint CapelaDTD</v>
      </c>
      <c r="P37" t="str">
        <f t="shared" si="2"/>
        <v>Clint Capela</v>
      </c>
      <c r="Q37" t="str">
        <f t="shared" si="3"/>
        <v>Clint Capela</v>
      </c>
      <c r="R37" t="s">
        <v>2631</v>
      </c>
      <c r="S37" s="411" t="s">
        <v>2631</v>
      </c>
      <c r="T37" t="s">
        <v>2631</v>
      </c>
      <c r="U37" t="s">
        <v>2631</v>
      </c>
      <c r="V37" t="s">
        <v>34</v>
      </c>
      <c r="W37" t="str">
        <f t="shared" si="1"/>
        <v>C</v>
      </c>
    </row>
    <row r="38">
      <c r="A38" s="447">
        <v>36.0</v>
      </c>
      <c r="B38" s="448" t="s">
        <v>2666</v>
      </c>
      <c r="C38" s="449"/>
      <c r="D38" s="449"/>
      <c r="E38" s="442">
        <v>19.8</v>
      </c>
      <c r="F38" s="443">
        <f>+0.1</f>
        <v>0.1</v>
      </c>
      <c r="G38" s="442">
        <v>91.5</v>
      </c>
      <c r="O38" t="str">
        <f>IFERROR(__xludf.DUMMYFUNCTION("regexextract(B38,""[\w]* [\w]*"")"),"Deandre Ayton")</f>
        <v>Deandre Ayton</v>
      </c>
      <c r="P38" t="str">
        <f t="shared" si="2"/>
        <v>Deandre Ayton</v>
      </c>
      <c r="Q38" t="str">
        <f t="shared" si="3"/>
        <v>Deandre Ayton</v>
      </c>
      <c r="R38" t="s">
        <v>2631</v>
      </c>
      <c r="S38" s="411" t="s">
        <v>2631</v>
      </c>
      <c r="T38" t="s">
        <v>2631</v>
      </c>
      <c r="U38" t="s">
        <v>2631</v>
      </c>
      <c r="V38" t="s">
        <v>34</v>
      </c>
      <c r="W38" t="str">
        <f t="shared" si="1"/>
        <v>C</v>
      </c>
    </row>
    <row r="39">
      <c r="A39" s="444">
        <v>37.0</v>
      </c>
      <c r="B39" s="445" t="s">
        <v>2667</v>
      </c>
      <c r="C39" s="446"/>
      <c r="D39" s="446"/>
      <c r="E39" s="438">
        <v>23.0</v>
      </c>
      <c r="F39" s="453">
        <v>-0.6</v>
      </c>
      <c r="G39" s="438">
        <v>85.7</v>
      </c>
      <c r="O39" t="str">
        <f>IFERROR(__xludf.DUMMYFUNCTION("regexextract(B39,""[\w]* [\w]*"")"),"Tobias Harris")</f>
        <v>Tobias Harris</v>
      </c>
      <c r="P39" t="str">
        <f t="shared" si="2"/>
        <v>Tobias Harris</v>
      </c>
      <c r="Q39" t="str">
        <f t="shared" si="3"/>
        <v>Tobias Harris</v>
      </c>
      <c r="R39" t="s">
        <v>2631</v>
      </c>
      <c r="S39" s="411" t="s">
        <v>2631</v>
      </c>
      <c r="T39" t="s">
        <v>72</v>
      </c>
      <c r="U39" t="s">
        <v>73</v>
      </c>
      <c r="V39" t="s">
        <v>2631</v>
      </c>
      <c r="W39" t="str">
        <f t="shared" si="1"/>
        <v>SFPF</v>
      </c>
    </row>
    <row r="40">
      <c r="A40" s="447">
        <v>38.0</v>
      </c>
      <c r="B40" s="448" t="s">
        <v>2668</v>
      </c>
      <c r="C40" s="449"/>
      <c r="D40" s="449"/>
      <c r="E40" s="442">
        <v>14.4</v>
      </c>
      <c r="F40" s="452">
        <v>-0.5</v>
      </c>
      <c r="G40" s="442">
        <v>98.7</v>
      </c>
      <c r="O40" t="str">
        <f>IFERROR(__xludf.DUMMYFUNCTION("regexextract(B40,""[\w]* [\w]*"")"),"Devin Booker")</f>
        <v>Devin Booker</v>
      </c>
      <c r="P40" t="str">
        <f t="shared" si="2"/>
        <v>Devin Booker</v>
      </c>
      <c r="Q40" t="str">
        <f t="shared" si="3"/>
        <v>Devin Booker</v>
      </c>
      <c r="R40" t="s">
        <v>44</v>
      </c>
      <c r="S40" s="411" t="s">
        <v>71</v>
      </c>
      <c r="T40" t="s">
        <v>2631</v>
      </c>
      <c r="U40" t="s">
        <v>2631</v>
      </c>
      <c r="V40" t="s">
        <v>2631</v>
      </c>
      <c r="W40" t="str">
        <f t="shared" si="1"/>
        <v>PGSG</v>
      </c>
    </row>
    <row r="41">
      <c r="A41" s="444">
        <v>39.0</v>
      </c>
      <c r="B41" s="445" t="s">
        <v>2669</v>
      </c>
      <c r="C41" s="446"/>
      <c r="D41" s="451"/>
      <c r="E41" s="438">
        <v>16.3</v>
      </c>
      <c r="F41" s="453">
        <v>-0.4</v>
      </c>
      <c r="G41" s="438">
        <v>65.2</v>
      </c>
      <c r="O41" t="str">
        <f>IFERROR(__xludf.DUMMYFUNCTION("regexextract(B41,""[\w]* [\w]*"")"),"Khris Middleton")</f>
        <v>Khris Middleton</v>
      </c>
      <c r="P41" t="str">
        <f t="shared" si="2"/>
        <v>Khris Middleton</v>
      </c>
      <c r="Q41" t="str">
        <f t="shared" si="3"/>
        <v>Khris Middleton</v>
      </c>
      <c r="R41" t="s">
        <v>2631</v>
      </c>
      <c r="S41" s="411" t="s">
        <v>71</v>
      </c>
      <c r="T41" t="s">
        <v>72</v>
      </c>
      <c r="U41" t="s">
        <v>2631</v>
      </c>
      <c r="V41" t="s">
        <v>2631</v>
      </c>
      <c r="W41" t="str">
        <f t="shared" si="1"/>
        <v>SGSF</v>
      </c>
    </row>
    <row r="42">
      <c r="A42" s="447">
        <v>40.0</v>
      </c>
      <c r="B42" s="448" t="s">
        <v>2670</v>
      </c>
      <c r="C42" s="449"/>
      <c r="D42" s="450"/>
      <c r="E42" s="442">
        <v>12.6</v>
      </c>
      <c r="F42" s="443">
        <f t="shared" ref="F42:F43" si="6">+0.7</f>
        <v>0.7</v>
      </c>
      <c r="G42" s="442">
        <v>91.6</v>
      </c>
      <c r="O42" t="str">
        <f>IFERROR(__xludf.DUMMYFUNCTION("regexextract(B42,""[\w]* [\w]*"")"),"Christian Wood")</f>
        <v>Christian Wood</v>
      </c>
      <c r="P42" t="str">
        <f t="shared" si="2"/>
        <v>Christian Wood</v>
      </c>
      <c r="Q42" t="str">
        <f t="shared" si="3"/>
        <v>Christian Wood</v>
      </c>
      <c r="R42" t="s">
        <v>2631</v>
      </c>
      <c r="S42" s="411" t="s">
        <v>2631</v>
      </c>
      <c r="T42" t="s">
        <v>2631</v>
      </c>
      <c r="U42" t="s">
        <v>73</v>
      </c>
      <c r="V42" t="s">
        <v>34</v>
      </c>
      <c r="W42" t="str">
        <f t="shared" si="1"/>
        <v>PFC</v>
      </c>
    </row>
    <row r="43">
      <c r="A43" s="444">
        <v>41.0</v>
      </c>
      <c r="B43" s="445" t="s">
        <v>2671</v>
      </c>
      <c r="C43" s="446"/>
      <c r="D43" s="451"/>
      <c r="E43" s="438">
        <v>10.6</v>
      </c>
      <c r="F43" s="437">
        <f t="shared" si="6"/>
        <v>0.7</v>
      </c>
      <c r="G43" s="438">
        <v>96.1</v>
      </c>
      <c r="O43" t="str">
        <f>IFERROR(__xludf.DUMMYFUNCTION("regexextract(B43,""[\w]* [\w]*"")"),"Jaylen Brown")</f>
        <v>Jaylen Brown</v>
      </c>
      <c r="P43" t="str">
        <f t="shared" si="2"/>
        <v>Jaylen Brown</v>
      </c>
      <c r="Q43" t="str">
        <f t="shared" si="3"/>
        <v>Jaylen Brown</v>
      </c>
      <c r="R43" t="s">
        <v>2631</v>
      </c>
      <c r="S43" s="411" t="s">
        <v>71</v>
      </c>
      <c r="T43" t="s">
        <v>72</v>
      </c>
      <c r="U43" t="s">
        <v>2631</v>
      </c>
      <c r="V43" t="s">
        <v>2631</v>
      </c>
      <c r="W43" t="str">
        <f t="shared" si="1"/>
        <v>SGSF</v>
      </c>
    </row>
    <row r="44">
      <c r="A44" s="447">
        <v>42.0</v>
      </c>
      <c r="B44" s="448" t="s">
        <v>2672</v>
      </c>
      <c r="C44" s="449"/>
      <c r="D44" s="450"/>
      <c r="E44" s="442">
        <v>10.5</v>
      </c>
      <c r="F44" s="443">
        <f>+0.1</f>
        <v>0.1</v>
      </c>
      <c r="G44" s="442">
        <v>97.0</v>
      </c>
      <c r="O44" t="str">
        <f>IFERROR(__xludf.DUMMYFUNCTION("regexextract(B44,""[\w]* [\w]*"")"),"Lonzo Ball")</f>
        <v>Lonzo Ball</v>
      </c>
      <c r="P44" t="str">
        <f t="shared" si="2"/>
        <v>Lonzo Ball</v>
      </c>
      <c r="Q44" t="str">
        <f t="shared" si="3"/>
        <v>Lonzo Ball</v>
      </c>
      <c r="R44" t="s">
        <v>44</v>
      </c>
      <c r="S44" s="411" t="s">
        <v>2631</v>
      </c>
      <c r="T44" t="s">
        <v>2631</v>
      </c>
      <c r="U44" t="s">
        <v>2631</v>
      </c>
      <c r="V44" t="s">
        <v>34</v>
      </c>
      <c r="W44" t="str">
        <f t="shared" si="1"/>
        <v>PGC</v>
      </c>
    </row>
    <row r="45">
      <c r="A45" s="444">
        <v>43.0</v>
      </c>
      <c r="B45" s="445" t="s">
        <v>2673</v>
      </c>
      <c r="C45" s="446"/>
      <c r="D45" s="446"/>
      <c r="E45" s="438">
        <v>11.9</v>
      </c>
      <c r="F45" s="453">
        <v>-0.2</v>
      </c>
      <c r="G45" s="438">
        <v>94.2</v>
      </c>
      <c r="O45" t="str">
        <f>IFERROR(__xludf.DUMMYFUNCTION("regexextract(B45,""[\w]* [\w]*"")"),"Zach LaVine")</f>
        <v>Zach LaVine</v>
      </c>
      <c r="P45" t="str">
        <f t="shared" si="2"/>
        <v>Zach LaVine</v>
      </c>
      <c r="Q45" t="str">
        <f t="shared" si="3"/>
        <v>Zach LaVine</v>
      </c>
      <c r="R45" t="s">
        <v>2631</v>
      </c>
      <c r="S45" s="411" t="s">
        <v>71</v>
      </c>
      <c r="T45" t="s">
        <v>2631</v>
      </c>
      <c r="U45" t="s">
        <v>2631</v>
      </c>
      <c r="V45" t="s">
        <v>34</v>
      </c>
      <c r="W45" t="str">
        <f t="shared" si="1"/>
        <v>SGC</v>
      </c>
    </row>
    <row r="46">
      <c r="A46" s="447">
        <v>44.0</v>
      </c>
      <c r="B46" s="448" t="s">
        <v>2674</v>
      </c>
      <c r="C46" s="449"/>
      <c r="D46" s="450"/>
      <c r="E46" s="442">
        <v>9.7</v>
      </c>
      <c r="F46" s="452">
        <v>-0.2</v>
      </c>
      <c r="G46" s="442">
        <v>91.4</v>
      </c>
      <c r="O46" t="str">
        <f>IFERROR(__xludf.DUMMYFUNCTION("regexextract(B46,""[\w]* [\w]*"")"),"Ja Morant")</f>
        <v>Ja Morant</v>
      </c>
      <c r="P46" t="str">
        <f t="shared" si="2"/>
        <v>Ja Morant</v>
      </c>
      <c r="Q46" t="str">
        <f t="shared" si="3"/>
        <v>Ja Morant</v>
      </c>
      <c r="R46" t="s">
        <v>44</v>
      </c>
      <c r="S46" s="411" t="s">
        <v>2631</v>
      </c>
      <c r="T46" t="s">
        <v>2631</v>
      </c>
      <c r="U46" t="s">
        <v>2631</v>
      </c>
      <c r="V46" t="s">
        <v>2631</v>
      </c>
      <c r="W46" t="str">
        <f t="shared" si="1"/>
        <v>PG</v>
      </c>
    </row>
    <row r="47">
      <c r="A47" s="444">
        <v>45.0</v>
      </c>
      <c r="B47" s="445" t="s">
        <v>2675</v>
      </c>
      <c r="C47" s="446"/>
      <c r="D47" s="446"/>
      <c r="E47" s="438">
        <v>13.3</v>
      </c>
      <c r="F47" s="453">
        <v>-0.4</v>
      </c>
      <c r="G47" s="438">
        <v>93.0</v>
      </c>
      <c r="O47" t="str">
        <f>IFERROR(__xludf.DUMMYFUNCTION("regexextract(B47,""[\w]* [\w]*"")"),"Brandon Ingram")</f>
        <v>Brandon Ingram</v>
      </c>
      <c r="P47" t="str">
        <f t="shared" si="2"/>
        <v>Brandon Ingram</v>
      </c>
      <c r="Q47" t="str">
        <f t="shared" si="3"/>
        <v>Brandon Ingram</v>
      </c>
      <c r="R47" t="s">
        <v>2631</v>
      </c>
      <c r="S47" s="411" t="s">
        <v>2631</v>
      </c>
      <c r="T47" t="s">
        <v>72</v>
      </c>
      <c r="U47" t="s">
        <v>73</v>
      </c>
      <c r="V47" t="s">
        <v>2631</v>
      </c>
      <c r="W47" t="str">
        <f t="shared" si="1"/>
        <v>SFPF</v>
      </c>
    </row>
    <row r="48">
      <c r="A48" s="447">
        <v>46.0</v>
      </c>
      <c r="B48" s="448" t="s">
        <v>2676</v>
      </c>
      <c r="C48" s="449"/>
      <c r="D48" s="449"/>
      <c r="E48" s="442">
        <v>13.8</v>
      </c>
      <c r="F48" s="452">
        <v>-0.1</v>
      </c>
      <c r="G48" s="442">
        <v>85.0</v>
      </c>
      <c r="O48" t="str">
        <f>IFERROR(__xludf.DUMMYFUNCTION("regexextract(B48,""[\w]* [\w]*"")"),"Caris LeVertO")</f>
        <v>Caris LeVertO</v>
      </c>
      <c r="P48" t="str">
        <f t="shared" si="2"/>
        <v>Caris LeVertO</v>
      </c>
      <c r="Q48" t="str">
        <f t="shared" si="3"/>
        <v>Caris LeVert</v>
      </c>
      <c r="R48" t="s">
        <v>2631</v>
      </c>
      <c r="S48" s="411" t="s">
        <v>71</v>
      </c>
      <c r="T48" t="s">
        <v>72</v>
      </c>
      <c r="U48" t="s">
        <v>2631</v>
      </c>
      <c r="V48" t="s">
        <v>34</v>
      </c>
      <c r="W48" t="str">
        <f t="shared" si="1"/>
        <v>SGSFC</v>
      </c>
    </row>
    <row r="49">
      <c r="A49" s="444">
        <v>47.0</v>
      </c>
      <c r="B49" s="445" t="s">
        <v>2677</v>
      </c>
      <c r="C49" s="446"/>
      <c r="D49" s="451"/>
      <c r="E49" s="438">
        <v>9.1</v>
      </c>
      <c r="F49" s="437">
        <f>+0.3</f>
        <v>0.3</v>
      </c>
      <c r="G49" s="438">
        <v>93.2</v>
      </c>
      <c r="O49" t="str">
        <f>IFERROR(__xludf.DUMMYFUNCTION("regexextract(B49,""[\w]* [\w]*"")"),"CJ McCollum")</f>
        <v>CJ McCollum</v>
      </c>
      <c r="P49" t="str">
        <f t="shared" si="2"/>
        <v>CJ McCollum</v>
      </c>
      <c r="Q49" t="str">
        <f t="shared" si="3"/>
        <v>CJ McCollum</v>
      </c>
      <c r="R49" t="s">
        <v>2631</v>
      </c>
      <c r="S49" s="411" t="s">
        <v>71</v>
      </c>
      <c r="T49" t="s">
        <v>2631</v>
      </c>
      <c r="U49" t="s">
        <v>2631</v>
      </c>
      <c r="V49" t="s">
        <v>34</v>
      </c>
      <c r="W49" t="str">
        <f t="shared" si="1"/>
        <v>SGC</v>
      </c>
    </row>
    <row r="50">
      <c r="A50" s="447">
        <v>48.0</v>
      </c>
      <c r="B50" s="448" t="s">
        <v>2678</v>
      </c>
      <c r="C50" s="450"/>
      <c r="D50" s="450"/>
      <c r="O50" t="str">
        <f>IFERROR(__xludf.DUMMYFUNCTION("regexextract(B50,""[\w]* [\w]*"")"),"DeMar DeRozan")</f>
        <v>DeMar DeRozan</v>
      </c>
      <c r="P50" t="str">
        <f t="shared" si="2"/>
        <v>DeMar DeRozan</v>
      </c>
      <c r="Q50" t="str">
        <f t="shared" si="3"/>
        <v>DeMar DeRozan</v>
      </c>
      <c r="R50" t="s">
        <v>2631</v>
      </c>
      <c r="S50" s="411" t="s">
        <v>71</v>
      </c>
      <c r="T50" t="s">
        <v>72</v>
      </c>
      <c r="U50" t="s">
        <v>2631</v>
      </c>
      <c r="V50" t="s">
        <v>34</v>
      </c>
      <c r="W50" t="str">
        <f t="shared" si="1"/>
        <v>SGSFC</v>
      </c>
    </row>
    <row r="51">
      <c r="A51" s="444">
        <v>49.0</v>
      </c>
      <c r="B51" s="445" t="s">
        <v>2679</v>
      </c>
      <c r="C51" s="446"/>
      <c r="D51" s="451"/>
      <c r="E51" s="438">
        <v>10.0</v>
      </c>
      <c r="F51" s="437">
        <f>+0.1</f>
        <v>0.1</v>
      </c>
      <c r="G51" s="438">
        <v>91.7</v>
      </c>
      <c r="O51" t="str">
        <f>IFERROR(__xludf.DUMMYFUNCTION("regexextract(B51,""[\w]* [\w]*"")"),"Collin Sexton")</f>
        <v>Collin Sexton</v>
      </c>
      <c r="P51" t="str">
        <f t="shared" si="2"/>
        <v>Collin Sexton</v>
      </c>
      <c r="Q51" t="str">
        <f t="shared" si="3"/>
        <v>Collin Sexton</v>
      </c>
      <c r="R51" t="s">
        <v>44</v>
      </c>
      <c r="S51" s="411" t="s">
        <v>71</v>
      </c>
      <c r="T51" t="s">
        <v>2631</v>
      </c>
      <c r="U51" t="s">
        <v>2631</v>
      </c>
      <c r="V51" t="s">
        <v>34</v>
      </c>
      <c r="W51" t="str">
        <f t="shared" si="1"/>
        <v>PGSGC</v>
      </c>
    </row>
    <row r="52">
      <c r="A52" s="447">
        <v>50.0</v>
      </c>
      <c r="B52" s="448" t="s">
        <v>2680</v>
      </c>
      <c r="C52" s="449"/>
      <c r="D52" s="450"/>
      <c r="E52" s="442">
        <v>9.6</v>
      </c>
      <c r="F52" s="452">
        <v>-0.2</v>
      </c>
      <c r="G52" s="442">
        <v>93.6</v>
      </c>
      <c r="O52" t="str">
        <f>IFERROR(__xludf.DUMMYFUNCTION("regexextract(B52,""[\w]* [\w]*"")"),"Montrezl Harrell")</f>
        <v>Montrezl Harrell</v>
      </c>
      <c r="P52" t="str">
        <f t="shared" si="2"/>
        <v>Montrezl Harrell</v>
      </c>
      <c r="Q52" t="str">
        <f t="shared" si="3"/>
        <v>Montrezl Harrell</v>
      </c>
      <c r="R52" t="s">
        <v>2631</v>
      </c>
      <c r="S52" s="411" t="s">
        <v>2631</v>
      </c>
      <c r="T52" t="s">
        <v>2631</v>
      </c>
      <c r="U52" t="s">
        <v>73</v>
      </c>
      <c r="V52" t="s">
        <v>34</v>
      </c>
      <c r="W52" t="str">
        <f t="shared" si="1"/>
        <v>PFC</v>
      </c>
    </row>
    <row r="53">
      <c r="A53" s="436" t="s">
        <v>2625</v>
      </c>
      <c r="C53" s="436" t="s">
        <v>2626</v>
      </c>
      <c r="E53" s="454"/>
      <c r="F53" s="454"/>
      <c r="G53" s="454"/>
      <c r="H53" s="454"/>
      <c r="I53" s="454"/>
      <c r="J53" s="454"/>
      <c r="K53" s="454"/>
      <c r="L53" s="454"/>
      <c r="M53" s="454"/>
      <c r="N53" s="454"/>
      <c r="O53" t="str">
        <f>IFERROR(__xludf.DUMMYFUNCTION("regexextract(B53,""[\w]* [\w]*"")"),"#N/A")</f>
        <v>#N/A</v>
      </c>
      <c r="P53" t="str">
        <f t="shared" si="2"/>
        <v>#N/A</v>
      </c>
      <c r="Q53" t="str">
        <f t="shared" si="3"/>
        <v>#N/A</v>
      </c>
      <c r="R53" t="s">
        <v>2631</v>
      </c>
      <c r="S53" s="411" t="s">
        <v>2631</v>
      </c>
      <c r="T53" t="s">
        <v>2631</v>
      </c>
      <c r="U53" t="s">
        <v>2631</v>
      </c>
      <c r="V53" t="s">
        <v>2631</v>
      </c>
      <c r="W53" t="str">
        <f t="shared" si="1"/>
        <v/>
      </c>
    </row>
    <row r="54">
      <c r="A54" s="439" t="s">
        <v>2627</v>
      </c>
      <c r="B54" s="440" t="s">
        <v>3</v>
      </c>
      <c r="C54" s="439" t="s">
        <v>2628</v>
      </c>
      <c r="D54" s="441" t="s">
        <v>2629</v>
      </c>
      <c r="E54" s="455"/>
      <c r="F54" s="456"/>
      <c r="G54" s="455"/>
      <c r="H54" s="455"/>
      <c r="I54" s="455"/>
      <c r="J54" s="455"/>
      <c r="K54" s="455"/>
      <c r="L54" s="455"/>
      <c r="M54" s="455"/>
      <c r="N54" s="457"/>
      <c r="O54" t="str">
        <f>IFERROR(__xludf.DUMMYFUNCTION("regexextract(B54,""[\w]* [\w]*"")"),"#N/A")</f>
        <v>#N/A</v>
      </c>
      <c r="P54" t="str">
        <f t="shared" si="2"/>
        <v>#N/A</v>
      </c>
      <c r="Q54" t="str">
        <f t="shared" si="3"/>
        <v>#N/A</v>
      </c>
      <c r="R54" t="s">
        <v>2631</v>
      </c>
      <c r="S54" s="411" t="s">
        <v>2631</v>
      </c>
      <c r="T54" t="s">
        <v>2631</v>
      </c>
      <c r="U54" t="s">
        <v>2631</v>
      </c>
      <c r="V54" t="s">
        <v>2631</v>
      </c>
      <c r="W54" t="str">
        <f t="shared" si="1"/>
        <v/>
      </c>
    </row>
    <row r="55">
      <c r="A55" s="444">
        <v>51.0</v>
      </c>
      <c r="B55" s="445" t="s">
        <v>2681</v>
      </c>
      <c r="C55" s="446"/>
      <c r="D55" s="446"/>
      <c r="E55" s="458"/>
      <c r="F55" s="458"/>
      <c r="G55" s="458"/>
      <c r="H55" s="458"/>
      <c r="I55" s="458"/>
      <c r="J55" s="458"/>
      <c r="K55" s="458"/>
      <c r="L55" s="458"/>
      <c r="M55" s="458"/>
      <c r="N55" s="458"/>
      <c r="O55" t="str">
        <f>IFERROR(__xludf.DUMMYFUNCTION("regexextract(B55,""[\w]* [\w]*"")"),"Terry Rozier")</f>
        <v>Terry Rozier</v>
      </c>
      <c r="P55" t="str">
        <f t="shared" si="2"/>
        <v>Terry Rozier</v>
      </c>
      <c r="Q55" t="str">
        <f t="shared" si="3"/>
        <v>Terry Rozier</v>
      </c>
      <c r="R55" t="s">
        <v>44</v>
      </c>
      <c r="S55" s="411" t="s">
        <v>71</v>
      </c>
      <c r="T55" t="s">
        <v>2631</v>
      </c>
      <c r="U55" t="s">
        <v>2631</v>
      </c>
      <c r="V55" t="s">
        <v>34</v>
      </c>
      <c r="W55" t="str">
        <f t="shared" si="1"/>
        <v>PGSGC</v>
      </c>
    </row>
    <row r="56">
      <c r="A56" s="447">
        <v>52.0</v>
      </c>
      <c r="B56" s="448" t="s">
        <v>2682</v>
      </c>
      <c r="C56" s="449"/>
      <c r="D56" s="449"/>
      <c r="E56" s="459"/>
      <c r="F56" s="459"/>
      <c r="G56" s="459"/>
      <c r="H56" s="459"/>
      <c r="I56" s="459"/>
      <c r="J56" s="459"/>
      <c r="K56" s="459"/>
      <c r="L56" s="459"/>
      <c r="M56" s="459"/>
      <c r="N56" s="459"/>
      <c r="O56" t="str">
        <f>IFERROR(__xludf.DUMMYFUNCTION("regexextract(B56,""[\w]* [\w]*"")"),"Jusuf Nurkic")</f>
        <v>Jusuf Nurkic</v>
      </c>
      <c r="P56" t="str">
        <f t="shared" si="2"/>
        <v>Jusuf Nurkic</v>
      </c>
      <c r="Q56" t="str">
        <f t="shared" si="3"/>
        <v>Jusuf Nurkic</v>
      </c>
      <c r="R56" t="s">
        <v>2631</v>
      </c>
      <c r="S56" s="411" t="s">
        <v>2631</v>
      </c>
      <c r="T56" t="s">
        <v>2631</v>
      </c>
      <c r="U56" t="s">
        <v>2631</v>
      </c>
      <c r="V56" t="s">
        <v>34</v>
      </c>
      <c r="W56" t="str">
        <f t="shared" si="1"/>
        <v>C</v>
      </c>
    </row>
    <row r="57">
      <c r="A57" s="444">
        <v>53.0</v>
      </c>
      <c r="B57" s="445" t="s">
        <v>2683</v>
      </c>
      <c r="C57" s="446"/>
      <c r="D57" s="446"/>
      <c r="E57" s="458"/>
      <c r="F57" s="458"/>
      <c r="G57" s="458"/>
      <c r="H57" s="458"/>
      <c r="I57" s="458"/>
      <c r="J57" s="458"/>
      <c r="K57" s="458"/>
      <c r="L57" s="458"/>
      <c r="M57" s="458"/>
      <c r="N57" s="458"/>
      <c r="O57" t="str">
        <f>IFERROR(__xludf.DUMMYFUNCTION("regexextract(B57,""[\w]* [\w]*"")"),"Pascal SiakamO")</f>
        <v>Pascal SiakamO</v>
      </c>
      <c r="P57" t="str">
        <f t="shared" si="2"/>
        <v>Pascal SiakamO</v>
      </c>
      <c r="Q57" t="str">
        <f t="shared" si="3"/>
        <v>Pascal Siakam</v>
      </c>
      <c r="R57" t="s">
        <v>2631</v>
      </c>
      <c r="S57" s="411" t="s">
        <v>2631</v>
      </c>
      <c r="T57" t="s">
        <v>2631</v>
      </c>
      <c r="U57" t="s">
        <v>73</v>
      </c>
      <c r="V57" t="s">
        <v>34</v>
      </c>
      <c r="W57" t="str">
        <f t="shared" si="1"/>
        <v>PFC</v>
      </c>
    </row>
    <row r="58">
      <c r="A58" s="447">
        <v>54.0</v>
      </c>
      <c r="B58" s="448" t="s">
        <v>2684</v>
      </c>
      <c r="C58" s="449"/>
      <c r="D58" s="449"/>
      <c r="E58" s="459"/>
      <c r="F58" s="459"/>
      <c r="G58" s="459"/>
      <c r="H58" s="459"/>
      <c r="I58" s="459"/>
      <c r="J58" s="459"/>
      <c r="K58" s="459"/>
      <c r="L58" s="459"/>
      <c r="M58" s="459"/>
      <c r="N58" s="459"/>
      <c r="O58" t="str">
        <f>IFERROR(__xludf.DUMMYFUNCTION("regexextract(B58,""[\w]* [\w]*"")"),"Draymond Green")</f>
        <v>Draymond Green</v>
      </c>
      <c r="P58" t="str">
        <f t="shared" si="2"/>
        <v>Draymond Green</v>
      </c>
      <c r="Q58" t="str">
        <f t="shared" si="3"/>
        <v>Draymond Green</v>
      </c>
      <c r="R58" t="s">
        <v>2631</v>
      </c>
      <c r="S58" s="411" t="s">
        <v>2631</v>
      </c>
      <c r="T58" t="s">
        <v>2631</v>
      </c>
      <c r="U58" t="s">
        <v>73</v>
      </c>
      <c r="V58" t="s">
        <v>2631</v>
      </c>
      <c r="W58" t="str">
        <f t="shared" si="1"/>
        <v>PF</v>
      </c>
    </row>
    <row r="59">
      <c r="A59" s="444">
        <v>55.0</v>
      </c>
      <c r="B59" s="445" t="s">
        <v>2685</v>
      </c>
      <c r="C59" s="446"/>
      <c r="D59" s="446"/>
      <c r="E59" s="458"/>
      <c r="F59" s="458"/>
      <c r="G59" s="458"/>
      <c r="H59" s="458"/>
      <c r="I59" s="458"/>
      <c r="J59" s="458"/>
      <c r="K59" s="458"/>
      <c r="L59" s="458"/>
      <c r="M59" s="458"/>
      <c r="N59" s="458"/>
      <c r="O59" t="str">
        <f>IFERROR(__xludf.DUMMYFUNCTION("regexextract(B59,""[\w]* [\w]*"")"),"Jakob Poeltl")</f>
        <v>Jakob Poeltl</v>
      </c>
      <c r="P59" t="str">
        <f t="shared" si="2"/>
        <v>Jakob Poeltl</v>
      </c>
      <c r="Q59" t="str">
        <f t="shared" si="3"/>
        <v>Jakob Poeltl</v>
      </c>
      <c r="R59" t="s">
        <v>2631</v>
      </c>
      <c r="S59" s="411" t="s">
        <v>2631</v>
      </c>
      <c r="T59" t="s">
        <v>2631</v>
      </c>
      <c r="U59" t="s">
        <v>2631</v>
      </c>
      <c r="V59" t="s">
        <v>34</v>
      </c>
      <c r="W59" t="str">
        <f t="shared" si="1"/>
        <v>C</v>
      </c>
    </row>
    <row r="60">
      <c r="A60" s="447">
        <v>56.0</v>
      </c>
      <c r="B60" s="448" t="s">
        <v>2686</v>
      </c>
      <c r="C60" s="449"/>
      <c r="D60" s="449"/>
      <c r="E60" s="459"/>
      <c r="F60" s="459"/>
      <c r="G60" s="459"/>
      <c r="H60" s="459"/>
      <c r="I60" s="459"/>
      <c r="J60" s="459"/>
      <c r="K60" s="459"/>
      <c r="L60" s="459"/>
      <c r="M60" s="459"/>
      <c r="N60" s="459"/>
      <c r="O60" t="str">
        <f>IFERROR(__xludf.DUMMYFUNCTION("regexextract(B60,""[\w]* [\w]*"")"),"Anthony Edwards")</f>
        <v>Anthony Edwards</v>
      </c>
      <c r="P60" t="str">
        <f t="shared" si="2"/>
        <v>Anthony Edwards</v>
      </c>
      <c r="Q60" t="str">
        <f t="shared" si="3"/>
        <v>Anthony Edwards</v>
      </c>
      <c r="R60" t="s">
        <v>2631</v>
      </c>
      <c r="S60" s="411" t="s">
        <v>71</v>
      </c>
      <c r="T60" t="s">
        <v>72</v>
      </c>
      <c r="U60" t="s">
        <v>2631</v>
      </c>
      <c r="V60" t="s">
        <v>2631</v>
      </c>
      <c r="W60" t="str">
        <f t="shared" si="1"/>
        <v>SGSF</v>
      </c>
    </row>
    <row r="61">
      <c r="A61" s="444">
        <v>57.0</v>
      </c>
      <c r="B61" s="445" t="s">
        <v>2687</v>
      </c>
      <c r="C61" s="446"/>
      <c r="D61" s="446"/>
      <c r="E61" s="458"/>
      <c r="F61" s="458"/>
      <c r="G61" s="458"/>
      <c r="H61" s="458"/>
      <c r="I61" s="458"/>
      <c r="J61" s="458"/>
      <c r="K61" s="458"/>
      <c r="L61" s="458"/>
      <c r="M61" s="458"/>
      <c r="N61" s="458"/>
      <c r="O61" t="str">
        <f>IFERROR(__xludf.DUMMYFUNCTION("regexextract(B61,""[\w]* [\w]*"")"),"Robert Williams")</f>
        <v>Robert Williams</v>
      </c>
      <c r="P61" t="str">
        <f t="shared" si="2"/>
        <v>Robert Williams</v>
      </c>
      <c r="Q61" t="str">
        <f t="shared" si="3"/>
        <v>Robert Williams</v>
      </c>
      <c r="R61" t="s">
        <v>2631</v>
      </c>
      <c r="S61" s="411" t="s">
        <v>2631</v>
      </c>
      <c r="T61" t="s">
        <v>2631</v>
      </c>
      <c r="U61" t="s">
        <v>73</v>
      </c>
      <c r="V61" t="s">
        <v>34</v>
      </c>
      <c r="W61" t="str">
        <f t="shared" si="1"/>
        <v>PFC</v>
      </c>
    </row>
    <row r="62">
      <c r="A62" s="447">
        <v>58.0</v>
      </c>
      <c r="B62" s="448" t="s">
        <v>2688</v>
      </c>
      <c r="C62" s="449"/>
      <c r="D62" s="449"/>
      <c r="E62" s="459"/>
      <c r="F62" s="459"/>
      <c r="G62" s="459"/>
      <c r="H62" s="459"/>
      <c r="I62" s="459"/>
      <c r="J62" s="459"/>
      <c r="K62" s="459"/>
      <c r="L62" s="459"/>
      <c r="M62" s="459"/>
      <c r="N62" s="460"/>
      <c r="O62" t="str">
        <f>IFERROR(__xludf.DUMMYFUNCTION("regexextract(B62,""[\w]* [\w]*"")"),"Tyrese Haliburton")</f>
        <v>Tyrese Haliburton</v>
      </c>
      <c r="P62" t="str">
        <f t="shared" si="2"/>
        <v>Tyrese Haliburton</v>
      </c>
      <c r="Q62" t="str">
        <f t="shared" si="3"/>
        <v>Tyrese Haliburton</v>
      </c>
      <c r="R62" t="s">
        <v>44</v>
      </c>
      <c r="S62" s="411" t="s">
        <v>71</v>
      </c>
      <c r="T62" t="s">
        <v>2631</v>
      </c>
      <c r="U62" t="s">
        <v>2631</v>
      </c>
      <c r="V62" t="s">
        <v>34</v>
      </c>
      <c r="W62" t="str">
        <f t="shared" si="1"/>
        <v>PGSGC</v>
      </c>
    </row>
    <row r="63">
      <c r="A63" s="444">
        <v>59.0</v>
      </c>
      <c r="B63" s="445" t="s">
        <v>2689</v>
      </c>
      <c r="C63" s="446"/>
      <c r="D63" s="446"/>
      <c r="E63" s="458"/>
      <c r="F63" s="458"/>
      <c r="G63" s="458"/>
      <c r="H63" s="458"/>
      <c r="I63" s="458"/>
      <c r="J63" s="458"/>
      <c r="K63" s="458"/>
      <c r="L63" s="458"/>
      <c r="M63" s="458"/>
      <c r="N63" s="458"/>
      <c r="O63" t="str">
        <f>IFERROR(__xludf.DUMMYFUNCTION("regexextract(B63,""[\w]* [\w]*"")"),"Kyle Lowry")</f>
        <v>Kyle Lowry</v>
      </c>
      <c r="P63" t="str">
        <f t="shared" si="2"/>
        <v>Kyle Lowry</v>
      </c>
      <c r="Q63" t="str">
        <f t="shared" si="3"/>
        <v>Kyle Lowry</v>
      </c>
      <c r="R63" t="s">
        <v>44</v>
      </c>
      <c r="S63" s="411" t="s">
        <v>2631</v>
      </c>
      <c r="T63" t="s">
        <v>2631</v>
      </c>
      <c r="U63" t="s">
        <v>2631</v>
      </c>
      <c r="V63" t="s">
        <v>2631</v>
      </c>
      <c r="W63" t="str">
        <f t="shared" si="1"/>
        <v>PG</v>
      </c>
    </row>
    <row r="64">
      <c r="A64" s="447">
        <v>60.0</v>
      </c>
      <c r="B64" s="448" t="s">
        <v>2690</v>
      </c>
      <c r="C64" s="449"/>
      <c r="D64" s="449"/>
      <c r="E64" s="459"/>
      <c r="F64" s="459"/>
      <c r="G64" s="459"/>
      <c r="H64" s="459"/>
      <c r="I64" s="459"/>
      <c r="J64" s="459"/>
      <c r="K64" s="459"/>
      <c r="L64" s="459"/>
      <c r="M64" s="459"/>
      <c r="N64" s="459"/>
      <c r="O64" t="str">
        <f>IFERROR(__xludf.DUMMYFUNCTION("regexextract(B64,""[\w]* [\w]*"")"),"Jalen Suggs")</f>
        <v>Jalen Suggs</v>
      </c>
      <c r="P64" t="str">
        <f t="shared" si="2"/>
        <v>Jalen Suggs</v>
      </c>
      <c r="Q64" t="str">
        <f t="shared" si="3"/>
        <v>Jalen Suggs</v>
      </c>
      <c r="R64" t="s">
        <v>44</v>
      </c>
      <c r="S64" s="411" t="s">
        <v>71</v>
      </c>
      <c r="T64" t="s">
        <v>2631</v>
      </c>
      <c r="U64" t="s">
        <v>2631</v>
      </c>
      <c r="V64" t="s">
        <v>2631</v>
      </c>
      <c r="W64" t="str">
        <f t="shared" si="1"/>
        <v>PGSG</v>
      </c>
    </row>
    <row r="65">
      <c r="A65" s="444">
        <v>61.0</v>
      </c>
      <c r="B65" s="445" t="s">
        <v>2691</v>
      </c>
      <c r="C65" s="446"/>
      <c r="D65" s="446"/>
      <c r="E65" s="458"/>
      <c r="F65" s="458"/>
      <c r="G65" s="458"/>
      <c r="H65" s="458"/>
      <c r="I65" s="458"/>
      <c r="J65" s="458"/>
      <c r="K65" s="458"/>
      <c r="L65" s="458"/>
      <c r="M65" s="458"/>
      <c r="N65" s="458"/>
      <c r="O65" t="str">
        <f>IFERROR(__xludf.DUMMYFUNCTION("regexextract(B65,""[\w]* [\w]*"")"),"Derrick White")</f>
        <v>Derrick White</v>
      </c>
      <c r="P65" t="str">
        <f t="shared" si="2"/>
        <v>Derrick White</v>
      </c>
      <c r="Q65" t="str">
        <f t="shared" si="3"/>
        <v>Derrick White</v>
      </c>
      <c r="R65" t="s">
        <v>44</v>
      </c>
      <c r="S65" s="411" t="s">
        <v>71</v>
      </c>
      <c r="T65" t="s">
        <v>2631</v>
      </c>
      <c r="U65" t="s">
        <v>2631</v>
      </c>
      <c r="V65" t="s">
        <v>34</v>
      </c>
      <c r="W65" t="str">
        <f t="shared" si="1"/>
        <v>PGSGC</v>
      </c>
    </row>
    <row r="66">
      <c r="A66" s="447">
        <v>62.0</v>
      </c>
      <c r="B66" s="448" t="s">
        <v>2692</v>
      </c>
      <c r="C66" s="449"/>
      <c r="D66" s="449"/>
      <c r="E66" s="459"/>
      <c r="F66" s="459"/>
      <c r="G66" s="459"/>
      <c r="H66" s="459"/>
      <c r="I66" s="459"/>
      <c r="J66" s="459"/>
      <c r="K66" s="459"/>
      <c r="L66" s="459"/>
      <c r="M66" s="459"/>
      <c r="N66" s="460"/>
      <c r="O66" t="str">
        <f>IFERROR(__xludf.DUMMYFUNCTION("regexextract(B66,""[\w]* [\w]*"")"),"Cade CunninghamDTD")</f>
        <v>Cade CunninghamDTD</v>
      </c>
      <c r="P66" t="str">
        <f t="shared" si="2"/>
        <v>Cade Cunningham</v>
      </c>
      <c r="Q66" t="str">
        <f t="shared" si="3"/>
        <v>Cade Cunningham</v>
      </c>
      <c r="R66" t="s">
        <v>44</v>
      </c>
      <c r="S66" s="411" t="s">
        <v>2631</v>
      </c>
      <c r="T66" t="s">
        <v>2631</v>
      </c>
      <c r="U66" t="s">
        <v>2631</v>
      </c>
      <c r="V66" t="s">
        <v>34</v>
      </c>
      <c r="W66" t="str">
        <f t="shared" si="1"/>
        <v>PGC</v>
      </c>
    </row>
    <row r="67">
      <c r="A67" s="444">
        <v>63.0</v>
      </c>
      <c r="B67" s="445" t="s">
        <v>2693</v>
      </c>
      <c r="C67" s="446"/>
      <c r="D67" s="446"/>
      <c r="E67" s="458"/>
      <c r="F67" s="458"/>
      <c r="G67" s="458"/>
      <c r="H67" s="458"/>
      <c r="I67" s="458"/>
      <c r="J67" s="458"/>
      <c r="K67" s="458"/>
      <c r="L67" s="458"/>
      <c r="M67" s="458"/>
      <c r="N67" s="461"/>
      <c r="O67" t="str">
        <f>IFERROR(__xludf.DUMMYFUNCTION("regexextract(B67,""[\w]* [\w]*"")"),"Buddy Hield")</f>
        <v>Buddy Hield</v>
      </c>
      <c r="P67" t="str">
        <f t="shared" si="2"/>
        <v>Buddy Hield</v>
      </c>
      <c r="Q67" t="str">
        <f t="shared" si="3"/>
        <v>Buddy Hield</v>
      </c>
      <c r="R67" t="s">
        <v>2631</v>
      </c>
      <c r="S67" s="411" t="s">
        <v>71</v>
      </c>
      <c r="T67" t="s">
        <v>72</v>
      </c>
      <c r="U67" t="s">
        <v>2631</v>
      </c>
      <c r="V67" t="s">
        <v>34</v>
      </c>
      <c r="W67" t="str">
        <f t="shared" si="1"/>
        <v>SGSFC</v>
      </c>
    </row>
    <row r="68">
      <c r="A68" s="447">
        <v>64.0</v>
      </c>
      <c r="B68" s="448" t="s">
        <v>2694</v>
      </c>
      <c r="C68" s="449"/>
      <c r="D68" s="449"/>
      <c r="E68" s="459"/>
      <c r="F68" s="459"/>
      <c r="G68" s="459"/>
      <c r="H68" s="459"/>
      <c r="I68" s="459"/>
      <c r="J68" s="459"/>
      <c r="K68" s="459"/>
      <c r="L68" s="459"/>
      <c r="M68" s="459"/>
      <c r="N68" s="460"/>
      <c r="O68" t="str">
        <f>IFERROR(__xludf.DUMMYFUNCTION("regexextract(B68,""[\w]* [\w]*"")"),"Jarrett AllenDTD")</f>
        <v>Jarrett AllenDTD</v>
      </c>
      <c r="P68" t="str">
        <f t="shared" si="2"/>
        <v>Jarrett Allen</v>
      </c>
      <c r="Q68" t="str">
        <f t="shared" si="3"/>
        <v>Jarrett Allen</v>
      </c>
      <c r="R68" t="s">
        <v>2631</v>
      </c>
      <c r="S68" s="411" t="s">
        <v>2631</v>
      </c>
      <c r="T68" t="s">
        <v>2631</v>
      </c>
      <c r="U68" t="s">
        <v>2631</v>
      </c>
      <c r="V68" t="s">
        <v>34</v>
      </c>
      <c r="W68" t="str">
        <f t="shared" si="1"/>
        <v>C</v>
      </c>
    </row>
    <row r="69">
      <c r="A69" s="444">
        <v>65.0</v>
      </c>
      <c r="B69" s="445" t="s">
        <v>2695</v>
      </c>
      <c r="C69" s="446"/>
      <c r="D69" s="446"/>
      <c r="E69" s="458"/>
      <c r="F69" s="458"/>
      <c r="G69" s="458"/>
      <c r="H69" s="458"/>
      <c r="I69" s="458"/>
      <c r="J69" s="458"/>
      <c r="K69" s="458"/>
      <c r="L69" s="458"/>
      <c r="M69" s="458"/>
      <c r="N69" s="458"/>
      <c r="O69" t="str">
        <f>IFERROR(__xludf.DUMMYFUNCTION("regexextract(B69,""[\w]* [\w]*"")"),"Malcolm Brogdon")</f>
        <v>Malcolm Brogdon</v>
      </c>
      <c r="P69" t="str">
        <f t="shared" si="2"/>
        <v>Malcolm Brogdon</v>
      </c>
      <c r="Q69" t="str">
        <f t="shared" si="3"/>
        <v>Malcolm Brogdon</v>
      </c>
      <c r="R69" t="s">
        <v>44</v>
      </c>
      <c r="S69" s="411" t="s">
        <v>71</v>
      </c>
      <c r="T69" t="s">
        <v>2631</v>
      </c>
      <c r="U69" t="s">
        <v>2631</v>
      </c>
      <c r="V69" t="s">
        <v>34</v>
      </c>
      <c r="W69" t="str">
        <f t="shared" si="1"/>
        <v>PGSGC</v>
      </c>
    </row>
    <row r="70">
      <c r="A70" s="447">
        <v>66.0</v>
      </c>
      <c r="B70" s="448" t="s">
        <v>2696</v>
      </c>
      <c r="C70" s="449"/>
      <c r="D70" s="449"/>
      <c r="E70" s="459"/>
      <c r="F70" s="459"/>
      <c r="G70" s="459"/>
      <c r="H70" s="459"/>
      <c r="I70" s="459"/>
      <c r="J70" s="459"/>
      <c r="K70" s="459"/>
      <c r="L70" s="459"/>
      <c r="M70" s="459"/>
      <c r="N70" s="459"/>
      <c r="O70" t="str">
        <f>IFERROR(__xludf.DUMMYFUNCTION("regexextract(B70,""[\w]* [\w]*"")"),"Spencer Dinwiddie")</f>
        <v>Spencer Dinwiddie</v>
      </c>
      <c r="P70" t="str">
        <f t="shared" si="2"/>
        <v>Spencer Dinwiddie</v>
      </c>
      <c r="Q70" t="str">
        <f t="shared" si="3"/>
        <v>Spencer Dinwiddie</v>
      </c>
      <c r="R70" t="s">
        <v>44</v>
      </c>
      <c r="S70" s="411" t="s">
        <v>71</v>
      </c>
      <c r="T70" t="s">
        <v>2631</v>
      </c>
      <c r="U70" t="s">
        <v>2631</v>
      </c>
      <c r="V70" t="s">
        <v>34</v>
      </c>
      <c r="W70" t="str">
        <f t="shared" si="1"/>
        <v>PGSGC</v>
      </c>
    </row>
    <row r="71">
      <c r="A71" s="444">
        <v>67.0</v>
      </c>
      <c r="B71" s="445" t="s">
        <v>2697</v>
      </c>
      <c r="C71" s="446"/>
      <c r="D71" s="446"/>
      <c r="E71" s="458"/>
      <c r="F71" s="458"/>
      <c r="G71" s="458"/>
      <c r="H71" s="458"/>
      <c r="I71" s="458"/>
      <c r="J71" s="458"/>
      <c r="K71" s="458"/>
      <c r="L71" s="458"/>
      <c r="M71" s="458"/>
      <c r="N71" s="461"/>
      <c r="O71" t="str">
        <f>IFERROR(__xludf.DUMMYFUNCTION("regexextract(B71,""[\w]* [\w]*"")"),"Jonathan IsaacO")</f>
        <v>Jonathan IsaacO</v>
      </c>
      <c r="P71" t="str">
        <f t="shared" si="2"/>
        <v>Jonathan IsaacO</v>
      </c>
      <c r="Q71" t="str">
        <f t="shared" si="3"/>
        <v>Jonathan Isaac</v>
      </c>
      <c r="R71" t="s">
        <v>2631</v>
      </c>
      <c r="S71" s="411" t="s">
        <v>2631</v>
      </c>
      <c r="T71" t="s">
        <v>72</v>
      </c>
      <c r="U71" t="s">
        <v>73</v>
      </c>
      <c r="V71" t="s">
        <v>34</v>
      </c>
      <c r="W71" t="str">
        <f t="shared" si="1"/>
        <v>SFPFC</v>
      </c>
    </row>
    <row r="72">
      <c r="A72" s="447">
        <v>68.0</v>
      </c>
      <c r="B72" s="448" t="s">
        <v>2698</v>
      </c>
      <c r="C72" s="449"/>
      <c r="D72" s="449"/>
      <c r="E72" s="459"/>
      <c r="F72" s="459"/>
      <c r="G72" s="459"/>
      <c r="H72" s="459"/>
      <c r="I72" s="459"/>
      <c r="J72" s="459"/>
      <c r="K72" s="459"/>
      <c r="L72" s="459"/>
      <c r="M72" s="459"/>
      <c r="N72" s="460"/>
      <c r="O72" t="str">
        <f>IFERROR(__xludf.DUMMYFUNCTION("regexextract(B72,""[\w]* [\w]*"")"),"Angelo Russell")</f>
        <v>Angelo Russell</v>
      </c>
      <c r="P72" t="str">
        <f t="shared" si="2"/>
        <v>Angelo Russell</v>
      </c>
      <c r="Q72" t="str">
        <f t="shared" si="3"/>
        <v>Angelo Russell</v>
      </c>
      <c r="R72" t="s">
        <v>44</v>
      </c>
      <c r="S72" s="411" t="s">
        <v>71</v>
      </c>
      <c r="T72" t="s">
        <v>2631</v>
      </c>
      <c r="U72" t="s">
        <v>2631</v>
      </c>
      <c r="V72" t="s">
        <v>2631</v>
      </c>
      <c r="W72" t="str">
        <f t="shared" si="1"/>
        <v>PGSG</v>
      </c>
    </row>
    <row r="73">
      <c r="A73" s="444">
        <v>69.0</v>
      </c>
      <c r="B73" s="445" t="s">
        <v>2699</v>
      </c>
      <c r="C73" s="446"/>
      <c r="D73" s="446"/>
      <c r="E73" s="458"/>
      <c r="F73" s="458"/>
      <c r="G73" s="458"/>
      <c r="H73" s="458"/>
      <c r="I73" s="458"/>
      <c r="J73" s="458"/>
      <c r="K73" s="458"/>
      <c r="L73" s="458"/>
      <c r="M73" s="458"/>
      <c r="N73" s="461"/>
      <c r="O73" t="str">
        <f>IFERROR(__xludf.DUMMYFUNCTION("regexextract(B73,""[\w]* [\w]*"")"),"Kemba Walker")</f>
        <v>Kemba Walker</v>
      </c>
      <c r="P73" t="str">
        <f t="shared" si="2"/>
        <v>Kemba Walker</v>
      </c>
      <c r="Q73" t="str">
        <f t="shared" si="3"/>
        <v>Kemba Walker</v>
      </c>
      <c r="R73" t="s">
        <v>44</v>
      </c>
      <c r="S73" s="411" t="s">
        <v>2631</v>
      </c>
      <c r="T73" t="s">
        <v>2631</v>
      </c>
      <c r="U73" t="s">
        <v>2631</v>
      </c>
      <c r="V73" t="s">
        <v>2631</v>
      </c>
      <c r="W73" t="str">
        <f t="shared" si="1"/>
        <v>PG</v>
      </c>
    </row>
    <row r="74">
      <c r="A74" s="447">
        <v>70.0</v>
      </c>
      <c r="B74" s="448" t="s">
        <v>2700</v>
      </c>
      <c r="C74" s="449"/>
      <c r="D74" s="449"/>
      <c r="E74" s="459"/>
      <c r="F74" s="459"/>
      <c r="G74" s="459"/>
      <c r="H74" s="459"/>
      <c r="I74" s="459"/>
      <c r="J74" s="459"/>
      <c r="K74" s="459"/>
      <c r="L74" s="459"/>
      <c r="M74" s="459"/>
      <c r="N74" s="460"/>
      <c r="O74" t="str">
        <f>IFERROR(__xludf.DUMMYFUNCTION("regexextract(B74,""[\w]* [\w]*"")"),"Andrew Wiggins")</f>
        <v>Andrew Wiggins</v>
      </c>
      <c r="P74" t="str">
        <f t="shared" si="2"/>
        <v>Andrew Wiggins</v>
      </c>
      <c r="Q74" t="str">
        <f t="shared" si="3"/>
        <v>Andrew Wiggins</v>
      </c>
      <c r="R74" t="s">
        <v>2631</v>
      </c>
      <c r="S74" s="411" t="s">
        <v>71</v>
      </c>
      <c r="T74" t="s">
        <v>72</v>
      </c>
      <c r="U74" t="s">
        <v>2631</v>
      </c>
      <c r="V74" t="s">
        <v>2631</v>
      </c>
      <c r="W74" t="str">
        <f t="shared" si="1"/>
        <v>SGSF</v>
      </c>
    </row>
    <row r="75">
      <c r="A75" s="444">
        <v>71.0</v>
      </c>
      <c r="B75" s="445" t="s">
        <v>2701</v>
      </c>
      <c r="C75" s="446"/>
      <c r="D75" s="446"/>
      <c r="E75" s="458"/>
      <c r="F75" s="458"/>
      <c r="G75" s="458"/>
      <c r="H75" s="458"/>
      <c r="I75" s="458"/>
      <c r="J75" s="458"/>
      <c r="K75" s="458"/>
      <c r="L75" s="458"/>
      <c r="M75" s="458"/>
      <c r="N75" s="461"/>
      <c r="O75" t="str">
        <f>IFERROR(__xludf.DUMMYFUNCTION("regexextract(B75,""[\w]* [\w]*"")"),"OG Anunoby")</f>
        <v>OG Anunoby</v>
      </c>
      <c r="P75" t="str">
        <f t="shared" si="2"/>
        <v>OG Anunoby</v>
      </c>
      <c r="Q75" t="str">
        <f t="shared" si="3"/>
        <v>OG Anunoby</v>
      </c>
      <c r="R75" t="s">
        <v>2631</v>
      </c>
      <c r="S75" s="411" t="s">
        <v>2631</v>
      </c>
      <c r="T75" t="s">
        <v>72</v>
      </c>
      <c r="U75" t="s">
        <v>73</v>
      </c>
      <c r="V75" t="s">
        <v>2631</v>
      </c>
      <c r="W75" t="str">
        <f t="shared" si="1"/>
        <v>SFPF</v>
      </c>
    </row>
    <row r="76">
      <c r="A76" s="447">
        <v>72.0</v>
      </c>
      <c r="B76" s="448" t="s">
        <v>2702</v>
      </c>
      <c r="C76" s="449"/>
      <c r="D76" s="449"/>
      <c r="E76" s="459"/>
      <c r="F76" s="459"/>
      <c r="G76" s="459"/>
      <c r="H76" s="459"/>
      <c r="I76" s="459"/>
      <c r="J76" s="459"/>
      <c r="K76" s="459"/>
      <c r="L76" s="459"/>
      <c r="M76" s="459"/>
      <c r="N76" s="460"/>
      <c r="O76" t="str">
        <f>IFERROR(__xludf.DUMMYFUNCTION("regexextract(B76,""[\w]* [\w]*"")"),"John Collins")</f>
        <v>John Collins</v>
      </c>
      <c r="P76" t="str">
        <f t="shared" si="2"/>
        <v>John Collins</v>
      </c>
      <c r="Q76" t="str">
        <f t="shared" si="3"/>
        <v>John Collins</v>
      </c>
      <c r="R76" t="s">
        <v>2631</v>
      </c>
      <c r="S76" s="411" t="s">
        <v>2631</v>
      </c>
      <c r="T76" t="s">
        <v>2631</v>
      </c>
      <c r="U76" t="s">
        <v>73</v>
      </c>
      <c r="V76" t="s">
        <v>34</v>
      </c>
      <c r="W76" t="str">
        <f t="shared" si="1"/>
        <v>PFC</v>
      </c>
    </row>
    <row r="77">
      <c r="A77" s="444">
        <v>73.0</v>
      </c>
      <c r="B77" s="445" t="s">
        <v>2703</v>
      </c>
      <c r="C77" s="446"/>
      <c r="D77" s="446"/>
      <c r="E77" s="458"/>
      <c r="F77" s="458"/>
      <c r="G77" s="458"/>
      <c r="H77" s="458"/>
      <c r="I77" s="458"/>
      <c r="J77" s="458"/>
      <c r="K77" s="458"/>
      <c r="L77" s="458"/>
      <c r="M77" s="458"/>
      <c r="N77" s="461"/>
      <c r="O77" t="str">
        <f>IFERROR(__xludf.DUMMYFUNCTION("regexextract(B77,""[\w]* [\w]*"")"),"Kristaps Porzingis")</f>
        <v>Kristaps Porzingis</v>
      </c>
      <c r="P77" t="str">
        <f t="shared" si="2"/>
        <v>Kristaps Porzingis</v>
      </c>
      <c r="Q77" t="str">
        <f t="shared" si="3"/>
        <v>Kristaps Porzingis</v>
      </c>
      <c r="R77" t="s">
        <v>2631</v>
      </c>
      <c r="S77" s="411" t="s">
        <v>2631</v>
      </c>
      <c r="T77" t="s">
        <v>2631</v>
      </c>
      <c r="U77" t="s">
        <v>73</v>
      </c>
      <c r="V77" t="s">
        <v>34</v>
      </c>
      <c r="W77" t="str">
        <f t="shared" si="1"/>
        <v>PFC</v>
      </c>
    </row>
    <row r="78">
      <c r="A78" s="447">
        <v>74.0</v>
      </c>
      <c r="B78" s="448" t="s">
        <v>2704</v>
      </c>
      <c r="C78" s="449"/>
      <c r="D78" s="449"/>
      <c r="E78" s="459"/>
      <c r="F78" s="459"/>
      <c r="G78" s="459"/>
      <c r="H78" s="459"/>
      <c r="I78" s="459"/>
      <c r="J78" s="459"/>
      <c r="K78" s="459"/>
      <c r="L78" s="459"/>
      <c r="M78" s="459"/>
      <c r="N78" s="460"/>
      <c r="O78" t="str">
        <f>IFERROR(__xludf.DUMMYFUNCTION("regexextract(B78,""[\w]* [\w]*"")"),"Chris Boucher")</f>
        <v>Chris Boucher</v>
      </c>
      <c r="P78" t="str">
        <f t="shared" si="2"/>
        <v>Chris Boucher</v>
      </c>
      <c r="Q78" t="str">
        <f t="shared" si="3"/>
        <v>Chris Boucher</v>
      </c>
      <c r="R78" t="s">
        <v>2631</v>
      </c>
      <c r="S78" s="411" t="s">
        <v>2631</v>
      </c>
      <c r="T78" t="s">
        <v>2631</v>
      </c>
      <c r="U78" t="s">
        <v>73</v>
      </c>
      <c r="V78" t="s">
        <v>34</v>
      </c>
      <c r="W78" t="str">
        <f t="shared" si="1"/>
        <v>PFC</v>
      </c>
    </row>
    <row r="79">
      <c r="A79" s="444">
        <v>75.0</v>
      </c>
      <c r="B79" s="445" t="s">
        <v>2705</v>
      </c>
      <c r="C79" s="446"/>
      <c r="D79" s="446"/>
      <c r="E79" s="458"/>
      <c r="F79" s="458"/>
      <c r="G79" s="458"/>
      <c r="H79" s="458"/>
      <c r="I79" s="458"/>
      <c r="J79" s="458"/>
      <c r="K79" s="458"/>
      <c r="L79" s="458"/>
      <c r="M79" s="458"/>
      <c r="N79" s="458"/>
      <c r="O79" t="str">
        <f>IFERROR(__xludf.DUMMYFUNCTION("regexextract(B79,""[\w]* [\w]*"")"),"Jerami Grant")</f>
        <v>Jerami Grant</v>
      </c>
      <c r="P79" t="str">
        <f t="shared" si="2"/>
        <v>Jerami Grant</v>
      </c>
      <c r="Q79" t="str">
        <f t="shared" si="3"/>
        <v>Jerami Grant</v>
      </c>
      <c r="R79" t="s">
        <v>2631</v>
      </c>
      <c r="S79" s="411" t="s">
        <v>2631</v>
      </c>
      <c r="T79" t="s">
        <v>72</v>
      </c>
      <c r="U79" t="s">
        <v>73</v>
      </c>
      <c r="V79" t="s">
        <v>2631</v>
      </c>
      <c r="W79" t="str">
        <f t="shared" si="1"/>
        <v>SFPF</v>
      </c>
    </row>
    <row r="80">
      <c r="A80" s="447">
        <v>76.0</v>
      </c>
      <c r="B80" s="448" t="s">
        <v>2706</v>
      </c>
      <c r="C80" s="449"/>
      <c r="D80" s="449"/>
      <c r="E80" s="459"/>
      <c r="F80" s="459"/>
      <c r="G80" s="459"/>
      <c r="H80" s="459"/>
      <c r="I80" s="459"/>
      <c r="J80" s="459"/>
      <c r="K80" s="459"/>
      <c r="L80" s="459"/>
      <c r="M80" s="459"/>
      <c r="N80" s="460"/>
      <c r="O80" t="str">
        <f>IFERROR(__xludf.DUMMYFUNCTION("regexextract(B80,""[\w]* [\w]*"")"),"Isaiah StewartDTD")</f>
        <v>Isaiah StewartDTD</v>
      </c>
      <c r="P80" t="str">
        <f t="shared" si="2"/>
        <v>Isaiah Stewart</v>
      </c>
      <c r="Q80" t="str">
        <f t="shared" si="3"/>
        <v>Isaiah Stewart</v>
      </c>
      <c r="R80" t="s">
        <v>2631</v>
      </c>
      <c r="S80" s="411" t="s">
        <v>2631</v>
      </c>
      <c r="T80" t="s">
        <v>2631</v>
      </c>
      <c r="U80" t="s">
        <v>73</v>
      </c>
      <c r="V80" t="s">
        <v>34</v>
      </c>
      <c r="W80" t="str">
        <f t="shared" si="1"/>
        <v>PFC</v>
      </c>
    </row>
    <row r="81">
      <c r="A81" s="444">
        <v>77.0</v>
      </c>
      <c r="B81" s="445" t="s">
        <v>2707</v>
      </c>
      <c r="C81" s="446"/>
      <c r="D81" s="446"/>
      <c r="E81" s="458"/>
      <c r="F81" s="458"/>
      <c r="G81" s="458"/>
      <c r="H81" s="458"/>
      <c r="I81" s="458"/>
      <c r="J81" s="458"/>
      <c r="K81" s="458"/>
      <c r="L81" s="458"/>
      <c r="M81" s="458"/>
      <c r="N81" s="461"/>
      <c r="O81" t="str">
        <f>IFERROR(__xludf.DUMMYFUNCTION("regexextract(B81,""[\w]* [\w]*"")"),"Richaun Holmes")</f>
        <v>Richaun Holmes</v>
      </c>
      <c r="P81" t="str">
        <f t="shared" si="2"/>
        <v>Richaun Holmes</v>
      </c>
      <c r="Q81" t="str">
        <f t="shared" si="3"/>
        <v>Richaun Holmes</v>
      </c>
      <c r="R81" t="s">
        <v>2631</v>
      </c>
      <c r="S81" s="411" t="s">
        <v>2631</v>
      </c>
      <c r="T81" t="s">
        <v>2631</v>
      </c>
      <c r="U81" t="s">
        <v>73</v>
      </c>
      <c r="V81" t="s">
        <v>34</v>
      </c>
      <c r="W81" t="str">
        <f t="shared" si="1"/>
        <v>PFC</v>
      </c>
    </row>
    <row r="82">
      <c r="A82" s="447">
        <v>78.0</v>
      </c>
      <c r="B82" s="448" t="s">
        <v>2708</v>
      </c>
      <c r="C82" s="449"/>
      <c r="D82" s="449"/>
      <c r="E82" s="459"/>
      <c r="F82" s="459"/>
      <c r="G82" s="459"/>
      <c r="H82" s="459"/>
      <c r="I82" s="459"/>
      <c r="J82" s="459"/>
      <c r="K82" s="459"/>
      <c r="L82" s="459"/>
      <c r="M82" s="459"/>
      <c r="N82" s="459"/>
      <c r="O82" t="str">
        <f>IFERROR(__xludf.DUMMYFUNCTION("regexextract(B82,""[\w]* [\w]*"")"),"Darius Garland")</f>
        <v>Darius Garland</v>
      </c>
      <c r="P82" t="str">
        <f t="shared" si="2"/>
        <v>Darius Garland</v>
      </c>
      <c r="Q82" t="str">
        <f t="shared" si="3"/>
        <v>Darius Garland</v>
      </c>
      <c r="R82" t="s">
        <v>44</v>
      </c>
      <c r="S82" s="411" t="s">
        <v>71</v>
      </c>
      <c r="T82" t="s">
        <v>2631</v>
      </c>
      <c r="U82" t="s">
        <v>2631</v>
      </c>
      <c r="V82" t="s">
        <v>34</v>
      </c>
      <c r="W82" t="str">
        <f t="shared" si="1"/>
        <v>PGSGC</v>
      </c>
    </row>
    <row r="83">
      <c r="A83" s="444">
        <v>79.0</v>
      </c>
      <c r="B83" s="445" t="s">
        <v>2709</v>
      </c>
      <c r="C83" s="446"/>
      <c r="D83" s="446"/>
      <c r="E83" s="458"/>
      <c r="F83" s="458"/>
      <c r="G83" s="458"/>
      <c r="H83" s="458"/>
      <c r="I83" s="458"/>
      <c r="J83" s="458"/>
      <c r="K83" s="458"/>
      <c r="L83" s="458"/>
      <c r="M83" s="458"/>
      <c r="N83" s="461"/>
      <c r="O83" t="str">
        <f>IFERROR(__xludf.DUMMYFUNCTION("regexextract(B83,""[\w]* [\w]*"")"),"Myles Turner")</f>
        <v>Myles Turner</v>
      </c>
      <c r="P83" t="str">
        <f t="shared" si="2"/>
        <v>Myles Turner</v>
      </c>
      <c r="Q83" t="str">
        <f t="shared" si="3"/>
        <v>Myles Turner</v>
      </c>
      <c r="R83" t="s">
        <v>2631</v>
      </c>
      <c r="S83" s="411" t="s">
        <v>2631</v>
      </c>
      <c r="T83" t="s">
        <v>2631</v>
      </c>
      <c r="U83" t="s">
        <v>73</v>
      </c>
      <c r="V83" t="s">
        <v>34</v>
      </c>
      <c r="W83" t="str">
        <f t="shared" si="1"/>
        <v>PFC</v>
      </c>
    </row>
    <row r="84">
      <c r="A84" s="447">
        <v>80.0</v>
      </c>
      <c r="B84" s="448" t="s">
        <v>2710</v>
      </c>
      <c r="C84" s="449"/>
      <c r="D84" s="449"/>
      <c r="E84" s="459"/>
      <c r="F84" s="459"/>
      <c r="G84" s="459"/>
      <c r="H84" s="459"/>
      <c r="I84" s="459"/>
      <c r="J84" s="459"/>
      <c r="K84" s="459"/>
      <c r="L84" s="459"/>
      <c r="M84" s="459"/>
      <c r="N84" s="460"/>
      <c r="O84" t="str">
        <f>IFERROR(__xludf.DUMMYFUNCTION("regexextract(B84,""[\w]* [\w]*"")"),"Nickeil Alexander")</f>
        <v>Nickeil Alexander</v>
      </c>
      <c r="P84" t="str">
        <f t="shared" si="2"/>
        <v>Nickeil Alexander</v>
      </c>
      <c r="Q84" t="str">
        <f t="shared" si="3"/>
        <v>Nickeil Alexander</v>
      </c>
      <c r="R84" t="s">
        <v>2631</v>
      </c>
      <c r="S84" s="411" t="s">
        <v>71</v>
      </c>
      <c r="T84" t="s">
        <v>2631</v>
      </c>
      <c r="U84" t="s">
        <v>2631</v>
      </c>
      <c r="V84" t="s">
        <v>34</v>
      </c>
      <c r="W84" t="str">
        <f t="shared" si="1"/>
        <v>SGC</v>
      </c>
    </row>
    <row r="85">
      <c r="A85" s="444">
        <v>81.0</v>
      </c>
      <c r="B85" s="445" t="s">
        <v>2711</v>
      </c>
      <c r="C85" s="446"/>
      <c r="D85" s="446"/>
      <c r="E85" s="458"/>
      <c r="F85" s="458"/>
      <c r="G85" s="458"/>
      <c r="H85" s="458"/>
      <c r="I85" s="458"/>
      <c r="J85" s="458"/>
      <c r="K85" s="458"/>
      <c r="L85" s="458"/>
      <c r="M85" s="458"/>
      <c r="N85" s="462"/>
      <c r="O85" t="str">
        <f>IFERROR(__xludf.DUMMYFUNCTION("regexextract(B85,""[\w]* [\w]*"")"),"Jaren Jackson")</f>
        <v>Jaren Jackson</v>
      </c>
      <c r="P85" t="str">
        <f t="shared" si="2"/>
        <v>Jaren Jackson</v>
      </c>
      <c r="Q85" t="str">
        <f t="shared" si="3"/>
        <v>Jaren Jackson</v>
      </c>
      <c r="R85" t="s">
        <v>2631</v>
      </c>
      <c r="S85" s="411" t="s">
        <v>2631</v>
      </c>
      <c r="T85" t="s">
        <v>2631</v>
      </c>
      <c r="U85" t="s">
        <v>73</v>
      </c>
      <c r="V85" t="s">
        <v>34</v>
      </c>
      <c r="W85" t="str">
        <f t="shared" si="1"/>
        <v>PFC</v>
      </c>
    </row>
    <row r="86">
      <c r="A86" s="447">
        <v>82.0</v>
      </c>
      <c r="B86" s="448" t="s">
        <v>2712</v>
      </c>
      <c r="C86" s="449"/>
      <c r="D86" s="449"/>
      <c r="E86" s="459"/>
      <c r="F86" s="459"/>
      <c r="G86" s="459"/>
      <c r="H86" s="459"/>
      <c r="I86" s="459"/>
      <c r="J86" s="459"/>
      <c r="K86" s="459"/>
      <c r="L86" s="459"/>
      <c r="M86" s="459"/>
      <c r="N86" s="460"/>
      <c r="O86" t="str">
        <f>IFERROR(__xludf.DUMMYFUNCTION("regexextract(B86,""[\w]* [\w]*"")"),"RJ Barrett")</f>
        <v>RJ Barrett</v>
      </c>
      <c r="P86" t="str">
        <f t="shared" si="2"/>
        <v>RJ Barrett</v>
      </c>
      <c r="Q86" t="str">
        <f t="shared" si="3"/>
        <v>RJ Barrett</v>
      </c>
      <c r="R86" t="s">
        <v>2631</v>
      </c>
      <c r="S86" s="411" t="s">
        <v>71</v>
      </c>
      <c r="T86" t="s">
        <v>72</v>
      </c>
      <c r="U86" t="s">
        <v>2631</v>
      </c>
      <c r="V86" t="s">
        <v>2631</v>
      </c>
      <c r="W86" t="str">
        <f t="shared" si="1"/>
        <v>SGSF</v>
      </c>
    </row>
    <row r="87">
      <c r="A87" s="444">
        <v>83.0</v>
      </c>
      <c r="B87" s="445" t="s">
        <v>2713</v>
      </c>
      <c r="C87" s="446"/>
      <c r="D87" s="446"/>
      <c r="E87" s="458"/>
      <c r="F87" s="458"/>
      <c r="G87" s="458"/>
      <c r="H87" s="458"/>
      <c r="I87" s="458"/>
      <c r="J87" s="458"/>
      <c r="K87" s="458"/>
      <c r="L87" s="458"/>
      <c r="M87" s="458"/>
      <c r="N87" s="462"/>
      <c r="O87" t="str">
        <f>IFERROR(__xludf.DUMMYFUNCTION("regexextract(B87,""[\w]* [\w]*"")"),"Mike Conley")</f>
        <v>Mike Conley</v>
      </c>
      <c r="P87" t="str">
        <f t="shared" si="2"/>
        <v>Mike Conley</v>
      </c>
      <c r="Q87" t="str">
        <f t="shared" si="3"/>
        <v>Mike Conley</v>
      </c>
      <c r="R87" t="s">
        <v>44</v>
      </c>
      <c r="S87" s="411" t="s">
        <v>2631</v>
      </c>
      <c r="T87" t="s">
        <v>2631</v>
      </c>
      <c r="U87" t="s">
        <v>2631</v>
      </c>
      <c r="V87" t="s">
        <v>34</v>
      </c>
      <c r="W87" t="str">
        <f t="shared" si="1"/>
        <v>PGC</v>
      </c>
    </row>
    <row r="88">
      <c r="A88" s="447">
        <v>84.0</v>
      </c>
      <c r="B88" s="448" t="s">
        <v>2714</v>
      </c>
      <c r="C88" s="449"/>
      <c r="D88" s="449"/>
      <c r="E88" s="459"/>
      <c r="F88" s="459"/>
      <c r="G88" s="459"/>
      <c r="H88" s="459"/>
      <c r="I88" s="459"/>
      <c r="J88" s="459"/>
      <c r="K88" s="459"/>
      <c r="L88" s="459"/>
      <c r="M88" s="459"/>
      <c r="N88" s="459"/>
      <c r="O88" t="str">
        <f>IFERROR(__xludf.DUMMYFUNCTION("regexextract(B88,""[\w]* [\w]*"")")," Washington")</f>
        <v> Washington</v>
      </c>
      <c r="P88" t="str">
        <f t="shared" si="2"/>
        <v> Washington</v>
      </c>
      <c r="Q88" t="str">
        <f t="shared" si="3"/>
        <v> Washington</v>
      </c>
      <c r="R88" t="s">
        <v>2631</v>
      </c>
      <c r="S88" s="411" t="s">
        <v>2631</v>
      </c>
      <c r="T88" t="s">
        <v>2631</v>
      </c>
      <c r="U88" t="s">
        <v>73</v>
      </c>
      <c r="V88" t="s">
        <v>34</v>
      </c>
      <c r="W88" t="str">
        <f t="shared" si="1"/>
        <v>PFC</v>
      </c>
    </row>
    <row r="89">
      <c r="A89" s="444">
        <v>85.0</v>
      </c>
      <c r="B89" s="445" t="s">
        <v>2715</v>
      </c>
      <c r="C89" s="446"/>
      <c r="D89" s="446"/>
      <c r="E89" s="458"/>
      <c r="F89" s="458"/>
      <c r="G89" s="458"/>
      <c r="H89" s="458"/>
      <c r="I89" s="458"/>
      <c r="J89" s="458"/>
      <c r="K89" s="458"/>
      <c r="L89" s="458"/>
      <c r="M89" s="458"/>
      <c r="N89" s="461"/>
      <c r="O89" t="str">
        <f>IFERROR(__xludf.DUMMYFUNCTION("regexextract(B89,""[\w]* [\w]*"")"),"Jalen Green")</f>
        <v>Jalen Green</v>
      </c>
      <c r="P89" t="str">
        <f t="shared" si="2"/>
        <v>Jalen Green</v>
      </c>
      <c r="Q89" t="str">
        <f t="shared" si="3"/>
        <v>Jalen Green</v>
      </c>
      <c r="R89" t="s">
        <v>2631</v>
      </c>
      <c r="S89" s="411" t="s">
        <v>71</v>
      </c>
      <c r="T89" t="s">
        <v>2631</v>
      </c>
      <c r="U89" t="s">
        <v>2631</v>
      </c>
      <c r="V89" t="s">
        <v>2631</v>
      </c>
      <c r="W89" t="str">
        <f t="shared" si="1"/>
        <v>SG</v>
      </c>
    </row>
    <row r="90">
      <c r="A90" s="447">
        <v>86.0</v>
      </c>
      <c r="B90" s="448" t="s">
        <v>2716</v>
      </c>
      <c r="C90" s="449"/>
      <c r="D90" s="449"/>
      <c r="E90" s="459"/>
      <c r="F90" s="459"/>
      <c r="G90" s="459"/>
      <c r="H90" s="459"/>
      <c r="I90" s="459"/>
      <c r="J90" s="459"/>
      <c r="K90" s="459"/>
      <c r="L90" s="459"/>
      <c r="M90" s="459"/>
      <c r="N90" s="460"/>
      <c r="O90" t="str">
        <f>IFERROR(__xludf.DUMMYFUNCTION("regexextract(B90,""[\w]* [\w]*"")"),"Norman Powell")</f>
        <v>Norman Powell</v>
      </c>
      <c r="P90" t="str">
        <f t="shared" si="2"/>
        <v>Norman Powell</v>
      </c>
      <c r="Q90" t="str">
        <f t="shared" si="3"/>
        <v>Norman Powell</v>
      </c>
      <c r="R90" t="s">
        <v>2631</v>
      </c>
      <c r="S90" s="411" t="s">
        <v>71</v>
      </c>
      <c r="T90" t="s">
        <v>72</v>
      </c>
      <c r="U90" t="s">
        <v>2631</v>
      </c>
      <c r="V90" t="s">
        <v>2631</v>
      </c>
      <c r="W90" t="str">
        <f t="shared" si="1"/>
        <v>SGSF</v>
      </c>
    </row>
    <row r="91">
      <c r="A91" s="444">
        <v>87.0</v>
      </c>
      <c r="B91" s="445" t="s">
        <v>2717</v>
      </c>
      <c r="C91" s="446"/>
      <c r="D91" s="446"/>
      <c r="E91" s="458"/>
      <c r="F91" s="458"/>
      <c r="G91" s="458"/>
      <c r="H91" s="458"/>
      <c r="I91" s="458"/>
      <c r="J91" s="458"/>
      <c r="K91" s="458"/>
      <c r="L91" s="458"/>
      <c r="M91" s="458"/>
      <c r="N91" s="461"/>
      <c r="O91" t="str">
        <f>IFERROR(__xludf.DUMMYFUNCTION("regexextract(B91,""[\w]* [\w]*"")"),"Ivica ZubacDTD")</f>
        <v>Ivica ZubacDTD</v>
      </c>
      <c r="P91" t="str">
        <f t="shared" si="2"/>
        <v>Ivica Zubac</v>
      </c>
      <c r="Q91" t="str">
        <f t="shared" si="3"/>
        <v>Ivica Zubac</v>
      </c>
      <c r="R91" t="s">
        <v>2631</v>
      </c>
      <c r="S91" s="411" t="s">
        <v>2631</v>
      </c>
      <c r="T91" t="s">
        <v>2631</v>
      </c>
      <c r="U91" t="s">
        <v>2631</v>
      </c>
      <c r="V91" t="s">
        <v>34</v>
      </c>
      <c r="W91" t="str">
        <f t="shared" si="1"/>
        <v>C</v>
      </c>
    </row>
    <row r="92">
      <c r="A92" s="447">
        <v>88.0</v>
      </c>
      <c r="B92" s="448" t="s">
        <v>2718</v>
      </c>
      <c r="C92" s="449"/>
      <c r="D92" s="449"/>
      <c r="E92" s="459"/>
      <c r="F92" s="459"/>
      <c r="G92" s="459"/>
      <c r="H92" s="459"/>
      <c r="I92" s="459"/>
      <c r="J92" s="459"/>
      <c r="K92" s="459"/>
      <c r="L92" s="459"/>
      <c r="M92" s="459"/>
      <c r="N92" s="460"/>
      <c r="O92" t="str">
        <f>IFERROR(__xludf.DUMMYFUNCTION("regexextract(B92,""[\w]* [\w]*"")")," Graham")</f>
        <v> Graham</v>
      </c>
      <c r="P92" t="str">
        <f t="shared" si="2"/>
        <v> Graham</v>
      </c>
      <c r="Q92" t="str">
        <f t="shared" si="3"/>
        <v> Graham</v>
      </c>
      <c r="R92" t="s">
        <v>44</v>
      </c>
      <c r="S92" s="411" t="s">
        <v>71</v>
      </c>
      <c r="T92" t="s">
        <v>2631</v>
      </c>
      <c r="U92" t="s">
        <v>2631</v>
      </c>
      <c r="V92" t="s">
        <v>2631</v>
      </c>
      <c r="W92" t="str">
        <f t="shared" si="1"/>
        <v>PGSG</v>
      </c>
    </row>
    <row r="93">
      <c r="A93" s="444">
        <v>89.0</v>
      </c>
      <c r="B93" s="445" t="s">
        <v>2719</v>
      </c>
      <c r="C93" s="446"/>
      <c r="D93" s="446"/>
      <c r="E93" s="458"/>
      <c r="F93" s="458"/>
      <c r="G93" s="458"/>
      <c r="H93" s="458"/>
      <c r="I93" s="458"/>
      <c r="J93" s="458"/>
      <c r="K93" s="458"/>
      <c r="L93" s="458"/>
      <c r="M93" s="458"/>
      <c r="N93" s="461"/>
      <c r="O93" t="str">
        <f>IFERROR(__xludf.DUMMYFUNCTION("regexextract(B93,""[\w]* [\w]*"")"),"Eric Bledsoe")</f>
        <v>Eric Bledsoe</v>
      </c>
      <c r="P93" t="str">
        <f t="shared" si="2"/>
        <v>Eric Bledsoe</v>
      </c>
      <c r="Q93" t="str">
        <f t="shared" si="3"/>
        <v>Eric Bledsoe</v>
      </c>
      <c r="R93" t="s">
        <v>44</v>
      </c>
      <c r="S93" s="411" t="s">
        <v>71</v>
      </c>
      <c r="T93" t="s">
        <v>2631</v>
      </c>
      <c r="U93" t="s">
        <v>2631</v>
      </c>
      <c r="V93" t="s">
        <v>34</v>
      </c>
      <c r="W93" t="str">
        <f t="shared" si="1"/>
        <v>PGSGC</v>
      </c>
    </row>
    <row r="94">
      <c r="A94" s="447">
        <v>90.0</v>
      </c>
      <c r="B94" s="448" t="s">
        <v>2720</v>
      </c>
      <c r="C94" s="449"/>
      <c r="D94" s="449"/>
      <c r="E94" s="459"/>
      <c r="F94" s="459"/>
      <c r="G94" s="459"/>
      <c r="H94" s="459"/>
      <c r="I94" s="459"/>
      <c r="J94" s="459"/>
      <c r="K94" s="459"/>
      <c r="L94" s="459"/>
      <c r="M94" s="459"/>
      <c r="N94" s="460"/>
      <c r="O94" t="str">
        <f>IFERROR(__xludf.DUMMYFUNCTION("regexextract(B94,""[\w]* [\w]*"")"),"Mikal Bridges")</f>
        <v>Mikal Bridges</v>
      </c>
      <c r="P94" t="str">
        <f t="shared" si="2"/>
        <v>Mikal Bridges</v>
      </c>
      <c r="Q94" t="str">
        <f t="shared" si="3"/>
        <v>Mikal Bridges</v>
      </c>
      <c r="R94" t="s">
        <v>2631</v>
      </c>
      <c r="S94" s="411" t="s">
        <v>2631</v>
      </c>
      <c r="T94" t="s">
        <v>72</v>
      </c>
      <c r="U94" t="s">
        <v>2631</v>
      </c>
      <c r="V94" t="s">
        <v>2631</v>
      </c>
      <c r="W94" t="str">
        <f t="shared" si="1"/>
        <v>SF</v>
      </c>
    </row>
    <row r="95">
      <c r="A95" s="444">
        <v>91.0</v>
      </c>
      <c r="B95" s="445" t="s">
        <v>2721</v>
      </c>
      <c r="C95" s="446"/>
      <c r="D95" s="446"/>
      <c r="E95" s="458"/>
      <c r="F95" s="458"/>
      <c r="G95" s="458"/>
      <c r="H95" s="458"/>
      <c r="I95" s="458"/>
      <c r="J95" s="458"/>
      <c r="K95" s="458"/>
      <c r="L95" s="458"/>
      <c r="M95" s="458"/>
      <c r="N95" s="458"/>
      <c r="O95" t="str">
        <f>IFERROR(__xludf.DUMMYFUNCTION("regexextract(B95,""[\w]* [\w]*"")"),"Wendell Carter")</f>
        <v>Wendell Carter</v>
      </c>
      <c r="P95" t="str">
        <f t="shared" si="2"/>
        <v>Wendell Carter</v>
      </c>
      <c r="Q95" t="str">
        <f t="shared" si="3"/>
        <v>Wendell Carter</v>
      </c>
      <c r="R95" t="s">
        <v>2631</v>
      </c>
      <c r="S95" s="411" t="s">
        <v>2631</v>
      </c>
      <c r="T95" t="s">
        <v>2631</v>
      </c>
      <c r="U95" t="s">
        <v>2631</v>
      </c>
      <c r="V95" t="s">
        <v>34</v>
      </c>
      <c r="W95" t="str">
        <f t="shared" si="1"/>
        <v>C</v>
      </c>
    </row>
    <row r="96">
      <c r="A96" s="447">
        <v>92.0</v>
      </c>
      <c r="B96" s="448" t="s">
        <v>2722</v>
      </c>
      <c r="C96" s="449"/>
      <c r="D96" s="449"/>
      <c r="E96" s="459"/>
      <c r="F96" s="459"/>
      <c r="G96" s="459"/>
      <c r="H96" s="459"/>
      <c r="I96" s="459"/>
      <c r="J96" s="459"/>
      <c r="K96" s="459"/>
      <c r="L96" s="459"/>
      <c r="M96" s="459"/>
      <c r="N96" s="460"/>
      <c r="O96" t="str">
        <f>IFERROR(__xludf.DUMMYFUNCTION("regexextract(B96,""[\w]* [\w]*"")"),"Robert Covington")</f>
        <v>Robert Covington</v>
      </c>
      <c r="P96" t="str">
        <f t="shared" si="2"/>
        <v>Robert Covington</v>
      </c>
      <c r="Q96" t="str">
        <f t="shared" si="3"/>
        <v>Robert Covington</v>
      </c>
      <c r="R96" t="s">
        <v>2631</v>
      </c>
      <c r="S96" s="411" t="s">
        <v>2631</v>
      </c>
      <c r="T96" t="s">
        <v>72</v>
      </c>
      <c r="U96" t="s">
        <v>73</v>
      </c>
      <c r="V96" t="s">
        <v>34</v>
      </c>
      <c r="W96" t="str">
        <f t="shared" si="1"/>
        <v>SFPFC</v>
      </c>
    </row>
    <row r="97">
      <c r="A97" s="444">
        <v>93.0</v>
      </c>
      <c r="B97" s="445" t="s">
        <v>2723</v>
      </c>
      <c r="C97" s="446"/>
      <c r="D97" s="446"/>
      <c r="E97" s="458"/>
      <c r="F97" s="458"/>
      <c r="G97" s="458"/>
      <c r="H97" s="458"/>
      <c r="I97" s="458"/>
      <c r="J97" s="458"/>
      <c r="K97" s="458"/>
      <c r="L97" s="458"/>
      <c r="M97" s="458"/>
      <c r="N97" s="458"/>
      <c r="O97" t="str">
        <f>IFERROR(__xludf.DUMMYFUNCTION("regexextract(B97,""[\w]* [\w]*"")"),"Thaddeus Young")</f>
        <v>Thaddeus Young</v>
      </c>
      <c r="P97" t="str">
        <f t="shared" si="2"/>
        <v>Thaddeus Young</v>
      </c>
      <c r="Q97" t="str">
        <f t="shared" si="3"/>
        <v>Thaddeus Young</v>
      </c>
      <c r="R97" t="s">
        <v>2631</v>
      </c>
      <c r="S97" s="411" t="s">
        <v>2631</v>
      </c>
      <c r="T97" t="s">
        <v>72</v>
      </c>
      <c r="U97" t="s">
        <v>73</v>
      </c>
      <c r="V97" t="s">
        <v>34</v>
      </c>
      <c r="W97" t="str">
        <f t="shared" si="1"/>
        <v>SFPFC</v>
      </c>
    </row>
    <row r="98">
      <c r="A98" s="447">
        <v>94.0</v>
      </c>
      <c r="B98" s="448" t="s">
        <v>2724</v>
      </c>
      <c r="C98" s="449"/>
      <c r="D98" s="449"/>
      <c r="E98" s="459"/>
      <c r="F98" s="459"/>
      <c r="G98" s="459"/>
      <c r="H98" s="459"/>
      <c r="I98" s="459"/>
      <c r="J98" s="459"/>
      <c r="K98" s="459"/>
      <c r="L98" s="459"/>
      <c r="M98" s="459"/>
      <c r="N98" s="460"/>
      <c r="O98" t="str">
        <f>IFERROR(__xludf.DUMMYFUNCTION("regexextract(B98,""[\w]* [\w]*"")"),"Marcus Smart")</f>
        <v>Marcus Smart</v>
      </c>
      <c r="P98" t="str">
        <f t="shared" si="2"/>
        <v>Marcus Smart</v>
      </c>
      <c r="Q98" t="str">
        <f t="shared" si="3"/>
        <v>Marcus Smart</v>
      </c>
      <c r="R98" t="s">
        <v>44</v>
      </c>
      <c r="S98" s="411" t="s">
        <v>71</v>
      </c>
      <c r="T98" t="s">
        <v>2631</v>
      </c>
      <c r="U98" t="s">
        <v>2631</v>
      </c>
      <c r="V98" t="s">
        <v>34</v>
      </c>
      <c r="W98" t="str">
        <f t="shared" si="1"/>
        <v>PGSGC</v>
      </c>
    </row>
    <row r="99">
      <c r="A99" s="444">
        <v>95.0</v>
      </c>
      <c r="B99" s="445" t="s">
        <v>2725</v>
      </c>
      <c r="C99" s="446"/>
      <c r="D99" s="446"/>
      <c r="E99" s="458"/>
      <c r="F99" s="458"/>
      <c r="G99" s="458"/>
      <c r="H99" s="458"/>
      <c r="I99" s="458"/>
      <c r="J99" s="458"/>
      <c r="K99" s="458"/>
      <c r="L99" s="458"/>
      <c r="M99" s="458"/>
      <c r="N99" s="461"/>
      <c r="O99" t="str">
        <f>IFERROR(__xludf.DUMMYFUNCTION("regexextract(B99,""[\w]* [\w]*"")"),"Dennis Schroder")</f>
        <v>Dennis Schroder</v>
      </c>
      <c r="P99" t="str">
        <f t="shared" si="2"/>
        <v>Dennis Schroder</v>
      </c>
      <c r="Q99" t="str">
        <f t="shared" si="3"/>
        <v>Dennis Schroder</v>
      </c>
      <c r="R99" t="s">
        <v>44</v>
      </c>
      <c r="S99" s="411" t="s">
        <v>2631</v>
      </c>
      <c r="T99" t="s">
        <v>2631</v>
      </c>
      <c r="U99" t="s">
        <v>2631</v>
      </c>
      <c r="V99" t="s">
        <v>34</v>
      </c>
      <c r="W99" t="str">
        <f t="shared" si="1"/>
        <v>PGC</v>
      </c>
    </row>
    <row r="100">
      <c r="A100" s="447">
        <v>96.0</v>
      </c>
      <c r="B100" s="448" t="s">
        <v>2726</v>
      </c>
      <c r="C100" s="449"/>
      <c r="D100" s="449"/>
      <c r="E100" s="459"/>
      <c r="F100" s="459"/>
      <c r="G100" s="459"/>
      <c r="H100" s="459"/>
      <c r="I100" s="459"/>
      <c r="J100" s="459"/>
      <c r="K100" s="459"/>
      <c r="L100" s="459"/>
      <c r="M100" s="459"/>
      <c r="N100" s="460"/>
      <c r="O100" t="str">
        <f>IFERROR(__xludf.DUMMYFUNCTION("regexextract(B100,""[\w]* [\w]*"")"),"Bogdan Bogdanovic")</f>
        <v>Bogdan Bogdanovic</v>
      </c>
      <c r="P100" t="str">
        <f t="shared" si="2"/>
        <v>Bogdan Bogdanovic</v>
      </c>
      <c r="Q100" t="str">
        <f t="shared" si="3"/>
        <v>Bogdan Bogdanovic</v>
      </c>
      <c r="R100" t="s">
        <v>2631</v>
      </c>
      <c r="S100" s="411" t="s">
        <v>71</v>
      </c>
      <c r="T100" t="s">
        <v>72</v>
      </c>
      <c r="U100" t="s">
        <v>2631</v>
      </c>
      <c r="V100" t="s">
        <v>34</v>
      </c>
      <c r="W100" t="str">
        <f t="shared" si="1"/>
        <v>SGSFC</v>
      </c>
    </row>
    <row r="101">
      <c r="A101" s="444">
        <v>97.0</v>
      </c>
      <c r="B101" s="445" t="s">
        <v>2727</v>
      </c>
      <c r="C101" s="446"/>
      <c r="D101" s="446"/>
      <c r="E101" s="458"/>
      <c r="F101" s="458"/>
      <c r="G101" s="458"/>
      <c r="H101" s="458"/>
      <c r="I101" s="458"/>
      <c r="J101" s="458"/>
      <c r="K101" s="458"/>
      <c r="L101" s="458"/>
      <c r="M101" s="458"/>
      <c r="N101" s="458"/>
      <c r="O101" t="str">
        <f>IFERROR(__xludf.DUMMYFUNCTION("regexextract(B101,""[\w]* [\w]*"")"),"Harrison Barnes")</f>
        <v>Harrison Barnes</v>
      </c>
      <c r="P101" t="str">
        <f t="shared" si="2"/>
        <v>Harrison Barnes</v>
      </c>
      <c r="Q101" t="str">
        <f t="shared" si="3"/>
        <v>Harrison Barnes</v>
      </c>
      <c r="R101" t="s">
        <v>2631</v>
      </c>
      <c r="S101" s="411" t="s">
        <v>2631</v>
      </c>
      <c r="T101" t="s">
        <v>72</v>
      </c>
      <c r="U101" t="s">
        <v>73</v>
      </c>
      <c r="V101" t="s">
        <v>34</v>
      </c>
      <c r="W101" t="str">
        <f t="shared" si="1"/>
        <v>SFPFC</v>
      </c>
    </row>
    <row r="102">
      <c r="A102" s="447">
        <v>98.0</v>
      </c>
      <c r="B102" s="448" t="s">
        <v>2728</v>
      </c>
      <c r="C102" s="449"/>
      <c r="D102" s="449"/>
      <c r="E102" s="459"/>
      <c r="F102" s="459"/>
      <c r="G102" s="459"/>
      <c r="H102" s="459"/>
      <c r="I102" s="459"/>
      <c r="J102" s="459"/>
      <c r="K102" s="459"/>
      <c r="L102" s="459"/>
      <c r="M102" s="459"/>
      <c r="N102" s="460"/>
      <c r="O102" t="str">
        <f>IFERROR(__xludf.DUMMYFUNCTION("regexextract(B102,""[\w]* [\w]*"")"),"Reggie Jackson")</f>
        <v>Reggie Jackson</v>
      </c>
      <c r="P102" t="str">
        <f t="shared" si="2"/>
        <v>Reggie Jackson</v>
      </c>
      <c r="Q102" t="str">
        <f t="shared" si="3"/>
        <v>Reggie Jackson</v>
      </c>
      <c r="R102" t="s">
        <v>44</v>
      </c>
      <c r="S102" s="411" t="s">
        <v>2631</v>
      </c>
      <c r="T102" t="s">
        <v>2631</v>
      </c>
      <c r="U102" t="s">
        <v>2631</v>
      </c>
      <c r="V102" t="s">
        <v>34</v>
      </c>
      <c r="W102" t="str">
        <f t="shared" si="1"/>
        <v>PGC</v>
      </c>
    </row>
    <row r="103">
      <c r="A103" s="444">
        <v>99.0</v>
      </c>
      <c r="B103" s="445" t="s">
        <v>2729</v>
      </c>
      <c r="C103" s="446"/>
      <c r="D103" s="446"/>
      <c r="E103" s="458"/>
      <c r="F103" s="458"/>
      <c r="G103" s="458"/>
      <c r="H103" s="458"/>
      <c r="I103" s="458"/>
      <c r="J103" s="458"/>
      <c r="K103" s="458"/>
      <c r="L103" s="458"/>
      <c r="M103" s="458"/>
      <c r="N103" s="461"/>
      <c r="O103" t="str">
        <f>IFERROR(__xludf.DUMMYFUNCTION("regexextract(B103,""[\w]* [\w]*"")"),"Keldon Johnson")</f>
        <v>Keldon Johnson</v>
      </c>
      <c r="P103" t="str">
        <f t="shared" si="2"/>
        <v>Keldon Johnson</v>
      </c>
      <c r="Q103" t="str">
        <f t="shared" si="3"/>
        <v>Keldon Johnson</v>
      </c>
      <c r="R103" t="s">
        <v>2631</v>
      </c>
      <c r="S103" s="411" t="s">
        <v>2631</v>
      </c>
      <c r="T103" t="s">
        <v>72</v>
      </c>
      <c r="U103" t="s">
        <v>73</v>
      </c>
      <c r="V103" t="s">
        <v>2631</v>
      </c>
      <c r="W103" t="str">
        <f t="shared" si="1"/>
        <v>SFPF</v>
      </c>
    </row>
    <row r="104">
      <c r="A104" s="447">
        <v>100.0</v>
      </c>
      <c r="B104" s="448" t="s">
        <v>2730</v>
      </c>
      <c r="C104" s="449"/>
      <c r="D104" s="449"/>
      <c r="E104" s="459"/>
      <c r="F104" s="459"/>
      <c r="G104" s="459"/>
      <c r="H104" s="459"/>
      <c r="I104" s="459"/>
      <c r="J104" s="459"/>
      <c r="K104" s="459"/>
      <c r="L104" s="459"/>
      <c r="M104" s="459"/>
      <c r="N104" s="460"/>
      <c r="O104" t="str">
        <f>IFERROR(__xludf.DUMMYFUNCTION("regexextract(B104,""[\w]* [\w]*"")"),"Tim Hardaway")</f>
        <v>Tim Hardaway</v>
      </c>
      <c r="P104" t="str">
        <f t="shared" si="2"/>
        <v>Tim Hardaway</v>
      </c>
      <c r="Q104" t="str">
        <f t="shared" si="3"/>
        <v>Tim Hardaway</v>
      </c>
      <c r="R104" t="s">
        <v>2631</v>
      </c>
      <c r="S104" s="411" t="s">
        <v>71</v>
      </c>
      <c r="T104" t="s">
        <v>72</v>
      </c>
      <c r="U104" t="s">
        <v>2631</v>
      </c>
      <c r="V104" t="s">
        <v>2631</v>
      </c>
      <c r="W104" t="str">
        <f t="shared" si="1"/>
        <v>SGSF</v>
      </c>
    </row>
    <row r="105">
      <c r="A105" s="436" t="s">
        <v>2625</v>
      </c>
      <c r="C105" s="436" t="s">
        <v>2626</v>
      </c>
      <c r="E105" s="454"/>
      <c r="F105" s="454"/>
      <c r="G105" s="454"/>
      <c r="H105" s="454"/>
      <c r="I105" s="454"/>
      <c r="J105" s="454"/>
      <c r="K105" s="454"/>
      <c r="L105" s="454"/>
      <c r="M105" s="454" t="s">
        <v>2731</v>
      </c>
      <c r="N105" s="454"/>
      <c r="O105" t="str">
        <f>IFERROR(__xludf.DUMMYFUNCTION("regexextract(B105,""[\w]* [\w]*"")"),"#N/A")</f>
        <v>#N/A</v>
      </c>
      <c r="P105" t="str">
        <f t="shared" si="2"/>
        <v>#N/A</v>
      </c>
      <c r="Q105" t="str">
        <f t="shared" si="3"/>
        <v>#N/A</v>
      </c>
      <c r="R105" t="s">
        <v>2631</v>
      </c>
      <c r="S105" s="411" t="s">
        <v>2631</v>
      </c>
      <c r="T105" t="s">
        <v>2631</v>
      </c>
      <c r="U105" t="s">
        <v>2631</v>
      </c>
      <c r="V105" t="s">
        <v>2631</v>
      </c>
      <c r="W105" t="str">
        <f t="shared" si="1"/>
        <v/>
      </c>
    </row>
    <row r="106">
      <c r="A106" s="439" t="s">
        <v>2627</v>
      </c>
      <c r="B106" s="440" t="s">
        <v>3</v>
      </c>
      <c r="C106" s="439" t="s">
        <v>2628</v>
      </c>
      <c r="D106" s="441" t="s">
        <v>2629</v>
      </c>
      <c r="E106" s="455" t="s">
        <v>464</v>
      </c>
      <c r="F106" s="456">
        <v>0.625</v>
      </c>
      <c r="G106" s="455" t="s">
        <v>53</v>
      </c>
      <c r="H106" s="455" t="s">
        <v>14</v>
      </c>
      <c r="I106" s="455" t="s">
        <v>15</v>
      </c>
      <c r="J106" s="455" t="s">
        <v>16</v>
      </c>
      <c r="K106" s="455" t="s">
        <v>17</v>
      </c>
      <c r="L106" s="455" t="s">
        <v>11</v>
      </c>
      <c r="M106" s="455" t="s">
        <v>2732</v>
      </c>
      <c r="N106" s="457" t="str">
        <f>+/-</f>
        <v>#ERROR!</v>
      </c>
      <c r="O106" t="str">
        <f>IFERROR(__xludf.DUMMYFUNCTION("regexextract(B106,""[\w]* [\w]*"")"),"#N/A")</f>
        <v>#N/A</v>
      </c>
      <c r="P106" t="str">
        <f t="shared" si="2"/>
        <v>#N/A</v>
      </c>
      <c r="Q106" t="str">
        <f t="shared" si="3"/>
        <v>#N/A</v>
      </c>
      <c r="R106" t="s">
        <v>2631</v>
      </c>
      <c r="S106" s="411" t="s">
        <v>2631</v>
      </c>
      <c r="T106" t="s">
        <v>2631</v>
      </c>
      <c r="U106" t="s">
        <v>2631</v>
      </c>
      <c r="V106" t="s">
        <v>2631</v>
      </c>
      <c r="W106" t="str">
        <f t="shared" si="1"/>
        <v/>
      </c>
    </row>
    <row r="107">
      <c r="A107" s="444">
        <v>101.0</v>
      </c>
      <c r="B107" s="445" t="s">
        <v>2733</v>
      </c>
      <c r="C107" s="446"/>
      <c r="D107" s="446"/>
      <c r="E107" s="458">
        <v>2.9</v>
      </c>
      <c r="F107" s="458">
        <v>3.1</v>
      </c>
      <c r="G107" s="458">
        <v>4.4</v>
      </c>
      <c r="H107" s="458">
        <v>4.2</v>
      </c>
      <c r="I107" s="458">
        <v>1.2</v>
      </c>
      <c r="J107" s="458">
        <v>0.4</v>
      </c>
      <c r="K107" s="458">
        <v>1.9</v>
      </c>
      <c r="L107" s="458">
        <v>19.7</v>
      </c>
      <c r="M107" s="458">
        <v>92.9</v>
      </c>
      <c r="N107" s="458">
        <v>0.0</v>
      </c>
      <c r="O107" t="str">
        <f>IFERROR(__xludf.DUMMYFUNCTION("regexextract(B107,""[\w]* [\w]*"")"),"Scottie Barnes")</f>
        <v>Scottie Barnes</v>
      </c>
      <c r="P107" t="str">
        <f t="shared" si="2"/>
        <v>Scottie Barnes</v>
      </c>
      <c r="Q107" t="str">
        <f t="shared" si="3"/>
        <v>Scottie Barnes</v>
      </c>
      <c r="R107" t="s">
        <v>2631</v>
      </c>
      <c r="S107" s="411" t="s">
        <v>2631</v>
      </c>
      <c r="T107" t="s">
        <v>72</v>
      </c>
      <c r="U107" t="s">
        <v>73</v>
      </c>
      <c r="V107" t="s">
        <v>34</v>
      </c>
      <c r="W107" t="str">
        <f t="shared" si="1"/>
        <v>SFPFC</v>
      </c>
    </row>
    <row r="108">
      <c r="A108" s="447">
        <v>102.0</v>
      </c>
      <c r="B108" s="448" t="s">
        <v>2734</v>
      </c>
      <c r="C108" s="449"/>
      <c r="D108" s="449"/>
      <c r="E108" s="459">
        <v>4.7</v>
      </c>
      <c r="F108" s="459">
        <v>0.2</v>
      </c>
      <c r="G108" s="459">
        <v>11.3</v>
      </c>
      <c r="H108" s="459">
        <v>3.8</v>
      </c>
      <c r="I108" s="459">
        <v>1.2</v>
      </c>
      <c r="J108" s="459">
        <v>1.5</v>
      </c>
      <c r="K108" s="459">
        <v>2.5</v>
      </c>
      <c r="L108" s="459">
        <v>15.8</v>
      </c>
      <c r="M108" s="459">
        <v>81.4</v>
      </c>
      <c r="N108" s="460">
        <f>+3.9</f>
        <v>3.9</v>
      </c>
      <c r="O108" t="str">
        <f>IFERROR(__xludf.DUMMYFUNCTION("regexextract(B108,""[\w]* [\w]*"")"),"Donte DiVincenzoO")</f>
        <v>Donte DiVincenzoO</v>
      </c>
      <c r="P108" t="str">
        <f t="shared" si="2"/>
        <v>Donte DiVincenzoO</v>
      </c>
      <c r="Q108" t="str">
        <f t="shared" si="3"/>
        <v>Donte DiVincenzo</v>
      </c>
      <c r="R108" t="s">
        <v>44</v>
      </c>
      <c r="S108" s="411" t="s">
        <v>71</v>
      </c>
      <c r="T108" t="s">
        <v>2631</v>
      </c>
      <c r="U108" t="s">
        <v>2631</v>
      </c>
      <c r="V108" t="s">
        <v>34</v>
      </c>
      <c r="W108" t="str">
        <f t="shared" si="1"/>
        <v>PGSGC</v>
      </c>
    </row>
    <row r="109">
      <c r="A109" s="444">
        <v>103.0</v>
      </c>
      <c r="B109" s="445" t="s">
        <v>2735</v>
      </c>
      <c r="C109" s="446"/>
      <c r="D109" s="446"/>
      <c r="E109" s="458">
        <v>5.9</v>
      </c>
      <c r="F109" s="458">
        <v>1.9</v>
      </c>
      <c r="G109" s="458">
        <v>7.4</v>
      </c>
      <c r="H109" s="458">
        <v>4.1</v>
      </c>
      <c r="I109" s="458">
        <v>1.1</v>
      </c>
      <c r="J109" s="458">
        <v>0.8</v>
      </c>
      <c r="K109" s="458">
        <v>2.4</v>
      </c>
      <c r="L109" s="458">
        <v>24.4</v>
      </c>
      <c r="M109" s="458">
        <v>90.1</v>
      </c>
      <c r="N109" s="462">
        <v>-0.5</v>
      </c>
      <c r="O109" t="str">
        <f>IFERROR(__xludf.DUMMYFUNCTION("regexextract(B109,""[\w]* [\w]*"")"),"Saddiq Bey")</f>
        <v>Saddiq Bey</v>
      </c>
      <c r="P109" t="str">
        <f t="shared" si="2"/>
        <v>Saddiq Bey</v>
      </c>
      <c r="Q109" t="str">
        <f t="shared" si="3"/>
        <v>Saddiq Bey</v>
      </c>
      <c r="R109" t="s">
        <v>2631</v>
      </c>
      <c r="S109" s="411" t="s">
        <v>2631</v>
      </c>
      <c r="T109" t="s">
        <v>72</v>
      </c>
      <c r="U109" t="s">
        <v>2631</v>
      </c>
      <c r="V109" t="s">
        <v>2631</v>
      </c>
      <c r="W109" t="str">
        <f t="shared" si="1"/>
        <v>SF</v>
      </c>
    </row>
    <row r="110">
      <c r="A110" s="447">
        <v>104.0</v>
      </c>
      <c r="B110" s="448" t="s">
        <v>2736</v>
      </c>
      <c r="C110" s="449"/>
      <c r="D110" s="449"/>
      <c r="E110" s="459">
        <v>1.4</v>
      </c>
      <c r="F110" s="459">
        <v>0.7</v>
      </c>
      <c r="G110" s="459">
        <v>7.3</v>
      </c>
      <c r="H110" s="459">
        <v>8.8</v>
      </c>
      <c r="I110" s="459">
        <v>1.6</v>
      </c>
      <c r="J110" s="459">
        <v>1.0</v>
      </c>
      <c r="K110" s="459">
        <v>2.8</v>
      </c>
      <c r="L110" s="459">
        <v>7.5</v>
      </c>
      <c r="M110" s="459">
        <v>94.4</v>
      </c>
      <c r="N110" s="463">
        <v>-0.6</v>
      </c>
      <c r="O110" t="str">
        <f>IFERROR(__xludf.DUMMYFUNCTION("regexextract(B110,""[\w]* [\w]*"")"),"Joe Ingles")</f>
        <v>Joe Ingles</v>
      </c>
      <c r="P110" t="str">
        <f t="shared" si="2"/>
        <v>Joe Ingles</v>
      </c>
      <c r="Q110" t="str">
        <f t="shared" si="3"/>
        <v>Joe Ingles</v>
      </c>
      <c r="R110" t="s">
        <v>2631</v>
      </c>
      <c r="S110" s="411" t="s">
        <v>71</v>
      </c>
      <c r="T110" t="s">
        <v>72</v>
      </c>
      <c r="U110" t="s">
        <v>73</v>
      </c>
      <c r="V110" t="s">
        <v>2631</v>
      </c>
      <c r="W110" t="str">
        <f t="shared" si="1"/>
        <v>SGSFPF</v>
      </c>
    </row>
    <row r="111">
      <c r="A111" s="444">
        <v>105.0</v>
      </c>
      <c r="B111" s="445" t="s">
        <v>2737</v>
      </c>
      <c r="C111" s="446"/>
      <c r="D111" s="446"/>
      <c r="E111" s="458">
        <v>2.9</v>
      </c>
      <c r="F111" s="458">
        <v>0.0</v>
      </c>
      <c r="G111" s="458">
        <v>9.0</v>
      </c>
      <c r="H111" s="458">
        <v>2.3</v>
      </c>
      <c r="I111" s="458">
        <v>0.8</v>
      </c>
      <c r="J111" s="458">
        <v>2.0</v>
      </c>
      <c r="K111" s="458">
        <v>1.3</v>
      </c>
      <c r="L111" s="458">
        <v>12.4</v>
      </c>
      <c r="M111" s="458">
        <v>71.7</v>
      </c>
      <c r="N111" s="461">
        <f>+5.2</f>
        <v>5.2</v>
      </c>
      <c r="O111" t="str">
        <f>IFERROR(__xludf.DUMMYFUNCTION("regexextract(B111,""[\w]* [\w]*"")"),"Miles Bridges")</f>
        <v>Miles Bridges</v>
      </c>
      <c r="P111" t="str">
        <f t="shared" si="2"/>
        <v>Miles Bridges</v>
      </c>
      <c r="Q111" t="str">
        <f t="shared" si="3"/>
        <v>Miles Bridges</v>
      </c>
      <c r="R111" t="s">
        <v>2631</v>
      </c>
      <c r="S111" s="411" t="s">
        <v>2631</v>
      </c>
      <c r="T111" t="s">
        <v>72</v>
      </c>
      <c r="U111" t="s">
        <v>73</v>
      </c>
      <c r="V111" t="s">
        <v>34</v>
      </c>
      <c r="W111" t="str">
        <f t="shared" si="1"/>
        <v>SFPFC</v>
      </c>
    </row>
    <row r="112">
      <c r="A112" s="447">
        <v>106.0</v>
      </c>
      <c r="B112" s="448" t="s">
        <v>2738</v>
      </c>
      <c r="C112" s="449"/>
      <c r="D112" s="449"/>
      <c r="E112" s="459">
        <v>4.0</v>
      </c>
      <c r="F112" s="459">
        <v>2.6</v>
      </c>
      <c r="G112" s="459">
        <v>4.9</v>
      </c>
      <c r="H112" s="459">
        <v>3.1</v>
      </c>
      <c r="I112" s="459">
        <v>1.2</v>
      </c>
      <c r="J112" s="459">
        <v>0.5</v>
      </c>
      <c r="K112" s="459">
        <v>2.4</v>
      </c>
      <c r="L112" s="459">
        <v>21.2</v>
      </c>
      <c r="M112" s="459">
        <v>91.9</v>
      </c>
      <c r="N112" s="460">
        <f>+0.9</f>
        <v>0.9</v>
      </c>
      <c r="O112" t="str">
        <f>IFERROR(__xludf.DUMMYFUNCTION("regexextract(B112,""[\w]* [\w]*"")"),"Brook Lopez")</f>
        <v>Brook Lopez</v>
      </c>
      <c r="P112" t="str">
        <f t="shared" si="2"/>
        <v>Brook Lopez</v>
      </c>
      <c r="Q112" t="str">
        <f t="shared" si="3"/>
        <v>Brook Lopez</v>
      </c>
      <c r="R112" t="s">
        <v>2631</v>
      </c>
      <c r="S112" s="411" t="s">
        <v>2631</v>
      </c>
      <c r="T112" t="s">
        <v>2631</v>
      </c>
      <c r="U112" t="s">
        <v>2631</v>
      </c>
      <c r="V112" t="s">
        <v>34</v>
      </c>
      <c r="W112" t="str">
        <f t="shared" si="1"/>
        <v>C</v>
      </c>
    </row>
    <row r="113">
      <c r="A113" s="444">
        <v>107.0</v>
      </c>
      <c r="B113" s="445" t="s">
        <v>2739</v>
      </c>
      <c r="C113" s="446"/>
      <c r="D113" s="446"/>
      <c r="E113" s="458">
        <v>1.8</v>
      </c>
      <c r="F113" s="458">
        <v>0.0</v>
      </c>
      <c r="G113" s="458">
        <v>8.9</v>
      </c>
      <c r="H113" s="458">
        <v>2.3</v>
      </c>
      <c r="I113" s="458">
        <v>1.1</v>
      </c>
      <c r="J113" s="458">
        <v>2.3</v>
      </c>
      <c r="K113" s="458">
        <v>1.3</v>
      </c>
      <c r="L113" s="458">
        <v>10.3</v>
      </c>
      <c r="M113" s="458">
        <v>67.4</v>
      </c>
      <c r="N113" s="461">
        <f>+8.2</f>
        <v>8.2</v>
      </c>
      <c r="O113" t="str">
        <f>IFERROR(__xludf.DUMMYFUNCTION("regexextract(B113,""[\w]* [\w]*"")"),"Daniel Theis")</f>
        <v>Daniel Theis</v>
      </c>
      <c r="P113" t="str">
        <f t="shared" si="2"/>
        <v>Daniel Theis</v>
      </c>
      <c r="Q113" t="str">
        <f t="shared" si="3"/>
        <v>Daniel Theis</v>
      </c>
      <c r="R113" t="s">
        <v>2631</v>
      </c>
      <c r="S113" s="411" t="s">
        <v>2631</v>
      </c>
      <c r="T113" t="s">
        <v>2631</v>
      </c>
      <c r="U113" t="s">
        <v>73</v>
      </c>
      <c r="V113" t="s">
        <v>34</v>
      </c>
      <c r="W113" t="str">
        <f t="shared" si="1"/>
        <v>PFC</v>
      </c>
    </row>
    <row r="114">
      <c r="A114" s="447">
        <v>108.0</v>
      </c>
      <c r="B114" s="448" t="s">
        <v>2740</v>
      </c>
      <c r="C114" s="449"/>
      <c r="D114" s="449"/>
      <c r="E114" s="459">
        <v>1.0</v>
      </c>
      <c r="F114" s="459">
        <v>2.4</v>
      </c>
      <c r="G114" s="459">
        <v>3.2</v>
      </c>
      <c r="H114" s="459">
        <v>5.6</v>
      </c>
      <c r="I114" s="459">
        <v>1.4</v>
      </c>
      <c r="J114" s="459">
        <v>0.5</v>
      </c>
      <c r="K114" s="459">
        <v>1.7</v>
      </c>
      <c r="L114" s="459">
        <v>14.1</v>
      </c>
      <c r="M114" s="459">
        <v>80.1</v>
      </c>
      <c r="N114" s="460">
        <f>+2.5</f>
        <v>2.5</v>
      </c>
      <c r="O114" t="str">
        <f>IFERROR(__xludf.DUMMYFUNCTION("regexextract(B114,""[\w]* [\w]*"")"),"Mitchell RobinsonO")</f>
        <v>Mitchell RobinsonO</v>
      </c>
      <c r="P114" t="str">
        <f t="shared" si="2"/>
        <v>Mitchell RobinsonO</v>
      </c>
      <c r="Q114" t="str">
        <f t="shared" si="3"/>
        <v>Mitchell Robinson</v>
      </c>
      <c r="R114" t="s">
        <v>2631</v>
      </c>
      <c r="S114" s="411" t="s">
        <v>2631</v>
      </c>
      <c r="T114" t="s">
        <v>2631</v>
      </c>
      <c r="U114" t="s">
        <v>2631</v>
      </c>
      <c r="V114" t="s">
        <v>34</v>
      </c>
      <c r="W114" t="str">
        <f t="shared" si="1"/>
        <v>C</v>
      </c>
    </row>
    <row r="115">
      <c r="A115" s="444">
        <v>109.0</v>
      </c>
      <c r="B115" s="445" t="s">
        <v>2741</v>
      </c>
      <c r="C115" s="446"/>
      <c r="D115" s="446"/>
      <c r="E115" s="458">
        <v>3.8</v>
      </c>
      <c r="F115" s="458">
        <v>2.6</v>
      </c>
      <c r="G115" s="458">
        <v>4.8</v>
      </c>
      <c r="H115" s="458">
        <v>7.2</v>
      </c>
      <c r="I115" s="458">
        <v>1.1</v>
      </c>
      <c r="J115" s="458">
        <v>0.3</v>
      </c>
      <c r="K115" s="458">
        <v>2.6</v>
      </c>
      <c r="L115" s="458">
        <v>16.3</v>
      </c>
      <c r="M115" s="458">
        <v>88.2</v>
      </c>
      <c r="N115" s="461">
        <f>+0.9</f>
        <v>0.9</v>
      </c>
      <c r="O115" t="str">
        <f>IFERROR(__xludf.DUMMYFUNCTION("regexextract(B115,""[\w]* [\w]*"")"),"Jordan Clarkson")</f>
        <v>Jordan Clarkson</v>
      </c>
      <c r="P115" t="str">
        <f t="shared" si="2"/>
        <v>Jordan Clarkson</v>
      </c>
      <c r="Q115" t="str">
        <f t="shared" si="3"/>
        <v>Jordan Clarkson</v>
      </c>
      <c r="R115" t="s">
        <v>2631</v>
      </c>
      <c r="S115" s="411" t="s">
        <v>71</v>
      </c>
      <c r="T115" t="s">
        <v>2631</v>
      </c>
      <c r="U115" t="s">
        <v>2631</v>
      </c>
      <c r="V115" t="s">
        <v>34</v>
      </c>
      <c r="W115" t="str">
        <f t="shared" si="1"/>
        <v>SGC</v>
      </c>
    </row>
    <row r="116">
      <c r="A116" s="447">
        <v>110.0</v>
      </c>
      <c r="B116" s="448" t="s">
        <v>2742</v>
      </c>
      <c r="C116" s="449"/>
      <c r="D116" s="449"/>
      <c r="E116" s="459">
        <v>4.1</v>
      </c>
      <c r="F116" s="459">
        <v>1.3</v>
      </c>
      <c r="G116" s="459">
        <v>4.8</v>
      </c>
      <c r="H116" s="459">
        <v>5.1</v>
      </c>
      <c r="I116" s="459">
        <v>1.6</v>
      </c>
      <c r="J116" s="459">
        <v>0.8</v>
      </c>
      <c r="K116" s="459">
        <v>2.4</v>
      </c>
      <c r="L116" s="459">
        <v>15.7</v>
      </c>
      <c r="M116" s="459">
        <v>78.6</v>
      </c>
      <c r="N116" s="460">
        <f>+2.5</f>
        <v>2.5</v>
      </c>
      <c r="O116" t="str">
        <f>IFERROR(__xludf.DUMMYFUNCTION("regexextract(B116,""[\w]* [\w]*"")"),"Killian Hayes")</f>
        <v>Killian Hayes</v>
      </c>
      <c r="P116" t="str">
        <f t="shared" si="2"/>
        <v>Killian Hayes</v>
      </c>
      <c r="Q116" t="str">
        <f t="shared" si="3"/>
        <v>Killian Hayes</v>
      </c>
      <c r="R116" t="s">
        <v>44</v>
      </c>
      <c r="S116" s="411" t="s">
        <v>2631</v>
      </c>
      <c r="T116" t="s">
        <v>2631</v>
      </c>
      <c r="U116" t="s">
        <v>2631</v>
      </c>
      <c r="V116" t="s">
        <v>2631</v>
      </c>
      <c r="W116" t="str">
        <f t="shared" si="1"/>
        <v>PG</v>
      </c>
    </row>
    <row r="117">
      <c r="A117" s="444">
        <v>111.0</v>
      </c>
      <c r="B117" s="445" t="s">
        <v>2743</v>
      </c>
      <c r="C117" s="446"/>
      <c r="D117" s="446"/>
      <c r="E117" s="458">
        <v>4.3</v>
      </c>
      <c r="F117" s="458">
        <v>2.3</v>
      </c>
      <c r="G117" s="458">
        <v>3.9</v>
      </c>
      <c r="H117" s="458">
        <v>4.7</v>
      </c>
      <c r="I117" s="458">
        <v>0.9</v>
      </c>
      <c r="J117" s="458">
        <v>1.1</v>
      </c>
      <c r="K117" s="458">
        <v>1.6</v>
      </c>
      <c r="L117" s="458">
        <v>18.5</v>
      </c>
      <c r="M117" s="458">
        <v>75.5</v>
      </c>
      <c r="N117" s="461">
        <f>+3.3</f>
        <v>3.3</v>
      </c>
      <c r="O117" t="str">
        <f>IFERROR(__xludf.DUMMYFUNCTION("regexextract(B117,""[\w]* [\w]*"")"),"Marvin Bagley")</f>
        <v>Marvin Bagley</v>
      </c>
      <c r="P117" t="str">
        <f t="shared" si="2"/>
        <v>Marvin Bagley</v>
      </c>
      <c r="Q117" t="str">
        <f t="shared" si="3"/>
        <v>Marvin Bagley</v>
      </c>
      <c r="R117" t="s">
        <v>2631</v>
      </c>
      <c r="S117" s="411" t="s">
        <v>2631</v>
      </c>
      <c r="T117" t="s">
        <v>2631</v>
      </c>
      <c r="U117" t="s">
        <v>73</v>
      </c>
      <c r="V117" t="s">
        <v>34</v>
      </c>
      <c r="W117" t="str">
        <f t="shared" si="1"/>
        <v>PFC</v>
      </c>
    </row>
    <row r="118">
      <c r="A118" s="447">
        <v>112.0</v>
      </c>
      <c r="B118" s="448" t="s">
        <v>2744</v>
      </c>
      <c r="C118" s="449"/>
      <c r="D118" s="449"/>
      <c r="E118" s="459">
        <v>3.3</v>
      </c>
      <c r="F118" s="459">
        <v>1.5</v>
      </c>
      <c r="G118" s="459">
        <v>5.6</v>
      </c>
      <c r="H118" s="459">
        <v>4.4</v>
      </c>
      <c r="I118" s="459">
        <v>1.3</v>
      </c>
      <c r="J118" s="459">
        <v>0.9</v>
      </c>
      <c r="K118" s="459">
        <v>1.9</v>
      </c>
      <c r="L118" s="459">
        <v>15.0</v>
      </c>
      <c r="M118" s="459">
        <v>89.7</v>
      </c>
      <c r="N118" s="460">
        <f>+0.6</f>
        <v>0.6</v>
      </c>
      <c r="O118" t="str">
        <f>IFERROR(__xludf.DUMMYFUNCTION("regexextract(B118,""[\w]* [\w]*"")"),"Gordon Hayward")</f>
        <v>Gordon Hayward</v>
      </c>
      <c r="P118" t="str">
        <f t="shared" si="2"/>
        <v>Gordon Hayward</v>
      </c>
      <c r="Q118" t="str">
        <f t="shared" si="3"/>
        <v>Gordon Hayward</v>
      </c>
      <c r="R118" t="s">
        <v>2631</v>
      </c>
      <c r="S118" s="411" t="s">
        <v>2631</v>
      </c>
      <c r="T118" t="s">
        <v>72</v>
      </c>
      <c r="U118" t="s">
        <v>2631</v>
      </c>
      <c r="V118" t="s">
        <v>34</v>
      </c>
      <c r="W118" t="str">
        <f t="shared" si="1"/>
        <v>SFC</v>
      </c>
    </row>
    <row r="119">
      <c r="A119" s="444">
        <v>113.0</v>
      </c>
      <c r="B119" s="445" t="s">
        <v>2745</v>
      </c>
      <c r="C119" s="446"/>
      <c r="D119" s="446"/>
      <c r="E119" s="458">
        <v>1.8</v>
      </c>
      <c r="F119" s="458">
        <v>3.9</v>
      </c>
      <c r="G119" s="458">
        <v>4.9</v>
      </c>
      <c r="H119" s="458">
        <v>3.3</v>
      </c>
      <c r="I119" s="458">
        <v>0.9</v>
      </c>
      <c r="J119" s="458">
        <v>0.4</v>
      </c>
      <c r="K119" s="458">
        <v>2.0</v>
      </c>
      <c r="L119" s="458">
        <v>18.5</v>
      </c>
      <c r="M119" s="458">
        <v>85.6</v>
      </c>
      <c r="N119" s="461">
        <f>+1.4</f>
        <v>1.4</v>
      </c>
      <c r="O119" t="str">
        <f>IFERROR(__xludf.DUMMYFUNCTION("regexextract(B119,""[\w]* [\w]*"")"),"Evan Fournier")</f>
        <v>Evan Fournier</v>
      </c>
      <c r="P119" t="str">
        <f t="shared" si="2"/>
        <v>Evan Fournier</v>
      </c>
      <c r="Q119" t="str">
        <f t="shared" si="3"/>
        <v>Evan Fournier</v>
      </c>
      <c r="R119" t="s">
        <v>2631</v>
      </c>
      <c r="S119" s="411" t="s">
        <v>71</v>
      </c>
      <c r="T119" t="s">
        <v>72</v>
      </c>
      <c r="U119" t="s">
        <v>2631</v>
      </c>
      <c r="V119" t="s">
        <v>2631</v>
      </c>
      <c r="W119" t="str">
        <f t="shared" si="1"/>
        <v>SGSF</v>
      </c>
    </row>
    <row r="120">
      <c r="A120" s="447">
        <v>114.0</v>
      </c>
      <c r="B120" s="448" t="s">
        <v>2746</v>
      </c>
      <c r="C120" s="449"/>
      <c r="D120" s="449"/>
      <c r="E120" s="459">
        <v>4.8</v>
      </c>
      <c r="F120" s="459">
        <v>0.1</v>
      </c>
      <c r="G120" s="459">
        <v>10.6</v>
      </c>
      <c r="H120" s="459">
        <v>1.7</v>
      </c>
      <c r="I120" s="459">
        <v>0.6</v>
      </c>
      <c r="J120" s="459">
        <v>1.5</v>
      </c>
      <c r="K120" s="459">
        <v>1.6</v>
      </c>
      <c r="L120" s="459">
        <v>13.4</v>
      </c>
      <c r="M120" s="459">
        <v>82.5</v>
      </c>
      <c r="N120" s="460">
        <f>+2.2</f>
        <v>2.2</v>
      </c>
      <c r="O120" t="str">
        <f>IFERROR(__xludf.DUMMYFUNCTION("regexextract(B120,""[\w]* [\w]*"")"),"Brandon Clarke")</f>
        <v>Brandon Clarke</v>
      </c>
      <c r="P120" t="str">
        <f t="shared" si="2"/>
        <v>Brandon Clarke</v>
      </c>
      <c r="Q120" t="str">
        <f t="shared" si="3"/>
        <v>Brandon Clarke</v>
      </c>
      <c r="R120" t="s">
        <v>2631</v>
      </c>
      <c r="S120" s="411" t="s">
        <v>2631</v>
      </c>
      <c r="T120" t="s">
        <v>2631</v>
      </c>
      <c r="U120" t="s">
        <v>73</v>
      </c>
      <c r="V120" t="s">
        <v>34</v>
      </c>
      <c r="W120" t="str">
        <f t="shared" si="1"/>
        <v>PFC</v>
      </c>
    </row>
    <row r="121">
      <c r="A121" s="444">
        <v>115.0</v>
      </c>
      <c r="B121" s="445" t="s">
        <v>2747</v>
      </c>
      <c r="C121" s="446"/>
      <c r="D121" s="446"/>
      <c r="E121" s="458">
        <v>3.1</v>
      </c>
      <c r="F121" s="458">
        <v>2.1</v>
      </c>
      <c r="G121" s="458">
        <v>5.0</v>
      </c>
      <c r="H121" s="458">
        <v>5.8</v>
      </c>
      <c r="I121" s="458">
        <v>0.8</v>
      </c>
      <c r="J121" s="458">
        <v>0.2</v>
      </c>
      <c r="K121" s="458">
        <v>2.1</v>
      </c>
      <c r="L121" s="458">
        <v>19.1</v>
      </c>
      <c r="M121" s="458">
        <v>89.3</v>
      </c>
      <c r="N121" s="462">
        <v>-0.5</v>
      </c>
      <c r="O121" t="str">
        <f>IFERROR(__xludf.DUMMYFUNCTION("regexextract(B121,""[\w]* [\w]*"")"),"Jonas Valanciunas")</f>
        <v>Jonas Valanciunas</v>
      </c>
      <c r="P121" t="str">
        <f t="shared" si="2"/>
        <v>Jonas Valanciunas</v>
      </c>
      <c r="Q121" t="str">
        <f t="shared" si="3"/>
        <v>Jonas Valanciunas</v>
      </c>
      <c r="R121" t="s">
        <v>2631</v>
      </c>
      <c r="S121" s="411" t="s">
        <v>2631</v>
      </c>
      <c r="T121" t="s">
        <v>2631</v>
      </c>
      <c r="U121" t="s">
        <v>2631</v>
      </c>
      <c r="V121" t="s">
        <v>34</v>
      </c>
      <c r="W121" t="str">
        <f t="shared" si="1"/>
        <v>C</v>
      </c>
    </row>
    <row r="122">
      <c r="A122" s="447">
        <v>116.0</v>
      </c>
      <c r="B122" s="448" t="s">
        <v>2748</v>
      </c>
      <c r="C122" s="449"/>
      <c r="D122" s="449"/>
      <c r="E122" s="459">
        <v>7.1</v>
      </c>
      <c r="F122" s="459">
        <v>2.1</v>
      </c>
      <c r="G122" s="459">
        <v>3.7</v>
      </c>
      <c r="H122" s="459">
        <v>6.7</v>
      </c>
      <c r="I122" s="459">
        <v>0.7</v>
      </c>
      <c r="J122" s="459">
        <v>0.4</v>
      </c>
      <c r="K122" s="459">
        <v>2.9</v>
      </c>
      <c r="L122" s="459">
        <v>21.4</v>
      </c>
      <c r="M122" s="459">
        <v>86.9</v>
      </c>
      <c r="N122" s="463">
        <v>-0.1</v>
      </c>
      <c r="O122" t="str">
        <f>IFERROR(__xludf.DUMMYFUNCTION("regexextract(B122,""[\w]* [\w]*"")"),"Hassan Whiteside")</f>
        <v>Hassan Whiteside</v>
      </c>
      <c r="P122" t="str">
        <f t="shared" si="2"/>
        <v>Hassan Whiteside</v>
      </c>
      <c r="Q122" t="str">
        <f t="shared" si="3"/>
        <v>Hassan Whiteside</v>
      </c>
      <c r="R122" t="s">
        <v>2631</v>
      </c>
      <c r="S122" s="411" t="s">
        <v>2631</v>
      </c>
      <c r="T122" t="s">
        <v>2631</v>
      </c>
      <c r="U122" t="s">
        <v>2631</v>
      </c>
      <c r="V122" t="s">
        <v>34</v>
      </c>
      <c r="W122" t="str">
        <f t="shared" si="1"/>
        <v>C</v>
      </c>
    </row>
    <row r="123">
      <c r="A123" s="444">
        <v>117.0</v>
      </c>
      <c r="B123" s="445" t="s">
        <v>2749</v>
      </c>
      <c r="C123" s="446"/>
      <c r="D123" s="446"/>
      <c r="E123" s="458">
        <v>2.4</v>
      </c>
      <c r="F123" s="458">
        <v>1.1</v>
      </c>
      <c r="G123" s="458">
        <v>7.4</v>
      </c>
      <c r="H123" s="458">
        <v>1.5</v>
      </c>
      <c r="I123" s="458">
        <v>1.6</v>
      </c>
      <c r="J123" s="458">
        <v>2.5</v>
      </c>
      <c r="K123" s="458">
        <v>1.6</v>
      </c>
      <c r="L123" s="458">
        <v>13.3</v>
      </c>
      <c r="M123" s="458">
        <v>71.0</v>
      </c>
      <c r="N123" s="461">
        <f>+4.1</f>
        <v>4.1</v>
      </c>
      <c r="O123" t="str">
        <f>IFERROR(__xludf.DUMMYFUNCTION("regexextract(B123,""[\w]* [\w]*"")"),"Joe Harris")</f>
        <v>Joe Harris</v>
      </c>
      <c r="P123" t="str">
        <f t="shared" si="2"/>
        <v>Joe Harris</v>
      </c>
      <c r="Q123" t="str">
        <f t="shared" si="3"/>
        <v>Joe Harris</v>
      </c>
      <c r="R123" t="s">
        <v>2631</v>
      </c>
      <c r="S123" s="411" t="s">
        <v>71</v>
      </c>
      <c r="T123" t="s">
        <v>72</v>
      </c>
      <c r="U123" t="s">
        <v>2631</v>
      </c>
      <c r="V123" t="s">
        <v>2631</v>
      </c>
      <c r="W123" t="str">
        <f t="shared" si="1"/>
        <v>SGSF</v>
      </c>
    </row>
    <row r="124">
      <c r="A124" s="447">
        <v>118.0</v>
      </c>
      <c r="B124" s="448" t="s">
        <v>2750</v>
      </c>
      <c r="C124" s="449"/>
      <c r="D124" s="449"/>
      <c r="E124" s="459">
        <v>3.0</v>
      </c>
      <c r="F124" s="459">
        <v>3.4</v>
      </c>
      <c r="G124" s="459">
        <v>3.5</v>
      </c>
      <c r="H124" s="459">
        <v>7.2</v>
      </c>
      <c r="I124" s="459">
        <v>1.1</v>
      </c>
      <c r="J124" s="459">
        <v>0.3</v>
      </c>
      <c r="K124" s="459">
        <v>3.0</v>
      </c>
      <c r="L124" s="459">
        <v>18.5</v>
      </c>
      <c r="M124" s="459">
        <v>85.8</v>
      </c>
      <c r="N124" s="460">
        <f>+1.1</f>
        <v>1.1</v>
      </c>
      <c r="O124" t="str">
        <f>IFERROR(__xludf.DUMMYFUNCTION("regexextract(B124,""[\w]* [\w]*"")"),"Malik Beasley")</f>
        <v>Malik Beasley</v>
      </c>
      <c r="P124" t="str">
        <f t="shared" si="2"/>
        <v>Malik Beasley</v>
      </c>
      <c r="Q124" t="str">
        <f t="shared" si="3"/>
        <v>Malik Beasley</v>
      </c>
      <c r="R124" t="s">
        <v>2631</v>
      </c>
      <c r="S124" s="411" t="s">
        <v>71</v>
      </c>
      <c r="T124" t="s">
        <v>72</v>
      </c>
      <c r="U124" t="s">
        <v>2631</v>
      </c>
      <c r="V124" t="s">
        <v>2631</v>
      </c>
      <c r="W124" t="str">
        <f t="shared" si="1"/>
        <v>SGSF</v>
      </c>
    </row>
    <row r="125">
      <c r="A125" s="444">
        <v>119.0</v>
      </c>
      <c r="B125" s="445" t="s">
        <v>2751</v>
      </c>
      <c r="C125" s="446"/>
      <c r="D125" s="446"/>
      <c r="E125" s="458">
        <v>4.1</v>
      </c>
      <c r="F125" s="458">
        <v>3.0</v>
      </c>
      <c r="G125" s="458">
        <v>3.9</v>
      </c>
      <c r="H125" s="458">
        <v>5.0</v>
      </c>
      <c r="I125" s="458">
        <v>1.1</v>
      </c>
      <c r="J125" s="458">
        <v>0.4</v>
      </c>
      <c r="K125" s="458">
        <v>2.1</v>
      </c>
      <c r="L125" s="458">
        <v>20.5</v>
      </c>
      <c r="M125" s="458">
        <v>93.4</v>
      </c>
      <c r="N125" s="462">
        <v>-1.7</v>
      </c>
      <c r="O125" t="str">
        <f>IFERROR(__xludf.DUMMYFUNCTION("regexextract(B125,""[\w]* [\w]*"")"),"Kyle Kuzma")</f>
        <v>Kyle Kuzma</v>
      </c>
      <c r="P125" t="str">
        <f t="shared" si="2"/>
        <v>Kyle Kuzma</v>
      </c>
      <c r="Q125" t="str">
        <f t="shared" si="3"/>
        <v>Kyle Kuzma</v>
      </c>
      <c r="R125" t="s">
        <v>2631</v>
      </c>
      <c r="S125" s="411" t="s">
        <v>2631</v>
      </c>
      <c r="T125" t="s">
        <v>72</v>
      </c>
      <c r="U125" t="s">
        <v>73</v>
      </c>
      <c r="V125" t="s">
        <v>2631</v>
      </c>
      <c r="W125" t="str">
        <f t="shared" si="1"/>
        <v>SFPF</v>
      </c>
    </row>
    <row r="126">
      <c r="A126" s="447">
        <v>120.0</v>
      </c>
      <c r="B126" s="448" t="s">
        <v>2752</v>
      </c>
      <c r="C126" s="449"/>
      <c r="D126" s="449"/>
      <c r="E126" s="459">
        <v>3.6</v>
      </c>
      <c r="F126" s="459">
        <v>2.0</v>
      </c>
      <c r="G126" s="459">
        <v>4.9</v>
      </c>
      <c r="H126" s="459">
        <v>2.5</v>
      </c>
      <c r="I126" s="459">
        <v>0.9</v>
      </c>
      <c r="J126" s="459">
        <v>1.0</v>
      </c>
      <c r="K126" s="459">
        <v>1.9</v>
      </c>
      <c r="L126" s="459">
        <v>19.0</v>
      </c>
      <c r="M126" s="459">
        <v>86.0</v>
      </c>
      <c r="N126" s="460">
        <f>+0.5</f>
        <v>0.5</v>
      </c>
      <c r="O126" t="str">
        <f>IFERROR(__xludf.DUMMYFUNCTION("regexextract(B126,""[\w]* [\w]*"")")," McConnell")</f>
        <v> McConnell</v>
      </c>
      <c r="P126" t="str">
        <f t="shared" si="2"/>
        <v> McConnell</v>
      </c>
      <c r="Q126" t="str">
        <f t="shared" si="3"/>
        <v> McConnell</v>
      </c>
      <c r="R126" t="s">
        <v>44</v>
      </c>
      <c r="S126" s="411" t="s">
        <v>2631</v>
      </c>
      <c r="T126" t="s">
        <v>2631</v>
      </c>
      <c r="U126" t="s">
        <v>2631</v>
      </c>
      <c r="V126" t="s">
        <v>34</v>
      </c>
      <c r="W126" t="str">
        <f t="shared" si="1"/>
        <v>PGC</v>
      </c>
    </row>
    <row r="127">
      <c r="A127" s="444">
        <v>121.0</v>
      </c>
      <c r="B127" s="445" t="s">
        <v>2753</v>
      </c>
      <c r="C127" s="446"/>
      <c r="D127" s="446"/>
      <c r="E127" s="458">
        <v>2.9</v>
      </c>
      <c r="F127" s="458">
        <v>2.6</v>
      </c>
      <c r="G127" s="458">
        <v>5.5</v>
      </c>
      <c r="H127" s="458">
        <v>2.1</v>
      </c>
      <c r="I127" s="458">
        <v>1.5</v>
      </c>
      <c r="J127" s="458">
        <v>0.7</v>
      </c>
      <c r="K127" s="458">
        <v>1.7</v>
      </c>
      <c r="L127" s="458">
        <v>17.4</v>
      </c>
      <c r="M127" s="458">
        <v>88.2</v>
      </c>
      <c r="N127" s="462">
        <v>-0.7</v>
      </c>
      <c r="O127" t="str">
        <f>IFERROR(__xludf.DUMMYFUNCTION("regexextract(B127,""[\w]* [\w]*"")"),"Lauri Markkanen")</f>
        <v>Lauri Markkanen</v>
      </c>
      <c r="P127" t="str">
        <f t="shared" si="2"/>
        <v>Lauri Markkanen</v>
      </c>
      <c r="Q127" t="str">
        <f t="shared" si="3"/>
        <v>Lauri Markkanen</v>
      </c>
      <c r="R127" t="s">
        <v>2631</v>
      </c>
      <c r="S127" s="411" t="s">
        <v>2631</v>
      </c>
      <c r="T127" t="s">
        <v>2631</v>
      </c>
      <c r="U127" t="s">
        <v>73</v>
      </c>
      <c r="V127" t="s">
        <v>34</v>
      </c>
      <c r="W127" t="str">
        <f t="shared" si="1"/>
        <v>PFC</v>
      </c>
    </row>
    <row r="128">
      <c r="A128" s="447">
        <v>122.0</v>
      </c>
      <c r="B128" s="448" t="s">
        <v>2754</v>
      </c>
      <c r="C128" s="449"/>
      <c r="D128" s="449"/>
      <c r="E128" s="459">
        <v>3.3</v>
      </c>
      <c r="F128" s="459">
        <v>1.3</v>
      </c>
      <c r="G128" s="459">
        <v>7.9</v>
      </c>
      <c r="H128" s="459">
        <v>1.3</v>
      </c>
      <c r="I128" s="459">
        <v>0.6</v>
      </c>
      <c r="J128" s="459">
        <v>1.1</v>
      </c>
      <c r="K128" s="459">
        <v>1.4</v>
      </c>
      <c r="L128" s="459">
        <v>18.3</v>
      </c>
      <c r="M128" s="459">
        <v>84.3</v>
      </c>
      <c r="N128" s="460">
        <f>+2</f>
        <v>2</v>
      </c>
      <c r="O128" t="str">
        <f>IFERROR(__xludf.DUMMYFUNCTION("regexextract(B128,""[\w]* [\w]*"")"),"Thomas BryantO")</f>
        <v>Thomas BryantO</v>
      </c>
      <c r="P128" t="str">
        <f t="shared" si="2"/>
        <v>Thomas BryantO</v>
      </c>
      <c r="Q128" t="str">
        <f t="shared" si="3"/>
        <v>Thomas Bryant</v>
      </c>
      <c r="R128" t="s">
        <v>2631</v>
      </c>
      <c r="S128" s="411" t="s">
        <v>2631</v>
      </c>
      <c r="T128" t="s">
        <v>2631</v>
      </c>
      <c r="U128" t="s">
        <v>2631</v>
      </c>
      <c r="V128" t="s">
        <v>34</v>
      </c>
      <c r="W128" t="str">
        <f t="shared" si="1"/>
        <v>C</v>
      </c>
    </row>
    <row r="129">
      <c r="A129" s="444">
        <v>123.0</v>
      </c>
      <c r="B129" s="445" t="s">
        <v>2755</v>
      </c>
      <c r="C129" s="446"/>
      <c r="D129" s="446"/>
      <c r="E129" s="458">
        <v>3.5</v>
      </c>
      <c r="F129" s="458">
        <v>2.3</v>
      </c>
      <c r="G129" s="458">
        <v>9.0</v>
      </c>
      <c r="H129" s="458">
        <v>1.6</v>
      </c>
      <c r="I129" s="458">
        <v>0.5</v>
      </c>
      <c r="J129" s="458">
        <v>1.5</v>
      </c>
      <c r="K129" s="458">
        <v>1.3</v>
      </c>
      <c r="L129" s="458">
        <v>20.0</v>
      </c>
      <c r="M129" s="458">
        <v>90.0</v>
      </c>
      <c r="N129" s="461">
        <f>+0.5</f>
        <v>0.5</v>
      </c>
      <c r="O129" t="str">
        <f>IFERROR(__xludf.DUMMYFUNCTION("regexextract(B129,""[\w]* [\w]*"")")," WarrenO")</f>
        <v> WarrenO</v>
      </c>
      <c r="P129" t="str">
        <f t="shared" si="2"/>
        <v> WarrenO</v>
      </c>
      <c r="Q129" t="str">
        <f t="shared" si="3"/>
        <v> Warren</v>
      </c>
      <c r="R129" t="s">
        <v>2631</v>
      </c>
      <c r="S129" s="411" t="s">
        <v>2631</v>
      </c>
      <c r="T129" t="s">
        <v>72</v>
      </c>
      <c r="U129" t="s">
        <v>2631</v>
      </c>
      <c r="V129" t="s">
        <v>2631</v>
      </c>
      <c r="W129" t="str">
        <f t="shared" si="1"/>
        <v>SF</v>
      </c>
    </row>
    <row r="130">
      <c r="A130" s="447">
        <v>124.0</v>
      </c>
      <c r="B130" s="448" t="s">
        <v>2756</v>
      </c>
      <c r="C130" s="449"/>
      <c r="D130" s="449"/>
      <c r="E130" s="459">
        <v>3.4</v>
      </c>
      <c r="F130" s="459">
        <v>1.6</v>
      </c>
      <c r="G130" s="459">
        <v>7.2</v>
      </c>
      <c r="H130" s="459">
        <v>1.1</v>
      </c>
      <c r="I130" s="459">
        <v>0.6</v>
      </c>
      <c r="J130" s="459">
        <v>2.0</v>
      </c>
      <c r="K130" s="459">
        <v>0.8</v>
      </c>
      <c r="L130" s="459">
        <v>14.5</v>
      </c>
      <c r="M130" s="459">
        <v>81.2</v>
      </c>
      <c r="N130" s="460">
        <f>+0.9</f>
        <v>0.9</v>
      </c>
      <c r="O130" t="str">
        <f>IFERROR(__xludf.DUMMYFUNCTION("regexextract(B130,""[\w]* [\w]*"")"),"Bojan BogdanovicDTD")</f>
        <v>Bojan BogdanovicDTD</v>
      </c>
      <c r="P130" t="str">
        <f t="shared" si="2"/>
        <v>Bojan Bogdanovic</v>
      </c>
      <c r="Q130" t="str">
        <f t="shared" si="3"/>
        <v>Bojan Bogdanovic</v>
      </c>
      <c r="R130" t="s">
        <v>2631</v>
      </c>
      <c r="S130" s="411" t="s">
        <v>2631</v>
      </c>
      <c r="T130" t="s">
        <v>72</v>
      </c>
      <c r="U130" t="s">
        <v>73</v>
      </c>
      <c r="V130" t="s">
        <v>34</v>
      </c>
      <c r="W130" t="str">
        <f t="shared" si="1"/>
        <v>SFPFC</v>
      </c>
    </row>
    <row r="131">
      <c r="A131" s="444">
        <v>125.0</v>
      </c>
      <c r="B131" s="445" t="s">
        <v>2757</v>
      </c>
      <c r="C131" s="446"/>
      <c r="D131" s="446"/>
      <c r="E131" s="458">
        <v>5.9</v>
      </c>
      <c r="F131" s="458">
        <v>2.0</v>
      </c>
      <c r="G131" s="458">
        <v>4.6</v>
      </c>
      <c r="H131" s="458">
        <v>2.6</v>
      </c>
      <c r="I131" s="458">
        <v>0.7</v>
      </c>
      <c r="J131" s="458">
        <v>1.1</v>
      </c>
      <c r="K131" s="458">
        <v>1.9</v>
      </c>
      <c r="L131" s="458">
        <v>21.2</v>
      </c>
      <c r="M131" s="458">
        <v>83.6</v>
      </c>
      <c r="N131" s="461">
        <f>+1.7</f>
        <v>1.7</v>
      </c>
      <c r="O131" t="str">
        <f>IFERROR(__xludf.DUMMYFUNCTION("regexextract(B131,""[\w]* [\w]*"")"),"Steven Adams")</f>
        <v>Steven Adams</v>
      </c>
      <c r="P131" t="str">
        <f t="shared" si="2"/>
        <v>Steven Adams</v>
      </c>
      <c r="Q131" t="str">
        <f t="shared" si="3"/>
        <v>Steven Adams</v>
      </c>
      <c r="R131" t="s">
        <v>2631</v>
      </c>
      <c r="S131" s="411" t="s">
        <v>2631</v>
      </c>
      <c r="T131" t="s">
        <v>2631</v>
      </c>
      <c r="U131" t="s">
        <v>2631</v>
      </c>
      <c r="V131" t="s">
        <v>34</v>
      </c>
      <c r="W131" t="str">
        <f t="shared" si="1"/>
        <v>C</v>
      </c>
    </row>
    <row r="132">
      <c r="A132" s="447">
        <v>126.0</v>
      </c>
      <c r="B132" s="448" t="s">
        <v>2758</v>
      </c>
      <c r="C132" s="449"/>
      <c r="D132" s="449"/>
      <c r="E132" s="459">
        <v>2.3</v>
      </c>
      <c r="F132" s="459">
        <v>0.5</v>
      </c>
      <c r="G132" s="459">
        <v>8.8</v>
      </c>
      <c r="H132" s="459">
        <v>1.1</v>
      </c>
      <c r="I132" s="459">
        <v>0.8</v>
      </c>
      <c r="J132" s="459">
        <v>1.8</v>
      </c>
      <c r="K132" s="459">
        <v>1.3</v>
      </c>
      <c r="L132" s="459">
        <v>11.6</v>
      </c>
      <c r="M132" s="459">
        <v>47.5</v>
      </c>
      <c r="N132" s="460">
        <f>+11.5</f>
        <v>11.5</v>
      </c>
      <c r="O132" t="str">
        <f>IFERROR(__xludf.DUMMYFUNCTION("regexextract(B132,""[\w]* [\w]*"")"),"Bobby Portis")</f>
        <v>Bobby Portis</v>
      </c>
      <c r="P132" t="str">
        <f t="shared" si="2"/>
        <v>Bobby Portis</v>
      </c>
      <c r="Q132" t="str">
        <f t="shared" si="3"/>
        <v>Bobby Portis</v>
      </c>
      <c r="R132" t="s">
        <v>2631</v>
      </c>
      <c r="S132" s="411" t="s">
        <v>2631</v>
      </c>
      <c r="T132" t="s">
        <v>2631</v>
      </c>
      <c r="U132" t="s">
        <v>73</v>
      </c>
      <c r="V132" t="s">
        <v>2631</v>
      </c>
      <c r="W132" t="str">
        <f t="shared" si="1"/>
        <v>PF</v>
      </c>
    </row>
    <row r="133">
      <c r="A133" s="444">
        <v>127.0</v>
      </c>
      <c r="B133" s="445" t="s">
        <v>2759</v>
      </c>
      <c r="C133" s="446"/>
      <c r="D133" s="446"/>
      <c r="E133" s="458">
        <v>2.8</v>
      </c>
      <c r="F133" s="458">
        <v>0.0</v>
      </c>
      <c r="G133" s="458">
        <v>7.9</v>
      </c>
      <c r="H133" s="458">
        <v>1.4</v>
      </c>
      <c r="I133" s="458">
        <v>0.7</v>
      </c>
      <c r="J133" s="458">
        <v>1.5</v>
      </c>
      <c r="K133" s="458">
        <v>1.2</v>
      </c>
      <c r="L133" s="458">
        <v>13.3</v>
      </c>
      <c r="M133" s="458">
        <v>79.6</v>
      </c>
      <c r="N133" s="461">
        <f>+1.2</f>
        <v>1.2</v>
      </c>
      <c r="O133" t="str">
        <f>IFERROR(__xludf.DUMMYFUNCTION("regexextract(B133,""[\w]* [\w]*"")"),"Mason Plumlee")</f>
        <v>Mason Plumlee</v>
      </c>
      <c r="P133" t="str">
        <f t="shared" si="2"/>
        <v>Mason Plumlee</v>
      </c>
      <c r="Q133" t="str">
        <f t="shared" si="3"/>
        <v>Mason Plumlee</v>
      </c>
      <c r="R133" t="s">
        <v>2631</v>
      </c>
      <c r="S133" s="411" t="s">
        <v>2631</v>
      </c>
      <c r="T133" t="s">
        <v>2631</v>
      </c>
      <c r="U133" t="s">
        <v>2631</v>
      </c>
      <c r="V133" t="s">
        <v>34</v>
      </c>
      <c r="W133" t="str">
        <f t="shared" si="1"/>
        <v>C</v>
      </c>
    </row>
    <row r="134">
      <c r="A134" s="447">
        <v>128.0</v>
      </c>
      <c r="B134" s="448" t="s">
        <v>2760</v>
      </c>
      <c r="C134" s="449"/>
      <c r="D134" s="449"/>
      <c r="E134" s="459">
        <v>2.7</v>
      </c>
      <c r="F134" s="459">
        <v>2.1</v>
      </c>
      <c r="G134" s="459">
        <v>2.4</v>
      </c>
      <c r="H134" s="459">
        <v>6.0</v>
      </c>
      <c r="I134" s="459">
        <v>1.2</v>
      </c>
      <c r="J134" s="459">
        <v>0.1</v>
      </c>
      <c r="K134" s="459">
        <v>3.1</v>
      </c>
      <c r="L134" s="459">
        <v>18.4</v>
      </c>
      <c r="M134" s="459">
        <v>81.4</v>
      </c>
      <c r="N134" s="460">
        <f>+0.3</f>
        <v>0.3</v>
      </c>
      <c r="O134" t="str">
        <f>IFERROR(__xludf.DUMMYFUNCTION("regexextract(B134,""[\w]* [\w]*"")"),"Ricky Rubio")</f>
        <v>Ricky Rubio</v>
      </c>
      <c r="P134" t="str">
        <f t="shared" si="2"/>
        <v>Ricky Rubio</v>
      </c>
      <c r="Q134" t="str">
        <f t="shared" si="3"/>
        <v>Ricky Rubi</v>
      </c>
      <c r="R134" t="s">
        <v>44</v>
      </c>
      <c r="S134" s="411" t="s">
        <v>2631</v>
      </c>
      <c r="T134" t="s">
        <v>2631</v>
      </c>
      <c r="U134" t="s">
        <v>2631</v>
      </c>
      <c r="V134" t="s">
        <v>34</v>
      </c>
      <c r="W134" t="str">
        <f t="shared" si="1"/>
        <v>PGC</v>
      </c>
    </row>
    <row r="135">
      <c r="A135" s="444">
        <v>129.0</v>
      </c>
      <c r="B135" s="445" t="s">
        <v>2761</v>
      </c>
      <c r="C135" s="446"/>
      <c r="D135" s="446"/>
      <c r="E135" s="458">
        <v>2.8</v>
      </c>
      <c r="F135" s="458">
        <v>1.4</v>
      </c>
      <c r="G135" s="458">
        <v>6.6</v>
      </c>
      <c r="H135" s="458">
        <v>1.2</v>
      </c>
      <c r="I135" s="458">
        <v>0.8</v>
      </c>
      <c r="J135" s="458">
        <v>2.9</v>
      </c>
      <c r="K135" s="458">
        <v>1.3</v>
      </c>
      <c r="L135" s="458">
        <v>12.4</v>
      </c>
      <c r="M135" s="458">
        <v>56.4</v>
      </c>
      <c r="N135" s="461">
        <f>+9.7</f>
        <v>9.7</v>
      </c>
      <c r="O135" t="str">
        <f>IFERROR(__xludf.DUMMYFUNCTION("regexextract(B135,""[\w]* [\w]*"")"),"Klay ThompsonO")</f>
        <v>Klay ThompsonO</v>
      </c>
      <c r="P135" t="str">
        <f t="shared" si="2"/>
        <v>Klay ThompsonO</v>
      </c>
      <c r="Q135" t="str">
        <f t="shared" si="3"/>
        <v>Klay Thompson</v>
      </c>
      <c r="R135" t="s">
        <v>2631</v>
      </c>
      <c r="S135" s="411" t="s">
        <v>71</v>
      </c>
      <c r="T135" t="s">
        <v>2631</v>
      </c>
      <c r="U135" t="s">
        <v>2631</v>
      </c>
      <c r="V135" t="s">
        <v>2631</v>
      </c>
      <c r="W135" t="str">
        <f t="shared" si="1"/>
        <v>SG</v>
      </c>
    </row>
    <row r="136">
      <c r="A136" s="447">
        <v>130.0</v>
      </c>
      <c r="B136" s="448" t="s">
        <v>2762</v>
      </c>
      <c r="C136" s="449"/>
      <c r="D136" s="449"/>
      <c r="E136" s="459">
        <v>2.0</v>
      </c>
      <c r="F136" s="459">
        <v>2.6</v>
      </c>
      <c r="G136" s="459">
        <v>4.4</v>
      </c>
      <c r="H136" s="459">
        <v>3.2</v>
      </c>
      <c r="I136" s="459">
        <v>1.4</v>
      </c>
      <c r="J136" s="459">
        <v>0.7</v>
      </c>
      <c r="K136" s="459">
        <v>2.1</v>
      </c>
      <c r="L136" s="459">
        <v>16.4</v>
      </c>
      <c r="M136" s="459">
        <v>73.5</v>
      </c>
      <c r="N136" s="460">
        <f>+1.7</f>
        <v>1.7</v>
      </c>
      <c r="O136" t="str">
        <f>IFERROR(__xludf.DUMMYFUNCTION("regexextract(B136,""[\w]* [\w]*"")"),"Kelly Olynyk")</f>
        <v>Kelly Olynyk</v>
      </c>
      <c r="P136" t="str">
        <f t="shared" si="2"/>
        <v>Kelly Olynyk</v>
      </c>
      <c r="Q136" t="str">
        <f t="shared" si="3"/>
        <v>Kelly Olynyk</v>
      </c>
      <c r="R136" t="s">
        <v>2631</v>
      </c>
      <c r="S136" s="411" t="s">
        <v>2631</v>
      </c>
      <c r="T136" t="s">
        <v>2631</v>
      </c>
      <c r="U136" t="s">
        <v>73</v>
      </c>
      <c r="V136" t="s">
        <v>34</v>
      </c>
      <c r="W136" t="str">
        <f t="shared" si="1"/>
        <v>PFC</v>
      </c>
    </row>
    <row r="137">
      <c r="A137" s="444">
        <v>131.0</v>
      </c>
      <c r="B137" s="445" t="s">
        <v>2763</v>
      </c>
      <c r="C137" s="446"/>
      <c r="D137" s="446"/>
      <c r="E137" s="458">
        <v>3.8</v>
      </c>
      <c r="F137" s="458">
        <v>2.1</v>
      </c>
      <c r="G137" s="458">
        <v>5.6</v>
      </c>
      <c r="H137" s="458">
        <v>1.5</v>
      </c>
      <c r="I137" s="458">
        <v>0.9</v>
      </c>
      <c r="J137" s="458">
        <v>1.8</v>
      </c>
      <c r="K137" s="458">
        <v>1.9</v>
      </c>
      <c r="L137" s="458">
        <v>17.9</v>
      </c>
      <c r="M137" s="458">
        <v>79.1</v>
      </c>
      <c r="N137" s="461">
        <f t="shared" ref="N137:N138" si="7">+1.8</f>
        <v>1.8</v>
      </c>
      <c r="O137" t="str">
        <f>IFERROR(__xludf.DUMMYFUNCTION("regexextract(B137,""[\w]* [\w]*"")"),"Monte Morris")</f>
        <v>Monte Morris</v>
      </c>
      <c r="P137" t="str">
        <f t="shared" si="2"/>
        <v>Monte Morris</v>
      </c>
      <c r="Q137" t="str">
        <f t="shared" si="3"/>
        <v>Monte Morris</v>
      </c>
      <c r="R137" t="s">
        <v>44</v>
      </c>
      <c r="S137" s="411" t="s">
        <v>2631</v>
      </c>
      <c r="T137" t="s">
        <v>2631</v>
      </c>
      <c r="U137" t="s">
        <v>2631</v>
      </c>
      <c r="V137" t="s">
        <v>2631</v>
      </c>
      <c r="W137" t="str">
        <f t="shared" si="1"/>
        <v>PG</v>
      </c>
    </row>
    <row r="138">
      <c r="A138" s="447">
        <v>132.0</v>
      </c>
      <c r="B138" s="448" t="s">
        <v>2764</v>
      </c>
      <c r="C138" s="449"/>
      <c r="D138" s="449"/>
      <c r="E138" s="459">
        <v>4.4</v>
      </c>
      <c r="F138" s="459">
        <v>1.9</v>
      </c>
      <c r="G138" s="459">
        <v>5.7</v>
      </c>
      <c r="H138" s="459">
        <v>3.0</v>
      </c>
      <c r="I138" s="459">
        <v>0.7</v>
      </c>
      <c r="J138" s="459">
        <v>0.3</v>
      </c>
      <c r="K138" s="459">
        <v>1.9</v>
      </c>
      <c r="L138" s="459">
        <v>18.7</v>
      </c>
      <c r="M138" s="459">
        <v>80.5</v>
      </c>
      <c r="N138" s="460">
        <f t="shared" si="7"/>
        <v>1.8</v>
      </c>
      <c r="O138" t="str">
        <f>IFERROR(__xludf.DUMMYFUNCTION("regexextract(B138,""[\w]* [\w]*"")"),"John WallO")</f>
        <v>John WallO</v>
      </c>
      <c r="P138" t="str">
        <f t="shared" si="2"/>
        <v>John WallO</v>
      </c>
      <c r="Q138" t="str">
        <f t="shared" si="3"/>
        <v>John Wall</v>
      </c>
      <c r="R138" t="s">
        <v>44</v>
      </c>
      <c r="S138" s="411" t="s">
        <v>2631</v>
      </c>
      <c r="T138" t="s">
        <v>2631</v>
      </c>
      <c r="U138" t="s">
        <v>2631</v>
      </c>
      <c r="V138" t="s">
        <v>2631</v>
      </c>
      <c r="W138" t="str">
        <f t="shared" si="1"/>
        <v>PG</v>
      </c>
    </row>
    <row r="139">
      <c r="A139" s="444">
        <v>133.0</v>
      </c>
      <c r="B139" s="445" t="s">
        <v>2765</v>
      </c>
      <c r="C139" s="446"/>
      <c r="D139" s="446"/>
      <c r="E139" s="458">
        <v>3.5</v>
      </c>
      <c r="F139" s="458">
        <v>2.4</v>
      </c>
      <c r="G139" s="458">
        <v>3.4</v>
      </c>
      <c r="H139" s="458">
        <v>5.7</v>
      </c>
      <c r="I139" s="458">
        <v>1.2</v>
      </c>
      <c r="J139" s="458">
        <v>0.2</v>
      </c>
      <c r="K139" s="458">
        <v>1.9</v>
      </c>
      <c r="L139" s="458">
        <v>16.9</v>
      </c>
      <c r="M139" s="458">
        <v>80.7</v>
      </c>
      <c r="N139" s="461">
        <f>+0.2</f>
        <v>0.2</v>
      </c>
      <c r="O139" t="str">
        <f>IFERROR(__xludf.DUMMYFUNCTION("regexextract(B139,""[\w]* [\w]*"")"),"Kyle Anderson")</f>
        <v>Kyle Anderson</v>
      </c>
      <c r="P139" t="str">
        <f t="shared" si="2"/>
        <v>Kyle Anderson</v>
      </c>
      <c r="Q139" t="str">
        <f t="shared" si="3"/>
        <v>Kyle Anderson</v>
      </c>
      <c r="R139" t="s">
        <v>2631</v>
      </c>
      <c r="S139" s="411" t="s">
        <v>2631</v>
      </c>
      <c r="T139" t="s">
        <v>72</v>
      </c>
      <c r="U139" t="s">
        <v>73</v>
      </c>
      <c r="V139" t="s">
        <v>2631</v>
      </c>
      <c r="W139" t="str">
        <f t="shared" si="1"/>
        <v>SFPF</v>
      </c>
    </row>
    <row r="140">
      <c r="A140" s="447">
        <v>134.0</v>
      </c>
      <c r="B140" s="448" t="s">
        <v>2766</v>
      </c>
      <c r="C140" s="449"/>
      <c r="D140" s="449"/>
      <c r="E140" s="459">
        <v>2.3</v>
      </c>
      <c r="F140" s="459">
        <v>1.7</v>
      </c>
      <c r="G140" s="459">
        <v>6.5</v>
      </c>
      <c r="H140" s="459">
        <v>2.5</v>
      </c>
      <c r="I140" s="459">
        <v>1.1</v>
      </c>
      <c r="J140" s="459">
        <v>1.2</v>
      </c>
      <c r="K140" s="459">
        <v>2.0</v>
      </c>
      <c r="L140" s="459">
        <v>13.3</v>
      </c>
      <c r="M140" s="459">
        <v>77.5</v>
      </c>
      <c r="N140" s="460">
        <f>+0.7</f>
        <v>0.7</v>
      </c>
      <c r="O140" t="str">
        <f>IFERROR(__xludf.DUMMYFUNCTION("regexextract(B140,""[\w]* [\w]*"")"),"Kevin Porter")</f>
        <v>Kevin Porter</v>
      </c>
      <c r="P140" t="str">
        <f t="shared" si="2"/>
        <v>Kevin Porter</v>
      </c>
      <c r="Q140" t="str">
        <f t="shared" si="3"/>
        <v>Kevin Porter</v>
      </c>
      <c r="R140" t="s">
        <v>44</v>
      </c>
      <c r="S140" s="411" t="s">
        <v>71</v>
      </c>
      <c r="T140" t="s">
        <v>2631</v>
      </c>
      <c r="U140" t="s">
        <v>2631</v>
      </c>
      <c r="V140" t="s">
        <v>2631</v>
      </c>
      <c r="W140" t="str">
        <f t="shared" si="1"/>
        <v>PGSG</v>
      </c>
    </row>
    <row r="141">
      <c r="A141" s="444">
        <v>135.0</v>
      </c>
      <c r="B141" s="445" t="s">
        <v>2767</v>
      </c>
      <c r="C141" s="446"/>
      <c r="D141" s="446"/>
      <c r="E141" s="458">
        <v>4.8</v>
      </c>
      <c r="F141" s="458">
        <v>2.1</v>
      </c>
      <c r="G141" s="458">
        <v>4.3</v>
      </c>
      <c r="H141" s="458">
        <v>2.4</v>
      </c>
      <c r="I141" s="458">
        <v>0.9</v>
      </c>
      <c r="J141" s="458">
        <v>0.5</v>
      </c>
      <c r="K141" s="458">
        <v>1.8</v>
      </c>
      <c r="L141" s="458">
        <v>19.2</v>
      </c>
      <c r="M141" s="458">
        <v>83.8</v>
      </c>
      <c r="N141" s="461">
        <f>+0.9</f>
        <v>0.9</v>
      </c>
      <c r="O141" t="str">
        <f>IFERROR(__xludf.DUMMYFUNCTION("regexextract(B141,""[\w]* [\w]*"")"),"Alperen Sengun")</f>
        <v>Alperen Sengun</v>
      </c>
      <c r="P141" t="str">
        <f t="shared" si="2"/>
        <v>Alperen Sengun</v>
      </c>
      <c r="Q141" t="str">
        <f t="shared" si="3"/>
        <v>Alperen Sengun</v>
      </c>
      <c r="R141" t="s">
        <v>2631</v>
      </c>
      <c r="S141" s="411" t="s">
        <v>2631</v>
      </c>
      <c r="T141" t="s">
        <v>2631</v>
      </c>
      <c r="U141" t="s">
        <v>2631</v>
      </c>
      <c r="V141" t="s">
        <v>34</v>
      </c>
      <c r="W141" t="str">
        <f t="shared" si="1"/>
        <v>C</v>
      </c>
    </row>
    <row r="142">
      <c r="A142" s="447">
        <v>136.0</v>
      </c>
      <c r="B142" s="448" t="s">
        <v>2768</v>
      </c>
      <c r="C142" s="449"/>
      <c r="D142" s="449"/>
      <c r="E142" s="459">
        <v>3.7</v>
      </c>
      <c r="F142" s="459">
        <v>2.4</v>
      </c>
      <c r="G142" s="459">
        <v>3.5</v>
      </c>
      <c r="H142" s="459">
        <v>2.0</v>
      </c>
      <c r="I142" s="459">
        <v>1.2</v>
      </c>
      <c r="J142" s="459">
        <v>0.3</v>
      </c>
      <c r="K142" s="459">
        <v>1.8</v>
      </c>
      <c r="L142" s="459">
        <v>18.5</v>
      </c>
      <c r="M142" s="459">
        <v>72.9</v>
      </c>
      <c r="N142" s="460">
        <f>+2.8</f>
        <v>2.8</v>
      </c>
      <c r="O142" t="str">
        <f>IFERROR(__xludf.DUMMYFUNCTION("regexextract(B142,""[\w]* [\w]*"")"),"Tyler Herro")</f>
        <v>Tyler Herro</v>
      </c>
      <c r="P142" t="str">
        <f t="shared" si="2"/>
        <v>Tyler Herro</v>
      </c>
      <c r="Q142" t="str">
        <f t="shared" si="3"/>
        <v>Tyler Herr</v>
      </c>
      <c r="R142" t="s">
        <v>44</v>
      </c>
      <c r="S142" s="411" t="s">
        <v>71</v>
      </c>
      <c r="T142" t="s">
        <v>2631</v>
      </c>
      <c r="U142" t="s">
        <v>2631</v>
      </c>
      <c r="V142" t="s">
        <v>2631</v>
      </c>
      <c r="W142" t="str">
        <f t="shared" si="1"/>
        <v>PGSG</v>
      </c>
    </row>
    <row r="143">
      <c r="A143" s="444">
        <v>137.0</v>
      </c>
      <c r="B143" s="445" t="s">
        <v>2769</v>
      </c>
      <c r="C143" s="446"/>
      <c r="D143" s="446"/>
      <c r="E143" s="458">
        <v>3.1</v>
      </c>
      <c r="F143" s="458">
        <v>0.0</v>
      </c>
      <c r="G143" s="458">
        <v>9.5</v>
      </c>
      <c r="H143" s="458">
        <v>1.6</v>
      </c>
      <c r="I143" s="458">
        <v>0.4</v>
      </c>
      <c r="J143" s="458">
        <v>1.2</v>
      </c>
      <c r="K143" s="458">
        <v>1.4</v>
      </c>
      <c r="L143" s="458">
        <v>11.8</v>
      </c>
      <c r="M143" s="458">
        <v>20.0</v>
      </c>
      <c r="N143" s="461">
        <f>+18.1</f>
        <v>18.1</v>
      </c>
      <c r="O143" t="str">
        <f>IFERROR(__xludf.DUMMYFUNCTION("regexextract(B143,""[\w]* [\w]*"")"),"Isaiah Roby")</f>
        <v>Isaiah Roby</v>
      </c>
      <c r="P143" t="str">
        <f t="shared" si="2"/>
        <v>Isaiah Roby</v>
      </c>
      <c r="Q143" t="str">
        <f t="shared" si="3"/>
        <v>Isaiah Roby</v>
      </c>
      <c r="R143" t="s">
        <v>2631</v>
      </c>
      <c r="S143" s="411" t="s">
        <v>2631</v>
      </c>
      <c r="T143" t="s">
        <v>2631</v>
      </c>
      <c r="U143" t="s">
        <v>73</v>
      </c>
      <c r="V143" t="s">
        <v>34</v>
      </c>
      <c r="W143" t="str">
        <f t="shared" si="1"/>
        <v>PFC</v>
      </c>
    </row>
    <row r="144">
      <c r="A144" s="447">
        <v>138.0</v>
      </c>
      <c r="B144" s="448" t="s">
        <v>2770</v>
      </c>
      <c r="C144" s="449"/>
      <c r="D144" s="449"/>
      <c r="E144" s="459">
        <v>3.2</v>
      </c>
      <c r="F144" s="459">
        <v>3.5</v>
      </c>
      <c r="G144" s="459">
        <v>2.9</v>
      </c>
      <c r="H144" s="459">
        <v>5.6</v>
      </c>
      <c r="I144" s="459">
        <v>0.9</v>
      </c>
      <c r="J144" s="459">
        <v>0.2</v>
      </c>
      <c r="K144" s="459">
        <v>2.1</v>
      </c>
      <c r="L144" s="459">
        <v>16.1</v>
      </c>
      <c r="M144" s="459">
        <v>83.1</v>
      </c>
      <c r="N144" s="463">
        <v>-1.6</v>
      </c>
      <c r="O144" t="str">
        <f>IFERROR(__xludf.DUMMYFUNCTION("regexextract(B144,""[\w]* [\w]*"")"),"Andre Drummond")</f>
        <v>Andre Drummond</v>
      </c>
      <c r="P144" t="str">
        <f t="shared" si="2"/>
        <v>Andre Drummond</v>
      </c>
      <c r="Q144" t="str">
        <f t="shared" si="3"/>
        <v>Andre Drummond</v>
      </c>
      <c r="R144" t="s">
        <v>2631</v>
      </c>
      <c r="S144" s="411" t="s">
        <v>2631</v>
      </c>
      <c r="T144" t="s">
        <v>2631</v>
      </c>
      <c r="U144" t="s">
        <v>2631</v>
      </c>
      <c r="V144" t="s">
        <v>34</v>
      </c>
      <c r="W144" t="str">
        <f t="shared" si="1"/>
        <v>C</v>
      </c>
    </row>
    <row r="145">
      <c r="A145" s="444">
        <v>139.0</v>
      </c>
      <c r="B145" s="445" t="s">
        <v>2771</v>
      </c>
      <c r="C145" s="446"/>
      <c r="D145" s="446"/>
      <c r="E145" s="458">
        <v>3.1</v>
      </c>
      <c r="F145" s="458">
        <v>1.7</v>
      </c>
      <c r="G145" s="458">
        <v>4.2</v>
      </c>
      <c r="H145" s="458">
        <v>4.7</v>
      </c>
      <c r="I145" s="458">
        <v>1.0</v>
      </c>
      <c r="J145" s="458">
        <v>0.4</v>
      </c>
      <c r="K145" s="458">
        <v>2.0</v>
      </c>
      <c r="L145" s="458">
        <v>14.5</v>
      </c>
      <c r="M145" s="458">
        <v>30.0</v>
      </c>
      <c r="N145" s="461">
        <f>+17.1</f>
        <v>17.1</v>
      </c>
      <c r="O145" t="str">
        <f>IFERROR(__xludf.DUMMYFUNCTION("regexextract(B145,""[\w]* [\w]*"")"),"Isaac OkoroDTD")</f>
        <v>Isaac OkoroDTD</v>
      </c>
      <c r="P145" t="str">
        <f t="shared" si="2"/>
        <v>Isaac Okoro</v>
      </c>
      <c r="Q145" t="str">
        <f t="shared" si="3"/>
        <v>Isaac Okor</v>
      </c>
      <c r="R145" t="s">
        <v>2631</v>
      </c>
      <c r="S145" s="411" t="s">
        <v>2631</v>
      </c>
      <c r="T145" t="s">
        <v>72</v>
      </c>
      <c r="U145" t="s">
        <v>2631</v>
      </c>
      <c r="V145" t="s">
        <v>34</v>
      </c>
      <c r="W145" t="str">
        <f t="shared" si="1"/>
        <v>SFC</v>
      </c>
    </row>
    <row r="146">
      <c r="A146" s="447">
        <v>140.0</v>
      </c>
      <c r="B146" s="448" t="s">
        <v>2772</v>
      </c>
      <c r="C146" s="449"/>
      <c r="D146" s="449"/>
      <c r="E146" s="459">
        <v>1.8</v>
      </c>
      <c r="F146" s="459">
        <v>1.5</v>
      </c>
      <c r="G146" s="459">
        <v>4.2</v>
      </c>
      <c r="H146" s="459">
        <v>2.1</v>
      </c>
      <c r="I146" s="459">
        <v>1.3</v>
      </c>
      <c r="J146" s="459">
        <v>0.8</v>
      </c>
      <c r="K146" s="459">
        <v>0.9</v>
      </c>
      <c r="L146" s="459">
        <v>11.7</v>
      </c>
      <c r="M146" s="459">
        <v>61.2</v>
      </c>
      <c r="N146" s="460">
        <f>+8.8</f>
        <v>8.8</v>
      </c>
      <c r="O146" t="str">
        <f>IFERROR(__xludf.DUMMYFUNCTION("regexextract(B146,""[\w]* [\w]*"")"),"Derrick Rose")</f>
        <v>Derrick Rose</v>
      </c>
      <c r="P146" t="str">
        <f t="shared" si="2"/>
        <v>Derrick Rose</v>
      </c>
      <c r="Q146" t="str">
        <f t="shared" si="3"/>
        <v>Derrick Rose</v>
      </c>
      <c r="R146" t="s">
        <v>44</v>
      </c>
      <c r="S146" s="411" t="s">
        <v>2631</v>
      </c>
      <c r="T146" t="s">
        <v>2631</v>
      </c>
      <c r="U146" t="s">
        <v>2631</v>
      </c>
      <c r="V146" t="s">
        <v>34</v>
      </c>
      <c r="W146" t="str">
        <f t="shared" si="1"/>
        <v>PGC</v>
      </c>
    </row>
    <row r="147">
      <c r="A147" s="444">
        <v>141.0</v>
      </c>
      <c r="B147" s="445" t="s">
        <v>2773</v>
      </c>
      <c r="C147" s="446"/>
      <c r="D147" s="446"/>
      <c r="E147" s="458">
        <v>4.0</v>
      </c>
      <c r="F147" s="458">
        <v>0.3</v>
      </c>
      <c r="G147" s="458">
        <v>9.9</v>
      </c>
      <c r="H147" s="458">
        <v>2.3</v>
      </c>
      <c r="I147" s="458">
        <v>0.8</v>
      </c>
      <c r="J147" s="458">
        <v>0.9</v>
      </c>
      <c r="K147" s="458">
        <v>1.7</v>
      </c>
      <c r="L147" s="458">
        <v>13.5</v>
      </c>
      <c r="M147" s="458">
        <v>26.8</v>
      </c>
      <c r="N147" s="461">
        <f>+18</f>
        <v>18</v>
      </c>
      <c r="O147" t="str">
        <f>IFERROR(__xludf.DUMMYFUNCTION("regexextract(B147,""[\w]* [\w]*"")"),"Aaron Gordon")</f>
        <v>Aaron Gordon</v>
      </c>
      <c r="P147" t="str">
        <f t="shared" si="2"/>
        <v>Aaron Gordon</v>
      </c>
      <c r="Q147" t="str">
        <f t="shared" si="3"/>
        <v>Aaron Gordon</v>
      </c>
      <c r="R147" t="s">
        <v>2631</v>
      </c>
      <c r="S147" s="411" t="s">
        <v>2631</v>
      </c>
      <c r="T147" t="s">
        <v>2631</v>
      </c>
      <c r="U147" t="s">
        <v>73</v>
      </c>
      <c r="V147" t="s">
        <v>2631</v>
      </c>
      <c r="W147" t="str">
        <f t="shared" si="1"/>
        <v>PF</v>
      </c>
    </row>
    <row r="148">
      <c r="A148" s="447">
        <v>142.0</v>
      </c>
      <c r="B148" s="448" t="s">
        <v>2774</v>
      </c>
      <c r="C148" s="449"/>
      <c r="D148" s="449"/>
      <c r="E148" s="459">
        <v>1.3</v>
      </c>
      <c r="F148" s="459">
        <v>2.1</v>
      </c>
      <c r="G148" s="459">
        <v>6.5</v>
      </c>
      <c r="H148" s="459">
        <v>1.5</v>
      </c>
      <c r="I148" s="459">
        <v>1.5</v>
      </c>
      <c r="J148" s="459">
        <v>1.2</v>
      </c>
      <c r="K148" s="459">
        <v>1.1</v>
      </c>
      <c r="L148" s="459">
        <v>10.2</v>
      </c>
      <c r="M148" s="459">
        <v>37.8</v>
      </c>
      <c r="N148" s="460">
        <f>+13.7</f>
        <v>13.7</v>
      </c>
      <c r="O148" t="str">
        <f>IFERROR(__xludf.DUMMYFUNCTION("regexextract(B148,""[\w]* [\w]*"")"),"Patrick WilliamsO")</f>
        <v>Patrick WilliamsO</v>
      </c>
      <c r="P148" t="str">
        <f t="shared" si="2"/>
        <v>Patrick WilliamsO</v>
      </c>
      <c r="Q148" t="str">
        <f t="shared" si="3"/>
        <v>Patrick Williams</v>
      </c>
      <c r="R148" t="s">
        <v>2631</v>
      </c>
      <c r="S148" s="411" t="s">
        <v>2631</v>
      </c>
      <c r="T148" t="s">
        <v>72</v>
      </c>
      <c r="U148" t="s">
        <v>73</v>
      </c>
      <c r="V148" t="s">
        <v>34</v>
      </c>
      <c r="W148" t="str">
        <f t="shared" si="1"/>
        <v>SFPFC</v>
      </c>
    </row>
    <row r="149">
      <c r="A149" s="444">
        <v>143.0</v>
      </c>
      <c r="B149" s="445" t="s">
        <v>2775</v>
      </c>
      <c r="C149" s="446"/>
      <c r="D149" s="446"/>
      <c r="E149" s="458">
        <v>1.5</v>
      </c>
      <c r="F149" s="458">
        <v>0.5</v>
      </c>
      <c r="G149" s="458">
        <v>5.9</v>
      </c>
      <c r="H149" s="458">
        <v>3.3</v>
      </c>
      <c r="I149" s="458">
        <v>1.3</v>
      </c>
      <c r="J149" s="458">
        <v>0.5</v>
      </c>
      <c r="K149" s="458">
        <v>1.8</v>
      </c>
      <c r="L149" s="458">
        <v>11.7</v>
      </c>
      <c r="M149" s="458">
        <v>52.5</v>
      </c>
      <c r="N149" s="461">
        <f>+10.2</f>
        <v>10.2</v>
      </c>
      <c r="O149" t="str">
        <f>IFERROR(__xludf.DUMMYFUNCTION("regexextract(B149,""[\w]* [\w]*"")"),"Markelle FultzO")</f>
        <v>Markelle FultzO</v>
      </c>
      <c r="P149" t="str">
        <f t="shared" si="2"/>
        <v>Markelle FultzO</v>
      </c>
      <c r="Q149" t="str">
        <f t="shared" si="3"/>
        <v>Markelle Fultz</v>
      </c>
      <c r="R149" t="s">
        <v>44</v>
      </c>
      <c r="S149" s="411" t="s">
        <v>2631</v>
      </c>
      <c r="T149" t="s">
        <v>2631</v>
      </c>
      <c r="U149" t="s">
        <v>2631</v>
      </c>
      <c r="V149" t="s">
        <v>2631</v>
      </c>
      <c r="W149" t="str">
        <f t="shared" si="1"/>
        <v>PG</v>
      </c>
    </row>
    <row r="150">
      <c r="A150" s="447">
        <v>144.0</v>
      </c>
      <c r="B150" s="448" t="s">
        <v>2776</v>
      </c>
      <c r="C150" s="449"/>
      <c r="D150" s="449"/>
      <c r="E150" s="459">
        <v>3.1</v>
      </c>
      <c r="F150" s="459">
        <v>2.0</v>
      </c>
      <c r="G150" s="459">
        <v>3.5</v>
      </c>
      <c r="H150" s="459">
        <v>5.5</v>
      </c>
      <c r="I150" s="459">
        <v>1.5</v>
      </c>
      <c r="J150" s="459">
        <v>0.5</v>
      </c>
      <c r="K150" s="459">
        <v>1.9</v>
      </c>
      <c r="L150" s="459">
        <v>12.8</v>
      </c>
      <c r="M150" s="459">
        <v>77.0</v>
      </c>
      <c r="N150" s="460">
        <f>+0.6</f>
        <v>0.6</v>
      </c>
      <c r="O150" t="str">
        <f>IFERROR(__xludf.DUMMYFUNCTION("regexextract(B150,""[\w]* [\w]*"")"),"Darius Bazley")</f>
        <v>Darius Bazley</v>
      </c>
      <c r="P150" t="str">
        <f t="shared" si="2"/>
        <v>Darius Bazley</v>
      </c>
      <c r="Q150" t="str">
        <f t="shared" si="3"/>
        <v>Darius Bazley</v>
      </c>
      <c r="R150" t="s">
        <v>2631</v>
      </c>
      <c r="S150" s="411" t="s">
        <v>2631</v>
      </c>
      <c r="T150" t="s">
        <v>72</v>
      </c>
      <c r="U150" t="s">
        <v>73</v>
      </c>
      <c r="V150" t="s">
        <v>34</v>
      </c>
      <c r="W150" t="str">
        <f t="shared" si="1"/>
        <v>SFPFC</v>
      </c>
    </row>
    <row r="151">
      <c r="A151" s="444">
        <v>145.0</v>
      </c>
      <c r="B151" s="445" t="s">
        <v>2777</v>
      </c>
      <c r="C151" s="446"/>
      <c r="D151" s="446"/>
      <c r="E151" s="458">
        <v>3.8</v>
      </c>
      <c r="F151" s="458">
        <v>1.4</v>
      </c>
      <c r="G151" s="458">
        <v>3.6</v>
      </c>
      <c r="H151" s="458">
        <v>5.3</v>
      </c>
      <c r="I151" s="458">
        <v>1.0</v>
      </c>
      <c r="J151" s="458">
        <v>0.2</v>
      </c>
      <c r="K151" s="458">
        <v>2.6</v>
      </c>
      <c r="L151" s="458">
        <v>16.3</v>
      </c>
      <c r="M151" s="458">
        <v>78.9</v>
      </c>
      <c r="N151" s="462">
        <v>-0.8</v>
      </c>
      <c r="O151" t="str">
        <f>IFERROR(__xludf.DUMMYFUNCTION("regexextract(B151,""[\w]* [\w]*"")"),"Otto Porter")</f>
        <v>Otto Porter</v>
      </c>
      <c r="P151" t="str">
        <f t="shared" si="2"/>
        <v>Otto Porter</v>
      </c>
      <c r="Q151" t="str">
        <f t="shared" si="3"/>
        <v>Otto Porter</v>
      </c>
      <c r="R151" t="s">
        <v>2631</v>
      </c>
      <c r="S151" s="411" t="s">
        <v>2631</v>
      </c>
      <c r="T151" t="s">
        <v>72</v>
      </c>
      <c r="U151" t="s">
        <v>2631</v>
      </c>
      <c r="V151" t="s">
        <v>2631</v>
      </c>
      <c r="W151" t="str">
        <f t="shared" si="1"/>
        <v>SF</v>
      </c>
    </row>
    <row r="152">
      <c r="A152" s="447">
        <v>146.0</v>
      </c>
      <c r="B152" s="448" t="s">
        <v>2778</v>
      </c>
      <c r="C152" s="449"/>
      <c r="D152" s="449"/>
      <c r="E152" s="459">
        <v>1.3</v>
      </c>
      <c r="F152" s="459">
        <v>3.1</v>
      </c>
      <c r="G152" s="459">
        <v>3.5</v>
      </c>
      <c r="H152" s="459">
        <v>3.3</v>
      </c>
      <c r="I152" s="459">
        <v>1.1</v>
      </c>
      <c r="J152" s="459">
        <v>0.3</v>
      </c>
      <c r="K152" s="459">
        <v>1.3</v>
      </c>
      <c r="L152" s="459">
        <v>15.8</v>
      </c>
      <c r="M152" s="459">
        <v>82.2</v>
      </c>
      <c r="N152" s="463">
        <v>-0.8</v>
      </c>
      <c r="O152" t="str">
        <f>IFERROR(__xludf.DUMMYFUNCTION("regexextract(B152,""[\w]* [\w]*"")"),"Serge IbakaDTD")</f>
        <v>Serge IbakaDTD</v>
      </c>
      <c r="P152" t="str">
        <f t="shared" si="2"/>
        <v>Serge Ibaka</v>
      </c>
      <c r="Q152" t="str">
        <f t="shared" si="3"/>
        <v>Serge Ibaka</v>
      </c>
      <c r="R152" t="s">
        <v>2631</v>
      </c>
      <c r="S152" s="411" t="s">
        <v>2631</v>
      </c>
      <c r="T152" t="s">
        <v>2631</v>
      </c>
      <c r="U152" t="s">
        <v>73</v>
      </c>
      <c r="V152" t="s">
        <v>34</v>
      </c>
      <c r="W152" t="str">
        <f t="shared" si="1"/>
        <v>PFC</v>
      </c>
    </row>
    <row r="153">
      <c r="A153" s="444">
        <v>147.0</v>
      </c>
      <c r="B153" s="445" t="s">
        <v>2779</v>
      </c>
      <c r="C153" s="446"/>
      <c r="D153" s="446"/>
      <c r="E153" s="458">
        <v>3.9</v>
      </c>
      <c r="F153" s="458">
        <v>1.7</v>
      </c>
      <c r="G153" s="458">
        <v>5.8</v>
      </c>
      <c r="H153" s="458">
        <v>2.8</v>
      </c>
      <c r="I153" s="458">
        <v>0.7</v>
      </c>
      <c r="J153" s="458">
        <v>0.2</v>
      </c>
      <c r="K153" s="458">
        <v>1.5</v>
      </c>
      <c r="L153" s="458">
        <v>15.8</v>
      </c>
      <c r="M153" s="458">
        <v>78.4</v>
      </c>
      <c r="N153" s="462">
        <v>-0.9</v>
      </c>
      <c r="O153" t="str">
        <f>IFERROR(__xludf.DUMMYFUNCTION("regexextract(B153,""[\w]* [\w]*"")"),"Al Horford")</f>
        <v>Al Horford</v>
      </c>
      <c r="P153" t="str">
        <f t="shared" si="2"/>
        <v>Al Horford</v>
      </c>
      <c r="Q153" t="str">
        <f t="shared" si="3"/>
        <v>Al Horford</v>
      </c>
      <c r="R153" t="s">
        <v>2631</v>
      </c>
      <c r="S153" s="411" t="s">
        <v>2631</v>
      </c>
      <c r="T153" t="s">
        <v>2631</v>
      </c>
      <c r="U153" t="s">
        <v>73</v>
      </c>
      <c r="V153" t="s">
        <v>34</v>
      </c>
      <c r="W153" t="str">
        <f t="shared" si="1"/>
        <v>PFC</v>
      </c>
    </row>
    <row r="154">
      <c r="A154" s="447">
        <v>148.0</v>
      </c>
      <c r="B154" s="448" t="s">
        <v>2780</v>
      </c>
      <c r="C154" s="449"/>
      <c r="D154" s="449"/>
      <c r="E154" s="459">
        <v>2.2</v>
      </c>
      <c r="F154" s="459">
        <v>2.5</v>
      </c>
      <c r="G154" s="459">
        <v>3.7</v>
      </c>
      <c r="H154" s="459">
        <v>4.5</v>
      </c>
      <c r="I154" s="459">
        <v>0.8</v>
      </c>
      <c r="J154" s="459">
        <v>0.1</v>
      </c>
      <c r="K154" s="459">
        <v>1.7</v>
      </c>
      <c r="L154" s="459">
        <v>15.5</v>
      </c>
      <c r="M154" s="459">
        <v>32.0</v>
      </c>
      <c r="N154" s="460">
        <f>+15.1</f>
        <v>15.1</v>
      </c>
      <c r="O154" t="str">
        <f>IFERROR(__xludf.DUMMYFUNCTION("regexextract(B154,""[\w]* [\w]*"")"),"Kelly Oubre")</f>
        <v>Kelly Oubre</v>
      </c>
      <c r="P154" t="str">
        <f t="shared" si="2"/>
        <v>Kelly Oubre</v>
      </c>
      <c r="Q154" t="str">
        <f t="shared" si="3"/>
        <v>Kelly Oubre</v>
      </c>
      <c r="R154" t="s">
        <v>2631</v>
      </c>
      <c r="S154" s="411" t="s">
        <v>2631</v>
      </c>
      <c r="T154" t="s">
        <v>72</v>
      </c>
      <c r="U154" t="s">
        <v>73</v>
      </c>
      <c r="V154" t="s">
        <v>34</v>
      </c>
      <c r="W154" t="str">
        <f t="shared" si="1"/>
        <v>SFPFC</v>
      </c>
    </row>
    <row r="155">
      <c r="A155" s="444">
        <v>149.0</v>
      </c>
      <c r="B155" s="445" t="s">
        <v>2781</v>
      </c>
      <c r="C155" s="446"/>
      <c r="D155" s="446"/>
      <c r="E155" s="458">
        <v>4.1</v>
      </c>
      <c r="F155" s="458">
        <v>1.3</v>
      </c>
      <c r="G155" s="458">
        <v>6.8</v>
      </c>
      <c r="H155" s="458">
        <v>2.0</v>
      </c>
      <c r="I155" s="458">
        <v>0.7</v>
      </c>
      <c r="J155" s="458">
        <v>0.4</v>
      </c>
      <c r="K155" s="458">
        <v>1.3</v>
      </c>
      <c r="L155" s="458">
        <v>16.9</v>
      </c>
      <c r="M155" s="458">
        <v>29.4</v>
      </c>
      <c r="N155" s="461">
        <f>+17.4</f>
        <v>17.4</v>
      </c>
      <c r="O155" t="str">
        <f>IFERROR(__xludf.DUMMYFUNCTION("regexextract(B155,""[\w]* [\w]*"")"),"Dillon Brooks")</f>
        <v>Dillon Brooks</v>
      </c>
      <c r="P155" t="str">
        <f t="shared" si="2"/>
        <v>Dillon Brooks</v>
      </c>
      <c r="Q155" t="str">
        <f t="shared" si="3"/>
        <v>Dillon Brooks</v>
      </c>
      <c r="R155" t="s">
        <v>2631</v>
      </c>
      <c r="S155" s="411" t="s">
        <v>71</v>
      </c>
      <c r="T155" t="s">
        <v>72</v>
      </c>
      <c r="U155" t="s">
        <v>2631</v>
      </c>
      <c r="V155" t="s">
        <v>2631</v>
      </c>
      <c r="W155" t="str">
        <f t="shared" si="1"/>
        <v>SGSF</v>
      </c>
    </row>
    <row r="156">
      <c r="A156" s="447">
        <v>150.0</v>
      </c>
      <c r="B156" s="448" t="s">
        <v>2782</v>
      </c>
      <c r="C156" s="449"/>
      <c r="D156" s="449"/>
      <c r="E156" s="459">
        <v>2.8</v>
      </c>
      <c r="F156" s="459">
        <v>3.2</v>
      </c>
      <c r="G156" s="459">
        <v>3.6</v>
      </c>
      <c r="H156" s="459">
        <v>2.0</v>
      </c>
      <c r="I156" s="459">
        <v>0.5</v>
      </c>
      <c r="J156" s="459">
        <v>0.2</v>
      </c>
      <c r="K156" s="459">
        <v>1.0</v>
      </c>
      <c r="L156" s="459">
        <v>18.1</v>
      </c>
      <c r="M156" s="459">
        <v>39.4</v>
      </c>
      <c r="N156" s="460">
        <f>+13.5</f>
        <v>13.5</v>
      </c>
      <c r="O156" t="str">
        <f>IFERROR(__xludf.DUMMYFUNCTION("regexextract(B156,""[\w]* [\w]*"")"),"Rui HachimuraDTD")</f>
        <v>Rui HachimuraDTD</v>
      </c>
      <c r="P156" t="str">
        <f t="shared" si="2"/>
        <v>Rui Hachimura</v>
      </c>
      <c r="Q156" t="str">
        <f t="shared" si="3"/>
        <v>Rui Hachimura</v>
      </c>
      <c r="R156" t="s">
        <v>2631</v>
      </c>
      <c r="S156" s="411" t="s">
        <v>2631</v>
      </c>
      <c r="T156" t="s">
        <v>72</v>
      </c>
      <c r="U156" t="s">
        <v>73</v>
      </c>
      <c r="V156" t="s">
        <v>34</v>
      </c>
      <c r="W156" t="str">
        <f t="shared" si="1"/>
        <v>SFPFC</v>
      </c>
    </row>
    <row r="157">
      <c r="A157" s="436" t="s">
        <v>2625</v>
      </c>
      <c r="C157" s="436" t="s">
        <v>2626</v>
      </c>
      <c r="E157" s="454"/>
      <c r="F157" s="454"/>
      <c r="G157" s="454"/>
      <c r="H157" s="454"/>
      <c r="I157" s="454"/>
      <c r="J157" s="454"/>
      <c r="K157" s="454"/>
      <c r="L157" s="454"/>
      <c r="M157" s="454" t="s">
        <v>2731</v>
      </c>
      <c r="N157" s="454"/>
      <c r="O157" t="str">
        <f>IFERROR(__xludf.DUMMYFUNCTION("regexextract(B157,""[\w]* [\w]*"")"),"#N/A")</f>
        <v>#N/A</v>
      </c>
      <c r="P157" t="str">
        <f t="shared" si="2"/>
        <v>#N/A</v>
      </c>
      <c r="Q157" t="str">
        <f t="shared" si="3"/>
        <v>#N/A</v>
      </c>
      <c r="R157" t="s">
        <v>2631</v>
      </c>
      <c r="S157" s="411" t="s">
        <v>2631</v>
      </c>
      <c r="T157" t="s">
        <v>2631</v>
      </c>
      <c r="U157" t="s">
        <v>2631</v>
      </c>
      <c r="V157" t="s">
        <v>2631</v>
      </c>
      <c r="W157" t="str">
        <f t="shared" si="1"/>
        <v/>
      </c>
    </row>
    <row r="158">
      <c r="A158" s="439" t="s">
        <v>2627</v>
      </c>
      <c r="B158" s="440" t="s">
        <v>3</v>
      </c>
      <c r="C158" s="439" t="s">
        <v>2628</v>
      </c>
      <c r="D158" s="441" t="s">
        <v>2629</v>
      </c>
      <c r="E158" s="455" t="s">
        <v>464</v>
      </c>
      <c r="F158" s="456">
        <v>0.625</v>
      </c>
      <c r="G158" s="455" t="s">
        <v>53</v>
      </c>
      <c r="H158" s="455" t="s">
        <v>14</v>
      </c>
      <c r="I158" s="455" t="s">
        <v>15</v>
      </c>
      <c r="J158" s="455" t="s">
        <v>16</v>
      </c>
      <c r="K158" s="455" t="s">
        <v>17</v>
      </c>
      <c r="L158" s="455" t="s">
        <v>11</v>
      </c>
      <c r="M158" s="455" t="s">
        <v>2732</v>
      </c>
      <c r="N158" s="457" t="str">
        <f>+/-</f>
        <v>#ERROR!</v>
      </c>
      <c r="O158" t="str">
        <f>IFERROR(__xludf.DUMMYFUNCTION("regexextract(B158,""[\w]* [\w]*"")"),"#N/A")</f>
        <v>#N/A</v>
      </c>
      <c r="P158" t="str">
        <f t="shared" si="2"/>
        <v>#N/A</v>
      </c>
      <c r="Q158" t="str">
        <f t="shared" si="3"/>
        <v>#N/A</v>
      </c>
      <c r="R158" t="s">
        <v>2631</v>
      </c>
      <c r="S158" s="411" t="s">
        <v>2631</v>
      </c>
      <c r="T158" t="s">
        <v>2631</v>
      </c>
      <c r="U158" t="s">
        <v>2631</v>
      </c>
      <c r="V158" t="s">
        <v>2631</v>
      </c>
      <c r="W158" t="str">
        <f t="shared" si="1"/>
        <v/>
      </c>
    </row>
    <row r="159">
      <c r="A159" s="444">
        <v>151.0</v>
      </c>
      <c r="B159" s="445" t="s">
        <v>2783</v>
      </c>
      <c r="C159" s="446"/>
      <c r="D159" s="446"/>
      <c r="E159" s="458">
        <v>2.5</v>
      </c>
      <c r="F159" s="458">
        <v>1.4</v>
      </c>
      <c r="G159" s="458">
        <v>5.3</v>
      </c>
      <c r="H159" s="458">
        <v>3.9</v>
      </c>
      <c r="I159" s="458">
        <v>1.2</v>
      </c>
      <c r="J159" s="458">
        <v>0.9</v>
      </c>
      <c r="K159" s="458">
        <v>2.1</v>
      </c>
      <c r="L159" s="458">
        <v>10.5</v>
      </c>
      <c r="M159" s="458">
        <v>31.5</v>
      </c>
      <c r="N159" s="461">
        <f>+15.1</f>
        <v>15.1</v>
      </c>
      <c r="O159" t="str">
        <f>IFERROR(__xludf.DUMMYFUNCTION("regexextract(B159,""[\w]* [\w]*"")"),"Seth Curry")</f>
        <v>Seth Curry</v>
      </c>
      <c r="P159" t="str">
        <f t="shared" si="2"/>
        <v>Seth Curry</v>
      </c>
      <c r="Q159" t="str">
        <f t="shared" si="3"/>
        <v>Seth Curry</v>
      </c>
      <c r="R159" t="s">
        <v>44</v>
      </c>
      <c r="S159" s="411" t="s">
        <v>71</v>
      </c>
      <c r="T159" t="s">
        <v>2631</v>
      </c>
      <c r="U159" t="s">
        <v>2631</v>
      </c>
      <c r="V159" t="s">
        <v>34</v>
      </c>
      <c r="W159" t="str">
        <f t="shared" si="1"/>
        <v>PGSGC</v>
      </c>
    </row>
    <row r="160">
      <c r="A160" s="447">
        <v>152.0</v>
      </c>
      <c r="B160" s="448" t="s">
        <v>2784</v>
      </c>
      <c r="C160" s="449"/>
      <c r="D160" s="449"/>
      <c r="E160" s="459">
        <v>1.3</v>
      </c>
      <c r="F160" s="459">
        <v>2.0</v>
      </c>
      <c r="G160" s="459">
        <v>6.3</v>
      </c>
      <c r="H160" s="459">
        <v>3.3</v>
      </c>
      <c r="I160" s="459">
        <v>1.4</v>
      </c>
      <c r="J160" s="459">
        <v>0.3</v>
      </c>
      <c r="K160" s="459">
        <v>1.6</v>
      </c>
      <c r="L160" s="459">
        <v>11.7</v>
      </c>
      <c r="M160" s="459">
        <v>19.1</v>
      </c>
      <c r="N160" s="460">
        <f>+16.2</f>
        <v>16.2</v>
      </c>
      <c r="O160" t="str">
        <f>IFERROR(__xludf.DUMMYFUNCTION("regexextract(B160,""[\w]* [\w]*"")"),"Marcus Morris")</f>
        <v>Marcus Morris</v>
      </c>
      <c r="P160" t="str">
        <f t="shared" si="2"/>
        <v>Marcus Morris</v>
      </c>
      <c r="Q160" t="str">
        <f t="shared" si="3"/>
        <v>Marcus Morris</v>
      </c>
      <c r="R160" t="s">
        <v>2631</v>
      </c>
      <c r="S160" s="411" t="s">
        <v>2631</v>
      </c>
      <c r="T160" t="s">
        <v>72</v>
      </c>
      <c r="U160" t="s">
        <v>73</v>
      </c>
      <c r="V160" t="s">
        <v>34</v>
      </c>
      <c r="W160" t="str">
        <f t="shared" si="1"/>
        <v>SFPFC</v>
      </c>
    </row>
    <row r="161">
      <c r="A161" s="444">
        <v>153.0</v>
      </c>
      <c r="B161" s="445" t="s">
        <v>2785</v>
      </c>
      <c r="C161" s="446"/>
      <c r="D161" s="446"/>
      <c r="E161" s="458">
        <v>3.1</v>
      </c>
      <c r="F161" s="458">
        <v>3.2</v>
      </c>
      <c r="G161" s="458">
        <v>5.1</v>
      </c>
      <c r="H161" s="458">
        <v>1.5</v>
      </c>
      <c r="I161" s="458">
        <v>0.8</v>
      </c>
      <c r="J161" s="458">
        <v>0.2</v>
      </c>
      <c r="K161" s="458">
        <v>1.0</v>
      </c>
      <c r="L161" s="458">
        <v>15.9</v>
      </c>
      <c r="M161" s="458">
        <v>24.2</v>
      </c>
      <c r="N161" s="461">
        <f>+15.5</f>
        <v>15.5</v>
      </c>
      <c r="O161" t="str">
        <f>IFERROR(__xludf.DUMMYFUNCTION("regexextract(B161,""[\w]* [\w]*"")"),"Doug McDermott")</f>
        <v>Doug McDermott</v>
      </c>
      <c r="P161" t="str">
        <f t="shared" si="2"/>
        <v>Doug McDermott</v>
      </c>
      <c r="Q161" t="str">
        <f t="shared" si="3"/>
        <v>Doug McDermott</v>
      </c>
      <c r="R161" t="s">
        <v>2631</v>
      </c>
      <c r="S161" s="411" t="s">
        <v>2631</v>
      </c>
      <c r="T161" t="s">
        <v>72</v>
      </c>
      <c r="U161" t="s">
        <v>73</v>
      </c>
      <c r="V161" t="s">
        <v>34</v>
      </c>
      <c r="W161" t="str">
        <f t="shared" si="1"/>
        <v>SFPFC</v>
      </c>
    </row>
    <row r="162">
      <c r="A162" s="447">
        <v>154.0</v>
      </c>
      <c r="B162" s="448" t="s">
        <v>2786</v>
      </c>
      <c r="C162" s="449"/>
      <c r="D162" s="449"/>
      <c r="E162" s="459">
        <v>1.4</v>
      </c>
      <c r="F162" s="459">
        <v>2.4</v>
      </c>
      <c r="G162" s="459">
        <v>3.8</v>
      </c>
      <c r="H162" s="459">
        <v>5.0</v>
      </c>
      <c r="I162" s="459">
        <v>0.8</v>
      </c>
      <c r="J162" s="459">
        <v>0.2</v>
      </c>
      <c r="K162" s="459">
        <v>1.9</v>
      </c>
      <c r="L162" s="459">
        <v>11.4</v>
      </c>
      <c r="M162" s="459">
        <v>69.3</v>
      </c>
      <c r="N162" s="460">
        <f>+1.5</f>
        <v>1.5</v>
      </c>
      <c r="O162" t="str">
        <f>IFERROR(__xludf.DUMMYFUNCTION("regexextract(B162,""[\w]* [\w]*"")"),"Nerlens Noel")</f>
        <v>Nerlens Noel</v>
      </c>
      <c r="P162" t="str">
        <f t="shared" si="2"/>
        <v>Nerlens Noel</v>
      </c>
      <c r="Q162" t="str">
        <f t="shared" si="3"/>
        <v>Nerlens Noel</v>
      </c>
      <c r="R162" t="s">
        <v>2631</v>
      </c>
      <c r="S162" s="411" t="s">
        <v>2631</v>
      </c>
      <c r="T162" t="s">
        <v>2631</v>
      </c>
      <c r="U162" t="s">
        <v>2631</v>
      </c>
      <c r="V162" t="s">
        <v>34</v>
      </c>
      <c r="W162" t="str">
        <f t="shared" si="1"/>
        <v>C</v>
      </c>
    </row>
    <row r="163">
      <c r="A163" s="444">
        <v>155.0</v>
      </c>
      <c r="B163" s="445" t="s">
        <v>2787</v>
      </c>
      <c r="C163" s="446"/>
      <c r="D163" s="446"/>
      <c r="E163" s="458">
        <v>1.7</v>
      </c>
      <c r="F163" s="458">
        <v>1.7</v>
      </c>
      <c r="G163" s="458">
        <v>6.1</v>
      </c>
      <c r="H163" s="458">
        <v>2.2</v>
      </c>
      <c r="I163" s="458">
        <v>0.7</v>
      </c>
      <c r="J163" s="458">
        <v>0.8</v>
      </c>
      <c r="K163" s="458">
        <v>1.6</v>
      </c>
      <c r="L163" s="458">
        <v>12.6</v>
      </c>
      <c r="M163" s="458">
        <v>81.6</v>
      </c>
      <c r="N163" s="462">
        <v>-1.7</v>
      </c>
      <c r="O163" t="str">
        <f>IFERROR(__xludf.DUMMYFUNCTION("regexextract(B163,""[\w]* [\w]*"")"),"LaMarcus Aldridge")</f>
        <v>LaMarcus Aldridge</v>
      </c>
      <c r="P163" t="str">
        <f t="shared" si="2"/>
        <v>LaMarcus Aldridge</v>
      </c>
      <c r="Q163" t="str">
        <f t="shared" si="3"/>
        <v>LaMarcus Aldridge</v>
      </c>
      <c r="R163" t="s">
        <v>2631</v>
      </c>
      <c r="S163" s="411" t="s">
        <v>2631</v>
      </c>
      <c r="T163" t="s">
        <v>2631</v>
      </c>
      <c r="U163" t="s">
        <v>73</v>
      </c>
      <c r="V163" t="s">
        <v>34</v>
      </c>
      <c r="W163" t="str">
        <f t="shared" si="1"/>
        <v>PFC</v>
      </c>
    </row>
    <row r="164">
      <c r="A164" s="447">
        <v>156.0</v>
      </c>
      <c r="B164" s="448" t="s">
        <v>2788</v>
      </c>
      <c r="C164" s="449"/>
      <c r="D164" s="449"/>
      <c r="E164" s="459">
        <v>1.9</v>
      </c>
      <c r="F164" s="459">
        <v>1.5</v>
      </c>
      <c r="G164" s="459">
        <v>4.7</v>
      </c>
      <c r="H164" s="459">
        <v>1.0</v>
      </c>
      <c r="I164" s="459">
        <v>0.6</v>
      </c>
      <c r="J164" s="459">
        <v>1.8</v>
      </c>
      <c r="K164" s="459">
        <v>0.9</v>
      </c>
      <c r="L164" s="459">
        <v>11.7</v>
      </c>
      <c r="M164" s="459">
        <v>48.8</v>
      </c>
      <c r="N164" s="460">
        <f>+8.8</f>
        <v>8.8</v>
      </c>
      <c r="O164" t="str">
        <f>IFERROR(__xludf.DUMMYFUNCTION("regexextract(B164,""[\w]* [\w]*"")"),"Moses Brown")</f>
        <v>Moses Brown</v>
      </c>
      <c r="P164" t="str">
        <f t="shared" si="2"/>
        <v>Moses Brown</v>
      </c>
      <c r="Q164" t="str">
        <f t="shared" si="3"/>
        <v>Moses Brown</v>
      </c>
      <c r="R164" t="s">
        <v>2631</v>
      </c>
      <c r="S164" s="411" t="s">
        <v>2631</v>
      </c>
      <c r="T164" t="s">
        <v>2631</v>
      </c>
      <c r="U164" t="s">
        <v>2631</v>
      </c>
      <c r="V164" t="s">
        <v>34</v>
      </c>
      <c r="W164" t="str">
        <f t="shared" si="1"/>
        <v>C</v>
      </c>
    </row>
    <row r="165">
      <c r="A165" s="444">
        <v>157.0</v>
      </c>
      <c r="B165" s="445" t="s">
        <v>2789</v>
      </c>
      <c r="C165" s="446"/>
      <c r="D165" s="446"/>
      <c r="E165" s="458">
        <v>2.0</v>
      </c>
      <c r="F165" s="458">
        <v>0.7</v>
      </c>
      <c r="G165" s="458">
        <v>6.6</v>
      </c>
      <c r="H165" s="458">
        <v>1.9</v>
      </c>
      <c r="I165" s="458">
        <v>0.7</v>
      </c>
      <c r="J165" s="458">
        <v>1.2</v>
      </c>
      <c r="K165" s="458">
        <v>1.1</v>
      </c>
      <c r="L165" s="458">
        <v>10.8</v>
      </c>
      <c r="M165" s="458">
        <v>55.0</v>
      </c>
      <c r="N165" s="461">
        <f>+2.1</f>
        <v>2.1</v>
      </c>
      <c r="O165" t="str">
        <f>IFERROR(__xludf.DUMMYFUNCTION("regexextract(B165,""[\w]* [\w]*"")"),"Cole Anthony")</f>
        <v>Cole Anthony</v>
      </c>
      <c r="P165" t="str">
        <f t="shared" si="2"/>
        <v>Cole Anthony</v>
      </c>
      <c r="Q165" t="str">
        <f t="shared" si="3"/>
        <v>Cole Anthony</v>
      </c>
      <c r="R165" t="s">
        <v>44</v>
      </c>
      <c r="S165" s="411" t="s">
        <v>2631</v>
      </c>
      <c r="T165" t="s">
        <v>2631</v>
      </c>
      <c r="U165" t="s">
        <v>2631</v>
      </c>
      <c r="V165" t="s">
        <v>34</v>
      </c>
      <c r="W165" t="str">
        <f t="shared" si="1"/>
        <v>PGC</v>
      </c>
    </row>
    <row r="166">
      <c r="A166" s="447">
        <v>158.0</v>
      </c>
      <c r="B166" s="448" t="s">
        <v>2790</v>
      </c>
      <c r="C166" s="449"/>
      <c r="D166" s="449"/>
      <c r="E166" s="459">
        <v>2.3</v>
      </c>
      <c r="F166" s="459">
        <v>0.0</v>
      </c>
      <c r="G166" s="459">
        <v>8.3</v>
      </c>
      <c r="H166" s="459">
        <v>0.6</v>
      </c>
      <c r="I166" s="459">
        <v>1.1</v>
      </c>
      <c r="J166" s="459">
        <v>2.1</v>
      </c>
      <c r="K166" s="459">
        <v>0.8</v>
      </c>
      <c r="L166" s="459">
        <v>9.6</v>
      </c>
      <c r="M166" s="459">
        <v>65.4</v>
      </c>
      <c r="N166" s="463">
        <v>-1.3</v>
      </c>
      <c r="O166" t="str">
        <f>IFERROR(__xludf.DUMMYFUNCTION("regexextract(B166,""[\w]* [\w]*"")"),"Duncan Robinson")</f>
        <v>Duncan Robinson</v>
      </c>
      <c r="P166" t="str">
        <f t="shared" si="2"/>
        <v>Duncan Robinson</v>
      </c>
      <c r="Q166" t="str">
        <f t="shared" si="3"/>
        <v>Duncan Robinson</v>
      </c>
      <c r="R166" t="s">
        <v>2631</v>
      </c>
      <c r="S166" s="411" t="s">
        <v>71</v>
      </c>
      <c r="T166" t="s">
        <v>72</v>
      </c>
      <c r="U166" t="s">
        <v>2631</v>
      </c>
      <c r="V166" t="s">
        <v>34</v>
      </c>
      <c r="W166" t="str">
        <f t="shared" si="1"/>
        <v>SGSFC</v>
      </c>
    </row>
    <row r="167">
      <c r="A167" s="444">
        <v>159.0</v>
      </c>
      <c r="B167" s="445" t="s">
        <v>2791</v>
      </c>
      <c r="C167" s="446"/>
      <c r="D167" s="446"/>
      <c r="E167" s="458">
        <v>2.2</v>
      </c>
      <c r="F167" s="458">
        <v>2.5</v>
      </c>
      <c r="G167" s="458">
        <v>3.5</v>
      </c>
      <c r="H167" s="458">
        <v>2.3</v>
      </c>
      <c r="I167" s="458">
        <v>0.8</v>
      </c>
      <c r="J167" s="458">
        <v>0.2</v>
      </c>
      <c r="K167" s="458">
        <v>1.6</v>
      </c>
      <c r="L167" s="458">
        <v>17.3</v>
      </c>
      <c r="M167" s="458">
        <v>74.2</v>
      </c>
      <c r="N167" s="461">
        <f>+1.1</f>
        <v>1.1</v>
      </c>
      <c r="O167" t="str">
        <f>IFERROR(__xludf.DUMMYFUNCTION("regexextract(B167,""[\w]* [\w]*"")"),"Enes Kanter")</f>
        <v>Enes Kanter</v>
      </c>
      <c r="P167" t="str">
        <f t="shared" si="2"/>
        <v>Enes Kanter</v>
      </c>
      <c r="Q167" t="str">
        <f t="shared" si="3"/>
        <v>Enes Kanter</v>
      </c>
      <c r="R167" t="s">
        <v>2631</v>
      </c>
      <c r="S167" s="411" t="s">
        <v>2631</v>
      </c>
      <c r="T167" t="s">
        <v>2631</v>
      </c>
      <c r="U167" t="s">
        <v>2631</v>
      </c>
      <c r="V167" t="s">
        <v>34</v>
      </c>
      <c r="W167" t="str">
        <f t="shared" si="1"/>
        <v>C</v>
      </c>
    </row>
    <row r="168">
      <c r="A168" s="447">
        <v>160.0</v>
      </c>
      <c r="B168" s="448" t="s">
        <v>2792</v>
      </c>
      <c r="C168" s="449"/>
      <c r="D168" s="449"/>
      <c r="E168" s="459">
        <v>2.2</v>
      </c>
      <c r="F168" s="459">
        <v>1.5</v>
      </c>
      <c r="G168" s="459">
        <v>3.2</v>
      </c>
      <c r="H168" s="459">
        <v>6.5</v>
      </c>
      <c r="I168" s="459">
        <v>1.3</v>
      </c>
      <c r="J168" s="459">
        <v>0.5</v>
      </c>
      <c r="K168" s="459">
        <v>3.9</v>
      </c>
      <c r="L168" s="459">
        <v>14.2</v>
      </c>
      <c r="M168" s="459">
        <v>17.5</v>
      </c>
      <c r="N168" s="460">
        <f>+15.6</f>
        <v>15.6</v>
      </c>
      <c r="O168" t="str">
        <f>IFERROR(__xludf.DUMMYFUNCTION("regexextract(B168,""[\w]* [\w]*"")"),"Talen Horton")</f>
        <v>Talen Horton</v>
      </c>
      <c r="P168" t="str">
        <f t="shared" si="2"/>
        <v>Talen Horton</v>
      </c>
      <c r="Q168" t="str">
        <f t="shared" si="3"/>
        <v>Talen Horton</v>
      </c>
      <c r="R168" t="s">
        <v>2631</v>
      </c>
      <c r="S168" s="411" t="s">
        <v>71</v>
      </c>
      <c r="T168" t="s">
        <v>72</v>
      </c>
      <c r="U168" t="s">
        <v>2631</v>
      </c>
      <c r="V168" t="s">
        <v>34</v>
      </c>
      <c r="W168" t="str">
        <f t="shared" si="1"/>
        <v>SGSFC</v>
      </c>
    </row>
    <row r="169">
      <c r="A169" s="444">
        <v>161.0</v>
      </c>
      <c r="B169" s="445" t="s">
        <v>2793</v>
      </c>
      <c r="C169" s="446"/>
      <c r="D169" s="446"/>
      <c r="E169" s="458">
        <v>4.0</v>
      </c>
      <c r="F169" s="458">
        <v>0.8</v>
      </c>
      <c r="G169" s="458">
        <v>8.9</v>
      </c>
      <c r="H169" s="458">
        <v>1.2</v>
      </c>
      <c r="I169" s="458">
        <v>0.6</v>
      </c>
      <c r="J169" s="458">
        <v>0.8</v>
      </c>
      <c r="K169" s="458">
        <v>1.7</v>
      </c>
      <c r="L169" s="458">
        <v>17.3</v>
      </c>
      <c r="M169" s="458">
        <v>70.3</v>
      </c>
      <c r="N169" s="462">
        <v>-0.3</v>
      </c>
      <c r="O169" t="str">
        <f>IFERROR(__xludf.DUMMYFUNCTION("regexextract(B169,""[\w]* [\w]*"")"),"Jalen Brunson")</f>
        <v>Jalen Brunson</v>
      </c>
      <c r="P169" t="str">
        <f t="shared" si="2"/>
        <v>Jalen Brunson</v>
      </c>
      <c r="Q169" t="str">
        <f t="shared" si="3"/>
        <v>Jalen Brunson</v>
      </c>
      <c r="R169" t="s">
        <v>44</v>
      </c>
      <c r="S169" s="411" t="s">
        <v>2631</v>
      </c>
      <c r="T169" t="s">
        <v>2631</v>
      </c>
      <c r="U169" t="s">
        <v>2631</v>
      </c>
      <c r="V169" t="s">
        <v>2631</v>
      </c>
      <c r="W169" t="str">
        <f t="shared" si="1"/>
        <v>PG</v>
      </c>
    </row>
    <row r="170">
      <c r="A170" s="447">
        <v>162.0</v>
      </c>
      <c r="B170" s="448" t="s">
        <v>2794</v>
      </c>
      <c r="C170" s="449"/>
      <c r="D170" s="449"/>
      <c r="E170" s="459">
        <v>3.7</v>
      </c>
      <c r="F170" s="459">
        <v>1.7</v>
      </c>
      <c r="G170" s="459">
        <v>5.3</v>
      </c>
      <c r="H170" s="459">
        <v>3.7</v>
      </c>
      <c r="I170" s="459">
        <v>1.0</v>
      </c>
      <c r="J170" s="459">
        <v>0.3</v>
      </c>
      <c r="K170" s="459">
        <v>1.8</v>
      </c>
      <c r="L170" s="459">
        <v>17.3</v>
      </c>
      <c r="M170" s="459">
        <v>83.5</v>
      </c>
      <c r="N170" s="463">
        <v>-2.9</v>
      </c>
      <c r="O170" t="str">
        <f>IFERROR(__xludf.DUMMYFUNCTION("regexextract(B170,""[\w]* [\w]*"")"),"Jae Crowder")</f>
        <v>Jae Crowder</v>
      </c>
      <c r="P170" t="str">
        <f t="shared" si="2"/>
        <v>Jae Crowder</v>
      </c>
      <c r="Q170" t="str">
        <f t="shared" si="3"/>
        <v>Jae Crowder</v>
      </c>
      <c r="R170" t="s">
        <v>2631</v>
      </c>
      <c r="S170" s="411" t="s">
        <v>2631</v>
      </c>
      <c r="T170" t="s">
        <v>72</v>
      </c>
      <c r="U170" t="s">
        <v>73</v>
      </c>
      <c r="V170" t="s">
        <v>34</v>
      </c>
      <c r="W170" t="str">
        <f t="shared" si="1"/>
        <v>SFPFC</v>
      </c>
    </row>
    <row r="171">
      <c r="A171" s="444">
        <v>163.0</v>
      </c>
      <c r="B171" s="445" t="s">
        <v>2795</v>
      </c>
      <c r="C171" s="446"/>
      <c r="D171" s="446"/>
      <c r="E171" s="458">
        <v>2.1</v>
      </c>
      <c r="F171" s="458">
        <v>2.7</v>
      </c>
      <c r="G171" s="458">
        <v>2.9</v>
      </c>
      <c r="H171" s="458">
        <v>3.4</v>
      </c>
      <c r="I171" s="458">
        <v>1.1</v>
      </c>
      <c r="J171" s="458">
        <v>0.3</v>
      </c>
      <c r="K171" s="458">
        <v>1.9</v>
      </c>
      <c r="L171" s="458">
        <v>14.8</v>
      </c>
      <c r="M171" s="458">
        <v>67.8</v>
      </c>
      <c r="N171" s="462">
        <v>-0.2</v>
      </c>
      <c r="O171" t="str">
        <f>IFERROR(__xludf.DUMMYFUNCTION("regexextract(B171,""[\w]* [\w]*"")"),"Danny Green")</f>
        <v>Danny Green</v>
      </c>
      <c r="P171" t="str">
        <f t="shared" si="2"/>
        <v>Danny Green</v>
      </c>
      <c r="Q171" t="str">
        <f t="shared" si="3"/>
        <v>Danny Green</v>
      </c>
      <c r="R171" t="s">
        <v>2631</v>
      </c>
      <c r="S171" s="411" t="s">
        <v>71</v>
      </c>
      <c r="T171" t="s">
        <v>72</v>
      </c>
      <c r="U171" t="s">
        <v>2631</v>
      </c>
      <c r="V171" t="s">
        <v>2631</v>
      </c>
      <c r="W171" t="str">
        <f t="shared" si="1"/>
        <v>SGSF</v>
      </c>
    </row>
    <row r="172">
      <c r="A172" s="447">
        <v>164.0</v>
      </c>
      <c r="B172" s="448" t="s">
        <v>2796</v>
      </c>
      <c r="C172" s="449"/>
      <c r="D172" s="449"/>
      <c r="E172" s="459">
        <v>2.1</v>
      </c>
      <c r="F172" s="459">
        <v>0.4</v>
      </c>
      <c r="G172" s="459">
        <v>6.2</v>
      </c>
      <c r="H172" s="459">
        <v>1.7</v>
      </c>
      <c r="I172" s="459">
        <v>1.0</v>
      </c>
      <c r="J172" s="459">
        <v>0.9</v>
      </c>
      <c r="K172" s="459">
        <v>0.7</v>
      </c>
      <c r="L172" s="459">
        <v>11.9</v>
      </c>
      <c r="M172" s="459">
        <v>18.6</v>
      </c>
      <c r="N172" s="460">
        <f>+14</f>
        <v>14</v>
      </c>
      <c r="O172" t="str">
        <f>IFERROR(__xludf.DUMMYFUNCTION("regexextract(B172,""[\w]* [\w]*"")"),"Terrence Ross")</f>
        <v>Terrence Ross</v>
      </c>
      <c r="P172" t="str">
        <f t="shared" si="2"/>
        <v>Terrence Ross</v>
      </c>
      <c r="Q172" t="str">
        <f t="shared" si="3"/>
        <v>Terrence Ross</v>
      </c>
      <c r="R172" t="s">
        <v>2631</v>
      </c>
      <c r="S172" s="411" t="s">
        <v>71</v>
      </c>
      <c r="T172" t="s">
        <v>72</v>
      </c>
      <c r="U172" t="s">
        <v>2631</v>
      </c>
      <c r="V172" t="s">
        <v>34</v>
      </c>
      <c r="W172" t="str">
        <f t="shared" si="1"/>
        <v>SGSFC</v>
      </c>
    </row>
    <row r="173">
      <c r="A173" s="444">
        <v>165.0</v>
      </c>
      <c r="B173" s="445" t="s">
        <v>2797</v>
      </c>
      <c r="C173" s="446"/>
      <c r="D173" s="446"/>
      <c r="E173" s="458">
        <v>2.1</v>
      </c>
      <c r="F173" s="458">
        <v>0.4</v>
      </c>
      <c r="G173" s="458">
        <v>11.9</v>
      </c>
      <c r="H173" s="458">
        <v>1.8</v>
      </c>
      <c r="I173" s="458">
        <v>0.5</v>
      </c>
      <c r="J173" s="458">
        <v>1.0</v>
      </c>
      <c r="K173" s="458">
        <v>1.6</v>
      </c>
      <c r="L173" s="458">
        <v>13.0</v>
      </c>
      <c r="M173" s="458">
        <v>85.9</v>
      </c>
      <c r="N173" s="462">
        <v>-1.6</v>
      </c>
      <c r="O173" t="str">
        <f>IFERROR(__xludf.DUMMYFUNCTION("regexextract(B173,""[\w]* [\w]*"")"),"James WisemanO")</f>
        <v>James WisemanO</v>
      </c>
      <c r="P173" t="str">
        <f t="shared" si="2"/>
        <v>James WisemanO</v>
      </c>
      <c r="Q173" t="str">
        <f t="shared" si="3"/>
        <v>James Wiseman</v>
      </c>
      <c r="R173" t="s">
        <v>2631</v>
      </c>
      <c r="S173" s="411" t="s">
        <v>2631</v>
      </c>
      <c r="T173" t="s">
        <v>2631</v>
      </c>
      <c r="U173" t="s">
        <v>2631</v>
      </c>
      <c r="V173" t="s">
        <v>34</v>
      </c>
      <c r="W173" t="str">
        <f t="shared" si="1"/>
        <v>C</v>
      </c>
    </row>
    <row r="174">
      <c r="A174" s="447">
        <v>166.0</v>
      </c>
      <c r="B174" s="448" t="s">
        <v>2798</v>
      </c>
      <c r="C174" s="449"/>
      <c r="D174" s="449"/>
      <c r="E174" s="459">
        <v>3.0</v>
      </c>
      <c r="F174" s="459">
        <v>0.0</v>
      </c>
      <c r="G174" s="459">
        <v>10.2</v>
      </c>
      <c r="H174" s="459">
        <v>0.8</v>
      </c>
      <c r="I174" s="459">
        <v>0.4</v>
      </c>
      <c r="J174" s="459">
        <v>2.1</v>
      </c>
      <c r="K174" s="459">
        <v>1.5</v>
      </c>
      <c r="L174" s="459">
        <v>12.0</v>
      </c>
      <c r="M174" s="459">
        <v>15.7</v>
      </c>
      <c r="N174" s="460">
        <f>+14.2</f>
        <v>14.2</v>
      </c>
      <c r="O174" t="str">
        <f>IFERROR(__xludf.DUMMYFUNCTION("regexextract(B174,""[\w]* [\w]*"")"),"Daniel Gafford")</f>
        <v>Daniel Gafford</v>
      </c>
      <c r="P174" t="str">
        <f t="shared" si="2"/>
        <v>Daniel Gafford</v>
      </c>
      <c r="Q174" t="str">
        <f t="shared" si="3"/>
        <v>Daniel Gafford</v>
      </c>
      <c r="R174" t="s">
        <v>2631</v>
      </c>
      <c r="S174" s="411" t="s">
        <v>2631</v>
      </c>
      <c r="T174" t="s">
        <v>2631</v>
      </c>
      <c r="U174" t="s">
        <v>73</v>
      </c>
      <c r="V174" t="s">
        <v>34</v>
      </c>
      <c r="W174" t="str">
        <f t="shared" si="1"/>
        <v>PFC</v>
      </c>
    </row>
    <row r="175">
      <c r="A175" s="444">
        <v>167.0</v>
      </c>
      <c r="B175" s="445" t="s">
        <v>2799</v>
      </c>
      <c r="C175" s="446"/>
      <c r="D175" s="446"/>
      <c r="E175" s="458">
        <v>1.0</v>
      </c>
      <c r="F175" s="458">
        <v>3.0</v>
      </c>
      <c r="G175" s="458">
        <v>3.7</v>
      </c>
      <c r="H175" s="458">
        <v>1.9</v>
      </c>
      <c r="I175" s="458">
        <v>0.7</v>
      </c>
      <c r="J175" s="458">
        <v>0.2</v>
      </c>
      <c r="K175" s="458">
        <v>1.0</v>
      </c>
      <c r="L175" s="458">
        <v>14.1</v>
      </c>
      <c r="M175" s="458">
        <v>50.2</v>
      </c>
      <c r="N175" s="461">
        <f>+4.4</f>
        <v>4.4</v>
      </c>
      <c r="O175" t="str">
        <f>IFERROR(__xludf.DUMMYFUNCTION("regexextract(B175,""[\w]* [\w]*"")"),"Goran Dragic")</f>
        <v>Goran Dragic</v>
      </c>
      <c r="P175" t="str">
        <f t="shared" si="2"/>
        <v>Goran Dragic</v>
      </c>
      <c r="Q175" t="str">
        <f t="shared" si="3"/>
        <v>Goran Dragic</v>
      </c>
      <c r="R175" t="s">
        <v>44</v>
      </c>
      <c r="S175" s="411" t="s">
        <v>2631</v>
      </c>
      <c r="T175" t="s">
        <v>2631</v>
      </c>
      <c r="U175" t="s">
        <v>2631</v>
      </c>
      <c r="V175" t="s">
        <v>34</v>
      </c>
      <c r="W175" t="str">
        <f t="shared" si="1"/>
        <v>PGC</v>
      </c>
    </row>
    <row r="176">
      <c r="A176" s="447">
        <v>168.0</v>
      </c>
      <c r="B176" s="448" t="s">
        <v>2800</v>
      </c>
      <c r="C176" s="449"/>
      <c r="D176" s="449"/>
      <c r="E176" s="459">
        <v>1.9</v>
      </c>
      <c r="F176" s="459">
        <v>3.0</v>
      </c>
      <c r="G176" s="459">
        <v>3.9</v>
      </c>
      <c r="H176" s="459">
        <v>2.1</v>
      </c>
      <c r="I176" s="459">
        <v>0.8</v>
      </c>
      <c r="J176" s="459">
        <v>0.2</v>
      </c>
      <c r="K176" s="459">
        <v>1.5</v>
      </c>
      <c r="L176" s="459">
        <v>17.2</v>
      </c>
      <c r="M176" s="459">
        <v>69.7</v>
      </c>
      <c r="N176" s="463">
        <v>-2.6</v>
      </c>
      <c r="O176" t="str">
        <f>IFERROR(__xludf.DUMMYFUNCTION("regexextract(B176,""[\w]* [\w]*"")"),"Kevin Huerter")</f>
        <v>Kevin Huerter</v>
      </c>
      <c r="P176" t="str">
        <f t="shared" si="2"/>
        <v>Kevin Huerter</v>
      </c>
      <c r="Q176" t="str">
        <f t="shared" si="3"/>
        <v>Kevin Huerter</v>
      </c>
      <c r="R176" t="s">
        <v>2631</v>
      </c>
      <c r="S176" s="411" t="s">
        <v>71</v>
      </c>
      <c r="T176" t="s">
        <v>72</v>
      </c>
      <c r="U176" t="s">
        <v>2631</v>
      </c>
      <c r="V176" t="s">
        <v>2631</v>
      </c>
      <c r="W176" t="str">
        <f t="shared" si="1"/>
        <v>SGSF</v>
      </c>
    </row>
    <row r="177">
      <c r="A177" s="444">
        <v>169.0</v>
      </c>
      <c r="B177" s="445" t="s">
        <v>2801</v>
      </c>
      <c r="C177" s="446"/>
      <c r="D177" s="446"/>
      <c r="E177" s="458">
        <v>2.2</v>
      </c>
      <c r="F177" s="458">
        <v>2.0</v>
      </c>
      <c r="G177" s="458">
        <v>6.1</v>
      </c>
      <c r="H177" s="458">
        <v>2.0</v>
      </c>
      <c r="I177" s="458">
        <v>0.5</v>
      </c>
      <c r="J177" s="458">
        <v>0.6</v>
      </c>
      <c r="K177" s="458">
        <v>1.8</v>
      </c>
      <c r="L177" s="458">
        <v>15.0</v>
      </c>
      <c r="M177" s="458">
        <v>74.3</v>
      </c>
      <c r="N177" s="462">
        <v>-1.8</v>
      </c>
      <c r="O177" t="str">
        <f>IFERROR(__xludf.DUMMYFUNCTION("regexextract(B177,""[\w]* [\w]*"")"),"Alec Burks")</f>
        <v>Alec Burks</v>
      </c>
      <c r="P177" t="str">
        <f t="shared" si="2"/>
        <v>Alec Burks</v>
      </c>
      <c r="Q177" t="str">
        <f t="shared" si="3"/>
        <v>Alec Burks</v>
      </c>
      <c r="R177" t="s">
        <v>2631</v>
      </c>
      <c r="S177" s="411" t="s">
        <v>71</v>
      </c>
      <c r="T177" t="s">
        <v>2631</v>
      </c>
      <c r="U177" t="s">
        <v>2631</v>
      </c>
      <c r="V177" t="s">
        <v>34</v>
      </c>
      <c r="W177" t="str">
        <f t="shared" si="1"/>
        <v>SGC</v>
      </c>
    </row>
    <row r="178">
      <c r="A178" s="447">
        <v>170.0</v>
      </c>
      <c r="B178" s="448" t="s">
        <v>2802</v>
      </c>
      <c r="C178" s="449"/>
      <c r="D178" s="449"/>
      <c r="E178" s="459">
        <v>0.6</v>
      </c>
      <c r="F178" s="459">
        <v>0.2</v>
      </c>
      <c r="G178" s="459">
        <v>3.1</v>
      </c>
      <c r="H178" s="459">
        <v>5.5</v>
      </c>
      <c r="I178" s="459">
        <v>1.4</v>
      </c>
      <c r="J178" s="459">
        <v>0.3</v>
      </c>
      <c r="K178" s="459">
        <v>1.6</v>
      </c>
      <c r="L178" s="459">
        <v>7.5</v>
      </c>
      <c r="M178" s="459">
        <v>65.3</v>
      </c>
      <c r="N178" s="463">
        <v>-5.6</v>
      </c>
      <c r="O178" t="str">
        <f>IFERROR(__xludf.DUMMYFUNCTION("regexextract(B178,""[\w]* [\w]*"")"),"Aleksej Pokusevski")</f>
        <v>Aleksej Pokusevski</v>
      </c>
      <c r="P178" t="str">
        <f t="shared" si="2"/>
        <v>Aleksej Pokusevski</v>
      </c>
      <c r="Q178" t="str">
        <f t="shared" si="3"/>
        <v>Aleksej Pokusevski</v>
      </c>
      <c r="R178" t="s">
        <v>2631</v>
      </c>
      <c r="S178" s="411" t="s">
        <v>2631</v>
      </c>
      <c r="T178" t="s">
        <v>2631</v>
      </c>
      <c r="U178" t="s">
        <v>73</v>
      </c>
      <c r="V178" t="s">
        <v>34</v>
      </c>
      <c r="W178" t="str">
        <f t="shared" si="1"/>
        <v>PFC</v>
      </c>
    </row>
    <row r="179">
      <c r="A179" s="444">
        <v>171.0</v>
      </c>
      <c r="B179" s="445" t="s">
        <v>2803</v>
      </c>
      <c r="C179" s="446"/>
      <c r="D179" s="446"/>
      <c r="E179" s="458">
        <v>3.1</v>
      </c>
      <c r="F179" s="458">
        <v>2.8</v>
      </c>
      <c r="G179" s="458">
        <v>6.5</v>
      </c>
      <c r="H179" s="458">
        <v>1.2</v>
      </c>
      <c r="I179" s="458">
        <v>0.7</v>
      </c>
      <c r="J179" s="458">
        <v>0.4</v>
      </c>
      <c r="K179" s="458">
        <v>1.4</v>
      </c>
      <c r="L179" s="458">
        <v>17.8</v>
      </c>
      <c r="M179" s="458">
        <v>23.9</v>
      </c>
      <c r="N179" s="461">
        <f>+11.6</f>
        <v>11.6</v>
      </c>
      <c r="O179" t="str">
        <f>IFERROR(__xludf.DUMMYFUNCTION("regexextract(B179,""[\w]* [\w]*"")"),"Evan Mobley")</f>
        <v>Evan Mobley</v>
      </c>
      <c r="P179" t="str">
        <f t="shared" si="2"/>
        <v>Evan Mobley</v>
      </c>
      <c r="Q179" t="str">
        <f t="shared" si="3"/>
        <v>Evan Mobley</v>
      </c>
      <c r="R179" t="s">
        <v>2631</v>
      </c>
      <c r="S179" s="411" t="s">
        <v>2631</v>
      </c>
      <c r="T179" t="s">
        <v>2631</v>
      </c>
      <c r="U179" t="s">
        <v>73</v>
      </c>
      <c r="V179" t="s">
        <v>34</v>
      </c>
      <c r="W179" t="str">
        <f t="shared" si="1"/>
        <v>PFC</v>
      </c>
    </row>
    <row r="180">
      <c r="A180" s="447">
        <v>172.0</v>
      </c>
      <c r="B180" s="448" t="s">
        <v>2804</v>
      </c>
      <c r="C180" s="449"/>
      <c r="D180" s="449"/>
      <c r="E180" s="459">
        <v>2.8</v>
      </c>
      <c r="F180" s="459">
        <v>0.7</v>
      </c>
      <c r="G180" s="459">
        <v>8.0</v>
      </c>
      <c r="H180" s="459">
        <v>1.9</v>
      </c>
      <c r="I180" s="459">
        <v>0.4</v>
      </c>
      <c r="J180" s="459">
        <v>1.1</v>
      </c>
      <c r="K180" s="459">
        <v>1.3</v>
      </c>
      <c r="L180" s="459">
        <v>14.9</v>
      </c>
      <c r="M180" s="459">
        <v>49.2</v>
      </c>
      <c r="N180" s="463">
        <v>-7.5</v>
      </c>
      <c r="O180" t="str">
        <f>IFERROR(__xludf.DUMMYFUNCTION("regexextract(B180,""[\w]* [\w]*"")"),"Dorian Finney")</f>
        <v>Dorian Finney</v>
      </c>
      <c r="P180" t="str">
        <f t="shared" si="2"/>
        <v>Dorian Finney</v>
      </c>
      <c r="Q180" t="str">
        <f t="shared" si="3"/>
        <v>Dorian Finney</v>
      </c>
      <c r="R180" t="s">
        <v>2631</v>
      </c>
      <c r="S180" s="411" t="s">
        <v>2631</v>
      </c>
      <c r="T180" t="s">
        <v>72</v>
      </c>
      <c r="U180" t="s">
        <v>73</v>
      </c>
      <c r="V180" t="s">
        <v>2631</v>
      </c>
      <c r="W180" t="str">
        <f t="shared" si="1"/>
        <v>SFPF</v>
      </c>
    </row>
    <row r="181">
      <c r="A181" s="444">
        <v>173.0</v>
      </c>
      <c r="B181" s="445" t="s">
        <v>2805</v>
      </c>
      <c r="C181" s="446"/>
      <c r="D181" s="446"/>
      <c r="E181" s="458">
        <v>2.9</v>
      </c>
      <c r="F181" s="458">
        <v>1.2</v>
      </c>
      <c r="G181" s="458">
        <v>3.8</v>
      </c>
      <c r="H181" s="458">
        <v>1.4</v>
      </c>
      <c r="I181" s="458">
        <v>1.1</v>
      </c>
      <c r="J181" s="458">
        <v>0.5</v>
      </c>
      <c r="K181" s="458">
        <v>1.2</v>
      </c>
      <c r="L181" s="458">
        <v>17.6</v>
      </c>
      <c r="M181" s="458">
        <v>50.9</v>
      </c>
      <c r="N181" s="462">
        <v>-7.1</v>
      </c>
      <c r="O181" t="str">
        <f>IFERROR(__xludf.DUMMYFUNCTION("regexextract(B181,""[\w]* [\w]*"")"),"Chuma OkekeDTD")</f>
        <v>Chuma OkekeDTD</v>
      </c>
      <c r="P181" t="str">
        <f t="shared" si="2"/>
        <v>Chuma Okeke</v>
      </c>
      <c r="Q181" t="str">
        <f t="shared" si="3"/>
        <v>Chuma Okeke</v>
      </c>
      <c r="R181" t="s">
        <v>2631</v>
      </c>
      <c r="S181" s="411" t="s">
        <v>2631</v>
      </c>
      <c r="T181" t="s">
        <v>2631</v>
      </c>
      <c r="U181" t="s">
        <v>73</v>
      </c>
      <c r="V181" t="s">
        <v>34</v>
      </c>
      <c r="W181" t="str">
        <f t="shared" si="1"/>
        <v>PFC</v>
      </c>
    </row>
    <row r="182">
      <c r="A182" s="447">
        <v>174.0</v>
      </c>
      <c r="B182" s="448" t="s">
        <v>2806</v>
      </c>
      <c r="C182" s="449"/>
      <c r="D182" s="449"/>
      <c r="E182" s="459">
        <v>3.9</v>
      </c>
      <c r="F182" s="459">
        <v>2.6</v>
      </c>
      <c r="G182" s="459">
        <v>4.0</v>
      </c>
      <c r="H182" s="459">
        <v>2.0</v>
      </c>
      <c r="I182" s="459">
        <v>0.6</v>
      </c>
      <c r="J182" s="459">
        <v>0.1</v>
      </c>
      <c r="K182" s="459">
        <v>2.0</v>
      </c>
      <c r="L182" s="459">
        <v>18.1</v>
      </c>
      <c r="M182" s="459">
        <v>55.7</v>
      </c>
      <c r="N182" s="463">
        <v>-0.2</v>
      </c>
      <c r="O182" t="str">
        <f>IFERROR(__xludf.DUMMYFUNCTION("regexextract(B182,""[\w]* [\w]*"")"),"Khem Birch")</f>
        <v>Khem Birch</v>
      </c>
      <c r="P182" t="str">
        <f t="shared" si="2"/>
        <v>Khem Birch</v>
      </c>
      <c r="Q182" t="str">
        <f t="shared" si="3"/>
        <v>Khem Birch</v>
      </c>
      <c r="R182" t="s">
        <v>2631</v>
      </c>
      <c r="S182" s="411" t="s">
        <v>2631</v>
      </c>
      <c r="T182" t="s">
        <v>2631</v>
      </c>
      <c r="U182" t="s">
        <v>2631</v>
      </c>
      <c r="V182" t="s">
        <v>34</v>
      </c>
      <c r="W182" t="str">
        <f t="shared" si="1"/>
        <v>C</v>
      </c>
    </row>
    <row r="183">
      <c r="A183" s="444">
        <v>175.0</v>
      </c>
      <c r="B183" s="445" t="s">
        <v>2807</v>
      </c>
      <c r="C183" s="446"/>
      <c r="D183" s="446"/>
      <c r="E183" s="458">
        <v>2.8</v>
      </c>
      <c r="F183" s="458">
        <v>0.0</v>
      </c>
      <c r="G183" s="458">
        <v>9.1</v>
      </c>
      <c r="H183" s="458">
        <v>2.0</v>
      </c>
      <c r="I183" s="458">
        <v>1.0</v>
      </c>
      <c r="J183" s="458">
        <v>0.8</v>
      </c>
      <c r="K183" s="458">
        <v>1.5</v>
      </c>
      <c r="L183" s="458">
        <v>9.7</v>
      </c>
      <c r="M183" s="458">
        <v>17.5</v>
      </c>
      <c r="N183" s="461">
        <f>+7.4</f>
        <v>7.4</v>
      </c>
      <c r="O183" t="str">
        <f>IFERROR(__xludf.DUMMYFUNCTION("regexextract(B183,""[\w]* [\w]*"")"),"Terance Mann")</f>
        <v>Terance Mann</v>
      </c>
      <c r="P183" t="str">
        <f t="shared" si="2"/>
        <v>Terance Mann</v>
      </c>
      <c r="Q183" t="str">
        <f t="shared" si="3"/>
        <v>Terance Mann</v>
      </c>
      <c r="R183" t="s">
        <v>2631</v>
      </c>
      <c r="S183" s="411" t="s">
        <v>2631</v>
      </c>
      <c r="T183" t="s">
        <v>72</v>
      </c>
      <c r="U183" t="s">
        <v>2631</v>
      </c>
      <c r="V183" t="s">
        <v>34</v>
      </c>
      <c r="W183" t="str">
        <f t="shared" si="1"/>
        <v>SFC</v>
      </c>
    </row>
    <row r="184">
      <c r="A184" s="447">
        <v>176.0</v>
      </c>
      <c r="B184" s="448" t="s">
        <v>2808</v>
      </c>
      <c r="C184" s="449"/>
      <c r="D184" s="449"/>
      <c r="E184" s="459">
        <v>1.5</v>
      </c>
      <c r="F184" s="459">
        <v>1.3</v>
      </c>
      <c r="G184" s="459">
        <v>7.6</v>
      </c>
      <c r="H184" s="459">
        <v>1.4</v>
      </c>
      <c r="I184" s="459">
        <v>0.8</v>
      </c>
      <c r="J184" s="459">
        <v>0.4</v>
      </c>
      <c r="K184" s="459">
        <v>1.2</v>
      </c>
      <c r="L184" s="459">
        <v>13.0</v>
      </c>
      <c r="M184" s="459">
        <v>13.8</v>
      </c>
      <c r="N184" s="460">
        <f>+4.6</f>
        <v>4.6</v>
      </c>
      <c r="O184" t="str">
        <f>IFERROR(__xludf.DUMMYFUNCTION("regexextract(B184,""[\w]* [\w]*"")"),"Larry Nance")</f>
        <v>Larry Nance</v>
      </c>
      <c r="P184" t="str">
        <f t="shared" si="2"/>
        <v>Larry Nance</v>
      </c>
      <c r="Q184" t="str">
        <f t="shared" si="3"/>
        <v>Larry Nance</v>
      </c>
      <c r="R184" t="s">
        <v>2631</v>
      </c>
      <c r="S184" s="411" t="s">
        <v>2631</v>
      </c>
      <c r="T184" t="s">
        <v>2631</v>
      </c>
      <c r="U184" t="s">
        <v>73</v>
      </c>
      <c r="V184" t="s">
        <v>34</v>
      </c>
      <c r="W184" t="str">
        <f t="shared" si="1"/>
        <v>PFC</v>
      </c>
    </row>
    <row r="185">
      <c r="A185" s="444">
        <v>177.0</v>
      </c>
      <c r="B185" s="445" t="s">
        <v>2809</v>
      </c>
      <c r="C185" s="446"/>
      <c r="D185" s="446"/>
      <c r="E185" s="458">
        <v>2.8</v>
      </c>
      <c r="F185" s="458">
        <v>0.0</v>
      </c>
      <c r="G185" s="458">
        <v>8.4</v>
      </c>
      <c r="H185" s="458">
        <v>3.3</v>
      </c>
      <c r="I185" s="458">
        <v>0.7</v>
      </c>
      <c r="J185" s="458">
        <v>0.8</v>
      </c>
      <c r="K185" s="458">
        <v>1.7</v>
      </c>
      <c r="L185" s="458">
        <v>9.6</v>
      </c>
      <c r="M185" s="458">
        <v>59.5</v>
      </c>
      <c r="N185" s="462">
        <v>-13.6</v>
      </c>
      <c r="O185" t="str">
        <f>IFERROR(__xludf.DUMMYFUNCTION("regexextract(B185,""[\w]* [\w]*"")"),"Franz Wagner")</f>
        <v>Franz Wagner</v>
      </c>
      <c r="P185" t="str">
        <f t="shared" si="2"/>
        <v>Franz Wagner</v>
      </c>
      <c r="Q185" t="str">
        <f t="shared" si="3"/>
        <v>Franz Wagner</v>
      </c>
      <c r="R185" t="s">
        <v>2631</v>
      </c>
      <c r="S185" s="411" t="s">
        <v>2631</v>
      </c>
      <c r="T185" t="s">
        <v>72</v>
      </c>
      <c r="U185" t="s">
        <v>2631</v>
      </c>
      <c r="V185" t="s">
        <v>2631</v>
      </c>
      <c r="W185" t="str">
        <f t="shared" si="1"/>
        <v>SF</v>
      </c>
    </row>
    <row r="186">
      <c r="A186" s="447">
        <v>178.0</v>
      </c>
      <c r="B186" s="448" t="s">
        <v>2810</v>
      </c>
      <c r="C186" s="449"/>
      <c r="D186" s="449"/>
      <c r="E186" s="459">
        <v>2.5</v>
      </c>
      <c r="F186" s="459">
        <v>1.0</v>
      </c>
      <c r="G186" s="459">
        <v>3.4</v>
      </c>
      <c r="H186" s="459">
        <v>6.4</v>
      </c>
      <c r="I186" s="459">
        <v>1.3</v>
      </c>
      <c r="J186" s="459">
        <v>0.1</v>
      </c>
      <c r="K186" s="459">
        <v>1.9</v>
      </c>
      <c r="L186" s="459">
        <v>9.5</v>
      </c>
      <c r="M186" s="459">
        <v>8.7</v>
      </c>
      <c r="N186" s="460">
        <f>+2.9</f>
        <v>2.9</v>
      </c>
      <c r="O186" t="str">
        <f>IFERROR(__xludf.DUMMYFUNCTION("regexextract(B186,""[\w]* [\w]*"")"),"Coby WhiteO")</f>
        <v>Coby WhiteO</v>
      </c>
      <c r="P186" t="str">
        <f t="shared" si="2"/>
        <v>Coby WhiteO</v>
      </c>
      <c r="Q186" t="str">
        <f t="shared" si="3"/>
        <v>Coby White</v>
      </c>
      <c r="R186" t="s">
        <v>44</v>
      </c>
      <c r="S186" s="411" t="s">
        <v>2631</v>
      </c>
      <c r="T186" t="s">
        <v>2631</v>
      </c>
      <c r="U186" t="s">
        <v>2631</v>
      </c>
      <c r="V186" t="s">
        <v>34</v>
      </c>
      <c r="W186" t="str">
        <f t="shared" si="1"/>
        <v>PGC</v>
      </c>
    </row>
    <row r="187">
      <c r="A187" s="444">
        <v>179.0</v>
      </c>
      <c r="B187" s="445" t="s">
        <v>2811</v>
      </c>
      <c r="C187" s="446"/>
      <c r="D187" s="446"/>
      <c r="E187" s="458">
        <v>1.8</v>
      </c>
      <c r="F187" s="458">
        <v>2.7</v>
      </c>
      <c r="G187" s="458">
        <v>3.4</v>
      </c>
      <c r="H187" s="458">
        <v>2.1</v>
      </c>
      <c r="I187" s="458">
        <v>1.0</v>
      </c>
      <c r="J187" s="458">
        <v>0.5</v>
      </c>
      <c r="K187" s="458">
        <v>1.3</v>
      </c>
      <c r="L187" s="458">
        <v>18.8</v>
      </c>
      <c r="M187" s="458">
        <v>88.5</v>
      </c>
      <c r="N187" s="462">
        <v>-2.1</v>
      </c>
      <c r="O187" t="str">
        <f>IFERROR(__xludf.DUMMYFUNCTION("regexextract(B187,""[\w]* [\w]*"")"),"Blake Griffin")</f>
        <v>Blake Griffin</v>
      </c>
      <c r="P187" t="str">
        <f t="shared" si="2"/>
        <v>Blake Griffin</v>
      </c>
      <c r="Q187" t="str">
        <f t="shared" si="3"/>
        <v>Blake Griffin</v>
      </c>
      <c r="R187" t="s">
        <v>2631</v>
      </c>
      <c r="S187" s="411" t="s">
        <v>2631</v>
      </c>
      <c r="T187" t="s">
        <v>2631</v>
      </c>
      <c r="U187" t="s">
        <v>73</v>
      </c>
      <c r="V187" t="s">
        <v>2631</v>
      </c>
      <c r="W187" t="str">
        <f t="shared" si="1"/>
        <v>PF</v>
      </c>
    </row>
    <row r="188">
      <c r="A188" s="447">
        <v>180.0</v>
      </c>
      <c r="B188" s="448" t="s">
        <v>2812</v>
      </c>
      <c r="C188" s="449"/>
      <c r="D188" s="449"/>
      <c r="E188" s="459">
        <v>2.2</v>
      </c>
      <c r="F188" s="459">
        <v>1.6</v>
      </c>
      <c r="G188" s="459">
        <v>5.9</v>
      </c>
      <c r="H188" s="459">
        <v>2.4</v>
      </c>
      <c r="I188" s="459">
        <v>0.9</v>
      </c>
      <c r="J188" s="459">
        <v>0.5</v>
      </c>
      <c r="K188" s="459">
        <v>1.5</v>
      </c>
      <c r="L188" s="459">
        <v>11.4</v>
      </c>
      <c r="M188" s="459">
        <v>62.7</v>
      </c>
      <c r="N188" s="463">
        <v>-10.5</v>
      </c>
      <c r="O188" t="str">
        <f>IFERROR(__xludf.DUMMYFUNCTION("regexextract(B188,""[\w]* [\w]*"")"),"Rudy GayO")</f>
        <v>Rudy GayO</v>
      </c>
      <c r="P188" t="str">
        <f t="shared" si="2"/>
        <v>Rudy GayO</v>
      </c>
      <c r="Q188" t="str">
        <f t="shared" si="3"/>
        <v>Rudy Gay</v>
      </c>
      <c r="R188" t="s">
        <v>2631</v>
      </c>
      <c r="S188" s="411" t="s">
        <v>2631</v>
      </c>
      <c r="T188" t="s">
        <v>2631</v>
      </c>
      <c r="U188" t="s">
        <v>73</v>
      </c>
      <c r="V188" t="s">
        <v>2631</v>
      </c>
      <c r="W188" t="str">
        <f t="shared" si="1"/>
        <v>PF</v>
      </c>
    </row>
    <row r="189">
      <c r="A189" s="444">
        <v>181.0</v>
      </c>
      <c r="B189" s="445" t="s">
        <v>2813</v>
      </c>
      <c r="C189" s="446"/>
      <c r="D189" s="446"/>
      <c r="E189" s="458">
        <v>1.8</v>
      </c>
      <c r="F189" s="458">
        <v>1.3</v>
      </c>
      <c r="G189" s="458">
        <v>2.6</v>
      </c>
      <c r="H189" s="458">
        <v>4.1</v>
      </c>
      <c r="I189" s="458">
        <v>0.9</v>
      </c>
      <c r="J189" s="458">
        <v>0.3</v>
      </c>
      <c r="K189" s="458">
        <v>0.9</v>
      </c>
      <c r="L189" s="458">
        <v>12.6</v>
      </c>
      <c r="M189" s="458">
        <v>3.9</v>
      </c>
      <c r="N189" s="461">
        <f>+2</f>
        <v>2</v>
      </c>
      <c r="O189" t="str">
        <f>IFERROR(__xludf.DUMMYFUNCTION("regexextract(B189,""[\w]* [\w]*"")"),"Josh Hart")</f>
        <v>Josh Hart</v>
      </c>
      <c r="P189" t="str">
        <f t="shared" si="2"/>
        <v>Josh Hart</v>
      </c>
      <c r="Q189" t="str">
        <f t="shared" si="3"/>
        <v>Josh Hart</v>
      </c>
      <c r="R189" t="s">
        <v>2631</v>
      </c>
      <c r="S189" s="411" t="s">
        <v>71</v>
      </c>
      <c r="T189" t="s">
        <v>72</v>
      </c>
      <c r="U189" t="s">
        <v>2631</v>
      </c>
      <c r="V189" t="s">
        <v>2631</v>
      </c>
      <c r="W189" t="str">
        <f t="shared" si="1"/>
        <v>SGSF</v>
      </c>
    </row>
    <row r="190">
      <c r="A190" s="447">
        <v>182.0</v>
      </c>
      <c r="B190" s="448" t="s">
        <v>2814</v>
      </c>
      <c r="C190" s="449"/>
      <c r="D190" s="449"/>
      <c r="E190" s="459">
        <v>4.9</v>
      </c>
      <c r="F190" s="459">
        <v>1.7</v>
      </c>
      <c r="G190" s="459">
        <v>3.1</v>
      </c>
      <c r="H190" s="459">
        <v>6.8</v>
      </c>
      <c r="I190" s="459">
        <v>1.1</v>
      </c>
      <c r="J190" s="459">
        <v>0.7</v>
      </c>
      <c r="K190" s="459">
        <v>3.3</v>
      </c>
      <c r="L190" s="459">
        <v>18.8</v>
      </c>
      <c r="M190" s="459">
        <v>63.9</v>
      </c>
      <c r="N190" s="463">
        <v>-11.4</v>
      </c>
      <c r="O190" t="str">
        <f>IFERROR(__xludf.DUMMYFUNCTION("regexextract(B190,""[\w]* [\w]*"")"),"Kenrich Williams")</f>
        <v>Kenrich Williams</v>
      </c>
      <c r="P190" t="str">
        <f t="shared" si="2"/>
        <v>Kenrich Williams</v>
      </c>
      <c r="Q190" t="str">
        <f t="shared" si="3"/>
        <v>Kenrich Williams</v>
      </c>
      <c r="R190" t="s">
        <v>2631</v>
      </c>
      <c r="S190" s="411" t="s">
        <v>2631</v>
      </c>
      <c r="T190" t="s">
        <v>72</v>
      </c>
      <c r="U190" t="s">
        <v>2631</v>
      </c>
      <c r="V190" t="s">
        <v>34</v>
      </c>
      <c r="W190" t="str">
        <f t="shared" si="1"/>
        <v>SFC</v>
      </c>
    </row>
    <row r="191">
      <c r="A191" s="444">
        <v>183.0</v>
      </c>
      <c r="B191" s="445" t="s">
        <v>2815</v>
      </c>
      <c r="C191" s="446"/>
      <c r="D191" s="446"/>
      <c r="E191" s="458">
        <v>2.1</v>
      </c>
      <c r="F191" s="458">
        <v>0.9</v>
      </c>
      <c r="G191" s="458">
        <v>5.4</v>
      </c>
      <c r="H191" s="458">
        <v>3.2</v>
      </c>
      <c r="I191" s="458">
        <v>1.1</v>
      </c>
      <c r="J191" s="458">
        <v>0.7</v>
      </c>
      <c r="K191" s="458">
        <v>1.2</v>
      </c>
      <c r="L191" s="458">
        <v>10.1</v>
      </c>
      <c r="M191" s="458">
        <v>63.1</v>
      </c>
      <c r="N191" s="462">
        <v>-12.7</v>
      </c>
      <c r="O191" t="str">
        <f>IFERROR(__xludf.DUMMYFUNCTION("regexextract(B191,""[\w]* [\w]*"")"),"Terence Davis")</f>
        <v>Terence Davis</v>
      </c>
      <c r="P191" t="str">
        <f t="shared" si="2"/>
        <v>Terence Davis</v>
      </c>
      <c r="Q191" t="str">
        <f t="shared" si="3"/>
        <v>Terence Davis</v>
      </c>
      <c r="R191" t="s">
        <v>2631</v>
      </c>
      <c r="S191" s="411" t="s">
        <v>71</v>
      </c>
      <c r="T191" t="s">
        <v>2631</v>
      </c>
      <c r="U191" t="s">
        <v>2631</v>
      </c>
      <c r="V191" t="s">
        <v>34</v>
      </c>
      <c r="W191" t="str">
        <f t="shared" si="1"/>
        <v>SGC</v>
      </c>
    </row>
    <row r="192">
      <c r="A192" s="447">
        <v>184.0</v>
      </c>
      <c r="B192" s="448" t="s">
        <v>2816</v>
      </c>
      <c r="C192" s="449"/>
      <c r="D192" s="449"/>
      <c r="E192" s="459">
        <v>3.5</v>
      </c>
      <c r="F192" s="459">
        <v>1.8</v>
      </c>
      <c r="G192" s="459">
        <v>3.9</v>
      </c>
      <c r="H192" s="459">
        <v>5.1</v>
      </c>
      <c r="I192" s="459">
        <v>0.8</v>
      </c>
      <c r="J192" s="459">
        <v>0.3</v>
      </c>
      <c r="K192" s="459">
        <v>3.3</v>
      </c>
      <c r="L192" s="459">
        <v>16.1</v>
      </c>
      <c r="M192" s="459">
        <v>70.7</v>
      </c>
      <c r="N192" s="463">
        <v>-3.2</v>
      </c>
      <c r="O192" t="str">
        <f>IFERROR(__xludf.DUMMYFUNCTION("regexextract(B192,""[\w]* [\w]*"")"),"Tomas Satoransky")</f>
        <v>Tomas Satoransky</v>
      </c>
      <c r="P192" t="str">
        <f t="shared" si="2"/>
        <v>Tomas Satoransky</v>
      </c>
      <c r="Q192" t="str">
        <f t="shared" si="3"/>
        <v>Tomas Satoransky</v>
      </c>
      <c r="R192" t="s">
        <v>44</v>
      </c>
      <c r="S192" s="411" t="s">
        <v>71</v>
      </c>
      <c r="T192" t="s">
        <v>2631</v>
      </c>
      <c r="U192" t="s">
        <v>2631</v>
      </c>
      <c r="V192" t="s">
        <v>2631</v>
      </c>
      <c r="W192" t="str">
        <f t="shared" si="1"/>
        <v>PGSG</v>
      </c>
    </row>
    <row r="193">
      <c r="A193" s="444">
        <v>185.0</v>
      </c>
      <c r="B193" s="445" t="s">
        <v>2817</v>
      </c>
      <c r="C193" s="446"/>
      <c r="D193" s="446"/>
      <c r="E193" s="458">
        <v>2.4</v>
      </c>
      <c r="F193" s="458">
        <v>0.6</v>
      </c>
      <c r="G193" s="458">
        <v>6.3</v>
      </c>
      <c r="H193" s="458">
        <v>2.7</v>
      </c>
      <c r="I193" s="458">
        <v>0.6</v>
      </c>
      <c r="J193" s="458">
        <v>1.2</v>
      </c>
      <c r="K193" s="458">
        <v>1.6</v>
      </c>
      <c r="L193" s="458">
        <v>9.7</v>
      </c>
      <c r="M193" s="458">
        <v>7.2</v>
      </c>
      <c r="N193" s="461">
        <f>+1</f>
        <v>1</v>
      </c>
      <c r="O193" t="str">
        <f>IFERROR(__xludf.DUMMYFUNCTION("regexextract(B193,""[\w]* [\w]*"")"),"Kendrick Nunn")</f>
        <v>Kendrick Nunn</v>
      </c>
      <c r="P193" t="str">
        <f t="shared" si="2"/>
        <v>Kendrick Nunn</v>
      </c>
      <c r="Q193" t="str">
        <f t="shared" si="3"/>
        <v>Kendrick Nunn</v>
      </c>
      <c r="R193" t="s">
        <v>2631</v>
      </c>
      <c r="S193" s="411" t="s">
        <v>71</v>
      </c>
      <c r="T193" t="s">
        <v>2631</v>
      </c>
      <c r="U193" t="s">
        <v>2631</v>
      </c>
      <c r="V193" t="s">
        <v>34</v>
      </c>
      <c r="W193" t="str">
        <f t="shared" si="1"/>
        <v>SGC</v>
      </c>
    </row>
    <row r="194">
      <c r="A194" s="447">
        <v>186.0</v>
      </c>
      <c r="B194" s="448" t="s">
        <v>2818</v>
      </c>
      <c r="C194" s="449"/>
      <c r="D194" s="449"/>
      <c r="E194" s="459">
        <v>2.1</v>
      </c>
      <c r="F194" s="459">
        <v>2.1</v>
      </c>
      <c r="G194" s="459">
        <v>4.8</v>
      </c>
      <c r="H194" s="459">
        <v>3.0</v>
      </c>
      <c r="I194" s="459">
        <v>0.7</v>
      </c>
      <c r="J194" s="459">
        <v>0.3</v>
      </c>
      <c r="K194" s="459">
        <v>1.8</v>
      </c>
      <c r="L194" s="459">
        <v>14.8</v>
      </c>
      <c r="M194" s="459">
        <v>44.5</v>
      </c>
      <c r="N194" s="460">
        <f>+0.7</f>
        <v>0.7</v>
      </c>
      <c r="O194" t="str">
        <f>IFERROR(__xludf.DUMMYFUNCTION("regexextract(B194,""[\w]* [\w]*"")"),"Luguentz Dort")</f>
        <v>Luguentz Dort</v>
      </c>
      <c r="P194" t="str">
        <f t="shared" si="2"/>
        <v>Luguentz Dort</v>
      </c>
      <c r="Q194" t="str">
        <f t="shared" si="3"/>
        <v>Luguentz Dort</v>
      </c>
      <c r="R194" t="s">
        <v>2631</v>
      </c>
      <c r="S194" s="411" t="s">
        <v>71</v>
      </c>
      <c r="T194" t="s">
        <v>72</v>
      </c>
      <c r="U194" t="s">
        <v>2631</v>
      </c>
      <c r="V194" t="s">
        <v>34</v>
      </c>
      <c r="W194" t="str">
        <f t="shared" si="1"/>
        <v>SGSFC</v>
      </c>
    </row>
    <row r="195">
      <c r="A195" s="444">
        <v>187.0</v>
      </c>
      <c r="B195" s="445" t="s">
        <v>2819</v>
      </c>
      <c r="C195" s="446"/>
      <c r="D195" s="446"/>
      <c r="E195" s="458">
        <v>2.5</v>
      </c>
      <c r="F195" s="458">
        <v>0.7</v>
      </c>
      <c r="G195" s="458">
        <v>7.3</v>
      </c>
      <c r="H195" s="458">
        <v>2.3</v>
      </c>
      <c r="I195" s="458">
        <v>1.1</v>
      </c>
      <c r="J195" s="458">
        <v>0.8</v>
      </c>
      <c r="K195" s="458">
        <v>2.4</v>
      </c>
      <c r="L195" s="458">
        <v>11.6</v>
      </c>
      <c r="M195" s="458">
        <v>2.8</v>
      </c>
      <c r="N195" s="461">
        <f>+1.3</f>
        <v>1.3</v>
      </c>
      <c r="O195" t="str">
        <f>IFERROR(__xludf.DUMMYFUNCTION("regexextract(B195,""[\w]* [\w]*"")"),"Shake Milton")</f>
        <v>Shake Milton</v>
      </c>
      <c r="P195" t="str">
        <f t="shared" si="2"/>
        <v>Shake Milton</v>
      </c>
      <c r="Q195" t="str">
        <f t="shared" si="3"/>
        <v>Shake Milton</v>
      </c>
      <c r="R195" t="s">
        <v>44</v>
      </c>
      <c r="S195" s="411" t="s">
        <v>71</v>
      </c>
      <c r="T195" t="s">
        <v>2631</v>
      </c>
      <c r="U195" t="s">
        <v>2631</v>
      </c>
      <c r="V195" t="s">
        <v>2631</v>
      </c>
      <c r="W195" t="str">
        <f t="shared" si="1"/>
        <v>PGSG</v>
      </c>
    </row>
    <row r="196">
      <c r="A196" s="447">
        <v>188.0</v>
      </c>
      <c r="B196" s="448" t="s">
        <v>2820</v>
      </c>
      <c r="C196" s="449"/>
      <c r="D196" s="449"/>
      <c r="E196" s="459">
        <v>2.7</v>
      </c>
      <c r="F196" s="459">
        <v>0.0</v>
      </c>
      <c r="G196" s="459">
        <v>9.4</v>
      </c>
      <c r="H196" s="459">
        <v>1.4</v>
      </c>
      <c r="I196" s="459">
        <v>1.1</v>
      </c>
      <c r="J196" s="459">
        <v>0.9</v>
      </c>
      <c r="K196" s="459">
        <v>1.9</v>
      </c>
      <c r="L196" s="459">
        <v>9.9</v>
      </c>
      <c r="M196" s="459">
        <v>52.2</v>
      </c>
      <c r="N196" s="463">
        <v>-6.2</v>
      </c>
      <c r="O196" t="str">
        <f>IFERROR(__xludf.DUMMYFUNCTION("regexextract(B196,""[\w]* [\w]*"")"),"Nicolas Batum")</f>
        <v>Nicolas Batum</v>
      </c>
      <c r="P196" t="str">
        <f t="shared" si="2"/>
        <v>Nicolas Batum</v>
      </c>
      <c r="Q196" t="str">
        <f t="shared" si="3"/>
        <v>Nicolas Batum</v>
      </c>
      <c r="R196" t="s">
        <v>2631</v>
      </c>
      <c r="S196" s="411" t="s">
        <v>71</v>
      </c>
      <c r="T196" t="s">
        <v>72</v>
      </c>
      <c r="U196" t="s">
        <v>2631</v>
      </c>
      <c r="V196" t="s">
        <v>34</v>
      </c>
      <c r="W196" t="str">
        <f t="shared" si="1"/>
        <v>SGSFC</v>
      </c>
    </row>
    <row r="197">
      <c r="A197" s="444">
        <v>189.0</v>
      </c>
      <c r="B197" s="445" t="s">
        <v>2821</v>
      </c>
      <c r="C197" s="446"/>
      <c r="D197" s="446"/>
      <c r="E197" s="458">
        <v>3.1</v>
      </c>
      <c r="F197" s="458">
        <v>1.3</v>
      </c>
      <c r="G197" s="458">
        <v>4.4</v>
      </c>
      <c r="H197" s="458">
        <v>2.2</v>
      </c>
      <c r="I197" s="458">
        <v>1.1</v>
      </c>
      <c r="J197" s="458">
        <v>0.6</v>
      </c>
      <c r="K197" s="458">
        <v>1.4</v>
      </c>
      <c r="L197" s="458">
        <v>12.3</v>
      </c>
      <c r="M197" s="458">
        <v>3.3</v>
      </c>
      <c r="N197" s="461">
        <f>+1.5</f>
        <v>1.5</v>
      </c>
      <c r="O197" t="str">
        <f>IFERROR(__xludf.DUMMYFUNCTION("regexextract(B197,""[\w]* [\w]*"")"),"Jaxson Hayes")</f>
        <v>Jaxson Hayes</v>
      </c>
      <c r="P197" t="str">
        <f t="shared" si="2"/>
        <v>Jaxson Hayes</v>
      </c>
      <c r="Q197" t="str">
        <f t="shared" si="3"/>
        <v>Jaxson Hayes</v>
      </c>
      <c r="R197" t="s">
        <v>2631</v>
      </c>
      <c r="S197" s="411" t="s">
        <v>2631</v>
      </c>
      <c r="T197" t="s">
        <v>2631</v>
      </c>
      <c r="U197" t="s">
        <v>2631</v>
      </c>
      <c r="V197" t="s">
        <v>34</v>
      </c>
      <c r="W197" t="str">
        <f t="shared" si="1"/>
        <v>C</v>
      </c>
    </row>
    <row r="198">
      <c r="A198" s="447">
        <v>190.0</v>
      </c>
      <c r="B198" s="448" t="s">
        <v>2822</v>
      </c>
      <c r="C198" s="449"/>
      <c r="D198" s="449"/>
      <c r="E198" s="459">
        <v>2.6</v>
      </c>
      <c r="F198" s="459">
        <v>1.0</v>
      </c>
      <c r="G198" s="459">
        <v>2.6</v>
      </c>
      <c r="H198" s="459">
        <v>4.4</v>
      </c>
      <c r="I198" s="459">
        <v>0.9</v>
      </c>
      <c r="J198" s="459">
        <v>0.4</v>
      </c>
      <c r="K198" s="459">
        <v>1.7</v>
      </c>
      <c r="L198" s="459">
        <v>15.3</v>
      </c>
      <c r="M198" s="459">
        <v>67.5</v>
      </c>
      <c r="N198" s="463">
        <v>-9.7</v>
      </c>
      <c r="O198" t="str">
        <f>IFERROR(__xludf.DUMMYFUNCTION("regexextract(B198,""[\w]* [\w]*"")"),"Matisse Thybulle")</f>
        <v>Matisse Thybulle</v>
      </c>
      <c r="P198" t="str">
        <f t="shared" si="2"/>
        <v>Matisse Thybulle</v>
      </c>
      <c r="Q198" t="str">
        <f t="shared" si="3"/>
        <v>Matisse Thybulle</v>
      </c>
      <c r="R198" t="s">
        <v>2631</v>
      </c>
      <c r="S198" s="411" t="s">
        <v>71</v>
      </c>
      <c r="T198" t="s">
        <v>72</v>
      </c>
      <c r="U198" t="s">
        <v>2631</v>
      </c>
      <c r="V198" t="s">
        <v>2631</v>
      </c>
      <c r="W198" t="str">
        <f t="shared" si="1"/>
        <v>SGSF</v>
      </c>
    </row>
    <row r="199">
      <c r="A199" s="444">
        <v>191.0</v>
      </c>
      <c r="B199" s="445" t="s">
        <v>2823</v>
      </c>
      <c r="C199" s="446"/>
      <c r="D199" s="446"/>
      <c r="E199" s="458">
        <v>3.0</v>
      </c>
      <c r="F199" s="458">
        <v>1.2</v>
      </c>
      <c r="G199" s="458">
        <v>5.9</v>
      </c>
      <c r="H199" s="458">
        <v>3.3</v>
      </c>
      <c r="I199" s="458">
        <v>0.7</v>
      </c>
      <c r="J199" s="458">
        <v>0.7</v>
      </c>
      <c r="K199" s="458">
        <v>1.9</v>
      </c>
      <c r="L199" s="458">
        <v>12.6</v>
      </c>
      <c r="M199" s="458">
        <v>18.9</v>
      </c>
      <c r="N199" s="461">
        <f>+2.5</f>
        <v>2.5</v>
      </c>
      <c r="O199" t="str">
        <f>IFERROR(__xludf.DUMMYFUNCTION("regexextract(B199,""[\w]* [\w]*"")"),"Royce O")</f>
        <v>Royce O</v>
      </c>
      <c r="P199" t="str">
        <f t="shared" si="2"/>
        <v>Royce O</v>
      </c>
      <c r="Q199" t="str">
        <f t="shared" si="3"/>
        <v>Royce </v>
      </c>
      <c r="R199" t="s">
        <v>2631</v>
      </c>
      <c r="S199" s="411" t="s">
        <v>2631</v>
      </c>
      <c r="T199" t="s">
        <v>72</v>
      </c>
      <c r="U199" t="s">
        <v>73</v>
      </c>
      <c r="V199" t="s">
        <v>34</v>
      </c>
      <c r="W199" t="str">
        <f t="shared" si="1"/>
        <v>SFPFC</v>
      </c>
    </row>
    <row r="200">
      <c r="A200" s="447">
        <v>192.0</v>
      </c>
      <c r="B200" s="448" t="s">
        <v>2824</v>
      </c>
      <c r="C200" s="449"/>
      <c r="D200" s="449"/>
      <c r="E200" s="459">
        <v>2.0</v>
      </c>
      <c r="F200" s="459">
        <v>1.5</v>
      </c>
      <c r="G200" s="459">
        <v>5.1</v>
      </c>
      <c r="H200" s="459">
        <v>1.6</v>
      </c>
      <c r="I200" s="459">
        <v>1.0</v>
      </c>
      <c r="J200" s="459">
        <v>0.7</v>
      </c>
      <c r="K200" s="459">
        <v>1.5</v>
      </c>
      <c r="L200" s="459">
        <v>10.9</v>
      </c>
      <c r="M200" s="459">
        <v>5.8</v>
      </c>
      <c r="N200" s="460">
        <f>+1.5</f>
        <v>1.5</v>
      </c>
      <c r="O200" t="str">
        <f>IFERROR(__xludf.DUMMYFUNCTION("regexextract(B200,""[\w]* [\w]*"")"),"Devin Vassell")</f>
        <v>Devin Vassell</v>
      </c>
      <c r="P200" t="str">
        <f t="shared" si="2"/>
        <v>Devin Vassell</v>
      </c>
      <c r="Q200" t="str">
        <f t="shared" si="3"/>
        <v>Devin Vassell</v>
      </c>
      <c r="R200" t="s">
        <v>2631</v>
      </c>
      <c r="S200" s="411" t="s">
        <v>71</v>
      </c>
      <c r="T200" t="s">
        <v>72</v>
      </c>
      <c r="U200" t="s">
        <v>2631</v>
      </c>
      <c r="V200" t="s">
        <v>2631</v>
      </c>
      <c r="W200" t="str">
        <f t="shared" si="1"/>
        <v>SGSF</v>
      </c>
    </row>
    <row r="201">
      <c r="A201" s="444">
        <v>193.0</v>
      </c>
      <c r="B201" s="445" t="s">
        <v>2825</v>
      </c>
      <c r="C201" s="446"/>
      <c r="D201" s="446"/>
      <c r="E201" s="458">
        <v>2.4</v>
      </c>
      <c r="F201" s="458">
        <v>0.6</v>
      </c>
      <c r="G201" s="458">
        <v>3.5</v>
      </c>
      <c r="H201" s="458">
        <v>5.5</v>
      </c>
      <c r="I201" s="458">
        <v>1.2</v>
      </c>
      <c r="J201" s="458">
        <v>0.2</v>
      </c>
      <c r="K201" s="458">
        <v>2.3</v>
      </c>
      <c r="L201" s="458">
        <v>13.7</v>
      </c>
      <c r="M201" s="458">
        <v>39.4</v>
      </c>
      <c r="N201" s="462">
        <v>-12.1</v>
      </c>
      <c r="O201" t="str">
        <f>IFERROR(__xludf.DUMMYFUNCTION("regexextract(B201,""[\w]* [\w]*"")"),"Victor OladipoO")</f>
        <v>Victor OladipoO</v>
      </c>
      <c r="P201" t="str">
        <f t="shared" si="2"/>
        <v>Victor OladipoO</v>
      </c>
      <c r="Q201" t="str">
        <f t="shared" si="3"/>
        <v>Victor Oladipo</v>
      </c>
      <c r="R201" t="s">
        <v>2631</v>
      </c>
      <c r="S201" s="411" t="s">
        <v>71</v>
      </c>
      <c r="T201" t="s">
        <v>2631</v>
      </c>
      <c r="U201" t="s">
        <v>2631</v>
      </c>
      <c r="V201" t="s">
        <v>34</v>
      </c>
      <c r="W201" t="str">
        <f t="shared" si="1"/>
        <v>SGC</v>
      </c>
    </row>
    <row r="202">
      <c r="A202" s="447">
        <v>194.0</v>
      </c>
      <c r="B202" s="448" t="s">
        <v>2826</v>
      </c>
      <c r="C202" s="449"/>
      <c r="D202" s="449"/>
      <c r="E202" s="459">
        <v>3.3</v>
      </c>
      <c r="F202" s="459">
        <v>1.7</v>
      </c>
      <c r="G202" s="459">
        <v>7.5</v>
      </c>
      <c r="H202" s="459">
        <v>1.8</v>
      </c>
      <c r="I202" s="459">
        <v>0.6</v>
      </c>
      <c r="J202" s="459">
        <v>0.5</v>
      </c>
      <c r="K202" s="459">
        <v>2.3</v>
      </c>
      <c r="L202" s="459">
        <v>14.9</v>
      </c>
      <c r="M202" s="459">
        <v>5.8</v>
      </c>
      <c r="N202" s="460">
        <f t="shared" ref="N202:N203" si="8">+1.4</f>
        <v>1.4</v>
      </c>
      <c r="O202" t="str">
        <f>IFERROR(__xludf.DUMMYFUNCTION("regexextract(B202,""[\w]* [\w]*"")"),"Davis Bertans")</f>
        <v>Davis Bertans</v>
      </c>
      <c r="P202" t="str">
        <f t="shared" si="2"/>
        <v>Davis Bertans</v>
      </c>
      <c r="Q202" t="str">
        <f t="shared" si="3"/>
        <v>Davis Bertans</v>
      </c>
      <c r="R202" t="s">
        <v>2631</v>
      </c>
      <c r="S202" s="411" t="s">
        <v>2631</v>
      </c>
      <c r="T202" t="s">
        <v>2631</v>
      </c>
      <c r="U202" t="s">
        <v>73</v>
      </c>
      <c r="V202" t="s">
        <v>2631</v>
      </c>
      <c r="W202" t="str">
        <f t="shared" si="1"/>
        <v>PF</v>
      </c>
    </row>
    <row r="203">
      <c r="A203" s="444">
        <v>195.0</v>
      </c>
      <c r="B203" s="445" t="s">
        <v>2827</v>
      </c>
      <c r="C203" s="446"/>
      <c r="D203" s="446"/>
      <c r="E203" s="458">
        <v>1.9</v>
      </c>
      <c r="F203" s="458">
        <v>1.8</v>
      </c>
      <c r="G203" s="458">
        <v>6.0</v>
      </c>
      <c r="H203" s="458">
        <v>2.3</v>
      </c>
      <c r="I203" s="458">
        <v>1.0</v>
      </c>
      <c r="J203" s="458">
        <v>0.4</v>
      </c>
      <c r="K203" s="458">
        <v>1.1</v>
      </c>
      <c r="L203" s="458">
        <v>13.0</v>
      </c>
      <c r="M203" s="458">
        <v>2.9</v>
      </c>
      <c r="N203" s="461">
        <f t="shared" si="8"/>
        <v>1.4</v>
      </c>
      <c r="O203" t="str">
        <f>IFERROR(__xludf.DUMMYFUNCTION("regexextract(B203,""[\w]* [\w]*"")"),"Kevin Love")</f>
        <v>Kevin Love</v>
      </c>
      <c r="P203" t="str">
        <f t="shared" si="2"/>
        <v>Kevin Love</v>
      </c>
      <c r="Q203" t="str">
        <f t="shared" si="3"/>
        <v>Kevin Love</v>
      </c>
      <c r="R203" t="s">
        <v>2631</v>
      </c>
      <c r="S203" s="411" t="s">
        <v>2631</v>
      </c>
      <c r="T203" t="s">
        <v>2631</v>
      </c>
      <c r="U203" t="s">
        <v>73</v>
      </c>
      <c r="V203" t="s">
        <v>34</v>
      </c>
      <c r="W203" t="str">
        <f t="shared" si="1"/>
        <v>PFC</v>
      </c>
    </row>
    <row r="204">
      <c r="A204" s="447">
        <v>196.0</v>
      </c>
      <c r="B204" s="448" t="s">
        <v>2828</v>
      </c>
      <c r="C204" s="449"/>
      <c r="D204" s="449"/>
      <c r="E204" s="459">
        <v>1.9</v>
      </c>
      <c r="F204" s="459">
        <v>1.0</v>
      </c>
      <c r="G204" s="459">
        <v>7.5</v>
      </c>
      <c r="H204" s="459">
        <v>1.6</v>
      </c>
      <c r="I204" s="459">
        <v>0.3</v>
      </c>
      <c r="J204" s="459">
        <v>1.1</v>
      </c>
      <c r="K204" s="459">
        <v>1.4</v>
      </c>
      <c r="L204" s="459">
        <v>13.4</v>
      </c>
      <c r="M204" s="459">
        <v>7.3</v>
      </c>
      <c r="N204" s="460">
        <f>+0.2</f>
        <v>0.2</v>
      </c>
      <c r="O204" t="str">
        <f>IFERROR(__xludf.DUMMYFUNCTION("regexextract(B204,""[\w]* [\w]*"")"),"Jeremy Lamb")</f>
        <v>Jeremy Lamb</v>
      </c>
      <c r="P204" t="str">
        <f t="shared" si="2"/>
        <v>Jeremy Lamb</v>
      </c>
      <c r="Q204" t="str">
        <f t="shared" si="3"/>
        <v>Jeremy Lamb</v>
      </c>
      <c r="R204" t="s">
        <v>2631</v>
      </c>
      <c r="S204" s="411" t="s">
        <v>71</v>
      </c>
      <c r="T204" t="s">
        <v>72</v>
      </c>
      <c r="U204" t="s">
        <v>2631</v>
      </c>
      <c r="V204" t="s">
        <v>2631</v>
      </c>
      <c r="W204" t="str">
        <f t="shared" si="1"/>
        <v>SGSF</v>
      </c>
    </row>
    <row r="205">
      <c r="A205" s="444">
        <v>197.0</v>
      </c>
      <c r="B205" s="445" t="s">
        <v>2829</v>
      </c>
      <c r="C205" s="446"/>
      <c r="D205" s="446"/>
      <c r="E205" s="458">
        <v>0.8</v>
      </c>
      <c r="F205" s="458">
        <v>1.5</v>
      </c>
      <c r="G205" s="458">
        <v>5.5</v>
      </c>
      <c r="H205" s="458">
        <v>2.9</v>
      </c>
      <c r="I205" s="458">
        <v>0.7</v>
      </c>
      <c r="J205" s="458">
        <v>0.8</v>
      </c>
      <c r="K205" s="458">
        <v>0.9</v>
      </c>
      <c r="L205" s="458">
        <v>11.3</v>
      </c>
      <c r="M205" s="458">
        <v>57.1</v>
      </c>
      <c r="N205" s="462">
        <v>-14.7</v>
      </c>
      <c r="O205" t="str">
        <f>IFERROR(__xludf.DUMMYFUNCTION("regexextract(B205,""[\w]* [\w]*"")"),"Bruce Brown")</f>
        <v>Bruce Brown</v>
      </c>
      <c r="P205" t="str">
        <f t="shared" si="2"/>
        <v>Bruce Brown</v>
      </c>
      <c r="Q205" t="str">
        <f t="shared" si="3"/>
        <v>Bruce Brown</v>
      </c>
      <c r="R205" t="s">
        <v>2631</v>
      </c>
      <c r="S205" s="411" t="s">
        <v>71</v>
      </c>
      <c r="T205" t="s">
        <v>2631</v>
      </c>
      <c r="U205" t="s">
        <v>2631</v>
      </c>
      <c r="V205" t="s">
        <v>34</v>
      </c>
      <c r="W205" t="str">
        <f t="shared" si="1"/>
        <v>SGC</v>
      </c>
    </row>
    <row r="206">
      <c r="A206" s="447">
        <v>198.0</v>
      </c>
      <c r="B206" s="448" t="s">
        <v>2830</v>
      </c>
      <c r="C206" s="449"/>
      <c r="D206" s="449"/>
      <c r="E206" s="459">
        <v>3.1</v>
      </c>
      <c r="F206" s="459">
        <v>1.5</v>
      </c>
      <c r="G206" s="459">
        <v>5.1</v>
      </c>
      <c r="H206" s="459">
        <v>1.2</v>
      </c>
      <c r="I206" s="459">
        <v>1.0</v>
      </c>
      <c r="J206" s="459">
        <v>0.7</v>
      </c>
      <c r="K206" s="459">
        <v>1.2</v>
      </c>
      <c r="L206" s="459">
        <v>14.1</v>
      </c>
      <c r="M206" s="459">
        <v>46.8</v>
      </c>
      <c r="N206" s="463">
        <v>-7.8</v>
      </c>
      <c r="O206" t="str">
        <f>IFERROR(__xludf.DUMMYFUNCTION("regexextract(B206,""[\w]* [\w]*"")"),"Derrick Favors")</f>
        <v>Derrick Favors</v>
      </c>
      <c r="P206" t="str">
        <f t="shared" si="2"/>
        <v>Derrick Favors</v>
      </c>
      <c r="Q206" t="str">
        <f t="shared" si="3"/>
        <v>Derrick Favors</v>
      </c>
      <c r="R206" t="s">
        <v>2631</v>
      </c>
      <c r="S206" s="411" t="s">
        <v>2631</v>
      </c>
      <c r="T206" t="s">
        <v>2631</v>
      </c>
      <c r="U206" t="s">
        <v>73</v>
      </c>
      <c r="V206" t="s">
        <v>34</v>
      </c>
      <c r="W206" t="str">
        <f t="shared" si="1"/>
        <v>PFC</v>
      </c>
    </row>
    <row r="207">
      <c r="A207" s="444">
        <v>199.0</v>
      </c>
      <c r="B207" s="445" t="s">
        <v>2831</v>
      </c>
      <c r="C207" s="446"/>
      <c r="D207" s="446"/>
      <c r="E207" s="458">
        <v>3.0</v>
      </c>
      <c r="F207" s="458">
        <v>2.0</v>
      </c>
      <c r="G207" s="458">
        <v>3.2</v>
      </c>
      <c r="H207" s="458">
        <v>2.3</v>
      </c>
      <c r="I207" s="458">
        <v>1.1</v>
      </c>
      <c r="J207" s="458">
        <v>0.4</v>
      </c>
      <c r="K207" s="458">
        <v>1.8</v>
      </c>
      <c r="L207" s="458">
        <v>17.4</v>
      </c>
      <c r="M207" s="458">
        <v>44.4</v>
      </c>
      <c r="N207" s="462">
        <v>-7.4</v>
      </c>
      <c r="O207" t="str">
        <f>IFERROR(__xludf.DUMMYFUNCTION("regexextract(B207,""[\w]* [\w]*"")"),"Ish Smith")</f>
        <v>Ish Smith</v>
      </c>
      <c r="P207" t="str">
        <f t="shared" si="2"/>
        <v>Ish Smith</v>
      </c>
      <c r="Q207" t="str">
        <f t="shared" si="3"/>
        <v>Ish Smith</v>
      </c>
      <c r="R207" t="s">
        <v>44</v>
      </c>
      <c r="S207" s="411" t="s">
        <v>2631</v>
      </c>
      <c r="T207" t="s">
        <v>2631</v>
      </c>
      <c r="U207" t="s">
        <v>2631</v>
      </c>
      <c r="V207" t="s">
        <v>34</v>
      </c>
      <c r="W207" t="str">
        <f t="shared" si="1"/>
        <v>PGC</v>
      </c>
    </row>
    <row r="208">
      <c r="A208" s="447">
        <v>200.0</v>
      </c>
      <c r="B208" s="448" t="s">
        <v>2832</v>
      </c>
      <c r="C208" s="449"/>
      <c r="D208" s="449"/>
      <c r="E208" s="459">
        <v>3.0</v>
      </c>
      <c r="F208" s="459">
        <v>0.8</v>
      </c>
      <c r="G208" s="459">
        <v>6.1</v>
      </c>
      <c r="H208" s="459">
        <v>1.6</v>
      </c>
      <c r="I208" s="459">
        <v>0.9</v>
      </c>
      <c r="J208" s="459">
        <v>0.1</v>
      </c>
      <c r="K208" s="459">
        <v>1.2</v>
      </c>
      <c r="L208" s="459">
        <v>14.9</v>
      </c>
      <c r="M208" s="459">
        <v>10.2</v>
      </c>
      <c r="N208" s="460">
        <f>+1</f>
        <v>1</v>
      </c>
      <c r="O208" t="str">
        <f>IFERROR(__xludf.DUMMYFUNCTION("regexextract(B208,""[\w]* [\w]*"")"),"Cedi Osman")</f>
        <v>Cedi Osman</v>
      </c>
      <c r="P208" t="str">
        <f t="shared" si="2"/>
        <v>Cedi Osman</v>
      </c>
      <c r="Q208" t="str">
        <f t="shared" si="3"/>
        <v>Cedi Osman</v>
      </c>
      <c r="R208" t="s">
        <v>2631</v>
      </c>
      <c r="S208" s="411" t="s">
        <v>2631</v>
      </c>
      <c r="T208" t="s">
        <v>72</v>
      </c>
      <c r="U208" t="s">
        <v>2631</v>
      </c>
      <c r="V208" t="s">
        <v>34</v>
      </c>
      <c r="W208" t="str">
        <f t="shared" si="1"/>
        <v>SFC</v>
      </c>
    </row>
    <row r="209">
      <c r="A209" s="436" t="s">
        <v>2625</v>
      </c>
      <c r="C209" s="436" t="s">
        <v>2626</v>
      </c>
      <c r="E209" s="454"/>
      <c r="F209" s="454"/>
      <c r="G209" s="454"/>
      <c r="H209" s="454"/>
      <c r="I209" s="454"/>
      <c r="J209" s="454"/>
      <c r="K209" s="454"/>
      <c r="L209" s="454"/>
      <c r="M209" s="454" t="s">
        <v>2731</v>
      </c>
      <c r="N209" s="454"/>
      <c r="O209" t="str">
        <f>IFERROR(__xludf.DUMMYFUNCTION("regexextract(B209,""[\w]* [\w]*"")"),"#N/A")</f>
        <v>#N/A</v>
      </c>
      <c r="P209" t="str">
        <f t="shared" si="2"/>
        <v>#N/A</v>
      </c>
      <c r="Q209" t="str">
        <f t="shared" si="3"/>
        <v>#N/A</v>
      </c>
      <c r="R209" t="s">
        <v>2631</v>
      </c>
      <c r="S209" s="411" t="s">
        <v>2631</v>
      </c>
      <c r="T209" t="s">
        <v>2631</v>
      </c>
      <c r="U209" t="s">
        <v>2631</v>
      </c>
      <c r="V209" t="s">
        <v>2631</v>
      </c>
      <c r="W209" t="str">
        <f t="shared" si="1"/>
        <v/>
      </c>
    </row>
    <row r="210">
      <c r="A210" s="439" t="s">
        <v>2627</v>
      </c>
      <c r="B210" s="440" t="s">
        <v>3</v>
      </c>
      <c r="C210" s="439" t="s">
        <v>2628</v>
      </c>
      <c r="D210" s="441" t="s">
        <v>2629</v>
      </c>
      <c r="E210" s="455" t="s">
        <v>464</v>
      </c>
      <c r="F210" s="456">
        <v>0.625</v>
      </c>
      <c r="G210" s="455" t="s">
        <v>53</v>
      </c>
      <c r="H210" s="455" t="s">
        <v>14</v>
      </c>
      <c r="I210" s="455" t="s">
        <v>15</v>
      </c>
      <c r="J210" s="455" t="s">
        <v>16</v>
      </c>
      <c r="K210" s="455" t="s">
        <v>17</v>
      </c>
      <c r="L210" s="455" t="s">
        <v>11</v>
      </c>
      <c r="M210" s="455" t="s">
        <v>2732</v>
      </c>
      <c r="N210" s="457" t="str">
        <f>+/-</f>
        <v>#ERROR!</v>
      </c>
      <c r="O210" t="str">
        <f>IFERROR(__xludf.DUMMYFUNCTION("regexextract(B210,""[\w]* [\w]*"")"),"#N/A")</f>
        <v>#N/A</v>
      </c>
      <c r="P210" t="str">
        <f t="shared" si="2"/>
        <v>#N/A</v>
      </c>
      <c r="Q210" t="str">
        <f t="shared" si="3"/>
        <v>#N/A</v>
      </c>
      <c r="R210" t="s">
        <v>2631</v>
      </c>
      <c r="S210" s="411" t="s">
        <v>2631</v>
      </c>
      <c r="T210" t="s">
        <v>2631</v>
      </c>
      <c r="U210" t="s">
        <v>2631</v>
      </c>
      <c r="V210" t="s">
        <v>2631</v>
      </c>
      <c r="W210" t="str">
        <f t="shared" si="1"/>
        <v/>
      </c>
    </row>
    <row r="211">
      <c r="A211" s="444">
        <v>201.0</v>
      </c>
      <c r="B211" s="445" t="s">
        <v>2833</v>
      </c>
      <c r="C211" s="446"/>
      <c r="D211" s="446"/>
      <c r="E211" s="458">
        <v>1.4</v>
      </c>
      <c r="F211" s="458">
        <v>2.3</v>
      </c>
      <c r="G211" s="458">
        <v>2.5</v>
      </c>
      <c r="H211" s="458">
        <v>2.8</v>
      </c>
      <c r="I211" s="458">
        <v>0.8</v>
      </c>
      <c r="J211" s="458">
        <v>0.2</v>
      </c>
      <c r="K211" s="458">
        <v>1.2</v>
      </c>
      <c r="L211" s="458">
        <v>13.1</v>
      </c>
      <c r="M211" s="458">
        <v>33.4</v>
      </c>
      <c r="N211" s="462">
        <v>-1.1</v>
      </c>
      <c r="O211" t="str">
        <f>IFERROR(__xludf.DUMMYFUNCTION("regexextract(B211,""[\w]* [\w]*"")"),"Cameron Johnson")</f>
        <v>Cameron Johnson</v>
      </c>
      <c r="P211" t="str">
        <f t="shared" si="2"/>
        <v>Cameron Johnson</v>
      </c>
      <c r="Q211" t="str">
        <f t="shared" si="3"/>
        <v>Cameron Johnson</v>
      </c>
      <c r="R211" t="s">
        <v>2631</v>
      </c>
      <c r="S211" s="411" t="s">
        <v>2631</v>
      </c>
      <c r="T211" t="s">
        <v>72</v>
      </c>
      <c r="U211" t="s">
        <v>2631</v>
      </c>
      <c r="V211" t="s">
        <v>34</v>
      </c>
      <c r="W211" t="str">
        <f t="shared" si="1"/>
        <v>SFC</v>
      </c>
    </row>
    <row r="212">
      <c r="A212" s="447">
        <v>202.0</v>
      </c>
      <c r="B212" s="448" t="s">
        <v>2834</v>
      </c>
      <c r="C212" s="449"/>
      <c r="D212" s="449"/>
      <c r="E212" s="459">
        <v>2.3</v>
      </c>
      <c r="F212" s="459">
        <v>2.3</v>
      </c>
      <c r="G212" s="459">
        <v>4.8</v>
      </c>
      <c r="H212" s="459">
        <v>1.2</v>
      </c>
      <c r="I212" s="459">
        <v>0.6</v>
      </c>
      <c r="J212" s="459">
        <v>0.3</v>
      </c>
      <c r="K212" s="459">
        <v>1.2</v>
      </c>
      <c r="L212" s="459">
        <v>14.6</v>
      </c>
      <c r="M212" s="459">
        <v>18.9</v>
      </c>
      <c r="N212" s="463">
        <v>-3.9</v>
      </c>
      <c r="O212" t="str">
        <f>IFERROR(__xludf.DUMMYFUNCTION("regexextract(B212,""[\w]* [\w]*"")"),"Tyus Jones")</f>
        <v>Tyus Jones</v>
      </c>
      <c r="P212" t="str">
        <f t="shared" si="2"/>
        <v>Tyus Jones</v>
      </c>
      <c r="Q212" t="str">
        <f t="shared" si="3"/>
        <v>Tyus Jones</v>
      </c>
      <c r="R212" t="s">
        <v>44</v>
      </c>
      <c r="S212" s="411" t="s">
        <v>2631</v>
      </c>
      <c r="T212" t="s">
        <v>2631</v>
      </c>
      <c r="U212" t="s">
        <v>2631</v>
      </c>
      <c r="V212" t="s">
        <v>2631</v>
      </c>
      <c r="W212" t="str">
        <f t="shared" si="1"/>
        <v>PG</v>
      </c>
    </row>
    <row r="213">
      <c r="A213" s="444">
        <v>203.0</v>
      </c>
      <c r="B213" s="445" t="s">
        <v>2835</v>
      </c>
      <c r="C213" s="446"/>
      <c r="D213" s="446"/>
      <c r="E213" s="458">
        <v>1.6</v>
      </c>
      <c r="F213" s="458">
        <v>2.1</v>
      </c>
      <c r="G213" s="458">
        <v>3.5</v>
      </c>
      <c r="H213" s="458">
        <v>1.5</v>
      </c>
      <c r="I213" s="458">
        <v>0.3</v>
      </c>
      <c r="J213" s="458">
        <v>0.1</v>
      </c>
      <c r="K213" s="458">
        <v>0.9</v>
      </c>
      <c r="L213" s="458">
        <v>14.9</v>
      </c>
      <c r="M213" s="458">
        <v>5.2</v>
      </c>
      <c r="N213" s="458">
        <v>0.0</v>
      </c>
      <c r="O213" t="str">
        <f>IFERROR(__xludf.DUMMYFUNCTION("regexextract(B213,""[\w]* [\w]*"")"),"Gary Trent")</f>
        <v>Gary Trent</v>
      </c>
      <c r="P213" t="str">
        <f t="shared" si="2"/>
        <v>Gary Trent</v>
      </c>
      <c r="Q213" t="str">
        <f t="shared" si="3"/>
        <v>Gary Trent</v>
      </c>
      <c r="R213" t="s">
        <v>2631</v>
      </c>
      <c r="S213" s="411" t="s">
        <v>71</v>
      </c>
      <c r="T213" t="s">
        <v>72</v>
      </c>
      <c r="U213" t="s">
        <v>2631</v>
      </c>
      <c r="V213" t="s">
        <v>2631</v>
      </c>
      <c r="W213" t="str">
        <f t="shared" si="1"/>
        <v>SGSF</v>
      </c>
    </row>
    <row r="214">
      <c r="A214" s="447">
        <v>204.0</v>
      </c>
      <c r="B214" s="448" t="s">
        <v>2836</v>
      </c>
      <c r="C214" s="449"/>
      <c r="D214" s="449"/>
      <c r="E214" s="459">
        <v>1.2</v>
      </c>
      <c r="F214" s="459">
        <v>0.0</v>
      </c>
      <c r="G214" s="459">
        <v>6.1</v>
      </c>
      <c r="H214" s="459">
        <v>0.7</v>
      </c>
      <c r="I214" s="459">
        <v>1.1</v>
      </c>
      <c r="J214" s="459">
        <v>2.1</v>
      </c>
      <c r="K214" s="459">
        <v>1.0</v>
      </c>
      <c r="L214" s="459">
        <v>5.4</v>
      </c>
      <c r="M214" s="459">
        <v>4.0</v>
      </c>
      <c r="N214" s="460">
        <f>+1.6</f>
        <v>1.6</v>
      </c>
      <c r="O214" t="str">
        <f>IFERROR(__xludf.DUMMYFUNCTION("regexextract(B214,""[\w]* [\w]*"")"),"Reggie BullockO")</f>
        <v>Reggie BullockO</v>
      </c>
      <c r="P214" t="str">
        <f t="shared" si="2"/>
        <v>Reggie BullockO</v>
      </c>
      <c r="Q214" t="str">
        <f t="shared" si="3"/>
        <v>Reggie Bullock</v>
      </c>
      <c r="R214" t="s">
        <v>2631</v>
      </c>
      <c r="S214" s="411" t="s">
        <v>71</v>
      </c>
      <c r="T214" t="s">
        <v>72</v>
      </c>
      <c r="U214" t="s">
        <v>2631</v>
      </c>
      <c r="V214" t="s">
        <v>34</v>
      </c>
      <c r="W214" t="str">
        <f t="shared" si="1"/>
        <v>SGSFC</v>
      </c>
    </row>
    <row r="215">
      <c r="A215" s="444">
        <v>205.0</v>
      </c>
      <c r="B215" s="445" t="s">
        <v>2837</v>
      </c>
      <c r="C215" s="446"/>
      <c r="D215" s="446"/>
      <c r="E215" s="458">
        <v>2.2</v>
      </c>
      <c r="F215" s="458">
        <v>0.9</v>
      </c>
      <c r="G215" s="458">
        <v>5.0</v>
      </c>
      <c r="H215" s="458">
        <v>1.8</v>
      </c>
      <c r="I215" s="458">
        <v>0.4</v>
      </c>
      <c r="J215" s="458">
        <v>1.1</v>
      </c>
      <c r="K215" s="458">
        <v>1.1</v>
      </c>
      <c r="L215" s="458">
        <v>13.6</v>
      </c>
      <c r="M215" s="458">
        <v>4.3</v>
      </c>
      <c r="N215" s="461">
        <f>+1.8</f>
        <v>1.8</v>
      </c>
      <c r="O215" t="str">
        <f>IFERROR(__xludf.DUMMYFUNCTION("regexextract(B215,""[\w]* [\w]*"")"),"Willie Cauley")</f>
        <v>Willie Cauley</v>
      </c>
      <c r="P215" t="str">
        <f t="shared" si="2"/>
        <v>Willie Cauley</v>
      </c>
      <c r="Q215" t="str">
        <f t="shared" si="3"/>
        <v>Willie Cauley</v>
      </c>
      <c r="R215" t="s">
        <v>2631</v>
      </c>
      <c r="S215" s="411" t="s">
        <v>2631</v>
      </c>
      <c r="T215" t="s">
        <v>2631</v>
      </c>
      <c r="U215" t="s">
        <v>2631</v>
      </c>
      <c r="V215" t="s">
        <v>34</v>
      </c>
      <c r="W215" t="str">
        <f t="shared" si="1"/>
        <v>C</v>
      </c>
    </row>
    <row r="216">
      <c r="A216" s="447">
        <v>206.0</v>
      </c>
      <c r="B216" s="448" t="s">
        <v>2838</v>
      </c>
      <c r="C216" s="449"/>
      <c r="D216" s="449"/>
      <c r="E216" s="459">
        <v>3.1</v>
      </c>
      <c r="F216" s="459">
        <v>0.0</v>
      </c>
      <c r="G216" s="459">
        <v>9.4</v>
      </c>
      <c r="H216" s="459">
        <v>0.2</v>
      </c>
      <c r="I216" s="459">
        <v>0.8</v>
      </c>
      <c r="J216" s="459">
        <v>1.2</v>
      </c>
      <c r="K216" s="459">
        <v>1.1</v>
      </c>
      <c r="L216" s="459">
        <v>9.1</v>
      </c>
      <c r="M216" s="459">
        <v>3.3</v>
      </c>
      <c r="N216" s="460">
        <f>+1.1</f>
        <v>1.1</v>
      </c>
      <c r="O216" t="str">
        <f>IFERROR(__xludf.DUMMYFUNCTION("regexextract(B216,""[\w]* [\w]*"")"),"Hamidou Diallo")</f>
        <v>Hamidou Diallo</v>
      </c>
      <c r="P216" t="str">
        <f t="shared" si="2"/>
        <v>Hamidou Diallo</v>
      </c>
      <c r="Q216" t="str">
        <f t="shared" si="3"/>
        <v>Hamidou Diall</v>
      </c>
      <c r="R216" t="s">
        <v>2631</v>
      </c>
      <c r="S216" s="411" t="s">
        <v>71</v>
      </c>
      <c r="T216" t="s">
        <v>2631</v>
      </c>
      <c r="U216" t="s">
        <v>2631</v>
      </c>
      <c r="V216" t="s">
        <v>2631</v>
      </c>
      <c r="W216" t="str">
        <f t="shared" si="1"/>
        <v>SG</v>
      </c>
    </row>
    <row r="217">
      <c r="A217" s="444">
        <v>207.0</v>
      </c>
      <c r="B217" s="445" t="s">
        <v>2839</v>
      </c>
      <c r="C217" s="446"/>
      <c r="D217" s="446"/>
      <c r="E217" s="458">
        <v>2.8</v>
      </c>
      <c r="F217" s="458">
        <v>1.3</v>
      </c>
      <c r="G217" s="458">
        <v>4.6</v>
      </c>
      <c r="H217" s="458">
        <v>4.0</v>
      </c>
      <c r="I217" s="458">
        <v>0.6</v>
      </c>
      <c r="J217" s="458">
        <v>0.4</v>
      </c>
      <c r="K217" s="458">
        <v>2.2</v>
      </c>
      <c r="L217" s="458">
        <v>13.3</v>
      </c>
      <c r="M217" s="458">
        <v>15.7</v>
      </c>
      <c r="N217" s="462">
        <v>-2.0</v>
      </c>
      <c r="O217" t="str">
        <f>IFERROR(__xludf.DUMMYFUNCTION("regexextract(B217,""[\w]* [\w]*"")"),"Carmelo AnthonyO")</f>
        <v>Carmelo AnthonyO</v>
      </c>
      <c r="P217" t="str">
        <f t="shared" si="2"/>
        <v>Carmelo AnthonyO</v>
      </c>
      <c r="Q217" t="str">
        <f t="shared" si="3"/>
        <v>Carmelo Anthony</v>
      </c>
      <c r="R217" t="s">
        <v>2631</v>
      </c>
      <c r="S217" s="411" t="s">
        <v>2631</v>
      </c>
      <c r="T217" t="s">
        <v>72</v>
      </c>
      <c r="U217" t="s">
        <v>73</v>
      </c>
      <c r="V217" t="s">
        <v>34</v>
      </c>
      <c r="W217" t="str">
        <f t="shared" si="1"/>
        <v>SFPFC</v>
      </c>
    </row>
    <row r="218">
      <c r="A218" s="447">
        <v>208.0</v>
      </c>
      <c r="B218" s="448" t="s">
        <v>2840</v>
      </c>
      <c r="C218" s="449"/>
      <c r="D218" s="449"/>
      <c r="E218" s="459">
        <v>1.0</v>
      </c>
      <c r="F218" s="459">
        <v>3.6</v>
      </c>
      <c r="G218" s="459">
        <v>3.4</v>
      </c>
      <c r="H218" s="459">
        <v>1.6</v>
      </c>
      <c r="I218" s="459">
        <v>0.6</v>
      </c>
      <c r="J218" s="459">
        <v>0.3</v>
      </c>
      <c r="K218" s="459">
        <v>1.1</v>
      </c>
      <c r="L218" s="459">
        <v>13.2</v>
      </c>
      <c r="M218" s="459">
        <v>13.9</v>
      </c>
      <c r="N218" s="460">
        <f>+0.3</f>
        <v>0.3</v>
      </c>
      <c r="O218" t="str">
        <f>IFERROR(__xludf.DUMMYFUNCTION("regexextract(B218,""[\w]* [\w]*"")"),"Naz Reid")</f>
        <v>Naz Reid</v>
      </c>
      <c r="P218" t="str">
        <f t="shared" si="2"/>
        <v>Naz Reid</v>
      </c>
      <c r="Q218" t="str">
        <f t="shared" si="3"/>
        <v>Naz Reid</v>
      </c>
      <c r="R218" t="s">
        <v>2631</v>
      </c>
      <c r="S218" s="411" t="s">
        <v>2631</v>
      </c>
      <c r="T218" t="s">
        <v>2631</v>
      </c>
      <c r="U218" t="s">
        <v>2631</v>
      </c>
      <c r="V218" t="s">
        <v>34</v>
      </c>
      <c r="W218" t="str">
        <f t="shared" si="1"/>
        <v>C</v>
      </c>
    </row>
    <row r="219">
      <c r="A219" s="444">
        <v>209.0</v>
      </c>
      <c r="B219" s="445" t="s">
        <v>2841</v>
      </c>
      <c r="C219" s="446"/>
      <c r="D219" s="446"/>
      <c r="E219" s="458">
        <v>2.0</v>
      </c>
      <c r="F219" s="458">
        <v>0.0</v>
      </c>
      <c r="G219" s="458">
        <v>9.4</v>
      </c>
      <c r="H219" s="458">
        <v>1.1</v>
      </c>
      <c r="I219" s="458">
        <v>0.4</v>
      </c>
      <c r="J219" s="458">
        <v>0.6</v>
      </c>
      <c r="K219" s="458">
        <v>1.0</v>
      </c>
      <c r="L219" s="458">
        <v>9.7</v>
      </c>
      <c r="M219" s="458">
        <v>12.9</v>
      </c>
      <c r="N219" s="462">
        <v>-1.7</v>
      </c>
      <c r="O219" t="str">
        <f>IFERROR(__xludf.DUMMYFUNCTION("regexextract(B219,""[\w]* [\w]*"")"),"Anthony Melton")</f>
        <v>Anthony Melton</v>
      </c>
      <c r="P219" t="str">
        <f t="shared" si="2"/>
        <v>Anthony Melton</v>
      </c>
      <c r="Q219" t="str">
        <f t="shared" si="3"/>
        <v>Anthony Melton</v>
      </c>
      <c r="R219" t="s">
        <v>44</v>
      </c>
      <c r="S219" s="411" t="s">
        <v>2631</v>
      </c>
      <c r="T219" t="s">
        <v>2631</v>
      </c>
      <c r="U219" t="s">
        <v>2631</v>
      </c>
      <c r="V219" t="s">
        <v>2631</v>
      </c>
      <c r="W219" t="str">
        <f t="shared" si="1"/>
        <v>PG</v>
      </c>
    </row>
    <row r="220">
      <c r="A220" s="447">
        <v>210.0</v>
      </c>
      <c r="B220" s="448" t="s">
        <v>2842</v>
      </c>
      <c r="C220" s="449"/>
      <c r="D220" s="449"/>
      <c r="E220" s="459">
        <v>2.5</v>
      </c>
      <c r="F220" s="459">
        <v>0.7</v>
      </c>
      <c r="G220" s="459">
        <v>3.2</v>
      </c>
      <c r="H220" s="459">
        <v>3.5</v>
      </c>
      <c r="I220" s="459">
        <v>1.2</v>
      </c>
      <c r="J220" s="459">
        <v>0.4</v>
      </c>
      <c r="K220" s="459">
        <v>2.0</v>
      </c>
      <c r="L220" s="459">
        <v>11.2</v>
      </c>
      <c r="M220" s="459">
        <v>4.0</v>
      </c>
      <c r="N220" s="460">
        <f>+1.3</f>
        <v>1.3</v>
      </c>
      <c r="O220" t="str">
        <f>IFERROR(__xludf.DUMMYFUNCTION("regexextract(B220,""[\w]* [\w]*"")"),"Nicolas Claxton")</f>
        <v>Nicolas Claxton</v>
      </c>
      <c r="P220" t="str">
        <f t="shared" si="2"/>
        <v>Nicolas Claxton</v>
      </c>
      <c r="Q220" t="str">
        <f t="shared" si="3"/>
        <v>Nicolas Claxton</v>
      </c>
      <c r="R220" t="s">
        <v>2631</v>
      </c>
      <c r="S220" s="411" t="s">
        <v>2631</v>
      </c>
      <c r="T220" t="s">
        <v>2631</v>
      </c>
      <c r="U220" t="s">
        <v>73</v>
      </c>
      <c r="V220" t="s">
        <v>34</v>
      </c>
      <c r="W220" t="str">
        <f t="shared" si="1"/>
        <v>PFC</v>
      </c>
    </row>
    <row r="221">
      <c r="A221" s="444">
        <v>211.0</v>
      </c>
      <c r="B221" s="445" t="s">
        <v>2843</v>
      </c>
      <c r="C221" s="446"/>
      <c r="D221" s="446"/>
      <c r="E221" s="458">
        <v>2.0</v>
      </c>
      <c r="F221" s="458">
        <v>1.1</v>
      </c>
      <c r="G221" s="458">
        <v>3.1</v>
      </c>
      <c r="H221" s="458">
        <v>3.3</v>
      </c>
      <c r="I221" s="458">
        <v>0.5</v>
      </c>
      <c r="J221" s="458">
        <v>0.0</v>
      </c>
      <c r="K221" s="458">
        <v>1.1</v>
      </c>
      <c r="L221" s="458">
        <v>11.5</v>
      </c>
      <c r="M221" s="458">
        <v>2.6</v>
      </c>
      <c r="N221" s="461">
        <f>+0.3</f>
        <v>0.3</v>
      </c>
      <c r="O221" t="str">
        <f>IFERROR(__xludf.DUMMYFUNCTION("regexextract(B221,""[\w]* [\w]*"")"),"Andre Hunter")</f>
        <v>Andre Hunter</v>
      </c>
      <c r="P221" t="str">
        <f t="shared" si="2"/>
        <v>Andre Hunter</v>
      </c>
      <c r="Q221" t="str">
        <f t="shared" si="3"/>
        <v>Andre Hunter</v>
      </c>
      <c r="R221" t="s">
        <v>2631</v>
      </c>
      <c r="S221" s="411" t="s">
        <v>2631</v>
      </c>
      <c r="T221" t="s">
        <v>72</v>
      </c>
      <c r="U221" t="s">
        <v>73</v>
      </c>
      <c r="V221" t="s">
        <v>2631</v>
      </c>
      <c r="W221" t="str">
        <f t="shared" si="1"/>
        <v>SFPF</v>
      </c>
    </row>
    <row r="222">
      <c r="A222" s="447">
        <v>212.0</v>
      </c>
      <c r="B222" s="448" t="s">
        <v>2844</v>
      </c>
      <c r="C222" s="449"/>
      <c r="D222" s="449"/>
      <c r="E222" s="459">
        <v>1.7</v>
      </c>
      <c r="F222" s="459">
        <v>2.2</v>
      </c>
      <c r="G222" s="459">
        <v>4.9</v>
      </c>
      <c r="H222" s="459">
        <v>2.1</v>
      </c>
      <c r="I222" s="459">
        <v>0.9</v>
      </c>
      <c r="J222" s="459">
        <v>0.4</v>
      </c>
      <c r="K222" s="459">
        <v>1.0</v>
      </c>
      <c r="L222" s="459">
        <v>10.2</v>
      </c>
      <c r="M222" s="459">
        <v>6.1</v>
      </c>
      <c r="N222" s="460">
        <f>+1.2</f>
        <v>1.2</v>
      </c>
      <c r="O222" t="str">
        <f>IFERROR(__xludf.DUMMYFUNCTION("regexextract(B222,""[\w]* [\w]*"")"),"Josh Jackson")</f>
        <v>Josh Jackson</v>
      </c>
      <c r="P222" t="str">
        <f t="shared" si="2"/>
        <v>Josh Jackson</v>
      </c>
      <c r="Q222" t="str">
        <f t="shared" si="3"/>
        <v>Josh Jackson</v>
      </c>
      <c r="R222" t="s">
        <v>2631</v>
      </c>
      <c r="S222" s="411" t="s">
        <v>71</v>
      </c>
      <c r="T222" t="s">
        <v>72</v>
      </c>
      <c r="U222" t="s">
        <v>2631</v>
      </c>
      <c r="V222" t="s">
        <v>34</v>
      </c>
      <c r="W222" t="str">
        <f t="shared" si="1"/>
        <v>SGSFC</v>
      </c>
    </row>
    <row r="223">
      <c r="A223" s="444">
        <v>213.0</v>
      </c>
      <c r="B223" s="445" t="s">
        <v>2845</v>
      </c>
      <c r="C223" s="446"/>
      <c r="D223" s="446"/>
      <c r="E223" s="458">
        <v>0.6</v>
      </c>
      <c r="F223" s="458">
        <v>2.4</v>
      </c>
      <c r="G223" s="458">
        <v>3.7</v>
      </c>
      <c r="H223" s="458">
        <v>1.6</v>
      </c>
      <c r="I223" s="458">
        <v>1.2</v>
      </c>
      <c r="J223" s="458">
        <v>0.7</v>
      </c>
      <c r="K223" s="458">
        <v>0.9</v>
      </c>
      <c r="L223" s="458">
        <v>9.3</v>
      </c>
      <c r="M223" s="458">
        <v>15.5</v>
      </c>
      <c r="N223" s="462">
        <v>-3.3</v>
      </c>
      <c r="O223" t="str">
        <f>IFERROR(__xludf.DUMMYFUNCTION("regexextract(B223,""[\w]* [\w]*"")"),"Marc Gasol")</f>
        <v>Marc Gasol</v>
      </c>
      <c r="P223" t="str">
        <f t="shared" si="2"/>
        <v>Marc Gasol</v>
      </c>
      <c r="Q223" t="str">
        <f t="shared" si="3"/>
        <v>Marc Gasol</v>
      </c>
      <c r="R223" t="s">
        <v>2631</v>
      </c>
      <c r="S223" s="411" t="s">
        <v>2631</v>
      </c>
      <c r="T223" t="s">
        <v>2631</v>
      </c>
      <c r="U223" t="s">
        <v>2631</v>
      </c>
      <c r="V223" t="s">
        <v>34</v>
      </c>
      <c r="W223" t="str">
        <f t="shared" si="1"/>
        <v>C</v>
      </c>
    </row>
    <row r="224">
      <c r="A224" s="447">
        <v>214.0</v>
      </c>
      <c r="B224" s="448" t="s">
        <v>2846</v>
      </c>
      <c r="C224" s="449"/>
      <c r="D224" s="449"/>
      <c r="E224" s="459">
        <v>2.7</v>
      </c>
      <c r="F224" s="459">
        <v>1.9</v>
      </c>
      <c r="G224" s="459">
        <v>3.2</v>
      </c>
      <c r="H224" s="459">
        <v>2.0</v>
      </c>
      <c r="I224" s="459">
        <v>1.0</v>
      </c>
      <c r="J224" s="459">
        <v>0.4</v>
      </c>
      <c r="K224" s="459">
        <v>1.4</v>
      </c>
      <c r="L224" s="459">
        <v>14.4</v>
      </c>
      <c r="M224" s="459">
        <v>3.1</v>
      </c>
      <c r="N224" s="460">
        <f>+0.5</f>
        <v>0.5</v>
      </c>
      <c r="O224" t="str">
        <f>IFERROR(__xludf.DUMMYFUNCTION("regexextract(B224,""[\w]* [\w]*"")"),"Bryn Forbes")</f>
        <v>Bryn Forbes</v>
      </c>
      <c r="P224" t="str">
        <f t="shared" si="2"/>
        <v>Bryn Forbes</v>
      </c>
      <c r="Q224" t="str">
        <f t="shared" si="3"/>
        <v>Bryn Forbes</v>
      </c>
      <c r="R224" t="s">
        <v>44</v>
      </c>
      <c r="S224" s="411" t="s">
        <v>71</v>
      </c>
      <c r="T224" t="s">
        <v>2631</v>
      </c>
      <c r="U224" t="s">
        <v>2631</v>
      </c>
      <c r="V224" t="s">
        <v>2631</v>
      </c>
      <c r="W224" t="str">
        <f t="shared" si="1"/>
        <v>PGSG</v>
      </c>
    </row>
    <row r="225">
      <c r="A225" s="444">
        <v>215.0</v>
      </c>
      <c r="B225" s="445" t="s">
        <v>2847</v>
      </c>
      <c r="C225" s="446"/>
      <c r="D225" s="446"/>
      <c r="E225" s="458">
        <v>2.3</v>
      </c>
      <c r="F225" s="458">
        <v>0.4</v>
      </c>
      <c r="G225" s="458">
        <v>7.0</v>
      </c>
      <c r="H225" s="458">
        <v>0.9</v>
      </c>
      <c r="I225" s="458">
        <v>0.4</v>
      </c>
      <c r="J225" s="458">
        <v>1.2</v>
      </c>
      <c r="K225" s="458">
        <v>1.8</v>
      </c>
      <c r="L225" s="458">
        <v>12.6</v>
      </c>
      <c r="M225" s="458">
        <v>15.8</v>
      </c>
      <c r="N225" s="462">
        <v>-1.1</v>
      </c>
      <c r="O225" t="str">
        <f>IFERROR(__xludf.DUMMYFUNCTION("regexextract(B225,""[\w]* [\w]*"")"),"Lou Williams")</f>
        <v>Lou Williams</v>
      </c>
      <c r="P225" t="str">
        <f t="shared" si="2"/>
        <v>Lou Williams</v>
      </c>
      <c r="Q225" t="str">
        <f t="shared" si="3"/>
        <v>Lou Williams</v>
      </c>
      <c r="R225" t="s">
        <v>2631</v>
      </c>
      <c r="S225" s="411" t="s">
        <v>71</v>
      </c>
      <c r="T225" t="s">
        <v>2631</v>
      </c>
      <c r="U225" t="s">
        <v>2631</v>
      </c>
      <c r="V225" t="s">
        <v>2631</v>
      </c>
      <c r="W225" t="str">
        <f t="shared" si="1"/>
        <v>SG</v>
      </c>
    </row>
    <row r="226">
      <c r="A226" s="447">
        <v>216.0</v>
      </c>
      <c r="B226" s="448" t="s">
        <v>2848</v>
      </c>
      <c r="C226" s="449"/>
      <c r="D226" s="449"/>
      <c r="E226" s="459">
        <v>2.4</v>
      </c>
      <c r="F226" s="459">
        <v>0.0</v>
      </c>
      <c r="G226" s="459">
        <v>4.9</v>
      </c>
      <c r="H226" s="459">
        <v>0.7</v>
      </c>
      <c r="I226" s="459">
        <v>0.6</v>
      </c>
      <c r="J226" s="459">
        <v>1.8</v>
      </c>
      <c r="K226" s="459">
        <v>0.9</v>
      </c>
      <c r="L226" s="459">
        <v>8.4</v>
      </c>
      <c r="M226" s="459">
        <v>4.6</v>
      </c>
      <c r="N226" s="460">
        <f>+0.6</f>
        <v>0.6</v>
      </c>
      <c r="O226" t="str">
        <f>IFERROR(__xludf.DUMMYFUNCTION("regexextract(B226,""[\w]* [\w]*"")"),"Josh Richardson")</f>
        <v>Josh Richardson</v>
      </c>
      <c r="P226" t="str">
        <f t="shared" si="2"/>
        <v>Josh Richardson</v>
      </c>
      <c r="Q226" t="str">
        <f t="shared" si="3"/>
        <v>Josh Richardson</v>
      </c>
      <c r="R226" t="s">
        <v>2631</v>
      </c>
      <c r="S226" s="411" t="s">
        <v>71</v>
      </c>
      <c r="T226" t="s">
        <v>72</v>
      </c>
      <c r="U226" t="s">
        <v>2631</v>
      </c>
      <c r="V226" t="s">
        <v>34</v>
      </c>
      <c r="W226" t="str">
        <f t="shared" si="1"/>
        <v>SGSFC</v>
      </c>
    </row>
    <row r="227">
      <c r="A227" s="444">
        <v>217.0</v>
      </c>
      <c r="B227" s="445" t="s">
        <v>2849</v>
      </c>
      <c r="C227" s="446"/>
      <c r="D227" s="446"/>
      <c r="E227" s="458">
        <v>3.0</v>
      </c>
      <c r="F227" s="458">
        <v>2.2</v>
      </c>
      <c r="G227" s="458">
        <v>3.2</v>
      </c>
      <c r="H227" s="458">
        <v>4.3</v>
      </c>
      <c r="I227" s="458">
        <v>0.6</v>
      </c>
      <c r="J227" s="458">
        <v>0.1</v>
      </c>
      <c r="K227" s="458">
        <v>2.3</v>
      </c>
      <c r="L227" s="458">
        <v>14.7</v>
      </c>
      <c r="M227" s="458">
        <v>11.6</v>
      </c>
      <c r="N227" s="462">
        <v>-2.1</v>
      </c>
      <c r="O227" t="str">
        <f>IFERROR(__xludf.DUMMYFUNCTION("regexextract(B227,""[\w]* [\w]*"")"),"Paul Millsap")</f>
        <v>Paul Millsap</v>
      </c>
      <c r="P227" t="str">
        <f t="shared" si="2"/>
        <v>Paul Millsap</v>
      </c>
      <c r="Q227" t="str">
        <f t="shared" si="3"/>
        <v>Paul Millsap</v>
      </c>
      <c r="R227" t="s">
        <v>2631</v>
      </c>
      <c r="S227" s="411" t="s">
        <v>2631</v>
      </c>
      <c r="T227" t="s">
        <v>2631</v>
      </c>
      <c r="U227" t="s">
        <v>73</v>
      </c>
      <c r="V227" t="s">
        <v>2631</v>
      </c>
      <c r="W227" t="str">
        <f t="shared" si="1"/>
        <v>PF</v>
      </c>
    </row>
    <row r="228">
      <c r="A228" s="447">
        <v>218.0</v>
      </c>
      <c r="B228" s="448" t="s">
        <v>2850</v>
      </c>
      <c r="C228" s="449"/>
      <c r="D228" s="449"/>
      <c r="E228" s="459">
        <v>0.9</v>
      </c>
      <c r="F228" s="459">
        <v>1.9</v>
      </c>
      <c r="G228" s="459">
        <v>3.2</v>
      </c>
      <c r="H228" s="459">
        <v>3.1</v>
      </c>
      <c r="I228" s="459">
        <v>1.0</v>
      </c>
      <c r="J228" s="459">
        <v>0.3</v>
      </c>
      <c r="K228" s="459">
        <v>1.2</v>
      </c>
      <c r="L228" s="459">
        <v>10.6</v>
      </c>
      <c r="M228" s="459">
        <v>41.0</v>
      </c>
      <c r="N228" s="463">
        <v>-12.2</v>
      </c>
      <c r="O228" t="str">
        <f>IFERROR(__xludf.DUMMYFUNCTION("regexextract(B228,""[\w]* [\w]*"")"),"Maxi Kleber")</f>
        <v>Maxi Kleber</v>
      </c>
      <c r="P228" t="str">
        <f t="shared" si="2"/>
        <v>Maxi Kleber</v>
      </c>
      <c r="Q228" t="str">
        <f t="shared" si="3"/>
        <v>Maxi Kleber</v>
      </c>
      <c r="R228" t="s">
        <v>2631</v>
      </c>
      <c r="S228" s="411" t="s">
        <v>2631</v>
      </c>
      <c r="T228" t="s">
        <v>2631</v>
      </c>
      <c r="U228" t="s">
        <v>73</v>
      </c>
      <c r="V228" t="s">
        <v>2631</v>
      </c>
      <c r="W228" t="str">
        <f t="shared" si="1"/>
        <v>PF</v>
      </c>
    </row>
    <row r="229">
      <c r="A229" s="444">
        <v>219.0</v>
      </c>
      <c r="B229" s="445" t="s">
        <v>2851</v>
      </c>
      <c r="C229" s="446"/>
      <c r="D229" s="446"/>
      <c r="E229" s="458">
        <v>2.9</v>
      </c>
      <c r="F229" s="458">
        <v>1.7</v>
      </c>
      <c r="G229" s="458">
        <v>4.3</v>
      </c>
      <c r="H229" s="458">
        <v>2.3</v>
      </c>
      <c r="I229" s="458">
        <v>0.7</v>
      </c>
      <c r="J229" s="458">
        <v>0.3</v>
      </c>
      <c r="K229" s="458">
        <v>1.1</v>
      </c>
      <c r="L229" s="458">
        <v>12.4</v>
      </c>
      <c r="M229" s="458">
        <v>1.2</v>
      </c>
      <c r="N229" s="461">
        <f>+0.5</f>
        <v>0.5</v>
      </c>
      <c r="O229" t="str">
        <f>IFERROR(__xludf.DUMMYFUNCTION("regexextract(B229,""[\w]* [\w]*"")"),"Danilo Gallinari")</f>
        <v>Danilo Gallinari</v>
      </c>
      <c r="P229" t="str">
        <f t="shared" si="2"/>
        <v>Danilo Gallinari</v>
      </c>
      <c r="Q229" t="str">
        <f t="shared" si="3"/>
        <v>Danilo Gallinari</v>
      </c>
      <c r="R229" t="s">
        <v>2631</v>
      </c>
      <c r="S229" s="411" t="s">
        <v>2631</v>
      </c>
      <c r="T229" t="s">
        <v>72</v>
      </c>
      <c r="U229" t="s">
        <v>73</v>
      </c>
      <c r="V229" t="s">
        <v>2631</v>
      </c>
      <c r="W229" t="str">
        <f t="shared" si="1"/>
        <v>SFPF</v>
      </c>
    </row>
    <row r="230">
      <c r="A230" s="447">
        <v>220.0</v>
      </c>
      <c r="B230" s="448" t="s">
        <v>2852</v>
      </c>
      <c r="C230" s="449"/>
      <c r="D230" s="449"/>
      <c r="E230" s="459">
        <v>1.1</v>
      </c>
      <c r="F230" s="459">
        <v>1.8</v>
      </c>
      <c r="G230" s="459">
        <v>5.7</v>
      </c>
      <c r="H230" s="459">
        <v>2.6</v>
      </c>
      <c r="I230" s="459">
        <v>0.5</v>
      </c>
      <c r="J230" s="459">
        <v>1.1</v>
      </c>
      <c r="K230" s="459">
        <v>2.7</v>
      </c>
      <c r="L230" s="459">
        <v>11.7</v>
      </c>
      <c r="M230" s="459">
        <v>3.0</v>
      </c>
      <c r="N230" s="460">
        <f>+0.7</f>
        <v>0.7</v>
      </c>
      <c r="O230" t="str">
        <f>IFERROR(__xludf.DUMMYFUNCTION("regexextract(B230,""[\w]* [\w]*"")"),"Dwight Howard")</f>
        <v>Dwight Howard</v>
      </c>
      <c r="P230" t="str">
        <f t="shared" si="2"/>
        <v>Dwight Howard</v>
      </c>
      <c r="Q230" t="str">
        <f t="shared" si="3"/>
        <v>Dwight Howard</v>
      </c>
      <c r="R230" t="s">
        <v>2631</v>
      </c>
      <c r="S230" s="411" t="s">
        <v>2631</v>
      </c>
      <c r="T230" t="s">
        <v>2631</v>
      </c>
      <c r="U230" t="s">
        <v>2631</v>
      </c>
      <c r="V230" t="s">
        <v>34</v>
      </c>
      <c r="W230" t="str">
        <f t="shared" si="1"/>
        <v>C</v>
      </c>
    </row>
    <row r="231">
      <c r="A231" s="444">
        <v>221.0</v>
      </c>
      <c r="B231" s="445" t="s">
        <v>2853</v>
      </c>
      <c r="C231" s="446"/>
      <c r="D231" s="446"/>
      <c r="E231" s="458">
        <v>3.1</v>
      </c>
      <c r="F231" s="458">
        <v>0.9</v>
      </c>
      <c r="G231" s="458">
        <v>5.9</v>
      </c>
      <c r="H231" s="458">
        <v>0.9</v>
      </c>
      <c r="I231" s="458">
        <v>0.6</v>
      </c>
      <c r="J231" s="458">
        <v>1.2</v>
      </c>
      <c r="K231" s="458">
        <v>1.1</v>
      </c>
      <c r="L231" s="458">
        <v>10.8</v>
      </c>
      <c r="M231" s="458">
        <v>61.5</v>
      </c>
      <c r="N231" s="462">
        <v>-12.0</v>
      </c>
      <c r="O231" t="str">
        <f>IFERROR(__xludf.DUMMYFUNCTION("regexextract(B231,""[\w]* [\w]*"")"),"Kentavious Caldwell")</f>
        <v>Kentavious Caldwell</v>
      </c>
      <c r="P231" t="str">
        <f t="shared" si="2"/>
        <v>Kentavious Caldwell</v>
      </c>
      <c r="Q231" t="str">
        <f t="shared" si="3"/>
        <v>Kentavious Caldwell</v>
      </c>
      <c r="R231" t="s">
        <v>2631</v>
      </c>
      <c r="S231" s="411" t="s">
        <v>71</v>
      </c>
      <c r="T231" t="s">
        <v>72</v>
      </c>
      <c r="U231" t="s">
        <v>2631</v>
      </c>
      <c r="V231" t="s">
        <v>34</v>
      </c>
      <c r="W231" t="str">
        <f t="shared" si="1"/>
        <v>SGSFC</v>
      </c>
    </row>
    <row r="232">
      <c r="A232" s="447">
        <v>222.0</v>
      </c>
      <c r="B232" s="448" t="s">
        <v>2854</v>
      </c>
      <c r="C232" s="449"/>
      <c r="D232" s="449"/>
      <c r="E232" s="459">
        <v>1.0</v>
      </c>
      <c r="F232" s="459">
        <v>1.7</v>
      </c>
      <c r="G232" s="459">
        <v>5.3</v>
      </c>
      <c r="H232" s="459">
        <v>1.6</v>
      </c>
      <c r="I232" s="459">
        <v>0.8</v>
      </c>
      <c r="J232" s="459">
        <v>0.5</v>
      </c>
      <c r="K232" s="459">
        <v>0.9</v>
      </c>
      <c r="L232" s="459">
        <v>9.1</v>
      </c>
      <c r="M232" s="459">
        <v>28.5</v>
      </c>
      <c r="N232" s="463">
        <v>-9.3</v>
      </c>
      <c r="O232" t="str">
        <f>IFERROR(__xludf.DUMMYFUNCTION("regexextract(B232,""[\w]* [\w]*"")"),"Dwight Powell")</f>
        <v>Dwight Powell</v>
      </c>
      <c r="P232" t="str">
        <f t="shared" si="2"/>
        <v>Dwight Powell</v>
      </c>
      <c r="Q232" t="str">
        <f t="shared" si="3"/>
        <v>Dwight Powell</v>
      </c>
      <c r="R232" t="s">
        <v>2631</v>
      </c>
      <c r="S232" s="411" t="s">
        <v>2631</v>
      </c>
      <c r="T232" t="s">
        <v>2631</v>
      </c>
      <c r="U232" t="s">
        <v>2631</v>
      </c>
      <c r="V232" t="s">
        <v>34</v>
      </c>
      <c r="W232" t="str">
        <f t="shared" si="1"/>
        <v>C</v>
      </c>
    </row>
    <row r="233">
      <c r="A233" s="444">
        <v>223.0</v>
      </c>
      <c r="B233" s="445" t="s">
        <v>2855</v>
      </c>
      <c r="C233" s="446"/>
      <c r="D233" s="446"/>
      <c r="E233" s="458">
        <v>0.9</v>
      </c>
      <c r="F233" s="458">
        <v>1.2</v>
      </c>
      <c r="G233" s="458">
        <v>4.3</v>
      </c>
      <c r="H233" s="458">
        <v>2.4</v>
      </c>
      <c r="I233" s="458">
        <v>1.1</v>
      </c>
      <c r="J233" s="458">
        <v>0.5</v>
      </c>
      <c r="K233" s="458">
        <v>0.9</v>
      </c>
      <c r="L233" s="458">
        <v>8.8</v>
      </c>
      <c r="M233" s="458">
        <v>1.1</v>
      </c>
      <c r="N233" s="461">
        <f>+0.5</f>
        <v>0.5</v>
      </c>
      <c r="O233" t="str">
        <f>IFERROR(__xludf.DUMMYFUNCTION("regexextract(B233,""[\w]* [\w]*"")"),"Onyeka OkongwuO")</f>
        <v>Onyeka OkongwuO</v>
      </c>
      <c r="P233" t="str">
        <f t="shared" si="2"/>
        <v>Onyeka OkongwuO</v>
      </c>
      <c r="Q233" t="str">
        <f t="shared" si="3"/>
        <v>Onyeka Okongwu</v>
      </c>
      <c r="R233" t="s">
        <v>2631</v>
      </c>
      <c r="S233" s="411" t="s">
        <v>2631</v>
      </c>
      <c r="T233" t="s">
        <v>2631</v>
      </c>
      <c r="U233" t="s">
        <v>2631</v>
      </c>
      <c r="V233" t="s">
        <v>34</v>
      </c>
      <c r="W233" t="str">
        <f t="shared" si="1"/>
        <v>C</v>
      </c>
    </row>
    <row r="234">
      <c r="A234" s="447">
        <v>224.0</v>
      </c>
      <c r="B234" s="448" t="s">
        <v>2856</v>
      </c>
      <c r="C234" s="449"/>
      <c r="D234" s="449"/>
      <c r="E234" s="459">
        <v>2.1</v>
      </c>
      <c r="F234" s="459">
        <v>0.2</v>
      </c>
      <c r="G234" s="459">
        <v>6.3</v>
      </c>
      <c r="H234" s="459">
        <v>1.4</v>
      </c>
      <c r="I234" s="459">
        <v>0.8</v>
      </c>
      <c r="J234" s="459">
        <v>0.8</v>
      </c>
      <c r="K234" s="459">
        <v>0.7</v>
      </c>
      <c r="L234" s="459">
        <v>7.7</v>
      </c>
      <c r="M234" s="459">
        <v>3.2</v>
      </c>
      <c r="N234" s="459">
        <v>0.0</v>
      </c>
      <c r="O234" t="str">
        <f>IFERROR(__xludf.DUMMYFUNCTION("regexextract(B234,""[\w]* [\w]*"")"),"Justin Holiday")</f>
        <v>Justin Holiday</v>
      </c>
      <c r="P234" t="str">
        <f t="shared" si="2"/>
        <v>Justin Holiday</v>
      </c>
      <c r="Q234" t="str">
        <f t="shared" si="3"/>
        <v>Justin Holiday</v>
      </c>
      <c r="R234" t="s">
        <v>2631</v>
      </c>
      <c r="S234" s="411" t="s">
        <v>71</v>
      </c>
      <c r="T234" t="s">
        <v>72</v>
      </c>
      <c r="U234" t="s">
        <v>2631</v>
      </c>
      <c r="V234" t="s">
        <v>2631</v>
      </c>
      <c r="W234" t="str">
        <f t="shared" si="1"/>
        <v>SGSF</v>
      </c>
    </row>
    <row r="235">
      <c r="A235" s="444">
        <v>225.0</v>
      </c>
      <c r="B235" s="445" t="s">
        <v>2857</v>
      </c>
      <c r="C235" s="446"/>
      <c r="D235" s="446"/>
      <c r="E235" s="458">
        <v>1.8</v>
      </c>
      <c r="F235" s="458">
        <v>1.7</v>
      </c>
      <c r="G235" s="458">
        <v>4.7</v>
      </c>
      <c r="H235" s="458">
        <v>2.3</v>
      </c>
      <c r="I235" s="458">
        <v>0.6</v>
      </c>
      <c r="J235" s="458">
        <v>0.3</v>
      </c>
      <c r="K235" s="458">
        <v>0.9</v>
      </c>
      <c r="L235" s="458">
        <v>10.1</v>
      </c>
      <c r="M235" s="458">
        <v>2.7</v>
      </c>
      <c r="N235" s="461">
        <f>+0.7</f>
        <v>0.7</v>
      </c>
      <c r="O235" t="str">
        <f>IFERROR(__xludf.DUMMYFUNCTION("regexextract(B235,""[\w]* [\w]*"")"),"Taurean PrinceO")</f>
        <v>Taurean PrinceO</v>
      </c>
      <c r="P235" t="str">
        <f t="shared" si="2"/>
        <v>Taurean PrinceO</v>
      </c>
      <c r="Q235" t="str">
        <f t="shared" si="3"/>
        <v>Taurean Prince</v>
      </c>
      <c r="R235" t="s">
        <v>2631</v>
      </c>
      <c r="S235" s="411" t="s">
        <v>2631</v>
      </c>
      <c r="T235" t="s">
        <v>72</v>
      </c>
      <c r="U235" t="s">
        <v>73</v>
      </c>
      <c r="V235" t="s">
        <v>34</v>
      </c>
      <c r="W235" t="str">
        <f t="shared" si="1"/>
        <v>SFPFC</v>
      </c>
    </row>
    <row r="236">
      <c r="A236" s="447">
        <v>226.0</v>
      </c>
      <c r="B236" s="448" t="s">
        <v>2858</v>
      </c>
      <c r="C236" s="449"/>
      <c r="D236" s="449"/>
      <c r="E236" s="459">
        <v>1.4</v>
      </c>
      <c r="F236" s="459">
        <v>0.9</v>
      </c>
      <c r="G236" s="459">
        <v>6.8</v>
      </c>
      <c r="H236" s="459">
        <v>2.6</v>
      </c>
      <c r="I236" s="459">
        <v>1.3</v>
      </c>
      <c r="J236" s="459">
        <v>0.4</v>
      </c>
      <c r="K236" s="459">
        <v>1.3</v>
      </c>
      <c r="L236" s="459">
        <v>8.9</v>
      </c>
      <c r="M236" s="459">
        <v>4.2</v>
      </c>
      <c r="N236" s="460">
        <f>+0.1</f>
        <v>0.1</v>
      </c>
      <c r="O236" t="str">
        <f>IFERROR(__xludf.DUMMYFUNCTION("regexextract(B236,""[\w]* [\w]*"")"),"Patrick BeverleyO")</f>
        <v>Patrick BeverleyO</v>
      </c>
      <c r="P236" t="str">
        <f t="shared" si="2"/>
        <v>Patrick BeverleyO</v>
      </c>
      <c r="Q236" t="str">
        <f t="shared" si="3"/>
        <v>Patrick Beverley</v>
      </c>
      <c r="R236" t="s">
        <v>44</v>
      </c>
      <c r="S236" s="411" t="s">
        <v>2631</v>
      </c>
      <c r="T236" t="s">
        <v>2631</v>
      </c>
      <c r="U236" t="s">
        <v>2631</v>
      </c>
      <c r="V236" t="s">
        <v>34</v>
      </c>
      <c r="W236" t="str">
        <f t="shared" si="1"/>
        <v>PGC</v>
      </c>
    </row>
    <row r="237">
      <c r="A237" s="444">
        <v>227.0</v>
      </c>
      <c r="B237" s="445" t="s">
        <v>2859</v>
      </c>
      <c r="C237" s="446"/>
      <c r="D237" s="446"/>
      <c r="E237" s="458">
        <v>1.9</v>
      </c>
      <c r="F237" s="458">
        <v>0.9</v>
      </c>
      <c r="G237" s="458">
        <v>4.8</v>
      </c>
      <c r="H237" s="458">
        <v>2.4</v>
      </c>
      <c r="I237" s="458">
        <v>1.1</v>
      </c>
      <c r="J237" s="458">
        <v>0.9</v>
      </c>
      <c r="K237" s="458">
        <v>1.8</v>
      </c>
      <c r="L237" s="458">
        <v>8.6</v>
      </c>
      <c r="M237" s="458">
        <v>2.6</v>
      </c>
      <c r="N237" s="462">
        <v>-0.1</v>
      </c>
      <c r="O237" t="str">
        <f>IFERROR(__xludf.DUMMYFUNCTION("regexextract(B237,""[\w]* [\w]*"")"),"Rajon Rondo")</f>
        <v>Rajon Rondo</v>
      </c>
      <c r="P237" t="str">
        <f t="shared" si="2"/>
        <v>Rajon Rondo</v>
      </c>
      <c r="Q237" t="str">
        <f t="shared" si="3"/>
        <v>Rajon Rond</v>
      </c>
      <c r="R237" t="s">
        <v>44</v>
      </c>
      <c r="S237" s="411" t="s">
        <v>2631</v>
      </c>
      <c r="T237" t="s">
        <v>2631</v>
      </c>
      <c r="U237" t="s">
        <v>2631</v>
      </c>
      <c r="V237" t="s">
        <v>2631</v>
      </c>
      <c r="W237" t="str">
        <f t="shared" si="1"/>
        <v>PG</v>
      </c>
    </row>
    <row r="238">
      <c r="A238" s="447">
        <v>228.0</v>
      </c>
      <c r="B238" s="448" t="s">
        <v>2860</v>
      </c>
      <c r="C238" s="449"/>
      <c r="D238" s="449"/>
      <c r="E238" s="459">
        <v>1.8</v>
      </c>
      <c r="F238" s="459">
        <v>2.0</v>
      </c>
      <c r="G238" s="459">
        <v>3.5</v>
      </c>
      <c r="H238" s="459">
        <v>3.7</v>
      </c>
      <c r="I238" s="459">
        <v>0.6</v>
      </c>
      <c r="J238" s="459">
        <v>0.2</v>
      </c>
      <c r="K238" s="459">
        <v>1.8</v>
      </c>
      <c r="L238" s="459">
        <v>13.1</v>
      </c>
      <c r="M238" s="459">
        <v>46.6</v>
      </c>
      <c r="N238" s="463">
        <v>-15.7</v>
      </c>
      <c r="O238" t="str">
        <f>IFERROR(__xludf.DUMMYFUNCTION("regexextract(B238,""[\w]* [\w]*"")"),"Tristan Thompson")</f>
        <v>Tristan Thompson</v>
      </c>
      <c r="P238" t="str">
        <f t="shared" si="2"/>
        <v>Tristan Thompson</v>
      </c>
      <c r="Q238" t="str">
        <f t="shared" si="3"/>
        <v>Tristan Thompson</v>
      </c>
      <c r="R238" t="s">
        <v>2631</v>
      </c>
      <c r="S238" s="411" t="s">
        <v>2631</v>
      </c>
      <c r="T238" t="s">
        <v>2631</v>
      </c>
      <c r="U238" t="s">
        <v>73</v>
      </c>
      <c r="V238" t="s">
        <v>34</v>
      </c>
      <c r="W238" t="str">
        <f t="shared" si="1"/>
        <v>PFC</v>
      </c>
    </row>
    <row r="239">
      <c r="A239" s="444">
        <v>229.0</v>
      </c>
      <c r="B239" s="445" t="s">
        <v>2861</v>
      </c>
      <c r="C239" s="446"/>
      <c r="D239" s="446"/>
      <c r="E239" s="458">
        <v>2.9</v>
      </c>
      <c r="F239" s="458">
        <v>1.6</v>
      </c>
      <c r="G239" s="458">
        <v>5.0</v>
      </c>
      <c r="H239" s="458">
        <v>3.2</v>
      </c>
      <c r="I239" s="458">
        <v>0.7</v>
      </c>
      <c r="J239" s="458">
        <v>0.3</v>
      </c>
      <c r="K239" s="458">
        <v>1.5</v>
      </c>
      <c r="L239" s="458">
        <v>11.8</v>
      </c>
      <c r="M239" s="458">
        <v>18.4</v>
      </c>
      <c r="N239" s="462">
        <v>-1.4</v>
      </c>
      <c r="O239" t="str">
        <f>IFERROR(__xludf.DUMMYFUNCTION("regexextract(B239,""[\w]* [\w]*"")"),"Jeff Green")</f>
        <v>Jeff Green</v>
      </c>
      <c r="P239" t="str">
        <f t="shared" si="2"/>
        <v>Jeff Green</v>
      </c>
      <c r="Q239" t="str">
        <f t="shared" si="3"/>
        <v>Jeff Green</v>
      </c>
      <c r="R239" t="s">
        <v>2631</v>
      </c>
      <c r="S239" s="411" t="s">
        <v>2631</v>
      </c>
      <c r="T239" t="s">
        <v>2631</v>
      </c>
      <c r="U239" t="s">
        <v>73</v>
      </c>
      <c r="V239" t="s">
        <v>2631</v>
      </c>
      <c r="W239" t="str">
        <f t="shared" si="1"/>
        <v>PF</v>
      </c>
    </row>
    <row r="240">
      <c r="A240" s="447">
        <v>230.0</v>
      </c>
      <c r="B240" s="448" t="s">
        <v>2862</v>
      </c>
      <c r="C240" s="449"/>
      <c r="D240" s="449"/>
      <c r="E240" s="459">
        <v>1.8</v>
      </c>
      <c r="F240" s="459">
        <v>1.4</v>
      </c>
      <c r="G240" s="459">
        <v>5.3</v>
      </c>
      <c r="H240" s="459">
        <v>1.7</v>
      </c>
      <c r="I240" s="459">
        <v>0.6</v>
      </c>
      <c r="J240" s="459">
        <v>0.6</v>
      </c>
      <c r="K240" s="459">
        <v>1.2</v>
      </c>
      <c r="L240" s="459">
        <v>11.4</v>
      </c>
      <c r="M240" s="459">
        <v>3.4</v>
      </c>
      <c r="N240" s="459">
        <v>0.0</v>
      </c>
      <c r="O240" t="str">
        <f>IFERROR(__xludf.DUMMYFUNCTION("regexextract(B240,""[\w]* [\w]*"")"),"Cory Joseph")</f>
        <v>Cory Joseph</v>
      </c>
      <c r="P240" t="str">
        <f t="shared" si="2"/>
        <v>Cory Joseph</v>
      </c>
      <c r="Q240" t="str">
        <f t="shared" si="3"/>
        <v>Cory Joseph</v>
      </c>
      <c r="R240" t="s">
        <v>44</v>
      </c>
      <c r="S240" s="411" t="s">
        <v>2631</v>
      </c>
      <c r="T240" t="s">
        <v>2631</v>
      </c>
      <c r="U240" t="s">
        <v>2631</v>
      </c>
      <c r="V240" t="s">
        <v>34</v>
      </c>
      <c r="W240" t="str">
        <f t="shared" si="1"/>
        <v>PGC</v>
      </c>
    </row>
    <row r="241">
      <c r="A241" s="444">
        <v>231.0</v>
      </c>
      <c r="B241" s="445" t="s">
        <v>2863</v>
      </c>
      <c r="C241" s="446"/>
      <c r="D241" s="446"/>
      <c r="E241" s="458">
        <v>1.6</v>
      </c>
      <c r="F241" s="458">
        <v>1.5</v>
      </c>
      <c r="G241" s="458">
        <v>6.5</v>
      </c>
      <c r="H241" s="458">
        <v>1.9</v>
      </c>
      <c r="I241" s="458">
        <v>0.9</v>
      </c>
      <c r="J241" s="458">
        <v>0.3</v>
      </c>
      <c r="K241" s="458">
        <v>1.0</v>
      </c>
      <c r="L241" s="458">
        <v>8.9</v>
      </c>
      <c r="M241" s="458">
        <v>3.2</v>
      </c>
      <c r="N241" s="462">
        <v>-0.1</v>
      </c>
      <c r="O241" t="str">
        <f>IFERROR(__xludf.DUMMYFUNCTION("regexextract(B241,""[\w]* [\w]*"")"),"Patty Mills")</f>
        <v>Patty Mills</v>
      </c>
      <c r="P241" t="str">
        <f t="shared" si="2"/>
        <v>Patty Mills</v>
      </c>
      <c r="Q241" t="str">
        <f t="shared" si="3"/>
        <v>Patty Mills</v>
      </c>
      <c r="R241" t="s">
        <v>44</v>
      </c>
      <c r="S241" s="411" t="s">
        <v>2631</v>
      </c>
      <c r="T241" t="s">
        <v>2631</v>
      </c>
      <c r="U241" t="s">
        <v>2631</v>
      </c>
      <c r="V241" t="s">
        <v>2631</v>
      </c>
      <c r="W241" t="str">
        <f t="shared" si="1"/>
        <v>PG</v>
      </c>
    </row>
    <row r="242">
      <c r="A242" s="447">
        <v>232.0</v>
      </c>
      <c r="B242" s="448" t="s">
        <v>2864</v>
      </c>
      <c r="C242" s="449"/>
      <c r="D242" s="449"/>
      <c r="E242" s="459">
        <v>1.1</v>
      </c>
      <c r="F242" s="459">
        <v>0.9</v>
      </c>
      <c r="G242" s="459">
        <v>4.9</v>
      </c>
      <c r="H242" s="459">
        <v>2.6</v>
      </c>
      <c r="I242" s="459">
        <v>1.0</v>
      </c>
      <c r="J242" s="459">
        <v>0.3</v>
      </c>
      <c r="K242" s="459">
        <v>1.3</v>
      </c>
      <c r="L242" s="459">
        <v>8.9</v>
      </c>
      <c r="M242" s="459">
        <v>0.8</v>
      </c>
      <c r="N242" s="460">
        <f>+0.1</f>
        <v>0.1</v>
      </c>
      <c r="O242" t="str">
        <f>IFERROR(__xludf.DUMMYFUNCTION("regexextract(B242,""[\w]* [\w]*"")"),"Kira Lewis")</f>
        <v>Kira Lewis</v>
      </c>
      <c r="P242" t="str">
        <f t="shared" si="2"/>
        <v>Kira Lewis</v>
      </c>
      <c r="Q242" t="str">
        <f t="shared" si="3"/>
        <v>Kira Lewis</v>
      </c>
      <c r="R242" t="s">
        <v>44</v>
      </c>
      <c r="S242" s="411" t="s">
        <v>2631</v>
      </c>
      <c r="T242" t="s">
        <v>2631</v>
      </c>
      <c r="U242" t="s">
        <v>2631</v>
      </c>
      <c r="V242" t="s">
        <v>2631</v>
      </c>
      <c r="W242" t="str">
        <f t="shared" si="1"/>
        <v>PG</v>
      </c>
    </row>
    <row r="243">
      <c r="A243" s="444">
        <v>233.0</v>
      </c>
      <c r="B243" s="445" t="s">
        <v>2865</v>
      </c>
      <c r="C243" s="446"/>
      <c r="D243" s="446"/>
      <c r="E243" s="458">
        <v>1.2</v>
      </c>
      <c r="F243" s="458">
        <v>2.0</v>
      </c>
      <c r="G243" s="458">
        <v>3.8</v>
      </c>
      <c r="H243" s="458">
        <v>2.0</v>
      </c>
      <c r="I243" s="458">
        <v>0.9</v>
      </c>
      <c r="J243" s="458">
        <v>0.3</v>
      </c>
      <c r="K243" s="458">
        <v>1.4</v>
      </c>
      <c r="L243" s="458">
        <v>11.3</v>
      </c>
      <c r="M243" s="458">
        <v>0.6</v>
      </c>
      <c r="N243" s="461">
        <f>+0.3</f>
        <v>0.3</v>
      </c>
      <c r="O243" t="str">
        <f>IFERROR(__xludf.DUMMYFUNCTION("regexextract(B243,""[\w]* [\w]*"")"),"James Bouknight")</f>
        <v>James Bouknight</v>
      </c>
      <c r="P243" t="str">
        <f t="shared" si="2"/>
        <v>James Bouknight</v>
      </c>
      <c r="Q243" t="str">
        <f t="shared" si="3"/>
        <v>James Bouknight</v>
      </c>
      <c r="R243" t="s">
        <v>2631</v>
      </c>
      <c r="S243" s="411" t="s">
        <v>71</v>
      </c>
      <c r="T243" t="s">
        <v>2631</v>
      </c>
      <c r="U243" t="s">
        <v>2631</v>
      </c>
      <c r="V243" t="s">
        <v>34</v>
      </c>
      <c r="W243" t="str">
        <f t="shared" si="1"/>
        <v>SGC</v>
      </c>
    </row>
    <row r="244">
      <c r="A244" s="447">
        <v>234.0</v>
      </c>
      <c r="B244" s="448" t="s">
        <v>2866</v>
      </c>
      <c r="C244" s="449"/>
      <c r="D244" s="449"/>
      <c r="E244" s="459">
        <v>1.5</v>
      </c>
      <c r="F244" s="459">
        <v>0.8</v>
      </c>
      <c r="G244" s="459">
        <v>2.8</v>
      </c>
      <c r="H244" s="459">
        <v>4.6</v>
      </c>
      <c r="I244" s="459">
        <v>0.8</v>
      </c>
      <c r="J244" s="459">
        <v>0.2</v>
      </c>
      <c r="K244" s="459">
        <v>1.6</v>
      </c>
      <c r="L244" s="459">
        <v>8.0</v>
      </c>
      <c r="M244" s="459">
        <v>0.9</v>
      </c>
      <c r="N244" s="460">
        <f>+0.2</f>
        <v>0.2</v>
      </c>
      <c r="O244" t="str">
        <f>IFERROR(__xludf.DUMMYFUNCTION("regexextract(B244,""[\w]* [\w]*"")"),"Saben Lee")</f>
        <v>Saben Lee</v>
      </c>
      <c r="P244" t="str">
        <f t="shared" si="2"/>
        <v>Saben Lee</v>
      </c>
      <c r="Q244" t="str">
        <f t="shared" si="3"/>
        <v>Saben Lee</v>
      </c>
      <c r="R244" t="s">
        <v>44</v>
      </c>
      <c r="S244" s="411" t="s">
        <v>2631</v>
      </c>
      <c r="T244" t="s">
        <v>2631</v>
      </c>
      <c r="U244" t="s">
        <v>2631</v>
      </c>
      <c r="V244" t="s">
        <v>2631</v>
      </c>
      <c r="W244" t="str">
        <f t="shared" si="1"/>
        <v>PG</v>
      </c>
    </row>
    <row r="245">
      <c r="A245" s="444">
        <v>235.0</v>
      </c>
      <c r="B245" s="445" t="s">
        <v>2867</v>
      </c>
      <c r="C245" s="446"/>
      <c r="D245" s="446"/>
      <c r="E245" s="458">
        <v>1.0</v>
      </c>
      <c r="F245" s="458">
        <v>1.8</v>
      </c>
      <c r="G245" s="458">
        <v>2.5</v>
      </c>
      <c r="H245" s="458">
        <v>2.5</v>
      </c>
      <c r="I245" s="458">
        <v>0.8</v>
      </c>
      <c r="J245" s="458">
        <v>0.2</v>
      </c>
      <c r="K245" s="458">
        <v>1.3</v>
      </c>
      <c r="L245" s="458">
        <v>12.5</v>
      </c>
      <c r="M245" s="458">
        <v>7.7</v>
      </c>
      <c r="N245" s="462">
        <v>-1.6</v>
      </c>
      <c r="O245" t="str">
        <f>IFERROR(__xludf.DUMMYFUNCTION("regexextract(B245,""[\w]* [\w]*"")"),"Delon Wright")</f>
        <v>Delon Wright</v>
      </c>
      <c r="P245" t="str">
        <f t="shared" si="2"/>
        <v>Delon Wright</v>
      </c>
      <c r="Q245" t="str">
        <f t="shared" si="3"/>
        <v>Delon Wright</v>
      </c>
      <c r="R245" t="s">
        <v>44</v>
      </c>
      <c r="S245" s="411" t="s">
        <v>71</v>
      </c>
      <c r="T245" t="s">
        <v>2631</v>
      </c>
      <c r="U245" t="s">
        <v>2631</v>
      </c>
      <c r="V245" t="s">
        <v>2631</v>
      </c>
      <c r="W245" t="str">
        <f t="shared" si="1"/>
        <v>PGSG</v>
      </c>
    </row>
    <row r="246">
      <c r="A246" s="447">
        <v>236.0</v>
      </c>
      <c r="B246" s="448" t="s">
        <v>2868</v>
      </c>
      <c r="C246" s="449"/>
      <c r="D246" s="449"/>
      <c r="E246" s="459">
        <v>3.2</v>
      </c>
      <c r="F246" s="459">
        <v>2.2</v>
      </c>
      <c r="G246" s="459">
        <v>3.7</v>
      </c>
      <c r="H246" s="459">
        <v>1.7</v>
      </c>
      <c r="I246" s="459">
        <v>0.9</v>
      </c>
      <c r="J246" s="459">
        <v>0.4</v>
      </c>
      <c r="K246" s="459">
        <v>1.5</v>
      </c>
      <c r="L246" s="459">
        <v>14.3</v>
      </c>
      <c r="M246" s="459">
        <v>6.7</v>
      </c>
      <c r="N246" s="463">
        <v>-0.1</v>
      </c>
      <c r="O246" t="str">
        <f>IFERROR(__xludf.DUMMYFUNCTION("regexextract(B246,""[\w]* [\w]*"")"),"Pat Connaughton")</f>
        <v>Pat Connaughton</v>
      </c>
      <c r="P246" t="str">
        <f t="shared" si="2"/>
        <v>Pat Connaughton</v>
      </c>
      <c r="Q246" t="str">
        <f t="shared" si="3"/>
        <v>Pat Connaughton</v>
      </c>
      <c r="R246" t="s">
        <v>2631</v>
      </c>
      <c r="S246" s="411" t="s">
        <v>71</v>
      </c>
      <c r="T246" t="s">
        <v>72</v>
      </c>
      <c r="U246" t="s">
        <v>2631</v>
      </c>
      <c r="V246" t="s">
        <v>34</v>
      </c>
      <c r="W246" t="str">
        <f t="shared" si="1"/>
        <v>SGSFC</v>
      </c>
    </row>
    <row r="247">
      <c r="A247" s="444">
        <v>237.0</v>
      </c>
      <c r="B247" s="445" t="s">
        <v>2869</v>
      </c>
      <c r="C247" s="446"/>
      <c r="D247" s="446"/>
      <c r="E247" s="458">
        <v>2.6</v>
      </c>
      <c r="F247" s="458">
        <v>1.3</v>
      </c>
      <c r="G247" s="458">
        <v>2.5</v>
      </c>
      <c r="H247" s="458">
        <v>3.0</v>
      </c>
      <c r="I247" s="458">
        <v>0.7</v>
      </c>
      <c r="J247" s="458">
        <v>0.3</v>
      </c>
      <c r="K247" s="458">
        <v>1.6</v>
      </c>
      <c r="L247" s="458">
        <v>12.9</v>
      </c>
      <c r="M247" s="458">
        <v>2.3</v>
      </c>
      <c r="N247" s="461">
        <f t="shared" ref="N247:N248" si="9">+0.1</f>
        <v>0.1</v>
      </c>
      <c r="O247" t="str">
        <f>IFERROR(__xludf.DUMMYFUNCTION("regexextract(B247,""[\w]* [\w]*"")"),"Anfernee Simons")</f>
        <v>Anfernee Simons</v>
      </c>
      <c r="P247" t="str">
        <f t="shared" si="2"/>
        <v>Anfernee Simons</v>
      </c>
      <c r="Q247" t="str">
        <f t="shared" si="3"/>
        <v>Anfernee Simons</v>
      </c>
      <c r="R247" t="s">
        <v>44</v>
      </c>
      <c r="S247" s="411" t="s">
        <v>71</v>
      </c>
      <c r="T247" t="s">
        <v>2631</v>
      </c>
      <c r="U247" t="s">
        <v>2631</v>
      </c>
      <c r="V247" t="s">
        <v>2631</v>
      </c>
      <c r="W247" t="str">
        <f t="shared" si="1"/>
        <v>PGSG</v>
      </c>
    </row>
    <row r="248">
      <c r="A248" s="447">
        <v>238.0</v>
      </c>
      <c r="B248" s="448" t="s">
        <v>2870</v>
      </c>
      <c r="C248" s="449"/>
      <c r="D248" s="449"/>
      <c r="E248" s="459">
        <v>0.9</v>
      </c>
      <c r="F248" s="459">
        <v>1.5</v>
      </c>
      <c r="G248" s="459">
        <v>4.8</v>
      </c>
      <c r="H248" s="459">
        <v>2.5</v>
      </c>
      <c r="I248" s="459">
        <v>1.0</v>
      </c>
      <c r="J248" s="459">
        <v>0.5</v>
      </c>
      <c r="K248" s="459">
        <v>1.0</v>
      </c>
      <c r="L248" s="459">
        <v>7.8</v>
      </c>
      <c r="M248" s="459">
        <v>2.0</v>
      </c>
      <c r="N248" s="460">
        <f t="shared" si="9"/>
        <v>0.1</v>
      </c>
      <c r="O248" t="str">
        <f>IFERROR(__xludf.DUMMYFUNCTION("regexextract(B248,""[\w]* [\w]*"")"),"George Hill")</f>
        <v>George Hill</v>
      </c>
      <c r="P248" t="str">
        <f t="shared" si="2"/>
        <v>George Hill</v>
      </c>
      <c r="Q248" t="str">
        <f t="shared" si="3"/>
        <v>George Hill</v>
      </c>
      <c r="R248" t="s">
        <v>44</v>
      </c>
      <c r="S248" s="411" t="s">
        <v>71</v>
      </c>
      <c r="T248" t="s">
        <v>2631</v>
      </c>
      <c r="U248" t="s">
        <v>2631</v>
      </c>
      <c r="V248" t="s">
        <v>2631</v>
      </c>
      <c r="W248" t="str">
        <f t="shared" si="1"/>
        <v>PGSG</v>
      </c>
    </row>
    <row r="249">
      <c r="A249" s="444">
        <v>239.0</v>
      </c>
      <c r="B249" s="445" t="s">
        <v>2871</v>
      </c>
      <c r="C249" s="446"/>
      <c r="D249" s="446"/>
      <c r="E249" s="458">
        <v>3.1</v>
      </c>
      <c r="F249" s="458">
        <v>0.1</v>
      </c>
      <c r="G249" s="458">
        <v>5.5</v>
      </c>
      <c r="H249" s="458">
        <v>0.9</v>
      </c>
      <c r="I249" s="458">
        <v>0.5</v>
      </c>
      <c r="J249" s="458">
        <v>1.0</v>
      </c>
      <c r="K249" s="458">
        <v>0.9</v>
      </c>
      <c r="L249" s="458">
        <v>9.8</v>
      </c>
      <c r="M249" s="458">
        <v>1.0</v>
      </c>
      <c r="N249" s="461">
        <f>+0.3</f>
        <v>0.3</v>
      </c>
      <c r="O249" t="str">
        <f>IFERROR(__xludf.DUMMYFUNCTION("regexextract(B249,""[\w]* [\w]*"")"),"Lonnie Walker")</f>
        <v>Lonnie Walker</v>
      </c>
      <c r="P249" t="str">
        <f t="shared" si="2"/>
        <v>Lonnie Walker</v>
      </c>
      <c r="Q249" t="str">
        <f t="shared" si="3"/>
        <v>Lonnie Walker</v>
      </c>
      <c r="R249" t="s">
        <v>2631</v>
      </c>
      <c r="S249" s="411" t="s">
        <v>71</v>
      </c>
      <c r="T249" t="s">
        <v>72</v>
      </c>
      <c r="U249" t="s">
        <v>2631</v>
      </c>
      <c r="V249" t="s">
        <v>2631</v>
      </c>
      <c r="W249" t="str">
        <f t="shared" si="1"/>
        <v>SGSF</v>
      </c>
    </row>
    <row r="250">
      <c r="A250" s="447">
        <v>240.0</v>
      </c>
      <c r="B250" s="448" t="s">
        <v>2872</v>
      </c>
      <c r="C250" s="449"/>
      <c r="D250" s="449"/>
      <c r="E250" s="459">
        <v>0.5</v>
      </c>
      <c r="F250" s="459">
        <v>0.9</v>
      </c>
      <c r="G250" s="459">
        <v>2.2</v>
      </c>
      <c r="H250" s="459">
        <v>1.3</v>
      </c>
      <c r="I250" s="459">
        <v>1.9</v>
      </c>
      <c r="J250" s="459">
        <v>1.2</v>
      </c>
      <c r="K250" s="459">
        <v>0.7</v>
      </c>
      <c r="L250" s="459">
        <v>5.0</v>
      </c>
      <c r="M250" s="459">
        <v>4.5</v>
      </c>
      <c r="N250" s="460">
        <f>+0.2</f>
        <v>0.2</v>
      </c>
      <c r="O250" t="str">
        <f>IFERROR(__xludf.DUMMYFUNCTION("regexextract(B250,""[\w]* [\w]*"")")," Augustin")</f>
        <v> Augustin</v>
      </c>
      <c r="P250" t="str">
        <f t="shared" si="2"/>
        <v> Augustin</v>
      </c>
      <c r="Q250" t="str">
        <f t="shared" si="3"/>
        <v> Augustin</v>
      </c>
      <c r="R250" t="s">
        <v>44</v>
      </c>
      <c r="S250" s="411" t="s">
        <v>2631</v>
      </c>
      <c r="T250" t="s">
        <v>2631</v>
      </c>
      <c r="U250" t="s">
        <v>2631</v>
      </c>
      <c r="V250" t="s">
        <v>2631</v>
      </c>
      <c r="W250" t="str">
        <f t="shared" si="1"/>
        <v>PG</v>
      </c>
    </row>
    <row r="251">
      <c r="A251" s="444">
        <v>241.0</v>
      </c>
      <c r="B251" s="445" t="s">
        <v>2873</v>
      </c>
      <c r="C251" s="446"/>
      <c r="D251" s="446"/>
      <c r="E251" s="458">
        <v>0.6</v>
      </c>
      <c r="F251" s="458">
        <v>1.3</v>
      </c>
      <c r="G251" s="458">
        <v>5.8</v>
      </c>
      <c r="H251" s="458">
        <v>2.4</v>
      </c>
      <c r="I251" s="458">
        <v>0.8</v>
      </c>
      <c r="J251" s="458">
        <v>0.4</v>
      </c>
      <c r="K251" s="458">
        <v>1.0</v>
      </c>
      <c r="L251" s="458">
        <v>6.3</v>
      </c>
      <c r="M251" s="458">
        <v>2.8</v>
      </c>
      <c r="N251" s="462">
        <v>-0.5</v>
      </c>
      <c r="O251" t="str">
        <f>IFERROR(__xludf.DUMMYFUNCTION("regexextract(B251,""[\w]* [\w]*"")"),"Mo Bamba")</f>
        <v>Mo Bamba</v>
      </c>
      <c r="P251" t="str">
        <f t="shared" si="2"/>
        <v>Mo Bamba</v>
      </c>
      <c r="Q251" t="str">
        <f t="shared" si="3"/>
        <v>Mo Bamba</v>
      </c>
      <c r="R251" t="s">
        <v>2631</v>
      </c>
      <c r="S251" s="411" t="s">
        <v>2631</v>
      </c>
      <c r="T251" t="s">
        <v>2631</v>
      </c>
      <c r="U251" t="s">
        <v>2631</v>
      </c>
      <c r="V251" t="s">
        <v>34</v>
      </c>
      <c r="W251" t="str">
        <f t="shared" si="1"/>
        <v>C</v>
      </c>
    </row>
    <row r="252">
      <c r="A252" s="447">
        <v>242.0</v>
      </c>
      <c r="B252" s="448" t="s">
        <v>2874</v>
      </c>
      <c r="C252" s="449"/>
      <c r="D252" s="449"/>
      <c r="E252" s="459">
        <v>1.6</v>
      </c>
      <c r="F252" s="459">
        <v>1.5</v>
      </c>
      <c r="G252" s="459">
        <v>4.0</v>
      </c>
      <c r="H252" s="459">
        <v>1.3</v>
      </c>
      <c r="I252" s="459">
        <v>1.0</v>
      </c>
      <c r="J252" s="459">
        <v>0.4</v>
      </c>
      <c r="K252" s="459">
        <v>0.5</v>
      </c>
      <c r="L252" s="459">
        <v>10.2</v>
      </c>
      <c r="M252" s="459">
        <v>0.8</v>
      </c>
      <c r="N252" s="460">
        <f>+0.2</f>
        <v>0.2</v>
      </c>
      <c r="O252" t="str">
        <f>IFERROR(__xludf.DUMMYFUNCTION("regexextract(B252,""[\w]* [\w]*"")"),"JaMychal Green")</f>
        <v>JaMychal Green</v>
      </c>
      <c r="P252" t="str">
        <f t="shared" si="2"/>
        <v>JaMychal Green</v>
      </c>
      <c r="Q252" t="str">
        <f t="shared" si="3"/>
        <v>JaMychal Green</v>
      </c>
      <c r="R252" t="s">
        <v>2631</v>
      </c>
      <c r="S252" s="411" t="s">
        <v>2631</v>
      </c>
      <c r="T252" t="s">
        <v>2631</v>
      </c>
      <c r="U252" t="s">
        <v>73</v>
      </c>
      <c r="V252" t="s">
        <v>34</v>
      </c>
      <c r="W252" t="str">
        <f t="shared" si="1"/>
        <v>PFC</v>
      </c>
    </row>
    <row r="253">
      <c r="A253" s="444">
        <v>243.0</v>
      </c>
      <c r="B253" s="445" t="s">
        <v>2875</v>
      </c>
      <c r="C253" s="446"/>
      <c r="D253" s="446"/>
      <c r="E253" s="458">
        <v>3.7</v>
      </c>
      <c r="F253" s="458">
        <v>2.0</v>
      </c>
      <c r="G253" s="458">
        <v>4.5</v>
      </c>
      <c r="H253" s="458">
        <v>4.2</v>
      </c>
      <c r="I253" s="458">
        <v>1.3</v>
      </c>
      <c r="J253" s="458">
        <v>0.3</v>
      </c>
      <c r="K253" s="458">
        <v>2.3</v>
      </c>
      <c r="L253" s="458">
        <v>17.4</v>
      </c>
      <c r="M253" s="458">
        <v>22.9</v>
      </c>
      <c r="N253" s="462">
        <v>-4.2</v>
      </c>
      <c r="O253" t="str">
        <f>IFERROR(__xludf.DUMMYFUNCTION("regexextract(B253,""[\w]* [\w]*"")"),"Danuel House")</f>
        <v>Danuel House</v>
      </c>
      <c r="P253" t="str">
        <f t="shared" si="2"/>
        <v>Danuel House</v>
      </c>
      <c r="Q253" t="str">
        <f t="shared" si="3"/>
        <v>Danuel House</v>
      </c>
      <c r="R253" t="s">
        <v>2631</v>
      </c>
      <c r="S253" s="411" t="s">
        <v>71</v>
      </c>
      <c r="T253" t="s">
        <v>72</v>
      </c>
      <c r="U253" t="s">
        <v>2631</v>
      </c>
      <c r="V253" t="s">
        <v>2631</v>
      </c>
      <c r="W253" t="str">
        <f t="shared" si="1"/>
        <v>SGSF</v>
      </c>
    </row>
    <row r="254">
      <c r="A254" s="447">
        <v>244.0</v>
      </c>
      <c r="B254" s="448" t="s">
        <v>2876</v>
      </c>
      <c r="C254" s="449"/>
      <c r="D254" s="449"/>
      <c r="E254" s="459">
        <v>1.8</v>
      </c>
      <c r="F254" s="459">
        <v>2.9</v>
      </c>
      <c r="G254" s="459">
        <v>3.5</v>
      </c>
      <c r="H254" s="459">
        <v>1.2</v>
      </c>
      <c r="I254" s="459">
        <v>0.6</v>
      </c>
      <c r="J254" s="459">
        <v>0.4</v>
      </c>
      <c r="K254" s="459">
        <v>0.7</v>
      </c>
      <c r="L254" s="459">
        <v>11.8</v>
      </c>
      <c r="M254" s="459">
        <v>1.0</v>
      </c>
      <c r="N254" s="460">
        <f>+0.2</f>
        <v>0.2</v>
      </c>
      <c r="O254" t="str">
        <f>IFERROR(__xludf.DUMMYFUNCTION("regexextract(B254,""[\w]* [\w]*"")"),"Cam Reddish")</f>
        <v>Cam Reddish</v>
      </c>
      <c r="P254" t="str">
        <f t="shared" si="2"/>
        <v>Cam Reddish</v>
      </c>
      <c r="Q254" t="str">
        <f t="shared" si="3"/>
        <v>Cam Reddish</v>
      </c>
      <c r="R254" t="s">
        <v>2631</v>
      </c>
      <c r="S254" s="411" t="s">
        <v>71</v>
      </c>
      <c r="T254" t="s">
        <v>72</v>
      </c>
      <c r="U254" t="s">
        <v>2631</v>
      </c>
      <c r="V254" t="s">
        <v>34</v>
      </c>
      <c r="W254" t="str">
        <f t="shared" si="1"/>
        <v>SGSFC</v>
      </c>
    </row>
    <row r="255">
      <c r="A255" s="444">
        <v>245.0</v>
      </c>
      <c r="B255" s="445" t="s">
        <v>2877</v>
      </c>
      <c r="C255" s="446"/>
      <c r="D255" s="446"/>
      <c r="E255" s="458">
        <v>2.8</v>
      </c>
      <c r="F255" s="458">
        <v>2.2</v>
      </c>
      <c r="G255" s="458">
        <v>7.8</v>
      </c>
      <c r="H255" s="458">
        <v>2.4</v>
      </c>
      <c r="I255" s="458">
        <v>0.5</v>
      </c>
      <c r="J255" s="458">
        <v>0.2</v>
      </c>
      <c r="K255" s="458">
        <v>1.8</v>
      </c>
      <c r="L255" s="458">
        <v>13.4</v>
      </c>
      <c r="M255" s="458">
        <v>8.2</v>
      </c>
      <c r="N255" s="462">
        <v>-0.9</v>
      </c>
      <c r="O255" t="str">
        <f>IFERROR(__xludf.DUMMYFUNCTION("regexextract(B255,""[\w]* [\w]*"")"),"Landry Shamet")</f>
        <v>Landry Shamet</v>
      </c>
      <c r="P255" t="str">
        <f t="shared" si="2"/>
        <v>Landry Shamet</v>
      </c>
      <c r="Q255" t="str">
        <f t="shared" si="3"/>
        <v>Landry Shamet</v>
      </c>
      <c r="R255" t="s">
        <v>2631</v>
      </c>
      <c r="S255" s="411" t="s">
        <v>71</v>
      </c>
      <c r="T255" t="s">
        <v>2631</v>
      </c>
      <c r="U255" t="s">
        <v>2631</v>
      </c>
      <c r="V255" t="s">
        <v>2631</v>
      </c>
      <c r="W255" t="str">
        <f t="shared" si="1"/>
        <v>SG</v>
      </c>
    </row>
    <row r="256">
      <c r="A256" s="447">
        <v>246.0</v>
      </c>
      <c r="B256" s="448" t="s">
        <v>2878</v>
      </c>
      <c r="C256" s="449"/>
      <c r="D256" s="449"/>
      <c r="E256" s="459">
        <v>2.2</v>
      </c>
      <c r="F256" s="459">
        <v>1.2</v>
      </c>
      <c r="G256" s="459">
        <v>3.8</v>
      </c>
      <c r="H256" s="459">
        <v>1.6</v>
      </c>
      <c r="I256" s="459">
        <v>0.9</v>
      </c>
      <c r="J256" s="459">
        <v>0.5</v>
      </c>
      <c r="K256" s="459">
        <v>0.7</v>
      </c>
      <c r="L256" s="459">
        <v>10.7</v>
      </c>
      <c r="M256" s="459">
        <v>2.7</v>
      </c>
      <c r="N256" s="463">
        <v>-0.5</v>
      </c>
      <c r="O256" t="str">
        <f>IFERROR(__xludf.DUMMYFUNCTION("regexextract(B256,""[\w]* [\w]*"")"),"Deni AvdijaDTD")</f>
        <v>Deni AvdijaDTD</v>
      </c>
      <c r="P256" t="str">
        <f t="shared" si="2"/>
        <v>Deni Avdija</v>
      </c>
      <c r="Q256" t="str">
        <f t="shared" si="3"/>
        <v>Deni Avdija</v>
      </c>
      <c r="R256" t="s">
        <v>2631</v>
      </c>
      <c r="S256" s="411" t="s">
        <v>2631</v>
      </c>
      <c r="T256" t="s">
        <v>72</v>
      </c>
      <c r="U256" t="s">
        <v>2631</v>
      </c>
      <c r="V256" t="s">
        <v>2631</v>
      </c>
      <c r="W256" t="str">
        <f t="shared" si="1"/>
        <v>SF</v>
      </c>
    </row>
    <row r="257">
      <c r="A257" s="444">
        <v>247.0</v>
      </c>
      <c r="B257" s="445" t="s">
        <v>2879</v>
      </c>
      <c r="C257" s="446"/>
      <c r="D257" s="446"/>
      <c r="E257" s="458">
        <v>1.8</v>
      </c>
      <c r="F257" s="458">
        <v>0.3</v>
      </c>
      <c r="G257" s="458">
        <v>5.1</v>
      </c>
      <c r="H257" s="458">
        <v>1.8</v>
      </c>
      <c r="I257" s="458">
        <v>0.9</v>
      </c>
      <c r="J257" s="458">
        <v>0.4</v>
      </c>
      <c r="K257" s="458">
        <v>0.9</v>
      </c>
      <c r="L257" s="458">
        <v>8.3</v>
      </c>
      <c r="M257" s="458">
        <v>1.3</v>
      </c>
      <c r="N257" s="458">
        <v>0.0</v>
      </c>
      <c r="O257" t="str">
        <f>IFERROR(__xludf.DUMMYFUNCTION("regexextract(B257,""[\w]* [\w]*"")"),"Willy Hernangomez")</f>
        <v>Willy Hernangomez</v>
      </c>
      <c r="P257" t="str">
        <f t="shared" si="2"/>
        <v>Willy Hernangomez</v>
      </c>
      <c r="Q257" t="str">
        <f t="shared" si="3"/>
        <v>Willy Hernangomez</v>
      </c>
      <c r="R257" t="s">
        <v>2631</v>
      </c>
      <c r="S257" s="411" t="s">
        <v>2631</v>
      </c>
      <c r="T257" t="s">
        <v>2631</v>
      </c>
      <c r="U257" t="s">
        <v>2631</v>
      </c>
      <c r="V257" t="s">
        <v>34</v>
      </c>
      <c r="W257" t="str">
        <f t="shared" si="1"/>
        <v>C</v>
      </c>
    </row>
    <row r="258">
      <c r="A258" s="447">
        <v>248.0</v>
      </c>
      <c r="B258" s="448" t="s">
        <v>2880</v>
      </c>
      <c r="C258" s="449"/>
      <c r="D258" s="449"/>
      <c r="E258" s="459">
        <v>1.5</v>
      </c>
      <c r="F258" s="459">
        <v>0.0</v>
      </c>
      <c r="G258" s="459">
        <v>6.8</v>
      </c>
      <c r="H258" s="459">
        <v>1.0</v>
      </c>
      <c r="I258" s="459">
        <v>0.5</v>
      </c>
      <c r="J258" s="459">
        <v>1.1</v>
      </c>
      <c r="K258" s="459">
        <v>0.8</v>
      </c>
      <c r="L258" s="459">
        <v>7.4</v>
      </c>
      <c r="M258" s="459">
        <v>1.1</v>
      </c>
      <c r="N258" s="460">
        <f>+0.2</f>
        <v>0.2</v>
      </c>
      <c r="O258" t="str">
        <f>IFERROR(__xludf.DUMMYFUNCTION("regexextract(B258,""[\w]* [\w]*"")"),"Gorgui Dieng")</f>
        <v>Gorgui Dieng</v>
      </c>
      <c r="P258" t="str">
        <f t="shared" si="2"/>
        <v>Gorgui Dieng</v>
      </c>
      <c r="Q258" t="str">
        <f t="shared" si="3"/>
        <v>Gorgui Dieng</v>
      </c>
      <c r="R258" t="s">
        <v>2631</v>
      </c>
      <c r="S258" s="411" t="s">
        <v>2631</v>
      </c>
      <c r="T258" t="s">
        <v>2631</v>
      </c>
      <c r="U258" t="s">
        <v>73</v>
      </c>
      <c r="V258" t="s">
        <v>34</v>
      </c>
      <c r="W258" t="str">
        <f t="shared" si="1"/>
        <v>PFC</v>
      </c>
    </row>
    <row r="259">
      <c r="A259" s="444">
        <v>249.0</v>
      </c>
      <c r="B259" s="445" t="s">
        <v>2881</v>
      </c>
      <c r="C259" s="446"/>
      <c r="D259" s="446"/>
      <c r="E259" s="458">
        <v>1.0</v>
      </c>
      <c r="F259" s="458">
        <v>0.6</v>
      </c>
      <c r="G259" s="458">
        <v>3.2</v>
      </c>
      <c r="H259" s="458">
        <v>4.2</v>
      </c>
      <c r="I259" s="458">
        <v>0.7</v>
      </c>
      <c r="J259" s="458">
        <v>0.3</v>
      </c>
      <c r="K259" s="458">
        <v>1.1</v>
      </c>
      <c r="L259" s="458">
        <v>8.4</v>
      </c>
      <c r="M259" s="458">
        <v>0.5</v>
      </c>
      <c r="N259" s="461">
        <f>+0.1</f>
        <v>0.1</v>
      </c>
      <c r="O259" t="str">
        <f>IFERROR(__xludf.DUMMYFUNCTION("regexextract(B259,""[\w]* [\w]*"")"),"Garrett Temple")</f>
        <v>Garrett Temple</v>
      </c>
      <c r="P259" t="str">
        <f t="shared" si="2"/>
        <v>Garrett Temple</v>
      </c>
      <c r="Q259" t="str">
        <f t="shared" si="3"/>
        <v>Garrett Temple</v>
      </c>
      <c r="R259" t="s">
        <v>2631</v>
      </c>
      <c r="S259" s="411" t="s">
        <v>71</v>
      </c>
      <c r="T259" t="s">
        <v>72</v>
      </c>
      <c r="U259" t="s">
        <v>2631</v>
      </c>
      <c r="V259" t="s">
        <v>2631</v>
      </c>
      <c r="W259" t="str">
        <f t="shared" si="1"/>
        <v>SGSF</v>
      </c>
    </row>
    <row r="260">
      <c r="A260" s="447">
        <v>250.0</v>
      </c>
      <c r="B260" s="448" t="s">
        <v>2882</v>
      </c>
      <c r="C260" s="449"/>
      <c r="D260" s="449"/>
      <c r="E260" s="459">
        <v>1.6</v>
      </c>
      <c r="F260" s="459">
        <v>1.7</v>
      </c>
      <c r="G260" s="459">
        <v>3.5</v>
      </c>
      <c r="H260" s="459">
        <v>2.6</v>
      </c>
      <c r="I260" s="459">
        <v>0.8</v>
      </c>
      <c r="J260" s="459">
        <v>0.2</v>
      </c>
      <c r="K260" s="459">
        <v>1.3</v>
      </c>
      <c r="L260" s="459">
        <v>10.6</v>
      </c>
      <c r="M260" s="459">
        <v>1.3</v>
      </c>
      <c r="N260" s="463">
        <v>-0.1</v>
      </c>
      <c r="O260" t="str">
        <f>IFERROR(__xludf.DUMMYFUNCTION("regexextract(B260,""[\w]* [\w]*"")"),"Eric Gordon")</f>
        <v>Eric Gordon</v>
      </c>
      <c r="P260" t="str">
        <f t="shared" si="2"/>
        <v>Eric Gordon</v>
      </c>
      <c r="Q260" t="str">
        <f t="shared" si="3"/>
        <v>Eric Gordon</v>
      </c>
      <c r="R260" t="s">
        <v>2631</v>
      </c>
      <c r="S260" s="411" t="s">
        <v>71</v>
      </c>
      <c r="T260" t="s">
        <v>2631</v>
      </c>
      <c r="U260" t="s">
        <v>2631</v>
      </c>
      <c r="V260" t="s">
        <v>34</v>
      </c>
      <c r="W260" t="str">
        <f t="shared" si="1"/>
        <v>SGC</v>
      </c>
    </row>
    <row r="261">
      <c r="A261" s="436" t="s">
        <v>2625</v>
      </c>
      <c r="C261" s="436" t="s">
        <v>2626</v>
      </c>
      <c r="E261" s="454"/>
      <c r="F261" s="454"/>
      <c r="G261" s="454"/>
      <c r="H261" s="454"/>
      <c r="I261" s="454"/>
      <c r="J261" s="454"/>
      <c r="K261" s="454"/>
      <c r="L261" s="454"/>
      <c r="M261" s="454" t="s">
        <v>2731</v>
      </c>
      <c r="N261" s="454"/>
      <c r="O261" t="str">
        <f>IFERROR(__xludf.DUMMYFUNCTION("regexextract(B261,""[\w]* [\w]*"")"),"#N/A")</f>
        <v>#N/A</v>
      </c>
      <c r="P261" t="str">
        <f t="shared" si="2"/>
        <v>#N/A</v>
      </c>
      <c r="Q261" t="str">
        <f t="shared" si="3"/>
        <v>#N/A</v>
      </c>
      <c r="R261" t="s">
        <v>2631</v>
      </c>
      <c r="S261" s="411" t="s">
        <v>2631</v>
      </c>
      <c r="T261" t="s">
        <v>2631</v>
      </c>
      <c r="U261" t="s">
        <v>2631</v>
      </c>
      <c r="V261" t="s">
        <v>2631</v>
      </c>
      <c r="W261" t="str">
        <f t="shared" si="1"/>
        <v/>
      </c>
    </row>
    <row r="262">
      <c r="A262" s="439" t="s">
        <v>2627</v>
      </c>
      <c r="B262" s="440" t="s">
        <v>3</v>
      </c>
      <c r="C262" s="439" t="s">
        <v>2628</v>
      </c>
      <c r="D262" s="441" t="s">
        <v>2629</v>
      </c>
      <c r="E262" s="455" t="s">
        <v>464</v>
      </c>
      <c r="F262" s="456">
        <v>0.625</v>
      </c>
      <c r="G262" s="455" t="s">
        <v>53</v>
      </c>
      <c r="H262" s="455" t="s">
        <v>14</v>
      </c>
      <c r="I262" s="455" t="s">
        <v>15</v>
      </c>
      <c r="J262" s="455" t="s">
        <v>16</v>
      </c>
      <c r="K262" s="455" t="s">
        <v>17</v>
      </c>
      <c r="L262" s="455" t="s">
        <v>11</v>
      </c>
      <c r="M262" s="455" t="s">
        <v>2732</v>
      </c>
      <c r="N262" s="457" t="str">
        <f>+/-</f>
        <v>#ERROR!</v>
      </c>
      <c r="O262" t="str">
        <f>IFERROR(__xludf.DUMMYFUNCTION("regexextract(B262,""[\w]* [\w]*"")"),"#N/A")</f>
        <v>#N/A</v>
      </c>
      <c r="P262" t="str">
        <f t="shared" si="2"/>
        <v>#N/A</v>
      </c>
      <c r="Q262" t="str">
        <f t="shared" si="3"/>
        <v>#N/A</v>
      </c>
      <c r="R262" t="s">
        <v>2631</v>
      </c>
      <c r="S262" s="411" t="s">
        <v>2631</v>
      </c>
      <c r="T262" t="s">
        <v>2631</v>
      </c>
      <c r="U262" t="s">
        <v>2631</v>
      </c>
      <c r="V262" t="s">
        <v>2631</v>
      </c>
      <c r="W262" t="str">
        <f t="shared" si="1"/>
        <v/>
      </c>
    </row>
    <row r="263">
      <c r="A263" s="444">
        <v>251.0</v>
      </c>
      <c r="B263" s="445" t="s">
        <v>2883</v>
      </c>
      <c r="C263" s="446"/>
      <c r="D263" s="446"/>
      <c r="E263" s="458">
        <v>1.1</v>
      </c>
      <c r="F263" s="458">
        <v>2.2</v>
      </c>
      <c r="G263" s="458">
        <v>3.7</v>
      </c>
      <c r="H263" s="458">
        <v>1.5</v>
      </c>
      <c r="I263" s="458">
        <v>0.7</v>
      </c>
      <c r="J263" s="458">
        <v>0.3</v>
      </c>
      <c r="K263" s="458">
        <v>0.8</v>
      </c>
      <c r="L263" s="458">
        <v>10.6</v>
      </c>
      <c r="M263" s="458">
        <v>1.5</v>
      </c>
      <c r="N263" s="461">
        <f>+0.2</f>
        <v>0.2</v>
      </c>
      <c r="O263" t="str">
        <f>IFERROR(__xludf.DUMMYFUNCTION("regexextract(B263,""[\w]* [\w]*"")"),"Kent Bazemore")</f>
        <v>Kent Bazemore</v>
      </c>
      <c r="P263" t="str">
        <f t="shared" si="2"/>
        <v>Kent Bazemore</v>
      </c>
      <c r="Q263" t="str">
        <f t="shared" si="3"/>
        <v>Kent Bazemore</v>
      </c>
      <c r="R263" t="s">
        <v>2631</v>
      </c>
      <c r="S263" s="411" t="s">
        <v>71</v>
      </c>
      <c r="T263" t="s">
        <v>72</v>
      </c>
      <c r="U263" t="s">
        <v>2631</v>
      </c>
      <c r="V263" t="s">
        <v>2631</v>
      </c>
      <c r="W263" t="str">
        <f t="shared" si="1"/>
        <v>SGSF</v>
      </c>
    </row>
    <row r="264">
      <c r="A264" s="447">
        <v>252.0</v>
      </c>
      <c r="B264" s="448" t="s">
        <v>2884</v>
      </c>
      <c r="C264" s="449"/>
      <c r="D264" s="449"/>
      <c r="E264" s="459">
        <v>0.8</v>
      </c>
      <c r="F264" s="459">
        <v>0.6</v>
      </c>
      <c r="G264" s="459">
        <v>1.9</v>
      </c>
      <c r="H264" s="459">
        <v>4.1</v>
      </c>
      <c r="I264" s="459">
        <v>0.9</v>
      </c>
      <c r="J264" s="459">
        <v>0.1</v>
      </c>
      <c r="K264" s="459">
        <v>0.7</v>
      </c>
      <c r="L264" s="459">
        <v>6.8</v>
      </c>
      <c r="M264" s="459">
        <v>0.4</v>
      </c>
      <c r="N264" s="460">
        <f>+0.1</f>
        <v>0.1</v>
      </c>
      <c r="O264" t="str">
        <f>IFERROR(__xludf.DUMMYFUNCTION("regexextract(B264,""[\w]* [\w]*"")"),"Alex Caruso")</f>
        <v>Alex Caruso</v>
      </c>
      <c r="P264" t="str">
        <f t="shared" si="2"/>
        <v>Alex Caruso</v>
      </c>
      <c r="Q264" t="str">
        <f t="shared" si="3"/>
        <v>Alex Carus</v>
      </c>
      <c r="R264" t="s">
        <v>44</v>
      </c>
      <c r="S264" s="411" t="s">
        <v>71</v>
      </c>
      <c r="T264" t="s">
        <v>2631</v>
      </c>
      <c r="U264" t="s">
        <v>2631</v>
      </c>
      <c r="V264" t="s">
        <v>34</v>
      </c>
      <c r="W264" t="str">
        <f t="shared" si="1"/>
        <v>PGSGC</v>
      </c>
    </row>
    <row r="265">
      <c r="A265" s="444">
        <v>253.0</v>
      </c>
      <c r="B265" s="445" t="s">
        <v>2885</v>
      </c>
      <c r="C265" s="446"/>
      <c r="D265" s="446"/>
      <c r="E265" s="458">
        <v>1.5</v>
      </c>
      <c r="F265" s="458">
        <v>2.4</v>
      </c>
      <c r="G265" s="458">
        <v>2.3</v>
      </c>
      <c r="H265" s="458">
        <v>1.2</v>
      </c>
      <c r="I265" s="458">
        <v>0.9</v>
      </c>
      <c r="J265" s="458">
        <v>0.2</v>
      </c>
      <c r="K265" s="458">
        <v>0.6</v>
      </c>
      <c r="L265" s="458">
        <v>12.8</v>
      </c>
      <c r="M265" s="458">
        <v>11.6</v>
      </c>
      <c r="N265" s="462">
        <v>-0.8</v>
      </c>
      <c r="O265" t="str">
        <f>IFERROR(__xludf.DUMMYFUNCTION("regexextract(B265,""[\w]* [\w]*"")"),"Grayson Allen")</f>
        <v>Grayson Allen</v>
      </c>
      <c r="P265" t="str">
        <f t="shared" si="2"/>
        <v>Grayson Allen</v>
      </c>
      <c r="Q265" t="str">
        <f t="shared" si="3"/>
        <v>Grayson Allen</v>
      </c>
      <c r="R265" t="s">
        <v>2631</v>
      </c>
      <c r="S265" s="411" t="s">
        <v>71</v>
      </c>
      <c r="T265" t="s">
        <v>2631</v>
      </c>
      <c r="U265" t="s">
        <v>2631</v>
      </c>
      <c r="V265" t="s">
        <v>2631</v>
      </c>
      <c r="W265" t="str">
        <f t="shared" si="1"/>
        <v>SG</v>
      </c>
    </row>
    <row r="266">
      <c r="A266" s="447">
        <v>254.0</v>
      </c>
      <c r="B266" s="448" t="s">
        <v>2886</v>
      </c>
      <c r="C266" s="449"/>
      <c r="D266" s="449"/>
      <c r="E266" s="459">
        <v>0.9</v>
      </c>
      <c r="F266" s="459">
        <v>2.3</v>
      </c>
      <c r="G266" s="459">
        <v>3.1</v>
      </c>
      <c r="H266" s="459">
        <v>1.6</v>
      </c>
      <c r="I266" s="459">
        <v>0.8</v>
      </c>
      <c r="J266" s="459">
        <v>0.2</v>
      </c>
      <c r="K266" s="459">
        <v>0.7</v>
      </c>
      <c r="L266" s="459">
        <v>10.5</v>
      </c>
      <c r="M266" s="459">
        <v>2.1</v>
      </c>
      <c r="N266" s="463">
        <v>-0.4</v>
      </c>
      <c r="O266" t="str">
        <f>IFERROR(__xludf.DUMMYFUNCTION("regexextract(B266,""[\w]* [\w]*"")"),"Elfrid Payton")</f>
        <v>Elfrid Payton</v>
      </c>
      <c r="P266" t="str">
        <f t="shared" si="2"/>
        <v>Elfrid Payton</v>
      </c>
      <c r="Q266" t="str">
        <f t="shared" si="3"/>
        <v>Elfrid Payton</v>
      </c>
      <c r="R266" t="s">
        <v>44</v>
      </c>
      <c r="S266" s="411" t="s">
        <v>2631</v>
      </c>
      <c r="T266" t="s">
        <v>2631</v>
      </c>
      <c r="U266" t="s">
        <v>2631</v>
      </c>
      <c r="V266" t="s">
        <v>2631</v>
      </c>
      <c r="W266" t="str">
        <f t="shared" si="1"/>
        <v>PG</v>
      </c>
    </row>
    <row r="267">
      <c r="A267" s="444">
        <v>255.0</v>
      </c>
      <c r="B267" s="445" t="s">
        <v>2887</v>
      </c>
      <c r="C267" s="446"/>
      <c r="D267" s="446"/>
      <c r="E267" s="458">
        <v>1.8</v>
      </c>
      <c r="F267" s="458">
        <v>0.0</v>
      </c>
      <c r="G267" s="458">
        <v>5.7</v>
      </c>
      <c r="H267" s="458">
        <v>1.2</v>
      </c>
      <c r="I267" s="458">
        <v>0.7</v>
      </c>
      <c r="J267" s="458">
        <v>0.9</v>
      </c>
      <c r="K267" s="458">
        <v>0.7</v>
      </c>
      <c r="L267" s="458">
        <v>7.3</v>
      </c>
      <c r="M267" s="458">
        <v>0.4</v>
      </c>
      <c r="N267" s="461">
        <f>+0.2</f>
        <v>0.2</v>
      </c>
      <c r="O267" t="str">
        <f>IFERROR(__xludf.DUMMYFUNCTION("regexextract(B267,""[\w]* [\w]*"")"),"Frank Kaminsky")</f>
        <v>Frank Kaminsky</v>
      </c>
      <c r="P267" t="str">
        <f t="shared" si="2"/>
        <v>Frank Kaminsky</v>
      </c>
      <c r="Q267" t="str">
        <f t="shared" si="3"/>
        <v>Frank Kaminsky</v>
      </c>
      <c r="R267" t="s">
        <v>2631</v>
      </c>
      <c r="S267" s="411" t="s">
        <v>2631</v>
      </c>
      <c r="T267" t="s">
        <v>2631</v>
      </c>
      <c r="U267" t="s">
        <v>73</v>
      </c>
      <c r="V267" t="s">
        <v>34</v>
      </c>
      <c r="W267" t="str">
        <f t="shared" si="1"/>
        <v>PFC</v>
      </c>
    </row>
    <row r="268">
      <c r="A268" s="447">
        <v>256.0</v>
      </c>
      <c r="B268" s="448" t="s">
        <v>2888</v>
      </c>
      <c r="C268" s="449"/>
      <c r="D268" s="449"/>
      <c r="E268" s="459">
        <v>3.7</v>
      </c>
      <c r="F268" s="459">
        <v>0.5</v>
      </c>
      <c r="G268" s="459">
        <v>5.1</v>
      </c>
      <c r="H268" s="459">
        <v>1.9</v>
      </c>
      <c r="I268" s="459">
        <v>0.8</v>
      </c>
      <c r="J268" s="459">
        <v>0.4</v>
      </c>
      <c r="K268" s="459">
        <v>1.4</v>
      </c>
      <c r="L268" s="459">
        <v>11.2</v>
      </c>
      <c r="M268" s="459">
        <v>0.9</v>
      </c>
      <c r="N268" s="459">
        <v>0.0</v>
      </c>
      <c r="O268" t="str">
        <f>IFERROR(__xludf.DUMMYFUNCTION("regexextract(B268,""[\w]* [\w]*"")"),"Gary Harris")</f>
        <v>Gary Harris</v>
      </c>
      <c r="P268" t="str">
        <f t="shared" si="2"/>
        <v>Gary Harris</v>
      </c>
      <c r="Q268" t="str">
        <f t="shared" si="3"/>
        <v>Gary Harris</v>
      </c>
      <c r="R268" t="s">
        <v>2631</v>
      </c>
      <c r="S268" s="411" t="s">
        <v>71</v>
      </c>
      <c r="T268" t="s">
        <v>2631</v>
      </c>
      <c r="U268" t="s">
        <v>2631</v>
      </c>
      <c r="V268" t="s">
        <v>2631</v>
      </c>
      <c r="W268" t="str">
        <f t="shared" si="1"/>
        <v>SG</v>
      </c>
    </row>
    <row r="269">
      <c r="A269" s="444">
        <v>257.0</v>
      </c>
      <c r="B269" s="445" t="s">
        <v>2889</v>
      </c>
      <c r="C269" s="446"/>
      <c r="D269" s="446"/>
      <c r="E269" s="458">
        <v>2.1</v>
      </c>
      <c r="F269" s="458">
        <v>1.6</v>
      </c>
      <c r="G269" s="458">
        <v>3.6</v>
      </c>
      <c r="H269" s="458">
        <v>1.3</v>
      </c>
      <c r="I269" s="458">
        <v>0.6</v>
      </c>
      <c r="J269" s="458">
        <v>0.5</v>
      </c>
      <c r="K269" s="458">
        <v>1.0</v>
      </c>
      <c r="L269" s="458">
        <v>12.3</v>
      </c>
      <c r="M269" s="458">
        <v>31.3</v>
      </c>
      <c r="N269" s="462">
        <v>-2.4</v>
      </c>
      <c r="O269" t="str">
        <f>IFERROR(__xludf.DUMMYFUNCTION("regexextract(B269,""[\w]* [\w]*"")"),"Furkan Korkmaz")</f>
        <v>Furkan Korkmaz</v>
      </c>
      <c r="P269" t="str">
        <f t="shared" si="2"/>
        <v>Furkan Korkmaz</v>
      </c>
      <c r="Q269" t="str">
        <f t="shared" si="3"/>
        <v>Furkan Korkmaz</v>
      </c>
      <c r="R269" t="s">
        <v>2631</v>
      </c>
      <c r="S269" s="411" t="s">
        <v>71</v>
      </c>
      <c r="T269" t="s">
        <v>2631</v>
      </c>
      <c r="U269" t="s">
        <v>2631</v>
      </c>
      <c r="V269" t="s">
        <v>2631</v>
      </c>
      <c r="W269" t="str">
        <f t="shared" si="1"/>
        <v>SG</v>
      </c>
    </row>
    <row r="270">
      <c r="A270" s="447">
        <v>258.0</v>
      </c>
      <c r="B270" s="448" t="s">
        <v>2890</v>
      </c>
      <c r="C270" s="449"/>
      <c r="D270" s="449"/>
      <c r="E270" s="459">
        <v>2.1</v>
      </c>
      <c r="F270" s="459">
        <v>0.8</v>
      </c>
      <c r="G270" s="459">
        <v>4.2</v>
      </c>
      <c r="H270" s="459">
        <v>1.0</v>
      </c>
      <c r="I270" s="459">
        <v>0.5</v>
      </c>
      <c r="J270" s="459">
        <v>0.9</v>
      </c>
      <c r="K270" s="459">
        <v>0.9</v>
      </c>
      <c r="L270" s="459">
        <v>9.9</v>
      </c>
      <c r="M270" s="459">
        <v>1.7</v>
      </c>
      <c r="N270" s="463">
        <v>-0.2</v>
      </c>
      <c r="O270" t="str">
        <f>IFERROR(__xludf.DUMMYFUNCTION("regexextract(B270,""[\w]* [\w]*"")"),"Austin Rivers")</f>
        <v>Austin Rivers</v>
      </c>
      <c r="P270" t="str">
        <f t="shared" si="2"/>
        <v>Austin Rivers</v>
      </c>
      <c r="Q270" t="str">
        <f t="shared" si="3"/>
        <v>Austin Rivers</v>
      </c>
      <c r="R270" t="s">
        <v>2631</v>
      </c>
      <c r="S270" s="411" t="s">
        <v>71</v>
      </c>
      <c r="T270" t="s">
        <v>2631</v>
      </c>
      <c r="U270" t="s">
        <v>2631</v>
      </c>
      <c r="V270" t="s">
        <v>2631</v>
      </c>
      <c r="W270" t="str">
        <f t="shared" si="1"/>
        <v>SG</v>
      </c>
    </row>
    <row r="271">
      <c r="A271" s="444">
        <v>259.0</v>
      </c>
      <c r="B271" s="445" t="s">
        <v>2891</v>
      </c>
      <c r="C271" s="446"/>
      <c r="D271" s="446"/>
      <c r="E271" s="458">
        <v>1.2</v>
      </c>
      <c r="F271" s="458">
        <v>1.2</v>
      </c>
      <c r="G271" s="458">
        <v>3.2</v>
      </c>
      <c r="H271" s="458">
        <v>2.8</v>
      </c>
      <c r="I271" s="458">
        <v>1.2</v>
      </c>
      <c r="J271" s="458">
        <v>0.5</v>
      </c>
      <c r="K271" s="458">
        <v>1.4</v>
      </c>
      <c r="L271" s="458">
        <v>8.2</v>
      </c>
      <c r="M271" s="458">
        <v>1.2</v>
      </c>
      <c r="N271" s="458">
        <v>0.0</v>
      </c>
      <c r="O271" t="str">
        <f>IFERROR(__xludf.DUMMYFUNCTION("regexextract(B271,""[\w]* [\w]*"")"),"Jamal MurrayO")</f>
        <v>Jamal MurrayO</v>
      </c>
      <c r="P271" t="str">
        <f t="shared" si="2"/>
        <v>Jamal MurrayO</v>
      </c>
      <c r="Q271" t="str">
        <f t="shared" si="3"/>
        <v>Jamal Murray</v>
      </c>
      <c r="R271" t="s">
        <v>44</v>
      </c>
      <c r="S271" s="411" t="s">
        <v>71</v>
      </c>
      <c r="T271" t="s">
        <v>2631</v>
      </c>
      <c r="U271" t="s">
        <v>2631</v>
      </c>
      <c r="V271" t="s">
        <v>2631</v>
      </c>
      <c r="W271" t="str">
        <f t="shared" si="1"/>
        <v>PGSG</v>
      </c>
    </row>
    <row r="272">
      <c r="A272" s="447">
        <v>260.0</v>
      </c>
      <c r="B272" s="448" t="s">
        <v>2892</v>
      </c>
      <c r="C272" s="449"/>
      <c r="D272" s="449"/>
      <c r="E272" s="459">
        <v>2.1</v>
      </c>
      <c r="F272" s="459">
        <v>0.0</v>
      </c>
      <c r="G272" s="459">
        <v>5.3</v>
      </c>
      <c r="H272" s="459">
        <v>1.0</v>
      </c>
      <c r="I272" s="459">
        <v>0.7</v>
      </c>
      <c r="J272" s="459">
        <v>1.2</v>
      </c>
      <c r="K272" s="459">
        <v>0.6</v>
      </c>
      <c r="L272" s="459">
        <v>6.9</v>
      </c>
      <c r="M272" s="459">
        <v>1.7</v>
      </c>
      <c r="N272" s="460">
        <f>+0.2</f>
        <v>0.2</v>
      </c>
      <c r="O272" t="str">
        <f>IFERROR(__xludf.DUMMYFUNCTION("regexextract(B272,""[\w]* [\w]*"")"),"Trevor ArizaO")</f>
        <v>Trevor ArizaO</v>
      </c>
      <c r="P272" t="str">
        <f t="shared" si="2"/>
        <v>Trevor ArizaO</v>
      </c>
      <c r="Q272" t="str">
        <f t="shared" si="3"/>
        <v>Trevor Ariza</v>
      </c>
      <c r="R272" t="s">
        <v>2631</v>
      </c>
      <c r="S272" s="411" t="s">
        <v>2631</v>
      </c>
      <c r="T272" t="s">
        <v>72</v>
      </c>
      <c r="U272" t="s">
        <v>2631</v>
      </c>
      <c r="V272" t="s">
        <v>2631</v>
      </c>
      <c r="W272" t="str">
        <f t="shared" si="1"/>
        <v>SF</v>
      </c>
    </row>
    <row r="273">
      <c r="A273" s="444">
        <v>261.0</v>
      </c>
      <c r="B273" s="445" t="s">
        <v>2893</v>
      </c>
      <c r="C273" s="446"/>
      <c r="D273" s="446"/>
      <c r="E273" s="458">
        <v>2.8</v>
      </c>
      <c r="F273" s="458">
        <v>1.5</v>
      </c>
      <c r="G273" s="458">
        <v>4.5</v>
      </c>
      <c r="H273" s="458">
        <v>1.8</v>
      </c>
      <c r="I273" s="458">
        <v>0.8</v>
      </c>
      <c r="J273" s="458">
        <v>0.4</v>
      </c>
      <c r="K273" s="458">
        <v>1.5</v>
      </c>
      <c r="L273" s="458">
        <v>13.2</v>
      </c>
      <c r="M273" s="458">
        <v>42.9</v>
      </c>
      <c r="N273" s="462">
        <v>-13.0</v>
      </c>
      <c r="O273" t="str">
        <f>IFERROR(__xludf.DUMMYFUNCTION("regexextract(B273,""[\w]* [\w]*"")"),"Luke Kennard")</f>
        <v>Luke Kennard</v>
      </c>
      <c r="P273" t="str">
        <f t="shared" si="2"/>
        <v>Luke Kennard</v>
      </c>
      <c r="Q273" t="str">
        <f t="shared" si="3"/>
        <v>Luke Kennard</v>
      </c>
      <c r="R273" t="s">
        <v>2631</v>
      </c>
      <c r="S273" s="411" t="s">
        <v>71</v>
      </c>
      <c r="T273" t="s">
        <v>2631</v>
      </c>
      <c r="U273" t="s">
        <v>2631</v>
      </c>
      <c r="V273" t="s">
        <v>34</v>
      </c>
      <c r="W273" t="str">
        <f t="shared" si="1"/>
        <v>SGC</v>
      </c>
    </row>
    <row r="274">
      <c r="A274" s="447">
        <v>262.0</v>
      </c>
      <c r="B274" s="448" t="s">
        <v>2894</v>
      </c>
      <c r="C274" s="449"/>
      <c r="D274" s="449"/>
      <c r="E274" s="459">
        <v>3.3</v>
      </c>
      <c r="F274" s="459">
        <v>1.2</v>
      </c>
      <c r="G274" s="459">
        <v>3.9</v>
      </c>
      <c r="H274" s="459">
        <v>2.2</v>
      </c>
      <c r="I274" s="459">
        <v>0.8</v>
      </c>
      <c r="J274" s="459">
        <v>0.7</v>
      </c>
      <c r="K274" s="459">
        <v>2.1</v>
      </c>
      <c r="L274" s="459">
        <v>12.5</v>
      </c>
      <c r="M274" s="459">
        <v>1.7</v>
      </c>
      <c r="N274" s="463">
        <v>-0.2</v>
      </c>
      <c r="O274" t="str">
        <f>IFERROR(__xludf.DUMMYFUNCTION("regexextract(B274,""[\w]* [\w]*"")"),"Wayne Ellington")</f>
        <v>Wayne Ellington</v>
      </c>
      <c r="P274" t="str">
        <f t="shared" si="2"/>
        <v>Wayne Ellington</v>
      </c>
      <c r="Q274" t="str">
        <f t="shared" si="3"/>
        <v>Wayne Ellington</v>
      </c>
      <c r="R274" t="s">
        <v>2631</v>
      </c>
      <c r="S274" s="411" t="s">
        <v>71</v>
      </c>
      <c r="T274" t="s">
        <v>2631</v>
      </c>
      <c r="U274" t="s">
        <v>2631</v>
      </c>
      <c r="V274" t="s">
        <v>2631</v>
      </c>
      <c r="W274" t="str">
        <f t="shared" si="1"/>
        <v>SG</v>
      </c>
    </row>
    <row r="275">
      <c r="A275" s="444">
        <v>263.0</v>
      </c>
      <c r="B275" s="445" t="s">
        <v>2895</v>
      </c>
      <c r="C275" s="446"/>
      <c r="D275" s="446"/>
      <c r="E275" s="458">
        <v>1.3</v>
      </c>
      <c r="F275" s="458">
        <v>1.0</v>
      </c>
      <c r="G275" s="458">
        <v>4.8</v>
      </c>
      <c r="H275" s="458">
        <v>2.6</v>
      </c>
      <c r="I275" s="458">
        <v>0.6</v>
      </c>
      <c r="J275" s="458">
        <v>0.9</v>
      </c>
      <c r="K275" s="458">
        <v>1.1</v>
      </c>
      <c r="L275" s="458">
        <v>6.6</v>
      </c>
      <c r="M275" s="458">
        <v>1.5</v>
      </c>
      <c r="N275" s="458">
        <v>0.0</v>
      </c>
      <c r="O275" t="str">
        <f>IFERROR(__xludf.DUMMYFUNCTION("regexextract(B275,""[\w]* [\w]*"")"),"Kenyon Martin")</f>
        <v>Kenyon Martin</v>
      </c>
      <c r="P275" t="str">
        <f t="shared" si="2"/>
        <v>Kenyon Martin</v>
      </c>
      <c r="Q275" t="str">
        <f t="shared" si="3"/>
        <v>Kenyon Martin</v>
      </c>
      <c r="R275" t="s">
        <v>2631</v>
      </c>
      <c r="S275" s="411" t="s">
        <v>2631</v>
      </c>
      <c r="T275" t="s">
        <v>72</v>
      </c>
      <c r="U275" t="s">
        <v>2631</v>
      </c>
      <c r="V275" t="s">
        <v>2631</v>
      </c>
      <c r="W275" t="str">
        <f t="shared" si="1"/>
        <v>SF</v>
      </c>
    </row>
    <row r="276">
      <c r="A276" s="447">
        <v>264.0</v>
      </c>
      <c r="B276" s="448" t="s">
        <v>2896</v>
      </c>
      <c r="C276" s="449"/>
      <c r="D276" s="449"/>
      <c r="E276" s="459">
        <v>1.2</v>
      </c>
      <c r="F276" s="459">
        <v>2.5</v>
      </c>
      <c r="G276" s="459">
        <v>2.2</v>
      </c>
      <c r="H276" s="459">
        <v>1.4</v>
      </c>
      <c r="I276" s="459">
        <v>0.5</v>
      </c>
      <c r="J276" s="459">
        <v>0.0</v>
      </c>
      <c r="K276" s="459">
        <v>0.9</v>
      </c>
      <c r="L276" s="459">
        <v>12.2</v>
      </c>
      <c r="M276" s="459">
        <v>0.6</v>
      </c>
      <c r="N276" s="460">
        <f t="shared" ref="N276:N277" si="10">+0.1</f>
        <v>0.1</v>
      </c>
      <c r="O276" t="str">
        <f>IFERROR(__xludf.DUMMYFUNCTION("regexextract(B276,""[\w]* [\w]*"")"),"Justise Winslow")</f>
        <v>Justise Winslow</v>
      </c>
      <c r="P276" t="str">
        <f t="shared" si="2"/>
        <v>Justise Winslow</v>
      </c>
      <c r="Q276" t="str">
        <f t="shared" si="3"/>
        <v>Justise Winslow</v>
      </c>
      <c r="R276" t="s">
        <v>2631</v>
      </c>
      <c r="S276" s="411" t="s">
        <v>2631</v>
      </c>
      <c r="T276" t="s">
        <v>72</v>
      </c>
      <c r="U276" t="s">
        <v>2631</v>
      </c>
      <c r="V276" t="s">
        <v>34</v>
      </c>
      <c r="W276" t="str">
        <f t="shared" si="1"/>
        <v>SFC</v>
      </c>
    </row>
    <row r="277">
      <c r="A277" s="444">
        <v>265.0</v>
      </c>
      <c r="B277" s="445" t="s">
        <v>2897</v>
      </c>
      <c r="C277" s="446"/>
      <c r="D277" s="446"/>
      <c r="E277" s="458">
        <v>2.9</v>
      </c>
      <c r="F277" s="458">
        <v>1.1</v>
      </c>
      <c r="G277" s="458">
        <v>2.1</v>
      </c>
      <c r="H277" s="458">
        <v>3.5</v>
      </c>
      <c r="I277" s="458">
        <v>0.7</v>
      </c>
      <c r="J277" s="458">
        <v>0.1</v>
      </c>
      <c r="K277" s="458">
        <v>1.7</v>
      </c>
      <c r="L277" s="458">
        <v>11.8</v>
      </c>
      <c r="M277" s="458">
        <v>1.8</v>
      </c>
      <c r="N277" s="461">
        <f t="shared" si="10"/>
        <v>0.1</v>
      </c>
      <c r="O277" t="str">
        <f>IFERROR(__xludf.DUMMYFUNCTION("regexextract(B277,""[\w]* [\w]*"")"),"JaVale McGee")</f>
        <v>JaVale McGee</v>
      </c>
      <c r="P277" t="str">
        <f t="shared" si="2"/>
        <v>JaVale McGee</v>
      </c>
      <c r="Q277" t="str">
        <f t="shared" si="3"/>
        <v>JaVale McGee</v>
      </c>
      <c r="R277" t="s">
        <v>2631</v>
      </c>
      <c r="S277" s="411" t="s">
        <v>2631</v>
      </c>
      <c r="T277" t="s">
        <v>2631</v>
      </c>
      <c r="U277" t="s">
        <v>2631</v>
      </c>
      <c r="V277" t="s">
        <v>34</v>
      </c>
      <c r="W277" t="str">
        <f t="shared" si="1"/>
        <v>C</v>
      </c>
    </row>
    <row r="278">
      <c r="A278" s="447">
        <v>266.0</v>
      </c>
      <c r="B278" s="448" t="s">
        <v>2898</v>
      </c>
      <c r="C278" s="449"/>
      <c r="D278" s="449"/>
      <c r="E278" s="459">
        <v>1.7</v>
      </c>
      <c r="F278" s="459">
        <v>1.3</v>
      </c>
      <c r="G278" s="459">
        <v>2.9</v>
      </c>
      <c r="H278" s="459">
        <v>2.4</v>
      </c>
      <c r="I278" s="459">
        <v>0.9</v>
      </c>
      <c r="J278" s="459">
        <v>0.4</v>
      </c>
      <c r="K278" s="459">
        <v>1.2</v>
      </c>
      <c r="L278" s="459">
        <v>10.9</v>
      </c>
      <c r="M278" s="459">
        <v>2.1</v>
      </c>
      <c r="N278" s="463">
        <v>-0.2</v>
      </c>
      <c r="O278" t="str">
        <f>IFERROR(__xludf.DUMMYFUNCTION("regexextract(B278,""[\w]* [\w]*"")"),"Jordan Poole")</f>
        <v>Jordan Poole</v>
      </c>
      <c r="P278" t="str">
        <f t="shared" si="2"/>
        <v>Jordan Poole</v>
      </c>
      <c r="Q278" t="str">
        <f t="shared" si="3"/>
        <v>Jordan Poole</v>
      </c>
      <c r="R278" t="s">
        <v>44</v>
      </c>
      <c r="S278" s="411" t="s">
        <v>71</v>
      </c>
      <c r="T278" t="s">
        <v>2631</v>
      </c>
      <c r="U278" t="s">
        <v>2631</v>
      </c>
      <c r="V278" t="s">
        <v>2631</v>
      </c>
      <c r="W278" t="str">
        <f t="shared" si="1"/>
        <v>PGSG</v>
      </c>
    </row>
    <row r="279">
      <c r="A279" s="444">
        <v>267.0</v>
      </c>
      <c r="B279" s="445" t="s">
        <v>2899</v>
      </c>
      <c r="C279" s="446"/>
      <c r="D279" s="446"/>
      <c r="E279" s="458">
        <v>2.0</v>
      </c>
      <c r="F279" s="458">
        <v>0.7</v>
      </c>
      <c r="G279" s="458">
        <v>4.5</v>
      </c>
      <c r="H279" s="458">
        <v>1.5</v>
      </c>
      <c r="I279" s="458">
        <v>0.8</v>
      </c>
      <c r="J279" s="458">
        <v>0.6</v>
      </c>
      <c r="K279" s="458">
        <v>0.9</v>
      </c>
      <c r="L279" s="458">
        <v>8.6</v>
      </c>
      <c r="M279" s="458">
        <v>1.5</v>
      </c>
      <c r="N279" s="462">
        <v>-0.1</v>
      </c>
      <c r="O279" t="str">
        <f>IFERROR(__xludf.DUMMYFUNCTION("regexextract(B279,""[\w]* [\w]*"")"),"Juancho HernangomezDTD")</f>
        <v>Juancho HernangomezDTD</v>
      </c>
      <c r="P279" t="str">
        <f t="shared" si="2"/>
        <v>Juancho Hernangomez</v>
      </c>
      <c r="Q279" t="str">
        <f t="shared" si="3"/>
        <v>Juancho Hernangomez</v>
      </c>
      <c r="R279" t="s">
        <v>2631</v>
      </c>
      <c r="S279" s="411" t="s">
        <v>2631</v>
      </c>
      <c r="T279" t="s">
        <v>72</v>
      </c>
      <c r="U279" t="s">
        <v>73</v>
      </c>
      <c r="V279" t="s">
        <v>34</v>
      </c>
      <c r="W279" t="str">
        <f t="shared" si="1"/>
        <v>SFPFC</v>
      </c>
    </row>
    <row r="280">
      <c r="A280" s="447">
        <v>268.0</v>
      </c>
      <c r="B280" s="448" t="s">
        <v>2900</v>
      </c>
      <c r="C280" s="449"/>
      <c r="D280" s="449"/>
      <c r="E280" s="459">
        <v>1.0</v>
      </c>
      <c r="F280" s="459">
        <v>1.6</v>
      </c>
      <c r="G280" s="459">
        <v>5.2</v>
      </c>
      <c r="H280" s="459">
        <v>1.2</v>
      </c>
      <c r="I280" s="459">
        <v>0.4</v>
      </c>
      <c r="J280" s="459">
        <v>0.9</v>
      </c>
      <c r="K280" s="459">
        <v>0.7</v>
      </c>
      <c r="L280" s="459">
        <v>7.7</v>
      </c>
      <c r="M280" s="459">
        <v>0.6</v>
      </c>
      <c r="N280" s="460">
        <f>+0.1</f>
        <v>0.1</v>
      </c>
      <c r="O280" t="str">
        <f>IFERROR(__xludf.DUMMYFUNCTION("regexextract(B280,""[\w]* [\w]*"")"),"PJ Dozier")</f>
        <v>PJ Dozier</v>
      </c>
      <c r="P280" t="str">
        <f t="shared" si="2"/>
        <v>PJ Dozier</v>
      </c>
      <c r="Q280" t="str">
        <f t="shared" si="3"/>
        <v>PJ Dozier</v>
      </c>
      <c r="R280" t="s">
        <v>44</v>
      </c>
      <c r="S280" s="411" t="s">
        <v>2631</v>
      </c>
      <c r="T280" t="s">
        <v>2631</v>
      </c>
      <c r="U280" t="s">
        <v>2631</v>
      </c>
      <c r="V280" t="s">
        <v>2631</v>
      </c>
      <c r="W280" t="str">
        <f t="shared" si="1"/>
        <v>PG</v>
      </c>
    </row>
    <row r="281">
      <c r="A281" s="444">
        <v>269.0</v>
      </c>
      <c r="B281" s="445" t="s">
        <v>2901</v>
      </c>
      <c r="C281" s="446"/>
      <c r="D281" s="446"/>
      <c r="E281" s="458">
        <v>3.6</v>
      </c>
      <c r="F281" s="458">
        <v>2.0</v>
      </c>
      <c r="G281" s="458">
        <v>4.2</v>
      </c>
      <c r="H281" s="458">
        <v>1.6</v>
      </c>
      <c r="I281" s="458">
        <v>0.6</v>
      </c>
      <c r="J281" s="458">
        <v>0.2</v>
      </c>
      <c r="K281" s="458">
        <v>0.9</v>
      </c>
      <c r="L281" s="458">
        <v>13.7</v>
      </c>
      <c r="M281" s="458">
        <v>4.9</v>
      </c>
      <c r="N281" s="462">
        <v>-0.6</v>
      </c>
      <c r="O281" t="str">
        <f>IFERROR(__xludf.DUMMYFUNCTION("regexextract(B281,""[\w]* [\w]*"")"),"Torrey Craig")</f>
        <v>Torrey Craig</v>
      </c>
      <c r="P281" t="str">
        <f t="shared" si="2"/>
        <v>Torrey Craig</v>
      </c>
      <c r="Q281" t="str">
        <f t="shared" si="3"/>
        <v>Torrey Craig</v>
      </c>
      <c r="R281" t="s">
        <v>2631</v>
      </c>
      <c r="S281" s="411" t="s">
        <v>2631</v>
      </c>
      <c r="T281" t="s">
        <v>72</v>
      </c>
      <c r="U281" t="s">
        <v>2631</v>
      </c>
      <c r="V281" t="s">
        <v>34</v>
      </c>
      <c r="W281" t="str">
        <f t="shared" si="1"/>
        <v>SFC</v>
      </c>
    </row>
    <row r="282">
      <c r="A282" s="447">
        <v>270.0</v>
      </c>
      <c r="B282" s="448" t="s">
        <v>2902</v>
      </c>
      <c r="C282" s="449"/>
      <c r="D282" s="449"/>
      <c r="E282" s="459">
        <v>2.9</v>
      </c>
      <c r="F282" s="459">
        <v>0.1</v>
      </c>
      <c r="G282" s="459">
        <v>7.7</v>
      </c>
      <c r="H282" s="459">
        <v>0.8</v>
      </c>
      <c r="I282" s="459">
        <v>0.4</v>
      </c>
      <c r="J282" s="459">
        <v>0.9</v>
      </c>
      <c r="K282" s="459">
        <v>1.4</v>
      </c>
      <c r="L282" s="459">
        <v>7.0</v>
      </c>
      <c r="M282" s="459">
        <v>10.4</v>
      </c>
      <c r="N282" s="463">
        <v>-0.4</v>
      </c>
      <c r="O282" t="str">
        <f>IFERROR(__xludf.DUMMYFUNCTION("regexextract(B282,""[\w]* [\w]*"")"),"DeAndre Jordan")</f>
        <v>DeAndre Jordan</v>
      </c>
      <c r="P282" t="str">
        <f t="shared" si="2"/>
        <v>DeAndre Jordan</v>
      </c>
      <c r="Q282" t="str">
        <f t="shared" si="3"/>
        <v>DeAndre Jordan</v>
      </c>
      <c r="R282" t="s">
        <v>2631</v>
      </c>
      <c r="S282" s="411" t="s">
        <v>2631</v>
      </c>
      <c r="T282" t="s">
        <v>2631</v>
      </c>
      <c r="U282" t="s">
        <v>2631</v>
      </c>
      <c r="V282" t="s">
        <v>34</v>
      </c>
      <c r="W282" t="str">
        <f t="shared" si="1"/>
        <v>C</v>
      </c>
    </row>
    <row r="283">
      <c r="A283" s="444">
        <v>271.0</v>
      </c>
      <c r="B283" s="445" t="s">
        <v>2903</v>
      </c>
      <c r="C283" s="446"/>
      <c r="D283" s="446"/>
      <c r="E283" s="458">
        <v>1.6</v>
      </c>
      <c r="F283" s="458">
        <v>1.6</v>
      </c>
      <c r="G283" s="458">
        <v>2.4</v>
      </c>
      <c r="H283" s="458">
        <v>1.6</v>
      </c>
      <c r="I283" s="458">
        <v>0.8</v>
      </c>
      <c r="J283" s="458">
        <v>0.3</v>
      </c>
      <c r="K283" s="458">
        <v>0.9</v>
      </c>
      <c r="L283" s="458">
        <v>9.4</v>
      </c>
      <c r="M283" s="458">
        <v>3.5</v>
      </c>
      <c r="N283" s="462">
        <v>-0.6</v>
      </c>
      <c r="O283" t="str">
        <f>IFERROR(__xludf.DUMMYFUNCTION("regexextract(B283,""[\w]* [\w]*"")"),"Eric Paschall")</f>
        <v>Eric Paschall</v>
      </c>
      <c r="P283" t="str">
        <f t="shared" si="2"/>
        <v>Eric Paschall</v>
      </c>
      <c r="Q283" t="str">
        <f t="shared" si="3"/>
        <v>Eric Paschall</v>
      </c>
      <c r="R283" t="s">
        <v>2631</v>
      </c>
      <c r="S283" s="411" t="s">
        <v>2631</v>
      </c>
      <c r="T283" t="s">
        <v>2631</v>
      </c>
      <c r="U283" t="s">
        <v>73</v>
      </c>
      <c r="V283" t="s">
        <v>34</v>
      </c>
      <c r="W283" t="str">
        <f t="shared" si="1"/>
        <v>PFC</v>
      </c>
    </row>
    <row r="284">
      <c r="A284" s="447">
        <v>272.0</v>
      </c>
      <c r="B284" s="448" t="s">
        <v>2904</v>
      </c>
      <c r="C284" s="449"/>
      <c r="D284" s="449"/>
      <c r="E284" s="459">
        <v>2.5</v>
      </c>
      <c r="F284" s="459">
        <v>0.2</v>
      </c>
      <c r="G284" s="459">
        <v>4.7</v>
      </c>
      <c r="H284" s="459">
        <v>1.2</v>
      </c>
      <c r="I284" s="459">
        <v>0.7</v>
      </c>
      <c r="J284" s="459">
        <v>0.6</v>
      </c>
      <c r="K284" s="459">
        <v>0.8</v>
      </c>
      <c r="L284" s="459">
        <v>7.7</v>
      </c>
      <c r="M284" s="459">
        <v>0.4</v>
      </c>
      <c r="N284" s="460">
        <f>+0.1</f>
        <v>0.1</v>
      </c>
      <c r="O284" t="str">
        <f>IFERROR(__xludf.DUMMYFUNCTION("regexextract(B284,""[\w]* [\w]*"")"),"Aaron Holiday")</f>
        <v>Aaron Holiday</v>
      </c>
      <c r="P284" t="str">
        <f t="shared" si="2"/>
        <v>Aaron Holiday</v>
      </c>
      <c r="Q284" t="str">
        <f t="shared" si="3"/>
        <v>Aaron Holiday</v>
      </c>
      <c r="R284" t="s">
        <v>44</v>
      </c>
      <c r="S284" s="411" t="s">
        <v>71</v>
      </c>
      <c r="T284" t="s">
        <v>2631</v>
      </c>
      <c r="U284" t="s">
        <v>2631</v>
      </c>
      <c r="V284" t="s">
        <v>2631</v>
      </c>
      <c r="W284" t="str">
        <f t="shared" si="1"/>
        <v>PGSG</v>
      </c>
    </row>
    <row r="285">
      <c r="A285" s="444">
        <v>273.0</v>
      </c>
      <c r="B285" s="445" t="s">
        <v>2905</v>
      </c>
      <c r="C285" s="446"/>
      <c r="D285" s="446"/>
      <c r="E285" s="458">
        <v>1.8</v>
      </c>
      <c r="F285" s="458">
        <v>0.0</v>
      </c>
      <c r="G285" s="458">
        <v>5.2</v>
      </c>
      <c r="H285" s="458">
        <v>0.6</v>
      </c>
      <c r="I285" s="458">
        <v>0.7</v>
      </c>
      <c r="J285" s="458">
        <v>1.1</v>
      </c>
      <c r="K285" s="458">
        <v>0.9</v>
      </c>
      <c r="L285" s="458">
        <v>7.1</v>
      </c>
      <c r="M285" s="458">
        <v>0.7</v>
      </c>
      <c r="N285" s="458">
        <v>0.0</v>
      </c>
      <c r="O285" t="str">
        <f>IFERROR(__xludf.DUMMYFUNCTION("regexextract(B285,""[\w]* [\w]*"")"),"Raul Neto")</f>
        <v>Raul Neto</v>
      </c>
      <c r="P285" t="str">
        <f t="shared" si="2"/>
        <v>Raul Neto</v>
      </c>
      <c r="Q285" t="str">
        <f t="shared" si="3"/>
        <v>Raul Net</v>
      </c>
      <c r="R285" t="s">
        <v>44</v>
      </c>
      <c r="S285" s="411" t="s">
        <v>2631</v>
      </c>
      <c r="T285" t="s">
        <v>2631</v>
      </c>
      <c r="U285" t="s">
        <v>2631</v>
      </c>
      <c r="V285" t="s">
        <v>2631</v>
      </c>
      <c r="W285" t="str">
        <f t="shared" si="1"/>
        <v>PG</v>
      </c>
    </row>
    <row r="286">
      <c r="A286" s="447">
        <v>274.0</v>
      </c>
      <c r="B286" s="448" t="s">
        <v>2906</v>
      </c>
      <c r="C286" s="449"/>
      <c r="D286" s="449"/>
      <c r="E286" s="459">
        <v>0.9</v>
      </c>
      <c r="F286" s="459">
        <v>1.8</v>
      </c>
      <c r="G286" s="459">
        <v>2.9</v>
      </c>
      <c r="H286" s="459">
        <v>1.3</v>
      </c>
      <c r="I286" s="459">
        <v>0.9</v>
      </c>
      <c r="J286" s="459">
        <v>0.5</v>
      </c>
      <c r="K286" s="459">
        <v>0.7</v>
      </c>
      <c r="L286" s="459">
        <v>8.1</v>
      </c>
      <c r="M286" s="459">
        <v>3.0</v>
      </c>
      <c r="N286" s="463">
        <v>-0.4</v>
      </c>
      <c r="O286" t="str">
        <f>IFERROR(__xludf.DUMMYFUNCTION("regexextract(B286,""[\w]* [\w]*"")"),"Sterling Brown")</f>
        <v>Sterling Brown</v>
      </c>
      <c r="P286" t="str">
        <f t="shared" si="2"/>
        <v>Sterling Brown</v>
      </c>
      <c r="Q286" t="str">
        <f t="shared" si="3"/>
        <v>Sterling Brown</v>
      </c>
      <c r="R286" t="s">
        <v>2631</v>
      </c>
      <c r="S286" s="411" t="s">
        <v>71</v>
      </c>
      <c r="T286" t="s">
        <v>72</v>
      </c>
      <c r="U286" t="s">
        <v>2631</v>
      </c>
      <c r="V286" t="s">
        <v>2631</v>
      </c>
      <c r="W286" t="str">
        <f t="shared" si="1"/>
        <v>SGSF</v>
      </c>
    </row>
    <row r="287">
      <c r="A287" s="444">
        <v>275.0</v>
      </c>
      <c r="B287" s="445" t="s">
        <v>2907</v>
      </c>
      <c r="C287" s="446"/>
      <c r="D287" s="446"/>
      <c r="E287" s="458">
        <v>1.5</v>
      </c>
      <c r="F287" s="458">
        <v>1.7</v>
      </c>
      <c r="G287" s="458">
        <v>3.9</v>
      </c>
      <c r="H287" s="458">
        <v>1.7</v>
      </c>
      <c r="I287" s="458">
        <v>0.7</v>
      </c>
      <c r="J287" s="458">
        <v>0.4</v>
      </c>
      <c r="K287" s="458">
        <v>1.4</v>
      </c>
      <c r="L287" s="458">
        <v>9.9</v>
      </c>
      <c r="M287" s="458">
        <v>0.4</v>
      </c>
      <c r="N287" s="458">
        <v>0.0</v>
      </c>
      <c r="O287" t="str">
        <f>IFERROR(__xludf.DUMMYFUNCTION("regexextract(B287,""[\w]* [\w]*"")"),"Moritz Wagner")</f>
        <v>Moritz Wagner</v>
      </c>
      <c r="P287" t="str">
        <f t="shared" si="2"/>
        <v>Moritz Wagner</v>
      </c>
      <c r="Q287" t="str">
        <f t="shared" si="3"/>
        <v>Moritz Wagner</v>
      </c>
      <c r="R287" t="s">
        <v>2631</v>
      </c>
      <c r="S287" s="411" t="s">
        <v>2631</v>
      </c>
      <c r="T287" t="s">
        <v>2631</v>
      </c>
      <c r="U287" t="s">
        <v>73</v>
      </c>
      <c r="V287" t="s">
        <v>34</v>
      </c>
      <c r="W287" t="str">
        <f t="shared" si="1"/>
        <v>PFC</v>
      </c>
    </row>
    <row r="288">
      <c r="A288" s="447">
        <v>276.0</v>
      </c>
      <c r="B288" s="448" t="s">
        <v>2908</v>
      </c>
      <c r="C288" s="449"/>
      <c r="D288" s="449"/>
      <c r="E288" s="459">
        <v>1.1</v>
      </c>
      <c r="F288" s="459">
        <v>1.4</v>
      </c>
      <c r="G288" s="459">
        <v>4.1</v>
      </c>
      <c r="H288" s="459">
        <v>2.8</v>
      </c>
      <c r="I288" s="459">
        <v>0.8</v>
      </c>
      <c r="J288" s="459">
        <v>0.6</v>
      </c>
      <c r="K288" s="459">
        <v>1.0</v>
      </c>
      <c r="L288" s="459">
        <v>7.1</v>
      </c>
      <c r="M288" s="459">
        <v>1.5</v>
      </c>
      <c r="N288" s="463">
        <v>-0.2</v>
      </c>
      <c r="O288" t="str">
        <f>IFERROR(__xludf.DUMMYFUNCTION("regexextract(B288,""[\w]* [\w]*"")"),"Jalen McDaniels")</f>
        <v>Jalen McDaniels</v>
      </c>
      <c r="P288" t="str">
        <f t="shared" si="2"/>
        <v>Jalen McDaniels</v>
      </c>
      <c r="Q288" t="str">
        <f t="shared" si="3"/>
        <v>Jalen McDaniels</v>
      </c>
      <c r="R288" t="s">
        <v>2631</v>
      </c>
      <c r="S288" s="411" t="s">
        <v>2631</v>
      </c>
      <c r="T288" t="s">
        <v>2631</v>
      </c>
      <c r="U288" t="s">
        <v>73</v>
      </c>
      <c r="V288" t="s">
        <v>34</v>
      </c>
      <c r="W288" t="str">
        <f t="shared" si="1"/>
        <v>PFC</v>
      </c>
    </row>
    <row r="289">
      <c r="A289" s="444">
        <v>277.0</v>
      </c>
      <c r="B289" s="445" t="s">
        <v>2909</v>
      </c>
      <c r="C289" s="446"/>
      <c r="D289" s="446"/>
      <c r="E289" s="458">
        <v>0.6</v>
      </c>
      <c r="F289" s="458">
        <v>0.8</v>
      </c>
      <c r="G289" s="458">
        <v>3.0</v>
      </c>
      <c r="H289" s="458">
        <v>5.2</v>
      </c>
      <c r="I289" s="458">
        <v>0.9</v>
      </c>
      <c r="J289" s="458">
        <v>0.1</v>
      </c>
      <c r="K289" s="458">
        <v>2.0</v>
      </c>
      <c r="L289" s="458">
        <v>6.5</v>
      </c>
      <c r="M289" s="458">
        <v>3.1</v>
      </c>
      <c r="N289" s="461">
        <f>+0.3</f>
        <v>0.3</v>
      </c>
      <c r="O289" t="str">
        <f>IFERROR(__xludf.DUMMYFUNCTION("regexextract(B289,""[\w]* [\w]*"")"),"Dwayne Bacon")</f>
        <v>Dwayne Bacon</v>
      </c>
      <c r="P289" t="str">
        <f t="shared" si="2"/>
        <v>Dwayne Bacon</v>
      </c>
      <c r="Q289" t="str">
        <f t="shared" si="3"/>
        <v>Dwayne Bacon</v>
      </c>
      <c r="R289" t="s">
        <v>2631</v>
      </c>
      <c r="S289" s="411" t="s">
        <v>71</v>
      </c>
      <c r="T289" t="s">
        <v>2631</v>
      </c>
      <c r="U289" t="s">
        <v>2631</v>
      </c>
      <c r="V289" t="s">
        <v>34</v>
      </c>
      <c r="W289" t="str">
        <f t="shared" si="1"/>
        <v>SGC</v>
      </c>
    </row>
    <row r="290">
      <c r="A290" s="447">
        <v>278.0</v>
      </c>
      <c r="B290" s="448" t="s">
        <v>2910</v>
      </c>
      <c r="C290" s="449"/>
      <c r="D290" s="449"/>
      <c r="E290" s="459">
        <v>2.1</v>
      </c>
      <c r="F290" s="459">
        <v>0.0</v>
      </c>
      <c r="G290" s="459">
        <v>7.6</v>
      </c>
      <c r="H290" s="459">
        <v>1.4</v>
      </c>
      <c r="I290" s="459">
        <v>0.4</v>
      </c>
      <c r="J290" s="459">
        <v>0.6</v>
      </c>
      <c r="K290" s="459">
        <v>1.2</v>
      </c>
      <c r="L290" s="459">
        <v>7.9</v>
      </c>
      <c r="M290" s="459">
        <v>1.5</v>
      </c>
      <c r="N290" s="463">
        <v>-0.1</v>
      </c>
      <c r="O290" t="str">
        <f>IFERROR(__xludf.DUMMYFUNCTION("regexextract(B290,""[\w]* [\w]*"")"),"Damion Lee")</f>
        <v>Damion Lee</v>
      </c>
      <c r="P290" t="str">
        <f t="shared" si="2"/>
        <v>Damion Lee</v>
      </c>
      <c r="Q290" t="str">
        <f t="shared" si="3"/>
        <v>Damion Lee</v>
      </c>
      <c r="R290" t="s">
        <v>2631</v>
      </c>
      <c r="S290" s="411" t="s">
        <v>71</v>
      </c>
      <c r="T290" t="s">
        <v>72</v>
      </c>
      <c r="U290" t="s">
        <v>2631</v>
      </c>
      <c r="V290" t="s">
        <v>2631</v>
      </c>
      <c r="W290" t="str">
        <f t="shared" si="1"/>
        <v>SGSF</v>
      </c>
    </row>
    <row r="291">
      <c r="A291" s="444">
        <v>279.0</v>
      </c>
      <c r="B291" s="445" t="s">
        <v>2911</v>
      </c>
      <c r="C291" s="446"/>
      <c r="D291" s="446"/>
      <c r="E291" s="458">
        <v>2.1</v>
      </c>
      <c r="F291" s="458">
        <v>1.3</v>
      </c>
      <c r="G291" s="458">
        <v>3.3</v>
      </c>
      <c r="H291" s="458">
        <v>1.3</v>
      </c>
      <c r="I291" s="458">
        <v>0.5</v>
      </c>
      <c r="J291" s="458">
        <v>0.4</v>
      </c>
      <c r="K291" s="458">
        <v>0.8</v>
      </c>
      <c r="L291" s="458">
        <v>9.6</v>
      </c>
      <c r="M291" s="458">
        <v>1.8</v>
      </c>
      <c r="N291" s="462">
        <v>-0.4</v>
      </c>
      <c r="O291" t="str">
        <f>IFERROR(__xludf.DUMMYFUNCTION("regexextract(B291,""[\w]* [\w]*"")"),"Aaron Nesmith")</f>
        <v>Aaron Nesmith</v>
      </c>
      <c r="P291" t="str">
        <f t="shared" si="2"/>
        <v>Aaron Nesmith</v>
      </c>
      <c r="Q291" t="str">
        <f t="shared" si="3"/>
        <v>Aaron Nesmith</v>
      </c>
      <c r="R291" t="s">
        <v>2631</v>
      </c>
      <c r="S291" s="411" t="s">
        <v>2631</v>
      </c>
      <c r="T291" t="s">
        <v>72</v>
      </c>
      <c r="U291" t="s">
        <v>2631</v>
      </c>
      <c r="V291" t="s">
        <v>2631</v>
      </c>
      <c r="W291" t="str">
        <f t="shared" si="1"/>
        <v>SF</v>
      </c>
    </row>
    <row r="292">
      <c r="A292" s="447">
        <v>280.0</v>
      </c>
      <c r="B292" s="448" t="s">
        <v>2912</v>
      </c>
      <c r="C292" s="449"/>
      <c r="D292" s="449"/>
      <c r="E292" s="459">
        <v>1.0</v>
      </c>
      <c r="F292" s="459">
        <v>0.6</v>
      </c>
      <c r="G292" s="459">
        <v>2.5</v>
      </c>
      <c r="H292" s="459">
        <v>3.2</v>
      </c>
      <c r="I292" s="459">
        <v>0.8</v>
      </c>
      <c r="J292" s="459">
        <v>0.3</v>
      </c>
      <c r="K292" s="459">
        <v>1.0</v>
      </c>
      <c r="L292" s="459">
        <v>6.7</v>
      </c>
      <c r="M292" s="459">
        <v>2.1</v>
      </c>
      <c r="N292" s="463">
        <v>-0.7</v>
      </c>
      <c r="O292" t="str">
        <f>IFERROR(__xludf.DUMMYFUNCTION("regexextract(B292,""[\w]* [\w]*"")"),"Juan Toscano")</f>
        <v>Juan Toscano</v>
      </c>
      <c r="P292" t="str">
        <f t="shared" si="2"/>
        <v>Juan Toscano</v>
      </c>
      <c r="Q292" t="str">
        <f t="shared" si="3"/>
        <v>Juan Toscan</v>
      </c>
      <c r="R292" t="s">
        <v>2631</v>
      </c>
      <c r="S292" s="411" t="s">
        <v>2631</v>
      </c>
      <c r="T292" t="s">
        <v>72</v>
      </c>
      <c r="U292" t="s">
        <v>73</v>
      </c>
      <c r="V292" t="s">
        <v>34</v>
      </c>
      <c r="W292" t="str">
        <f t="shared" si="1"/>
        <v>SFPFC</v>
      </c>
    </row>
    <row r="293">
      <c r="A293" s="444">
        <v>281.0</v>
      </c>
      <c r="B293" s="445" t="s">
        <v>2913</v>
      </c>
      <c r="C293" s="446"/>
      <c r="D293" s="446"/>
      <c r="E293" s="458">
        <v>1.2</v>
      </c>
      <c r="F293" s="458">
        <v>2.1</v>
      </c>
      <c r="G293" s="458">
        <v>1.6</v>
      </c>
      <c r="H293" s="458">
        <v>2.1</v>
      </c>
      <c r="I293" s="458">
        <v>0.6</v>
      </c>
      <c r="J293" s="458">
        <v>0.1</v>
      </c>
      <c r="K293" s="458">
        <v>0.9</v>
      </c>
      <c r="L293" s="458">
        <v>9.8</v>
      </c>
      <c r="M293" s="458">
        <v>3.2</v>
      </c>
      <c r="N293" s="458">
        <v>0.0</v>
      </c>
      <c r="O293" t="str">
        <f>IFERROR(__xludf.DUMMYFUNCTION("regexextract(B293,""[\w]* [\w]*"")"),"Josh Okogie")</f>
        <v>Josh Okogie</v>
      </c>
      <c r="P293" t="str">
        <f t="shared" si="2"/>
        <v>Josh Okogie</v>
      </c>
      <c r="Q293" t="str">
        <f t="shared" si="3"/>
        <v>Josh Okogie</v>
      </c>
      <c r="R293" t="s">
        <v>2631</v>
      </c>
      <c r="S293" s="411" t="s">
        <v>71</v>
      </c>
      <c r="T293" t="s">
        <v>72</v>
      </c>
      <c r="U293" t="s">
        <v>2631</v>
      </c>
      <c r="V293" t="s">
        <v>2631</v>
      </c>
      <c r="W293" t="str">
        <f t="shared" si="1"/>
        <v>SGSF</v>
      </c>
    </row>
    <row r="294">
      <c r="A294" s="447">
        <v>282.0</v>
      </c>
      <c r="B294" s="448" t="s">
        <v>2914</v>
      </c>
      <c r="C294" s="449"/>
      <c r="D294" s="449"/>
      <c r="E294" s="459">
        <v>1.2</v>
      </c>
      <c r="F294" s="459">
        <v>1.0</v>
      </c>
      <c r="G294" s="459">
        <v>1.7</v>
      </c>
      <c r="H294" s="459">
        <v>3.0</v>
      </c>
      <c r="I294" s="459">
        <v>0.9</v>
      </c>
      <c r="J294" s="459">
        <v>0.2</v>
      </c>
      <c r="K294" s="459">
        <v>0.8</v>
      </c>
      <c r="L294" s="459">
        <v>8.5</v>
      </c>
      <c r="M294" s="459">
        <v>0.9</v>
      </c>
      <c r="N294" s="463">
        <v>-0.1</v>
      </c>
      <c r="O294" t="str">
        <f>IFERROR(__xludf.DUMMYFUNCTION("regexextract(B294,""[\w]* [\w]*"")"),"Andre Iguodala")</f>
        <v>Andre Iguodala</v>
      </c>
      <c r="P294" t="str">
        <f t="shared" si="2"/>
        <v>Andre Iguodala</v>
      </c>
      <c r="Q294" t="str">
        <f t="shared" si="3"/>
        <v>Andre Iguodala</v>
      </c>
      <c r="R294" t="s">
        <v>2631</v>
      </c>
      <c r="S294" s="411" t="s">
        <v>71</v>
      </c>
      <c r="T294" t="s">
        <v>72</v>
      </c>
      <c r="U294" t="s">
        <v>2631</v>
      </c>
      <c r="V294" t="s">
        <v>2631</v>
      </c>
      <c r="W294" t="str">
        <f t="shared" si="1"/>
        <v>SGSF</v>
      </c>
    </row>
    <row r="295">
      <c r="A295" s="444">
        <v>283.0</v>
      </c>
      <c r="B295" s="445" t="s">
        <v>2915</v>
      </c>
      <c r="C295" s="446"/>
      <c r="D295" s="446"/>
      <c r="E295" s="458">
        <v>1.9</v>
      </c>
      <c r="F295" s="458">
        <v>1.4</v>
      </c>
      <c r="G295" s="458">
        <v>2.3</v>
      </c>
      <c r="H295" s="458">
        <v>2.1</v>
      </c>
      <c r="I295" s="458">
        <v>0.9</v>
      </c>
      <c r="J295" s="458">
        <v>0.3</v>
      </c>
      <c r="K295" s="458">
        <v>1.7</v>
      </c>
      <c r="L295" s="458">
        <v>9.7</v>
      </c>
      <c r="M295" s="458">
        <v>3.2</v>
      </c>
      <c r="N295" s="462">
        <v>-0.5</v>
      </c>
      <c r="O295" t="str">
        <f>IFERROR(__xludf.DUMMYFUNCTION("regexextract(B295,""[\w]* [\w]*"")"),"Kevon Looney")</f>
        <v>Kevon Looney</v>
      </c>
      <c r="P295" t="str">
        <f t="shared" si="2"/>
        <v>Kevon Looney</v>
      </c>
      <c r="Q295" t="str">
        <f t="shared" si="3"/>
        <v>Kevon Looney</v>
      </c>
      <c r="R295" t="s">
        <v>2631</v>
      </c>
      <c r="S295" s="411" t="s">
        <v>2631</v>
      </c>
      <c r="T295" t="s">
        <v>2631</v>
      </c>
      <c r="U295" t="s">
        <v>73</v>
      </c>
      <c r="V295" t="s">
        <v>2631</v>
      </c>
      <c r="W295" t="str">
        <f t="shared" si="1"/>
        <v>PF</v>
      </c>
    </row>
    <row r="296">
      <c r="A296" s="447">
        <v>284.0</v>
      </c>
      <c r="B296" s="448" t="s">
        <v>2916</v>
      </c>
      <c r="C296" s="449"/>
      <c r="D296" s="449"/>
      <c r="E296" s="459">
        <v>2.2</v>
      </c>
      <c r="F296" s="459">
        <v>0.2</v>
      </c>
      <c r="G296" s="459">
        <v>2.4</v>
      </c>
      <c r="H296" s="459">
        <v>4.2</v>
      </c>
      <c r="I296" s="459">
        <v>0.8</v>
      </c>
      <c r="J296" s="459">
        <v>0.3</v>
      </c>
      <c r="K296" s="459">
        <v>1.3</v>
      </c>
      <c r="L296" s="459">
        <v>6.5</v>
      </c>
      <c r="M296" s="459">
        <v>0.2</v>
      </c>
      <c r="N296" s="460">
        <f>+0.1</f>
        <v>0.1</v>
      </c>
      <c r="O296" t="str">
        <f>IFERROR(__xludf.DUMMYFUNCTION("regexextract(B296,""[\w]* [\w]*"")"),"Mike Muscala")</f>
        <v>Mike Muscala</v>
      </c>
      <c r="P296" t="str">
        <f t="shared" si="2"/>
        <v>Mike Muscala</v>
      </c>
      <c r="Q296" t="str">
        <f t="shared" si="3"/>
        <v>Mike Muscala</v>
      </c>
      <c r="R296" t="s">
        <v>2631</v>
      </c>
      <c r="S296" s="411" t="s">
        <v>2631</v>
      </c>
      <c r="T296" t="s">
        <v>2631</v>
      </c>
      <c r="U296" t="s">
        <v>73</v>
      </c>
      <c r="V296" t="s">
        <v>34</v>
      </c>
      <c r="W296" t="str">
        <f t="shared" si="1"/>
        <v>PFC</v>
      </c>
    </row>
    <row r="297">
      <c r="A297" s="444">
        <v>285.0</v>
      </c>
      <c r="B297" s="445" t="s">
        <v>2917</v>
      </c>
      <c r="C297" s="446"/>
      <c r="D297" s="446"/>
      <c r="E297" s="458">
        <v>1.3</v>
      </c>
      <c r="F297" s="458">
        <v>0.6</v>
      </c>
      <c r="G297" s="458">
        <v>2.8</v>
      </c>
      <c r="H297" s="458">
        <v>2.7</v>
      </c>
      <c r="I297" s="458">
        <v>1.0</v>
      </c>
      <c r="J297" s="458">
        <v>0.3</v>
      </c>
      <c r="K297" s="458">
        <v>0.8</v>
      </c>
      <c r="L297" s="458">
        <v>6.3</v>
      </c>
      <c r="M297" s="458">
        <v>50.4</v>
      </c>
      <c r="N297" s="462">
        <v>-17.3</v>
      </c>
      <c r="O297" t="str">
        <f>IFERROR(__xludf.DUMMYFUNCTION("regexextract(B297,""[\w]* [\w]*"")"),"DeMarcus Cousins")</f>
        <v>DeMarcus Cousins</v>
      </c>
      <c r="P297" t="str">
        <f t="shared" si="2"/>
        <v>DeMarcus Cousins</v>
      </c>
      <c r="Q297" t="str">
        <f t="shared" si="3"/>
        <v>DeMarcus Cousins</v>
      </c>
      <c r="R297" t="s">
        <v>2631</v>
      </c>
      <c r="S297" s="411" t="s">
        <v>2631</v>
      </c>
      <c r="T297" t="s">
        <v>2631</v>
      </c>
      <c r="U297" t="s">
        <v>2631</v>
      </c>
      <c r="V297" t="s">
        <v>34</v>
      </c>
      <c r="W297" t="str">
        <f t="shared" si="1"/>
        <v>C</v>
      </c>
    </row>
    <row r="298">
      <c r="A298" s="447">
        <v>286.0</v>
      </c>
      <c r="B298" s="448" t="s">
        <v>2918</v>
      </c>
      <c r="C298" s="449"/>
      <c r="D298" s="449"/>
      <c r="E298" s="459">
        <v>0.6</v>
      </c>
      <c r="F298" s="459">
        <v>1.2</v>
      </c>
      <c r="G298" s="459">
        <v>4.6</v>
      </c>
      <c r="H298" s="459">
        <v>1.4</v>
      </c>
      <c r="I298" s="459">
        <v>0.6</v>
      </c>
      <c r="J298" s="459">
        <v>0.4</v>
      </c>
      <c r="K298" s="459">
        <v>0.6</v>
      </c>
      <c r="L298" s="459">
        <v>6.4</v>
      </c>
      <c r="M298" s="459">
        <v>0.8</v>
      </c>
      <c r="N298" s="459">
        <v>0.0</v>
      </c>
      <c r="O298" t="str">
        <f>IFERROR(__xludf.DUMMYFUNCTION("regexextract(B298,""[\w]* [\w]*"")"),"Jarrett CulverDTD")</f>
        <v>Jarrett CulverDTD</v>
      </c>
      <c r="P298" t="str">
        <f t="shared" si="2"/>
        <v>Jarrett Culver</v>
      </c>
      <c r="Q298" t="str">
        <f t="shared" si="3"/>
        <v>Jarrett Culver</v>
      </c>
      <c r="R298" t="s">
        <v>2631</v>
      </c>
      <c r="S298" s="411" t="s">
        <v>71</v>
      </c>
      <c r="T298" t="s">
        <v>72</v>
      </c>
      <c r="U298" t="s">
        <v>2631</v>
      </c>
      <c r="V298" t="s">
        <v>34</v>
      </c>
      <c r="W298" t="str">
        <f t="shared" si="1"/>
        <v>SGSFC</v>
      </c>
    </row>
    <row r="299">
      <c r="A299" s="444">
        <v>287.0</v>
      </c>
      <c r="B299" s="445" t="s">
        <v>2919</v>
      </c>
      <c r="C299" s="446"/>
      <c r="D299" s="446"/>
      <c r="E299" s="458">
        <v>1.4</v>
      </c>
      <c r="F299" s="458">
        <v>2.0</v>
      </c>
      <c r="G299" s="458">
        <v>2.8</v>
      </c>
      <c r="H299" s="458">
        <v>1.8</v>
      </c>
      <c r="I299" s="458">
        <v>0.4</v>
      </c>
      <c r="J299" s="458">
        <v>0.2</v>
      </c>
      <c r="K299" s="458">
        <v>1.0</v>
      </c>
      <c r="L299" s="458">
        <v>10.2</v>
      </c>
      <c r="M299" s="458">
        <v>0.6</v>
      </c>
      <c r="N299" s="458">
        <v>0.0</v>
      </c>
      <c r="O299" t="str">
        <f>IFERROR(__xludf.DUMMYFUNCTION("regexextract(B299,""[\w]* [\w]*"")"),"Bismack Biyombo")</f>
        <v>Bismack Biyombo</v>
      </c>
      <c r="P299" t="str">
        <f t="shared" si="2"/>
        <v>Bismack Biyombo</v>
      </c>
      <c r="Q299" t="str">
        <f t="shared" si="3"/>
        <v>Bismack Biyomb</v>
      </c>
      <c r="R299" t="s">
        <v>2631</v>
      </c>
      <c r="S299" s="411" t="s">
        <v>2631</v>
      </c>
      <c r="T299" t="s">
        <v>2631</v>
      </c>
      <c r="U299" t="s">
        <v>2631</v>
      </c>
      <c r="V299" t="s">
        <v>34</v>
      </c>
      <c r="W299" t="str">
        <f t="shared" si="1"/>
        <v>C</v>
      </c>
    </row>
    <row r="300">
      <c r="A300" s="447">
        <v>288.0</v>
      </c>
      <c r="B300" s="448" t="s">
        <v>2920</v>
      </c>
      <c r="C300" s="449"/>
      <c r="D300" s="449"/>
      <c r="E300" s="459">
        <v>1.6</v>
      </c>
      <c r="F300" s="459">
        <v>1.1</v>
      </c>
      <c r="G300" s="459">
        <v>2.5</v>
      </c>
      <c r="H300" s="459">
        <v>2.6</v>
      </c>
      <c r="I300" s="459">
        <v>0.8</v>
      </c>
      <c r="J300" s="459">
        <v>0.1</v>
      </c>
      <c r="K300" s="459">
        <v>1.0</v>
      </c>
      <c r="L300" s="459">
        <v>8.8</v>
      </c>
      <c r="M300" s="459">
        <v>0.4</v>
      </c>
      <c r="N300" s="460">
        <f t="shared" ref="N300:N301" si="11">+0.1</f>
        <v>0.1</v>
      </c>
      <c r="O300" t="str">
        <f>IFERROR(__xludf.DUMMYFUNCTION("regexextract(B300,""[\w]* [\w]*"")"),"Maurice Harkless")</f>
        <v>Maurice Harkless</v>
      </c>
      <c r="P300" t="str">
        <f t="shared" si="2"/>
        <v>Maurice Harkless</v>
      </c>
      <c r="Q300" t="str">
        <f t="shared" si="3"/>
        <v>Maurice Harkless</v>
      </c>
      <c r="R300" t="s">
        <v>2631</v>
      </c>
      <c r="S300" s="411" t="s">
        <v>2631</v>
      </c>
      <c r="T300" t="s">
        <v>72</v>
      </c>
      <c r="U300" t="s">
        <v>2631</v>
      </c>
      <c r="V300" t="s">
        <v>34</v>
      </c>
      <c r="W300" t="str">
        <f t="shared" si="1"/>
        <v>SFC</v>
      </c>
    </row>
    <row r="301">
      <c r="A301" s="444">
        <v>289.0</v>
      </c>
      <c r="B301" s="445" t="s">
        <v>2921</v>
      </c>
      <c r="C301" s="446"/>
      <c r="D301" s="446"/>
      <c r="E301" s="458">
        <v>1.3</v>
      </c>
      <c r="F301" s="458">
        <v>1.5</v>
      </c>
      <c r="G301" s="458">
        <v>2.8</v>
      </c>
      <c r="H301" s="458">
        <v>1.6</v>
      </c>
      <c r="I301" s="458">
        <v>0.6</v>
      </c>
      <c r="J301" s="458">
        <v>0.3</v>
      </c>
      <c r="K301" s="458">
        <v>1.0</v>
      </c>
      <c r="L301" s="458">
        <v>10.5</v>
      </c>
      <c r="M301" s="458">
        <v>1.1</v>
      </c>
      <c r="N301" s="461">
        <f t="shared" si="11"/>
        <v>0.1</v>
      </c>
      <c r="O301" t="str">
        <f>IFERROR(__xludf.DUMMYFUNCTION("regexextract(B301,""[\w]* [\w]*"")"),"James Johnson")</f>
        <v>James Johnson</v>
      </c>
      <c r="P301" t="str">
        <f t="shared" si="2"/>
        <v>James Johnson</v>
      </c>
      <c r="Q301" t="str">
        <f t="shared" si="3"/>
        <v>James Johnson</v>
      </c>
      <c r="R301" t="s">
        <v>2631</v>
      </c>
      <c r="S301" s="411" t="s">
        <v>2631</v>
      </c>
      <c r="T301" t="s">
        <v>72</v>
      </c>
      <c r="U301" t="s">
        <v>73</v>
      </c>
      <c r="V301" t="s">
        <v>2631</v>
      </c>
      <c r="W301" t="str">
        <f t="shared" si="1"/>
        <v>SFPF</v>
      </c>
    </row>
    <row r="302">
      <c r="A302" s="447">
        <v>290.0</v>
      </c>
      <c r="B302" s="448" t="s">
        <v>2922</v>
      </c>
      <c r="C302" s="449"/>
      <c r="D302" s="449"/>
      <c r="E302" s="459">
        <v>2.0</v>
      </c>
      <c r="F302" s="459">
        <v>1.3</v>
      </c>
      <c r="G302" s="459">
        <v>1.8</v>
      </c>
      <c r="H302" s="459">
        <v>3.7</v>
      </c>
      <c r="I302" s="459">
        <v>0.5</v>
      </c>
      <c r="J302" s="459">
        <v>0.0</v>
      </c>
      <c r="K302" s="459">
        <v>1.2</v>
      </c>
      <c r="L302" s="459">
        <v>8.3</v>
      </c>
      <c r="M302" s="459">
        <v>0.2</v>
      </c>
      <c r="N302" s="459">
        <v>0.0</v>
      </c>
      <c r="O302" t="str">
        <f>IFERROR(__xludf.DUMMYFUNCTION("regexextract(B302,""[\w]* [\w]*"")"),"Cody Martin")</f>
        <v>Cody Martin</v>
      </c>
      <c r="P302" t="str">
        <f t="shared" si="2"/>
        <v>Cody Martin</v>
      </c>
      <c r="Q302" t="str">
        <f t="shared" si="3"/>
        <v>Cody Martin</v>
      </c>
      <c r="R302" t="s">
        <v>2631</v>
      </c>
      <c r="S302" s="411" t="s">
        <v>2631</v>
      </c>
      <c r="T302" t="s">
        <v>72</v>
      </c>
      <c r="U302" t="s">
        <v>2631</v>
      </c>
      <c r="V302" t="s">
        <v>34</v>
      </c>
      <c r="W302" t="str">
        <f t="shared" si="1"/>
        <v>SFC</v>
      </c>
    </row>
    <row r="303">
      <c r="A303" s="444">
        <v>291.0</v>
      </c>
      <c r="B303" s="445" t="s">
        <v>2923</v>
      </c>
      <c r="C303" s="446"/>
      <c r="D303" s="446"/>
      <c r="E303" s="458">
        <v>1.4</v>
      </c>
      <c r="F303" s="458">
        <v>0.8</v>
      </c>
      <c r="G303" s="458">
        <v>5.8</v>
      </c>
      <c r="H303" s="458">
        <v>0.8</v>
      </c>
      <c r="I303" s="458">
        <v>0.3</v>
      </c>
      <c r="J303" s="458">
        <v>1.3</v>
      </c>
      <c r="K303" s="458">
        <v>0.8</v>
      </c>
      <c r="L303" s="458">
        <v>7.8</v>
      </c>
      <c r="M303" s="458">
        <v>5.0</v>
      </c>
      <c r="N303" s="462">
        <v>-0.7</v>
      </c>
      <c r="O303" t="str">
        <f>IFERROR(__xludf.DUMMYFUNCTION("regexextract(B303,""[\w]* [\w]*"")"),"Michael Carter")</f>
        <v>Michael Carter</v>
      </c>
      <c r="P303" t="str">
        <f t="shared" si="2"/>
        <v>Michael Carter</v>
      </c>
      <c r="Q303" t="str">
        <f t="shared" si="3"/>
        <v>Michael Carter</v>
      </c>
      <c r="R303" t="s">
        <v>44</v>
      </c>
      <c r="S303" s="411" t="s">
        <v>2631</v>
      </c>
      <c r="T303" t="s">
        <v>2631</v>
      </c>
      <c r="U303" t="s">
        <v>2631</v>
      </c>
      <c r="V303" t="s">
        <v>34</v>
      </c>
      <c r="W303" t="str">
        <f t="shared" si="1"/>
        <v>PGC</v>
      </c>
    </row>
    <row r="304">
      <c r="A304" s="447">
        <v>292.0</v>
      </c>
      <c r="B304" s="448" t="s">
        <v>2924</v>
      </c>
      <c r="C304" s="449"/>
      <c r="D304" s="449"/>
      <c r="E304" s="459">
        <v>1.0</v>
      </c>
      <c r="F304" s="459">
        <v>1.3</v>
      </c>
      <c r="G304" s="459">
        <v>5.4</v>
      </c>
      <c r="H304" s="459">
        <v>0.8</v>
      </c>
      <c r="I304" s="459">
        <v>0.5</v>
      </c>
      <c r="J304" s="459">
        <v>0.4</v>
      </c>
      <c r="K304" s="459">
        <v>1.0</v>
      </c>
      <c r="L304" s="459">
        <v>7.8</v>
      </c>
      <c r="M304" s="459">
        <v>0.4</v>
      </c>
      <c r="N304" s="459">
        <v>0.0</v>
      </c>
      <c r="O304" t="str">
        <f>IFERROR(__xludf.DUMMYFUNCTION("regexextract(B304,""[\w]* [\w]*"")"),"Farouq Aminu")</f>
        <v>Farouq Aminu</v>
      </c>
      <c r="P304" t="str">
        <f t="shared" si="2"/>
        <v>Farouq Aminu</v>
      </c>
      <c r="Q304" t="str">
        <f t="shared" si="3"/>
        <v>Farouq Aminu</v>
      </c>
      <c r="R304" t="s">
        <v>2631</v>
      </c>
      <c r="S304" s="411" t="s">
        <v>2631</v>
      </c>
      <c r="T304" t="s">
        <v>2631</v>
      </c>
      <c r="U304" t="s">
        <v>73</v>
      </c>
      <c r="V304" t="s">
        <v>2631</v>
      </c>
      <c r="W304" t="str">
        <f t="shared" si="1"/>
        <v>PF</v>
      </c>
    </row>
    <row r="305">
      <c r="A305" s="444">
        <v>293.0</v>
      </c>
      <c r="B305" s="445" t="s">
        <v>2925</v>
      </c>
      <c r="C305" s="446"/>
      <c r="D305" s="446"/>
      <c r="E305" s="458">
        <v>1.4</v>
      </c>
      <c r="F305" s="458">
        <v>1.5</v>
      </c>
      <c r="G305" s="458">
        <v>3.4</v>
      </c>
      <c r="H305" s="458">
        <v>1.3</v>
      </c>
      <c r="I305" s="458">
        <v>0.7</v>
      </c>
      <c r="J305" s="458">
        <v>0.4</v>
      </c>
      <c r="K305" s="458">
        <v>0.8</v>
      </c>
      <c r="L305" s="458">
        <v>8.2</v>
      </c>
      <c r="M305" s="458">
        <v>0.3</v>
      </c>
      <c r="N305" s="461">
        <f>+0.1</f>
        <v>0.1</v>
      </c>
      <c r="O305" t="str">
        <f>IFERROR(__xludf.DUMMYFUNCTION("regexextract(B305,""[\w]* [\w]*"")")," Wilson")</f>
        <v> Wilson</v>
      </c>
      <c r="P305" t="str">
        <f t="shared" si="2"/>
        <v> Wilson</v>
      </c>
      <c r="Q305" t="str">
        <f t="shared" si="3"/>
        <v> Wilson</v>
      </c>
      <c r="R305" t="s">
        <v>2631</v>
      </c>
      <c r="S305" s="411" t="s">
        <v>2631</v>
      </c>
      <c r="T305" t="s">
        <v>2631</v>
      </c>
      <c r="U305" t="s">
        <v>73</v>
      </c>
      <c r="V305" t="s">
        <v>34</v>
      </c>
      <c r="W305" t="str">
        <f t="shared" si="1"/>
        <v>PFC</v>
      </c>
    </row>
    <row r="306">
      <c r="A306" s="447">
        <v>294.0</v>
      </c>
      <c r="B306" s="448" t="s">
        <v>2926</v>
      </c>
      <c r="C306" s="449"/>
      <c r="D306" s="449"/>
      <c r="E306" s="459">
        <v>2.4</v>
      </c>
      <c r="F306" s="459">
        <v>1.5</v>
      </c>
      <c r="G306" s="459">
        <v>3.5</v>
      </c>
      <c r="H306" s="459">
        <v>1.3</v>
      </c>
      <c r="I306" s="459">
        <v>1.1</v>
      </c>
      <c r="J306" s="459">
        <v>0.4</v>
      </c>
      <c r="K306" s="459">
        <v>1.4</v>
      </c>
      <c r="L306" s="459">
        <v>11.0</v>
      </c>
      <c r="M306" s="459">
        <v>3.9</v>
      </c>
      <c r="N306" s="463">
        <v>-0.2</v>
      </c>
      <c r="O306" t="str">
        <f>IFERROR(__xludf.DUMMYFUNCTION("regexextract(B306,""[\w]* [\w]*"")"),"Trey Burke")</f>
        <v>Trey Burke</v>
      </c>
      <c r="P306" t="str">
        <f t="shared" si="2"/>
        <v>Trey Burke</v>
      </c>
      <c r="Q306" t="str">
        <f t="shared" si="3"/>
        <v>Trey Burke</v>
      </c>
      <c r="R306" t="s">
        <v>44</v>
      </c>
      <c r="S306" s="411" t="s">
        <v>71</v>
      </c>
      <c r="T306" t="s">
        <v>2631</v>
      </c>
      <c r="U306" t="s">
        <v>2631</v>
      </c>
      <c r="V306" t="s">
        <v>2631</v>
      </c>
      <c r="W306" t="str">
        <f t="shared" si="1"/>
        <v>PGSG</v>
      </c>
    </row>
    <row r="307">
      <c r="A307" s="444">
        <v>295.0</v>
      </c>
      <c r="B307" s="445" t="s">
        <v>2927</v>
      </c>
      <c r="C307" s="446"/>
      <c r="D307" s="446"/>
      <c r="E307" s="458">
        <v>1.3</v>
      </c>
      <c r="F307" s="458">
        <v>2.1</v>
      </c>
      <c r="G307" s="458">
        <v>1.8</v>
      </c>
      <c r="H307" s="458">
        <v>1.6</v>
      </c>
      <c r="I307" s="458">
        <v>0.5</v>
      </c>
      <c r="J307" s="458">
        <v>0.2</v>
      </c>
      <c r="K307" s="458">
        <v>0.7</v>
      </c>
      <c r="L307" s="458">
        <v>9.4</v>
      </c>
      <c r="M307" s="458">
        <v>0.6</v>
      </c>
      <c r="N307" s="462">
        <v>-0.1</v>
      </c>
      <c r="O307" t="str">
        <f>IFERROR(__xludf.DUMMYFUNCTION("regexextract(B307,""[\w]* [\w]*"")"),"Zach CollinsO")</f>
        <v>Zach CollinsO</v>
      </c>
      <c r="P307" t="str">
        <f t="shared" si="2"/>
        <v>Zach CollinsO</v>
      </c>
      <c r="Q307" t="str">
        <f t="shared" si="3"/>
        <v>Zach Collins</v>
      </c>
      <c r="R307" t="s">
        <v>2631</v>
      </c>
      <c r="S307" s="411" t="s">
        <v>2631</v>
      </c>
      <c r="T307" t="s">
        <v>2631</v>
      </c>
      <c r="U307" t="s">
        <v>2631</v>
      </c>
      <c r="V307" t="s">
        <v>34</v>
      </c>
      <c r="W307" t="str">
        <f t="shared" si="1"/>
        <v>C</v>
      </c>
    </row>
    <row r="308">
      <c r="A308" s="447">
        <v>296.0</v>
      </c>
      <c r="B308" s="448" t="s">
        <v>2928</v>
      </c>
      <c r="C308" s="449"/>
      <c r="D308" s="449"/>
      <c r="E308" s="459">
        <v>0.9</v>
      </c>
      <c r="F308" s="459">
        <v>1.1</v>
      </c>
      <c r="G308" s="459">
        <v>5.3</v>
      </c>
      <c r="H308" s="459">
        <v>1.3</v>
      </c>
      <c r="I308" s="459">
        <v>0.7</v>
      </c>
      <c r="J308" s="459">
        <v>0.3</v>
      </c>
      <c r="K308" s="459">
        <v>0.7</v>
      </c>
      <c r="L308" s="459">
        <v>7.0</v>
      </c>
      <c r="M308" s="459">
        <v>1.1</v>
      </c>
      <c r="N308" s="463">
        <v>-0.1</v>
      </c>
      <c r="O308" t="str">
        <f>IFERROR(__xludf.DUMMYFUNCTION("regexextract(B308,""[\w]* [\w]*"")"),"Edmond SumnerO")</f>
        <v>Edmond SumnerO</v>
      </c>
      <c r="P308" t="str">
        <f t="shared" si="2"/>
        <v>Edmond SumnerO</v>
      </c>
      <c r="Q308" t="str">
        <f t="shared" si="3"/>
        <v>Edmond Sumner</v>
      </c>
      <c r="R308" t="s">
        <v>2631</v>
      </c>
      <c r="S308" s="411" t="s">
        <v>71</v>
      </c>
      <c r="T308" t="s">
        <v>2631</v>
      </c>
      <c r="U308" t="s">
        <v>2631</v>
      </c>
      <c r="V308" t="s">
        <v>2631</v>
      </c>
      <c r="W308" t="str">
        <f t="shared" si="1"/>
        <v>SG</v>
      </c>
    </row>
    <row r="309">
      <c r="A309" s="444">
        <v>297.0</v>
      </c>
      <c r="B309" s="445" t="s">
        <v>2929</v>
      </c>
      <c r="C309" s="446"/>
      <c r="D309" s="446"/>
      <c r="E309" s="458">
        <v>2.1</v>
      </c>
      <c r="F309" s="458">
        <v>0.1</v>
      </c>
      <c r="G309" s="458">
        <v>6.2</v>
      </c>
      <c r="H309" s="458">
        <v>1.0</v>
      </c>
      <c r="I309" s="458">
        <v>0.4</v>
      </c>
      <c r="J309" s="458">
        <v>0.4</v>
      </c>
      <c r="K309" s="458">
        <v>0.8</v>
      </c>
      <c r="L309" s="458">
        <v>7.3</v>
      </c>
      <c r="M309" s="458">
        <v>0.6</v>
      </c>
      <c r="N309" s="462">
        <v>-0.1</v>
      </c>
      <c r="O309" t="str">
        <f>IFERROR(__xludf.DUMMYFUNCTION("regexextract(B309,""[\w]* [\w]*"")"),"Georges Niang")</f>
        <v>Georges Niang</v>
      </c>
      <c r="P309" t="str">
        <f t="shared" si="2"/>
        <v>Georges Niang</v>
      </c>
      <c r="Q309" t="str">
        <f t="shared" si="3"/>
        <v>Georges Niang</v>
      </c>
      <c r="R309" t="s">
        <v>2631</v>
      </c>
      <c r="S309" s="411" t="s">
        <v>2631</v>
      </c>
      <c r="T309" t="s">
        <v>2631</v>
      </c>
      <c r="U309" t="s">
        <v>73</v>
      </c>
      <c r="V309" t="s">
        <v>2631</v>
      </c>
      <c r="W309" t="str">
        <f t="shared" si="1"/>
        <v>PF</v>
      </c>
    </row>
    <row r="310">
      <c r="A310" s="447">
        <v>298.0</v>
      </c>
      <c r="B310" s="448" t="s">
        <v>2930</v>
      </c>
      <c r="C310" s="449"/>
      <c r="D310" s="449"/>
      <c r="E310" s="459">
        <v>1.5</v>
      </c>
      <c r="F310" s="459">
        <v>0.6</v>
      </c>
      <c r="G310" s="459">
        <v>4.2</v>
      </c>
      <c r="H310" s="459">
        <v>1.1</v>
      </c>
      <c r="I310" s="459">
        <v>0.7</v>
      </c>
      <c r="J310" s="459">
        <v>0.6</v>
      </c>
      <c r="K310" s="459">
        <v>0.8</v>
      </c>
      <c r="L310" s="459">
        <v>6.5</v>
      </c>
      <c r="M310" s="459">
        <v>0.2</v>
      </c>
      <c r="N310" s="459">
        <v>0.0</v>
      </c>
      <c r="O310" t="str">
        <f>IFERROR(__xludf.DUMMYFUNCTION("regexextract(B310,""[\w]* [\w]*"")"),"Aron Baynes")</f>
        <v>Aron Baynes</v>
      </c>
      <c r="P310" t="str">
        <f t="shared" si="2"/>
        <v>Aron Baynes</v>
      </c>
      <c r="Q310" t="str">
        <f t="shared" si="3"/>
        <v>Aron Baynes</v>
      </c>
      <c r="R310" t="s">
        <v>2631</v>
      </c>
      <c r="S310" s="411" t="s">
        <v>2631</v>
      </c>
      <c r="T310" t="s">
        <v>2631</v>
      </c>
      <c r="U310" t="s">
        <v>2631</v>
      </c>
      <c r="V310" t="s">
        <v>34</v>
      </c>
      <c r="W310" t="str">
        <f t="shared" si="1"/>
        <v>C</v>
      </c>
    </row>
    <row r="311">
      <c r="A311" s="444">
        <v>299.0</v>
      </c>
      <c r="B311" s="445" t="s">
        <v>2931</v>
      </c>
      <c r="C311" s="446"/>
      <c r="D311" s="446"/>
      <c r="E311" s="458">
        <v>1.0</v>
      </c>
      <c r="F311" s="458">
        <v>1.3</v>
      </c>
      <c r="G311" s="458">
        <v>2.7</v>
      </c>
      <c r="H311" s="458">
        <v>2.0</v>
      </c>
      <c r="I311" s="458">
        <v>0.7</v>
      </c>
      <c r="J311" s="458">
        <v>0.4</v>
      </c>
      <c r="K311" s="458">
        <v>0.9</v>
      </c>
      <c r="L311" s="458">
        <v>7.5</v>
      </c>
      <c r="M311" s="458">
        <v>0.2</v>
      </c>
      <c r="N311" s="458">
        <v>0.0</v>
      </c>
      <c r="O311" t="str">
        <f>IFERROR(__xludf.DUMMYFUNCTION("regexextract(B311,""[\w]* [\w]*"")"),"Brad Wanamaker")</f>
        <v>Brad Wanamaker</v>
      </c>
      <c r="P311" t="str">
        <f t="shared" si="2"/>
        <v>Brad Wanamaker</v>
      </c>
      <c r="Q311" t="str">
        <f t="shared" si="3"/>
        <v>Brad Wanamaker</v>
      </c>
      <c r="R311" t="s">
        <v>44</v>
      </c>
      <c r="S311" s="411" t="s">
        <v>2631</v>
      </c>
      <c r="T311" t="s">
        <v>2631</v>
      </c>
      <c r="U311" t="s">
        <v>2631</v>
      </c>
      <c r="V311" t="s">
        <v>34</v>
      </c>
      <c r="W311" t="str">
        <f t="shared" si="1"/>
        <v>PGC</v>
      </c>
    </row>
    <row r="312">
      <c r="A312" s="447">
        <v>300.0</v>
      </c>
      <c r="B312" s="448" t="s">
        <v>2932</v>
      </c>
      <c r="C312" s="449"/>
      <c r="D312" s="449"/>
      <c r="E312" s="459">
        <v>2.7</v>
      </c>
      <c r="F312" s="459">
        <v>2.3</v>
      </c>
      <c r="G312" s="459">
        <v>1.7</v>
      </c>
      <c r="H312" s="459">
        <v>1.7</v>
      </c>
      <c r="I312" s="459">
        <v>0.5</v>
      </c>
      <c r="J312" s="459">
        <v>0.3</v>
      </c>
      <c r="K312" s="459">
        <v>1.2</v>
      </c>
      <c r="L312" s="459">
        <v>13.4</v>
      </c>
      <c r="M312" s="459">
        <v>5.2</v>
      </c>
      <c r="N312" s="463">
        <v>-1.5</v>
      </c>
      <c r="O312" t="str">
        <f>IFERROR(__xludf.DUMMYFUNCTION("regexextract(B312,""[\w]* [\w]*"")"),"Robin Lopez")</f>
        <v>Robin Lopez</v>
      </c>
      <c r="P312" t="str">
        <f t="shared" si="2"/>
        <v>Robin Lopez</v>
      </c>
      <c r="Q312" t="str">
        <f t="shared" si="3"/>
        <v>Robin Lopez</v>
      </c>
      <c r="R312" t="s">
        <v>2631</v>
      </c>
      <c r="S312" s="411" t="s">
        <v>2631</v>
      </c>
      <c r="T312" t="s">
        <v>2631</v>
      </c>
      <c r="U312" t="s">
        <v>2631</v>
      </c>
      <c r="V312" t="s">
        <v>34</v>
      </c>
      <c r="W312" t="str">
        <f t="shared" si="1"/>
        <v>C</v>
      </c>
    </row>
    <row r="313">
      <c r="A313" s="454" t="s">
        <v>2933</v>
      </c>
      <c r="M313" s="454" t="s">
        <v>2731</v>
      </c>
      <c r="O313" t="str">
        <f>IFERROR(__xludf.DUMMYFUNCTION("regexextract(B313,""[\w]* [\w]*"")"),"#N/A")</f>
        <v>#N/A</v>
      </c>
      <c r="P313" t="str">
        <f t="shared" si="2"/>
        <v>#N/A</v>
      </c>
      <c r="Q313" t="str">
        <f t="shared" si="3"/>
        <v>#N/A</v>
      </c>
      <c r="R313" t="s">
        <v>2631</v>
      </c>
      <c r="S313" s="411" t="s">
        <v>2631</v>
      </c>
      <c r="T313" t="s">
        <v>2631</v>
      </c>
      <c r="U313" t="s">
        <v>2631</v>
      </c>
      <c r="V313" t="s">
        <v>2631</v>
      </c>
      <c r="W313" t="str">
        <f t="shared" si="1"/>
        <v/>
      </c>
    </row>
    <row r="314">
      <c r="A314" s="455" t="s">
        <v>159</v>
      </c>
      <c r="B314" s="455" t="s">
        <v>1077</v>
      </c>
      <c r="C314" s="455" t="s">
        <v>463</v>
      </c>
      <c r="D314" s="455" t="s">
        <v>1078</v>
      </c>
      <c r="E314" s="455" t="s">
        <v>464</v>
      </c>
      <c r="F314" s="456">
        <v>0.625</v>
      </c>
      <c r="G314" s="455" t="s">
        <v>53</v>
      </c>
      <c r="H314" s="455" t="s">
        <v>14</v>
      </c>
      <c r="I314" s="455" t="s">
        <v>15</v>
      </c>
      <c r="J314" s="455" t="s">
        <v>16</v>
      </c>
      <c r="K314" s="455" t="s">
        <v>17</v>
      </c>
      <c r="L314" s="455" t="s">
        <v>11</v>
      </c>
      <c r="M314" s="455" t="s">
        <v>2732</v>
      </c>
      <c r="N314" s="457" t="str">
        <f>+/-</f>
        <v>#ERROR!</v>
      </c>
      <c r="O314" t="str">
        <f>IFERROR(__xludf.DUMMYFUNCTION("regexextract(B314,""[\w]* [\w]*"")"),"#N/A")</f>
        <v>#N/A</v>
      </c>
      <c r="P314" t="str">
        <f t="shared" si="2"/>
        <v>#N/A</v>
      </c>
      <c r="Q314" t="str">
        <f t="shared" si="3"/>
        <v>#N/A</v>
      </c>
      <c r="R314" t="s">
        <v>2631</v>
      </c>
      <c r="S314" s="411" t="s">
        <v>2631</v>
      </c>
      <c r="T314" t="s">
        <v>2631</v>
      </c>
      <c r="U314" t="s">
        <v>2631</v>
      </c>
      <c r="V314" t="s">
        <v>2631</v>
      </c>
      <c r="W314" t="str">
        <f t="shared" si="1"/>
        <v/>
      </c>
    </row>
    <row r="315">
      <c r="A315" s="458">
        <v>19.2</v>
      </c>
      <c r="B315" s="458">
        <v>2.5</v>
      </c>
      <c r="C315" s="458">
        <v>6.1</v>
      </c>
      <c r="D315" s="458">
        <v>1.1</v>
      </c>
      <c r="E315" s="458">
        <v>1.5</v>
      </c>
      <c r="F315" s="458">
        <v>1.0</v>
      </c>
      <c r="G315" s="458">
        <v>3.3</v>
      </c>
      <c r="H315" s="458">
        <v>1.4</v>
      </c>
      <c r="I315" s="458">
        <v>0.9</v>
      </c>
      <c r="J315" s="458">
        <v>0.5</v>
      </c>
      <c r="K315" s="458">
        <v>1.2</v>
      </c>
      <c r="L315" s="458">
        <v>7.2</v>
      </c>
      <c r="M315" s="458">
        <v>1.1</v>
      </c>
      <c r="N315" s="462">
        <v>-0.2</v>
      </c>
      <c r="O315" t="str">
        <f>IFERROR(__xludf.DUMMYFUNCTION("regexextract(B315,""[\w]* [\w]*"")"),"#VALUE!")</f>
        <v>#VALUE!</v>
      </c>
      <c r="P315" t="str">
        <f t="shared" si="2"/>
        <v>#VALUE!</v>
      </c>
      <c r="Q315" t="str">
        <f t="shared" si="3"/>
        <v>#VALUE!</v>
      </c>
      <c r="R315" t="s">
        <v>2631</v>
      </c>
      <c r="S315" s="411" t="s">
        <v>2631</v>
      </c>
      <c r="T315" t="s">
        <v>2631</v>
      </c>
      <c r="U315" t="s">
        <v>2631</v>
      </c>
      <c r="V315" t="s">
        <v>2631</v>
      </c>
      <c r="W315" t="str">
        <f t="shared" si="1"/>
        <v/>
      </c>
    </row>
    <row r="316">
      <c r="A316" s="459">
        <v>20.0</v>
      </c>
      <c r="B316" s="459">
        <v>2.2</v>
      </c>
      <c r="C316" s="459">
        <v>5.1</v>
      </c>
      <c r="D316" s="459">
        <v>1.0</v>
      </c>
      <c r="E316" s="459">
        <v>1.4</v>
      </c>
      <c r="F316" s="459">
        <v>0.9</v>
      </c>
      <c r="G316" s="459">
        <v>2.6</v>
      </c>
      <c r="H316" s="459">
        <v>2.5</v>
      </c>
      <c r="I316" s="459">
        <v>1.1</v>
      </c>
      <c r="J316" s="459">
        <v>0.3</v>
      </c>
      <c r="K316" s="459">
        <v>1.2</v>
      </c>
      <c r="L316" s="459">
        <v>6.3</v>
      </c>
      <c r="M316" s="459">
        <v>5.8</v>
      </c>
      <c r="N316" s="463">
        <v>-0.2</v>
      </c>
      <c r="O316" t="str">
        <f>IFERROR(__xludf.DUMMYFUNCTION("regexextract(B316,""[\w]* [\w]*"")"),"#VALUE!")</f>
        <v>#VALUE!</v>
      </c>
      <c r="P316" t="str">
        <f t="shared" si="2"/>
        <v>#VALUE!</v>
      </c>
      <c r="Q316" t="str">
        <f t="shared" si="3"/>
        <v>#VALUE!</v>
      </c>
      <c r="R316" t="s">
        <v>2631</v>
      </c>
      <c r="S316" s="411" t="s">
        <v>2631</v>
      </c>
      <c r="T316" t="s">
        <v>2631</v>
      </c>
      <c r="U316" t="s">
        <v>2631</v>
      </c>
      <c r="V316" t="s">
        <v>2631</v>
      </c>
      <c r="W316" t="str">
        <f t="shared" si="1"/>
        <v/>
      </c>
    </row>
    <row r="317">
      <c r="A317" s="458">
        <v>21.4</v>
      </c>
      <c r="B317" s="458">
        <v>3.1</v>
      </c>
      <c r="C317" s="458">
        <v>7.3</v>
      </c>
      <c r="D317" s="458">
        <v>1.4</v>
      </c>
      <c r="E317" s="458">
        <v>1.6</v>
      </c>
      <c r="F317" s="458">
        <v>1.7</v>
      </c>
      <c r="G317" s="458">
        <v>2.6</v>
      </c>
      <c r="H317" s="458">
        <v>1.8</v>
      </c>
      <c r="I317" s="458">
        <v>0.7</v>
      </c>
      <c r="J317" s="458">
        <v>0.1</v>
      </c>
      <c r="K317" s="458">
        <v>0.9</v>
      </c>
      <c r="L317" s="458">
        <v>9.2</v>
      </c>
      <c r="M317" s="458">
        <v>0.9</v>
      </c>
      <c r="N317" s="462">
        <v>-0.1</v>
      </c>
      <c r="O317" t="str">
        <f>IFERROR(__xludf.DUMMYFUNCTION("regexextract(B317,""[\w]* [\w]*"")"),"#VALUE!")</f>
        <v>#VALUE!</v>
      </c>
      <c r="P317" t="str">
        <f t="shared" si="2"/>
        <v>#VALUE!</v>
      </c>
      <c r="Q317" t="str">
        <f t="shared" si="3"/>
        <v>#VALUE!</v>
      </c>
      <c r="R317" t="s">
        <v>2631</v>
      </c>
      <c r="S317" s="411" t="s">
        <v>2631</v>
      </c>
      <c r="T317" t="s">
        <v>2631</v>
      </c>
      <c r="U317" t="s">
        <v>2631</v>
      </c>
      <c r="V317" t="s">
        <v>2631</v>
      </c>
      <c r="W317" t="str">
        <f t="shared" si="1"/>
        <v/>
      </c>
    </row>
    <row r="318">
      <c r="A318" s="459">
        <v>18.2</v>
      </c>
      <c r="B318" s="459">
        <v>3.1</v>
      </c>
      <c r="C318" s="459">
        <v>7.1</v>
      </c>
      <c r="D318" s="459">
        <v>0.8</v>
      </c>
      <c r="E318" s="459">
        <v>1.2</v>
      </c>
      <c r="F318" s="459">
        <v>0.3</v>
      </c>
      <c r="G318" s="459">
        <v>2.8</v>
      </c>
      <c r="H318" s="459">
        <v>3.4</v>
      </c>
      <c r="I318" s="459">
        <v>0.7</v>
      </c>
      <c r="J318" s="459">
        <v>0.2</v>
      </c>
      <c r="K318" s="459">
        <v>1.3</v>
      </c>
      <c r="L318" s="459">
        <v>7.3</v>
      </c>
      <c r="M318" s="459">
        <v>0.6</v>
      </c>
      <c r="N318" s="459">
        <v>0.0</v>
      </c>
      <c r="O318" t="str">
        <f>IFERROR(__xludf.DUMMYFUNCTION("regexextract(B318,""[\w]* [\w]*"")"),"#VALUE!")</f>
        <v>#VALUE!</v>
      </c>
      <c r="P318" t="str">
        <f t="shared" si="2"/>
        <v>#VALUE!</v>
      </c>
      <c r="Q318" t="str">
        <f t="shared" si="3"/>
        <v>#VALUE!</v>
      </c>
      <c r="R318" t="s">
        <v>2631</v>
      </c>
      <c r="S318" s="411" t="s">
        <v>2631</v>
      </c>
      <c r="T318" t="s">
        <v>2631</v>
      </c>
      <c r="U318" t="s">
        <v>2631</v>
      </c>
      <c r="V318" t="s">
        <v>2631</v>
      </c>
      <c r="W318" t="str">
        <f t="shared" si="1"/>
        <v/>
      </c>
    </row>
    <row r="319">
      <c r="A319" s="458">
        <v>17.0</v>
      </c>
      <c r="B319" s="458">
        <v>2.9</v>
      </c>
      <c r="C319" s="458">
        <v>6.3</v>
      </c>
      <c r="D319" s="458">
        <v>1.2</v>
      </c>
      <c r="E319" s="458">
        <v>1.8</v>
      </c>
      <c r="F319" s="458">
        <v>0.9</v>
      </c>
      <c r="G319" s="458">
        <v>4.1</v>
      </c>
      <c r="H319" s="458">
        <v>1.7</v>
      </c>
      <c r="I319" s="458">
        <v>0.3</v>
      </c>
      <c r="J319" s="458">
        <v>0.3</v>
      </c>
      <c r="K319" s="458">
        <v>0.7</v>
      </c>
      <c r="L319" s="458">
        <v>7.9</v>
      </c>
      <c r="M319" s="458">
        <v>0.2</v>
      </c>
      <c r="N319" s="458">
        <v>0.0</v>
      </c>
      <c r="O319" t="str">
        <f>IFERROR(__xludf.DUMMYFUNCTION("regexextract(B319,""[\w]* [\w]*"")"),"#VALUE!")</f>
        <v>#VALUE!</v>
      </c>
      <c r="P319" t="str">
        <f t="shared" si="2"/>
        <v>#VALUE!</v>
      </c>
      <c r="Q319" t="str">
        <f t="shared" si="3"/>
        <v>#VALUE!</v>
      </c>
      <c r="R319" t="s">
        <v>2631</v>
      </c>
      <c r="S319" s="411" t="s">
        <v>2631</v>
      </c>
      <c r="T319" t="s">
        <v>2631</v>
      </c>
      <c r="U319" t="s">
        <v>2631</v>
      </c>
      <c r="V319" t="s">
        <v>2631</v>
      </c>
      <c r="W319" t="str">
        <f t="shared" si="1"/>
        <v/>
      </c>
    </row>
    <row r="320">
      <c r="A320" s="459">
        <v>23.7</v>
      </c>
      <c r="B320" s="459">
        <v>3.1</v>
      </c>
      <c r="C320" s="459">
        <v>7.6</v>
      </c>
      <c r="D320" s="459">
        <v>1.3</v>
      </c>
      <c r="E320" s="459">
        <v>1.6</v>
      </c>
      <c r="F320" s="459">
        <v>1.0</v>
      </c>
      <c r="G320" s="459">
        <v>2.0</v>
      </c>
      <c r="H320" s="459">
        <v>1.7</v>
      </c>
      <c r="I320" s="459">
        <v>0.8</v>
      </c>
      <c r="J320" s="459">
        <v>0.2</v>
      </c>
      <c r="K320" s="459">
        <v>0.8</v>
      </c>
      <c r="L320" s="459">
        <v>8.6</v>
      </c>
      <c r="M320" s="459">
        <v>0.5</v>
      </c>
      <c r="N320" s="459">
        <v>0.0</v>
      </c>
      <c r="O320" t="str">
        <f>IFERROR(__xludf.DUMMYFUNCTION("regexextract(B320,""[\w]* [\w]*"")"),"#VALUE!")</f>
        <v>#VALUE!</v>
      </c>
      <c r="P320" t="str">
        <f t="shared" si="2"/>
        <v>#VALUE!</v>
      </c>
      <c r="Q320" t="str">
        <f t="shared" si="3"/>
        <v>#VALUE!</v>
      </c>
      <c r="R320" t="s">
        <v>2631</v>
      </c>
      <c r="S320" s="411" t="s">
        <v>2631</v>
      </c>
      <c r="T320" t="s">
        <v>2631</v>
      </c>
      <c r="U320" t="s">
        <v>2631</v>
      </c>
      <c r="V320" t="s">
        <v>2631</v>
      </c>
      <c r="W320" t="str">
        <f t="shared" si="1"/>
        <v/>
      </c>
    </row>
    <row r="321">
      <c r="A321" s="458">
        <v>19.5</v>
      </c>
      <c r="B321" s="458">
        <v>3.1</v>
      </c>
      <c r="C321" s="458">
        <v>7.5</v>
      </c>
      <c r="D321" s="458">
        <v>1.0</v>
      </c>
      <c r="E321" s="458">
        <v>1.3</v>
      </c>
      <c r="F321" s="458">
        <v>1.8</v>
      </c>
      <c r="G321" s="458">
        <v>2.2</v>
      </c>
      <c r="H321" s="458">
        <v>1.3</v>
      </c>
      <c r="I321" s="458">
        <v>0.7</v>
      </c>
      <c r="J321" s="458">
        <v>0.2</v>
      </c>
      <c r="K321" s="458">
        <v>0.8</v>
      </c>
      <c r="L321" s="458">
        <v>8.9</v>
      </c>
      <c r="M321" s="458">
        <v>0.5</v>
      </c>
      <c r="N321" s="458">
        <v>0.0</v>
      </c>
      <c r="O321" t="str">
        <f>IFERROR(__xludf.DUMMYFUNCTION("regexextract(B321,""[\w]* [\w]*"")"),"#VALUE!")</f>
        <v>#VALUE!</v>
      </c>
      <c r="P321" t="str">
        <f t="shared" si="2"/>
        <v>#VALUE!</v>
      </c>
      <c r="Q321" t="str">
        <f t="shared" si="3"/>
        <v>#VALUE!</v>
      </c>
      <c r="R321" t="s">
        <v>2631</v>
      </c>
      <c r="S321" s="411" t="s">
        <v>2631</v>
      </c>
      <c r="T321" t="s">
        <v>2631</v>
      </c>
      <c r="U321" t="s">
        <v>2631</v>
      </c>
      <c r="V321" t="s">
        <v>2631</v>
      </c>
      <c r="W321" t="str">
        <f t="shared" si="1"/>
        <v/>
      </c>
    </row>
    <row r="322">
      <c r="A322" s="459">
        <v>23.6</v>
      </c>
      <c r="B322" s="459">
        <v>2.9</v>
      </c>
      <c r="C322" s="459">
        <v>6.9</v>
      </c>
      <c r="D322" s="459">
        <v>0.6</v>
      </c>
      <c r="E322" s="459">
        <v>0.9</v>
      </c>
      <c r="F322" s="459">
        <v>1.5</v>
      </c>
      <c r="G322" s="459">
        <v>2.3</v>
      </c>
      <c r="H322" s="459">
        <v>2.2</v>
      </c>
      <c r="I322" s="459">
        <v>0.8</v>
      </c>
      <c r="J322" s="459">
        <v>0.1</v>
      </c>
      <c r="K322" s="459">
        <v>1.0</v>
      </c>
      <c r="L322" s="459">
        <v>7.9</v>
      </c>
      <c r="M322" s="459">
        <v>0.5</v>
      </c>
      <c r="N322" s="463">
        <v>-0.1</v>
      </c>
      <c r="O322" t="str">
        <f>IFERROR(__xludf.DUMMYFUNCTION("regexextract(B322,""[\w]* [\w]*"")"),"#VALUE!")</f>
        <v>#VALUE!</v>
      </c>
      <c r="P322" t="str">
        <f t="shared" si="2"/>
        <v>#VALUE!</v>
      </c>
      <c r="Q322" t="str">
        <f t="shared" si="3"/>
        <v>#VALUE!</v>
      </c>
      <c r="R322" t="s">
        <v>2631</v>
      </c>
      <c r="S322" s="411" t="s">
        <v>2631</v>
      </c>
      <c r="T322" t="s">
        <v>2631</v>
      </c>
      <c r="U322" t="s">
        <v>2631</v>
      </c>
      <c r="V322" t="s">
        <v>2631</v>
      </c>
      <c r="W322" t="str">
        <f t="shared" si="1"/>
        <v/>
      </c>
    </row>
    <row r="323">
      <c r="A323" s="458">
        <v>34.4</v>
      </c>
      <c r="B323" s="458">
        <v>7.5</v>
      </c>
      <c r="C323" s="458">
        <v>16.1</v>
      </c>
      <c r="D323" s="458">
        <v>2.8</v>
      </c>
      <c r="E323" s="458">
        <v>3.2</v>
      </c>
      <c r="F323" s="458">
        <v>2.4</v>
      </c>
      <c r="G323" s="458">
        <v>4.0</v>
      </c>
      <c r="H323" s="458">
        <v>4.8</v>
      </c>
      <c r="I323" s="458">
        <v>1.2</v>
      </c>
      <c r="J323" s="458">
        <v>0.3</v>
      </c>
      <c r="K323" s="458">
        <v>2.2</v>
      </c>
      <c r="L323" s="458">
        <v>20.2</v>
      </c>
      <c r="M323" s="458">
        <v>67.6</v>
      </c>
      <c r="N323" s="462">
        <v>-13.2</v>
      </c>
      <c r="O323" t="str">
        <f>IFERROR(__xludf.DUMMYFUNCTION("regexextract(B323,""[\w]* [\w]*"")"),"#VALUE!")</f>
        <v>#VALUE!</v>
      </c>
      <c r="P323" t="str">
        <f t="shared" si="2"/>
        <v>#VALUE!</v>
      </c>
      <c r="Q323" t="str">
        <f t="shared" si="3"/>
        <v>#VALUE!</v>
      </c>
      <c r="R323" t="s">
        <v>2631</v>
      </c>
      <c r="S323" s="411" t="s">
        <v>2631</v>
      </c>
      <c r="T323" t="s">
        <v>2631</v>
      </c>
      <c r="U323" t="s">
        <v>2631</v>
      </c>
      <c r="V323" t="s">
        <v>2631</v>
      </c>
      <c r="W323" t="str">
        <f t="shared" si="1"/>
        <v/>
      </c>
    </row>
    <row r="324">
      <c r="A324" s="459">
        <v>21.4</v>
      </c>
      <c r="B324" s="459">
        <v>2.4</v>
      </c>
      <c r="C324" s="459">
        <v>5.8</v>
      </c>
      <c r="D324" s="459">
        <v>1.0</v>
      </c>
      <c r="E324" s="459">
        <v>1.2</v>
      </c>
      <c r="F324" s="459">
        <v>1.2</v>
      </c>
      <c r="G324" s="459">
        <v>3.5</v>
      </c>
      <c r="H324" s="459">
        <v>1.6</v>
      </c>
      <c r="I324" s="459">
        <v>0.9</v>
      </c>
      <c r="J324" s="459">
        <v>0.3</v>
      </c>
      <c r="K324" s="459">
        <v>0.7</v>
      </c>
      <c r="L324" s="459">
        <v>7.0</v>
      </c>
      <c r="M324" s="459">
        <v>2.7</v>
      </c>
      <c r="N324" s="463">
        <v>-0.8</v>
      </c>
      <c r="O324" t="str">
        <f>IFERROR(__xludf.DUMMYFUNCTION("regexextract(B324,""[\w]* [\w]*"")"),"#VALUE!")</f>
        <v>#VALUE!</v>
      </c>
      <c r="P324" t="str">
        <f t="shared" si="2"/>
        <v>#VALUE!</v>
      </c>
      <c r="Q324" t="str">
        <f t="shared" si="3"/>
        <v>#VALUE!</v>
      </c>
      <c r="R324" t="s">
        <v>2631</v>
      </c>
      <c r="S324" s="411" t="s">
        <v>2631</v>
      </c>
      <c r="T324" t="s">
        <v>2631</v>
      </c>
      <c r="U324" t="s">
        <v>2631</v>
      </c>
      <c r="V324" t="s">
        <v>2631</v>
      </c>
      <c r="W324" t="str">
        <f t="shared" si="1"/>
        <v/>
      </c>
    </row>
    <row r="325">
      <c r="A325" s="458">
        <v>20.6</v>
      </c>
      <c r="B325" s="458">
        <v>3.3</v>
      </c>
      <c r="C325" s="458">
        <v>7.2</v>
      </c>
      <c r="D325" s="458">
        <v>0.8</v>
      </c>
      <c r="E325" s="458">
        <v>0.9</v>
      </c>
      <c r="F325" s="458">
        <v>1.7</v>
      </c>
      <c r="G325" s="458">
        <v>2.6</v>
      </c>
      <c r="H325" s="458">
        <v>1.9</v>
      </c>
      <c r="I325" s="458">
        <v>0.3</v>
      </c>
      <c r="J325" s="458">
        <v>0.1</v>
      </c>
      <c r="K325" s="458">
        <v>0.8</v>
      </c>
      <c r="L325" s="458">
        <v>9.1</v>
      </c>
      <c r="M325" s="458">
        <v>0.5</v>
      </c>
      <c r="N325" s="458">
        <v>0.0</v>
      </c>
      <c r="O325" t="str">
        <f>IFERROR(__xludf.DUMMYFUNCTION("regexextract(B325,""[\w]* [\w]*"")"),"#VALUE!")</f>
        <v>#VALUE!</v>
      </c>
      <c r="P325" t="str">
        <f t="shared" si="2"/>
        <v>#VALUE!</v>
      </c>
      <c r="Q325" t="str">
        <f t="shared" si="3"/>
        <v>#VALUE!</v>
      </c>
      <c r="R325" t="s">
        <v>2631</v>
      </c>
      <c r="S325" s="411" t="s">
        <v>2631</v>
      </c>
      <c r="T325" t="s">
        <v>2631</v>
      </c>
      <c r="U325" t="s">
        <v>2631</v>
      </c>
      <c r="V325" t="s">
        <v>2631</v>
      </c>
      <c r="W325" t="str">
        <f t="shared" si="1"/>
        <v/>
      </c>
    </row>
    <row r="326">
      <c r="A326" s="459">
        <v>21.6</v>
      </c>
      <c r="B326" s="459">
        <v>3.0</v>
      </c>
      <c r="C326" s="459">
        <v>7.2</v>
      </c>
      <c r="D326" s="459">
        <v>0.6</v>
      </c>
      <c r="E326" s="459">
        <v>0.7</v>
      </c>
      <c r="F326" s="459">
        <v>2.4</v>
      </c>
      <c r="G326" s="459">
        <v>1.9</v>
      </c>
      <c r="H326" s="459">
        <v>1.4</v>
      </c>
      <c r="I326" s="459">
        <v>0.5</v>
      </c>
      <c r="J326" s="459">
        <v>0.2</v>
      </c>
      <c r="K326" s="459">
        <v>0.7</v>
      </c>
      <c r="L326" s="459">
        <v>9.0</v>
      </c>
      <c r="M326" s="459">
        <v>0.3</v>
      </c>
      <c r="N326" s="460">
        <f>+0.1</f>
        <v>0.1</v>
      </c>
      <c r="O326" t="str">
        <f>IFERROR(__xludf.DUMMYFUNCTION("regexextract(B326,""[\w]* [\w]*"")"),"#VALUE!")</f>
        <v>#VALUE!</v>
      </c>
      <c r="P326" t="str">
        <f t="shared" si="2"/>
        <v>#VALUE!</v>
      </c>
      <c r="Q326" t="str">
        <f t="shared" si="3"/>
        <v>#VALUE!</v>
      </c>
      <c r="R326" t="s">
        <v>2631</v>
      </c>
      <c r="S326" s="411" t="s">
        <v>2631</v>
      </c>
      <c r="T326" t="s">
        <v>2631</v>
      </c>
      <c r="U326" t="s">
        <v>2631</v>
      </c>
      <c r="V326" t="s">
        <v>2631</v>
      </c>
      <c r="W326" t="str">
        <f t="shared" si="1"/>
        <v/>
      </c>
    </row>
    <row r="327">
      <c r="A327" s="458">
        <v>18.2</v>
      </c>
      <c r="B327" s="458">
        <v>2.7</v>
      </c>
      <c r="C327" s="458">
        <v>5.4</v>
      </c>
      <c r="D327" s="458">
        <v>1.0</v>
      </c>
      <c r="E327" s="458">
        <v>1.4</v>
      </c>
      <c r="F327" s="458">
        <v>0.6</v>
      </c>
      <c r="G327" s="458">
        <v>4.1</v>
      </c>
      <c r="H327" s="458">
        <v>0.8</v>
      </c>
      <c r="I327" s="458">
        <v>0.5</v>
      </c>
      <c r="J327" s="458">
        <v>0.7</v>
      </c>
      <c r="K327" s="458">
        <v>0.6</v>
      </c>
      <c r="L327" s="458">
        <v>7.0</v>
      </c>
      <c r="M327" s="458">
        <v>1.9</v>
      </c>
      <c r="N327" s="462">
        <v>-0.3</v>
      </c>
      <c r="O327" t="str">
        <f>IFERROR(__xludf.DUMMYFUNCTION("regexextract(B327,""[\w]* [\w]*"")"),"#VALUE!")</f>
        <v>#VALUE!</v>
      </c>
      <c r="P327" t="str">
        <f t="shared" si="2"/>
        <v>#VALUE!</v>
      </c>
      <c r="Q327" t="str">
        <f t="shared" si="3"/>
        <v>#VALUE!</v>
      </c>
      <c r="R327" t="s">
        <v>2631</v>
      </c>
      <c r="S327" s="411" t="s">
        <v>2631</v>
      </c>
      <c r="T327" t="s">
        <v>2631</v>
      </c>
      <c r="U327" t="s">
        <v>2631</v>
      </c>
      <c r="V327" t="s">
        <v>2631</v>
      </c>
      <c r="W327" t="str">
        <f t="shared" si="1"/>
        <v/>
      </c>
    </row>
    <row r="328">
      <c r="A328" s="459">
        <v>21.1</v>
      </c>
      <c r="B328" s="459">
        <v>3.2</v>
      </c>
      <c r="C328" s="459">
        <v>8.3</v>
      </c>
      <c r="D328" s="459">
        <v>0.9</v>
      </c>
      <c r="E328" s="459">
        <v>1.5</v>
      </c>
      <c r="F328" s="459">
        <v>0.7</v>
      </c>
      <c r="G328" s="459">
        <v>4.3</v>
      </c>
      <c r="H328" s="459">
        <v>2.6</v>
      </c>
      <c r="I328" s="459">
        <v>0.7</v>
      </c>
      <c r="J328" s="459">
        <v>0.3</v>
      </c>
      <c r="K328" s="459">
        <v>1.5</v>
      </c>
      <c r="L328" s="459">
        <v>8.1</v>
      </c>
      <c r="M328" s="459">
        <v>0.3</v>
      </c>
      <c r="N328" s="459">
        <v>0.0</v>
      </c>
      <c r="O328" t="str">
        <f>IFERROR(__xludf.DUMMYFUNCTION("regexextract(B328,""[\w]* [\w]*"")"),"#VALUE!")</f>
        <v>#VALUE!</v>
      </c>
      <c r="P328" t="str">
        <f t="shared" si="2"/>
        <v>#VALUE!</v>
      </c>
      <c r="Q328" t="str">
        <f t="shared" si="3"/>
        <v>#VALUE!</v>
      </c>
      <c r="R328" t="s">
        <v>2631</v>
      </c>
      <c r="S328" s="411" t="s">
        <v>2631</v>
      </c>
      <c r="T328" t="s">
        <v>2631</v>
      </c>
      <c r="U328" t="s">
        <v>2631</v>
      </c>
      <c r="V328" t="s">
        <v>2631</v>
      </c>
      <c r="W328" t="str">
        <f t="shared" si="1"/>
        <v/>
      </c>
    </row>
    <row r="329">
      <c r="A329" s="458">
        <v>13.9</v>
      </c>
      <c r="B329" s="458">
        <v>2.9</v>
      </c>
      <c r="C329" s="458">
        <v>5.0</v>
      </c>
      <c r="D329" s="458">
        <v>0.8</v>
      </c>
      <c r="E329" s="458">
        <v>1.2</v>
      </c>
      <c r="F329" s="458">
        <v>0.1</v>
      </c>
      <c r="G329" s="458">
        <v>4.8</v>
      </c>
      <c r="H329" s="458">
        <v>0.6</v>
      </c>
      <c r="I329" s="458">
        <v>0.4</v>
      </c>
      <c r="J329" s="458">
        <v>1.2</v>
      </c>
      <c r="K329" s="458">
        <v>1.0</v>
      </c>
      <c r="L329" s="458">
        <v>6.6</v>
      </c>
      <c r="M329" s="458">
        <v>1.3</v>
      </c>
      <c r="N329" s="462">
        <v>-0.1</v>
      </c>
      <c r="O329" t="str">
        <f>IFERROR(__xludf.DUMMYFUNCTION("regexextract(B329,""[\w]* [\w]*"")"),"#VALUE!")</f>
        <v>#VALUE!</v>
      </c>
      <c r="P329" t="str">
        <f t="shared" si="2"/>
        <v>#VALUE!</v>
      </c>
      <c r="Q329" t="str">
        <f t="shared" si="3"/>
        <v>#VALUE!</v>
      </c>
      <c r="R329" t="s">
        <v>2631</v>
      </c>
      <c r="S329" s="411" t="s">
        <v>2631</v>
      </c>
      <c r="T329" t="s">
        <v>2631</v>
      </c>
      <c r="U329" t="s">
        <v>2631</v>
      </c>
      <c r="V329" t="s">
        <v>2631</v>
      </c>
      <c r="W329" t="str">
        <f t="shared" si="1"/>
        <v/>
      </c>
    </row>
    <row r="330">
      <c r="A330" s="459">
        <v>19.3</v>
      </c>
      <c r="B330" s="459">
        <v>3.4</v>
      </c>
      <c r="C330" s="459">
        <v>8.6</v>
      </c>
      <c r="D330" s="459">
        <v>1.8</v>
      </c>
      <c r="E330" s="459">
        <v>2.1</v>
      </c>
      <c r="F330" s="459">
        <v>1.6</v>
      </c>
      <c r="G330" s="459">
        <v>1.8</v>
      </c>
      <c r="H330" s="459">
        <v>2.0</v>
      </c>
      <c r="I330" s="459">
        <v>0.5</v>
      </c>
      <c r="J330" s="459">
        <v>0.2</v>
      </c>
      <c r="K330" s="459">
        <v>1.0</v>
      </c>
      <c r="L330" s="459">
        <v>10.2</v>
      </c>
      <c r="M330" s="459">
        <v>3.3</v>
      </c>
      <c r="N330" s="460">
        <f>+0.1</f>
        <v>0.1</v>
      </c>
      <c r="O330" t="str">
        <f>IFERROR(__xludf.DUMMYFUNCTION("regexextract(B330,""[\w]* [\w]*"")"),"#VALUE!")</f>
        <v>#VALUE!</v>
      </c>
      <c r="P330" t="str">
        <f t="shared" si="2"/>
        <v>#VALUE!</v>
      </c>
      <c r="Q330" t="str">
        <f t="shared" si="3"/>
        <v>#VALUE!</v>
      </c>
      <c r="R330" t="s">
        <v>2631</v>
      </c>
      <c r="S330" s="411" t="s">
        <v>2631</v>
      </c>
      <c r="T330" t="s">
        <v>2631</v>
      </c>
      <c r="U330" t="s">
        <v>2631</v>
      </c>
      <c r="V330" t="s">
        <v>2631</v>
      </c>
      <c r="W330" t="str">
        <f t="shared" si="1"/>
        <v/>
      </c>
    </row>
    <row r="331">
      <c r="A331" s="458">
        <v>21.3</v>
      </c>
      <c r="B331" s="458">
        <v>2.7</v>
      </c>
      <c r="C331" s="458">
        <v>6.4</v>
      </c>
      <c r="D331" s="458">
        <v>1.3</v>
      </c>
      <c r="E331" s="458">
        <v>2.0</v>
      </c>
      <c r="F331" s="458">
        <v>1.2</v>
      </c>
      <c r="G331" s="458">
        <v>4.7</v>
      </c>
      <c r="H331" s="458">
        <v>0.9</v>
      </c>
      <c r="I331" s="458">
        <v>0.5</v>
      </c>
      <c r="J331" s="458">
        <v>0.2</v>
      </c>
      <c r="K331" s="458">
        <v>0.7</v>
      </c>
      <c r="L331" s="458">
        <v>7.9</v>
      </c>
      <c r="M331" s="458">
        <v>0.2</v>
      </c>
      <c r="N331" s="458">
        <v>0.0</v>
      </c>
      <c r="O331" t="str">
        <f>IFERROR(__xludf.DUMMYFUNCTION("regexextract(B331,""[\w]* [\w]*"")"),"#VALUE!")</f>
        <v>#VALUE!</v>
      </c>
      <c r="P331" t="str">
        <f t="shared" si="2"/>
        <v>#VALUE!</v>
      </c>
      <c r="Q331" t="str">
        <f t="shared" si="3"/>
        <v>#VALUE!</v>
      </c>
      <c r="R331" t="s">
        <v>2631</v>
      </c>
      <c r="S331" s="411" t="s">
        <v>2631</v>
      </c>
      <c r="T331" t="s">
        <v>2631</v>
      </c>
      <c r="U331" t="s">
        <v>2631</v>
      </c>
      <c r="V331" t="s">
        <v>2631</v>
      </c>
      <c r="W331" t="str">
        <f t="shared" si="1"/>
        <v/>
      </c>
    </row>
    <row r="332">
      <c r="A332" s="459">
        <v>19.4</v>
      </c>
      <c r="B332" s="459">
        <v>2.6</v>
      </c>
      <c r="C332" s="459">
        <v>6.3</v>
      </c>
      <c r="D332" s="459">
        <v>0.8</v>
      </c>
      <c r="E332" s="459">
        <v>1.2</v>
      </c>
      <c r="F332" s="459">
        <v>0.8</v>
      </c>
      <c r="G332" s="459">
        <v>3.2</v>
      </c>
      <c r="H332" s="459">
        <v>1.7</v>
      </c>
      <c r="I332" s="459">
        <v>0.6</v>
      </c>
      <c r="J332" s="459">
        <v>0.4</v>
      </c>
      <c r="K332" s="459">
        <v>0.8</v>
      </c>
      <c r="L332" s="459">
        <v>6.8</v>
      </c>
      <c r="M332" s="459">
        <v>0.3</v>
      </c>
      <c r="N332" s="463">
        <v>-0.1</v>
      </c>
      <c r="O332" t="str">
        <f>IFERROR(__xludf.DUMMYFUNCTION("regexextract(B332,""[\w]* [\w]*"")"),"#VALUE!")</f>
        <v>#VALUE!</v>
      </c>
      <c r="P332" t="str">
        <f t="shared" si="2"/>
        <v>#VALUE!</v>
      </c>
      <c r="Q332" t="str">
        <f t="shared" si="3"/>
        <v>#VALUE!</v>
      </c>
      <c r="R332" t="s">
        <v>2631</v>
      </c>
      <c r="S332" s="411" t="s">
        <v>2631</v>
      </c>
      <c r="T332" t="s">
        <v>2631</v>
      </c>
      <c r="U332" t="s">
        <v>2631</v>
      </c>
      <c r="V332" t="s">
        <v>2631</v>
      </c>
      <c r="W332" t="str">
        <f t="shared" si="1"/>
        <v/>
      </c>
    </row>
    <row r="333">
      <c r="A333" s="458">
        <v>17.6</v>
      </c>
      <c r="B333" s="458">
        <v>2.2</v>
      </c>
      <c r="C333" s="458">
        <v>4.6</v>
      </c>
      <c r="D333" s="458">
        <v>0.4</v>
      </c>
      <c r="E333" s="458">
        <v>0.6</v>
      </c>
      <c r="F333" s="458">
        <v>0.8</v>
      </c>
      <c r="G333" s="458">
        <v>3.7</v>
      </c>
      <c r="H333" s="458">
        <v>0.9</v>
      </c>
      <c r="I333" s="458">
        <v>0.5</v>
      </c>
      <c r="J333" s="458">
        <v>0.6</v>
      </c>
      <c r="K333" s="458">
        <v>0.5</v>
      </c>
      <c r="L333" s="458">
        <v>5.5</v>
      </c>
      <c r="M333" s="458">
        <v>0.2</v>
      </c>
      <c r="N333" s="458">
        <v>0.0</v>
      </c>
      <c r="O333" t="str">
        <f>IFERROR(__xludf.DUMMYFUNCTION("regexextract(B333,""[\w]* [\w]*"")"),"#VALUE!")</f>
        <v>#VALUE!</v>
      </c>
      <c r="P333" t="str">
        <f t="shared" si="2"/>
        <v>#VALUE!</v>
      </c>
      <c r="Q333" t="str">
        <f t="shared" si="3"/>
        <v>#VALUE!</v>
      </c>
      <c r="R333" t="s">
        <v>2631</v>
      </c>
      <c r="S333" s="411" t="s">
        <v>2631</v>
      </c>
      <c r="T333" t="s">
        <v>2631</v>
      </c>
      <c r="U333" t="s">
        <v>2631</v>
      </c>
      <c r="V333" t="s">
        <v>2631</v>
      </c>
      <c r="W333" t="str">
        <f t="shared" si="1"/>
        <v/>
      </c>
    </row>
    <row r="334">
      <c r="A334" s="459">
        <v>16.0</v>
      </c>
      <c r="B334" s="459">
        <v>2.4</v>
      </c>
      <c r="C334" s="459">
        <v>3.3</v>
      </c>
      <c r="D334" s="459">
        <v>0.7</v>
      </c>
      <c r="E334" s="459">
        <v>1.3</v>
      </c>
      <c r="F334" s="459">
        <v>0.0</v>
      </c>
      <c r="G334" s="459">
        <v>5.8</v>
      </c>
      <c r="H334" s="459">
        <v>1.2</v>
      </c>
      <c r="I334" s="459">
        <v>0.2</v>
      </c>
      <c r="J334" s="459">
        <v>0.8</v>
      </c>
      <c r="K334" s="459">
        <v>1.1</v>
      </c>
      <c r="L334" s="459">
        <v>5.6</v>
      </c>
      <c r="M334" s="459">
        <v>4.1</v>
      </c>
      <c r="N334" s="463">
        <v>-0.6</v>
      </c>
      <c r="O334" t="str">
        <f>IFERROR(__xludf.DUMMYFUNCTION("regexextract(B334,""[\w]* [\w]*"")"),"#VALUE!")</f>
        <v>#VALUE!</v>
      </c>
      <c r="P334" t="str">
        <f t="shared" si="2"/>
        <v>#VALUE!</v>
      </c>
      <c r="Q334" t="str">
        <f t="shared" si="3"/>
        <v>#VALUE!</v>
      </c>
      <c r="R334" t="s">
        <v>2631</v>
      </c>
      <c r="S334" s="411" t="s">
        <v>2631</v>
      </c>
      <c r="T334" t="s">
        <v>2631</v>
      </c>
      <c r="U334" t="s">
        <v>2631</v>
      </c>
      <c r="V334" t="s">
        <v>2631</v>
      </c>
      <c r="W334" t="str">
        <f t="shared" si="1"/>
        <v/>
      </c>
    </row>
    <row r="335">
      <c r="A335" s="458">
        <v>19.7</v>
      </c>
      <c r="B335" s="458">
        <v>4.0</v>
      </c>
      <c r="C335" s="458">
        <v>8.0</v>
      </c>
      <c r="D335" s="458">
        <v>1.9</v>
      </c>
      <c r="E335" s="458">
        <v>2.6</v>
      </c>
      <c r="F335" s="458">
        <v>0.5</v>
      </c>
      <c r="G335" s="458">
        <v>3.4</v>
      </c>
      <c r="H335" s="458">
        <v>1.5</v>
      </c>
      <c r="I335" s="458">
        <v>0.4</v>
      </c>
      <c r="J335" s="458">
        <v>0.2</v>
      </c>
      <c r="K335" s="458">
        <v>1.2</v>
      </c>
      <c r="L335" s="458">
        <v>10.4</v>
      </c>
      <c r="M335" s="458">
        <v>0.4</v>
      </c>
      <c r="N335" s="458">
        <v>0.0</v>
      </c>
      <c r="O335" t="str">
        <f>IFERROR(__xludf.DUMMYFUNCTION("regexextract(B335,""[\w]* [\w]*"")"),"#VALUE!")</f>
        <v>#VALUE!</v>
      </c>
      <c r="P335" t="str">
        <f t="shared" si="2"/>
        <v>#VALUE!</v>
      </c>
      <c r="Q335" t="str">
        <f t="shared" si="3"/>
        <v>#VALUE!</v>
      </c>
      <c r="R335" t="s">
        <v>2631</v>
      </c>
      <c r="S335" s="411" t="s">
        <v>2631</v>
      </c>
      <c r="T335" t="s">
        <v>2631</v>
      </c>
      <c r="U335" t="s">
        <v>2631</v>
      </c>
      <c r="V335" t="s">
        <v>2631</v>
      </c>
      <c r="W335" t="str">
        <f t="shared" si="1"/>
        <v/>
      </c>
    </row>
    <row r="336">
      <c r="A336" s="459">
        <v>18.8</v>
      </c>
      <c r="B336" s="459">
        <v>2.8</v>
      </c>
      <c r="C336" s="459">
        <v>7.0</v>
      </c>
      <c r="D336" s="459">
        <v>1.0</v>
      </c>
      <c r="E336" s="459">
        <v>1.2</v>
      </c>
      <c r="F336" s="459">
        <v>1.1</v>
      </c>
      <c r="G336" s="459">
        <v>1.6</v>
      </c>
      <c r="H336" s="459">
        <v>2.3</v>
      </c>
      <c r="I336" s="459">
        <v>0.7</v>
      </c>
      <c r="J336" s="459">
        <v>0.2</v>
      </c>
      <c r="K336" s="459">
        <v>1.1</v>
      </c>
      <c r="L336" s="459">
        <v>7.7</v>
      </c>
      <c r="M336" s="459">
        <v>0.7</v>
      </c>
      <c r="N336" s="463">
        <v>-0.1</v>
      </c>
      <c r="O336" t="str">
        <f>IFERROR(__xludf.DUMMYFUNCTION("regexextract(B336,""[\w]* [\w]*"")"),"#VALUE!")</f>
        <v>#VALUE!</v>
      </c>
      <c r="P336" t="str">
        <f t="shared" si="2"/>
        <v>#VALUE!</v>
      </c>
      <c r="Q336" t="str">
        <f t="shared" si="3"/>
        <v>#VALUE!</v>
      </c>
      <c r="R336" t="s">
        <v>2631</v>
      </c>
      <c r="S336" s="411" t="s">
        <v>2631</v>
      </c>
      <c r="T336" t="s">
        <v>2631</v>
      </c>
      <c r="U336" t="s">
        <v>2631</v>
      </c>
      <c r="V336" t="s">
        <v>2631</v>
      </c>
      <c r="W336" t="str">
        <f t="shared" si="1"/>
        <v/>
      </c>
    </row>
    <row r="337">
      <c r="A337" s="458">
        <v>17.2</v>
      </c>
      <c r="B337" s="458">
        <v>2.6</v>
      </c>
      <c r="C337" s="458">
        <v>5.5</v>
      </c>
      <c r="D337" s="458">
        <v>0.9</v>
      </c>
      <c r="E337" s="458">
        <v>1.0</v>
      </c>
      <c r="F337" s="458">
        <v>0.8</v>
      </c>
      <c r="G337" s="458">
        <v>1.9</v>
      </c>
      <c r="H337" s="458">
        <v>2.0</v>
      </c>
      <c r="I337" s="458">
        <v>0.8</v>
      </c>
      <c r="J337" s="458">
        <v>0.1</v>
      </c>
      <c r="K337" s="458">
        <v>0.8</v>
      </c>
      <c r="L337" s="458">
        <v>6.8</v>
      </c>
      <c r="M337" s="458">
        <v>0.6</v>
      </c>
      <c r="N337" s="462">
        <v>-0.2</v>
      </c>
      <c r="O337" t="str">
        <f>IFERROR(__xludf.DUMMYFUNCTION("regexextract(B337,""[\w]* [\w]*"")"),"#VALUE!")</f>
        <v>#VALUE!</v>
      </c>
      <c r="P337" t="str">
        <f t="shared" si="2"/>
        <v>#VALUE!</v>
      </c>
      <c r="Q337" t="str">
        <f t="shared" si="3"/>
        <v>#VALUE!</v>
      </c>
      <c r="R337" t="s">
        <v>2631</v>
      </c>
      <c r="S337" s="411" t="s">
        <v>2631</v>
      </c>
      <c r="T337" t="s">
        <v>2631</v>
      </c>
      <c r="U337" t="s">
        <v>2631</v>
      </c>
      <c r="V337" t="s">
        <v>2631</v>
      </c>
      <c r="W337" t="str">
        <f t="shared" si="1"/>
        <v/>
      </c>
    </row>
    <row r="338">
      <c r="A338" s="459">
        <v>20.5</v>
      </c>
      <c r="B338" s="459">
        <v>2.6</v>
      </c>
      <c r="C338" s="459">
        <v>5.9</v>
      </c>
      <c r="D338" s="459">
        <v>0.5</v>
      </c>
      <c r="E338" s="459">
        <v>0.7</v>
      </c>
      <c r="F338" s="459">
        <v>1.4</v>
      </c>
      <c r="G338" s="459">
        <v>4.0</v>
      </c>
      <c r="H338" s="459">
        <v>1.3</v>
      </c>
      <c r="I338" s="459">
        <v>0.6</v>
      </c>
      <c r="J338" s="459">
        <v>0.2</v>
      </c>
      <c r="K338" s="459">
        <v>0.8</v>
      </c>
      <c r="L338" s="459">
        <v>7.0</v>
      </c>
      <c r="M338" s="459">
        <v>0.3</v>
      </c>
      <c r="N338" s="463">
        <v>-0.1</v>
      </c>
      <c r="O338" t="str">
        <f>IFERROR(__xludf.DUMMYFUNCTION("regexextract(B338,""[\w]* [\w]*"")"),"#VALUE!")</f>
        <v>#VALUE!</v>
      </c>
      <c r="P338" t="str">
        <f t="shared" si="2"/>
        <v>#VALUE!</v>
      </c>
      <c r="Q338" t="str">
        <f t="shared" si="3"/>
        <v>#VALUE!</v>
      </c>
      <c r="R338" t="s">
        <v>2631</v>
      </c>
      <c r="S338" s="411" t="s">
        <v>2631</v>
      </c>
      <c r="T338" t="s">
        <v>2631</v>
      </c>
      <c r="U338" t="s">
        <v>2631</v>
      </c>
      <c r="V338" t="s">
        <v>2631</v>
      </c>
      <c r="W338" t="str">
        <f t="shared" si="1"/>
        <v/>
      </c>
    </row>
    <row r="339">
      <c r="A339" s="458">
        <v>16.2</v>
      </c>
      <c r="B339" s="458">
        <v>2.4</v>
      </c>
      <c r="C339" s="458">
        <v>5.2</v>
      </c>
      <c r="D339" s="458">
        <v>1.5</v>
      </c>
      <c r="E339" s="458">
        <v>1.9</v>
      </c>
      <c r="F339" s="458">
        <v>0.7</v>
      </c>
      <c r="G339" s="458">
        <v>3.4</v>
      </c>
      <c r="H339" s="458">
        <v>1.1</v>
      </c>
      <c r="I339" s="458">
        <v>0.6</v>
      </c>
      <c r="J339" s="458">
        <v>0.4</v>
      </c>
      <c r="K339" s="458">
        <v>1.0</v>
      </c>
      <c r="L339" s="458">
        <v>7.1</v>
      </c>
      <c r="M339" s="458">
        <v>0.4</v>
      </c>
      <c r="N339" s="458">
        <v>0.0</v>
      </c>
      <c r="O339" t="str">
        <f>IFERROR(__xludf.DUMMYFUNCTION("regexextract(B339,""[\w]* [\w]*"")"),"#VALUE!")</f>
        <v>#VALUE!</v>
      </c>
      <c r="P339" t="str">
        <f t="shared" si="2"/>
        <v>#VALUE!</v>
      </c>
      <c r="Q339" t="str">
        <f t="shared" si="3"/>
        <v>#VALUE!</v>
      </c>
      <c r="R339" t="s">
        <v>2631</v>
      </c>
      <c r="S339" s="411" t="s">
        <v>2631</v>
      </c>
      <c r="T339" t="s">
        <v>2631</v>
      </c>
      <c r="U339" t="s">
        <v>2631</v>
      </c>
      <c r="V339" t="s">
        <v>2631</v>
      </c>
      <c r="W339" t="str">
        <f t="shared" si="1"/>
        <v/>
      </c>
    </row>
    <row r="340">
      <c r="A340" s="459">
        <v>19.2</v>
      </c>
      <c r="B340" s="459">
        <v>2.8</v>
      </c>
      <c r="C340" s="459">
        <v>6.0</v>
      </c>
      <c r="D340" s="459">
        <v>0.9</v>
      </c>
      <c r="E340" s="459">
        <v>1.3</v>
      </c>
      <c r="F340" s="459">
        <v>0.7</v>
      </c>
      <c r="G340" s="459">
        <v>3.6</v>
      </c>
      <c r="H340" s="459">
        <v>1.1</v>
      </c>
      <c r="I340" s="459">
        <v>0.6</v>
      </c>
      <c r="J340" s="459">
        <v>0.4</v>
      </c>
      <c r="K340" s="459">
        <v>0.9</v>
      </c>
      <c r="L340" s="459">
        <v>7.3</v>
      </c>
      <c r="M340" s="459">
        <v>0.3</v>
      </c>
      <c r="N340" s="459">
        <v>0.0</v>
      </c>
      <c r="O340" t="str">
        <f>IFERROR(__xludf.DUMMYFUNCTION("regexextract(B340,""[\w]* [\w]*"")"),"#VALUE!")</f>
        <v>#VALUE!</v>
      </c>
      <c r="P340" t="str">
        <f t="shared" si="2"/>
        <v>#VALUE!</v>
      </c>
      <c r="Q340" t="str">
        <f t="shared" si="3"/>
        <v>#VALUE!</v>
      </c>
      <c r="R340" t="s">
        <v>2631</v>
      </c>
      <c r="S340" s="411" t="s">
        <v>2631</v>
      </c>
      <c r="T340" t="s">
        <v>2631</v>
      </c>
      <c r="U340" t="s">
        <v>2631</v>
      </c>
      <c r="V340" t="s">
        <v>2631</v>
      </c>
      <c r="W340" t="str">
        <f t="shared" si="1"/>
        <v/>
      </c>
    </row>
    <row r="341">
      <c r="A341" s="458">
        <v>22.3</v>
      </c>
      <c r="B341" s="458">
        <v>3.4</v>
      </c>
      <c r="C341" s="458">
        <v>8.5</v>
      </c>
      <c r="D341" s="458">
        <v>1.6</v>
      </c>
      <c r="E341" s="458">
        <v>2.0</v>
      </c>
      <c r="F341" s="458">
        <v>0.7</v>
      </c>
      <c r="G341" s="458">
        <v>2.8</v>
      </c>
      <c r="H341" s="458">
        <v>1.2</v>
      </c>
      <c r="I341" s="458">
        <v>0.5</v>
      </c>
      <c r="J341" s="458">
        <v>0.1</v>
      </c>
      <c r="K341" s="458">
        <v>0.6</v>
      </c>
      <c r="L341" s="458">
        <v>9.1</v>
      </c>
      <c r="M341" s="458">
        <v>0.5</v>
      </c>
      <c r="N341" s="462">
        <v>-0.1</v>
      </c>
      <c r="O341" t="str">
        <f>IFERROR(__xludf.DUMMYFUNCTION("regexextract(B341,""[\w]* [\w]*"")"),"#VALUE!")</f>
        <v>#VALUE!</v>
      </c>
      <c r="P341" t="str">
        <f t="shared" si="2"/>
        <v>#VALUE!</v>
      </c>
      <c r="Q341" t="str">
        <f t="shared" si="3"/>
        <v>#VALUE!</v>
      </c>
      <c r="R341" t="s">
        <v>2631</v>
      </c>
      <c r="S341" s="411" t="s">
        <v>2631</v>
      </c>
      <c r="T341" t="s">
        <v>2631</v>
      </c>
      <c r="U341" t="s">
        <v>2631</v>
      </c>
      <c r="V341" t="s">
        <v>2631</v>
      </c>
      <c r="W341" t="str">
        <f t="shared" si="1"/>
        <v/>
      </c>
    </row>
    <row r="342">
      <c r="A342" s="459">
        <v>18.9</v>
      </c>
      <c r="B342" s="459">
        <v>2.5</v>
      </c>
      <c r="C342" s="459">
        <v>5.7</v>
      </c>
      <c r="D342" s="459">
        <v>1.0</v>
      </c>
      <c r="E342" s="459">
        <v>1.1</v>
      </c>
      <c r="F342" s="459">
        <v>1.3</v>
      </c>
      <c r="G342" s="459">
        <v>3.2</v>
      </c>
      <c r="H342" s="459">
        <v>1.4</v>
      </c>
      <c r="I342" s="459">
        <v>0.7</v>
      </c>
      <c r="J342" s="459">
        <v>0.1</v>
      </c>
      <c r="K342" s="459">
        <v>0.7</v>
      </c>
      <c r="L342" s="459">
        <v>7.3</v>
      </c>
      <c r="M342" s="459">
        <v>0.3</v>
      </c>
      <c r="N342" s="459">
        <v>0.0</v>
      </c>
      <c r="O342" t="str">
        <f>IFERROR(__xludf.DUMMYFUNCTION("regexextract(B342,""[\w]* [\w]*"")"),"#VALUE!")</f>
        <v>#VALUE!</v>
      </c>
      <c r="P342" t="str">
        <f t="shared" si="2"/>
        <v>#VALUE!</v>
      </c>
      <c r="Q342" t="str">
        <f t="shared" si="3"/>
        <v>#VALUE!</v>
      </c>
      <c r="R342" t="s">
        <v>2631</v>
      </c>
      <c r="S342" s="411" t="s">
        <v>2631</v>
      </c>
      <c r="T342" t="s">
        <v>2631</v>
      </c>
      <c r="U342" t="s">
        <v>2631</v>
      </c>
      <c r="V342" t="s">
        <v>2631</v>
      </c>
      <c r="W342" t="str">
        <f t="shared" si="1"/>
        <v/>
      </c>
    </row>
    <row r="343">
      <c r="A343" s="458">
        <v>19.4</v>
      </c>
      <c r="B343" s="458">
        <v>2.5</v>
      </c>
      <c r="C343" s="458">
        <v>5.5</v>
      </c>
      <c r="D343" s="458">
        <v>0.6</v>
      </c>
      <c r="E343" s="458">
        <v>0.8</v>
      </c>
      <c r="F343" s="458">
        <v>1.4</v>
      </c>
      <c r="G343" s="458">
        <v>3.7</v>
      </c>
      <c r="H343" s="458">
        <v>0.7</v>
      </c>
      <c r="I343" s="458">
        <v>0.4</v>
      </c>
      <c r="J343" s="458">
        <v>0.3</v>
      </c>
      <c r="K343" s="458">
        <v>0.7</v>
      </c>
      <c r="L343" s="458">
        <v>7.0</v>
      </c>
      <c r="M343" s="458">
        <v>0.5</v>
      </c>
      <c r="N343" s="458">
        <v>0.0</v>
      </c>
      <c r="O343" t="str">
        <f>IFERROR(__xludf.DUMMYFUNCTION("regexextract(B343,""[\w]* [\w]*"")"),"#VALUE!")</f>
        <v>#VALUE!</v>
      </c>
      <c r="P343" t="str">
        <f t="shared" si="2"/>
        <v>#VALUE!</v>
      </c>
      <c r="Q343" t="str">
        <f t="shared" si="3"/>
        <v>#VALUE!</v>
      </c>
      <c r="R343" t="s">
        <v>2631</v>
      </c>
      <c r="S343" s="411" t="s">
        <v>2631</v>
      </c>
      <c r="T343" t="s">
        <v>2631</v>
      </c>
      <c r="U343" t="s">
        <v>2631</v>
      </c>
      <c r="V343" t="s">
        <v>2631</v>
      </c>
      <c r="W343" t="str">
        <f t="shared" si="1"/>
        <v/>
      </c>
    </row>
    <row r="344">
      <c r="A344" s="459">
        <v>19.4</v>
      </c>
      <c r="B344" s="459">
        <v>2.1</v>
      </c>
      <c r="C344" s="459">
        <v>3.7</v>
      </c>
      <c r="D344" s="459">
        <v>0.3</v>
      </c>
      <c r="E344" s="459">
        <v>0.5</v>
      </c>
      <c r="F344" s="459">
        <v>0.6</v>
      </c>
      <c r="G344" s="459">
        <v>4.0</v>
      </c>
      <c r="H344" s="459">
        <v>2.5</v>
      </c>
      <c r="I344" s="459">
        <v>0.7</v>
      </c>
      <c r="J344" s="459">
        <v>0.4</v>
      </c>
      <c r="K344" s="459">
        <v>1.1</v>
      </c>
      <c r="L344" s="459">
        <v>5.2</v>
      </c>
      <c r="M344" s="459">
        <v>1.1</v>
      </c>
      <c r="N344" s="463">
        <v>-0.3</v>
      </c>
      <c r="O344" t="str">
        <f>IFERROR(__xludf.DUMMYFUNCTION("regexextract(B344,""[\w]* [\w]*"")"),"#VALUE!")</f>
        <v>#VALUE!</v>
      </c>
      <c r="P344" t="str">
        <f t="shared" si="2"/>
        <v>#VALUE!</v>
      </c>
      <c r="Q344" t="str">
        <f t="shared" si="3"/>
        <v>#VALUE!</v>
      </c>
      <c r="R344" t="s">
        <v>2631</v>
      </c>
      <c r="S344" s="411" t="s">
        <v>2631</v>
      </c>
      <c r="T344" t="s">
        <v>2631</v>
      </c>
      <c r="U344" t="s">
        <v>2631</v>
      </c>
      <c r="V344" t="s">
        <v>2631</v>
      </c>
      <c r="W344" t="str">
        <f t="shared" si="1"/>
        <v/>
      </c>
    </row>
    <row r="345">
      <c r="A345" s="458">
        <v>20.3</v>
      </c>
      <c r="B345" s="458">
        <v>2.0</v>
      </c>
      <c r="C345" s="458">
        <v>4.9</v>
      </c>
      <c r="D345" s="458">
        <v>1.6</v>
      </c>
      <c r="E345" s="458">
        <v>2.1</v>
      </c>
      <c r="F345" s="458">
        <v>0.5</v>
      </c>
      <c r="G345" s="458">
        <v>2.9</v>
      </c>
      <c r="H345" s="458">
        <v>1.1</v>
      </c>
      <c r="I345" s="458">
        <v>0.9</v>
      </c>
      <c r="J345" s="458">
        <v>0.4</v>
      </c>
      <c r="K345" s="458">
        <v>0.9</v>
      </c>
      <c r="L345" s="458">
        <v>6.2</v>
      </c>
      <c r="M345" s="458">
        <v>0.2</v>
      </c>
      <c r="N345" s="458">
        <v>0.0</v>
      </c>
      <c r="O345" t="str">
        <f>IFERROR(__xludf.DUMMYFUNCTION("regexextract(B345,""[\w]* [\w]*"")"),"#VALUE!")</f>
        <v>#VALUE!</v>
      </c>
      <c r="P345" t="str">
        <f t="shared" si="2"/>
        <v>#VALUE!</v>
      </c>
      <c r="Q345" t="str">
        <f t="shared" si="3"/>
        <v>#VALUE!</v>
      </c>
      <c r="R345" t="s">
        <v>2631</v>
      </c>
      <c r="S345" s="411" t="s">
        <v>2631</v>
      </c>
      <c r="T345" t="s">
        <v>2631</v>
      </c>
      <c r="U345" t="s">
        <v>2631</v>
      </c>
      <c r="V345" t="s">
        <v>2631</v>
      </c>
      <c r="W345" t="str">
        <f t="shared" si="1"/>
        <v/>
      </c>
    </row>
    <row r="346">
      <c r="A346" s="459">
        <v>19.3</v>
      </c>
      <c r="B346" s="459">
        <v>1.5</v>
      </c>
      <c r="C346" s="459">
        <v>3.6</v>
      </c>
      <c r="D346" s="459">
        <v>0.4</v>
      </c>
      <c r="E346" s="459">
        <v>0.6</v>
      </c>
      <c r="F346" s="459">
        <v>0.8</v>
      </c>
      <c r="G346" s="459">
        <v>3.2</v>
      </c>
      <c r="H346" s="459">
        <v>2.2</v>
      </c>
      <c r="I346" s="459">
        <v>0.8</v>
      </c>
      <c r="J346" s="459">
        <v>0.6</v>
      </c>
      <c r="K346" s="459">
        <v>0.9</v>
      </c>
      <c r="L346" s="459">
        <v>4.2</v>
      </c>
      <c r="M346" s="459">
        <v>3.7</v>
      </c>
      <c r="N346" s="463">
        <v>-0.6</v>
      </c>
      <c r="O346" t="str">
        <f>IFERROR(__xludf.DUMMYFUNCTION("regexextract(B346,""[\w]* [\w]*"")"),"#VALUE!")</f>
        <v>#VALUE!</v>
      </c>
      <c r="P346" t="str">
        <f t="shared" si="2"/>
        <v>#VALUE!</v>
      </c>
      <c r="Q346" t="str">
        <f t="shared" si="3"/>
        <v>#VALUE!</v>
      </c>
      <c r="R346" t="s">
        <v>2631</v>
      </c>
      <c r="S346" s="411" t="s">
        <v>2631</v>
      </c>
      <c r="T346" t="s">
        <v>2631</v>
      </c>
      <c r="U346" t="s">
        <v>2631</v>
      </c>
      <c r="V346" t="s">
        <v>2631</v>
      </c>
      <c r="W346" t="str">
        <f t="shared" si="1"/>
        <v/>
      </c>
    </row>
    <row r="347">
      <c r="A347" s="458">
        <v>17.1</v>
      </c>
      <c r="B347" s="458">
        <v>1.8</v>
      </c>
      <c r="C347" s="458">
        <v>3.3</v>
      </c>
      <c r="D347" s="458">
        <v>0.5</v>
      </c>
      <c r="E347" s="458">
        <v>0.8</v>
      </c>
      <c r="F347" s="458">
        <v>0.1</v>
      </c>
      <c r="G347" s="458">
        <v>4.7</v>
      </c>
      <c r="H347" s="458">
        <v>1.6</v>
      </c>
      <c r="I347" s="458">
        <v>0.4</v>
      </c>
      <c r="J347" s="458">
        <v>0.4</v>
      </c>
      <c r="K347" s="458">
        <v>0.6</v>
      </c>
      <c r="L347" s="458">
        <v>4.2</v>
      </c>
      <c r="M347" s="458">
        <v>0.4</v>
      </c>
      <c r="N347" s="458">
        <v>0.0</v>
      </c>
      <c r="O347" t="str">
        <f>IFERROR(__xludf.DUMMYFUNCTION("regexextract(B347,""[\w]* [\w]*"")"),"#VALUE!")</f>
        <v>#VALUE!</v>
      </c>
      <c r="P347" t="str">
        <f t="shared" si="2"/>
        <v>#VALUE!</v>
      </c>
      <c r="Q347" t="str">
        <f t="shared" si="3"/>
        <v>#VALUE!</v>
      </c>
      <c r="R347" t="s">
        <v>2631</v>
      </c>
      <c r="S347" s="411" t="s">
        <v>2631</v>
      </c>
      <c r="T347" t="s">
        <v>2631</v>
      </c>
      <c r="U347" t="s">
        <v>2631</v>
      </c>
      <c r="V347" t="s">
        <v>2631</v>
      </c>
      <c r="W347" t="str">
        <f t="shared" si="1"/>
        <v/>
      </c>
    </row>
    <row r="348">
      <c r="A348" s="459">
        <v>17.0</v>
      </c>
      <c r="B348" s="459">
        <v>2.6</v>
      </c>
      <c r="C348" s="459">
        <v>6.0</v>
      </c>
      <c r="D348" s="459">
        <v>0.9</v>
      </c>
      <c r="E348" s="459">
        <v>1.0</v>
      </c>
      <c r="F348" s="459">
        <v>1.6</v>
      </c>
      <c r="G348" s="459">
        <v>3.3</v>
      </c>
      <c r="H348" s="459">
        <v>0.9</v>
      </c>
      <c r="I348" s="459">
        <v>0.2</v>
      </c>
      <c r="J348" s="459">
        <v>0.4</v>
      </c>
      <c r="K348" s="459">
        <v>0.6</v>
      </c>
      <c r="L348" s="459">
        <v>7.5</v>
      </c>
      <c r="M348" s="459">
        <v>0.2</v>
      </c>
      <c r="N348" s="459">
        <v>0.0</v>
      </c>
      <c r="O348" t="str">
        <f>IFERROR(__xludf.DUMMYFUNCTION("regexextract(B348,""[\w]* [\w]*"")"),"#VALUE!")</f>
        <v>#VALUE!</v>
      </c>
      <c r="P348" t="str">
        <f t="shared" si="2"/>
        <v>#VALUE!</v>
      </c>
      <c r="Q348" t="str">
        <f t="shared" si="3"/>
        <v>#VALUE!</v>
      </c>
      <c r="R348" t="s">
        <v>2631</v>
      </c>
      <c r="S348" s="411" t="s">
        <v>2631</v>
      </c>
      <c r="T348" t="s">
        <v>2631</v>
      </c>
      <c r="U348" t="s">
        <v>2631</v>
      </c>
      <c r="V348" t="s">
        <v>2631</v>
      </c>
      <c r="W348" t="str">
        <f t="shared" si="1"/>
        <v/>
      </c>
    </row>
    <row r="349">
      <c r="A349" s="458">
        <v>19.7</v>
      </c>
      <c r="B349" s="458">
        <v>3.9</v>
      </c>
      <c r="C349" s="458">
        <v>8.8</v>
      </c>
      <c r="D349" s="458">
        <v>2.1</v>
      </c>
      <c r="E349" s="458">
        <v>2.8</v>
      </c>
      <c r="F349" s="458">
        <v>1.1</v>
      </c>
      <c r="G349" s="458">
        <v>6.9</v>
      </c>
      <c r="H349" s="458">
        <v>2.3</v>
      </c>
      <c r="I349" s="458">
        <v>1.0</v>
      </c>
      <c r="J349" s="458">
        <v>0.8</v>
      </c>
      <c r="K349" s="458">
        <v>1.8</v>
      </c>
      <c r="L349" s="458">
        <v>11.0</v>
      </c>
      <c r="M349" s="458">
        <v>2.9</v>
      </c>
      <c r="N349" s="462">
        <v>-0.5</v>
      </c>
      <c r="O349" t="str">
        <f>IFERROR(__xludf.DUMMYFUNCTION("regexextract(B349,""[\w]* [\w]*"")"),"#VALUE!")</f>
        <v>#VALUE!</v>
      </c>
      <c r="P349" t="str">
        <f t="shared" si="2"/>
        <v>#VALUE!</v>
      </c>
      <c r="Q349" t="str">
        <f t="shared" si="3"/>
        <v>#VALUE!</v>
      </c>
      <c r="R349" t="s">
        <v>2631</v>
      </c>
      <c r="S349" s="411" t="s">
        <v>2631</v>
      </c>
      <c r="T349" t="s">
        <v>2631</v>
      </c>
      <c r="U349" t="s">
        <v>2631</v>
      </c>
      <c r="V349" t="s">
        <v>2631</v>
      </c>
      <c r="W349" t="str">
        <f t="shared" si="1"/>
        <v/>
      </c>
    </row>
    <row r="350">
      <c r="A350" s="459">
        <v>19.3</v>
      </c>
      <c r="B350" s="459">
        <v>2.8</v>
      </c>
      <c r="C350" s="459">
        <v>7.0</v>
      </c>
      <c r="D350" s="459">
        <v>0.8</v>
      </c>
      <c r="E350" s="459">
        <v>1.6</v>
      </c>
      <c r="F350" s="459">
        <v>0.7</v>
      </c>
      <c r="G350" s="459">
        <v>3.2</v>
      </c>
      <c r="H350" s="459">
        <v>1.2</v>
      </c>
      <c r="I350" s="459">
        <v>0.7</v>
      </c>
      <c r="J350" s="459">
        <v>0.4</v>
      </c>
      <c r="K350" s="459">
        <v>1.1</v>
      </c>
      <c r="L350" s="459">
        <v>7.2</v>
      </c>
      <c r="M350" s="459">
        <v>0.2</v>
      </c>
      <c r="N350" s="459">
        <v>0.0</v>
      </c>
      <c r="O350" t="str">
        <f>IFERROR(__xludf.DUMMYFUNCTION("regexextract(B350,""[\w]* [\w]*"")"),"#VALUE!")</f>
        <v>#VALUE!</v>
      </c>
      <c r="P350" t="str">
        <f t="shared" si="2"/>
        <v>#VALUE!</v>
      </c>
      <c r="Q350" t="str">
        <f t="shared" si="3"/>
        <v>#VALUE!</v>
      </c>
      <c r="R350" t="s">
        <v>2631</v>
      </c>
      <c r="S350" s="411" t="s">
        <v>2631</v>
      </c>
      <c r="T350" t="s">
        <v>2631</v>
      </c>
      <c r="U350" t="s">
        <v>2631</v>
      </c>
      <c r="V350" t="s">
        <v>2631</v>
      </c>
      <c r="W350" t="str">
        <f t="shared" si="1"/>
        <v/>
      </c>
    </row>
    <row r="351">
      <c r="A351" s="458">
        <v>19.5</v>
      </c>
      <c r="B351" s="458">
        <v>2.3</v>
      </c>
      <c r="C351" s="458">
        <v>4.0</v>
      </c>
      <c r="D351" s="458">
        <v>1.0</v>
      </c>
      <c r="E351" s="458">
        <v>1.9</v>
      </c>
      <c r="F351" s="458">
        <v>0.0</v>
      </c>
      <c r="G351" s="458">
        <v>5.4</v>
      </c>
      <c r="H351" s="458">
        <v>1.1</v>
      </c>
      <c r="I351" s="458">
        <v>0.2</v>
      </c>
      <c r="J351" s="458">
        <v>1.0</v>
      </c>
      <c r="K351" s="458">
        <v>1.0</v>
      </c>
      <c r="L351" s="458">
        <v>5.5</v>
      </c>
      <c r="M351" s="458">
        <v>0.3</v>
      </c>
      <c r="N351" s="458">
        <v>0.0</v>
      </c>
      <c r="O351" t="str">
        <f>IFERROR(__xludf.DUMMYFUNCTION("regexextract(B351,""[\w]* [\w]*"")"),"#VALUE!")</f>
        <v>#VALUE!</v>
      </c>
      <c r="P351" t="str">
        <f t="shared" si="2"/>
        <v>#VALUE!</v>
      </c>
      <c r="Q351" t="str">
        <f t="shared" si="3"/>
        <v>#VALUE!</v>
      </c>
      <c r="R351" t="s">
        <v>2631</v>
      </c>
      <c r="S351" s="411" t="s">
        <v>2631</v>
      </c>
      <c r="T351" t="s">
        <v>2631</v>
      </c>
      <c r="U351" t="s">
        <v>2631</v>
      </c>
      <c r="V351" t="s">
        <v>2631</v>
      </c>
      <c r="W351" t="str">
        <f t="shared" si="1"/>
        <v/>
      </c>
    </row>
    <row r="352">
      <c r="A352" s="459">
        <v>19.2</v>
      </c>
      <c r="B352" s="459">
        <v>2.0</v>
      </c>
      <c r="C352" s="459">
        <v>4.2</v>
      </c>
      <c r="D352" s="459">
        <v>0.7</v>
      </c>
      <c r="E352" s="459">
        <v>1.0</v>
      </c>
      <c r="F352" s="459">
        <v>0.5</v>
      </c>
      <c r="G352" s="459">
        <v>2.9</v>
      </c>
      <c r="H352" s="459">
        <v>1.0</v>
      </c>
      <c r="I352" s="459">
        <v>0.8</v>
      </c>
      <c r="J352" s="459">
        <v>0.5</v>
      </c>
      <c r="K352" s="459">
        <v>0.6</v>
      </c>
      <c r="L352" s="459">
        <v>5.1</v>
      </c>
      <c r="M352" s="459">
        <v>0.1</v>
      </c>
      <c r="N352" s="459">
        <v>0.0</v>
      </c>
      <c r="O352" t="str">
        <f>IFERROR(__xludf.DUMMYFUNCTION("regexextract(B352,""[\w]* [\w]*"")"),"#VALUE!")</f>
        <v>#VALUE!</v>
      </c>
      <c r="P352" t="str">
        <f t="shared" si="2"/>
        <v>#VALUE!</v>
      </c>
      <c r="Q352" t="str">
        <f t="shared" si="3"/>
        <v>#VALUE!</v>
      </c>
      <c r="R352" t="s">
        <v>2631</v>
      </c>
      <c r="S352" s="411" t="s">
        <v>2631</v>
      </c>
      <c r="T352" t="s">
        <v>2631</v>
      </c>
      <c r="U352" t="s">
        <v>2631</v>
      </c>
      <c r="V352" t="s">
        <v>2631</v>
      </c>
      <c r="W352" t="str">
        <f t="shared" si="1"/>
        <v/>
      </c>
    </row>
    <row r="353">
      <c r="A353" s="458">
        <v>18.2</v>
      </c>
      <c r="B353" s="458">
        <v>2.6</v>
      </c>
      <c r="C353" s="458">
        <v>5.8</v>
      </c>
      <c r="D353" s="458">
        <v>0.8</v>
      </c>
      <c r="E353" s="458">
        <v>1.3</v>
      </c>
      <c r="F353" s="458">
        <v>0.7</v>
      </c>
      <c r="G353" s="458">
        <v>3.1</v>
      </c>
      <c r="H353" s="458">
        <v>1.9</v>
      </c>
      <c r="I353" s="458">
        <v>0.7</v>
      </c>
      <c r="J353" s="458">
        <v>0.7</v>
      </c>
      <c r="K353" s="458">
        <v>1.1</v>
      </c>
      <c r="L353" s="458">
        <v>6.7</v>
      </c>
      <c r="M353" s="458">
        <v>0.2</v>
      </c>
      <c r="N353" s="458">
        <v>0.0</v>
      </c>
      <c r="O353" t="str">
        <f>IFERROR(__xludf.DUMMYFUNCTION("regexextract(B353,""[\w]* [\w]*"")"),"#VALUE!")</f>
        <v>#VALUE!</v>
      </c>
      <c r="P353" t="str">
        <f t="shared" si="2"/>
        <v>#VALUE!</v>
      </c>
      <c r="Q353" t="str">
        <f t="shared" si="3"/>
        <v>#VALUE!</v>
      </c>
      <c r="R353" t="s">
        <v>2631</v>
      </c>
      <c r="S353" s="411" t="s">
        <v>2631</v>
      </c>
      <c r="T353" t="s">
        <v>2631</v>
      </c>
      <c r="U353" t="s">
        <v>2631</v>
      </c>
      <c r="V353" t="s">
        <v>2631</v>
      </c>
      <c r="W353" t="str">
        <f t="shared" si="1"/>
        <v/>
      </c>
    </row>
    <row r="354">
      <c r="A354" s="459">
        <v>17.2</v>
      </c>
      <c r="B354" s="459">
        <v>1.7</v>
      </c>
      <c r="C354" s="459">
        <v>3.9</v>
      </c>
      <c r="D354" s="459">
        <v>0.6</v>
      </c>
      <c r="E354" s="459">
        <v>1.0</v>
      </c>
      <c r="F354" s="459">
        <v>0.3</v>
      </c>
      <c r="G354" s="459">
        <v>3.2</v>
      </c>
      <c r="H354" s="459">
        <v>1.8</v>
      </c>
      <c r="I354" s="459">
        <v>0.8</v>
      </c>
      <c r="J354" s="459">
        <v>0.2</v>
      </c>
      <c r="K354" s="459">
        <v>0.8</v>
      </c>
      <c r="L354" s="459">
        <v>4.3</v>
      </c>
      <c r="M354" s="459">
        <v>0.1</v>
      </c>
      <c r="N354" s="459">
        <v>0.0</v>
      </c>
      <c r="O354" t="str">
        <f>IFERROR(__xludf.DUMMYFUNCTION("regexextract(B354,""[\w]* [\w]*"")"),"#VALUE!")</f>
        <v>#VALUE!</v>
      </c>
      <c r="P354" t="str">
        <f t="shared" si="2"/>
        <v>#VALUE!</v>
      </c>
      <c r="Q354" t="str">
        <f t="shared" si="3"/>
        <v>#VALUE!</v>
      </c>
      <c r="R354" t="s">
        <v>2631</v>
      </c>
      <c r="S354" s="411" t="s">
        <v>2631</v>
      </c>
      <c r="T354" t="s">
        <v>2631</v>
      </c>
      <c r="U354" t="s">
        <v>2631</v>
      </c>
      <c r="V354" t="s">
        <v>2631</v>
      </c>
      <c r="W354" t="str">
        <f t="shared" si="1"/>
        <v/>
      </c>
    </row>
    <row r="355">
      <c r="A355" s="458">
        <v>16.9</v>
      </c>
      <c r="B355" s="458">
        <v>2.2</v>
      </c>
      <c r="C355" s="458">
        <v>5.6</v>
      </c>
      <c r="D355" s="458">
        <v>1.2</v>
      </c>
      <c r="E355" s="458">
        <v>1.8</v>
      </c>
      <c r="F355" s="458">
        <v>0.4</v>
      </c>
      <c r="G355" s="458">
        <v>3.0</v>
      </c>
      <c r="H355" s="458">
        <v>2.6</v>
      </c>
      <c r="I355" s="458">
        <v>0.7</v>
      </c>
      <c r="J355" s="458">
        <v>0.4</v>
      </c>
      <c r="K355" s="458">
        <v>1.3</v>
      </c>
      <c r="L355" s="458">
        <v>6.1</v>
      </c>
      <c r="M355" s="458">
        <v>0.4</v>
      </c>
      <c r="N355" s="462">
        <v>-0.1</v>
      </c>
      <c r="O355" t="str">
        <f>IFERROR(__xludf.DUMMYFUNCTION("regexextract(B355,""[\w]* [\w]*"")"),"#VALUE!")</f>
        <v>#VALUE!</v>
      </c>
      <c r="P355" t="str">
        <f t="shared" si="2"/>
        <v>#VALUE!</v>
      </c>
      <c r="Q355" t="str">
        <f t="shared" si="3"/>
        <v>#VALUE!</v>
      </c>
      <c r="R355" t="s">
        <v>2631</v>
      </c>
      <c r="S355" s="411" t="s">
        <v>2631</v>
      </c>
      <c r="T355" t="s">
        <v>2631</v>
      </c>
      <c r="U355" t="s">
        <v>2631</v>
      </c>
      <c r="V355" t="s">
        <v>2631</v>
      </c>
      <c r="W355" t="str">
        <f t="shared" si="1"/>
        <v/>
      </c>
    </row>
    <row r="356">
      <c r="A356" s="459">
        <v>18.0</v>
      </c>
      <c r="B356" s="459">
        <v>1.7</v>
      </c>
      <c r="C356" s="459">
        <v>4.4</v>
      </c>
      <c r="D356" s="459">
        <v>1.0</v>
      </c>
      <c r="E356" s="459">
        <v>1.2</v>
      </c>
      <c r="F356" s="459">
        <v>0.6</v>
      </c>
      <c r="G356" s="459">
        <v>4.6</v>
      </c>
      <c r="H356" s="459">
        <v>1.0</v>
      </c>
      <c r="I356" s="459">
        <v>0.7</v>
      </c>
      <c r="J356" s="459">
        <v>0.3</v>
      </c>
      <c r="K356" s="459">
        <v>0.8</v>
      </c>
      <c r="L356" s="459">
        <v>5.0</v>
      </c>
      <c r="M356" s="459">
        <v>0.1</v>
      </c>
      <c r="N356" s="459">
        <v>0.0</v>
      </c>
      <c r="O356" t="str">
        <f>IFERROR(__xludf.DUMMYFUNCTION("regexextract(B356,""[\w]* [\w]*"")"),"#VALUE!")</f>
        <v>#VALUE!</v>
      </c>
      <c r="P356" t="str">
        <f t="shared" si="2"/>
        <v>#VALUE!</v>
      </c>
      <c r="Q356" t="str">
        <f t="shared" si="3"/>
        <v>#VALUE!</v>
      </c>
      <c r="R356" t="s">
        <v>2631</v>
      </c>
      <c r="S356" s="411" t="s">
        <v>2631</v>
      </c>
      <c r="T356" t="s">
        <v>2631</v>
      </c>
      <c r="U356" t="s">
        <v>2631</v>
      </c>
      <c r="V356" t="s">
        <v>2631</v>
      </c>
      <c r="W356" t="str">
        <f t="shared" si="1"/>
        <v/>
      </c>
    </row>
    <row r="357">
      <c r="A357" s="458">
        <v>12.7</v>
      </c>
      <c r="B357" s="458">
        <v>1.8</v>
      </c>
      <c r="C357" s="458">
        <v>4.4</v>
      </c>
      <c r="D357" s="458">
        <v>0.5</v>
      </c>
      <c r="E357" s="458">
        <v>0.7</v>
      </c>
      <c r="F357" s="458">
        <v>0.8</v>
      </c>
      <c r="G357" s="458">
        <v>3.2</v>
      </c>
      <c r="H357" s="458">
        <v>0.8</v>
      </c>
      <c r="I357" s="458">
        <v>0.3</v>
      </c>
      <c r="J357" s="458">
        <v>0.4</v>
      </c>
      <c r="K357" s="458">
        <v>0.6</v>
      </c>
      <c r="L357" s="458">
        <v>4.8</v>
      </c>
      <c r="M357" s="458">
        <v>0.1</v>
      </c>
      <c r="N357" s="458">
        <v>0.0</v>
      </c>
      <c r="O357" t="str">
        <f>IFERROR(__xludf.DUMMYFUNCTION("regexextract(B357,""[\w]* [\w]*"")"),"#VALUE!")</f>
        <v>#VALUE!</v>
      </c>
      <c r="P357" t="str">
        <f t="shared" si="2"/>
        <v>#VALUE!</v>
      </c>
      <c r="Q357" t="str">
        <f t="shared" si="3"/>
        <v>#VALUE!</v>
      </c>
      <c r="R357" t="s">
        <v>2631</v>
      </c>
      <c r="S357" s="411" t="s">
        <v>2631</v>
      </c>
      <c r="T357" t="s">
        <v>2631</v>
      </c>
      <c r="U357" t="s">
        <v>2631</v>
      </c>
      <c r="V357" t="s">
        <v>2631</v>
      </c>
      <c r="W357" t="str">
        <f t="shared" si="1"/>
        <v/>
      </c>
    </row>
    <row r="358">
      <c r="A358" s="459">
        <v>15.4</v>
      </c>
      <c r="B358" s="459">
        <v>2.7</v>
      </c>
      <c r="C358" s="459">
        <v>6.3</v>
      </c>
      <c r="D358" s="459">
        <v>0.9</v>
      </c>
      <c r="E358" s="459">
        <v>1.1</v>
      </c>
      <c r="F358" s="459">
        <v>0.9</v>
      </c>
      <c r="G358" s="459">
        <v>1.1</v>
      </c>
      <c r="H358" s="459">
        <v>1.7</v>
      </c>
      <c r="I358" s="459">
        <v>0.5</v>
      </c>
      <c r="J358" s="459">
        <v>0.1</v>
      </c>
      <c r="K358" s="459">
        <v>0.6</v>
      </c>
      <c r="L358" s="459">
        <v>7.3</v>
      </c>
      <c r="M358" s="459">
        <v>0.2</v>
      </c>
      <c r="N358" s="459">
        <v>0.0</v>
      </c>
      <c r="O358" t="str">
        <f>IFERROR(__xludf.DUMMYFUNCTION("regexextract(B358,""[\w]* [\w]*"")"),"#VALUE!")</f>
        <v>#VALUE!</v>
      </c>
      <c r="P358" t="str">
        <f t="shared" si="2"/>
        <v>#VALUE!</v>
      </c>
      <c r="Q358" t="str">
        <f t="shared" si="3"/>
        <v>#VALUE!</v>
      </c>
      <c r="R358" t="s">
        <v>2631</v>
      </c>
      <c r="S358" s="411" t="s">
        <v>2631</v>
      </c>
      <c r="T358" t="s">
        <v>2631</v>
      </c>
      <c r="U358" t="s">
        <v>2631</v>
      </c>
      <c r="V358" t="s">
        <v>2631</v>
      </c>
      <c r="W358" t="str">
        <f t="shared" si="1"/>
        <v/>
      </c>
    </row>
    <row r="359">
      <c r="A359" s="458">
        <v>18.4</v>
      </c>
      <c r="B359" s="458">
        <v>2.5</v>
      </c>
      <c r="C359" s="458">
        <v>5.3</v>
      </c>
      <c r="D359" s="458">
        <v>1.3</v>
      </c>
      <c r="E359" s="458">
        <v>1.7</v>
      </c>
      <c r="F359" s="458">
        <v>0.5</v>
      </c>
      <c r="G359" s="458">
        <v>4.2</v>
      </c>
      <c r="H359" s="458">
        <v>1.0</v>
      </c>
      <c r="I359" s="458">
        <v>0.3</v>
      </c>
      <c r="J359" s="458">
        <v>0.8</v>
      </c>
      <c r="K359" s="458">
        <v>1.1</v>
      </c>
      <c r="L359" s="458">
        <v>6.9</v>
      </c>
      <c r="M359" s="458">
        <v>0.7</v>
      </c>
      <c r="N359" s="462">
        <v>-0.2</v>
      </c>
      <c r="O359" t="str">
        <f>IFERROR(__xludf.DUMMYFUNCTION("regexextract(B359,""[\w]* [\w]*"")"),"#VALUE!")</f>
        <v>#VALUE!</v>
      </c>
      <c r="P359" t="str">
        <f t="shared" si="2"/>
        <v>#VALUE!</v>
      </c>
      <c r="Q359" t="str">
        <f t="shared" si="3"/>
        <v>#VALUE!</v>
      </c>
      <c r="R359" t="s">
        <v>2631</v>
      </c>
      <c r="S359" s="411" t="s">
        <v>2631</v>
      </c>
      <c r="T359" t="s">
        <v>2631</v>
      </c>
      <c r="U359" t="s">
        <v>2631</v>
      </c>
      <c r="V359" t="s">
        <v>2631</v>
      </c>
      <c r="W359" t="str">
        <f t="shared" si="1"/>
        <v/>
      </c>
    </row>
    <row r="360">
      <c r="A360" s="459">
        <v>15.6</v>
      </c>
      <c r="B360" s="459">
        <v>2.6</v>
      </c>
      <c r="C360" s="459">
        <v>5.1</v>
      </c>
      <c r="D360" s="459">
        <v>1.1</v>
      </c>
      <c r="E360" s="459">
        <v>1.4</v>
      </c>
      <c r="F360" s="459">
        <v>0.6</v>
      </c>
      <c r="G360" s="459">
        <v>1.7</v>
      </c>
      <c r="H360" s="459">
        <v>1.0</v>
      </c>
      <c r="I360" s="459">
        <v>0.6</v>
      </c>
      <c r="J360" s="459">
        <v>0.2</v>
      </c>
      <c r="K360" s="459">
        <v>0.9</v>
      </c>
      <c r="L360" s="459">
        <v>6.8</v>
      </c>
      <c r="M360" s="459">
        <v>0.2</v>
      </c>
      <c r="N360" s="463">
        <v>-0.1</v>
      </c>
      <c r="O360" t="str">
        <f>IFERROR(__xludf.DUMMYFUNCTION("regexextract(B360,""[\w]* [\w]*"")"),"#VALUE!")</f>
        <v>#VALUE!</v>
      </c>
      <c r="P360" t="str">
        <f t="shared" si="2"/>
        <v>#VALUE!</v>
      </c>
      <c r="Q360" t="str">
        <f t="shared" si="3"/>
        <v>#VALUE!</v>
      </c>
      <c r="R360" t="s">
        <v>2631</v>
      </c>
      <c r="S360" s="411" t="s">
        <v>2631</v>
      </c>
      <c r="T360" t="s">
        <v>2631</v>
      </c>
      <c r="U360" t="s">
        <v>2631</v>
      </c>
      <c r="V360" t="s">
        <v>2631</v>
      </c>
      <c r="W360" t="str">
        <f t="shared" si="1"/>
        <v/>
      </c>
    </row>
    <row r="361">
      <c r="A361" s="458">
        <v>14.4</v>
      </c>
      <c r="B361" s="458">
        <v>2.2</v>
      </c>
      <c r="C361" s="458">
        <v>5.0</v>
      </c>
      <c r="D361" s="458">
        <v>0.3</v>
      </c>
      <c r="E361" s="458">
        <v>0.3</v>
      </c>
      <c r="F361" s="458">
        <v>1.5</v>
      </c>
      <c r="G361" s="458">
        <v>2.2</v>
      </c>
      <c r="H361" s="458">
        <v>0.7</v>
      </c>
      <c r="I361" s="458">
        <v>0.3</v>
      </c>
      <c r="J361" s="458">
        <v>0.1</v>
      </c>
      <c r="K361" s="458">
        <v>0.6</v>
      </c>
      <c r="L361" s="458">
        <v>6.2</v>
      </c>
      <c r="M361" s="458">
        <v>0.1</v>
      </c>
      <c r="N361" s="458">
        <v>0.0</v>
      </c>
      <c r="O361" t="str">
        <f>IFERROR(__xludf.DUMMYFUNCTION("regexextract(B361,""[\w]* [\w]*"")"),"#VALUE!")</f>
        <v>#VALUE!</v>
      </c>
      <c r="P361" t="str">
        <f t="shared" si="2"/>
        <v>#VALUE!</v>
      </c>
      <c r="Q361" t="str">
        <f t="shared" si="3"/>
        <v>#VALUE!</v>
      </c>
      <c r="R361" t="s">
        <v>2631</v>
      </c>
      <c r="S361" s="411" t="s">
        <v>2631</v>
      </c>
      <c r="T361" t="s">
        <v>2631</v>
      </c>
      <c r="U361" t="s">
        <v>2631</v>
      </c>
      <c r="V361" t="s">
        <v>2631</v>
      </c>
      <c r="W361" t="str">
        <f t="shared" si="1"/>
        <v/>
      </c>
    </row>
    <row r="362">
      <c r="A362" s="459">
        <v>19.0</v>
      </c>
      <c r="B362" s="459">
        <v>2.9</v>
      </c>
      <c r="C362" s="459">
        <v>6.3</v>
      </c>
      <c r="D362" s="459">
        <v>0.8</v>
      </c>
      <c r="E362" s="459">
        <v>1.1</v>
      </c>
      <c r="F362" s="459">
        <v>0.7</v>
      </c>
      <c r="G362" s="459">
        <v>5.2</v>
      </c>
      <c r="H362" s="459">
        <v>1.1</v>
      </c>
      <c r="I362" s="459">
        <v>0.3</v>
      </c>
      <c r="J362" s="459">
        <v>0.5</v>
      </c>
      <c r="K362" s="459">
        <v>0.9</v>
      </c>
      <c r="L362" s="459">
        <v>7.4</v>
      </c>
      <c r="M362" s="459">
        <v>0.2</v>
      </c>
      <c r="N362" s="459">
        <v>0.0</v>
      </c>
      <c r="O362" t="str">
        <f>IFERROR(__xludf.DUMMYFUNCTION("regexextract(B362,""[\w]* [\w]*"")"),"#VALUE!")</f>
        <v>#VALUE!</v>
      </c>
      <c r="P362" t="str">
        <f t="shared" si="2"/>
        <v>#VALUE!</v>
      </c>
      <c r="Q362" t="str">
        <f t="shared" si="3"/>
        <v>#VALUE!</v>
      </c>
      <c r="R362" t="s">
        <v>2631</v>
      </c>
      <c r="S362" s="411" t="s">
        <v>2631</v>
      </c>
      <c r="T362" t="s">
        <v>2631</v>
      </c>
      <c r="U362" t="s">
        <v>2631</v>
      </c>
      <c r="V362" t="s">
        <v>2631</v>
      </c>
      <c r="W362" t="str">
        <f t="shared" si="1"/>
        <v/>
      </c>
    </row>
    <row r="363">
      <c r="A363" s="458">
        <v>17.2</v>
      </c>
      <c r="B363" s="458">
        <v>1.9</v>
      </c>
      <c r="C363" s="458">
        <v>4.8</v>
      </c>
      <c r="D363" s="458">
        <v>1.4</v>
      </c>
      <c r="E363" s="458">
        <v>1.6</v>
      </c>
      <c r="F363" s="458">
        <v>0.4</v>
      </c>
      <c r="G363" s="458">
        <v>1.7</v>
      </c>
      <c r="H363" s="458">
        <v>2.6</v>
      </c>
      <c r="I363" s="458">
        <v>0.7</v>
      </c>
      <c r="J363" s="458">
        <v>0.2</v>
      </c>
      <c r="K363" s="458">
        <v>1.1</v>
      </c>
      <c r="L363" s="458">
        <v>5.7</v>
      </c>
      <c r="M363" s="458">
        <v>0.1</v>
      </c>
      <c r="N363" s="458">
        <v>0.0</v>
      </c>
      <c r="O363" t="str">
        <f>IFERROR(__xludf.DUMMYFUNCTION("regexextract(B363,""[\w]* [\w]*"")"),"#VALUE!")</f>
        <v>#VALUE!</v>
      </c>
      <c r="P363" t="str">
        <f t="shared" si="2"/>
        <v>#VALUE!</v>
      </c>
      <c r="Q363" t="str">
        <f t="shared" si="3"/>
        <v>#VALUE!</v>
      </c>
      <c r="R363" t="s">
        <v>2631</v>
      </c>
      <c r="S363" s="411" t="s">
        <v>2631</v>
      </c>
      <c r="T363" t="s">
        <v>2631</v>
      </c>
      <c r="U363" t="s">
        <v>2631</v>
      </c>
      <c r="V363" t="s">
        <v>2631</v>
      </c>
      <c r="W363" t="str">
        <f t="shared" si="1"/>
        <v/>
      </c>
    </row>
    <row r="364">
      <c r="A364" s="459">
        <v>13.3</v>
      </c>
      <c r="B364" s="459">
        <v>2.5</v>
      </c>
      <c r="C364" s="459">
        <v>4.2</v>
      </c>
      <c r="D364" s="459">
        <v>0.8</v>
      </c>
      <c r="E364" s="459">
        <v>1.1</v>
      </c>
      <c r="F364" s="459">
        <v>0.1</v>
      </c>
      <c r="G364" s="459">
        <v>2.5</v>
      </c>
      <c r="H364" s="459">
        <v>0.6</v>
      </c>
      <c r="I364" s="459">
        <v>0.1</v>
      </c>
      <c r="J364" s="459">
        <v>0.5</v>
      </c>
      <c r="K364" s="459">
        <v>0.8</v>
      </c>
      <c r="L364" s="459">
        <v>5.9</v>
      </c>
      <c r="M364" s="459">
        <v>0.3</v>
      </c>
      <c r="N364" s="459">
        <v>0.0</v>
      </c>
      <c r="O364" t="str">
        <f>IFERROR(__xludf.DUMMYFUNCTION("regexextract(B364,""[\w]* [\w]*"")"),"#VALUE!")</f>
        <v>#VALUE!</v>
      </c>
      <c r="P364" t="str">
        <f t="shared" si="2"/>
        <v>#VALUE!</v>
      </c>
      <c r="Q364" t="str">
        <f t="shared" si="3"/>
        <v>#VALUE!</v>
      </c>
      <c r="R364" t="s">
        <v>2631</v>
      </c>
      <c r="S364" s="411" t="s">
        <v>2631</v>
      </c>
      <c r="T364" t="s">
        <v>2631</v>
      </c>
      <c r="U364" t="s">
        <v>2631</v>
      </c>
      <c r="V364" t="s">
        <v>2631</v>
      </c>
      <c r="W364" t="str">
        <f t="shared" si="1"/>
        <v/>
      </c>
    </row>
    <row r="365">
      <c r="A365" s="436" t="s">
        <v>2934</v>
      </c>
      <c r="C365" s="438"/>
      <c r="D365" s="438"/>
      <c r="E365" s="438"/>
      <c r="F365" s="438"/>
      <c r="G365" s="438"/>
      <c r="O365" t="str">
        <f>IFERROR(__xludf.DUMMYFUNCTION("regexextract(B365,""[\w]* [\w]*"")"),"#N/A")</f>
        <v>#N/A</v>
      </c>
      <c r="P365" t="str">
        <f t="shared" si="2"/>
        <v>#N/A</v>
      </c>
      <c r="Q365" t="str">
        <f t="shared" si="3"/>
        <v>#N/A</v>
      </c>
      <c r="R365" t="s">
        <v>2631</v>
      </c>
      <c r="S365" s="411" t="s">
        <v>2631</v>
      </c>
      <c r="T365" t="s">
        <v>2631</v>
      </c>
      <c r="U365" t="s">
        <v>2631</v>
      </c>
      <c r="V365" t="s">
        <v>2631</v>
      </c>
      <c r="W365" t="str">
        <f t="shared" si="1"/>
        <v/>
      </c>
    </row>
    <row r="366">
      <c r="A366" s="465" t="s">
        <v>2935</v>
      </c>
      <c r="B366" s="465" t="s">
        <v>2936</v>
      </c>
      <c r="C366" s="442"/>
      <c r="D366" s="442"/>
      <c r="E366" s="442"/>
      <c r="F366" s="442"/>
      <c r="G366" s="442"/>
      <c r="O366" t="str">
        <f>IFERROR(__xludf.DUMMYFUNCTION("regexextract(B366,""[\w]* [\w]*"")"),"#N/A")</f>
        <v>#N/A</v>
      </c>
      <c r="P366" t="str">
        <f t="shared" si="2"/>
        <v>#N/A</v>
      </c>
      <c r="Q366" t="str">
        <f t="shared" si="3"/>
        <v>#N/A</v>
      </c>
      <c r="R366" t="s">
        <v>2631</v>
      </c>
      <c r="S366" s="411" t="s">
        <v>2631</v>
      </c>
      <c r="T366" t="s">
        <v>2631</v>
      </c>
      <c r="U366" t="s">
        <v>2631</v>
      </c>
      <c r="V366" t="s">
        <v>2631</v>
      </c>
      <c r="W366" t="str">
        <f t="shared" si="1"/>
        <v/>
      </c>
    </row>
    <row r="367">
      <c r="A367" s="458">
        <v>1176.0</v>
      </c>
      <c r="B367" s="458">
        <v>16.1</v>
      </c>
      <c r="C367" s="438"/>
      <c r="D367" s="438"/>
      <c r="E367" s="438"/>
      <c r="F367" s="438"/>
      <c r="G367" s="438"/>
      <c r="O367" t="str">
        <f>IFERROR(__xludf.DUMMYFUNCTION("regexextract(B367,""[\w]* [\w]*"")"),"#VALUE!")</f>
        <v>#VALUE!</v>
      </c>
      <c r="P367" t="str">
        <f t="shared" si="2"/>
        <v>#VALUE!</v>
      </c>
      <c r="Q367" t="str">
        <f t="shared" si="3"/>
        <v>#VALUE!</v>
      </c>
      <c r="R367" t="s">
        <v>2631</v>
      </c>
      <c r="S367" s="411" t="s">
        <v>2631</v>
      </c>
      <c r="T367" t="s">
        <v>2631</v>
      </c>
      <c r="U367" t="s">
        <v>2631</v>
      </c>
      <c r="V367" t="s">
        <v>2631</v>
      </c>
      <c r="W367" t="str">
        <f t="shared" si="1"/>
        <v/>
      </c>
    </row>
    <row r="368">
      <c r="A368" s="467">
        <v>1166.0</v>
      </c>
      <c r="B368" s="467">
        <v>16.9</v>
      </c>
      <c r="C368" s="442"/>
      <c r="D368" s="442"/>
      <c r="E368" s="442"/>
      <c r="F368" s="442"/>
      <c r="G368" s="442"/>
      <c r="O368" t="str">
        <f>IFERROR(__xludf.DUMMYFUNCTION("regexextract(B368,""[\w]* [\w]*"")"),"#VALUE!")</f>
        <v>#VALUE!</v>
      </c>
      <c r="P368" t="str">
        <f t="shared" si="2"/>
        <v>#VALUE!</v>
      </c>
      <c r="Q368" t="str">
        <f t="shared" si="3"/>
        <v>#VALUE!</v>
      </c>
      <c r="R368" t="s">
        <v>2631</v>
      </c>
      <c r="S368" s="411" t="s">
        <v>2631</v>
      </c>
      <c r="T368" t="s">
        <v>2631</v>
      </c>
      <c r="U368" t="s">
        <v>2631</v>
      </c>
      <c r="V368" t="s">
        <v>2631</v>
      </c>
      <c r="W368" t="str">
        <f t="shared" si="1"/>
        <v/>
      </c>
    </row>
    <row r="369">
      <c r="A369" s="458">
        <v>1152.0</v>
      </c>
      <c r="B369" s="458">
        <v>17.2</v>
      </c>
      <c r="C369" s="438"/>
      <c r="D369" s="438"/>
      <c r="E369" s="438"/>
      <c r="F369" s="438"/>
      <c r="G369" s="438"/>
      <c r="O369" t="str">
        <f>IFERROR(__xludf.DUMMYFUNCTION("regexextract(B369,""[\w]* [\w]*"")"),"#VALUE!")</f>
        <v>#VALUE!</v>
      </c>
      <c r="P369" t="str">
        <f t="shared" si="2"/>
        <v>#VALUE!</v>
      </c>
      <c r="Q369" t="str">
        <f t="shared" si="3"/>
        <v>#VALUE!</v>
      </c>
      <c r="R369" t="s">
        <v>2631</v>
      </c>
      <c r="S369" s="411" t="s">
        <v>2631</v>
      </c>
      <c r="T369" t="s">
        <v>2631</v>
      </c>
      <c r="U369" t="s">
        <v>2631</v>
      </c>
      <c r="V369" t="s">
        <v>2631</v>
      </c>
      <c r="W369" t="str">
        <f t="shared" si="1"/>
        <v/>
      </c>
    </row>
    <row r="370">
      <c r="A370" s="467">
        <v>1151.0</v>
      </c>
      <c r="B370" s="467">
        <v>16.9</v>
      </c>
      <c r="C370" s="442"/>
      <c r="D370" s="442"/>
      <c r="E370" s="442"/>
      <c r="F370" s="442"/>
      <c r="G370" s="442"/>
      <c r="O370" t="str">
        <f>IFERROR(__xludf.DUMMYFUNCTION("regexextract(B370,""[\w]* [\w]*"")"),"#VALUE!")</f>
        <v>#VALUE!</v>
      </c>
      <c r="P370" t="str">
        <f t="shared" si="2"/>
        <v>#VALUE!</v>
      </c>
      <c r="Q370" t="str">
        <f t="shared" si="3"/>
        <v>#VALUE!</v>
      </c>
      <c r="R370" t="s">
        <v>2631</v>
      </c>
      <c r="S370" s="411" t="s">
        <v>2631</v>
      </c>
      <c r="T370" t="s">
        <v>2631</v>
      </c>
      <c r="U370" t="s">
        <v>2631</v>
      </c>
      <c r="V370" t="s">
        <v>2631</v>
      </c>
      <c r="W370" t="str">
        <f t="shared" si="1"/>
        <v/>
      </c>
    </row>
    <row r="371">
      <c r="A371" s="458">
        <v>1148.0</v>
      </c>
      <c r="B371" s="458">
        <v>16.2</v>
      </c>
      <c r="C371" s="438"/>
      <c r="D371" s="438"/>
      <c r="E371" s="438"/>
      <c r="F371" s="438"/>
      <c r="G371" s="438"/>
      <c r="O371" t="str">
        <f>IFERROR(__xludf.DUMMYFUNCTION("regexextract(B371,""[\w]* [\w]*"")"),"#VALUE!")</f>
        <v>#VALUE!</v>
      </c>
      <c r="P371" t="str">
        <f t="shared" si="2"/>
        <v>#VALUE!</v>
      </c>
      <c r="Q371" t="str">
        <f t="shared" si="3"/>
        <v>#VALUE!</v>
      </c>
      <c r="R371" t="s">
        <v>2631</v>
      </c>
      <c r="S371" s="411" t="s">
        <v>2631</v>
      </c>
      <c r="T371" t="s">
        <v>2631</v>
      </c>
      <c r="U371" t="s">
        <v>2631</v>
      </c>
      <c r="V371" t="s">
        <v>2631</v>
      </c>
      <c r="W371" t="str">
        <f t="shared" si="1"/>
        <v/>
      </c>
    </row>
    <row r="372">
      <c r="A372" s="467">
        <v>1136.0</v>
      </c>
      <c r="B372" s="467">
        <v>15.8</v>
      </c>
      <c r="C372" s="442"/>
      <c r="D372" s="442"/>
      <c r="E372" s="442"/>
      <c r="F372" s="442"/>
      <c r="G372" s="442"/>
      <c r="O372" t="str">
        <f>IFERROR(__xludf.DUMMYFUNCTION("regexextract(B372,""[\w]* [\w]*"")"),"#VALUE!")</f>
        <v>#VALUE!</v>
      </c>
      <c r="P372" t="str">
        <f t="shared" si="2"/>
        <v>#VALUE!</v>
      </c>
      <c r="Q372" t="str">
        <f t="shared" si="3"/>
        <v>#VALUE!</v>
      </c>
      <c r="R372" t="s">
        <v>2631</v>
      </c>
      <c r="S372" s="411" t="s">
        <v>2631</v>
      </c>
      <c r="T372" t="s">
        <v>2631</v>
      </c>
      <c r="U372" t="s">
        <v>2631</v>
      </c>
      <c r="V372" t="s">
        <v>2631</v>
      </c>
      <c r="W372" t="str">
        <f t="shared" si="1"/>
        <v/>
      </c>
    </row>
    <row r="373">
      <c r="A373" s="458">
        <v>1134.0</v>
      </c>
      <c r="B373" s="458">
        <v>15.8</v>
      </c>
      <c r="C373" s="438"/>
      <c r="D373" s="438"/>
      <c r="E373" s="438"/>
      <c r="F373" s="438"/>
      <c r="G373" s="438"/>
      <c r="O373" t="str">
        <f>IFERROR(__xludf.DUMMYFUNCTION("regexextract(B373,""[\w]* [\w]*"")"),"#VALUE!")</f>
        <v>#VALUE!</v>
      </c>
      <c r="P373" t="str">
        <f t="shared" si="2"/>
        <v>#VALUE!</v>
      </c>
      <c r="Q373" t="str">
        <f t="shared" si="3"/>
        <v>#VALUE!</v>
      </c>
      <c r="R373" t="s">
        <v>2631</v>
      </c>
      <c r="S373" s="411" t="s">
        <v>2631</v>
      </c>
      <c r="T373" t="s">
        <v>2631</v>
      </c>
      <c r="U373" t="s">
        <v>2631</v>
      </c>
      <c r="V373" t="s">
        <v>2631</v>
      </c>
      <c r="W373" t="str">
        <f t="shared" si="1"/>
        <v/>
      </c>
    </row>
    <row r="374">
      <c r="A374" s="467">
        <v>1131.0</v>
      </c>
      <c r="B374" s="467">
        <v>16.4</v>
      </c>
      <c r="C374" s="442"/>
      <c r="D374" s="442"/>
      <c r="E374" s="442"/>
      <c r="F374" s="442"/>
      <c r="G374" s="442"/>
      <c r="O374" t="str">
        <f>IFERROR(__xludf.DUMMYFUNCTION("regexextract(B374,""[\w]* [\w]*"")"),"#VALUE!")</f>
        <v>#VALUE!</v>
      </c>
      <c r="P374" t="str">
        <f t="shared" si="2"/>
        <v>#VALUE!</v>
      </c>
      <c r="Q374" t="str">
        <f t="shared" si="3"/>
        <v>#VALUE!</v>
      </c>
      <c r="R374" t="s">
        <v>2631</v>
      </c>
      <c r="S374" s="411" t="s">
        <v>2631</v>
      </c>
      <c r="T374" t="s">
        <v>2631</v>
      </c>
      <c r="U374" t="s">
        <v>2631</v>
      </c>
      <c r="V374" t="s">
        <v>2631</v>
      </c>
      <c r="W374" t="str">
        <f t="shared" si="1"/>
        <v/>
      </c>
    </row>
    <row r="375">
      <c r="A375" s="458">
        <v>1126.0</v>
      </c>
      <c r="B375" s="458">
        <v>36.3</v>
      </c>
      <c r="C375" s="438"/>
      <c r="D375" s="438"/>
      <c r="E375" s="438"/>
      <c r="F375" s="438"/>
      <c r="G375" s="438"/>
      <c r="O375" t="str">
        <f>IFERROR(__xludf.DUMMYFUNCTION("regexextract(B375,""[\w]* [\w]*"")"),"#VALUE!")</f>
        <v>#VALUE!</v>
      </c>
      <c r="P375" t="str">
        <f t="shared" si="2"/>
        <v>#VALUE!</v>
      </c>
      <c r="Q375" t="str">
        <f t="shared" si="3"/>
        <v>#VALUE!</v>
      </c>
      <c r="R375" t="s">
        <v>2631</v>
      </c>
      <c r="S375" s="411" t="s">
        <v>2631</v>
      </c>
      <c r="T375" t="s">
        <v>2631</v>
      </c>
      <c r="U375" t="s">
        <v>2631</v>
      </c>
      <c r="V375" t="s">
        <v>2631</v>
      </c>
      <c r="W375" t="str">
        <f t="shared" si="1"/>
        <v/>
      </c>
    </row>
    <row r="376">
      <c r="A376" s="467">
        <v>1123.0</v>
      </c>
      <c r="B376" s="467">
        <v>17.0</v>
      </c>
      <c r="C376" s="442"/>
      <c r="D376" s="442"/>
      <c r="E376" s="442"/>
      <c r="F376" s="442"/>
      <c r="G376" s="442"/>
      <c r="O376" t="str">
        <f>IFERROR(__xludf.DUMMYFUNCTION("regexextract(B376,""[\w]* [\w]*"")"),"#VALUE!")</f>
        <v>#VALUE!</v>
      </c>
      <c r="P376" t="str">
        <f t="shared" si="2"/>
        <v>#VALUE!</v>
      </c>
      <c r="Q376" t="str">
        <f t="shared" si="3"/>
        <v>#VALUE!</v>
      </c>
      <c r="R376" t="s">
        <v>2631</v>
      </c>
      <c r="S376" s="411" t="s">
        <v>2631</v>
      </c>
      <c r="T376" t="s">
        <v>2631</v>
      </c>
      <c r="U376" t="s">
        <v>2631</v>
      </c>
      <c r="V376" t="s">
        <v>2631</v>
      </c>
      <c r="W376" t="str">
        <f t="shared" si="1"/>
        <v/>
      </c>
    </row>
    <row r="377">
      <c r="A377" s="458">
        <v>1116.0</v>
      </c>
      <c r="B377" s="458">
        <v>16.4</v>
      </c>
      <c r="C377" s="438"/>
      <c r="D377" s="438"/>
      <c r="E377" s="438"/>
      <c r="F377" s="438"/>
      <c r="G377" s="438"/>
      <c r="O377" t="str">
        <f>IFERROR(__xludf.DUMMYFUNCTION("regexextract(B377,""[\w]* [\w]*"")"),"#VALUE!")</f>
        <v>#VALUE!</v>
      </c>
      <c r="P377" t="str">
        <f t="shared" si="2"/>
        <v>#VALUE!</v>
      </c>
      <c r="Q377" t="str">
        <f t="shared" si="3"/>
        <v>#VALUE!</v>
      </c>
      <c r="R377" t="s">
        <v>2631</v>
      </c>
      <c r="S377" s="411" t="s">
        <v>2631</v>
      </c>
      <c r="T377" t="s">
        <v>2631</v>
      </c>
      <c r="U377" t="s">
        <v>2631</v>
      </c>
      <c r="V377" t="s">
        <v>2631</v>
      </c>
      <c r="W377" t="str">
        <f t="shared" si="1"/>
        <v/>
      </c>
    </row>
    <row r="378">
      <c r="A378" s="467">
        <v>1116.0</v>
      </c>
      <c r="B378" s="467">
        <v>16.2</v>
      </c>
      <c r="C378" s="442"/>
      <c r="D378" s="442"/>
      <c r="E378" s="442"/>
      <c r="F378" s="442"/>
      <c r="G378" s="442"/>
      <c r="O378" t="str">
        <f>IFERROR(__xludf.DUMMYFUNCTION("regexextract(B378,""[\w]* [\w]*"")"),"#VALUE!")</f>
        <v>#VALUE!</v>
      </c>
      <c r="P378" t="str">
        <f t="shared" si="2"/>
        <v>#VALUE!</v>
      </c>
      <c r="Q378" t="str">
        <f t="shared" si="3"/>
        <v>#VALUE!</v>
      </c>
      <c r="R378" t="s">
        <v>2631</v>
      </c>
      <c r="S378" s="411" t="s">
        <v>2631</v>
      </c>
      <c r="T378" t="s">
        <v>2631</v>
      </c>
      <c r="U378" t="s">
        <v>2631</v>
      </c>
      <c r="V378" t="s">
        <v>2631</v>
      </c>
      <c r="W378" t="str">
        <f t="shared" si="1"/>
        <v/>
      </c>
    </row>
    <row r="379">
      <c r="A379" s="458">
        <v>1115.0</v>
      </c>
      <c r="B379" s="458">
        <v>16.6</v>
      </c>
      <c r="C379" s="438"/>
      <c r="D379" s="438"/>
      <c r="E379" s="438"/>
      <c r="F379" s="438"/>
      <c r="G379" s="438"/>
      <c r="O379" t="str">
        <f>IFERROR(__xludf.DUMMYFUNCTION("regexextract(B379,""[\w]* [\w]*"")"),"#VALUE!")</f>
        <v>#VALUE!</v>
      </c>
      <c r="P379" t="str">
        <f t="shared" si="2"/>
        <v>#VALUE!</v>
      </c>
      <c r="Q379" t="str">
        <f t="shared" si="3"/>
        <v>#VALUE!</v>
      </c>
      <c r="R379" t="s">
        <v>2631</v>
      </c>
      <c r="S379" s="411" t="s">
        <v>2631</v>
      </c>
      <c r="T379" t="s">
        <v>2631</v>
      </c>
      <c r="U379" t="s">
        <v>2631</v>
      </c>
      <c r="V379" t="s">
        <v>2631</v>
      </c>
      <c r="W379" t="str">
        <f t="shared" si="1"/>
        <v/>
      </c>
    </row>
    <row r="380">
      <c r="A380" s="467">
        <v>1115.0</v>
      </c>
      <c r="B380" s="467">
        <v>16.9</v>
      </c>
      <c r="C380" s="442"/>
      <c r="D380" s="442"/>
      <c r="E380" s="442"/>
      <c r="F380" s="442"/>
      <c r="G380" s="442"/>
      <c r="O380" t="str">
        <f>IFERROR(__xludf.DUMMYFUNCTION("regexextract(B380,""[\w]* [\w]*"")"),"#VALUE!")</f>
        <v>#VALUE!</v>
      </c>
      <c r="P380" t="str">
        <f t="shared" si="2"/>
        <v>#VALUE!</v>
      </c>
      <c r="Q380" t="str">
        <f t="shared" si="3"/>
        <v>#VALUE!</v>
      </c>
      <c r="R380" t="s">
        <v>2631</v>
      </c>
      <c r="S380" s="411" t="s">
        <v>2631</v>
      </c>
      <c r="T380" t="s">
        <v>2631</v>
      </c>
      <c r="U380" t="s">
        <v>2631</v>
      </c>
      <c r="V380" t="s">
        <v>2631</v>
      </c>
      <c r="W380" t="str">
        <f t="shared" si="1"/>
        <v/>
      </c>
    </row>
    <row r="381">
      <c r="A381" s="458">
        <v>1114.0</v>
      </c>
      <c r="B381" s="458">
        <v>17.4</v>
      </c>
      <c r="C381" s="438"/>
      <c r="D381" s="453"/>
      <c r="E381" s="438"/>
      <c r="F381" s="438"/>
      <c r="G381" s="438"/>
      <c r="O381" t="str">
        <f>IFERROR(__xludf.DUMMYFUNCTION("regexextract(B381,""[\w]* [\w]*"")"),"#VALUE!")</f>
        <v>#VALUE!</v>
      </c>
      <c r="P381" t="str">
        <f t="shared" si="2"/>
        <v>#VALUE!</v>
      </c>
      <c r="Q381" t="str">
        <f t="shared" si="3"/>
        <v>#VALUE!</v>
      </c>
      <c r="R381" t="s">
        <v>2631</v>
      </c>
      <c r="S381" s="411" t="s">
        <v>2631</v>
      </c>
      <c r="T381" t="s">
        <v>2631</v>
      </c>
      <c r="U381" t="s">
        <v>2631</v>
      </c>
      <c r="V381" t="s">
        <v>2631</v>
      </c>
      <c r="W381" t="str">
        <f t="shared" si="1"/>
        <v/>
      </c>
    </row>
    <row r="382">
      <c r="A382" s="467">
        <v>1104.0</v>
      </c>
      <c r="B382" s="467">
        <v>16.2</v>
      </c>
      <c r="C382" s="442"/>
      <c r="D382" s="442"/>
      <c r="E382" s="442"/>
      <c r="F382" s="442"/>
      <c r="G382" s="442"/>
      <c r="O382" t="str">
        <f>IFERROR(__xludf.DUMMYFUNCTION("regexextract(B382,""[\w]* [\w]*"")"),"#VALUE!")</f>
        <v>#VALUE!</v>
      </c>
      <c r="P382" t="str">
        <f t="shared" si="2"/>
        <v>#VALUE!</v>
      </c>
      <c r="Q382" t="str">
        <f t="shared" si="3"/>
        <v>#VALUE!</v>
      </c>
      <c r="R382" t="s">
        <v>2631</v>
      </c>
      <c r="S382" s="411" t="s">
        <v>2631</v>
      </c>
      <c r="T382" t="s">
        <v>2631</v>
      </c>
      <c r="U382" t="s">
        <v>2631</v>
      </c>
      <c r="V382" t="s">
        <v>2631</v>
      </c>
      <c r="W382" t="str">
        <f t="shared" si="1"/>
        <v/>
      </c>
    </row>
    <row r="383">
      <c r="A383" s="458">
        <v>1090.0</v>
      </c>
      <c r="B383" s="458">
        <v>15.4</v>
      </c>
      <c r="C383" s="438"/>
      <c r="D383" s="438"/>
      <c r="E383" s="438"/>
      <c r="F383" s="438"/>
      <c r="G383" s="438"/>
      <c r="O383" t="str">
        <f>IFERROR(__xludf.DUMMYFUNCTION("regexextract(B383,""[\w]* [\w]*"")"),"#VALUE!")</f>
        <v>#VALUE!</v>
      </c>
      <c r="P383" t="str">
        <f t="shared" si="2"/>
        <v>#VALUE!</v>
      </c>
      <c r="Q383" t="str">
        <f t="shared" si="3"/>
        <v>#VALUE!</v>
      </c>
      <c r="R383" t="s">
        <v>2631</v>
      </c>
      <c r="S383" s="411" t="s">
        <v>2631</v>
      </c>
      <c r="T383" t="s">
        <v>2631</v>
      </c>
      <c r="U383" t="s">
        <v>2631</v>
      </c>
      <c r="V383" t="s">
        <v>2631</v>
      </c>
      <c r="W383" t="str">
        <f t="shared" si="1"/>
        <v/>
      </c>
    </row>
    <row r="384">
      <c r="A384" s="467">
        <v>1079.0</v>
      </c>
      <c r="B384" s="467">
        <v>15.2</v>
      </c>
      <c r="C384" s="442"/>
      <c r="D384" s="442"/>
      <c r="E384" s="442"/>
      <c r="F384" s="442"/>
      <c r="G384" s="442"/>
      <c r="O384" t="str">
        <f>IFERROR(__xludf.DUMMYFUNCTION("regexextract(B384,""[\w]* [\w]*"")"),"#VALUE!")</f>
        <v>#VALUE!</v>
      </c>
      <c r="P384" t="str">
        <f t="shared" si="2"/>
        <v>#VALUE!</v>
      </c>
      <c r="Q384" t="str">
        <f t="shared" si="3"/>
        <v>#VALUE!</v>
      </c>
      <c r="R384" t="s">
        <v>2631</v>
      </c>
      <c r="S384" s="411" t="s">
        <v>2631</v>
      </c>
      <c r="T384" t="s">
        <v>2631</v>
      </c>
      <c r="U384" t="s">
        <v>2631</v>
      </c>
      <c r="V384" t="s">
        <v>2631</v>
      </c>
      <c r="W384" t="str">
        <f t="shared" si="1"/>
        <v/>
      </c>
    </row>
    <row r="385">
      <c r="A385" s="458">
        <v>1078.0</v>
      </c>
      <c r="B385" s="458">
        <v>14.8</v>
      </c>
      <c r="C385" s="438"/>
      <c r="D385" s="438"/>
      <c r="E385" s="438"/>
      <c r="F385" s="438"/>
      <c r="G385" s="438"/>
      <c r="O385" t="str">
        <f>IFERROR(__xludf.DUMMYFUNCTION("regexextract(B385,""[\w]* [\w]*"")"),"#VALUE!")</f>
        <v>#VALUE!</v>
      </c>
      <c r="P385" t="str">
        <f t="shared" si="2"/>
        <v>#VALUE!</v>
      </c>
      <c r="Q385" t="str">
        <f t="shared" si="3"/>
        <v>#VALUE!</v>
      </c>
      <c r="R385" t="s">
        <v>2631</v>
      </c>
      <c r="S385" s="411" t="s">
        <v>2631</v>
      </c>
      <c r="T385" t="s">
        <v>2631</v>
      </c>
      <c r="U385" t="s">
        <v>2631</v>
      </c>
      <c r="V385" t="s">
        <v>2631</v>
      </c>
      <c r="W385" t="str">
        <f t="shared" si="1"/>
        <v/>
      </c>
    </row>
    <row r="386">
      <c r="A386" s="467">
        <v>1077.0</v>
      </c>
      <c r="B386" s="467">
        <v>16.6</v>
      </c>
      <c r="C386" s="442"/>
      <c r="D386" s="442"/>
      <c r="E386" s="442"/>
      <c r="F386" s="442"/>
      <c r="G386" s="442"/>
      <c r="O386" t="str">
        <f>IFERROR(__xludf.DUMMYFUNCTION("regexextract(B386,""[\w]* [\w]*"")"),"#VALUE!")</f>
        <v>#VALUE!</v>
      </c>
      <c r="P386" t="str">
        <f t="shared" si="2"/>
        <v>#VALUE!</v>
      </c>
      <c r="Q386" t="str">
        <f t="shared" si="3"/>
        <v>#VALUE!</v>
      </c>
      <c r="R386" t="s">
        <v>2631</v>
      </c>
      <c r="S386" s="411" t="s">
        <v>2631</v>
      </c>
      <c r="T386" t="s">
        <v>2631</v>
      </c>
      <c r="U386" t="s">
        <v>2631</v>
      </c>
      <c r="V386" t="s">
        <v>2631</v>
      </c>
      <c r="W386" t="str">
        <f t="shared" si="1"/>
        <v/>
      </c>
    </row>
    <row r="387">
      <c r="A387" s="458">
        <v>1076.0</v>
      </c>
      <c r="B387" s="458">
        <v>16.6</v>
      </c>
      <c r="C387" s="438"/>
      <c r="D387" s="438"/>
      <c r="E387" s="438"/>
      <c r="F387" s="438"/>
      <c r="G387" s="438"/>
      <c r="O387" t="str">
        <f>IFERROR(__xludf.DUMMYFUNCTION("regexextract(B387,""[\w]* [\w]*"")"),"#VALUE!")</f>
        <v>#VALUE!</v>
      </c>
      <c r="P387" t="str">
        <f t="shared" si="2"/>
        <v>#VALUE!</v>
      </c>
      <c r="Q387" t="str">
        <f t="shared" si="3"/>
        <v>#VALUE!</v>
      </c>
      <c r="R387" t="s">
        <v>2631</v>
      </c>
      <c r="S387" s="411" t="s">
        <v>2631</v>
      </c>
      <c r="T387" t="s">
        <v>2631</v>
      </c>
      <c r="U387" t="s">
        <v>2631</v>
      </c>
      <c r="V387" t="s">
        <v>2631</v>
      </c>
      <c r="W387" t="str">
        <f t="shared" si="1"/>
        <v/>
      </c>
    </row>
    <row r="388">
      <c r="A388" s="467">
        <v>1076.0</v>
      </c>
      <c r="B388" s="467">
        <v>14.7</v>
      </c>
      <c r="C388" s="442"/>
      <c r="D388" s="442"/>
      <c r="E388" s="442"/>
      <c r="F388" s="442"/>
      <c r="G388" s="442"/>
      <c r="O388" t="str">
        <f>IFERROR(__xludf.DUMMYFUNCTION("regexextract(B388,""[\w]* [\w]*"")"),"#VALUE!")</f>
        <v>#VALUE!</v>
      </c>
      <c r="P388" t="str">
        <f t="shared" si="2"/>
        <v>#VALUE!</v>
      </c>
      <c r="Q388" t="str">
        <f t="shared" si="3"/>
        <v>#VALUE!</v>
      </c>
      <c r="R388" t="s">
        <v>2631</v>
      </c>
      <c r="S388" s="411" t="s">
        <v>2631</v>
      </c>
      <c r="T388" t="s">
        <v>2631</v>
      </c>
      <c r="U388" t="s">
        <v>2631</v>
      </c>
      <c r="V388" t="s">
        <v>2631</v>
      </c>
      <c r="W388" t="str">
        <f t="shared" si="1"/>
        <v/>
      </c>
    </row>
    <row r="389">
      <c r="A389" s="458">
        <v>1075.0</v>
      </c>
      <c r="B389" s="458">
        <v>14.9</v>
      </c>
      <c r="C389" s="438"/>
      <c r="D389" s="438"/>
      <c r="E389" s="438"/>
      <c r="F389" s="438"/>
      <c r="G389" s="438"/>
      <c r="O389" t="str">
        <f>IFERROR(__xludf.DUMMYFUNCTION("regexextract(B389,""[\w]* [\w]*"")"),"#VALUE!")</f>
        <v>#VALUE!</v>
      </c>
      <c r="P389" t="str">
        <f t="shared" si="2"/>
        <v>#VALUE!</v>
      </c>
      <c r="Q389" t="str">
        <f t="shared" si="3"/>
        <v>#VALUE!</v>
      </c>
      <c r="R389" t="s">
        <v>2631</v>
      </c>
      <c r="S389" s="411" t="s">
        <v>2631</v>
      </c>
      <c r="T389" t="s">
        <v>2631</v>
      </c>
      <c r="U389" t="s">
        <v>2631</v>
      </c>
      <c r="V389" t="s">
        <v>2631</v>
      </c>
      <c r="W389" t="str">
        <f t="shared" si="1"/>
        <v/>
      </c>
    </row>
    <row r="390">
      <c r="A390" s="467">
        <v>1069.0</v>
      </c>
      <c r="B390" s="467">
        <v>15.7</v>
      </c>
      <c r="C390" s="442"/>
      <c r="D390" s="442"/>
      <c r="E390" s="442"/>
      <c r="F390" s="442"/>
      <c r="G390" s="442"/>
      <c r="O390" t="str">
        <f>IFERROR(__xludf.DUMMYFUNCTION("regexextract(B390,""[\w]* [\w]*"")"),"#VALUE!")</f>
        <v>#VALUE!</v>
      </c>
      <c r="P390" t="str">
        <f t="shared" si="2"/>
        <v>#VALUE!</v>
      </c>
      <c r="Q390" t="str">
        <f t="shared" si="3"/>
        <v>#VALUE!</v>
      </c>
      <c r="R390" t="s">
        <v>2631</v>
      </c>
      <c r="S390" s="411" t="s">
        <v>2631</v>
      </c>
      <c r="T390" t="s">
        <v>2631</v>
      </c>
      <c r="U390" t="s">
        <v>2631</v>
      </c>
      <c r="V390" t="s">
        <v>2631</v>
      </c>
      <c r="W390" t="str">
        <f t="shared" si="1"/>
        <v/>
      </c>
    </row>
    <row r="391">
      <c r="A391" s="458">
        <v>1065.0</v>
      </c>
      <c r="B391" s="458">
        <v>14.6</v>
      </c>
      <c r="C391" s="438"/>
      <c r="D391" s="438"/>
      <c r="E391" s="438"/>
      <c r="F391" s="438"/>
      <c r="G391" s="438"/>
      <c r="O391" t="str">
        <f>IFERROR(__xludf.DUMMYFUNCTION("regexextract(B391,""[\w]* [\w]*"")"),"#VALUE!")</f>
        <v>#VALUE!</v>
      </c>
      <c r="P391" t="str">
        <f t="shared" si="2"/>
        <v>#VALUE!</v>
      </c>
      <c r="Q391" t="str">
        <f t="shared" si="3"/>
        <v>#VALUE!</v>
      </c>
      <c r="R391" t="s">
        <v>2631</v>
      </c>
      <c r="S391" s="411" t="s">
        <v>2631</v>
      </c>
      <c r="T391" t="s">
        <v>2631</v>
      </c>
      <c r="U391" t="s">
        <v>2631</v>
      </c>
      <c r="V391" t="s">
        <v>2631</v>
      </c>
      <c r="W391" t="str">
        <f t="shared" si="1"/>
        <v/>
      </c>
    </row>
    <row r="392">
      <c r="A392" s="467">
        <v>1052.0</v>
      </c>
      <c r="B392" s="467">
        <v>15.2</v>
      </c>
      <c r="C392" s="442"/>
      <c r="D392" s="442"/>
      <c r="E392" s="442"/>
      <c r="F392" s="442"/>
      <c r="G392" s="442"/>
      <c r="O392" t="str">
        <f>IFERROR(__xludf.DUMMYFUNCTION("regexextract(B392,""[\w]* [\w]*"")"),"#VALUE!")</f>
        <v>#VALUE!</v>
      </c>
      <c r="P392" t="str">
        <f t="shared" si="2"/>
        <v>#VALUE!</v>
      </c>
      <c r="Q392" t="str">
        <f t="shared" si="3"/>
        <v>#VALUE!</v>
      </c>
      <c r="R392" t="s">
        <v>2631</v>
      </c>
      <c r="S392" s="411" t="s">
        <v>2631</v>
      </c>
      <c r="T392" t="s">
        <v>2631</v>
      </c>
      <c r="U392" t="s">
        <v>2631</v>
      </c>
      <c r="V392" t="s">
        <v>2631</v>
      </c>
      <c r="W392" t="str">
        <f t="shared" si="1"/>
        <v/>
      </c>
    </row>
    <row r="393">
      <c r="A393" s="458">
        <v>1029.0</v>
      </c>
      <c r="B393" s="458">
        <v>14.1</v>
      </c>
      <c r="C393" s="438"/>
      <c r="D393" s="438"/>
      <c r="E393" s="438"/>
      <c r="F393" s="438"/>
      <c r="G393" s="438"/>
      <c r="O393" t="str">
        <f>IFERROR(__xludf.DUMMYFUNCTION("regexextract(B393,""[\w]* [\w]*"")"),"#VALUE!")</f>
        <v>#VALUE!</v>
      </c>
      <c r="P393" t="str">
        <f t="shared" si="2"/>
        <v>#VALUE!</v>
      </c>
      <c r="Q393" t="str">
        <f t="shared" si="3"/>
        <v>#VALUE!</v>
      </c>
      <c r="R393" t="s">
        <v>2631</v>
      </c>
      <c r="S393" s="411" t="s">
        <v>2631</v>
      </c>
      <c r="T393" t="s">
        <v>2631</v>
      </c>
      <c r="U393" t="s">
        <v>2631</v>
      </c>
      <c r="V393" t="s">
        <v>2631</v>
      </c>
      <c r="W393" t="str">
        <f t="shared" si="1"/>
        <v/>
      </c>
    </row>
    <row r="394">
      <c r="A394" s="467">
        <v>1024.0</v>
      </c>
      <c r="B394" s="467">
        <v>15.5</v>
      </c>
      <c r="C394" s="442"/>
      <c r="D394" s="442"/>
      <c r="E394" s="442"/>
      <c r="F394" s="442"/>
      <c r="G394" s="442"/>
      <c r="O394" t="str">
        <f>IFERROR(__xludf.DUMMYFUNCTION("regexextract(B394,""[\w]* [\w]*"")"),"#VALUE!")</f>
        <v>#VALUE!</v>
      </c>
      <c r="P394" t="str">
        <f t="shared" si="2"/>
        <v>#VALUE!</v>
      </c>
      <c r="Q394" t="str">
        <f t="shared" si="3"/>
        <v>#VALUE!</v>
      </c>
      <c r="R394" t="s">
        <v>2631</v>
      </c>
      <c r="S394" s="411" t="s">
        <v>2631</v>
      </c>
      <c r="T394" t="s">
        <v>2631</v>
      </c>
      <c r="U394" t="s">
        <v>2631</v>
      </c>
      <c r="V394" t="s">
        <v>2631</v>
      </c>
      <c r="W394" t="str">
        <f t="shared" si="1"/>
        <v/>
      </c>
    </row>
    <row r="395">
      <c r="A395" s="458">
        <v>1022.0</v>
      </c>
      <c r="B395" s="458">
        <v>14.2</v>
      </c>
      <c r="C395" s="438"/>
      <c r="D395" s="438"/>
      <c r="E395" s="438"/>
      <c r="F395" s="438"/>
      <c r="G395" s="438"/>
      <c r="O395" t="str">
        <f>IFERROR(__xludf.DUMMYFUNCTION("regexextract(B395,""[\w]* [\w]*"")"),"#VALUE!")</f>
        <v>#VALUE!</v>
      </c>
      <c r="P395" t="str">
        <f t="shared" si="2"/>
        <v>#VALUE!</v>
      </c>
      <c r="Q395" t="str">
        <f t="shared" si="3"/>
        <v>#VALUE!</v>
      </c>
      <c r="R395" t="s">
        <v>2631</v>
      </c>
      <c r="S395" s="411" t="s">
        <v>2631</v>
      </c>
      <c r="T395" t="s">
        <v>2631</v>
      </c>
      <c r="U395" t="s">
        <v>2631</v>
      </c>
      <c r="V395" t="s">
        <v>2631</v>
      </c>
      <c r="W395" t="str">
        <f t="shared" si="1"/>
        <v/>
      </c>
    </row>
    <row r="396">
      <c r="A396" s="467">
        <v>1004.0</v>
      </c>
      <c r="B396" s="467">
        <v>17.3</v>
      </c>
      <c r="C396" s="442"/>
      <c r="D396" s="442"/>
      <c r="E396" s="442"/>
      <c r="F396" s="442"/>
      <c r="G396" s="442"/>
      <c r="O396" t="str">
        <f>IFERROR(__xludf.DUMMYFUNCTION("regexextract(B396,""[\w]* [\w]*"")"),"#VALUE!")</f>
        <v>#VALUE!</v>
      </c>
      <c r="P396" t="str">
        <f t="shared" si="2"/>
        <v>#VALUE!</v>
      </c>
      <c r="Q396" t="str">
        <f t="shared" si="3"/>
        <v>#VALUE!</v>
      </c>
      <c r="R396" t="s">
        <v>2631</v>
      </c>
      <c r="S396" s="411" t="s">
        <v>2631</v>
      </c>
      <c r="T396" t="s">
        <v>2631</v>
      </c>
      <c r="U396" t="s">
        <v>2631</v>
      </c>
      <c r="V396" t="s">
        <v>2631</v>
      </c>
      <c r="W396" t="str">
        <f t="shared" si="1"/>
        <v/>
      </c>
    </row>
    <row r="397">
      <c r="A397" s="458">
        <v>997.0</v>
      </c>
      <c r="B397" s="458">
        <v>13.8</v>
      </c>
      <c r="C397" s="438"/>
      <c r="D397" s="438"/>
      <c r="E397" s="438"/>
      <c r="F397" s="438"/>
      <c r="G397" s="438"/>
      <c r="O397" t="str">
        <f>IFERROR(__xludf.DUMMYFUNCTION("regexextract(B397,""[\w]* [\w]*"")"),"#VALUE!")</f>
        <v>#VALUE!</v>
      </c>
      <c r="P397" t="str">
        <f t="shared" si="2"/>
        <v>#VALUE!</v>
      </c>
      <c r="Q397" t="str">
        <f t="shared" si="3"/>
        <v>#VALUE!</v>
      </c>
      <c r="R397" t="s">
        <v>2631</v>
      </c>
      <c r="S397" s="411" t="s">
        <v>2631</v>
      </c>
      <c r="T397" t="s">
        <v>2631</v>
      </c>
      <c r="U397" t="s">
        <v>2631</v>
      </c>
      <c r="V397" t="s">
        <v>2631</v>
      </c>
      <c r="W397" t="str">
        <f t="shared" si="1"/>
        <v/>
      </c>
    </row>
    <row r="398">
      <c r="A398" s="467">
        <v>991.0</v>
      </c>
      <c r="B398" s="467">
        <v>15.5</v>
      </c>
      <c r="C398" s="442"/>
      <c r="D398" s="442"/>
      <c r="E398" s="442"/>
      <c r="F398" s="442"/>
      <c r="G398" s="442"/>
      <c r="O398" t="str">
        <f>IFERROR(__xludf.DUMMYFUNCTION("regexextract(B398,""[\w]* [\w]*"")"),"#VALUE!")</f>
        <v>#VALUE!</v>
      </c>
      <c r="P398" t="str">
        <f t="shared" si="2"/>
        <v>#VALUE!</v>
      </c>
      <c r="Q398" t="str">
        <f t="shared" si="3"/>
        <v>#VALUE!</v>
      </c>
      <c r="R398" t="s">
        <v>2631</v>
      </c>
      <c r="S398" s="411" t="s">
        <v>2631</v>
      </c>
      <c r="T398" t="s">
        <v>2631</v>
      </c>
      <c r="U398" t="s">
        <v>2631</v>
      </c>
      <c r="V398" t="s">
        <v>2631</v>
      </c>
      <c r="W398" t="str">
        <f t="shared" si="1"/>
        <v/>
      </c>
    </row>
    <row r="399">
      <c r="A399" s="458">
        <v>952.0</v>
      </c>
      <c r="B399" s="458">
        <v>14.2</v>
      </c>
      <c r="C399" s="438"/>
      <c r="D399" s="438"/>
      <c r="E399" s="438"/>
      <c r="F399" s="438"/>
      <c r="G399" s="438"/>
      <c r="O399" t="str">
        <f>IFERROR(__xludf.DUMMYFUNCTION("regexextract(B399,""[\w]* [\w]*"")"),"#VALUE!")</f>
        <v>#VALUE!</v>
      </c>
      <c r="P399" t="str">
        <f t="shared" si="2"/>
        <v>#VALUE!</v>
      </c>
      <c r="Q399" t="str">
        <f t="shared" si="3"/>
        <v>#VALUE!</v>
      </c>
      <c r="R399" t="s">
        <v>2631</v>
      </c>
      <c r="S399" s="411" t="s">
        <v>2631</v>
      </c>
      <c r="T399" t="s">
        <v>2631</v>
      </c>
      <c r="U399" t="s">
        <v>2631</v>
      </c>
      <c r="V399" t="s">
        <v>2631</v>
      </c>
      <c r="W399" t="str">
        <f t="shared" si="1"/>
        <v/>
      </c>
    </row>
    <row r="400">
      <c r="A400" s="467">
        <v>946.0</v>
      </c>
      <c r="B400" s="467">
        <v>14.3</v>
      </c>
      <c r="C400" s="442"/>
      <c r="D400" s="442"/>
      <c r="E400" s="442"/>
      <c r="F400" s="442"/>
      <c r="G400" s="442"/>
      <c r="O400" t="str">
        <f>IFERROR(__xludf.DUMMYFUNCTION("regexextract(B400,""[\w]* [\w]*"")"),"#VALUE!")</f>
        <v>#VALUE!</v>
      </c>
      <c r="P400" t="str">
        <f t="shared" si="2"/>
        <v>#VALUE!</v>
      </c>
      <c r="Q400" t="str">
        <f t="shared" si="3"/>
        <v>#VALUE!</v>
      </c>
      <c r="R400" t="s">
        <v>2631</v>
      </c>
      <c r="S400" s="411" t="s">
        <v>2631</v>
      </c>
      <c r="T400" t="s">
        <v>2631</v>
      </c>
      <c r="U400" t="s">
        <v>2631</v>
      </c>
      <c r="V400" t="s">
        <v>2631</v>
      </c>
      <c r="W400" t="str">
        <f t="shared" si="1"/>
        <v/>
      </c>
    </row>
    <row r="401">
      <c r="A401" s="458">
        <v>945.0</v>
      </c>
      <c r="B401" s="458">
        <v>25.5</v>
      </c>
      <c r="C401" s="438"/>
      <c r="D401" s="438"/>
      <c r="E401" s="438"/>
      <c r="F401" s="438"/>
      <c r="G401" s="438"/>
      <c r="O401" t="str">
        <f>IFERROR(__xludf.DUMMYFUNCTION("regexextract(B401,""[\w]* [\w]*"")"),"#VALUE!")</f>
        <v>#VALUE!</v>
      </c>
      <c r="P401" t="str">
        <f t="shared" si="2"/>
        <v>#VALUE!</v>
      </c>
      <c r="Q401" t="str">
        <f t="shared" si="3"/>
        <v>#VALUE!</v>
      </c>
      <c r="R401" t="s">
        <v>2631</v>
      </c>
      <c r="S401" s="411" t="s">
        <v>2631</v>
      </c>
      <c r="T401" t="s">
        <v>2631</v>
      </c>
      <c r="U401" t="s">
        <v>2631</v>
      </c>
      <c r="V401" t="s">
        <v>2631</v>
      </c>
      <c r="W401" t="str">
        <f t="shared" si="1"/>
        <v/>
      </c>
    </row>
    <row r="402">
      <c r="A402" s="467">
        <v>942.0</v>
      </c>
      <c r="B402" s="467">
        <v>13.7</v>
      </c>
      <c r="C402" s="442"/>
      <c r="D402" s="442"/>
      <c r="E402" s="442"/>
      <c r="F402" s="442"/>
      <c r="G402" s="442"/>
      <c r="O402" t="str">
        <f>IFERROR(__xludf.DUMMYFUNCTION("regexextract(B402,""[\w]* [\w]*"")"),"#VALUE!")</f>
        <v>#VALUE!</v>
      </c>
      <c r="P402" t="str">
        <f t="shared" si="2"/>
        <v>#VALUE!</v>
      </c>
      <c r="Q402" t="str">
        <f t="shared" si="3"/>
        <v>#VALUE!</v>
      </c>
      <c r="R402" t="s">
        <v>2631</v>
      </c>
      <c r="S402" s="411" t="s">
        <v>2631</v>
      </c>
      <c r="T402" t="s">
        <v>2631</v>
      </c>
      <c r="U402" t="s">
        <v>2631</v>
      </c>
      <c r="V402" t="s">
        <v>2631</v>
      </c>
      <c r="W402" t="str">
        <f t="shared" si="1"/>
        <v/>
      </c>
    </row>
    <row r="403">
      <c r="A403" s="458">
        <v>934.0</v>
      </c>
      <c r="B403" s="458">
        <v>15.6</v>
      </c>
      <c r="C403" s="438"/>
      <c r="D403" s="438"/>
      <c r="E403" s="438"/>
      <c r="F403" s="438"/>
      <c r="G403" s="438"/>
      <c r="O403" t="str">
        <f>IFERROR(__xludf.DUMMYFUNCTION("regexextract(B403,""[\w]* [\w]*"")"),"#VALUE!")</f>
        <v>#VALUE!</v>
      </c>
      <c r="P403" t="str">
        <f t="shared" si="2"/>
        <v>#VALUE!</v>
      </c>
      <c r="Q403" t="str">
        <f t="shared" si="3"/>
        <v>#VALUE!</v>
      </c>
      <c r="R403" t="s">
        <v>2631</v>
      </c>
      <c r="S403" s="411" t="s">
        <v>2631</v>
      </c>
      <c r="T403" t="s">
        <v>2631</v>
      </c>
      <c r="U403" t="s">
        <v>2631</v>
      </c>
      <c r="V403" t="s">
        <v>2631</v>
      </c>
      <c r="W403" t="str">
        <f t="shared" si="1"/>
        <v/>
      </c>
    </row>
    <row r="404">
      <c r="A404" s="467">
        <v>905.0</v>
      </c>
      <c r="B404" s="467">
        <v>13.9</v>
      </c>
      <c r="C404" s="442"/>
      <c r="D404" s="442"/>
      <c r="E404" s="442"/>
      <c r="F404" s="442"/>
      <c r="G404" s="442"/>
      <c r="O404" t="str">
        <f>IFERROR(__xludf.DUMMYFUNCTION("regexextract(B404,""[\w]* [\w]*"")"),"#VALUE!")</f>
        <v>#VALUE!</v>
      </c>
      <c r="P404" t="str">
        <f t="shared" si="2"/>
        <v>#VALUE!</v>
      </c>
      <c r="Q404" t="str">
        <f t="shared" si="3"/>
        <v>#VALUE!</v>
      </c>
      <c r="R404" t="s">
        <v>2631</v>
      </c>
      <c r="S404" s="411" t="s">
        <v>2631</v>
      </c>
      <c r="T404" t="s">
        <v>2631</v>
      </c>
      <c r="U404" t="s">
        <v>2631</v>
      </c>
      <c r="V404" t="s">
        <v>2631</v>
      </c>
      <c r="W404" t="str">
        <f t="shared" si="1"/>
        <v/>
      </c>
    </row>
    <row r="405">
      <c r="A405" s="458">
        <v>902.0</v>
      </c>
      <c r="B405" s="458">
        <v>16.7</v>
      </c>
      <c r="C405" s="438"/>
      <c r="D405" s="438"/>
      <c r="E405" s="438"/>
      <c r="F405" s="438"/>
      <c r="G405" s="438"/>
      <c r="O405" t="str">
        <f>IFERROR(__xludf.DUMMYFUNCTION("regexextract(B405,""[\w]* [\w]*"")"),"#VALUE!")</f>
        <v>#VALUE!</v>
      </c>
      <c r="P405" t="str">
        <f t="shared" si="2"/>
        <v>#VALUE!</v>
      </c>
      <c r="Q405" t="str">
        <f t="shared" si="3"/>
        <v>#VALUE!</v>
      </c>
      <c r="R405" t="s">
        <v>2631</v>
      </c>
      <c r="S405" s="411" t="s">
        <v>2631</v>
      </c>
      <c r="T405" t="s">
        <v>2631</v>
      </c>
      <c r="U405" t="s">
        <v>2631</v>
      </c>
      <c r="V405" t="s">
        <v>2631</v>
      </c>
      <c r="W405" t="str">
        <f t="shared" si="1"/>
        <v/>
      </c>
    </row>
    <row r="406">
      <c r="A406" s="467">
        <v>891.0</v>
      </c>
      <c r="B406" s="467">
        <v>12.9</v>
      </c>
      <c r="C406" s="442"/>
      <c r="D406" s="442"/>
      <c r="E406" s="442"/>
      <c r="F406" s="442"/>
      <c r="G406" s="442"/>
      <c r="O406" t="str">
        <f>IFERROR(__xludf.DUMMYFUNCTION("regexextract(B406,""[\w]* [\w]*"")"),"#VALUE!")</f>
        <v>#VALUE!</v>
      </c>
      <c r="P406" t="str">
        <f t="shared" si="2"/>
        <v>#VALUE!</v>
      </c>
      <c r="Q406" t="str">
        <f t="shared" si="3"/>
        <v>#VALUE!</v>
      </c>
      <c r="R406" t="s">
        <v>2631</v>
      </c>
      <c r="S406" s="411" t="s">
        <v>2631</v>
      </c>
      <c r="T406" t="s">
        <v>2631</v>
      </c>
      <c r="U406" t="s">
        <v>2631</v>
      </c>
      <c r="V406" t="s">
        <v>2631</v>
      </c>
      <c r="W406" t="str">
        <f t="shared" si="1"/>
        <v/>
      </c>
    </row>
    <row r="407">
      <c r="A407" s="458">
        <v>882.0</v>
      </c>
      <c r="B407" s="458">
        <v>14.7</v>
      </c>
      <c r="C407" s="438"/>
      <c r="D407" s="438"/>
      <c r="E407" s="438"/>
      <c r="F407" s="438"/>
      <c r="G407" s="438"/>
      <c r="O407" t="str">
        <f>IFERROR(__xludf.DUMMYFUNCTION("regexextract(B407,""[\w]* [\w]*"")"),"#VALUE!")</f>
        <v>#VALUE!</v>
      </c>
      <c r="P407" t="str">
        <f t="shared" si="2"/>
        <v>#VALUE!</v>
      </c>
      <c r="Q407" t="str">
        <f t="shared" si="3"/>
        <v>#VALUE!</v>
      </c>
      <c r="R407" t="s">
        <v>2631</v>
      </c>
      <c r="S407" s="411" t="s">
        <v>2631</v>
      </c>
      <c r="T407" t="s">
        <v>2631</v>
      </c>
      <c r="U407" t="s">
        <v>2631</v>
      </c>
      <c r="V407" t="s">
        <v>2631</v>
      </c>
      <c r="W407" t="str">
        <f t="shared" si="1"/>
        <v/>
      </c>
    </row>
    <row r="408">
      <c r="A408" s="467">
        <v>877.0</v>
      </c>
      <c r="B408" s="467">
        <v>13.5</v>
      </c>
      <c r="C408" s="442"/>
      <c r="D408" s="442"/>
      <c r="E408" s="442"/>
      <c r="F408" s="442"/>
      <c r="G408" s="442"/>
      <c r="O408" t="str">
        <f>IFERROR(__xludf.DUMMYFUNCTION("regexextract(B408,""[\w]* [\w]*"")"),"#VALUE!")</f>
        <v>#VALUE!</v>
      </c>
      <c r="P408" t="str">
        <f t="shared" si="2"/>
        <v>#VALUE!</v>
      </c>
      <c r="Q408" t="str">
        <f t="shared" si="3"/>
        <v>#VALUE!</v>
      </c>
      <c r="R408" t="s">
        <v>2631</v>
      </c>
      <c r="S408" s="411" t="s">
        <v>2631</v>
      </c>
      <c r="T408" t="s">
        <v>2631</v>
      </c>
      <c r="U408" t="s">
        <v>2631</v>
      </c>
      <c r="V408" t="s">
        <v>2631</v>
      </c>
      <c r="W408" t="str">
        <f t="shared" si="1"/>
        <v/>
      </c>
    </row>
    <row r="409">
      <c r="A409" s="458">
        <v>381.0</v>
      </c>
      <c r="B409" s="458">
        <v>10.9</v>
      </c>
      <c r="C409" s="438"/>
      <c r="D409" s="438"/>
      <c r="E409" s="438"/>
      <c r="F409" s="438"/>
      <c r="G409" s="438"/>
      <c r="O409" t="str">
        <f>IFERROR(__xludf.DUMMYFUNCTION("regexextract(B409,""[\w]* [\w]*"")"),"#VALUE!")</f>
        <v>#VALUE!</v>
      </c>
      <c r="P409" t="str">
        <f t="shared" si="2"/>
        <v>#VALUE!</v>
      </c>
      <c r="Q409" t="str">
        <f t="shared" si="3"/>
        <v>#VALUE!</v>
      </c>
      <c r="R409" t="s">
        <v>2631</v>
      </c>
      <c r="S409" s="411" t="s">
        <v>2631</v>
      </c>
      <c r="T409" t="s">
        <v>2631</v>
      </c>
      <c r="U409" t="s">
        <v>2631</v>
      </c>
      <c r="V409" t="s">
        <v>2631</v>
      </c>
      <c r="W409" t="str">
        <f t="shared" si="1"/>
        <v/>
      </c>
    </row>
    <row r="410">
      <c r="A410" s="467">
        <v>876.0</v>
      </c>
      <c r="B410" s="467">
        <v>12.9</v>
      </c>
      <c r="C410" s="442"/>
      <c r="D410" s="442"/>
      <c r="E410" s="442"/>
      <c r="F410" s="442"/>
      <c r="G410" s="442"/>
      <c r="O410" t="str">
        <f>IFERROR(__xludf.DUMMYFUNCTION("regexextract(B410,""[\w]* [\w]*"")"),"#VALUE!")</f>
        <v>#VALUE!</v>
      </c>
      <c r="P410" t="str">
        <f t="shared" si="2"/>
        <v>#VALUE!</v>
      </c>
      <c r="Q410" t="str">
        <f t="shared" si="3"/>
        <v>#VALUE!</v>
      </c>
      <c r="R410" t="s">
        <v>2631</v>
      </c>
      <c r="S410" s="411" t="s">
        <v>2631</v>
      </c>
      <c r="T410" t="s">
        <v>2631</v>
      </c>
      <c r="U410" t="s">
        <v>2631</v>
      </c>
      <c r="V410" t="s">
        <v>2631</v>
      </c>
      <c r="W410" t="str">
        <f t="shared" si="1"/>
        <v/>
      </c>
    </row>
    <row r="411">
      <c r="A411" s="458">
        <v>862.0</v>
      </c>
      <c r="B411" s="458">
        <v>15.1</v>
      </c>
      <c r="C411" s="438"/>
      <c r="D411" s="438"/>
      <c r="E411" s="438"/>
      <c r="F411" s="438"/>
      <c r="G411" s="438"/>
      <c r="O411" t="str">
        <f>IFERROR(__xludf.DUMMYFUNCTION("regexextract(B411,""[\w]* [\w]*"")"),"#VALUE!")</f>
        <v>#VALUE!</v>
      </c>
      <c r="P411" t="str">
        <f t="shared" si="2"/>
        <v>#VALUE!</v>
      </c>
      <c r="Q411" t="str">
        <f t="shared" si="3"/>
        <v>#VALUE!</v>
      </c>
      <c r="R411" t="s">
        <v>2631</v>
      </c>
      <c r="S411" s="411" t="s">
        <v>2631</v>
      </c>
      <c r="T411" t="s">
        <v>2631</v>
      </c>
      <c r="U411" t="s">
        <v>2631</v>
      </c>
      <c r="V411" t="s">
        <v>2631</v>
      </c>
      <c r="W411" t="str">
        <f t="shared" si="1"/>
        <v/>
      </c>
    </row>
    <row r="412">
      <c r="A412" s="467">
        <v>846.0</v>
      </c>
      <c r="B412" s="467">
        <v>12.3</v>
      </c>
      <c r="C412" s="442"/>
      <c r="D412" s="442"/>
      <c r="E412" s="442"/>
      <c r="F412" s="442"/>
      <c r="G412" s="442"/>
      <c r="O412" t="str">
        <f>IFERROR(__xludf.DUMMYFUNCTION("regexextract(B412,""[\w]* [\w]*"")"),"#VALUE!")</f>
        <v>#VALUE!</v>
      </c>
      <c r="P412" t="str">
        <f t="shared" si="2"/>
        <v>#VALUE!</v>
      </c>
      <c r="Q412" t="str">
        <f t="shared" si="3"/>
        <v>#VALUE!</v>
      </c>
      <c r="R412" t="s">
        <v>2631</v>
      </c>
      <c r="S412" s="411" t="s">
        <v>2631</v>
      </c>
      <c r="T412" t="s">
        <v>2631</v>
      </c>
      <c r="U412" t="s">
        <v>2631</v>
      </c>
      <c r="V412" t="s">
        <v>2631</v>
      </c>
      <c r="W412" t="str">
        <f t="shared" si="1"/>
        <v/>
      </c>
    </row>
    <row r="413">
      <c r="A413" s="458">
        <v>808.0</v>
      </c>
      <c r="B413" s="458">
        <v>11.1</v>
      </c>
      <c r="C413" s="438"/>
      <c r="D413" s="438"/>
      <c r="E413" s="438"/>
      <c r="F413" s="438"/>
      <c r="G413" s="438"/>
      <c r="O413" t="str">
        <f>IFERROR(__xludf.DUMMYFUNCTION("regexextract(B413,""[\w]* [\w]*"")"),"#VALUE!")</f>
        <v>#VALUE!</v>
      </c>
      <c r="P413" t="str">
        <f t="shared" si="2"/>
        <v>#VALUE!</v>
      </c>
      <c r="Q413" t="str">
        <f t="shared" si="3"/>
        <v>#VALUE!</v>
      </c>
      <c r="R413" t="s">
        <v>2631</v>
      </c>
      <c r="S413" s="411" t="s">
        <v>2631</v>
      </c>
      <c r="T413" t="s">
        <v>2631</v>
      </c>
      <c r="U413" t="s">
        <v>2631</v>
      </c>
      <c r="V413" t="s">
        <v>2631</v>
      </c>
      <c r="W413" t="str">
        <f t="shared" si="1"/>
        <v/>
      </c>
    </row>
    <row r="414">
      <c r="A414" s="467">
        <v>794.0</v>
      </c>
      <c r="B414" s="467">
        <v>16.2</v>
      </c>
      <c r="C414" s="442"/>
      <c r="D414" s="442"/>
      <c r="E414" s="442"/>
      <c r="F414" s="442"/>
      <c r="G414" s="442"/>
      <c r="O414" t="str">
        <f>IFERROR(__xludf.DUMMYFUNCTION("regexextract(B414,""[\w]* [\w]*"")"),"#VALUE!")</f>
        <v>#VALUE!</v>
      </c>
      <c r="P414" t="str">
        <f t="shared" si="2"/>
        <v>#VALUE!</v>
      </c>
      <c r="Q414" t="str">
        <f t="shared" si="3"/>
        <v>#VALUE!</v>
      </c>
      <c r="R414" t="s">
        <v>2631</v>
      </c>
      <c r="S414" s="411" t="s">
        <v>2631</v>
      </c>
      <c r="T414" t="s">
        <v>2631</v>
      </c>
      <c r="U414" t="s">
        <v>2631</v>
      </c>
      <c r="V414" t="s">
        <v>2631</v>
      </c>
      <c r="W414" t="str">
        <f t="shared" si="1"/>
        <v/>
      </c>
    </row>
    <row r="415">
      <c r="A415" s="458">
        <v>778.0</v>
      </c>
      <c r="B415" s="458">
        <v>13.4</v>
      </c>
      <c r="C415" s="438"/>
      <c r="D415" s="438"/>
      <c r="E415" s="438"/>
      <c r="F415" s="438"/>
      <c r="G415" s="438"/>
      <c r="O415" t="str">
        <f>IFERROR(__xludf.DUMMYFUNCTION("regexextract(B415,""[\w]* [\w]*"")"),"#VALUE!")</f>
        <v>#VALUE!</v>
      </c>
      <c r="P415" t="str">
        <f t="shared" si="2"/>
        <v>#VALUE!</v>
      </c>
      <c r="Q415" t="str">
        <f t="shared" si="3"/>
        <v>#VALUE!</v>
      </c>
      <c r="R415" t="s">
        <v>2631</v>
      </c>
      <c r="S415" s="411" t="s">
        <v>2631</v>
      </c>
      <c r="T415" t="s">
        <v>2631</v>
      </c>
      <c r="U415" t="s">
        <v>2631</v>
      </c>
      <c r="V415" t="s">
        <v>2631</v>
      </c>
      <c r="W415" t="str">
        <f t="shared" si="1"/>
        <v/>
      </c>
    </row>
    <row r="416">
      <c r="A416" s="467">
        <v>747.0</v>
      </c>
      <c r="B416" s="467">
        <v>11.0</v>
      </c>
      <c r="C416" s="442"/>
      <c r="D416" s="442"/>
      <c r="E416" s="442"/>
      <c r="F416" s="442"/>
      <c r="G416" s="442"/>
      <c r="O416" t="str">
        <f>IFERROR(__xludf.DUMMYFUNCTION("regexextract(B416,""[\w]* [\w]*"")"),"#VALUE!")</f>
        <v>#VALUE!</v>
      </c>
      <c r="P416" t="str">
        <f t="shared" si="2"/>
        <v>#VALUE!</v>
      </c>
      <c r="Q416" t="str">
        <f t="shared" si="3"/>
        <v>#VALUE!</v>
      </c>
      <c r="R416" t="s">
        <v>2631</v>
      </c>
      <c r="S416" s="411" t="s">
        <v>2631</v>
      </c>
      <c r="T416" t="s">
        <v>2631</v>
      </c>
      <c r="U416" t="s">
        <v>2631</v>
      </c>
      <c r="V416" t="s">
        <v>2631</v>
      </c>
      <c r="W416" t="str">
        <f t="shared" si="1"/>
        <v/>
      </c>
    </row>
    <row r="417">
      <c r="A417" s="438"/>
      <c r="B417" s="445"/>
      <c r="C417" s="438"/>
      <c r="D417" s="438"/>
      <c r="E417" s="438"/>
      <c r="F417" s="438"/>
      <c r="G417" s="438"/>
      <c r="O417" t="str">
        <f>IFERROR(__xludf.DUMMYFUNCTION("regexextract(B417,""[\w]* [\w]*"")"),"#N/A")</f>
        <v>#N/A</v>
      </c>
      <c r="P417" t="str">
        <f t="shared" si="2"/>
        <v>#N/A</v>
      </c>
      <c r="Q417" t="str">
        <f t="shared" si="3"/>
        <v>#N/A</v>
      </c>
      <c r="R417" t="s">
        <v>2631</v>
      </c>
      <c r="S417" s="411" t="s">
        <v>2631</v>
      </c>
      <c r="T417" t="s">
        <v>2631</v>
      </c>
      <c r="U417" t="s">
        <v>2631</v>
      </c>
      <c r="V417" t="s">
        <v>2631</v>
      </c>
      <c r="W417" t="str">
        <f t="shared" si="1"/>
        <v/>
      </c>
    </row>
    <row r="418">
      <c r="A418" s="442"/>
      <c r="B418" s="448"/>
      <c r="C418" s="442"/>
      <c r="D418" s="442"/>
      <c r="E418" s="442"/>
      <c r="F418" s="442"/>
      <c r="G418" s="442"/>
      <c r="O418" t="str">
        <f>IFERROR(__xludf.DUMMYFUNCTION("regexextract(B418,""[\w]* [\w]*"")"),"#N/A")</f>
        <v>#N/A</v>
      </c>
      <c r="P418" t="str">
        <f t="shared" si="2"/>
        <v>#N/A</v>
      </c>
      <c r="Q418" t="str">
        <f t="shared" si="3"/>
        <v>#N/A</v>
      </c>
      <c r="R418" t="s">
        <v>2631</v>
      </c>
      <c r="S418" s="411" t="s">
        <v>2631</v>
      </c>
      <c r="T418" t="s">
        <v>2631</v>
      </c>
      <c r="U418" t="s">
        <v>2631</v>
      </c>
      <c r="V418" t="s">
        <v>2631</v>
      </c>
      <c r="W418" t="str">
        <f t="shared" si="1"/>
        <v/>
      </c>
    </row>
    <row r="419">
      <c r="A419" s="438"/>
      <c r="B419" s="445"/>
      <c r="C419" s="438"/>
      <c r="D419" s="438"/>
      <c r="E419" s="438"/>
      <c r="F419" s="438"/>
      <c r="G419" s="438"/>
      <c r="O419" t="str">
        <f>IFERROR(__xludf.DUMMYFUNCTION("regexextract(B419,""[\w]* [\w]*"")"),"#N/A")</f>
        <v>#N/A</v>
      </c>
      <c r="P419" t="str">
        <f t="shared" si="2"/>
        <v>#N/A</v>
      </c>
      <c r="Q419" t="str">
        <f t="shared" si="3"/>
        <v>#N/A</v>
      </c>
      <c r="R419" t="s">
        <v>2631</v>
      </c>
      <c r="S419" s="411" t="s">
        <v>2631</v>
      </c>
      <c r="T419" t="s">
        <v>2631</v>
      </c>
      <c r="U419" t="s">
        <v>2631</v>
      </c>
      <c r="V419" t="s">
        <v>2631</v>
      </c>
      <c r="W419" t="str">
        <f t="shared" si="1"/>
        <v/>
      </c>
    </row>
    <row r="420">
      <c r="A420" s="442"/>
      <c r="B420" s="448"/>
      <c r="C420" s="442"/>
      <c r="D420" s="442"/>
      <c r="E420" s="442"/>
      <c r="F420" s="442"/>
      <c r="G420" s="442"/>
      <c r="O420" t="str">
        <f>IFERROR(__xludf.DUMMYFUNCTION("regexextract(B420,""[\w]* [\w]*"")"),"#N/A")</f>
        <v>#N/A</v>
      </c>
      <c r="P420" t="str">
        <f t="shared" si="2"/>
        <v>#N/A</v>
      </c>
      <c r="Q420" t="str">
        <f t="shared" si="3"/>
        <v>#N/A</v>
      </c>
      <c r="R420" t="s">
        <v>2631</v>
      </c>
      <c r="S420" s="411" t="s">
        <v>2631</v>
      </c>
      <c r="T420" t="s">
        <v>2631</v>
      </c>
      <c r="U420" t="s">
        <v>2631</v>
      </c>
      <c r="V420" t="s">
        <v>2631</v>
      </c>
      <c r="W420" t="str">
        <f t="shared" si="1"/>
        <v/>
      </c>
    </row>
    <row r="421">
      <c r="A421" s="438"/>
      <c r="B421" s="445"/>
      <c r="C421" s="438"/>
      <c r="D421" s="438"/>
      <c r="E421" s="438"/>
      <c r="F421" s="438"/>
      <c r="G421" s="438"/>
      <c r="O421" t="str">
        <f>IFERROR(__xludf.DUMMYFUNCTION("regexextract(B421,""[\w]* [\w]*"")"),"#N/A")</f>
        <v>#N/A</v>
      </c>
      <c r="P421" t="str">
        <f t="shared" si="2"/>
        <v>#N/A</v>
      </c>
      <c r="Q421" t="str">
        <f t="shared" si="3"/>
        <v>#N/A</v>
      </c>
      <c r="R421" t="s">
        <v>2631</v>
      </c>
      <c r="S421" s="411" t="s">
        <v>2631</v>
      </c>
      <c r="T421" t="s">
        <v>2631</v>
      </c>
      <c r="U421" t="s">
        <v>2631</v>
      </c>
      <c r="V421" t="s">
        <v>2631</v>
      </c>
      <c r="W421" t="str">
        <f t="shared" si="1"/>
        <v/>
      </c>
    </row>
    <row r="422">
      <c r="A422" s="442"/>
      <c r="B422" s="448"/>
      <c r="C422" s="442"/>
      <c r="D422" s="442"/>
      <c r="E422" s="442"/>
      <c r="F422" s="442"/>
      <c r="G422" s="442"/>
      <c r="O422" t="str">
        <f>IFERROR(__xludf.DUMMYFUNCTION("regexextract(B422,""[\w]* [\w]*"")"),"#N/A")</f>
        <v>#N/A</v>
      </c>
      <c r="P422" t="str">
        <f t="shared" si="2"/>
        <v>#N/A</v>
      </c>
      <c r="Q422" t="str">
        <f t="shared" si="3"/>
        <v>#N/A</v>
      </c>
      <c r="R422" t="s">
        <v>2631</v>
      </c>
      <c r="S422" s="411" t="s">
        <v>2631</v>
      </c>
      <c r="T422" t="s">
        <v>2631</v>
      </c>
      <c r="U422" t="s">
        <v>2631</v>
      </c>
      <c r="V422" t="s">
        <v>2631</v>
      </c>
      <c r="W422" t="str">
        <f t="shared" si="1"/>
        <v/>
      </c>
    </row>
    <row r="423">
      <c r="A423" s="438"/>
      <c r="B423" s="445"/>
      <c r="C423" s="438"/>
      <c r="D423" s="438"/>
      <c r="E423" s="438"/>
      <c r="F423" s="438"/>
      <c r="G423" s="438"/>
      <c r="O423" t="str">
        <f>IFERROR(__xludf.DUMMYFUNCTION("regexextract(B423,""[\w]* [\w]*"")"),"#N/A")</f>
        <v>#N/A</v>
      </c>
      <c r="P423" t="str">
        <f t="shared" si="2"/>
        <v>#N/A</v>
      </c>
      <c r="Q423" t="str">
        <f t="shared" si="3"/>
        <v>#N/A</v>
      </c>
      <c r="R423" t="s">
        <v>2631</v>
      </c>
      <c r="S423" s="411" t="s">
        <v>2631</v>
      </c>
      <c r="T423" t="s">
        <v>2631</v>
      </c>
      <c r="U423" t="s">
        <v>2631</v>
      </c>
      <c r="V423" t="s">
        <v>2631</v>
      </c>
      <c r="W423" t="str">
        <f t="shared" si="1"/>
        <v/>
      </c>
    </row>
    <row r="424">
      <c r="A424" s="442"/>
      <c r="B424" s="448"/>
      <c r="C424" s="442"/>
      <c r="D424" s="442"/>
      <c r="E424" s="442"/>
      <c r="F424" s="442"/>
      <c r="G424" s="442"/>
      <c r="O424" t="str">
        <f>IFERROR(__xludf.DUMMYFUNCTION("regexextract(B424,""[\w]* [\w]*"")"),"#N/A")</f>
        <v>#N/A</v>
      </c>
      <c r="P424" t="str">
        <f t="shared" si="2"/>
        <v>#N/A</v>
      </c>
      <c r="Q424" t="str">
        <f t="shared" si="3"/>
        <v>#N/A</v>
      </c>
      <c r="R424" t="s">
        <v>2631</v>
      </c>
      <c r="S424" s="411" t="s">
        <v>2631</v>
      </c>
      <c r="T424" t="s">
        <v>2631</v>
      </c>
      <c r="U424" t="s">
        <v>2631</v>
      </c>
      <c r="V424" t="s">
        <v>2631</v>
      </c>
      <c r="W424" t="str">
        <f t="shared" si="1"/>
        <v/>
      </c>
    </row>
    <row r="425">
      <c r="A425" s="438"/>
      <c r="B425" s="445"/>
      <c r="C425" s="438"/>
      <c r="D425" s="438"/>
      <c r="E425" s="438"/>
      <c r="F425" s="438"/>
      <c r="G425" s="438"/>
      <c r="O425" t="str">
        <f>IFERROR(__xludf.DUMMYFUNCTION("regexextract(B425,""[\w]* [\w]*"")"),"#N/A")</f>
        <v>#N/A</v>
      </c>
      <c r="P425" t="str">
        <f t="shared" si="2"/>
        <v>#N/A</v>
      </c>
      <c r="Q425" t="str">
        <f t="shared" si="3"/>
        <v>#N/A</v>
      </c>
      <c r="R425" t="s">
        <v>2631</v>
      </c>
      <c r="S425" s="411" t="s">
        <v>2631</v>
      </c>
      <c r="T425" t="s">
        <v>2631</v>
      </c>
      <c r="U425" t="s">
        <v>2631</v>
      </c>
      <c r="V425" t="s">
        <v>2631</v>
      </c>
      <c r="W425" t="str">
        <f t="shared" si="1"/>
        <v/>
      </c>
    </row>
    <row r="426">
      <c r="A426" s="442"/>
      <c r="B426" s="448"/>
      <c r="C426" s="442"/>
      <c r="D426" s="442"/>
      <c r="E426" s="442"/>
      <c r="F426" s="442"/>
      <c r="G426" s="442"/>
      <c r="O426" t="str">
        <f>IFERROR(__xludf.DUMMYFUNCTION("regexextract(B426,""[\w]* [\w]*"")"),"#N/A")</f>
        <v>#N/A</v>
      </c>
      <c r="P426" t="str">
        <f t="shared" si="2"/>
        <v>#N/A</v>
      </c>
      <c r="Q426" t="str">
        <f t="shared" si="3"/>
        <v>#N/A</v>
      </c>
      <c r="R426" t="s">
        <v>2631</v>
      </c>
      <c r="S426" s="411" t="s">
        <v>2631</v>
      </c>
      <c r="T426" t="s">
        <v>2631</v>
      </c>
      <c r="U426" t="s">
        <v>2631</v>
      </c>
      <c r="V426" t="s">
        <v>2631</v>
      </c>
      <c r="W426" t="str">
        <f t="shared" si="1"/>
        <v/>
      </c>
    </row>
    <row r="427">
      <c r="A427" s="438"/>
      <c r="B427" s="445"/>
      <c r="C427" s="438"/>
      <c r="D427" s="438"/>
      <c r="E427" s="438"/>
      <c r="F427" s="438"/>
      <c r="G427" s="438"/>
      <c r="O427" t="str">
        <f>IFERROR(__xludf.DUMMYFUNCTION("regexextract(B427,""[\w]* [\w]*"")"),"#N/A")</f>
        <v>#N/A</v>
      </c>
      <c r="P427" t="str">
        <f t="shared" si="2"/>
        <v>#N/A</v>
      </c>
      <c r="Q427" t="str">
        <f t="shared" si="3"/>
        <v>#N/A</v>
      </c>
      <c r="R427" t="s">
        <v>2631</v>
      </c>
      <c r="S427" s="411" t="s">
        <v>2631</v>
      </c>
      <c r="T427" t="s">
        <v>2631</v>
      </c>
      <c r="U427" t="s">
        <v>2631</v>
      </c>
      <c r="V427" t="s">
        <v>2631</v>
      </c>
      <c r="W427" t="str">
        <f t="shared" si="1"/>
        <v/>
      </c>
    </row>
    <row r="428">
      <c r="A428" s="442"/>
      <c r="B428" s="448"/>
      <c r="C428" s="442"/>
      <c r="D428" s="442"/>
      <c r="E428" s="442"/>
      <c r="F428" s="442"/>
      <c r="G428" s="442"/>
      <c r="O428" t="str">
        <f>IFERROR(__xludf.DUMMYFUNCTION("regexextract(B428,""[\w]* [\w]*"")"),"#N/A")</f>
        <v>#N/A</v>
      </c>
      <c r="P428" t="str">
        <f t="shared" si="2"/>
        <v>#N/A</v>
      </c>
      <c r="Q428" t="str">
        <f t="shared" si="3"/>
        <v>#N/A</v>
      </c>
      <c r="R428" t="s">
        <v>2631</v>
      </c>
      <c r="S428" s="411" t="s">
        <v>2631</v>
      </c>
      <c r="T428" t="s">
        <v>2631</v>
      </c>
      <c r="U428" t="s">
        <v>2631</v>
      </c>
      <c r="V428" t="s">
        <v>2631</v>
      </c>
      <c r="W428" t="str">
        <f t="shared" si="1"/>
        <v/>
      </c>
    </row>
    <row r="429">
      <c r="A429" s="438"/>
      <c r="B429" s="445"/>
      <c r="C429" s="438"/>
      <c r="D429" s="438"/>
      <c r="E429" s="438"/>
      <c r="F429" s="438"/>
      <c r="G429" s="438"/>
      <c r="O429" t="str">
        <f>IFERROR(__xludf.DUMMYFUNCTION("regexextract(B429,""[\w]* [\w]*"")"),"#N/A")</f>
        <v>#N/A</v>
      </c>
      <c r="P429" t="str">
        <f t="shared" si="2"/>
        <v>#N/A</v>
      </c>
      <c r="Q429" t="str">
        <f t="shared" si="3"/>
        <v>#N/A</v>
      </c>
      <c r="R429" t="s">
        <v>2631</v>
      </c>
      <c r="S429" s="411" t="s">
        <v>2631</v>
      </c>
      <c r="T429" t="s">
        <v>2631</v>
      </c>
      <c r="U429" t="s">
        <v>2631</v>
      </c>
      <c r="V429" t="s">
        <v>2631</v>
      </c>
      <c r="W429" t="str">
        <f t="shared" si="1"/>
        <v/>
      </c>
    </row>
    <row r="430">
      <c r="A430" s="442"/>
      <c r="B430" s="448"/>
      <c r="C430" s="442"/>
      <c r="D430" s="442"/>
      <c r="E430" s="442"/>
      <c r="F430" s="442"/>
      <c r="G430" s="442"/>
      <c r="O430" t="str">
        <f>IFERROR(__xludf.DUMMYFUNCTION("regexextract(B430,""[\w]* [\w]*"")"),"#N/A")</f>
        <v>#N/A</v>
      </c>
      <c r="P430" t="str">
        <f t="shared" si="2"/>
        <v>#N/A</v>
      </c>
      <c r="Q430" t="str">
        <f t="shared" si="3"/>
        <v>#N/A</v>
      </c>
      <c r="R430" t="s">
        <v>2631</v>
      </c>
      <c r="S430" s="411" t="s">
        <v>2631</v>
      </c>
      <c r="T430" t="s">
        <v>2631</v>
      </c>
      <c r="U430" t="s">
        <v>2631</v>
      </c>
      <c r="V430" t="s">
        <v>2631</v>
      </c>
      <c r="W430" t="str">
        <f t="shared" si="1"/>
        <v/>
      </c>
    </row>
    <row r="431">
      <c r="A431" s="438"/>
      <c r="B431" s="445"/>
      <c r="C431" s="438"/>
      <c r="D431" s="438"/>
      <c r="E431" s="438"/>
      <c r="F431" s="438"/>
      <c r="G431" s="438"/>
      <c r="O431" t="str">
        <f>IFERROR(__xludf.DUMMYFUNCTION("regexextract(B431,""[\w]* [\w]*"")"),"#N/A")</f>
        <v>#N/A</v>
      </c>
      <c r="P431" t="str">
        <f t="shared" si="2"/>
        <v>#N/A</v>
      </c>
      <c r="Q431" t="str">
        <f t="shared" si="3"/>
        <v>#N/A</v>
      </c>
      <c r="R431" t="s">
        <v>2631</v>
      </c>
      <c r="S431" s="411" t="s">
        <v>2631</v>
      </c>
      <c r="T431" t="s">
        <v>2631</v>
      </c>
      <c r="U431" t="s">
        <v>2631</v>
      </c>
      <c r="V431" t="s">
        <v>2631</v>
      </c>
      <c r="W431" t="str">
        <f t="shared" si="1"/>
        <v/>
      </c>
    </row>
    <row r="432">
      <c r="A432" s="442"/>
      <c r="B432" s="448"/>
      <c r="C432" s="442"/>
      <c r="D432" s="442"/>
      <c r="E432" s="442"/>
      <c r="F432" s="442"/>
      <c r="G432" s="442"/>
      <c r="O432" t="str">
        <f>IFERROR(__xludf.DUMMYFUNCTION("regexextract(B432,""[\w]* [\w]*"")"),"#N/A")</f>
        <v>#N/A</v>
      </c>
      <c r="P432" t="str">
        <f t="shared" si="2"/>
        <v>#N/A</v>
      </c>
      <c r="Q432" t="str">
        <f t="shared" si="3"/>
        <v>#N/A</v>
      </c>
      <c r="R432" t="s">
        <v>2631</v>
      </c>
      <c r="S432" s="411" t="s">
        <v>2631</v>
      </c>
      <c r="T432" t="s">
        <v>2631</v>
      </c>
      <c r="U432" t="s">
        <v>2631</v>
      </c>
      <c r="V432" t="s">
        <v>2631</v>
      </c>
      <c r="W432" t="str">
        <f t="shared" si="1"/>
        <v/>
      </c>
    </row>
    <row r="433">
      <c r="A433" s="438"/>
      <c r="B433" s="445"/>
      <c r="C433" s="438"/>
      <c r="D433" s="438"/>
      <c r="E433" s="438"/>
      <c r="F433" s="438"/>
      <c r="G433" s="438"/>
      <c r="O433" t="str">
        <f>IFERROR(__xludf.DUMMYFUNCTION("regexextract(B433,""[\w]* [\w]*"")"),"#N/A")</f>
        <v>#N/A</v>
      </c>
      <c r="P433" t="str">
        <f t="shared" si="2"/>
        <v>#N/A</v>
      </c>
      <c r="Q433" t="str">
        <f t="shared" si="3"/>
        <v>#N/A</v>
      </c>
      <c r="R433" t="s">
        <v>2631</v>
      </c>
      <c r="S433" s="411" t="s">
        <v>2631</v>
      </c>
      <c r="T433" t="s">
        <v>2631</v>
      </c>
      <c r="U433" t="s">
        <v>2631</v>
      </c>
      <c r="V433" t="s">
        <v>2631</v>
      </c>
      <c r="W433" t="str">
        <f t="shared" si="1"/>
        <v/>
      </c>
    </row>
    <row r="434">
      <c r="A434" s="442"/>
      <c r="B434" s="448"/>
      <c r="C434" s="442"/>
      <c r="D434" s="442"/>
      <c r="E434" s="442"/>
      <c r="F434" s="442"/>
      <c r="G434" s="442"/>
      <c r="O434" t="str">
        <f>IFERROR(__xludf.DUMMYFUNCTION("regexextract(B434,""[\w]* [\w]*"")"),"#N/A")</f>
        <v>#N/A</v>
      </c>
      <c r="P434" t="str">
        <f t="shared" si="2"/>
        <v>#N/A</v>
      </c>
      <c r="Q434" t="str">
        <f t="shared" si="3"/>
        <v>#N/A</v>
      </c>
      <c r="R434" t="s">
        <v>2631</v>
      </c>
      <c r="S434" s="411" t="s">
        <v>2631</v>
      </c>
      <c r="T434" t="s">
        <v>2631</v>
      </c>
      <c r="U434" t="s">
        <v>2631</v>
      </c>
      <c r="V434" t="s">
        <v>2631</v>
      </c>
      <c r="W434" t="str">
        <f t="shared" si="1"/>
        <v/>
      </c>
    </row>
    <row r="435">
      <c r="A435" s="438"/>
      <c r="B435" s="445"/>
      <c r="C435" s="438"/>
      <c r="D435" s="438"/>
      <c r="E435" s="438"/>
      <c r="F435" s="438"/>
      <c r="G435" s="438"/>
      <c r="O435" t="str">
        <f>IFERROR(__xludf.DUMMYFUNCTION("regexextract(B435,""[\w]* [\w]*"")"),"#N/A")</f>
        <v>#N/A</v>
      </c>
      <c r="P435" t="str">
        <f t="shared" si="2"/>
        <v>#N/A</v>
      </c>
      <c r="Q435" t="str">
        <f t="shared" si="3"/>
        <v>#N/A</v>
      </c>
      <c r="R435" t="s">
        <v>2631</v>
      </c>
      <c r="S435" s="411" t="s">
        <v>2631</v>
      </c>
      <c r="T435" t="s">
        <v>2631</v>
      </c>
      <c r="U435" t="s">
        <v>2631</v>
      </c>
      <c r="V435" t="s">
        <v>2631</v>
      </c>
      <c r="W435" t="str">
        <f t="shared" si="1"/>
        <v/>
      </c>
    </row>
    <row r="436">
      <c r="A436" s="442"/>
      <c r="B436" s="448"/>
      <c r="C436" s="442"/>
      <c r="D436" s="442"/>
      <c r="E436" s="442"/>
      <c r="F436" s="442"/>
      <c r="G436" s="442"/>
      <c r="O436" t="str">
        <f>IFERROR(__xludf.DUMMYFUNCTION("regexextract(B436,""[\w]* [\w]*"")"),"#N/A")</f>
        <v>#N/A</v>
      </c>
      <c r="P436" t="str">
        <f t="shared" si="2"/>
        <v>#N/A</v>
      </c>
      <c r="Q436" t="str">
        <f t="shared" si="3"/>
        <v>#N/A</v>
      </c>
      <c r="R436" t="s">
        <v>2631</v>
      </c>
      <c r="S436" s="411" t="s">
        <v>2631</v>
      </c>
      <c r="T436" t="s">
        <v>2631</v>
      </c>
      <c r="U436" t="s">
        <v>2631</v>
      </c>
      <c r="V436" t="s">
        <v>2631</v>
      </c>
      <c r="W436" t="str">
        <f t="shared" si="1"/>
        <v/>
      </c>
    </row>
    <row r="437">
      <c r="A437" s="438"/>
      <c r="B437" s="445"/>
      <c r="C437" s="438"/>
      <c r="D437" s="438"/>
      <c r="E437" s="438"/>
      <c r="F437" s="438"/>
      <c r="G437" s="438"/>
      <c r="O437" t="str">
        <f>IFERROR(__xludf.DUMMYFUNCTION("regexextract(B437,""[\w]* [\w]*"")"),"#N/A")</f>
        <v>#N/A</v>
      </c>
      <c r="P437" t="str">
        <f t="shared" si="2"/>
        <v>#N/A</v>
      </c>
      <c r="Q437" t="str">
        <f t="shared" si="3"/>
        <v>#N/A</v>
      </c>
      <c r="R437" t="s">
        <v>2631</v>
      </c>
      <c r="S437" s="411" t="s">
        <v>2631</v>
      </c>
      <c r="T437" t="s">
        <v>2631</v>
      </c>
      <c r="U437" t="s">
        <v>2631</v>
      </c>
      <c r="V437" t="s">
        <v>2631</v>
      </c>
      <c r="W437" t="str">
        <f t="shared" si="1"/>
        <v/>
      </c>
    </row>
    <row r="438">
      <c r="A438" s="442"/>
      <c r="B438" s="448"/>
      <c r="C438" s="442"/>
      <c r="D438" s="442"/>
      <c r="E438" s="442"/>
      <c r="F438" s="442"/>
      <c r="G438" s="442"/>
      <c r="O438" t="str">
        <f>IFERROR(__xludf.DUMMYFUNCTION("regexextract(B438,""[\w]* [\w]*"")"),"#N/A")</f>
        <v>#N/A</v>
      </c>
      <c r="P438" t="str">
        <f t="shared" si="2"/>
        <v>#N/A</v>
      </c>
      <c r="Q438" t="str">
        <f t="shared" si="3"/>
        <v>#N/A</v>
      </c>
      <c r="R438" t="s">
        <v>2631</v>
      </c>
      <c r="S438" s="411" t="s">
        <v>2631</v>
      </c>
      <c r="T438" t="s">
        <v>2631</v>
      </c>
      <c r="U438" t="s">
        <v>2631</v>
      </c>
      <c r="V438" t="s">
        <v>2631</v>
      </c>
      <c r="W438" t="str">
        <f t="shared" si="1"/>
        <v/>
      </c>
    </row>
    <row r="439">
      <c r="A439" s="438"/>
      <c r="B439" s="445"/>
      <c r="C439" s="438"/>
      <c r="D439" s="438"/>
      <c r="E439" s="438"/>
      <c r="F439" s="438"/>
      <c r="G439" s="438"/>
      <c r="O439" t="str">
        <f>IFERROR(__xludf.DUMMYFUNCTION("regexextract(B439,""[\w]* [\w]*"")"),"#N/A")</f>
        <v>#N/A</v>
      </c>
      <c r="P439" t="str">
        <f t="shared" si="2"/>
        <v>#N/A</v>
      </c>
      <c r="Q439" t="str">
        <f t="shared" si="3"/>
        <v>#N/A</v>
      </c>
      <c r="R439" t="s">
        <v>2631</v>
      </c>
      <c r="S439" s="411" t="s">
        <v>2631</v>
      </c>
      <c r="T439" t="s">
        <v>2631</v>
      </c>
      <c r="U439" t="s">
        <v>2631</v>
      </c>
      <c r="V439" t="s">
        <v>2631</v>
      </c>
      <c r="W439" t="str">
        <f t="shared" si="1"/>
        <v/>
      </c>
    </row>
    <row r="440">
      <c r="A440" s="442"/>
      <c r="B440" s="448"/>
      <c r="C440" s="442"/>
      <c r="D440" s="442"/>
      <c r="E440" s="442"/>
      <c r="F440" s="442"/>
      <c r="G440" s="442"/>
      <c r="O440" t="str">
        <f>IFERROR(__xludf.DUMMYFUNCTION("regexextract(B440,""[\w]* [\w]*"")"),"#N/A")</f>
        <v>#N/A</v>
      </c>
      <c r="P440" t="str">
        <f t="shared" si="2"/>
        <v>#N/A</v>
      </c>
      <c r="Q440" t="str">
        <f t="shared" si="3"/>
        <v>#N/A</v>
      </c>
      <c r="R440" t="s">
        <v>2631</v>
      </c>
      <c r="S440" s="411" t="s">
        <v>2631</v>
      </c>
      <c r="T440" t="s">
        <v>2631</v>
      </c>
      <c r="U440" t="s">
        <v>2631</v>
      </c>
      <c r="V440" t="s">
        <v>2631</v>
      </c>
      <c r="W440" t="str">
        <f t="shared" si="1"/>
        <v/>
      </c>
    </row>
    <row r="441">
      <c r="A441" s="438"/>
      <c r="B441" s="445"/>
      <c r="C441" s="438"/>
      <c r="D441" s="438"/>
      <c r="E441" s="438"/>
      <c r="F441" s="438"/>
      <c r="G441" s="438"/>
      <c r="O441" t="str">
        <f>IFERROR(__xludf.DUMMYFUNCTION("regexextract(B441,""[\w]* [\w]*"")"),"#N/A")</f>
        <v>#N/A</v>
      </c>
      <c r="P441" t="str">
        <f t="shared" si="2"/>
        <v>#N/A</v>
      </c>
      <c r="Q441" t="str">
        <f t="shared" si="3"/>
        <v>#N/A</v>
      </c>
      <c r="R441" t="s">
        <v>2631</v>
      </c>
      <c r="S441" s="411" t="s">
        <v>2631</v>
      </c>
      <c r="T441" t="s">
        <v>2631</v>
      </c>
      <c r="U441" t="s">
        <v>2631</v>
      </c>
      <c r="V441" t="s">
        <v>2631</v>
      </c>
      <c r="W441" t="str">
        <f t="shared" si="1"/>
        <v/>
      </c>
    </row>
    <row r="442">
      <c r="A442" s="442"/>
      <c r="B442" s="448"/>
      <c r="C442" s="442"/>
      <c r="D442" s="442"/>
      <c r="E442" s="442"/>
      <c r="F442" s="442"/>
      <c r="G442" s="442"/>
      <c r="O442" t="str">
        <f>IFERROR(__xludf.DUMMYFUNCTION("regexextract(B442,""[\w]* [\w]*"")"),"#N/A")</f>
        <v>#N/A</v>
      </c>
      <c r="P442" t="str">
        <f t="shared" si="2"/>
        <v>#N/A</v>
      </c>
      <c r="Q442" t="str">
        <f t="shared" si="3"/>
        <v>#N/A</v>
      </c>
      <c r="R442" t="s">
        <v>2631</v>
      </c>
      <c r="S442" s="411" t="s">
        <v>2631</v>
      </c>
      <c r="T442" t="s">
        <v>2631</v>
      </c>
      <c r="U442" t="s">
        <v>2631</v>
      </c>
      <c r="V442" t="s">
        <v>2631</v>
      </c>
      <c r="W442" t="str">
        <f t="shared" si="1"/>
        <v/>
      </c>
    </row>
    <row r="443">
      <c r="A443" s="438"/>
      <c r="B443" s="445"/>
      <c r="C443" s="438"/>
      <c r="D443" s="438"/>
      <c r="E443" s="438"/>
      <c r="F443" s="438"/>
      <c r="G443" s="438"/>
      <c r="O443" t="str">
        <f>IFERROR(__xludf.DUMMYFUNCTION("regexextract(B443,""[\w]* [\w]*"")"),"#N/A")</f>
        <v>#N/A</v>
      </c>
      <c r="P443" t="str">
        <f t="shared" si="2"/>
        <v>#N/A</v>
      </c>
      <c r="Q443" t="str">
        <f t="shared" si="3"/>
        <v>#N/A</v>
      </c>
      <c r="R443" t="s">
        <v>2631</v>
      </c>
      <c r="S443" s="411" t="s">
        <v>2631</v>
      </c>
      <c r="T443" t="s">
        <v>2631</v>
      </c>
      <c r="U443" t="s">
        <v>2631</v>
      </c>
      <c r="V443" t="s">
        <v>2631</v>
      </c>
      <c r="W443" t="str">
        <f t="shared" si="1"/>
        <v/>
      </c>
    </row>
    <row r="444">
      <c r="A444" s="442"/>
      <c r="B444" s="448"/>
      <c r="C444" s="442"/>
      <c r="D444" s="442"/>
      <c r="E444" s="442"/>
      <c r="F444" s="442"/>
      <c r="G444" s="442"/>
      <c r="O444" t="str">
        <f>IFERROR(__xludf.DUMMYFUNCTION("regexextract(B444,""[\w]* [\w]*"")"),"#N/A")</f>
        <v>#N/A</v>
      </c>
      <c r="P444" t="str">
        <f t="shared" si="2"/>
        <v>#N/A</v>
      </c>
      <c r="Q444" t="str">
        <f t="shared" si="3"/>
        <v>#N/A</v>
      </c>
      <c r="R444" t="s">
        <v>2631</v>
      </c>
      <c r="S444" s="411" t="s">
        <v>2631</v>
      </c>
      <c r="T444" t="s">
        <v>2631</v>
      </c>
      <c r="U444" t="s">
        <v>2631</v>
      </c>
      <c r="V444" t="s">
        <v>2631</v>
      </c>
      <c r="W444" t="str">
        <f t="shared" si="1"/>
        <v/>
      </c>
    </row>
    <row r="445">
      <c r="A445" s="438"/>
      <c r="B445" s="445"/>
      <c r="C445" s="438"/>
      <c r="D445" s="438"/>
      <c r="E445" s="438"/>
      <c r="F445" s="438"/>
      <c r="G445" s="438"/>
      <c r="O445" t="str">
        <f>IFERROR(__xludf.DUMMYFUNCTION("regexextract(B445,""[\w]* [\w]*"")"),"#N/A")</f>
        <v>#N/A</v>
      </c>
      <c r="P445" t="str">
        <f t="shared" si="2"/>
        <v>#N/A</v>
      </c>
      <c r="Q445" t="str">
        <f t="shared" si="3"/>
        <v>#N/A</v>
      </c>
      <c r="R445" t="s">
        <v>2631</v>
      </c>
      <c r="S445" s="411" t="s">
        <v>2631</v>
      </c>
      <c r="T445" t="s">
        <v>2631</v>
      </c>
      <c r="U445" t="s">
        <v>2631</v>
      </c>
      <c r="V445" t="s">
        <v>2631</v>
      </c>
      <c r="W445" t="str">
        <f t="shared" si="1"/>
        <v/>
      </c>
    </row>
    <row r="446">
      <c r="A446" s="442"/>
      <c r="B446" s="448"/>
      <c r="C446" s="442"/>
      <c r="D446" s="442"/>
      <c r="E446" s="442"/>
      <c r="F446" s="442"/>
      <c r="G446" s="442"/>
      <c r="O446" t="str">
        <f>IFERROR(__xludf.DUMMYFUNCTION("regexextract(B446,""[\w]* [\w]*"")"),"#N/A")</f>
        <v>#N/A</v>
      </c>
      <c r="P446" t="str">
        <f t="shared" si="2"/>
        <v>#N/A</v>
      </c>
      <c r="Q446" t="str">
        <f t="shared" si="3"/>
        <v>#N/A</v>
      </c>
      <c r="R446" t="s">
        <v>2631</v>
      </c>
      <c r="S446" s="411" t="s">
        <v>2631</v>
      </c>
      <c r="T446" t="s">
        <v>2631</v>
      </c>
      <c r="U446" t="s">
        <v>2631</v>
      </c>
      <c r="V446" t="s">
        <v>2631</v>
      </c>
      <c r="W446" t="str">
        <f t="shared" si="1"/>
        <v/>
      </c>
    </row>
    <row r="447">
      <c r="A447" s="438"/>
      <c r="B447" s="445"/>
      <c r="C447" s="438"/>
      <c r="D447" s="438"/>
      <c r="E447" s="438"/>
      <c r="F447" s="438"/>
      <c r="G447" s="438"/>
      <c r="O447" t="str">
        <f>IFERROR(__xludf.DUMMYFUNCTION("regexextract(B447,""[\w]* [\w]*"")"),"#N/A")</f>
        <v>#N/A</v>
      </c>
      <c r="P447" t="str">
        <f t="shared" si="2"/>
        <v>#N/A</v>
      </c>
      <c r="Q447" t="str">
        <f t="shared" si="3"/>
        <v>#N/A</v>
      </c>
      <c r="R447" t="s">
        <v>2631</v>
      </c>
      <c r="S447" s="411" t="s">
        <v>2631</v>
      </c>
      <c r="T447" t="s">
        <v>2631</v>
      </c>
      <c r="U447" t="s">
        <v>2631</v>
      </c>
      <c r="V447" t="s">
        <v>2631</v>
      </c>
      <c r="W447" t="str">
        <f t="shared" si="1"/>
        <v/>
      </c>
    </row>
    <row r="448">
      <c r="A448" s="442"/>
      <c r="B448" s="448"/>
      <c r="C448" s="442"/>
      <c r="D448" s="442"/>
      <c r="E448" s="442"/>
      <c r="F448" s="442"/>
      <c r="G448" s="442"/>
      <c r="O448" t="str">
        <f>IFERROR(__xludf.DUMMYFUNCTION("regexextract(B448,""[\w]* [\w]*"")"),"#N/A")</f>
        <v>#N/A</v>
      </c>
      <c r="P448" t="str">
        <f t="shared" si="2"/>
        <v>#N/A</v>
      </c>
      <c r="Q448" t="str">
        <f t="shared" si="3"/>
        <v>#N/A</v>
      </c>
      <c r="R448" t="s">
        <v>2631</v>
      </c>
      <c r="S448" s="411" t="s">
        <v>2631</v>
      </c>
      <c r="T448" t="s">
        <v>2631</v>
      </c>
      <c r="U448" t="s">
        <v>2631</v>
      </c>
      <c r="V448" t="s">
        <v>2631</v>
      </c>
      <c r="W448" t="str">
        <f t="shared" si="1"/>
        <v/>
      </c>
    </row>
    <row r="449">
      <c r="A449" s="438"/>
      <c r="B449" s="445"/>
      <c r="C449" s="438"/>
      <c r="D449" s="438"/>
      <c r="E449" s="438"/>
      <c r="F449" s="438"/>
      <c r="G449" s="438"/>
      <c r="O449" t="str">
        <f>IFERROR(__xludf.DUMMYFUNCTION("regexextract(B449,""[\w]* [\w]*"")"),"#N/A")</f>
        <v>#N/A</v>
      </c>
      <c r="P449" t="str">
        <f t="shared" si="2"/>
        <v>#N/A</v>
      </c>
      <c r="Q449" t="str">
        <f t="shared" si="3"/>
        <v>#N/A</v>
      </c>
      <c r="R449" t="s">
        <v>2631</v>
      </c>
      <c r="S449" s="411" t="s">
        <v>2631</v>
      </c>
      <c r="T449" t="s">
        <v>2631</v>
      </c>
      <c r="U449" t="s">
        <v>2631</v>
      </c>
      <c r="V449" t="s">
        <v>2631</v>
      </c>
      <c r="W449" t="str">
        <f t="shared" si="1"/>
        <v/>
      </c>
    </row>
    <row r="450">
      <c r="A450" s="442"/>
      <c r="B450" s="448"/>
      <c r="C450" s="442"/>
      <c r="D450" s="442"/>
      <c r="E450" s="442"/>
      <c r="F450" s="442"/>
      <c r="G450" s="442"/>
      <c r="O450" t="str">
        <f>IFERROR(__xludf.DUMMYFUNCTION("regexextract(B450,""[\w]* [\w]*"")"),"#N/A")</f>
        <v>#N/A</v>
      </c>
      <c r="P450" t="str">
        <f t="shared" si="2"/>
        <v>#N/A</v>
      </c>
      <c r="Q450" t="str">
        <f t="shared" si="3"/>
        <v>#N/A</v>
      </c>
      <c r="R450" t="s">
        <v>2631</v>
      </c>
      <c r="S450" s="411" t="s">
        <v>2631</v>
      </c>
      <c r="T450" t="s">
        <v>2631</v>
      </c>
      <c r="U450" t="s">
        <v>2631</v>
      </c>
      <c r="V450" t="s">
        <v>2631</v>
      </c>
      <c r="W450" t="str">
        <f t="shared" si="1"/>
        <v/>
      </c>
    </row>
    <row r="451">
      <c r="A451" s="438"/>
      <c r="B451" s="445"/>
      <c r="C451" s="438"/>
      <c r="D451" s="438"/>
      <c r="E451" s="438"/>
      <c r="F451" s="438"/>
      <c r="G451" s="438"/>
      <c r="O451" t="str">
        <f>IFERROR(__xludf.DUMMYFUNCTION("regexextract(B451,""[\w]* [\w]*"")"),"#N/A")</f>
        <v>#N/A</v>
      </c>
      <c r="P451" t="str">
        <f t="shared" si="2"/>
        <v>#N/A</v>
      </c>
      <c r="Q451" t="str">
        <f t="shared" si="3"/>
        <v>#N/A</v>
      </c>
      <c r="R451" t="s">
        <v>2631</v>
      </c>
      <c r="S451" s="411" t="s">
        <v>2631</v>
      </c>
      <c r="T451" t="s">
        <v>2631</v>
      </c>
      <c r="U451" t="s">
        <v>2631</v>
      </c>
      <c r="V451" t="s">
        <v>2631</v>
      </c>
      <c r="W451" t="str">
        <f t="shared" si="1"/>
        <v/>
      </c>
    </row>
    <row r="452">
      <c r="A452" s="442"/>
      <c r="B452" s="448"/>
      <c r="C452" s="442"/>
      <c r="D452" s="442"/>
      <c r="E452" s="442"/>
      <c r="F452" s="442"/>
      <c r="G452" s="442"/>
      <c r="O452" t="str">
        <f>IFERROR(__xludf.DUMMYFUNCTION("regexextract(B452,""[\w]* [\w]*"")"),"#N/A")</f>
        <v>#N/A</v>
      </c>
      <c r="P452" t="str">
        <f t="shared" si="2"/>
        <v>#N/A</v>
      </c>
      <c r="Q452" t="str">
        <f t="shared" si="3"/>
        <v>#N/A</v>
      </c>
      <c r="R452" t="s">
        <v>2631</v>
      </c>
      <c r="S452" s="411" t="s">
        <v>2631</v>
      </c>
      <c r="T452" t="s">
        <v>2631</v>
      </c>
      <c r="U452" t="s">
        <v>2631</v>
      </c>
      <c r="V452" t="s">
        <v>2631</v>
      </c>
      <c r="W452" t="str">
        <f t="shared" si="1"/>
        <v/>
      </c>
    </row>
    <row r="453">
      <c r="A453" s="438"/>
      <c r="B453" s="445"/>
      <c r="C453" s="438"/>
      <c r="D453" s="438"/>
      <c r="E453" s="438"/>
      <c r="F453" s="438"/>
      <c r="G453" s="438"/>
      <c r="O453" t="str">
        <f>IFERROR(__xludf.DUMMYFUNCTION("regexextract(B453,""[\w]* [\w]*"")"),"#N/A")</f>
        <v>#N/A</v>
      </c>
      <c r="P453" t="str">
        <f t="shared" si="2"/>
        <v>#N/A</v>
      </c>
      <c r="Q453" t="str">
        <f t="shared" si="3"/>
        <v>#N/A</v>
      </c>
      <c r="R453" t="s">
        <v>2631</v>
      </c>
      <c r="S453" s="411" t="s">
        <v>2631</v>
      </c>
      <c r="T453" t="s">
        <v>2631</v>
      </c>
      <c r="U453" t="s">
        <v>2631</v>
      </c>
      <c r="V453" t="s">
        <v>2631</v>
      </c>
      <c r="W453" t="str">
        <f t="shared" si="1"/>
        <v/>
      </c>
    </row>
    <row r="454">
      <c r="A454" s="442"/>
      <c r="B454" s="448"/>
      <c r="C454" s="442"/>
      <c r="D454" s="442"/>
      <c r="E454" s="442"/>
      <c r="F454" s="442"/>
      <c r="G454" s="442"/>
      <c r="O454" t="str">
        <f>IFERROR(__xludf.DUMMYFUNCTION("regexextract(B454,""[\w]* [\w]*"")"),"#N/A")</f>
        <v>#N/A</v>
      </c>
      <c r="P454" t="str">
        <f t="shared" si="2"/>
        <v>#N/A</v>
      </c>
      <c r="Q454" t="str">
        <f t="shared" si="3"/>
        <v>#N/A</v>
      </c>
      <c r="R454" t="s">
        <v>2631</v>
      </c>
      <c r="S454" s="411" t="s">
        <v>2631</v>
      </c>
      <c r="T454" t="s">
        <v>2631</v>
      </c>
      <c r="U454" t="s">
        <v>2631</v>
      </c>
      <c r="V454" t="s">
        <v>2631</v>
      </c>
      <c r="W454" t="str">
        <f t="shared" si="1"/>
        <v/>
      </c>
    </row>
    <row r="455">
      <c r="A455" s="438"/>
      <c r="B455" s="445"/>
      <c r="C455" s="438"/>
      <c r="D455" s="438"/>
      <c r="E455" s="438"/>
      <c r="F455" s="438"/>
      <c r="G455" s="438"/>
      <c r="O455" t="str">
        <f>IFERROR(__xludf.DUMMYFUNCTION("regexextract(B455,""[\w]* [\w]*"")"),"#N/A")</f>
        <v>#N/A</v>
      </c>
      <c r="P455" t="str">
        <f t="shared" si="2"/>
        <v>#N/A</v>
      </c>
      <c r="Q455" t="str">
        <f t="shared" si="3"/>
        <v>#N/A</v>
      </c>
      <c r="R455" t="s">
        <v>2631</v>
      </c>
      <c r="S455" s="411" t="s">
        <v>2631</v>
      </c>
      <c r="T455" t="s">
        <v>2631</v>
      </c>
      <c r="U455" t="s">
        <v>2631</v>
      </c>
      <c r="V455" t="s">
        <v>2631</v>
      </c>
      <c r="W455" t="str">
        <f t="shared" si="1"/>
        <v/>
      </c>
    </row>
    <row r="456">
      <c r="A456" s="442"/>
      <c r="B456" s="448"/>
      <c r="C456" s="442"/>
      <c r="D456" s="442"/>
      <c r="E456" s="442"/>
      <c r="F456" s="442"/>
      <c r="G456" s="442"/>
      <c r="O456" t="str">
        <f>IFERROR(__xludf.DUMMYFUNCTION("regexextract(B456,""[\w]* [\w]*"")"),"#N/A")</f>
        <v>#N/A</v>
      </c>
      <c r="P456" t="str">
        <f t="shared" si="2"/>
        <v>#N/A</v>
      </c>
      <c r="Q456" t="str">
        <f t="shared" si="3"/>
        <v>#N/A</v>
      </c>
      <c r="R456" t="s">
        <v>2631</v>
      </c>
      <c r="S456" s="411" t="s">
        <v>2631</v>
      </c>
      <c r="T456" t="s">
        <v>2631</v>
      </c>
      <c r="U456" t="s">
        <v>2631</v>
      </c>
      <c r="V456" t="s">
        <v>2631</v>
      </c>
      <c r="W456" t="str">
        <f t="shared" si="1"/>
        <v/>
      </c>
    </row>
    <row r="457">
      <c r="A457" s="438"/>
      <c r="B457" s="445"/>
      <c r="C457" s="438"/>
      <c r="D457" s="438"/>
      <c r="E457" s="438"/>
      <c r="F457" s="438"/>
      <c r="G457" s="438"/>
      <c r="O457" t="str">
        <f>IFERROR(__xludf.DUMMYFUNCTION("regexextract(B457,""[\w]* [\w]*"")"),"#N/A")</f>
        <v>#N/A</v>
      </c>
      <c r="P457" t="str">
        <f t="shared" si="2"/>
        <v>#N/A</v>
      </c>
      <c r="Q457" t="str">
        <f t="shared" si="3"/>
        <v>#N/A</v>
      </c>
      <c r="R457" t="s">
        <v>2631</v>
      </c>
      <c r="S457" s="411" t="s">
        <v>2631</v>
      </c>
      <c r="T457" t="s">
        <v>2631</v>
      </c>
      <c r="U457" t="s">
        <v>2631</v>
      </c>
      <c r="V457" t="s">
        <v>2631</v>
      </c>
      <c r="W457" t="str">
        <f t="shared" si="1"/>
        <v/>
      </c>
    </row>
    <row r="458">
      <c r="A458" s="442"/>
      <c r="B458" s="448"/>
      <c r="C458" s="442"/>
      <c r="D458" s="442"/>
      <c r="E458" s="442"/>
      <c r="F458" s="442"/>
      <c r="G458" s="442"/>
      <c r="O458" t="str">
        <f>IFERROR(__xludf.DUMMYFUNCTION("regexextract(B458,""[\w]* [\w]*"")"),"#N/A")</f>
        <v>#N/A</v>
      </c>
      <c r="P458" t="str">
        <f t="shared" si="2"/>
        <v>#N/A</v>
      </c>
      <c r="Q458" t="str">
        <f t="shared" si="3"/>
        <v>#N/A</v>
      </c>
      <c r="R458" t="s">
        <v>2631</v>
      </c>
      <c r="S458" s="411" t="s">
        <v>2631</v>
      </c>
      <c r="T458" t="s">
        <v>2631</v>
      </c>
      <c r="U458" t="s">
        <v>2631</v>
      </c>
      <c r="V458" t="s">
        <v>2631</v>
      </c>
      <c r="W458" t="str">
        <f t="shared" si="1"/>
        <v/>
      </c>
    </row>
    <row r="459">
      <c r="A459" s="438"/>
      <c r="B459" s="445"/>
      <c r="C459" s="438"/>
      <c r="D459" s="438"/>
      <c r="E459" s="438"/>
      <c r="F459" s="438"/>
      <c r="G459" s="438"/>
      <c r="O459" t="str">
        <f>IFERROR(__xludf.DUMMYFUNCTION("regexextract(B459,""[\w]* [\w]*"")"),"#N/A")</f>
        <v>#N/A</v>
      </c>
      <c r="P459" t="str">
        <f t="shared" si="2"/>
        <v>#N/A</v>
      </c>
      <c r="Q459" t="str">
        <f t="shared" si="3"/>
        <v>#N/A</v>
      </c>
      <c r="R459" t="s">
        <v>2631</v>
      </c>
      <c r="S459" s="411" t="s">
        <v>2631</v>
      </c>
      <c r="T459" t="s">
        <v>2631</v>
      </c>
      <c r="U459" t="s">
        <v>2631</v>
      </c>
      <c r="V459" t="s">
        <v>2631</v>
      </c>
      <c r="W459" t="str">
        <f t="shared" si="1"/>
        <v/>
      </c>
    </row>
    <row r="460">
      <c r="A460" s="442"/>
      <c r="B460" s="448"/>
      <c r="C460" s="442"/>
      <c r="D460" s="442"/>
      <c r="E460" s="442"/>
      <c r="F460" s="442"/>
      <c r="G460" s="442"/>
      <c r="O460" t="str">
        <f>IFERROR(__xludf.DUMMYFUNCTION("regexextract(B460,""[\w]* [\w]*"")"),"#N/A")</f>
        <v>#N/A</v>
      </c>
      <c r="P460" t="str">
        <f t="shared" si="2"/>
        <v>#N/A</v>
      </c>
      <c r="Q460" t="str">
        <f t="shared" si="3"/>
        <v>#N/A</v>
      </c>
      <c r="R460" t="s">
        <v>2631</v>
      </c>
      <c r="S460" s="411" t="s">
        <v>2631</v>
      </c>
      <c r="T460" t="s">
        <v>2631</v>
      </c>
      <c r="U460" t="s">
        <v>2631</v>
      </c>
      <c r="V460" t="s">
        <v>2631</v>
      </c>
      <c r="W460" t="str">
        <f t="shared" si="1"/>
        <v/>
      </c>
    </row>
    <row r="461">
      <c r="A461" s="438"/>
      <c r="B461" s="445"/>
      <c r="C461" s="438"/>
      <c r="D461" s="438"/>
      <c r="E461" s="438"/>
      <c r="F461" s="438"/>
      <c r="G461" s="438"/>
      <c r="O461" t="str">
        <f>IFERROR(__xludf.DUMMYFUNCTION("regexextract(B461,""[\w]* [\w]*"")"),"#N/A")</f>
        <v>#N/A</v>
      </c>
      <c r="P461" t="str">
        <f t="shared" si="2"/>
        <v>#N/A</v>
      </c>
      <c r="Q461" t="str">
        <f t="shared" si="3"/>
        <v>#N/A</v>
      </c>
      <c r="R461" t="s">
        <v>2631</v>
      </c>
      <c r="S461" s="411" t="s">
        <v>2631</v>
      </c>
      <c r="T461" t="s">
        <v>2631</v>
      </c>
      <c r="U461" t="s">
        <v>2631</v>
      </c>
      <c r="V461" t="s">
        <v>2631</v>
      </c>
      <c r="W461" t="str">
        <f t="shared" si="1"/>
        <v/>
      </c>
    </row>
    <row r="462">
      <c r="A462" s="442"/>
      <c r="B462" s="448"/>
      <c r="C462" s="442"/>
      <c r="D462" s="442"/>
      <c r="E462" s="442"/>
      <c r="F462" s="442"/>
      <c r="G462" s="442"/>
      <c r="O462" t="str">
        <f>IFERROR(__xludf.DUMMYFUNCTION("regexextract(B462,""[\w]* [\w]*"")"),"#N/A")</f>
        <v>#N/A</v>
      </c>
      <c r="P462" t="str">
        <f t="shared" si="2"/>
        <v>#N/A</v>
      </c>
      <c r="Q462" t="str">
        <f t="shared" si="3"/>
        <v>#N/A</v>
      </c>
      <c r="R462" t="s">
        <v>2631</v>
      </c>
      <c r="S462" s="411" t="s">
        <v>2631</v>
      </c>
      <c r="T462" t="s">
        <v>2631</v>
      </c>
      <c r="U462" t="s">
        <v>2631</v>
      </c>
      <c r="V462" t="s">
        <v>2631</v>
      </c>
      <c r="W462" t="str">
        <f t="shared" si="1"/>
        <v/>
      </c>
    </row>
    <row r="463">
      <c r="A463" s="438"/>
      <c r="B463" s="445"/>
      <c r="C463" s="438"/>
      <c r="D463" s="438"/>
      <c r="E463" s="438"/>
      <c r="F463" s="438"/>
      <c r="G463" s="438"/>
      <c r="O463" t="str">
        <f>IFERROR(__xludf.DUMMYFUNCTION("regexextract(B463,""[\w]* [\w]*"")"),"#N/A")</f>
        <v>#N/A</v>
      </c>
      <c r="P463" t="str">
        <f t="shared" si="2"/>
        <v>#N/A</v>
      </c>
      <c r="Q463" t="str">
        <f t="shared" si="3"/>
        <v>#N/A</v>
      </c>
      <c r="R463" t="s">
        <v>2631</v>
      </c>
      <c r="S463" s="411" t="s">
        <v>2631</v>
      </c>
      <c r="T463" t="s">
        <v>2631</v>
      </c>
      <c r="U463" t="s">
        <v>2631</v>
      </c>
      <c r="V463" t="s">
        <v>2631</v>
      </c>
      <c r="W463" t="str">
        <f t="shared" si="1"/>
        <v/>
      </c>
    </row>
    <row r="464">
      <c r="A464" s="442"/>
      <c r="B464" s="448"/>
      <c r="C464" s="442"/>
      <c r="D464" s="442"/>
      <c r="E464" s="442"/>
      <c r="F464" s="442"/>
      <c r="G464" s="442"/>
      <c r="O464" t="str">
        <f>IFERROR(__xludf.DUMMYFUNCTION("regexextract(B464,""[\w]* [\w]*"")"),"#N/A")</f>
        <v>#N/A</v>
      </c>
      <c r="P464" t="str">
        <f t="shared" si="2"/>
        <v>#N/A</v>
      </c>
      <c r="Q464" t="str">
        <f t="shared" si="3"/>
        <v>#N/A</v>
      </c>
      <c r="R464" t="s">
        <v>2631</v>
      </c>
      <c r="S464" s="411" t="s">
        <v>2631</v>
      </c>
      <c r="T464" t="s">
        <v>2631</v>
      </c>
      <c r="U464" t="s">
        <v>2631</v>
      </c>
      <c r="V464" t="s">
        <v>2631</v>
      </c>
      <c r="W464" t="str">
        <f t="shared" si="1"/>
        <v/>
      </c>
    </row>
    <row r="465">
      <c r="A465" s="438"/>
      <c r="B465" s="445"/>
      <c r="C465" s="438"/>
      <c r="D465" s="438"/>
      <c r="E465" s="438"/>
      <c r="F465" s="438"/>
      <c r="G465" s="438"/>
      <c r="O465" t="str">
        <f>IFERROR(__xludf.DUMMYFUNCTION("regexextract(B465,""[\w]* [\w]*"")"),"#N/A")</f>
        <v>#N/A</v>
      </c>
      <c r="P465" t="str">
        <f t="shared" si="2"/>
        <v>#N/A</v>
      </c>
      <c r="Q465" t="str">
        <f t="shared" si="3"/>
        <v>#N/A</v>
      </c>
      <c r="R465" t="s">
        <v>2631</v>
      </c>
      <c r="S465" s="411" t="s">
        <v>2631</v>
      </c>
      <c r="T465" t="s">
        <v>2631</v>
      </c>
      <c r="U465" t="s">
        <v>2631</v>
      </c>
      <c r="V465" t="s">
        <v>2631</v>
      </c>
      <c r="W465" t="str">
        <f t="shared" si="1"/>
        <v/>
      </c>
    </row>
    <row r="466">
      <c r="A466" s="442"/>
      <c r="B466" s="448"/>
      <c r="C466" s="442"/>
      <c r="D466" s="442"/>
      <c r="E466" s="442"/>
      <c r="F466" s="442"/>
      <c r="G466" s="442"/>
      <c r="O466" t="str">
        <f>IFERROR(__xludf.DUMMYFUNCTION("regexextract(B466,""[\w]* [\w]*"")"),"#N/A")</f>
        <v>#N/A</v>
      </c>
      <c r="P466" t="str">
        <f t="shared" si="2"/>
        <v>#N/A</v>
      </c>
      <c r="Q466" t="str">
        <f t="shared" si="3"/>
        <v>#N/A</v>
      </c>
      <c r="R466" t="s">
        <v>2631</v>
      </c>
      <c r="S466" s="411" t="s">
        <v>2631</v>
      </c>
      <c r="T466" t="s">
        <v>2631</v>
      </c>
      <c r="U466" t="s">
        <v>2631</v>
      </c>
      <c r="V466" t="s">
        <v>2631</v>
      </c>
      <c r="W466" t="str">
        <f t="shared" si="1"/>
        <v/>
      </c>
    </row>
    <row r="467">
      <c r="A467" s="438"/>
      <c r="B467" s="445"/>
      <c r="C467" s="438"/>
      <c r="D467" s="438"/>
      <c r="E467" s="438"/>
      <c r="F467" s="438"/>
      <c r="G467" s="438"/>
      <c r="O467" t="str">
        <f>IFERROR(__xludf.DUMMYFUNCTION("regexextract(B467,""[\w]* [\w]*"")"),"#N/A")</f>
        <v>#N/A</v>
      </c>
      <c r="P467" t="str">
        <f t="shared" si="2"/>
        <v>#N/A</v>
      </c>
      <c r="Q467" t="str">
        <f t="shared" si="3"/>
        <v>#N/A</v>
      </c>
      <c r="R467" t="s">
        <v>2631</v>
      </c>
      <c r="S467" s="411" t="s">
        <v>2631</v>
      </c>
      <c r="T467" t="s">
        <v>2631</v>
      </c>
      <c r="U467" t="s">
        <v>2631</v>
      </c>
      <c r="V467" t="s">
        <v>2631</v>
      </c>
      <c r="W467" t="str">
        <f t="shared" si="1"/>
        <v/>
      </c>
    </row>
    <row r="468">
      <c r="A468" s="442"/>
      <c r="B468" s="448"/>
      <c r="C468" s="442"/>
      <c r="D468" s="442"/>
      <c r="E468" s="442"/>
      <c r="F468" s="442"/>
      <c r="G468" s="442"/>
      <c r="O468" t="str">
        <f>IFERROR(__xludf.DUMMYFUNCTION("regexextract(B468,""[\w]* [\w]*"")"),"#N/A")</f>
        <v>#N/A</v>
      </c>
      <c r="P468" t="str">
        <f t="shared" si="2"/>
        <v>#N/A</v>
      </c>
      <c r="Q468" t="str">
        <f t="shared" si="3"/>
        <v>#N/A</v>
      </c>
      <c r="R468" t="s">
        <v>2631</v>
      </c>
      <c r="S468" s="411" t="s">
        <v>2631</v>
      </c>
      <c r="T468" t="s">
        <v>2631</v>
      </c>
      <c r="U468" t="s">
        <v>2631</v>
      </c>
      <c r="V468" t="s">
        <v>2631</v>
      </c>
      <c r="W468" t="str">
        <f t="shared" si="1"/>
        <v/>
      </c>
    </row>
    <row r="469">
      <c r="A469" s="438"/>
      <c r="B469" s="445"/>
      <c r="C469" s="438"/>
      <c r="D469" s="438"/>
      <c r="E469" s="438"/>
      <c r="F469" s="438"/>
      <c r="G469" s="438"/>
      <c r="O469" t="str">
        <f>IFERROR(__xludf.DUMMYFUNCTION("regexextract(B469,""[\w]* [\w]*"")"),"#N/A")</f>
        <v>#N/A</v>
      </c>
      <c r="P469" t="str">
        <f t="shared" si="2"/>
        <v>#N/A</v>
      </c>
      <c r="Q469" t="str">
        <f t="shared" si="3"/>
        <v>#N/A</v>
      </c>
      <c r="R469" t="s">
        <v>2631</v>
      </c>
      <c r="S469" s="411" t="s">
        <v>2631</v>
      </c>
      <c r="T469" t="s">
        <v>2631</v>
      </c>
      <c r="U469" t="s">
        <v>2631</v>
      </c>
      <c r="V469" t="s">
        <v>2631</v>
      </c>
      <c r="W469" t="str">
        <f t="shared" si="1"/>
        <v/>
      </c>
    </row>
    <row r="470">
      <c r="A470" s="442"/>
      <c r="B470" s="448"/>
      <c r="C470" s="442"/>
      <c r="D470" s="442"/>
      <c r="E470" s="442"/>
      <c r="F470" s="442"/>
      <c r="G470" s="442"/>
      <c r="O470" t="str">
        <f>IFERROR(__xludf.DUMMYFUNCTION("regexextract(B470,""[\w]* [\w]*"")"),"#N/A")</f>
        <v>#N/A</v>
      </c>
      <c r="P470" t="str">
        <f t="shared" si="2"/>
        <v>#N/A</v>
      </c>
      <c r="Q470" t="str">
        <f t="shared" si="3"/>
        <v>#N/A</v>
      </c>
      <c r="R470" t="s">
        <v>2631</v>
      </c>
      <c r="S470" s="411" t="s">
        <v>2631</v>
      </c>
      <c r="T470" t="s">
        <v>2631</v>
      </c>
      <c r="U470" t="s">
        <v>2631</v>
      </c>
      <c r="V470" t="s">
        <v>2631</v>
      </c>
      <c r="W470" t="str">
        <f t="shared" si="1"/>
        <v/>
      </c>
    </row>
    <row r="471">
      <c r="A471" s="438"/>
      <c r="B471" s="445"/>
      <c r="C471" s="438"/>
      <c r="D471" s="438"/>
      <c r="E471" s="438"/>
      <c r="F471" s="438"/>
      <c r="G471" s="438"/>
      <c r="O471" t="str">
        <f>IFERROR(__xludf.DUMMYFUNCTION("regexextract(B471,""[\w]* [\w]*"")"),"#N/A")</f>
        <v>#N/A</v>
      </c>
      <c r="P471" t="str">
        <f t="shared" si="2"/>
        <v>#N/A</v>
      </c>
      <c r="Q471" t="str">
        <f t="shared" si="3"/>
        <v>#N/A</v>
      </c>
      <c r="R471" t="s">
        <v>2631</v>
      </c>
      <c r="S471" s="411" t="s">
        <v>2631</v>
      </c>
      <c r="T471" t="s">
        <v>2631</v>
      </c>
      <c r="U471" t="s">
        <v>2631</v>
      </c>
      <c r="V471" t="s">
        <v>2631</v>
      </c>
      <c r="W471" t="str">
        <f t="shared" si="1"/>
        <v/>
      </c>
    </row>
    <row r="472">
      <c r="A472" s="442"/>
      <c r="B472" s="448"/>
      <c r="C472" s="442"/>
      <c r="D472" s="442"/>
      <c r="E472" s="442"/>
      <c r="F472" s="442"/>
      <c r="G472" s="442"/>
      <c r="O472" t="str">
        <f>IFERROR(__xludf.DUMMYFUNCTION("regexextract(B472,""[\w]* [\w]*"")"),"#N/A")</f>
        <v>#N/A</v>
      </c>
      <c r="P472" t="str">
        <f t="shared" si="2"/>
        <v>#N/A</v>
      </c>
      <c r="Q472" t="str">
        <f t="shared" si="3"/>
        <v>#N/A</v>
      </c>
      <c r="R472" t="s">
        <v>2631</v>
      </c>
      <c r="S472" s="411" t="s">
        <v>2631</v>
      </c>
      <c r="T472" t="s">
        <v>2631</v>
      </c>
      <c r="U472" t="s">
        <v>2631</v>
      </c>
      <c r="V472" t="s">
        <v>2631</v>
      </c>
      <c r="W472" t="str">
        <f t="shared" si="1"/>
        <v/>
      </c>
    </row>
    <row r="473">
      <c r="A473" s="438"/>
      <c r="B473" s="445"/>
      <c r="C473" s="438"/>
      <c r="D473" s="438"/>
      <c r="E473" s="438"/>
      <c r="F473" s="438"/>
      <c r="G473" s="438"/>
      <c r="O473" t="str">
        <f>IFERROR(__xludf.DUMMYFUNCTION("regexextract(B473,""[\w]* [\w]*"")"),"#N/A")</f>
        <v>#N/A</v>
      </c>
      <c r="P473" t="str">
        <f t="shared" si="2"/>
        <v>#N/A</v>
      </c>
      <c r="Q473" t="str">
        <f t="shared" si="3"/>
        <v>#N/A</v>
      </c>
      <c r="R473" t="s">
        <v>2631</v>
      </c>
      <c r="S473" s="411" t="s">
        <v>2631</v>
      </c>
      <c r="T473" t="s">
        <v>2631</v>
      </c>
      <c r="U473" t="s">
        <v>2631</v>
      </c>
      <c r="V473" t="s">
        <v>2631</v>
      </c>
      <c r="W473" t="str">
        <f t="shared" si="1"/>
        <v/>
      </c>
    </row>
    <row r="474">
      <c r="A474" s="442"/>
      <c r="B474" s="448"/>
      <c r="C474" s="442"/>
      <c r="D474" s="442"/>
      <c r="E474" s="442"/>
      <c r="F474" s="442"/>
      <c r="G474" s="442"/>
      <c r="O474" t="str">
        <f>IFERROR(__xludf.DUMMYFUNCTION("regexextract(B474,""[\w]* [\w]*"")"),"#N/A")</f>
        <v>#N/A</v>
      </c>
      <c r="P474" t="str">
        <f t="shared" si="2"/>
        <v>#N/A</v>
      </c>
      <c r="Q474" t="str">
        <f t="shared" si="3"/>
        <v>#N/A</v>
      </c>
      <c r="R474" t="s">
        <v>2631</v>
      </c>
      <c r="S474" s="411" t="s">
        <v>2631</v>
      </c>
      <c r="T474" t="s">
        <v>2631</v>
      </c>
      <c r="U474" t="s">
        <v>2631</v>
      </c>
      <c r="V474" t="s">
        <v>2631</v>
      </c>
      <c r="W474" t="str">
        <f t="shared" si="1"/>
        <v/>
      </c>
    </row>
    <row r="475">
      <c r="A475" s="438"/>
      <c r="B475" s="445"/>
      <c r="C475" s="438"/>
      <c r="D475" s="438"/>
      <c r="E475" s="438"/>
      <c r="F475" s="438"/>
      <c r="G475" s="438"/>
      <c r="O475" t="str">
        <f>IFERROR(__xludf.DUMMYFUNCTION("regexextract(B475,""[\w]* [\w]*"")"),"#N/A")</f>
        <v>#N/A</v>
      </c>
      <c r="P475" t="str">
        <f t="shared" si="2"/>
        <v>#N/A</v>
      </c>
      <c r="Q475" t="str">
        <f t="shared" si="3"/>
        <v>#N/A</v>
      </c>
      <c r="R475" t="s">
        <v>2631</v>
      </c>
      <c r="S475" s="411" t="s">
        <v>2631</v>
      </c>
      <c r="T475" t="s">
        <v>2631</v>
      </c>
      <c r="U475" t="s">
        <v>2631</v>
      </c>
      <c r="V475" t="s">
        <v>2631</v>
      </c>
      <c r="W475" t="str">
        <f t="shared" si="1"/>
        <v/>
      </c>
    </row>
    <row r="476">
      <c r="A476" s="442"/>
      <c r="B476" s="448"/>
      <c r="C476" s="442"/>
      <c r="D476" s="442"/>
      <c r="E476" s="442"/>
      <c r="F476" s="442"/>
      <c r="G476" s="442"/>
      <c r="O476" t="str">
        <f>IFERROR(__xludf.DUMMYFUNCTION("regexextract(B476,""[\w]* [\w]*"")"),"#N/A")</f>
        <v>#N/A</v>
      </c>
      <c r="P476" t="str">
        <f t="shared" si="2"/>
        <v>#N/A</v>
      </c>
      <c r="Q476" t="str">
        <f t="shared" si="3"/>
        <v>#N/A</v>
      </c>
      <c r="R476" t="s">
        <v>2631</v>
      </c>
      <c r="S476" s="411" t="s">
        <v>2631</v>
      </c>
      <c r="T476" t="s">
        <v>2631</v>
      </c>
      <c r="U476" t="s">
        <v>2631</v>
      </c>
      <c r="V476" t="s">
        <v>2631</v>
      </c>
      <c r="W476" t="str">
        <f t="shared" si="1"/>
        <v/>
      </c>
    </row>
    <row r="477">
      <c r="A477" s="438"/>
      <c r="B477" s="445"/>
      <c r="C477" s="438"/>
      <c r="D477" s="438"/>
      <c r="E477" s="438"/>
      <c r="F477" s="438"/>
      <c r="G477" s="438"/>
      <c r="O477" t="str">
        <f>IFERROR(__xludf.DUMMYFUNCTION("regexextract(B477,""[\w]* [\w]*"")"),"#N/A")</f>
        <v>#N/A</v>
      </c>
      <c r="P477" t="str">
        <f t="shared" si="2"/>
        <v>#N/A</v>
      </c>
      <c r="Q477" t="str">
        <f t="shared" si="3"/>
        <v>#N/A</v>
      </c>
      <c r="R477" t="s">
        <v>2631</v>
      </c>
      <c r="S477" s="411" t="s">
        <v>2631</v>
      </c>
      <c r="T477" t="s">
        <v>2631</v>
      </c>
      <c r="U477" t="s">
        <v>2631</v>
      </c>
      <c r="V477" t="s">
        <v>2631</v>
      </c>
      <c r="W477" t="str">
        <f t="shared" si="1"/>
        <v/>
      </c>
    </row>
    <row r="478">
      <c r="A478" s="442"/>
      <c r="B478" s="448"/>
      <c r="C478" s="442"/>
      <c r="D478" s="442"/>
      <c r="E478" s="442"/>
      <c r="F478" s="442"/>
      <c r="G478" s="442"/>
      <c r="O478" t="str">
        <f>IFERROR(__xludf.DUMMYFUNCTION("regexextract(B478,""[\w]* [\w]*"")"),"#N/A")</f>
        <v>#N/A</v>
      </c>
      <c r="P478" t="str">
        <f t="shared" si="2"/>
        <v>#N/A</v>
      </c>
      <c r="Q478" t="str">
        <f t="shared" si="3"/>
        <v>#N/A</v>
      </c>
      <c r="R478" t="s">
        <v>2631</v>
      </c>
      <c r="S478" s="411" t="s">
        <v>2631</v>
      </c>
      <c r="T478" t="s">
        <v>2631</v>
      </c>
      <c r="U478" t="s">
        <v>2631</v>
      </c>
      <c r="V478" t="s">
        <v>2631</v>
      </c>
      <c r="W478" t="str">
        <f t="shared" si="1"/>
        <v/>
      </c>
    </row>
    <row r="479">
      <c r="A479" s="438"/>
      <c r="B479" s="445"/>
      <c r="C479" s="438"/>
      <c r="D479" s="438"/>
      <c r="E479" s="438"/>
      <c r="F479" s="438"/>
      <c r="G479" s="438"/>
      <c r="O479" t="str">
        <f>IFERROR(__xludf.DUMMYFUNCTION("regexextract(B479,""[\w]* [\w]*"")"),"#N/A")</f>
        <v>#N/A</v>
      </c>
      <c r="P479" t="str">
        <f t="shared" si="2"/>
        <v>#N/A</v>
      </c>
      <c r="Q479" t="str">
        <f t="shared" si="3"/>
        <v>#N/A</v>
      </c>
      <c r="R479" t="s">
        <v>2631</v>
      </c>
      <c r="S479" s="411" t="s">
        <v>2631</v>
      </c>
      <c r="T479" t="s">
        <v>2631</v>
      </c>
      <c r="U479" t="s">
        <v>2631</v>
      </c>
      <c r="V479" t="s">
        <v>2631</v>
      </c>
      <c r="W479" t="str">
        <f t="shared" si="1"/>
        <v/>
      </c>
    </row>
    <row r="480">
      <c r="A480" s="442"/>
      <c r="B480" s="448"/>
      <c r="C480" s="442"/>
      <c r="D480" s="442"/>
      <c r="E480" s="442"/>
      <c r="F480" s="442"/>
      <c r="G480" s="442"/>
      <c r="O480" t="str">
        <f>IFERROR(__xludf.DUMMYFUNCTION("regexextract(B480,""[\w]* [\w]*"")"),"#N/A")</f>
        <v>#N/A</v>
      </c>
      <c r="P480" t="str">
        <f t="shared" si="2"/>
        <v>#N/A</v>
      </c>
      <c r="Q480" t="str">
        <f t="shared" si="3"/>
        <v>#N/A</v>
      </c>
      <c r="R480" t="s">
        <v>2631</v>
      </c>
      <c r="S480" s="411" t="s">
        <v>2631</v>
      </c>
      <c r="T480" t="s">
        <v>2631</v>
      </c>
      <c r="U480" t="s">
        <v>2631</v>
      </c>
      <c r="V480" t="s">
        <v>2631</v>
      </c>
      <c r="W480" t="str">
        <f t="shared" si="1"/>
        <v/>
      </c>
    </row>
    <row r="481">
      <c r="A481" s="438"/>
      <c r="B481" s="445"/>
      <c r="C481" s="438"/>
      <c r="D481" s="438"/>
      <c r="E481" s="438"/>
      <c r="F481" s="438"/>
      <c r="G481" s="438"/>
      <c r="O481" t="str">
        <f>IFERROR(__xludf.DUMMYFUNCTION("regexextract(B481,""[\w]* [\w]*"")"),"#N/A")</f>
        <v>#N/A</v>
      </c>
      <c r="P481" t="str">
        <f t="shared" si="2"/>
        <v>#N/A</v>
      </c>
      <c r="Q481" t="str">
        <f t="shared" si="3"/>
        <v>#N/A</v>
      </c>
      <c r="R481" t="s">
        <v>2631</v>
      </c>
      <c r="S481" s="411" t="s">
        <v>2631</v>
      </c>
      <c r="T481" t="s">
        <v>2631</v>
      </c>
      <c r="U481" t="s">
        <v>2631</v>
      </c>
      <c r="V481" t="s">
        <v>2631</v>
      </c>
      <c r="W481" t="str">
        <f t="shared" si="1"/>
        <v/>
      </c>
    </row>
    <row r="482">
      <c r="A482" s="442"/>
      <c r="B482" s="448"/>
      <c r="C482" s="442"/>
      <c r="D482" s="442"/>
      <c r="E482" s="442"/>
      <c r="F482" s="442"/>
      <c r="G482" s="442"/>
      <c r="O482" t="str">
        <f>IFERROR(__xludf.DUMMYFUNCTION("regexextract(B482,""[\w]* [\w]*"")"),"#N/A")</f>
        <v>#N/A</v>
      </c>
      <c r="P482" t="str">
        <f t="shared" si="2"/>
        <v>#N/A</v>
      </c>
      <c r="Q482" t="str">
        <f t="shared" si="3"/>
        <v>#N/A</v>
      </c>
      <c r="R482" t="s">
        <v>2631</v>
      </c>
      <c r="S482" s="411" t="s">
        <v>2631</v>
      </c>
      <c r="T482" t="s">
        <v>2631</v>
      </c>
      <c r="U482" t="s">
        <v>2631</v>
      </c>
      <c r="V482" t="s">
        <v>2631</v>
      </c>
      <c r="W482" t="str">
        <f t="shared" si="1"/>
        <v/>
      </c>
    </row>
    <row r="483">
      <c r="A483" s="438"/>
      <c r="B483" s="445"/>
      <c r="C483" s="438"/>
      <c r="D483" s="438"/>
      <c r="E483" s="438"/>
      <c r="F483" s="438"/>
      <c r="G483" s="438"/>
      <c r="O483" t="str">
        <f>IFERROR(__xludf.DUMMYFUNCTION("regexextract(B483,""[\w]* [\w]*"")"),"#N/A")</f>
        <v>#N/A</v>
      </c>
      <c r="P483" t="str">
        <f t="shared" si="2"/>
        <v>#N/A</v>
      </c>
      <c r="Q483" t="str">
        <f t="shared" si="3"/>
        <v>#N/A</v>
      </c>
      <c r="R483" t="s">
        <v>2631</v>
      </c>
      <c r="S483" s="411" t="s">
        <v>2631</v>
      </c>
      <c r="T483" t="s">
        <v>2631</v>
      </c>
      <c r="U483" t="s">
        <v>2631</v>
      </c>
      <c r="V483" t="s">
        <v>2631</v>
      </c>
      <c r="W483" t="str">
        <f t="shared" si="1"/>
        <v/>
      </c>
    </row>
    <row r="484">
      <c r="A484" s="442"/>
      <c r="B484" s="448"/>
      <c r="C484" s="442"/>
      <c r="D484" s="442"/>
      <c r="E484" s="442"/>
      <c r="F484" s="442"/>
      <c r="G484" s="442"/>
      <c r="O484" t="str">
        <f>IFERROR(__xludf.DUMMYFUNCTION("regexextract(B484,""[\w]* [\w]*"")"),"#N/A")</f>
        <v>#N/A</v>
      </c>
      <c r="P484" t="str">
        <f t="shared" si="2"/>
        <v>#N/A</v>
      </c>
      <c r="Q484" t="str">
        <f t="shared" si="3"/>
        <v>#N/A</v>
      </c>
      <c r="R484" t="s">
        <v>2631</v>
      </c>
      <c r="S484" s="411" t="s">
        <v>2631</v>
      </c>
      <c r="T484" t="s">
        <v>2631</v>
      </c>
      <c r="U484" t="s">
        <v>2631</v>
      </c>
      <c r="V484" t="s">
        <v>2631</v>
      </c>
      <c r="W484" t="str">
        <f t="shared" si="1"/>
        <v/>
      </c>
    </row>
    <row r="485">
      <c r="A485" s="438"/>
      <c r="B485" s="445"/>
      <c r="C485" s="438"/>
      <c r="D485" s="438"/>
      <c r="E485" s="438"/>
      <c r="F485" s="438"/>
      <c r="G485" s="438"/>
      <c r="O485" t="str">
        <f>IFERROR(__xludf.DUMMYFUNCTION("regexextract(B485,""[\w]* [\w]*"")"),"#N/A")</f>
        <v>#N/A</v>
      </c>
      <c r="P485" t="str">
        <f t="shared" si="2"/>
        <v>#N/A</v>
      </c>
      <c r="Q485" t="str">
        <f t="shared" si="3"/>
        <v>#N/A</v>
      </c>
      <c r="R485" t="s">
        <v>2631</v>
      </c>
      <c r="S485" s="411" t="s">
        <v>2631</v>
      </c>
      <c r="T485" t="s">
        <v>2631</v>
      </c>
      <c r="U485" t="s">
        <v>2631</v>
      </c>
      <c r="V485" t="s">
        <v>2631</v>
      </c>
      <c r="W485" t="str">
        <f t="shared" si="1"/>
        <v/>
      </c>
    </row>
    <row r="486">
      <c r="A486" s="442"/>
      <c r="B486" s="448"/>
      <c r="C486" s="442"/>
      <c r="D486" s="443"/>
      <c r="E486" s="442"/>
      <c r="F486" s="443"/>
      <c r="G486" s="442"/>
      <c r="O486" t="str">
        <f>IFERROR(__xludf.DUMMYFUNCTION("regexextract(B486,""[\w]* [\w]*"")"),"#N/A")</f>
        <v>#N/A</v>
      </c>
      <c r="P486" t="str">
        <f t="shared" si="2"/>
        <v>#N/A</v>
      </c>
      <c r="Q486" t="str">
        <f t="shared" si="3"/>
        <v>#N/A</v>
      </c>
      <c r="R486" t="s">
        <v>2631</v>
      </c>
      <c r="S486" s="411" t="s">
        <v>2631</v>
      </c>
      <c r="T486" t="s">
        <v>2631</v>
      </c>
      <c r="U486" t="s">
        <v>2631</v>
      </c>
      <c r="V486" t="s">
        <v>2631</v>
      </c>
      <c r="W486" t="str">
        <f t="shared" si="1"/>
        <v/>
      </c>
    </row>
    <row r="487">
      <c r="A487" s="438"/>
      <c r="B487" s="445"/>
      <c r="C487" s="438"/>
      <c r="D487" s="438"/>
      <c r="E487" s="438"/>
      <c r="F487" s="438"/>
      <c r="G487" s="438"/>
      <c r="O487" t="str">
        <f>IFERROR(__xludf.DUMMYFUNCTION("regexextract(B487,""[\w]* [\w]*"")"),"#N/A")</f>
        <v>#N/A</v>
      </c>
      <c r="P487" t="str">
        <f t="shared" si="2"/>
        <v>#N/A</v>
      </c>
      <c r="Q487" t="str">
        <f t="shared" si="3"/>
        <v>#N/A</v>
      </c>
      <c r="R487" t="s">
        <v>2631</v>
      </c>
      <c r="S487" s="411" t="s">
        <v>2631</v>
      </c>
      <c r="T487" t="s">
        <v>2631</v>
      </c>
      <c r="U487" t="s">
        <v>2631</v>
      </c>
      <c r="V487" t="s">
        <v>2631</v>
      </c>
      <c r="W487" t="str">
        <f t="shared" si="1"/>
        <v/>
      </c>
    </row>
    <row r="488">
      <c r="A488" s="442"/>
      <c r="B488" s="448"/>
      <c r="C488" s="442"/>
      <c r="D488" s="442"/>
      <c r="E488" s="442"/>
      <c r="F488" s="442"/>
      <c r="G488" s="442"/>
      <c r="O488" t="str">
        <f>IFERROR(__xludf.DUMMYFUNCTION("regexextract(B488,""[\w]* [\w]*"")"),"#N/A")</f>
        <v>#N/A</v>
      </c>
      <c r="P488" t="str">
        <f t="shared" si="2"/>
        <v>#N/A</v>
      </c>
      <c r="Q488" t="str">
        <f t="shared" si="3"/>
        <v>#N/A</v>
      </c>
      <c r="R488" t="s">
        <v>2631</v>
      </c>
      <c r="S488" s="411" t="s">
        <v>2631</v>
      </c>
      <c r="T488" t="s">
        <v>2631</v>
      </c>
      <c r="U488" t="s">
        <v>2631</v>
      </c>
      <c r="V488" t="s">
        <v>2631</v>
      </c>
      <c r="W488" t="str">
        <f t="shared" si="1"/>
        <v/>
      </c>
    </row>
    <row r="489">
      <c r="A489" s="438"/>
      <c r="B489" s="445"/>
      <c r="C489" s="438"/>
      <c r="D489" s="438"/>
      <c r="E489" s="438"/>
      <c r="F489" s="438"/>
      <c r="G489" s="438"/>
      <c r="O489" t="str">
        <f>IFERROR(__xludf.DUMMYFUNCTION("regexextract(B489,""[\w]* [\w]*"")"),"#N/A")</f>
        <v>#N/A</v>
      </c>
      <c r="P489" t="str">
        <f t="shared" si="2"/>
        <v>#N/A</v>
      </c>
      <c r="Q489" t="str">
        <f t="shared" si="3"/>
        <v>#N/A</v>
      </c>
      <c r="R489" t="s">
        <v>2631</v>
      </c>
      <c r="S489" s="411" t="s">
        <v>2631</v>
      </c>
      <c r="T489" t="s">
        <v>2631</v>
      </c>
      <c r="U489" t="s">
        <v>2631</v>
      </c>
      <c r="V489" t="s">
        <v>2631</v>
      </c>
      <c r="W489" t="str">
        <f t="shared" si="1"/>
        <v/>
      </c>
    </row>
    <row r="490">
      <c r="A490" s="442"/>
      <c r="B490" s="448"/>
      <c r="C490" s="442"/>
      <c r="D490" s="442"/>
      <c r="E490" s="442"/>
      <c r="F490" s="442"/>
      <c r="G490" s="442"/>
      <c r="O490" t="str">
        <f>IFERROR(__xludf.DUMMYFUNCTION("regexextract(B490,""[\w]* [\w]*"")"),"#N/A")</f>
        <v>#N/A</v>
      </c>
      <c r="P490" t="str">
        <f t="shared" si="2"/>
        <v>#N/A</v>
      </c>
      <c r="Q490" t="str">
        <f t="shared" si="3"/>
        <v>#N/A</v>
      </c>
      <c r="R490" t="s">
        <v>2631</v>
      </c>
      <c r="S490" s="411" t="s">
        <v>2631</v>
      </c>
      <c r="T490" t="s">
        <v>2631</v>
      </c>
      <c r="U490" t="s">
        <v>2631</v>
      </c>
      <c r="V490" t="s">
        <v>2631</v>
      </c>
      <c r="W490" t="str">
        <f t="shared" si="1"/>
        <v/>
      </c>
    </row>
    <row r="491">
      <c r="A491" s="438"/>
      <c r="B491" s="445"/>
      <c r="C491" s="438"/>
      <c r="D491" s="438"/>
      <c r="E491" s="438"/>
      <c r="F491" s="438"/>
      <c r="G491" s="438"/>
      <c r="O491" t="str">
        <f>IFERROR(__xludf.DUMMYFUNCTION("regexextract(B491,""[\w]* [\w]*"")"),"#N/A")</f>
        <v>#N/A</v>
      </c>
      <c r="P491" t="str">
        <f t="shared" si="2"/>
        <v>#N/A</v>
      </c>
      <c r="Q491" t="str">
        <f t="shared" si="3"/>
        <v>#N/A</v>
      </c>
      <c r="R491" t="s">
        <v>2631</v>
      </c>
      <c r="S491" s="411" t="s">
        <v>2631</v>
      </c>
      <c r="T491" t="s">
        <v>2631</v>
      </c>
      <c r="U491" t="s">
        <v>2631</v>
      </c>
      <c r="V491" t="s">
        <v>2631</v>
      </c>
      <c r="W491" t="str">
        <f t="shared" si="1"/>
        <v/>
      </c>
    </row>
    <row r="492">
      <c r="A492" s="442"/>
      <c r="B492" s="448"/>
      <c r="C492" s="442"/>
      <c r="D492" s="442"/>
      <c r="E492" s="442"/>
      <c r="F492" s="442"/>
      <c r="G492" s="442"/>
      <c r="O492" t="str">
        <f>IFERROR(__xludf.DUMMYFUNCTION("regexextract(B492,""[\w]* [\w]*"")"),"#N/A")</f>
        <v>#N/A</v>
      </c>
      <c r="P492" t="str">
        <f t="shared" si="2"/>
        <v>#N/A</v>
      </c>
      <c r="Q492" t="str">
        <f t="shared" si="3"/>
        <v>#N/A</v>
      </c>
      <c r="R492" t="s">
        <v>2631</v>
      </c>
      <c r="S492" s="411" t="s">
        <v>2631</v>
      </c>
      <c r="T492" t="s">
        <v>2631</v>
      </c>
      <c r="U492" t="s">
        <v>2631</v>
      </c>
      <c r="V492" t="s">
        <v>2631</v>
      </c>
      <c r="W492" t="str">
        <f t="shared" si="1"/>
        <v/>
      </c>
    </row>
    <row r="493">
      <c r="A493" s="438"/>
      <c r="B493" s="445"/>
      <c r="C493" s="438"/>
      <c r="D493" s="438"/>
      <c r="E493" s="438"/>
      <c r="F493" s="438"/>
      <c r="G493" s="438"/>
      <c r="O493" t="str">
        <f>IFERROR(__xludf.DUMMYFUNCTION("regexextract(B493,""[\w]* [\w]*"")"),"#N/A")</f>
        <v>#N/A</v>
      </c>
      <c r="P493" t="str">
        <f t="shared" si="2"/>
        <v>#N/A</v>
      </c>
      <c r="Q493" t="str">
        <f t="shared" si="3"/>
        <v>#N/A</v>
      </c>
      <c r="R493" t="s">
        <v>2631</v>
      </c>
      <c r="S493" s="411" t="s">
        <v>2631</v>
      </c>
      <c r="T493" t="s">
        <v>2631</v>
      </c>
      <c r="U493" t="s">
        <v>2631</v>
      </c>
      <c r="V493" t="s">
        <v>2631</v>
      </c>
      <c r="W493" t="str">
        <f t="shared" si="1"/>
        <v/>
      </c>
    </row>
    <row r="494">
      <c r="A494" s="442"/>
      <c r="B494" s="448"/>
      <c r="C494" s="442"/>
      <c r="D494" s="442"/>
      <c r="E494" s="442"/>
      <c r="F494" s="442"/>
      <c r="G494" s="442"/>
      <c r="O494" t="str">
        <f>IFERROR(__xludf.DUMMYFUNCTION("regexextract(B494,""[\w]* [\w]*"")"),"#N/A")</f>
        <v>#N/A</v>
      </c>
      <c r="P494" t="str">
        <f t="shared" si="2"/>
        <v>#N/A</v>
      </c>
      <c r="Q494" t="str">
        <f t="shared" si="3"/>
        <v>#N/A</v>
      </c>
      <c r="R494" t="s">
        <v>2631</v>
      </c>
      <c r="S494" s="411" t="s">
        <v>2631</v>
      </c>
      <c r="T494" t="s">
        <v>2631</v>
      </c>
      <c r="U494" t="s">
        <v>2631</v>
      </c>
      <c r="V494" t="s">
        <v>2631</v>
      </c>
      <c r="W494" t="str">
        <f t="shared" si="1"/>
        <v/>
      </c>
    </row>
    <row r="495">
      <c r="A495" s="438"/>
      <c r="B495" s="445"/>
      <c r="C495" s="438"/>
      <c r="D495" s="438"/>
      <c r="E495" s="438"/>
      <c r="F495" s="438"/>
      <c r="G495" s="438"/>
      <c r="O495" t="str">
        <f>IFERROR(__xludf.DUMMYFUNCTION("regexextract(B495,""[\w]* [\w]*"")"),"#N/A")</f>
        <v>#N/A</v>
      </c>
      <c r="P495" t="str">
        <f t="shared" si="2"/>
        <v>#N/A</v>
      </c>
      <c r="Q495" t="str">
        <f t="shared" si="3"/>
        <v>#N/A</v>
      </c>
      <c r="R495" t="s">
        <v>2631</v>
      </c>
      <c r="S495" s="411" t="s">
        <v>2631</v>
      </c>
      <c r="T495" t="s">
        <v>2631</v>
      </c>
      <c r="U495" t="s">
        <v>2631</v>
      </c>
      <c r="V495" t="s">
        <v>2631</v>
      </c>
      <c r="W495" t="str">
        <f t="shared" si="1"/>
        <v/>
      </c>
    </row>
    <row r="496">
      <c r="A496" s="442"/>
      <c r="B496" s="448"/>
      <c r="C496" s="442"/>
      <c r="D496" s="442"/>
      <c r="E496" s="442"/>
      <c r="F496" s="442"/>
      <c r="G496" s="442"/>
      <c r="O496" t="str">
        <f>IFERROR(__xludf.DUMMYFUNCTION("regexextract(B496,""[\w]* [\w]*"")"),"#N/A")</f>
        <v>#N/A</v>
      </c>
      <c r="P496" t="str">
        <f t="shared" si="2"/>
        <v>#N/A</v>
      </c>
      <c r="Q496" t="str">
        <f t="shared" si="3"/>
        <v>#N/A</v>
      </c>
      <c r="R496" t="s">
        <v>2631</v>
      </c>
      <c r="S496" s="411" t="s">
        <v>2631</v>
      </c>
      <c r="T496" t="s">
        <v>2631</v>
      </c>
      <c r="U496" t="s">
        <v>2631</v>
      </c>
      <c r="V496" t="s">
        <v>2631</v>
      </c>
      <c r="W496" t="str">
        <f t="shared" si="1"/>
        <v/>
      </c>
    </row>
    <row r="497">
      <c r="A497" s="438"/>
      <c r="B497" s="445"/>
      <c r="C497" s="438"/>
      <c r="D497" s="438"/>
      <c r="E497" s="438"/>
      <c r="F497" s="438"/>
      <c r="G497" s="438"/>
      <c r="O497" t="str">
        <f>IFERROR(__xludf.DUMMYFUNCTION("regexextract(B497,""[\w]* [\w]*"")"),"#N/A")</f>
        <v>#N/A</v>
      </c>
      <c r="P497" t="str">
        <f t="shared" si="2"/>
        <v>#N/A</v>
      </c>
      <c r="Q497" t="str">
        <f t="shared" si="3"/>
        <v>#N/A</v>
      </c>
      <c r="R497" t="s">
        <v>2631</v>
      </c>
      <c r="S497" s="411" t="s">
        <v>2631</v>
      </c>
      <c r="T497" t="s">
        <v>2631</v>
      </c>
      <c r="U497" t="s">
        <v>2631</v>
      </c>
      <c r="V497" t="s">
        <v>2631</v>
      </c>
      <c r="W497" t="str">
        <f t="shared" si="1"/>
        <v/>
      </c>
    </row>
    <row r="498">
      <c r="A498" s="442"/>
      <c r="B498" s="448"/>
      <c r="C498" s="442"/>
      <c r="D498" s="452"/>
      <c r="E498" s="442"/>
      <c r="F498" s="442"/>
      <c r="G498" s="442"/>
      <c r="O498" t="str">
        <f>IFERROR(__xludf.DUMMYFUNCTION("regexextract(B498,""[\w]* [\w]*"")"),"#N/A")</f>
        <v>#N/A</v>
      </c>
      <c r="P498" t="str">
        <f t="shared" si="2"/>
        <v>#N/A</v>
      </c>
      <c r="Q498" t="str">
        <f t="shared" si="3"/>
        <v>#N/A</v>
      </c>
      <c r="R498" t="s">
        <v>2631</v>
      </c>
      <c r="S498" s="411" t="s">
        <v>2631</v>
      </c>
      <c r="T498" t="s">
        <v>2631</v>
      </c>
      <c r="U498" t="s">
        <v>2631</v>
      </c>
      <c r="V498" t="s">
        <v>2631</v>
      </c>
      <c r="W498" t="str">
        <f t="shared" si="1"/>
        <v/>
      </c>
    </row>
    <row r="499">
      <c r="A499" s="438"/>
      <c r="B499" s="445"/>
      <c r="C499" s="438"/>
      <c r="D499" s="438"/>
      <c r="E499" s="438"/>
      <c r="F499" s="438"/>
      <c r="G499" s="438"/>
      <c r="O499" t="str">
        <f>IFERROR(__xludf.DUMMYFUNCTION("regexextract(B499,""[\w]* [\w]*"")"),"#N/A")</f>
        <v>#N/A</v>
      </c>
      <c r="P499" t="str">
        <f t="shared" si="2"/>
        <v>#N/A</v>
      </c>
      <c r="Q499" t="str">
        <f t="shared" si="3"/>
        <v>#N/A</v>
      </c>
      <c r="R499" t="s">
        <v>2631</v>
      </c>
      <c r="S499" s="411" t="s">
        <v>2631</v>
      </c>
      <c r="T499" t="s">
        <v>2631</v>
      </c>
      <c r="U499" t="s">
        <v>2631</v>
      </c>
      <c r="V499" t="s">
        <v>2631</v>
      </c>
      <c r="W499" t="str">
        <f t="shared" si="1"/>
        <v/>
      </c>
    </row>
    <row r="500">
      <c r="A500" s="442"/>
      <c r="B500" s="448"/>
      <c r="C500" s="442"/>
      <c r="D500" s="442"/>
      <c r="E500" s="442"/>
      <c r="F500" s="442"/>
      <c r="G500" s="442"/>
      <c r="O500" t="str">
        <f>IFERROR(__xludf.DUMMYFUNCTION("regexextract(B500,""[\w]* [\w]*"")"),"#N/A")</f>
        <v>#N/A</v>
      </c>
      <c r="P500" t="str">
        <f t="shared" si="2"/>
        <v>#N/A</v>
      </c>
      <c r="Q500" t="str">
        <f t="shared" si="3"/>
        <v>#N/A</v>
      </c>
      <c r="R500" t="s">
        <v>2631</v>
      </c>
      <c r="S500" s="411" t="s">
        <v>2631</v>
      </c>
      <c r="T500" t="s">
        <v>2631</v>
      </c>
      <c r="U500" t="s">
        <v>2631</v>
      </c>
      <c r="V500" t="s">
        <v>2631</v>
      </c>
      <c r="W500" t="str">
        <f t="shared" si="1"/>
        <v/>
      </c>
    </row>
    <row r="501">
      <c r="R501" t="s">
        <v>2631</v>
      </c>
      <c r="S501" t="s">
        <v>2631</v>
      </c>
      <c r="T501" t="s">
        <v>2631</v>
      </c>
      <c r="U501" t="s">
        <v>2631</v>
      </c>
      <c r="V501" t="s">
        <v>2631</v>
      </c>
    </row>
    <row r="502">
      <c r="R502" t="s">
        <v>2631</v>
      </c>
      <c r="S502" t="s">
        <v>2631</v>
      </c>
      <c r="T502" t="s">
        <v>2631</v>
      </c>
      <c r="U502" t="s">
        <v>2631</v>
      </c>
      <c r="V502" t="s">
        <v>2631</v>
      </c>
    </row>
    <row r="503">
      <c r="R503" t="s">
        <v>2631</v>
      </c>
      <c r="S503" t="s">
        <v>2631</v>
      </c>
      <c r="T503" t="s">
        <v>2631</v>
      </c>
      <c r="U503" t="s">
        <v>2631</v>
      </c>
      <c r="V503" t="s">
        <v>2631</v>
      </c>
    </row>
    <row r="504">
      <c r="R504" t="s">
        <v>2631</v>
      </c>
      <c r="S504" t="s">
        <v>2631</v>
      </c>
      <c r="T504" t="s">
        <v>2631</v>
      </c>
      <c r="U504" t="s">
        <v>2631</v>
      </c>
      <c r="V504" t="s">
        <v>2631</v>
      </c>
    </row>
    <row r="505">
      <c r="R505" t="s">
        <v>2631</v>
      </c>
      <c r="S505" t="s">
        <v>2631</v>
      </c>
      <c r="T505" t="s">
        <v>2631</v>
      </c>
      <c r="U505" t="s">
        <v>2631</v>
      </c>
      <c r="V505" t="s">
        <v>2631</v>
      </c>
    </row>
    <row r="506">
      <c r="R506" t="s">
        <v>2631</v>
      </c>
      <c r="S506" t="s">
        <v>2631</v>
      </c>
      <c r="T506" t="s">
        <v>2631</v>
      </c>
      <c r="U506" t="s">
        <v>2631</v>
      </c>
      <c r="V506" t="s">
        <v>2631</v>
      </c>
    </row>
    <row r="507">
      <c r="R507" t="s">
        <v>2631</v>
      </c>
      <c r="S507" t="s">
        <v>2631</v>
      </c>
      <c r="T507" t="s">
        <v>2631</v>
      </c>
      <c r="U507" t="s">
        <v>2631</v>
      </c>
      <c r="V507" t="s">
        <v>2631</v>
      </c>
    </row>
    <row r="508">
      <c r="R508" t="s">
        <v>2631</v>
      </c>
      <c r="S508" t="s">
        <v>2631</v>
      </c>
      <c r="T508" t="s">
        <v>2631</v>
      </c>
      <c r="U508" t="s">
        <v>2631</v>
      </c>
      <c r="V508" t="s">
        <v>2631</v>
      </c>
    </row>
    <row r="509">
      <c r="R509" t="s">
        <v>2631</v>
      </c>
      <c r="S509" t="s">
        <v>2631</v>
      </c>
      <c r="T509" t="s">
        <v>2631</v>
      </c>
      <c r="U509" t="s">
        <v>2631</v>
      </c>
      <c r="V509" t="s">
        <v>2631</v>
      </c>
    </row>
    <row r="510">
      <c r="R510" t="s">
        <v>2631</v>
      </c>
      <c r="S510" t="s">
        <v>2631</v>
      </c>
      <c r="T510" t="s">
        <v>2631</v>
      </c>
      <c r="U510" t="s">
        <v>2631</v>
      </c>
      <c r="V510" t="s">
        <v>2631</v>
      </c>
    </row>
    <row r="511">
      <c r="R511" t="s">
        <v>2631</v>
      </c>
      <c r="S511" t="s">
        <v>2631</v>
      </c>
      <c r="T511" t="s">
        <v>2631</v>
      </c>
      <c r="U511" t="s">
        <v>2631</v>
      </c>
      <c r="V511" t="s">
        <v>2631</v>
      </c>
    </row>
    <row r="512">
      <c r="R512" t="s">
        <v>2631</v>
      </c>
      <c r="S512" t="s">
        <v>2631</v>
      </c>
      <c r="T512" t="s">
        <v>2631</v>
      </c>
      <c r="U512" t="s">
        <v>2631</v>
      </c>
      <c r="V512" t="s">
        <v>2631</v>
      </c>
    </row>
    <row r="513">
      <c r="R513" t="s">
        <v>2631</v>
      </c>
      <c r="S513" t="s">
        <v>2631</v>
      </c>
      <c r="T513" t="s">
        <v>2631</v>
      </c>
      <c r="U513" t="s">
        <v>2631</v>
      </c>
      <c r="V513" t="s">
        <v>2631</v>
      </c>
    </row>
    <row r="514">
      <c r="R514" t="s">
        <v>2631</v>
      </c>
      <c r="S514" t="s">
        <v>2631</v>
      </c>
      <c r="T514" t="s">
        <v>2631</v>
      </c>
      <c r="U514" t="s">
        <v>2631</v>
      </c>
      <c r="V514" t="s">
        <v>2631</v>
      </c>
    </row>
    <row r="515">
      <c r="R515" t="s">
        <v>2631</v>
      </c>
      <c r="S515" t="s">
        <v>2631</v>
      </c>
      <c r="T515" t="s">
        <v>2631</v>
      </c>
      <c r="U515" t="s">
        <v>2631</v>
      </c>
      <c r="V515" t="s">
        <v>2631</v>
      </c>
    </row>
    <row r="516">
      <c r="R516" t="s">
        <v>2631</v>
      </c>
      <c r="S516" t="s">
        <v>2631</v>
      </c>
      <c r="T516" t="s">
        <v>2631</v>
      </c>
      <c r="U516" t="s">
        <v>2631</v>
      </c>
      <c r="V516" t="s">
        <v>2631</v>
      </c>
    </row>
    <row r="517">
      <c r="R517" t="s">
        <v>2631</v>
      </c>
      <c r="S517" t="s">
        <v>2631</v>
      </c>
      <c r="T517" t="s">
        <v>2631</v>
      </c>
      <c r="U517" t="s">
        <v>2631</v>
      </c>
      <c r="V517" t="s">
        <v>2631</v>
      </c>
    </row>
    <row r="518">
      <c r="R518" t="s">
        <v>2631</v>
      </c>
      <c r="S518" t="s">
        <v>2631</v>
      </c>
      <c r="T518" t="s">
        <v>2631</v>
      </c>
      <c r="U518" t="s">
        <v>2631</v>
      </c>
      <c r="V518" t="s">
        <v>2631</v>
      </c>
    </row>
    <row r="519">
      <c r="R519" t="s">
        <v>2631</v>
      </c>
      <c r="S519" t="s">
        <v>2631</v>
      </c>
      <c r="T519" t="s">
        <v>2631</v>
      </c>
      <c r="U519" t="s">
        <v>2631</v>
      </c>
      <c r="V519" t="s">
        <v>2631</v>
      </c>
    </row>
    <row r="520">
      <c r="R520" t="s">
        <v>2631</v>
      </c>
      <c r="S520" t="s">
        <v>2631</v>
      </c>
      <c r="T520" t="s">
        <v>2631</v>
      </c>
      <c r="U520" t="s">
        <v>2631</v>
      </c>
      <c r="V520" t="s">
        <v>2631</v>
      </c>
    </row>
    <row r="521">
      <c r="R521" t="s">
        <v>2631</v>
      </c>
      <c r="S521" t="s">
        <v>2631</v>
      </c>
      <c r="T521" t="s">
        <v>2631</v>
      </c>
      <c r="U521" t="s">
        <v>2631</v>
      </c>
      <c r="V521" t="s">
        <v>2631</v>
      </c>
    </row>
    <row r="522">
      <c r="R522" t="s">
        <v>2631</v>
      </c>
      <c r="S522" t="s">
        <v>2631</v>
      </c>
      <c r="T522" t="s">
        <v>2631</v>
      </c>
      <c r="U522" t="s">
        <v>2631</v>
      </c>
      <c r="V522" t="s">
        <v>2631</v>
      </c>
    </row>
    <row r="523">
      <c r="R523" t="s">
        <v>2631</v>
      </c>
      <c r="S523" t="s">
        <v>2631</v>
      </c>
      <c r="T523" t="s">
        <v>2631</v>
      </c>
      <c r="U523" t="s">
        <v>2631</v>
      </c>
      <c r="V523" t="s">
        <v>2631</v>
      </c>
    </row>
    <row r="524">
      <c r="R524" t="s">
        <v>2631</v>
      </c>
      <c r="S524" t="s">
        <v>2631</v>
      </c>
      <c r="T524" t="s">
        <v>2631</v>
      </c>
      <c r="U524" t="s">
        <v>2631</v>
      </c>
      <c r="V524" t="s">
        <v>2631</v>
      </c>
    </row>
    <row r="525">
      <c r="R525" t="s">
        <v>2631</v>
      </c>
      <c r="S525" t="s">
        <v>2631</v>
      </c>
      <c r="T525" t="s">
        <v>2631</v>
      </c>
      <c r="U525" t="s">
        <v>2631</v>
      </c>
      <c r="V525" t="s">
        <v>2631</v>
      </c>
    </row>
    <row r="526">
      <c r="R526" t="s">
        <v>2631</v>
      </c>
      <c r="S526" t="s">
        <v>2631</v>
      </c>
      <c r="T526" t="s">
        <v>2631</v>
      </c>
      <c r="U526" t="s">
        <v>2631</v>
      </c>
      <c r="V526" t="s">
        <v>2631</v>
      </c>
    </row>
    <row r="527">
      <c r="R527" t="s">
        <v>2631</v>
      </c>
      <c r="S527" t="s">
        <v>2631</v>
      </c>
      <c r="T527" t="s">
        <v>2631</v>
      </c>
      <c r="U527" t="s">
        <v>2631</v>
      </c>
      <c r="V527" t="s">
        <v>2631</v>
      </c>
    </row>
    <row r="528">
      <c r="R528" t="s">
        <v>2631</v>
      </c>
      <c r="S528" t="s">
        <v>2631</v>
      </c>
      <c r="T528" t="s">
        <v>2631</v>
      </c>
      <c r="U528" t="s">
        <v>2631</v>
      </c>
      <c r="V528" t="s">
        <v>2631</v>
      </c>
    </row>
    <row r="529">
      <c r="R529" t="s">
        <v>2631</v>
      </c>
      <c r="S529" t="s">
        <v>2631</v>
      </c>
      <c r="T529" t="s">
        <v>2631</v>
      </c>
      <c r="U529" t="s">
        <v>2631</v>
      </c>
      <c r="V529" t="s">
        <v>2631</v>
      </c>
    </row>
    <row r="530">
      <c r="R530" t="s">
        <v>2631</v>
      </c>
      <c r="S530" t="s">
        <v>2631</v>
      </c>
      <c r="T530" t="s">
        <v>2631</v>
      </c>
      <c r="U530" t="s">
        <v>2631</v>
      </c>
      <c r="V530" t="s">
        <v>2631</v>
      </c>
    </row>
    <row r="531">
      <c r="R531" t="s">
        <v>2631</v>
      </c>
      <c r="S531" t="s">
        <v>2631</v>
      </c>
      <c r="T531" t="s">
        <v>2631</v>
      </c>
      <c r="U531" t="s">
        <v>2631</v>
      </c>
      <c r="V531" t="s">
        <v>2631</v>
      </c>
    </row>
    <row r="532">
      <c r="R532" t="s">
        <v>2631</v>
      </c>
      <c r="S532" t="s">
        <v>2631</v>
      </c>
      <c r="T532" t="s">
        <v>2631</v>
      </c>
      <c r="U532" t="s">
        <v>2631</v>
      </c>
      <c r="V532" t="s">
        <v>2631</v>
      </c>
    </row>
    <row r="533">
      <c r="R533" t="s">
        <v>2631</v>
      </c>
      <c r="S533" t="s">
        <v>2631</v>
      </c>
      <c r="T533" t="s">
        <v>2631</v>
      </c>
      <c r="U533" t="s">
        <v>2631</v>
      </c>
      <c r="V533" t="s">
        <v>2631</v>
      </c>
    </row>
    <row r="534">
      <c r="R534" t="s">
        <v>2631</v>
      </c>
      <c r="S534" t="s">
        <v>2631</v>
      </c>
      <c r="T534" t="s">
        <v>2631</v>
      </c>
      <c r="U534" t="s">
        <v>2631</v>
      </c>
      <c r="V534" t="s">
        <v>2631</v>
      </c>
    </row>
    <row r="535">
      <c r="R535" t="s">
        <v>2631</v>
      </c>
      <c r="S535" t="s">
        <v>2631</v>
      </c>
      <c r="T535" t="s">
        <v>2631</v>
      </c>
      <c r="U535" t="s">
        <v>2631</v>
      </c>
      <c r="V535" t="s">
        <v>2631</v>
      </c>
    </row>
    <row r="536">
      <c r="R536" t="s">
        <v>2631</v>
      </c>
      <c r="S536" t="s">
        <v>2631</v>
      </c>
      <c r="T536" t="s">
        <v>2631</v>
      </c>
      <c r="U536" t="s">
        <v>2631</v>
      </c>
      <c r="V536" t="s">
        <v>2631</v>
      </c>
    </row>
    <row r="537">
      <c r="R537" t="s">
        <v>2631</v>
      </c>
      <c r="S537" t="s">
        <v>2631</v>
      </c>
      <c r="T537" t="s">
        <v>2631</v>
      </c>
      <c r="U537" t="s">
        <v>2631</v>
      </c>
      <c r="V537" t="s">
        <v>2631</v>
      </c>
    </row>
    <row r="538">
      <c r="R538" t="s">
        <v>2631</v>
      </c>
      <c r="S538" t="s">
        <v>2631</v>
      </c>
      <c r="T538" t="s">
        <v>2631</v>
      </c>
      <c r="U538" t="s">
        <v>2631</v>
      </c>
      <c r="V538" t="s">
        <v>2631</v>
      </c>
    </row>
    <row r="539">
      <c r="R539" t="s">
        <v>2631</v>
      </c>
      <c r="S539" t="s">
        <v>2631</v>
      </c>
      <c r="T539" t="s">
        <v>2631</v>
      </c>
      <c r="U539" t="s">
        <v>2631</v>
      </c>
      <c r="V539" t="s">
        <v>2631</v>
      </c>
    </row>
    <row r="540">
      <c r="R540" t="s">
        <v>2631</v>
      </c>
      <c r="S540" t="s">
        <v>2631</v>
      </c>
      <c r="T540" t="s">
        <v>2631</v>
      </c>
      <c r="U540" t="s">
        <v>2631</v>
      </c>
      <c r="V540" t="s">
        <v>2631</v>
      </c>
    </row>
    <row r="541">
      <c r="R541" t="s">
        <v>2631</v>
      </c>
      <c r="S541" t="s">
        <v>2631</v>
      </c>
      <c r="T541" t="s">
        <v>2631</v>
      </c>
      <c r="U541" t="s">
        <v>2631</v>
      </c>
      <c r="V541" t="s">
        <v>2631</v>
      </c>
    </row>
    <row r="542">
      <c r="R542" t="s">
        <v>2631</v>
      </c>
      <c r="S542" t="s">
        <v>2631</v>
      </c>
      <c r="T542" t="s">
        <v>2631</v>
      </c>
      <c r="U542" t="s">
        <v>2631</v>
      </c>
      <c r="V542" t="s">
        <v>2631</v>
      </c>
    </row>
    <row r="543">
      <c r="R543" t="s">
        <v>2631</v>
      </c>
      <c r="S543" t="s">
        <v>2631</v>
      </c>
      <c r="T543" t="s">
        <v>2631</v>
      </c>
      <c r="U543" t="s">
        <v>2631</v>
      </c>
      <c r="V543" t="s">
        <v>2631</v>
      </c>
    </row>
    <row r="544">
      <c r="R544" t="s">
        <v>2631</v>
      </c>
      <c r="S544" t="s">
        <v>2631</v>
      </c>
      <c r="T544" t="s">
        <v>2631</v>
      </c>
      <c r="U544" t="s">
        <v>2631</v>
      </c>
      <c r="V544" t="s">
        <v>2631</v>
      </c>
    </row>
    <row r="545">
      <c r="R545" t="s">
        <v>2631</v>
      </c>
      <c r="S545" t="s">
        <v>2631</v>
      </c>
      <c r="T545" t="s">
        <v>2631</v>
      </c>
      <c r="U545" t="s">
        <v>2631</v>
      </c>
      <c r="V545" t="s">
        <v>2631</v>
      </c>
    </row>
    <row r="546">
      <c r="R546" t="s">
        <v>2631</v>
      </c>
      <c r="S546" t="s">
        <v>2631</v>
      </c>
      <c r="T546" t="s">
        <v>2631</v>
      </c>
      <c r="U546" t="s">
        <v>2631</v>
      </c>
      <c r="V546" t="s">
        <v>2631</v>
      </c>
    </row>
    <row r="547">
      <c r="R547" t="s">
        <v>2631</v>
      </c>
      <c r="S547" t="s">
        <v>2631</v>
      </c>
      <c r="T547" t="s">
        <v>2631</v>
      </c>
      <c r="U547" t="s">
        <v>2631</v>
      </c>
      <c r="V547" t="s">
        <v>2631</v>
      </c>
    </row>
    <row r="548">
      <c r="R548" t="s">
        <v>2631</v>
      </c>
      <c r="S548" t="s">
        <v>2631</v>
      </c>
      <c r="T548" t="s">
        <v>2631</v>
      </c>
      <c r="U548" t="s">
        <v>2631</v>
      </c>
      <c r="V548" t="s">
        <v>2631</v>
      </c>
    </row>
    <row r="549">
      <c r="R549" t="s">
        <v>2631</v>
      </c>
      <c r="S549" t="s">
        <v>2631</v>
      </c>
      <c r="T549" t="s">
        <v>2631</v>
      </c>
      <c r="U549" t="s">
        <v>2631</v>
      </c>
      <c r="V549" t="s">
        <v>2631</v>
      </c>
    </row>
    <row r="550">
      <c r="R550" t="s">
        <v>2631</v>
      </c>
      <c r="S550" t="s">
        <v>2631</v>
      </c>
      <c r="T550" t="s">
        <v>2631</v>
      </c>
      <c r="U550" t="s">
        <v>2631</v>
      </c>
      <c r="V550" t="s">
        <v>2631</v>
      </c>
    </row>
    <row r="551">
      <c r="R551" t="s">
        <v>2631</v>
      </c>
      <c r="S551" t="s">
        <v>2631</v>
      </c>
      <c r="T551" t="s">
        <v>2631</v>
      </c>
      <c r="U551" t="s">
        <v>2631</v>
      </c>
      <c r="V551" t="s">
        <v>2631</v>
      </c>
    </row>
    <row r="552">
      <c r="R552" t="s">
        <v>2631</v>
      </c>
      <c r="S552" t="s">
        <v>2631</v>
      </c>
      <c r="T552" t="s">
        <v>2631</v>
      </c>
      <c r="U552" t="s">
        <v>2631</v>
      </c>
      <c r="V552" t="s">
        <v>2631</v>
      </c>
    </row>
    <row r="553">
      <c r="R553" t="s">
        <v>2631</v>
      </c>
      <c r="S553" t="s">
        <v>2631</v>
      </c>
      <c r="T553" t="s">
        <v>2631</v>
      </c>
      <c r="U553" t="s">
        <v>2631</v>
      </c>
      <c r="V553" t="s">
        <v>2631</v>
      </c>
    </row>
    <row r="554">
      <c r="R554" t="s">
        <v>2631</v>
      </c>
      <c r="S554" t="s">
        <v>2631</v>
      </c>
      <c r="T554" t="s">
        <v>2631</v>
      </c>
      <c r="U554" t="s">
        <v>2631</v>
      </c>
      <c r="V554" t="s">
        <v>2631</v>
      </c>
    </row>
    <row r="555">
      <c r="R555" t="s">
        <v>2631</v>
      </c>
      <c r="S555" t="s">
        <v>2631</v>
      </c>
      <c r="T555" t="s">
        <v>2631</v>
      </c>
      <c r="U555" t="s">
        <v>2631</v>
      </c>
      <c r="V555" t="s">
        <v>2631</v>
      </c>
    </row>
    <row r="556">
      <c r="R556" t="s">
        <v>2631</v>
      </c>
      <c r="S556" t="s">
        <v>2631</v>
      </c>
      <c r="T556" t="s">
        <v>2631</v>
      </c>
      <c r="U556" t="s">
        <v>2631</v>
      </c>
      <c r="V556" t="s">
        <v>2631</v>
      </c>
    </row>
    <row r="557">
      <c r="R557" t="s">
        <v>2631</v>
      </c>
      <c r="S557" t="s">
        <v>2631</v>
      </c>
      <c r="T557" t="s">
        <v>2631</v>
      </c>
      <c r="U557" t="s">
        <v>2631</v>
      </c>
      <c r="V557" t="s">
        <v>2631</v>
      </c>
    </row>
    <row r="558">
      <c r="R558" t="s">
        <v>2631</v>
      </c>
      <c r="S558" t="s">
        <v>2631</v>
      </c>
      <c r="T558" t="s">
        <v>2631</v>
      </c>
      <c r="U558" t="s">
        <v>2631</v>
      </c>
      <c r="V558" t="s">
        <v>2631</v>
      </c>
    </row>
    <row r="559">
      <c r="R559" t="s">
        <v>2631</v>
      </c>
      <c r="S559" t="s">
        <v>2631</v>
      </c>
      <c r="T559" t="s">
        <v>2631</v>
      </c>
      <c r="U559" t="s">
        <v>2631</v>
      </c>
      <c r="V559" t="s">
        <v>2631</v>
      </c>
    </row>
    <row r="560">
      <c r="R560" t="s">
        <v>2631</v>
      </c>
      <c r="S560" t="s">
        <v>2631</v>
      </c>
      <c r="T560" t="s">
        <v>2631</v>
      </c>
      <c r="U560" t="s">
        <v>2631</v>
      </c>
      <c r="V560" t="s">
        <v>2631</v>
      </c>
    </row>
    <row r="561">
      <c r="R561" t="s">
        <v>2631</v>
      </c>
      <c r="S561" t="s">
        <v>2631</v>
      </c>
      <c r="T561" t="s">
        <v>2631</v>
      </c>
      <c r="U561" t="s">
        <v>2631</v>
      </c>
      <c r="V561" t="s">
        <v>2631</v>
      </c>
    </row>
    <row r="562">
      <c r="R562" t="s">
        <v>2631</v>
      </c>
      <c r="S562" t="s">
        <v>2631</v>
      </c>
      <c r="T562" t="s">
        <v>2631</v>
      </c>
      <c r="U562" t="s">
        <v>2631</v>
      </c>
      <c r="V562" t="s">
        <v>2631</v>
      </c>
    </row>
    <row r="563">
      <c r="R563" t="s">
        <v>2631</v>
      </c>
      <c r="S563" t="s">
        <v>2631</v>
      </c>
      <c r="T563" t="s">
        <v>2631</v>
      </c>
      <c r="U563" t="s">
        <v>2631</v>
      </c>
      <c r="V563" t="s">
        <v>2631</v>
      </c>
    </row>
    <row r="564">
      <c r="R564" t="s">
        <v>2631</v>
      </c>
      <c r="S564" t="s">
        <v>2631</v>
      </c>
      <c r="T564" t="s">
        <v>2631</v>
      </c>
      <c r="U564" t="s">
        <v>2631</v>
      </c>
      <c r="V564" t="s">
        <v>2631</v>
      </c>
    </row>
    <row r="565">
      <c r="R565" t="s">
        <v>2631</v>
      </c>
      <c r="S565" t="s">
        <v>2631</v>
      </c>
      <c r="T565" t="s">
        <v>2631</v>
      </c>
      <c r="U565" t="s">
        <v>2631</v>
      </c>
      <c r="V565" t="s">
        <v>2631</v>
      </c>
    </row>
    <row r="566">
      <c r="R566" t="s">
        <v>2631</v>
      </c>
      <c r="S566" t="s">
        <v>2631</v>
      </c>
      <c r="T566" t="s">
        <v>2631</v>
      </c>
      <c r="U566" t="s">
        <v>2631</v>
      </c>
      <c r="V566" t="s">
        <v>2631</v>
      </c>
    </row>
    <row r="567">
      <c r="R567" t="s">
        <v>2631</v>
      </c>
      <c r="S567" t="s">
        <v>2631</v>
      </c>
      <c r="T567" t="s">
        <v>2631</v>
      </c>
      <c r="U567" t="s">
        <v>2631</v>
      </c>
      <c r="V567" t="s">
        <v>2631</v>
      </c>
    </row>
    <row r="568">
      <c r="R568" t="s">
        <v>2631</v>
      </c>
      <c r="S568" t="s">
        <v>2631</v>
      </c>
      <c r="T568" t="s">
        <v>2631</v>
      </c>
      <c r="U568" t="s">
        <v>2631</v>
      </c>
      <c r="V568" t="s">
        <v>2631</v>
      </c>
    </row>
    <row r="569">
      <c r="R569" t="s">
        <v>2631</v>
      </c>
      <c r="S569" t="s">
        <v>2631</v>
      </c>
      <c r="T569" t="s">
        <v>2631</v>
      </c>
      <c r="U569" t="s">
        <v>2631</v>
      </c>
      <c r="V569" t="s">
        <v>2631</v>
      </c>
    </row>
    <row r="570">
      <c r="R570" t="s">
        <v>2631</v>
      </c>
      <c r="S570" t="s">
        <v>2631</v>
      </c>
      <c r="T570" t="s">
        <v>2631</v>
      </c>
      <c r="U570" t="s">
        <v>2631</v>
      </c>
      <c r="V570" t="s">
        <v>2631</v>
      </c>
    </row>
    <row r="571">
      <c r="R571" t="s">
        <v>2631</v>
      </c>
      <c r="S571" t="s">
        <v>2631</v>
      </c>
      <c r="T571" t="s">
        <v>2631</v>
      </c>
      <c r="U571" t="s">
        <v>2631</v>
      </c>
      <c r="V571" t="s">
        <v>2631</v>
      </c>
    </row>
    <row r="572">
      <c r="R572" t="s">
        <v>2631</v>
      </c>
      <c r="S572" t="s">
        <v>2631</v>
      </c>
      <c r="T572" t="s">
        <v>2631</v>
      </c>
      <c r="U572" t="s">
        <v>2631</v>
      </c>
      <c r="V572" t="s">
        <v>2631</v>
      </c>
    </row>
    <row r="573">
      <c r="R573" t="s">
        <v>2631</v>
      </c>
      <c r="S573" t="s">
        <v>2631</v>
      </c>
      <c r="T573" t="s">
        <v>2631</v>
      </c>
      <c r="U573" t="s">
        <v>2631</v>
      </c>
      <c r="V573" t="s">
        <v>2631</v>
      </c>
    </row>
    <row r="574">
      <c r="R574" t="s">
        <v>2631</v>
      </c>
      <c r="S574" t="s">
        <v>2631</v>
      </c>
      <c r="T574" t="s">
        <v>2631</v>
      </c>
      <c r="U574" t="s">
        <v>2631</v>
      </c>
      <c r="V574" t="s">
        <v>2631</v>
      </c>
    </row>
    <row r="575">
      <c r="R575" t="s">
        <v>2631</v>
      </c>
      <c r="S575" t="s">
        <v>2631</v>
      </c>
      <c r="T575" t="s">
        <v>2631</v>
      </c>
      <c r="U575" t="s">
        <v>2631</v>
      </c>
      <c r="V575" t="s">
        <v>2631</v>
      </c>
    </row>
    <row r="576">
      <c r="R576" t="s">
        <v>2631</v>
      </c>
      <c r="S576" t="s">
        <v>2631</v>
      </c>
      <c r="T576" t="s">
        <v>2631</v>
      </c>
      <c r="U576" t="s">
        <v>2631</v>
      </c>
      <c r="V576" t="s">
        <v>2631</v>
      </c>
    </row>
    <row r="577">
      <c r="R577" t="s">
        <v>2631</v>
      </c>
      <c r="S577" t="s">
        <v>2631</v>
      </c>
      <c r="T577" t="s">
        <v>2631</v>
      </c>
      <c r="U577" t="s">
        <v>2631</v>
      </c>
      <c r="V577" t="s">
        <v>2631</v>
      </c>
    </row>
    <row r="578">
      <c r="R578" t="s">
        <v>2631</v>
      </c>
      <c r="S578" t="s">
        <v>2631</v>
      </c>
      <c r="T578" t="s">
        <v>2631</v>
      </c>
      <c r="U578" t="s">
        <v>2631</v>
      </c>
      <c r="V578" t="s">
        <v>2631</v>
      </c>
    </row>
    <row r="579">
      <c r="R579" t="s">
        <v>2631</v>
      </c>
      <c r="S579" t="s">
        <v>2631</v>
      </c>
      <c r="T579" t="s">
        <v>2631</v>
      </c>
      <c r="U579" t="s">
        <v>2631</v>
      </c>
      <c r="V579" t="s">
        <v>2631</v>
      </c>
    </row>
    <row r="580">
      <c r="R580" t="s">
        <v>2631</v>
      </c>
      <c r="S580" t="s">
        <v>2631</v>
      </c>
      <c r="T580" t="s">
        <v>2631</v>
      </c>
      <c r="U580" t="s">
        <v>2631</v>
      </c>
      <c r="V580" t="s">
        <v>2631</v>
      </c>
    </row>
    <row r="581">
      <c r="R581" t="s">
        <v>2631</v>
      </c>
      <c r="S581" t="s">
        <v>2631</v>
      </c>
      <c r="T581" t="s">
        <v>2631</v>
      </c>
      <c r="U581" t="s">
        <v>2631</v>
      </c>
      <c r="V581" t="s">
        <v>2631</v>
      </c>
    </row>
    <row r="582">
      <c r="R582" t="s">
        <v>2631</v>
      </c>
      <c r="S582" t="s">
        <v>2631</v>
      </c>
      <c r="T582" t="s">
        <v>2631</v>
      </c>
      <c r="U582" t="s">
        <v>2631</v>
      </c>
      <c r="V582" t="s">
        <v>2631</v>
      </c>
    </row>
    <row r="583">
      <c r="R583" t="s">
        <v>2631</v>
      </c>
      <c r="S583" t="s">
        <v>2631</v>
      </c>
      <c r="T583" t="s">
        <v>2631</v>
      </c>
      <c r="U583" t="s">
        <v>2631</v>
      </c>
      <c r="V583" t="s">
        <v>2631</v>
      </c>
    </row>
    <row r="584">
      <c r="R584" t="s">
        <v>2631</v>
      </c>
      <c r="S584" t="s">
        <v>2631</v>
      </c>
      <c r="T584" t="s">
        <v>2631</v>
      </c>
      <c r="U584" t="s">
        <v>2631</v>
      </c>
      <c r="V584" t="s">
        <v>2631</v>
      </c>
    </row>
    <row r="585">
      <c r="R585" t="s">
        <v>2631</v>
      </c>
      <c r="S585" t="s">
        <v>2631</v>
      </c>
      <c r="T585" t="s">
        <v>2631</v>
      </c>
      <c r="U585" t="s">
        <v>2631</v>
      </c>
      <c r="V585" t="s">
        <v>2631</v>
      </c>
    </row>
    <row r="586">
      <c r="R586" t="s">
        <v>2631</v>
      </c>
      <c r="S586" t="s">
        <v>2631</v>
      </c>
      <c r="T586" t="s">
        <v>2631</v>
      </c>
      <c r="U586" t="s">
        <v>2631</v>
      </c>
      <c r="V586" t="s">
        <v>2631</v>
      </c>
    </row>
    <row r="587">
      <c r="R587" t="s">
        <v>2631</v>
      </c>
      <c r="S587" t="s">
        <v>2631</v>
      </c>
      <c r="T587" t="s">
        <v>2631</v>
      </c>
      <c r="U587" t="s">
        <v>2631</v>
      </c>
      <c r="V587" t="s">
        <v>2631</v>
      </c>
    </row>
    <row r="588">
      <c r="R588" t="s">
        <v>2631</v>
      </c>
      <c r="S588" t="s">
        <v>2631</v>
      </c>
      <c r="T588" t="s">
        <v>2631</v>
      </c>
      <c r="U588" t="s">
        <v>2631</v>
      </c>
      <c r="V588" t="s">
        <v>2631</v>
      </c>
    </row>
    <row r="589">
      <c r="R589" t="s">
        <v>2631</v>
      </c>
      <c r="S589" t="s">
        <v>2631</v>
      </c>
      <c r="T589" t="s">
        <v>2631</v>
      </c>
      <c r="U589" t="s">
        <v>2631</v>
      </c>
      <c r="V589" t="s">
        <v>2631</v>
      </c>
    </row>
    <row r="590">
      <c r="R590" t="s">
        <v>2631</v>
      </c>
      <c r="S590" t="s">
        <v>2631</v>
      </c>
      <c r="T590" t="s">
        <v>2631</v>
      </c>
      <c r="U590" t="s">
        <v>2631</v>
      </c>
      <c r="V590" t="s">
        <v>2631</v>
      </c>
    </row>
    <row r="591">
      <c r="R591" t="s">
        <v>2631</v>
      </c>
      <c r="S591" t="s">
        <v>2631</v>
      </c>
      <c r="T591" t="s">
        <v>2631</v>
      </c>
      <c r="U591" t="s">
        <v>2631</v>
      </c>
      <c r="V591" t="s">
        <v>2631</v>
      </c>
    </row>
    <row r="592">
      <c r="R592" t="s">
        <v>2631</v>
      </c>
      <c r="S592" t="s">
        <v>2631</v>
      </c>
      <c r="T592" t="s">
        <v>2631</v>
      </c>
      <c r="U592" t="s">
        <v>2631</v>
      </c>
      <c r="V592" t="s">
        <v>2631</v>
      </c>
    </row>
    <row r="593">
      <c r="R593" t="s">
        <v>2631</v>
      </c>
      <c r="S593" t="s">
        <v>2631</v>
      </c>
      <c r="T593" t="s">
        <v>2631</v>
      </c>
      <c r="U593" t="s">
        <v>2631</v>
      </c>
      <c r="V593" t="s">
        <v>2631</v>
      </c>
    </row>
    <row r="594">
      <c r="R594" t="s">
        <v>2631</v>
      </c>
      <c r="S594" t="s">
        <v>2631</v>
      </c>
      <c r="T594" t="s">
        <v>2631</v>
      </c>
      <c r="U594" t="s">
        <v>2631</v>
      </c>
      <c r="V594" t="s">
        <v>2631</v>
      </c>
    </row>
    <row r="595">
      <c r="R595" t="s">
        <v>2631</v>
      </c>
      <c r="S595" t="s">
        <v>2631</v>
      </c>
      <c r="T595" t="s">
        <v>2631</v>
      </c>
      <c r="U595" t="s">
        <v>2631</v>
      </c>
      <c r="V595" t="s">
        <v>2631</v>
      </c>
    </row>
    <row r="596">
      <c r="R596" t="s">
        <v>2631</v>
      </c>
      <c r="S596" t="s">
        <v>2631</v>
      </c>
      <c r="T596" t="s">
        <v>2631</v>
      </c>
      <c r="U596" t="s">
        <v>2631</v>
      </c>
      <c r="V596" t="s">
        <v>2631</v>
      </c>
    </row>
    <row r="597">
      <c r="R597" t="s">
        <v>2631</v>
      </c>
      <c r="S597" t="s">
        <v>2631</v>
      </c>
      <c r="T597" t="s">
        <v>2631</v>
      </c>
      <c r="U597" t="s">
        <v>2631</v>
      </c>
      <c r="V597" t="s">
        <v>2631</v>
      </c>
    </row>
    <row r="598">
      <c r="R598" t="s">
        <v>2631</v>
      </c>
      <c r="S598" t="s">
        <v>2631</v>
      </c>
      <c r="T598" t="s">
        <v>2631</v>
      </c>
      <c r="U598" t="s">
        <v>2631</v>
      </c>
      <c r="V598" t="s">
        <v>2631</v>
      </c>
    </row>
    <row r="599">
      <c r="R599" t="s">
        <v>2631</v>
      </c>
      <c r="S599" t="s">
        <v>2631</v>
      </c>
      <c r="T599" t="s">
        <v>2631</v>
      </c>
      <c r="U599" t="s">
        <v>2631</v>
      </c>
      <c r="V599" t="s">
        <v>2631</v>
      </c>
    </row>
    <row r="600">
      <c r="R600" t="s">
        <v>2631</v>
      </c>
      <c r="S600" t="s">
        <v>2631</v>
      </c>
      <c r="T600" t="s">
        <v>2631</v>
      </c>
      <c r="U600" t="s">
        <v>2631</v>
      </c>
      <c r="V600" t="s">
        <v>2631</v>
      </c>
    </row>
    <row r="601">
      <c r="R601" t="s">
        <v>2631</v>
      </c>
      <c r="S601" t="s">
        <v>2631</v>
      </c>
      <c r="T601" t="s">
        <v>2631</v>
      </c>
      <c r="U601" t="s">
        <v>2631</v>
      </c>
      <c r="V601" t="s">
        <v>2631</v>
      </c>
    </row>
    <row r="602">
      <c r="R602" t="s">
        <v>2631</v>
      </c>
      <c r="S602" t="s">
        <v>2631</v>
      </c>
      <c r="T602" t="s">
        <v>2631</v>
      </c>
      <c r="U602" t="s">
        <v>2631</v>
      </c>
      <c r="V602" t="s">
        <v>2631</v>
      </c>
    </row>
    <row r="603">
      <c r="R603" t="s">
        <v>2631</v>
      </c>
      <c r="S603" t="s">
        <v>2631</v>
      </c>
      <c r="T603" t="s">
        <v>2631</v>
      </c>
      <c r="U603" t="s">
        <v>2631</v>
      </c>
      <c r="V603" t="s">
        <v>2631</v>
      </c>
    </row>
    <row r="604">
      <c r="R604" t="s">
        <v>2631</v>
      </c>
      <c r="S604" t="s">
        <v>2631</v>
      </c>
      <c r="T604" t="s">
        <v>2631</v>
      </c>
      <c r="U604" t="s">
        <v>2631</v>
      </c>
      <c r="V604" t="s">
        <v>2631</v>
      </c>
    </row>
    <row r="605">
      <c r="R605" t="s">
        <v>2631</v>
      </c>
      <c r="S605" t="s">
        <v>2631</v>
      </c>
      <c r="T605" t="s">
        <v>2631</v>
      </c>
      <c r="U605" t="s">
        <v>2631</v>
      </c>
      <c r="V605" t="s">
        <v>2631</v>
      </c>
    </row>
    <row r="606">
      <c r="R606" t="s">
        <v>2631</v>
      </c>
      <c r="S606" t="s">
        <v>2631</v>
      </c>
      <c r="T606" t="s">
        <v>2631</v>
      </c>
      <c r="U606" t="s">
        <v>2631</v>
      </c>
      <c r="V606" t="s">
        <v>2631</v>
      </c>
    </row>
    <row r="607">
      <c r="R607" t="s">
        <v>2631</v>
      </c>
      <c r="S607" t="s">
        <v>2631</v>
      </c>
      <c r="T607" t="s">
        <v>2631</v>
      </c>
      <c r="U607" t="s">
        <v>2631</v>
      </c>
      <c r="V607" t="s">
        <v>2631</v>
      </c>
    </row>
    <row r="608">
      <c r="R608" t="s">
        <v>2631</v>
      </c>
      <c r="S608" t="s">
        <v>2631</v>
      </c>
      <c r="T608" t="s">
        <v>2631</v>
      </c>
      <c r="U608" t="s">
        <v>2631</v>
      </c>
      <c r="V608" t="s">
        <v>2631</v>
      </c>
    </row>
    <row r="609">
      <c r="R609" t="s">
        <v>2631</v>
      </c>
      <c r="S609" t="s">
        <v>2631</v>
      </c>
      <c r="T609" t="s">
        <v>2631</v>
      </c>
      <c r="U609" t="s">
        <v>2631</v>
      </c>
      <c r="V609" t="s">
        <v>2631</v>
      </c>
    </row>
    <row r="610">
      <c r="R610" t="s">
        <v>2631</v>
      </c>
      <c r="S610" t="s">
        <v>2631</v>
      </c>
      <c r="T610" t="s">
        <v>2631</v>
      </c>
      <c r="U610" t="s">
        <v>2631</v>
      </c>
      <c r="V610" t="s">
        <v>2631</v>
      </c>
    </row>
    <row r="611">
      <c r="R611" t="s">
        <v>2631</v>
      </c>
      <c r="S611" t="s">
        <v>2631</v>
      </c>
      <c r="T611" t="s">
        <v>2631</v>
      </c>
      <c r="U611" t="s">
        <v>2631</v>
      </c>
      <c r="V611" t="s">
        <v>2631</v>
      </c>
    </row>
    <row r="612">
      <c r="R612" t="s">
        <v>2631</v>
      </c>
      <c r="S612" t="s">
        <v>2631</v>
      </c>
      <c r="T612" t="s">
        <v>2631</v>
      </c>
      <c r="U612" t="s">
        <v>2631</v>
      </c>
      <c r="V612" t="s">
        <v>2631</v>
      </c>
    </row>
    <row r="613">
      <c r="R613" t="s">
        <v>2631</v>
      </c>
      <c r="S613" t="s">
        <v>2631</v>
      </c>
      <c r="T613" t="s">
        <v>2631</v>
      </c>
      <c r="U613" t="s">
        <v>2631</v>
      </c>
      <c r="V613" t="s">
        <v>2631</v>
      </c>
    </row>
    <row r="614">
      <c r="R614" t="s">
        <v>2631</v>
      </c>
      <c r="S614" t="s">
        <v>2631</v>
      </c>
      <c r="T614" t="s">
        <v>2631</v>
      </c>
      <c r="U614" t="s">
        <v>2631</v>
      </c>
      <c r="V614" t="s">
        <v>2631</v>
      </c>
    </row>
    <row r="615">
      <c r="R615" t="s">
        <v>2631</v>
      </c>
      <c r="S615" t="s">
        <v>2631</v>
      </c>
      <c r="T615" t="s">
        <v>2631</v>
      </c>
      <c r="U615" t="s">
        <v>2631</v>
      </c>
      <c r="V615" t="s">
        <v>2631</v>
      </c>
    </row>
    <row r="616">
      <c r="R616" t="s">
        <v>2631</v>
      </c>
      <c r="S616" t="s">
        <v>2631</v>
      </c>
      <c r="T616" t="s">
        <v>2631</v>
      </c>
      <c r="U616" t="s">
        <v>2631</v>
      </c>
      <c r="V616" t="s">
        <v>2631</v>
      </c>
    </row>
    <row r="617">
      <c r="R617" t="s">
        <v>2631</v>
      </c>
      <c r="S617" t="s">
        <v>2631</v>
      </c>
      <c r="T617" t="s">
        <v>2631</v>
      </c>
      <c r="U617" t="s">
        <v>2631</v>
      </c>
      <c r="V617" t="s">
        <v>2631</v>
      </c>
    </row>
    <row r="618">
      <c r="R618" t="s">
        <v>2631</v>
      </c>
      <c r="S618" t="s">
        <v>2631</v>
      </c>
      <c r="T618" t="s">
        <v>2631</v>
      </c>
      <c r="U618" t="s">
        <v>2631</v>
      </c>
      <c r="V618" t="s">
        <v>2631</v>
      </c>
    </row>
    <row r="619">
      <c r="R619" t="s">
        <v>2631</v>
      </c>
      <c r="S619" t="s">
        <v>2631</v>
      </c>
      <c r="T619" t="s">
        <v>2631</v>
      </c>
      <c r="U619" t="s">
        <v>2631</v>
      </c>
      <c r="V619" t="s">
        <v>2631</v>
      </c>
    </row>
    <row r="620">
      <c r="R620" t="s">
        <v>2631</v>
      </c>
      <c r="S620" t="s">
        <v>2631</v>
      </c>
      <c r="T620" t="s">
        <v>2631</v>
      </c>
      <c r="U620" t="s">
        <v>2631</v>
      </c>
      <c r="V620" t="s">
        <v>2631</v>
      </c>
    </row>
    <row r="621">
      <c r="R621" t="s">
        <v>2631</v>
      </c>
      <c r="S621" t="s">
        <v>2631</v>
      </c>
      <c r="T621" t="s">
        <v>2631</v>
      </c>
      <c r="U621" t="s">
        <v>2631</v>
      </c>
      <c r="V621" t="s">
        <v>2631</v>
      </c>
    </row>
    <row r="622">
      <c r="R622" t="s">
        <v>2631</v>
      </c>
      <c r="S622" t="s">
        <v>2631</v>
      </c>
      <c r="T622" t="s">
        <v>2631</v>
      </c>
      <c r="U622" t="s">
        <v>2631</v>
      </c>
      <c r="V622" t="s">
        <v>2631</v>
      </c>
    </row>
    <row r="623">
      <c r="R623" t="s">
        <v>2631</v>
      </c>
      <c r="S623" t="s">
        <v>2631</v>
      </c>
      <c r="T623" t="s">
        <v>2631</v>
      </c>
      <c r="U623" t="s">
        <v>2631</v>
      </c>
      <c r="V623" t="s">
        <v>2631</v>
      </c>
    </row>
    <row r="624">
      <c r="R624" t="s">
        <v>2631</v>
      </c>
      <c r="S624" t="s">
        <v>2631</v>
      </c>
      <c r="T624" t="s">
        <v>2631</v>
      </c>
      <c r="U624" t="s">
        <v>2631</v>
      </c>
      <c r="V624" t="s">
        <v>2631</v>
      </c>
    </row>
    <row r="625">
      <c r="R625" t="s">
        <v>2631</v>
      </c>
      <c r="S625" t="s">
        <v>2631</v>
      </c>
      <c r="T625" t="s">
        <v>2631</v>
      </c>
      <c r="U625" t="s">
        <v>2631</v>
      </c>
      <c r="V625" t="s">
        <v>2631</v>
      </c>
    </row>
    <row r="626">
      <c r="R626" t="s">
        <v>2631</v>
      </c>
      <c r="S626" t="s">
        <v>2631</v>
      </c>
      <c r="T626" t="s">
        <v>2631</v>
      </c>
      <c r="U626" t="s">
        <v>2631</v>
      </c>
      <c r="V626" t="s">
        <v>2631</v>
      </c>
    </row>
    <row r="627">
      <c r="R627" t="s">
        <v>2631</v>
      </c>
      <c r="S627" t="s">
        <v>2631</v>
      </c>
      <c r="T627" t="s">
        <v>2631</v>
      </c>
      <c r="U627" t="s">
        <v>2631</v>
      </c>
      <c r="V627" t="s">
        <v>2631</v>
      </c>
    </row>
    <row r="628">
      <c r="R628" t="s">
        <v>2631</v>
      </c>
      <c r="S628" t="s">
        <v>2631</v>
      </c>
      <c r="T628" t="s">
        <v>2631</v>
      </c>
      <c r="U628" t="s">
        <v>2631</v>
      </c>
      <c r="V628" t="s">
        <v>2631</v>
      </c>
    </row>
    <row r="629">
      <c r="R629" t="s">
        <v>2631</v>
      </c>
      <c r="S629" t="s">
        <v>2631</v>
      </c>
      <c r="T629" t="s">
        <v>2631</v>
      </c>
      <c r="U629" t="s">
        <v>2631</v>
      </c>
      <c r="V629" t="s">
        <v>2631</v>
      </c>
    </row>
    <row r="630">
      <c r="R630" t="s">
        <v>2631</v>
      </c>
      <c r="S630" t="s">
        <v>2631</v>
      </c>
      <c r="T630" t="s">
        <v>2631</v>
      </c>
      <c r="U630" t="s">
        <v>2631</v>
      </c>
      <c r="V630" t="s">
        <v>2631</v>
      </c>
    </row>
    <row r="631">
      <c r="R631" t="s">
        <v>2631</v>
      </c>
      <c r="S631" t="s">
        <v>2631</v>
      </c>
      <c r="T631" t="s">
        <v>2631</v>
      </c>
      <c r="U631" t="s">
        <v>2631</v>
      </c>
      <c r="V631" t="s">
        <v>2631</v>
      </c>
    </row>
    <row r="632">
      <c r="R632" t="s">
        <v>2631</v>
      </c>
      <c r="S632" t="s">
        <v>2631</v>
      </c>
      <c r="T632" t="s">
        <v>2631</v>
      </c>
      <c r="U632" t="s">
        <v>2631</v>
      </c>
      <c r="V632" t="s">
        <v>2631</v>
      </c>
    </row>
    <row r="633">
      <c r="R633" t="s">
        <v>2631</v>
      </c>
      <c r="S633" t="s">
        <v>2631</v>
      </c>
      <c r="T633" t="s">
        <v>2631</v>
      </c>
      <c r="U633" t="s">
        <v>2631</v>
      </c>
      <c r="V633" t="s">
        <v>2631</v>
      </c>
    </row>
    <row r="634">
      <c r="R634" t="s">
        <v>2631</v>
      </c>
      <c r="S634" t="s">
        <v>2631</v>
      </c>
      <c r="T634" t="s">
        <v>2631</v>
      </c>
      <c r="U634" t="s">
        <v>2631</v>
      </c>
      <c r="V634" t="s">
        <v>2631</v>
      </c>
    </row>
    <row r="635">
      <c r="R635" t="s">
        <v>2631</v>
      </c>
      <c r="S635" t="s">
        <v>2631</v>
      </c>
      <c r="T635" t="s">
        <v>2631</v>
      </c>
      <c r="U635" t="s">
        <v>2631</v>
      </c>
      <c r="V635" t="s">
        <v>2631</v>
      </c>
    </row>
    <row r="636">
      <c r="R636" t="s">
        <v>2631</v>
      </c>
      <c r="S636" t="s">
        <v>2631</v>
      </c>
      <c r="T636" t="s">
        <v>2631</v>
      </c>
      <c r="U636" t="s">
        <v>2631</v>
      </c>
      <c r="V636" t="s">
        <v>2631</v>
      </c>
    </row>
    <row r="637">
      <c r="R637" t="s">
        <v>2631</v>
      </c>
      <c r="S637" t="s">
        <v>2631</v>
      </c>
      <c r="T637" t="s">
        <v>2631</v>
      </c>
      <c r="U637" t="s">
        <v>2631</v>
      </c>
      <c r="V637" t="s">
        <v>2631</v>
      </c>
    </row>
    <row r="638">
      <c r="R638" t="s">
        <v>2631</v>
      </c>
      <c r="S638" t="s">
        <v>2631</v>
      </c>
      <c r="T638" t="s">
        <v>2631</v>
      </c>
      <c r="U638" t="s">
        <v>2631</v>
      </c>
      <c r="V638" t="s">
        <v>2631</v>
      </c>
    </row>
    <row r="639">
      <c r="R639" t="s">
        <v>2631</v>
      </c>
      <c r="S639" t="s">
        <v>2631</v>
      </c>
      <c r="T639" t="s">
        <v>2631</v>
      </c>
      <c r="U639" t="s">
        <v>2631</v>
      </c>
      <c r="V639" t="s">
        <v>2631</v>
      </c>
    </row>
    <row r="640">
      <c r="R640" t="s">
        <v>2631</v>
      </c>
      <c r="S640" t="s">
        <v>2631</v>
      </c>
      <c r="T640" t="s">
        <v>2631</v>
      </c>
      <c r="U640" t="s">
        <v>2631</v>
      </c>
      <c r="V640" t="s">
        <v>2631</v>
      </c>
    </row>
    <row r="641">
      <c r="R641" t="s">
        <v>2631</v>
      </c>
      <c r="S641" t="s">
        <v>2631</v>
      </c>
      <c r="T641" t="s">
        <v>2631</v>
      </c>
      <c r="U641" t="s">
        <v>2631</v>
      </c>
      <c r="V641" t="s">
        <v>2631</v>
      </c>
    </row>
    <row r="642">
      <c r="R642" t="s">
        <v>2631</v>
      </c>
      <c r="S642" t="s">
        <v>2631</v>
      </c>
      <c r="T642" t="s">
        <v>2631</v>
      </c>
      <c r="U642" t="s">
        <v>2631</v>
      </c>
      <c r="V642" t="s">
        <v>2631</v>
      </c>
    </row>
    <row r="643">
      <c r="R643" t="s">
        <v>2631</v>
      </c>
      <c r="S643" t="s">
        <v>2631</v>
      </c>
      <c r="T643" t="s">
        <v>2631</v>
      </c>
      <c r="U643" t="s">
        <v>2631</v>
      </c>
      <c r="V643" t="s">
        <v>2631</v>
      </c>
    </row>
    <row r="644">
      <c r="R644" t="s">
        <v>2631</v>
      </c>
      <c r="S644" t="s">
        <v>2631</v>
      </c>
      <c r="T644" t="s">
        <v>2631</v>
      </c>
      <c r="U644" t="s">
        <v>2631</v>
      </c>
      <c r="V644" t="s">
        <v>2631</v>
      </c>
    </row>
    <row r="645">
      <c r="R645" t="s">
        <v>2631</v>
      </c>
      <c r="S645" t="s">
        <v>2631</v>
      </c>
      <c r="T645" t="s">
        <v>2631</v>
      </c>
      <c r="U645" t="s">
        <v>2631</v>
      </c>
      <c r="V645" t="s">
        <v>2631</v>
      </c>
    </row>
    <row r="646">
      <c r="R646" t="s">
        <v>2631</v>
      </c>
      <c r="S646" t="s">
        <v>2631</v>
      </c>
      <c r="T646" t="s">
        <v>2631</v>
      </c>
      <c r="U646" t="s">
        <v>2631</v>
      </c>
      <c r="V646" t="s">
        <v>2631</v>
      </c>
    </row>
    <row r="647">
      <c r="R647" t="s">
        <v>2631</v>
      </c>
      <c r="S647" t="s">
        <v>2631</v>
      </c>
      <c r="T647" t="s">
        <v>2631</v>
      </c>
      <c r="U647" t="s">
        <v>2631</v>
      </c>
      <c r="V647" t="s">
        <v>2631</v>
      </c>
    </row>
    <row r="648">
      <c r="R648" t="s">
        <v>2631</v>
      </c>
      <c r="S648" t="s">
        <v>2631</v>
      </c>
      <c r="T648" t="s">
        <v>2631</v>
      </c>
      <c r="U648" t="s">
        <v>2631</v>
      </c>
      <c r="V648" t="s">
        <v>2631</v>
      </c>
    </row>
    <row r="649">
      <c r="R649" t="s">
        <v>2631</v>
      </c>
      <c r="S649" t="s">
        <v>2631</v>
      </c>
      <c r="T649" t="s">
        <v>2631</v>
      </c>
      <c r="U649" t="s">
        <v>2631</v>
      </c>
      <c r="V649" t="s">
        <v>2631</v>
      </c>
    </row>
    <row r="650">
      <c r="R650" t="s">
        <v>2631</v>
      </c>
      <c r="S650" t="s">
        <v>2631</v>
      </c>
      <c r="T650" t="s">
        <v>2631</v>
      </c>
      <c r="U650" t="s">
        <v>2631</v>
      </c>
      <c r="V650" t="s">
        <v>2631</v>
      </c>
    </row>
    <row r="651">
      <c r="R651" t="s">
        <v>2631</v>
      </c>
      <c r="S651" t="s">
        <v>2631</v>
      </c>
      <c r="T651" t="s">
        <v>2631</v>
      </c>
      <c r="U651" t="s">
        <v>2631</v>
      </c>
      <c r="V651" t="s">
        <v>2631</v>
      </c>
    </row>
    <row r="652">
      <c r="R652" t="s">
        <v>2631</v>
      </c>
      <c r="S652" t="s">
        <v>2631</v>
      </c>
      <c r="T652" t="s">
        <v>2631</v>
      </c>
      <c r="U652" t="s">
        <v>2631</v>
      </c>
      <c r="V652" t="s">
        <v>2631</v>
      </c>
    </row>
    <row r="653">
      <c r="R653" t="s">
        <v>2631</v>
      </c>
      <c r="S653" t="s">
        <v>2631</v>
      </c>
      <c r="T653" t="s">
        <v>2631</v>
      </c>
      <c r="U653" t="s">
        <v>2631</v>
      </c>
      <c r="V653" t="s">
        <v>2631</v>
      </c>
    </row>
    <row r="654">
      <c r="R654" t="s">
        <v>2631</v>
      </c>
      <c r="S654" t="s">
        <v>2631</v>
      </c>
      <c r="T654" t="s">
        <v>2631</v>
      </c>
      <c r="U654" t="s">
        <v>2631</v>
      </c>
      <c r="V654" t="s">
        <v>2631</v>
      </c>
    </row>
    <row r="655">
      <c r="R655" t="s">
        <v>2631</v>
      </c>
      <c r="S655" t="s">
        <v>2631</v>
      </c>
      <c r="T655" t="s">
        <v>2631</v>
      </c>
      <c r="U655" t="s">
        <v>2631</v>
      </c>
      <c r="V655" t="s">
        <v>2631</v>
      </c>
    </row>
    <row r="656">
      <c r="R656" t="s">
        <v>2631</v>
      </c>
      <c r="S656" t="s">
        <v>2631</v>
      </c>
      <c r="T656" t="s">
        <v>2631</v>
      </c>
      <c r="U656" t="s">
        <v>2631</v>
      </c>
      <c r="V656" t="s">
        <v>2631</v>
      </c>
    </row>
    <row r="657">
      <c r="R657" t="s">
        <v>2631</v>
      </c>
      <c r="S657" t="s">
        <v>2631</v>
      </c>
      <c r="T657" t="s">
        <v>2631</v>
      </c>
      <c r="U657" t="s">
        <v>2631</v>
      </c>
      <c r="V657" t="s">
        <v>2631</v>
      </c>
    </row>
    <row r="658">
      <c r="R658" t="s">
        <v>2631</v>
      </c>
      <c r="S658" t="s">
        <v>2631</v>
      </c>
      <c r="T658" t="s">
        <v>2631</v>
      </c>
      <c r="U658" t="s">
        <v>2631</v>
      </c>
      <c r="V658" t="s">
        <v>2631</v>
      </c>
    </row>
    <row r="659">
      <c r="R659" t="s">
        <v>2631</v>
      </c>
      <c r="S659" t="s">
        <v>2631</v>
      </c>
      <c r="T659" t="s">
        <v>2631</v>
      </c>
      <c r="U659" t="s">
        <v>2631</v>
      </c>
      <c r="V659" t="s">
        <v>2631</v>
      </c>
    </row>
    <row r="660">
      <c r="R660" t="s">
        <v>2631</v>
      </c>
      <c r="S660" t="s">
        <v>2631</v>
      </c>
      <c r="T660" t="s">
        <v>2631</v>
      </c>
      <c r="U660" t="s">
        <v>2631</v>
      </c>
      <c r="V660" t="s">
        <v>2631</v>
      </c>
    </row>
    <row r="661">
      <c r="R661" t="s">
        <v>2631</v>
      </c>
      <c r="S661" t="s">
        <v>2631</v>
      </c>
      <c r="T661" t="s">
        <v>2631</v>
      </c>
      <c r="U661" t="s">
        <v>2631</v>
      </c>
      <c r="V661" t="s">
        <v>2631</v>
      </c>
    </row>
    <row r="662">
      <c r="R662" t="s">
        <v>2631</v>
      </c>
      <c r="S662" t="s">
        <v>2631</v>
      </c>
      <c r="T662" t="s">
        <v>2631</v>
      </c>
      <c r="U662" t="s">
        <v>2631</v>
      </c>
      <c r="V662" t="s">
        <v>2631</v>
      </c>
    </row>
    <row r="663">
      <c r="R663" t="s">
        <v>2631</v>
      </c>
      <c r="S663" t="s">
        <v>2631</v>
      </c>
      <c r="T663" t="s">
        <v>2631</v>
      </c>
      <c r="U663" t="s">
        <v>2631</v>
      </c>
      <c r="V663" t="s">
        <v>2631</v>
      </c>
    </row>
    <row r="664">
      <c r="R664" t="s">
        <v>2631</v>
      </c>
      <c r="S664" t="s">
        <v>2631</v>
      </c>
      <c r="T664" t="s">
        <v>2631</v>
      </c>
      <c r="U664" t="s">
        <v>2631</v>
      </c>
      <c r="V664" t="s">
        <v>2631</v>
      </c>
    </row>
    <row r="665">
      <c r="R665" t="s">
        <v>2631</v>
      </c>
      <c r="S665" t="s">
        <v>2631</v>
      </c>
      <c r="T665" t="s">
        <v>2631</v>
      </c>
      <c r="U665" t="s">
        <v>2631</v>
      </c>
      <c r="V665" t="s">
        <v>2631</v>
      </c>
    </row>
    <row r="666">
      <c r="R666" t="s">
        <v>2631</v>
      </c>
      <c r="S666" t="s">
        <v>2631</v>
      </c>
      <c r="T666" t="s">
        <v>2631</v>
      </c>
      <c r="U666" t="s">
        <v>2631</v>
      </c>
      <c r="V666" t="s">
        <v>2631</v>
      </c>
    </row>
    <row r="667">
      <c r="R667" t="s">
        <v>2631</v>
      </c>
      <c r="S667" t="s">
        <v>2631</v>
      </c>
      <c r="T667" t="s">
        <v>2631</v>
      </c>
      <c r="U667" t="s">
        <v>2631</v>
      </c>
      <c r="V667" t="s">
        <v>2631</v>
      </c>
    </row>
    <row r="668">
      <c r="R668" t="s">
        <v>2631</v>
      </c>
      <c r="S668" t="s">
        <v>2631</v>
      </c>
      <c r="T668" t="s">
        <v>2631</v>
      </c>
      <c r="U668" t="s">
        <v>2631</v>
      </c>
      <c r="V668" t="s">
        <v>2631</v>
      </c>
    </row>
    <row r="669">
      <c r="R669" t="s">
        <v>2631</v>
      </c>
      <c r="S669" t="s">
        <v>2631</v>
      </c>
      <c r="T669" t="s">
        <v>2631</v>
      </c>
      <c r="U669" t="s">
        <v>2631</v>
      </c>
      <c r="V669" t="s">
        <v>2631</v>
      </c>
    </row>
    <row r="670">
      <c r="R670" t="s">
        <v>2631</v>
      </c>
      <c r="S670" t="s">
        <v>2631</v>
      </c>
      <c r="T670" t="s">
        <v>2631</v>
      </c>
      <c r="U670" t="s">
        <v>2631</v>
      </c>
      <c r="V670" t="s">
        <v>2631</v>
      </c>
    </row>
    <row r="671">
      <c r="R671" t="s">
        <v>2631</v>
      </c>
      <c r="S671" t="s">
        <v>2631</v>
      </c>
      <c r="T671" t="s">
        <v>2631</v>
      </c>
      <c r="U671" t="s">
        <v>2631</v>
      </c>
      <c r="V671" t="s">
        <v>2631</v>
      </c>
    </row>
    <row r="672">
      <c r="R672" t="s">
        <v>2631</v>
      </c>
      <c r="S672" t="s">
        <v>2631</v>
      </c>
      <c r="T672" t="s">
        <v>2631</v>
      </c>
      <c r="U672" t="s">
        <v>2631</v>
      </c>
      <c r="V672" t="s">
        <v>2631</v>
      </c>
    </row>
    <row r="673">
      <c r="R673" t="s">
        <v>2631</v>
      </c>
      <c r="S673" t="s">
        <v>2631</v>
      </c>
      <c r="T673" t="s">
        <v>2631</v>
      </c>
      <c r="U673" t="s">
        <v>2631</v>
      </c>
      <c r="V673" t="s">
        <v>2631</v>
      </c>
    </row>
    <row r="674">
      <c r="R674" t="s">
        <v>2631</v>
      </c>
      <c r="S674" t="s">
        <v>2631</v>
      </c>
      <c r="T674" t="s">
        <v>2631</v>
      </c>
      <c r="U674" t="s">
        <v>2631</v>
      </c>
      <c r="V674" t="s">
        <v>2631</v>
      </c>
    </row>
    <row r="675">
      <c r="R675" t="s">
        <v>2631</v>
      </c>
      <c r="S675" t="s">
        <v>2631</v>
      </c>
      <c r="T675" t="s">
        <v>2631</v>
      </c>
      <c r="U675" t="s">
        <v>2631</v>
      </c>
      <c r="V675" t="s">
        <v>2631</v>
      </c>
    </row>
    <row r="676">
      <c r="R676" t="s">
        <v>2631</v>
      </c>
      <c r="S676" t="s">
        <v>2631</v>
      </c>
      <c r="T676" t="s">
        <v>2631</v>
      </c>
      <c r="U676" t="s">
        <v>2631</v>
      </c>
      <c r="V676" t="s">
        <v>2631</v>
      </c>
    </row>
    <row r="677">
      <c r="R677" t="s">
        <v>2631</v>
      </c>
      <c r="S677" t="s">
        <v>2631</v>
      </c>
      <c r="T677" t="s">
        <v>2631</v>
      </c>
      <c r="U677" t="s">
        <v>2631</v>
      </c>
      <c r="V677" t="s">
        <v>2631</v>
      </c>
    </row>
    <row r="678">
      <c r="R678" t="s">
        <v>2631</v>
      </c>
      <c r="S678" t="s">
        <v>2631</v>
      </c>
      <c r="T678" t="s">
        <v>2631</v>
      </c>
      <c r="U678" t="s">
        <v>2631</v>
      </c>
      <c r="V678" t="s">
        <v>2631</v>
      </c>
    </row>
    <row r="679">
      <c r="R679" t="s">
        <v>2631</v>
      </c>
      <c r="S679" t="s">
        <v>2631</v>
      </c>
      <c r="T679" t="s">
        <v>2631</v>
      </c>
      <c r="U679" t="s">
        <v>2631</v>
      </c>
      <c r="V679" t="s">
        <v>2631</v>
      </c>
    </row>
    <row r="680">
      <c r="R680" t="s">
        <v>2631</v>
      </c>
      <c r="S680" t="s">
        <v>2631</v>
      </c>
      <c r="T680" t="s">
        <v>2631</v>
      </c>
      <c r="U680" t="s">
        <v>2631</v>
      </c>
      <c r="V680" t="s">
        <v>2631</v>
      </c>
    </row>
    <row r="681">
      <c r="R681" t="s">
        <v>2631</v>
      </c>
      <c r="S681" t="s">
        <v>2631</v>
      </c>
      <c r="T681" t="s">
        <v>2631</v>
      </c>
      <c r="U681" t="s">
        <v>2631</v>
      </c>
      <c r="V681" t="s">
        <v>2631</v>
      </c>
    </row>
    <row r="682">
      <c r="R682" t="s">
        <v>2631</v>
      </c>
      <c r="S682" t="s">
        <v>2631</v>
      </c>
      <c r="T682" t="s">
        <v>2631</v>
      </c>
      <c r="U682" t="s">
        <v>2631</v>
      </c>
      <c r="V682" t="s">
        <v>2631</v>
      </c>
    </row>
    <row r="683">
      <c r="R683" t="s">
        <v>2631</v>
      </c>
      <c r="S683" t="s">
        <v>2631</v>
      </c>
      <c r="T683" t="s">
        <v>2631</v>
      </c>
      <c r="U683" t="s">
        <v>2631</v>
      </c>
      <c r="V683" t="s">
        <v>2631</v>
      </c>
    </row>
    <row r="684">
      <c r="R684" t="s">
        <v>2631</v>
      </c>
      <c r="S684" t="s">
        <v>2631</v>
      </c>
      <c r="T684" t="s">
        <v>2631</v>
      </c>
      <c r="U684" t="s">
        <v>2631</v>
      </c>
      <c r="V684" t="s">
        <v>2631</v>
      </c>
    </row>
    <row r="685">
      <c r="R685" t="s">
        <v>2631</v>
      </c>
      <c r="S685" t="s">
        <v>2631</v>
      </c>
      <c r="T685" t="s">
        <v>2631</v>
      </c>
      <c r="U685" t="s">
        <v>2631</v>
      </c>
      <c r="V685" t="s">
        <v>2631</v>
      </c>
    </row>
    <row r="686">
      <c r="R686" t="s">
        <v>2631</v>
      </c>
      <c r="S686" t="s">
        <v>2631</v>
      </c>
      <c r="T686" t="s">
        <v>2631</v>
      </c>
      <c r="U686" t="s">
        <v>2631</v>
      </c>
      <c r="V686" t="s">
        <v>2631</v>
      </c>
    </row>
    <row r="687">
      <c r="R687" t="s">
        <v>2631</v>
      </c>
      <c r="S687" t="s">
        <v>2631</v>
      </c>
      <c r="T687" t="s">
        <v>2631</v>
      </c>
      <c r="U687" t="s">
        <v>2631</v>
      </c>
      <c r="V687" t="s">
        <v>2631</v>
      </c>
    </row>
    <row r="688">
      <c r="R688" t="s">
        <v>2631</v>
      </c>
      <c r="S688" t="s">
        <v>2631</v>
      </c>
      <c r="T688" t="s">
        <v>2631</v>
      </c>
      <c r="U688" t="s">
        <v>2631</v>
      </c>
      <c r="V688" t="s">
        <v>2631</v>
      </c>
    </row>
    <row r="689">
      <c r="R689" t="s">
        <v>2631</v>
      </c>
      <c r="S689" t="s">
        <v>2631</v>
      </c>
      <c r="T689" t="s">
        <v>2631</v>
      </c>
      <c r="U689" t="s">
        <v>2631</v>
      </c>
      <c r="V689" t="s">
        <v>2631</v>
      </c>
    </row>
    <row r="690">
      <c r="R690" t="s">
        <v>2631</v>
      </c>
      <c r="S690" t="s">
        <v>2631</v>
      </c>
      <c r="T690" t="s">
        <v>2631</v>
      </c>
      <c r="U690" t="s">
        <v>2631</v>
      </c>
      <c r="V690" t="s">
        <v>2631</v>
      </c>
    </row>
    <row r="691">
      <c r="R691" t="s">
        <v>2631</v>
      </c>
      <c r="S691" t="s">
        <v>2631</v>
      </c>
      <c r="T691" t="s">
        <v>2631</v>
      </c>
      <c r="U691" t="s">
        <v>2631</v>
      </c>
      <c r="V691" t="s">
        <v>2631</v>
      </c>
    </row>
    <row r="692">
      <c r="R692" t="s">
        <v>2631</v>
      </c>
      <c r="S692" t="s">
        <v>2631</v>
      </c>
      <c r="T692" t="s">
        <v>2631</v>
      </c>
      <c r="U692" t="s">
        <v>2631</v>
      </c>
      <c r="V692" t="s">
        <v>2631</v>
      </c>
    </row>
    <row r="693">
      <c r="R693" t="s">
        <v>2631</v>
      </c>
      <c r="S693" t="s">
        <v>2631</v>
      </c>
      <c r="T693" t="s">
        <v>2631</v>
      </c>
      <c r="U693" t="s">
        <v>2631</v>
      </c>
      <c r="V693" t="s">
        <v>2631</v>
      </c>
    </row>
    <row r="694">
      <c r="R694" t="s">
        <v>2631</v>
      </c>
      <c r="S694" t="s">
        <v>2631</v>
      </c>
      <c r="T694" t="s">
        <v>2631</v>
      </c>
      <c r="U694" t="s">
        <v>2631</v>
      </c>
      <c r="V694" t="s">
        <v>2631</v>
      </c>
    </row>
    <row r="695">
      <c r="R695" t="s">
        <v>2631</v>
      </c>
      <c r="S695" t="s">
        <v>2631</v>
      </c>
      <c r="T695" t="s">
        <v>2631</v>
      </c>
      <c r="U695" t="s">
        <v>2631</v>
      </c>
      <c r="V695" t="s">
        <v>2631</v>
      </c>
    </row>
    <row r="696">
      <c r="R696" t="s">
        <v>2631</v>
      </c>
      <c r="S696" t="s">
        <v>2631</v>
      </c>
      <c r="T696" t="s">
        <v>2631</v>
      </c>
      <c r="U696" t="s">
        <v>2631</v>
      </c>
      <c r="V696" t="s">
        <v>2631</v>
      </c>
    </row>
    <row r="697">
      <c r="R697" t="s">
        <v>2631</v>
      </c>
      <c r="S697" t="s">
        <v>2631</v>
      </c>
      <c r="T697" t="s">
        <v>2631</v>
      </c>
      <c r="U697" t="s">
        <v>2631</v>
      </c>
      <c r="V697" t="s">
        <v>2631</v>
      </c>
    </row>
    <row r="698">
      <c r="R698" t="s">
        <v>2631</v>
      </c>
      <c r="S698" t="s">
        <v>2631</v>
      </c>
      <c r="T698" t="s">
        <v>2631</v>
      </c>
      <c r="U698" t="s">
        <v>2631</v>
      </c>
      <c r="V698" t="s">
        <v>2631</v>
      </c>
    </row>
    <row r="699">
      <c r="R699" t="s">
        <v>2631</v>
      </c>
      <c r="S699" t="s">
        <v>2631</v>
      </c>
      <c r="T699" t="s">
        <v>2631</v>
      </c>
      <c r="U699" t="s">
        <v>2631</v>
      </c>
      <c r="V699" t="s">
        <v>2631</v>
      </c>
    </row>
    <row r="700">
      <c r="R700" t="s">
        <v>2631</v>
      </c>
      <c r="S700" t="s">
        <v>2631</v>
      </c>
      <c r="T700" t="s">
        <v>2631</v>
      </c>
      <c r="U700" t="s">
        <v>2631</v>
      </c>
      <c r="V700" t="s">
        <v>2631</v>
      </c>
    </row>
    <row r="701">
      <c r="R701" t="s">
        <v>2631</v>
      </c>
      <c r="S701" t="s">
        <v>2631</v>
      </c>
      <c r="T701" t="s">
        <v>2631</v>
      </c>
      <c r="U701" t="s">
        <v>2631</v>
      </c>
      <c r="V701" t="s">
        <v>2631</v>
      </c>
    </row>
    <row r="702">
      <c r="R702" t="s">
        <v>2631</v>
      </c>
      <c r="S702" t="s">
        <v>2631</v>
      </c>
      <c r="T702" t="s">
        <v>2631</v>
      </c>
      <c r="U702" t="s">
        <v>2631</v>
      </c>
      <c r="V702" t="s">
        <v>2631</v>
      </c>
    </row>
    <row r="703">
      <c r="R703" t="s">
        <v>2631</v>
      </c>
      <c r="S703" t="s">
        <v>2631</v>
      </c>
      <c r="T703" t="s">
        <v>2631</v>
      </c>
      <c r="U703" t="s">
        <v>2631</v>
      </c>
      <c r="V703" t="s">
        <v>2631</v>
      </c>
    </row>
    <row r="704">
      <c r="R704" t="s">
        <v>2631</v>
      </c>
      <c r="S704" t="s">
        <v>2631</v>
      </c>
      <c r="T704" t="s">
        <v>2631</v>
      </c>
      <c r="U704" t="s">
        <v>2631</v>
      </c>
      <c r="V704" t="s">
        <v>2631</v>
      </c>
    </row>
    <row r="705">
      <c r="R705" t="s">
        <v>2631</v>
      </c>
      <c r="S705" t="s">
        <v>2631</v>
      </c>
      <c r="T705" t="s">
        <v>2631</v>
      </c>
      <c r="U705" t="s">
        <v>2631</v>
      </c>
      <c r="V705" t="s">
        <v>2631</v>
      </c>
    </row>
    <row r="706">
      <c r="R706" t="s">
        <v>2631</v>
      </c>
      <c r="S706" t="s">
        <v>2631</v>
      </c>
      <c r="T706" t="s">
        <v>2631</v>
      </c>
      <c r="U706" t="s">
        <v>2631</v>
      </c>
      <c r="V706" t="s">
        <v>2631</v>
      </c>
    </row>
    <row r="707">
      <c r="R707" t="s">
        <v>2631</v>
      </c>
      <c r="S707" t="s">
        <v>2631</v>
      </c>
      <c r="T707" t="s">
        <v>2631</v>
      </c>
      <c r="U707" t="s">
        <v>2631</v>
      </c>
      <c r="V707" t="s">
        <v>2631</v>
      </c>
    </row>
    <row r="708">
      <c r="R708" t="s">
        <v>2631</v>
      </c>
      <c r="S708" t="s">
        <v>2631</v>
      </c>
      <c r="T708" t="s">
        <v>2631</v>
      </c>
      <c r="U708" t="s">
        <v>2631</v>
      </c>
      <c r="V708" t="s">
        <v>2631</v>
      </c>
    </row>
    <row r="709">
      <c r="R709" t="s">
        <v>2631</v>
      </c>
      <c r="S709" t="s">
        <v>2631</v>
      </c>
      <c r="T709" t="s">
        <v>2631</v>
      </c>
      <c r="U709" t="s">
        <v>2631</v>
      </c>
      <c r="V709" t="s">
        <v>2631</v>
      </c>
    </row>
    <row r="710">
      <c r="R710" t="s">
        <v>2631</v>
      </c>
      <c r="S710" t="s">
        <v>2631</v>
      </c>
      <c r="T710" t="s">
        <v>2631</v>
      </c>
      <c r="U710" t="s">
        <v>2631</v>
      </c>
      <c r="V710" t="s">
        <v>2631</v>
      </c>
    </row>
    <row r="711">
      <c r="R711" t="s">
        <v>2631</v>
      </c>
      <c r="S711" t="s">
        <v>2631</v>
      </c>
      <c r="T711" t="s">
        <v>2631</v>
      </c>
      <c r="U711" t="s">
        <v>2631</v>
      </c>
      <c r="V711" t="s">
        <v>2631</v>
      </c>
    </row>
    <row r="712">
      <c r="R712" t="s">
        <v>2631</v>
      </c>
      <c r="S712" t="s">
        <v>2631</v>
      </c>
      <c r="T712" t="s">
        <v>2631</v>
      </c>
      <c r="U712" t="s">
        <v>2631</v>
      </c>
      <c r="V712" t="s">
        <v>2631</v>
      </c>
    </row>
    <row r="713">
      <c r="R713" t="s">
        <v>2631</v>
      </c>
      <c r="S713" t="s">
        <v>2631</v>
      </c>
      <c r="T713" t="s">
        <v>2631</v>
      </c>
      <c r="U713" t="s">
        <v>2631</v>
      </c>
      <c r="V713" t="s">
        <v>2631</v>
      </c>
    </row>
    <row r="714">
      <c r="R714" t="s">
        <v>2631</v>
      </c>
      <c r="S714" t="s">
        <v>2631</v>
      </c>
      <c r="T714" t="s">
        <v>2631</v>
      </c>
      <c r="U714" t="s">
        <v>2631</v>
      </c>
      <c r="V714" t="s">
        <v>2631</v>
      </c>
    </row>
    <row r="715">
      <c r="R715" t="s">
        <v>2631</v>
      </c>
      <c r="S715" t="s">
        <v>2631</v>
      </c>
      <c r="T715" t="s">
        <v>2631</v>
      </c>
      <c r="U715" t="s">
        <v>2631</v>
      </c>
      <c r="V715" t="s">
        <v>2631</v>
      </c>
    </row>
    <row r="716">
      <c r="R716" t="s">
        <v>2631</v>
      </c>
      <c r="S716" t="s">
        <v>2631</v>
      </c>
      <c r="T716" t="s">
        <v>2631</v>
      </c>
      <c r="U716" t="s">
        <v>2631</v>
      </c>
      <c r="V716" t="s">
        <v>2631</v>
      </c>
    </row>
    <row r="717">
      <c r="R717" t="s">
        <v>2631</v>
      </c>
      <c r="S717" t="s">
        <v>2631</v>
      </c>
      <c r="T717" t="s">
        <v>2631</v>
      </c>
      <c r="U717" t="s">
        <v>2631</v>
      </c>
      <c r="V717" t="s">
        <v>2631</v>
      </c>
    </row>
    <row r="718">
      <c r="R718" t="s">
        <v>2631</v>
      </c>
      <c r="S718" t="s">
        <v>2631</v>
      </c>
      <c r="T718" t="s">
        <v>2631</v>
      </c>
      <c r="U718" t="s">
        <v>2631</v>
      </c>
      <c r="V718" t="s">
        <v>2631</v>
      </c>
    </row>
    <row r="719">
      <c r="R719" t="s">
        <v>2631</v>
      </c>
      <c r="S719" t="s">
        <v>2631</v>
      </c>
      <c r="T719" t="s">
        <v>2631</v>
      </c>
      <c r="U719" t="s">
        <v>2631</v>
      </c>
      <c r="V719" t="s">
        <v>2631</v>
      </c>
    </row>
    <row r="720">
      <c r="R720" t="s">
        <v>2631</v>
      </c>
      <c r="S720" t="s">
        <v>2631</v>
      </c>
      <c r="T720" t="s">
        <v>2631</v>
      </c>
      <c r="U720" t="s">
        <v>2631</v>
      </c>
      <c r="V720" t="s">
        <v>2631</v>
      </c>
    </row>
    <row r="721">
      <c r="R721" t="s">
        <v>2631</v>
      </c>
      <c r="S721" t="s">
        <v>2631</v>
      </c>
      <c r="T721" t="s">
        <v>2631</v>
      </c>
      <c r="U721" t="s">
        <v>2631</v>
      </c>
      <c r="V721" t="s">
        <v>2631</v>
      </c>
    </row>
    <row r="722">
      <c r="R722" t="s">
        <v>2631</v>
      </c>
      <c r="S722" t="s">
        <v>2631</v>
      </c>
      <c r="T722" t="s">
        <v>2631</v>
      </c>
      <c r="U722" t="s">
        <v>2631</v>
      </c>
      <c r="V722" t="s">
        <v>2631</v>
      </c>
    </row>
    <row r="723">
      <c r="R723" t="s">
        <v>2631</v>
      </c>
      <c r="S723" t="s">
        <v>2631</v>
      </c>
      <c r="T723" t="s">
        <v>2631</v>
      </c>
      <c r="U723" t="s">
        <v>2631</v>
      </c>
      <c r="V723" t="s">
        <v>2631</v>
      </c>
    </row>
    <row r="724">
      <c r="R724" t="s">
        <v>2631</v>
      </c>
      <c r="S724" t="s">
        <v>2631</v>
      </c>
      <c r="T724" t="s">
        <v>2631</v>
      </c>
      <c r="U724" t="s">
        <v>2631</v>
      </c>
      <c r="V724" t="s">
        <v>2631</v>
      </c>
    </row>
    <row r="725">
      <c r="R725" t="s">
        <v>2631</v>
      </c>
      <c r="S725" t="s">
        <v>2631</v>
      </c>
      <c r="T725" t="s">
        <v>2631</v>
      </c>
      <c r="U725" t="s">
        <v>2631</v>
      </c>
      <c r="V725" t="s">
        <v>2631</v>
      </c>
    </row>
    <row r="726">
      <c r="R726" t="s">
        <v>2631</v>
      </c>
      <c r="S726" t="s">
        <v>2631</v>
      </c>
      <c r="T726" t="s">
        <v>2631</v>
      </c>
      <c r="U726" t="s">
        <v>2631</v>
      </c>
      <c r="V726" t="s">
        <v>2631</v>
      </c>
    </row>
    <row r="727">
      <c r="R727" t="s">
        <v>2631</v>
      </c>
      <c r="S727" t="s">
        <v>2631</v>
      </c>
      <c r="T727" t="s">
        <v>2631</v>
      </c>
      <c r="U727" t="s">
        <v>2631</v>
      </c>
      <c r="V727" t="s">
        <v>2631</v>
      </c>
    </row>
    <row r="728">
      <c r="R728" t="s">
        <v>2631</v>
      </c>
      <c r="S728" t="s">
        <v>2631</v>
      </c>
      <c r="T728" t="s">
        <v>2631</v>
      </c>
      <c r="U728" t="s">
        <v>2631</v>
      </c>
      <c r="V728" t="s">
        <v>2631</v>
      </c>
    </row>
    <row r="729">
      <c r="R729" t="s">
        <v>2631</v>
      </c>
      <c r="S729" t="s">
        <v>2631</v>
      </c>
      <c r="T729" t="s">
        <v>2631</v>
      </c>
      <c r="U729" t="s">
        <v>2631</v>
      </c>
      <c r="V729" t="s">
        <v>2631</v>
      </c>
    </row>
    <row r="730">
      <c r="R730" t="s">
        <v>2631</v>
      </c>
      <c r="S730" t="s">
        <v>2631</v>
      </c>
      <c r="T730" t="s">
        <v>2631</v>
      </c>
      <c r="U730" t="s">
        <v>2631</v>
      </c>
      <c r="V730" t="s">
        <v>2631</v>
      </c>
    </row>
    <row r="731">
      <c r="R731" t="s">
        <v>2631</v>
      </c>
      <c r="S731" t="s">
        <v>2631</v>
      </c>
      <c r="T731" t="s">
        <v>2631</v>
      </c>
      <c r="U731" t="s">
        <v>2631</v>
      </c>
      <c r="V731" t="s">
        <v>2631</v>
      </c>
    </row>
    <row r="732">
      <c r="R732" t="s">
        <v>2631</v>
      </c>
      <c r="S732" t="s">
        <v>2631</v>
      </c>
      <c r="T732" t="s">
        <v>2631</v>
      </c>
      <c r="U732" t="s">
        <v>2631</v>
      </c>
      <c r="V732" t="s">
        <v>2631</v>
      </c>
    </row>
    <row r="733">
      <c r="R733" t="s">
        <v>2631</v>
      </c>
      <c r="S733" t="s">
        <v>2631</v>
      </c>
      <c r="T733" t="s">
        <v>2631</v>
      </c>
      <c r="U733" t="s">
        <v>2631</v>
      </c>
      <c r="V733" t="s">
        <v>2631</v>
      </c>
    </row>
    <row r="734">
      <c r="R734" t="s">
        <v>2631</v>
      </c>
      <c r="S734" t="s">
        <v>2631</v>
      </c>
      <c r="T734" t="s">
        <v>2631</v>
      </c>
      <c r="U734" t="s">
        <v>2631</v>
      </c>
      <c r="V734" t="s">
        <v>2631</v>
      </c>
    </row>
    <row r="735">
      <c r="R735" t="s">
        <v>2631</v>
      </c>
      <c r="S735" t="s">
        <v>2631</v>
      </c>
      <c r="T735" t="s">
        <v>2631</v>
      </c>
      <c r="U735" t="s">
        <v>2631</v>
      </c>
      <c r="V735" t="s">
        <v>2631</v>
      </c>
    </row>
    <row r="736">
      <c r="R736" t="s">
        <v>2631</v>
      </c>
      <c r="S736" t="s">
        <v>2631</v>
      </c>
      <c r="T736" t="s">
        <v>2631</v>
      </c>
      <c r="U736" t="s">
        <v>2631</v>
      </c>
      <c r="V736" t="s">
        <v>2631</v>
      </c>
    </row>
    <row r="737">
      <c r="R737" t="s">
        <v>2631</v>
      </c>
      <c r="S737" t="s">
        <v>2631</v>
      </c>
      <c r="T737" t="s">
        <v>2631</v>
      </c>
      <c r="U737" t="s">
        <v>2631</v>
      </c>
      <c r="V737" t="s">
        <v>2631</v>
      </c>
    </row>
    <row r="738">
      <c r="R738" t="s">
        <v>2631</v>
      </c>
      <c r="S738" t="s">
        <v>2631</v>
      </c>
      <c r="T738" t="s">
        <v>2631</v>
      </c>
      <c r="U738" t="s">
        <v>2631</v>
      </c>
      <c r="V738" t="s">
        <v>2631</v>
      </c>
    </row>
    <row r="739">
      <c r="R739" t="s">
        <v>2631</v>
      </c>
      <c r="S739" t="s">
        <v>2631</v>
      </c>
      <c r="T739" t="s">
        <v>2631</v>
      </c>
      <c r="U739" t="s">
        <v>2631</v>
      </c>
      <c r="V739" t="s">
        <v>2631</v>
      </c>
    </row>
    <row r="740">
      <c r="R740" t="s">
        <v>2631</v>
      </c>
      <c r="S740" t="s">
        <v>2631</v>
      </c>
      <c r="T740" t="s">
        <v>2631</v>
      </c>
      <c r="U740" t="s">
        <v>2631</v>
      </c>
      <c r="V740" t="s">
        <v>2631</v>
      </c>
    </row>
    <row r="741">
      <c r="R741" t="s">
        <v>2631</v>
      </c>
      <c r="S741" t="s">
        <v>2631</v>
      </c>
      <c r="T741" t="s">
        <v>2631</v>
      </c>
      <c r="U741" t="s">
        <v>2631</v>
      </c>
      <c r="V741" t="s">
        <v>2631</v>
      </c>
    </row>
    <row r="742">
      <c r="R742" t="s">
        <v>2631</v>
      </c>
      <c r="S742" t="s">
        <v>2631</v>
      </c>
      <c r="T742" t="s">
        <v>2631</v>
      </c>
      <c r="U742" t="s">
        <v>2631</v>
      </c>
      <c r="V742" t="s">
        <v>2631</v>
      </c>
    </row>
    <row r="743">
      <c r="R743" t="s">
        <v>2631</v>
      </c>
      <c r="S743" t="s">
        <v>2631</v>
      </c>
      <c r="T743" t="s">
        <v>2631</v>
      </c>
      <c r="U743" t="s">
        <v>2631</v>
      </c>
      <c r="V743" t="s">
        <v>2631</v>
      </c>
    </row>
    <row r="744">
      <c r="R744" t="s">
        <v>2631</v>
      </c>
      <c r="S744" t="s">
        <v>2631</v>
      </c>
      <c r="T744" t="s">
        <v>2631</v>
      </c>
      <c r="U744" t="s">
        <v>2631</v>
      </c>
      <c r="V744" t="s">
        <v>2631</v>
      </c>
    </row>
    <row r="745">
      <c r="R745" t="s">
        <v>2631</v>
      </c>
      <c r="S745" t="s">
        <v>2631</v>
      </c>
      <c r="T745" t="s">
        <v>2631</v>
      </c>
      <c r="U745" t="s">
        <v>2631</v>
      </c>
      <c r="V745" t="s">
        <v>2631</v>
      </c>
    </row>
    <row r="746">
      <c r="R746" t="s">
        <v>2631</v>
      </c>
      <c r="S746" t="s">
        <v>2631</v>
      </c>
      <c r="T746" t="s">
        <v>2631</v>
      </c>
      <c r="U746" t="s">
        <v>2631</v>
      </c>
      <c r="V746" t="s">
        <v>2631</v>
      </c>
    </row>
    <row r="747">
      <c r="R747" t="s">
        <v>2631</v>
      </c>
      <c r="S747" t="s">
        <v>2631</v>
      </c>
      <c r="T747" t="s">
        <v>2631</v>
      </c>
      <c r="U747" t="s">
        <v>2631</v>
      </c>
      <c r="V747" t="s">
        <v>2631</v>
      </c>
    </row>
    <row r="748">
      <c r="R748" t="s">
        <v>2631</v>
      </c>
      <c r="S748" t="s">
        <v>2631</v>
      </c>
      <c r="T748" t="s">
        <v>2631</v>
      </c>
      <c r="U748" t="s">
        <v>2631</v>
      </c>
      <c r="V748" t="s">
        <v>2631</v>
      </c>
    </row>
    <row r="749">
      <c r="R749" t="s">
        <v>2631</v>
      </c>
      <c r="S749" t="s">
        <v>2631</v>
      </c>
      <c r="T749" t="s">
        <v>2631</v>
      </c>
      <c r="U749" t="s">
        <v>2631</v>
      </c>
      <c r="V749" t="s">
        <v>2631</v>
      </c>
    </row>
    <row r="750">
      <c r="R750" t="s">
        <v>2631</v>
      </c>
      <c r="S750" t="s">
        <v>2631</v>
      </c>
      <c r="T750" t="s">
        <v>2631</v>
      </c>
      <c r="U750" t="s">
        <v>2631</v>
      </c>
      <c r="V750" t="s">
        <v>2631</v>
      </c>
    </row>
    <row r="751">
      <c r="R751" t="s">
        <v>2631</v>
      </c>
      <c r="S751" t="s">
        <v>2631</v>
      </c>
      <c r="T751" t="s">
        <v>2631</v>
      </c>
      <c r="U751" t="s">
        <v>2631</v>
      </c>
      <c r="V751" t="s">
        <v>2631</v>
      </c>
    </row>
    <row r="752">
      <c r="R752" t="s">
        <v>2631</v>
      </c>
      <c r="S752" t="s">
        <v>2631</v>
      </c>
      <c r="T752" t="s">
        <v>2631</v>
      </c>
      <c r="U752" t="s">
        <v>2631</v>
      </c>
      <c r="V752" t="s">
        <v>2631</v>
      </c>
    </row>
    <row r="753">
      <c r="R753" t="s">
        <v>2631</v>
      </c>
      <c r="S753" t="s">
        <v>2631</v>
      </c>
      <c r="T753" t="s">
        <v>2631</v>
      </c>
      <c r="U753" t="s">
        <v>2631</v>
      </c>
      <c r="V753" t="s">
        <v>2631</v>
      </c>
    </row>
    <row r="754">
      <c r="R754" t="s">
        <v>2631</v>
      </c>
      <c r="S754" t="s">
        <v>2631</v>
      </c>
      <c r="T754" t="s">
        <v>2631</v>
      </c>
      <c r="U754" t="s">
        <v>2631</v>
      </c>
      <c r="V754" t="s">
        <v>2631</v>
      </c>
    </row>
    <row r="755">
      <c r="R755" t="s">
        <v>2631</v>
      </c>
      <c r="S755" t="s">
        <v>2631</v>
      </c>
      <c r="T755" t="s">
        <v>2631</v>
      </c>
      <c r="U755" t="s">
        <v>2631</v>
      </c>
      <c r="V755" t="s">
        <v>2631</v>
      </c>
    </row>
    <row r="756">
      <c r="R756" t="s">
        <v>2631</v>
      </c>
      <c r="S756" t="s">
        <v>2631</v>
      </c>
      <c r="T756" t="s">
        <v>2631</v>
      </c>
      <c r="U756" t="s">
        <v>2631</v>
      </c>
      <c r="V756" t="s">
        <v>2631</v>
      </c>
    </row>
    <row r="757">
      <c r="R757" t="s">
        <v>2631</v>
      </c>
      <c r="S757" t="s">
        <v>2631</v>
      </c>
      <c r="T757" t="s">
        <v>2631</v>
      </c>
      <c r="U757" t="s">
        <v>2631</v>
      </c>
      <c r="V757" t="s">
        <v>2631</v>
      </c>
    </row>
    <row r="758">
      <c r="R758" t="s">
        <v>2631</v>
      </c>
      <c r="S758" t="s">
        <v>2631</v>
      </c>
      <c r="T758" t="s">
        <v>2631</v>
      </c>
      <c r="U758" t="s">
        <v>2631</v>
      </c>
      <c r="V758" t="s">
        <v>2631</v>
      </c>
    </row>
    <row r="759">
      <c r="R759" t="s">
        <v>2631</v>
      </c>
      <c r="S759" t="s">
        <v>2631</v>
      </c>
      <c r="T759" t="s">
        <v>2631</v>
      </c>
      <c r="U759" t="s">
        <v>2631</v>
      </c>
      <c r="V759" t="s">
        <v>2631</v>
      </c>
    </row>
    <row r="760">
      <c r="R760" t="s">
        <v>2631</v>
      </c>
      <c r="S760" t="s">
        <v>2631</v>
      </c>
      <c r="T760" t="s">
        <v>2631</v>
      </c>
      <c r="U760" t="s">
        <v>2631</v>
      </c>
      <c r="V760" t="s">
        <v>2631</v>
      </c>
    </row>
    <row r="761">
      <c r="R761" t="s">
        <v>2631</v>
      </c>
      <c r="S761" t="s">
        <v>2631</v>
      </c>
      <c r="T761" t="s">
        <v>2631</v>
      </c>
      <c r="U761" t="s">
        <v>2631</v>
      </c>
      <c r="V761" t="s">
        <v>2631</v>
      </c>
    </row>
    <row r="762">
      <c r="R762" t="s">
        <v>2631</v>
      </c>
      <c r="S762" t="s">
        <v>2631</v>
      </c>
      <c r="T762" t="s">
        <v>2631</v>
      </c>
      <c r="U762" t="s">
        <v>2631</v>
      </c>
      <c r="V762" t="s">
        <v>2631</v>
      </c>
    </row>
    <row r="763">
      <c r="R763" t="s">
        <v>2631</v>
      </c>
      <c r="S763" t="s">
        <v>2631</v>
      </c>
      <c r="T763" t="s">
        <v>2631</v>
      </c>
      <c r="U763" t="s">
        <v>2631</v>
      </c>
      <c r="V763" t="s">
        <v>2631</v>
      </c>
    </row>
    <row r="764">
      <c r="R764" t="s">
        <v>2631</v>
      </c>
      <c r="S764" t="s">
        <v>2631</v>
      </c>
      <c r="T764" t="s">
        <v>2631</v>
      </c>
      <c r="U764" t="s">
        <v>2631</v>
      </c>
      <c r="V764" t="s">
        <v>2631</v>
      </c>
    </row>
    <row r="765">
      <c r="R765" t="s">
        <v>2631</v>
      </c>
      <c r="S765" t="s">
        <v>2631</v>
      </c>
      <c r="T765" t="s">
        <v>2631</v>
      </c>
      <c r="U765" t="s">
        <v>2631</v>
      </c>
      <c r="V765" t="s">
        <v>2631</v>
      </c>
    </row>
    <row r="766">
      <c r="R766" t="s">
        <v>2631</v>
      </c>
      <c r="S766" t="s">
        <v>2631</v>
      </c>
      <c r="T766" t="s">
        <v>2631</v>
      </c>
      <c r="U766" t="s">
        <v>2631</v>
      </c>
      <c r="V766" t="s">
        <v>2631</v>
      </c>
    </row>
    <row r="767">
      <c r="R767" t="s">
        <v>2631</v>
      </c>
      <c r="S767" t="s">
        <v>2631</v>
      </c>
      <c r="T767" t="s">
        <v>2631</v>
      </c>
      <c r="U767" t="s">
        <v>2631</v>
      </c>
      <c r="V767" t="s">
        <v>2631</v>
      </c>
    </row>
    <row r="768">
      <c r="R768" t="s">
        <v>2631</v>
      </c>
      <c r="S768" t="s">
        <v>2631</v>
      </c>
      <c r="T768" t="s">
        <v>2631</v>
      </c>
      <c r="U768" t="s">
        <v>2631</v>
      </c>
      <c r="V768" t="s">
        <v>2631</v>
      </c>
    </row>
    <row r="769">
      <c r="R769" t="s">
        <v>2631</v>
      </c>
      <c r="S769" t="s">
        <v>2631</v>
      </c>
      <c r="T769" t="s">
        <v>2631</v>
      </c>
      <c r="U769" t="s">
        <v>2631</v>
      </c>
      <c r="V769" t="s">
        <v>2631</v>
      </c>
    </row>
    <row r="770">
      <c r="R770" t="s">
        <v>2631</v>
      </c>
      <c r="S770" t="s">
        <v>2631</v>
      </c>
      <c r="T770" t="s">
        <v>2631</v>
      </c>
      <c r="U770" t="s">
        <v>2631</v>
      </c>
      <c r="V770" t="s">
        <v>2631</v>
      </c>
    </row>
    <row r="771">
      <c r="R771" t="s">
        <v>2631</v>
      </c>
      <c r="S771" t="s">
        <v>2631</v>
      </c>
      <c r="T771" t="s">
        <v>2631</v>
      </c>
      <c r="U771" t="s">
        <v>2631</v>
      </c>
      <c r="V771" t="s">
        <v>2631</v>
      </c>
    </row>
    <row r="772">
      <c r="R772" t="s">
        <v>2631</v>
      </c>
      <c r="S772" t="s">
        <v>2631</v>
      </c>
      <c r="T772" t="s">
        <v>2631</v>
      </c>
      <c r="U772" t="s">
        <v>2631</v>
      </c>
      <c r="V772" t="s">
        <v>2631</v>
      </c>
    </row>
    <row r="773">
      <c r="R773" t="s">
        <v>2631</v>
      </c>
      <c r="S773" t="s">
        <v>2631</v>
      </c>
      <c r="T773" t="s">
        <v>2631</v>
      </c>
      <c r="U773" t="s">
        <v>2631</v>
      </c>
      <c r="V773" t="s">
        <v>2631</v>
      </c>
    </row>
    <row r="774">
      <c r="R774" t="s">
        <v>2631</v>
      </c>
      <c r="S774" t="s">
        <v>2631</v>
      </c>
      <c r="T774" t="s">
        <v>2631</v>
      </c>
      <c r="U774" t="s">
        <v>2631</v>
      </c>
      <c r="V774" t="s">
        <v>2631</v>
      </c>
    </row>
    <row r="775">
      <c r="R775" t="s">
        <v>2631</v>
      </c>
      <c r="S775" t="s">
        <v>2631</v>
      </c>
      <c r="T775" t="s">
        <v>2631</v>
      </c>
      <c r="U775" t="s">
        <v>2631</v>
      </c>
      <c r="V775" t="s">
        <v>2631</v>
      </c>
    </row>
    <row r="776">
      <c r="R776" t="s">
        <v>2631</v>
      </c>
      <c r="S776" t="s">
        <v>2631</v>
      </c>
      <c r="T776" t="s">
        <v>2631</v>
      </c>
      <c r="U776" t="s">
        <v>2631</v>
      </c>
      <c r="V776" t="s">
        <v>2631</v>
      </c>
    </row>
    <row r="777">
      <c r="R777" t="s">
        <v>2631</v>
      </c>
      <c r="S777" t="s">
        <v>2631</v>
      </c>
      <c r="T777" t="s">
        <v>2631</v>
      </c>
      <c r="U777" t="s">
        <v>2631</v>
      </c>
      <c r="V777" t="s">
        <v>2631</v>
      </c>
    </row>
    <row r="778">
      <c r="R778" t="s">
        <v>2631</v>
      </c>
      <c r="S778" t="s">
        <v>2631</v>
      </c>
      <c r="T778" t="s">
        <v>2631</v>
      </c>
      <c r="U778" t="s">
        <v>2631</v>
      </c>
      <c r="V778" t="s">
        <v>2631</v>
      </c>
    </row>
    <row r="779">
      <c r="R779" t="s">
        <v>2631</v>
      </c>
      <c r="S779" t="s">
        <v>2631</v>
      </c>
      <c r="T779" t="s">
        <v>2631</v>
      </c>
      <c r="U779" t="s">
        <v>2631</v>
      </c>
      <c r="V779" t="s">
        <v>2631</v>
      </c>
    </row>
    <row r="780">
      <c r="R780" t="s">
        <v>2631</v>
      </c>
      <c r="S780" t="s">
        <v>2631</v>
      </c>
      <c r="T780" t="s">
        <v>2631</v>
      </c>
      <c r="U780" t="s">
        <v>2631</v>
      </c>
      <c r="V780" t="s">
        <v>2631</v>
      </c>
    </row>
    <row r="781">
      <c r="R781" t="s">
        <v>2631</v>
      </c>
      <c r="S781" t="s">
        <v>2631</v>
      </c>
      <c r="T781" t="s">
        <v>2631</v>
      </c>
      <c r="U781" t="s">
        <v>2631</v>
      </c>
      <c r="V781" t="s">
        <v>2631</v>
      </c>
    </row>
    <row r="782">
      <c r="R782" t="s">
        <v>2631</v>
      </c>
      <c r="S782" t="s">
        <v>2631</v>
      </c>
      <c r="T782" t="s">
        <v>2631</v>
      </c>
      <c r="U782" t="s">
        <v>2631</v>
      </c>
      <c r="V782" t="s">
        <v>2631</v>
      </c>
    </row>
    <row r="783">
      <c r="R783" t="s">
        <v>2631</v>
      </c>
      <c r="S783" t="s">
        <v>2631</v>
      </c>
      <c r="T783" t="s">
        <v>2631</v>
      </c>
      <c r="U783" t="s">
        <v>2631</v>
      </c>
      <c r="V783" t="s">
        <v>2631</v>
      </c>
    </row>
    <row r="784">
      <c r="R784" t="s">
        <v>2631</v>
      </c>
      <c r="S784" t="s">
        <v>2631</v>
      </c>
      <c r="T784" t="s">
        <v>2631</v>
      </c>
      <c r="U784" t="s">
        <v>2631</v>
      </c>
      <c r="V784" t="s">
        <v>2631</v>
      </c>
    </row>
    <row r="785">
      <c r="R785" t="s">
        <v>2631</v>
      </c>
      <c r="S785" t="s">
        <v>2631</v>
      </c>
      <c r="T785" t="s">
        <v>2631</v>
      </c>
      <c r="U785" t="s">
        <v>2631</v>
      </c>
      <c r="V785" t="s">
        <v>2631</v>
      </c>
    </row>
    <row r="786">
      <c r="R786" t="s">
        <v>2631</v>
      </c>
      <c r="S786" t="s">
        <v>2631</v>
      </c>
      <c r="T786" t="s">
        <v>2631</v>
      </c>
      <c r="U786" t="s">
        <v>2631</v>
      </c>
      <c r="V786" t="s">
        <v>2631</v>
      </c>
    </row>
    <row r="787">
      <c r="R787" t="s">
        <v>2631</v>
      </c>
      <c r="S787" t="s">
        <v>2631</v>
      </c>
      <c r="T787" t="s">
        <v>2631</v>
      </c>
      <c r="U787" t="s">
        <v>2631</v>
      </c>
      <c r="V787" t="s">
        <v>2631</v>
      </c>
    </row>
    <row r="788">
      <c r="R788" t="s">
        <v>2631</v>
      </c>
      <c r="S788" t="s">
        <v>2631</v>
      </c>
      <c r="T788" t="s">
        <v>2631</v>
      </c>
      <c r="U788" t="s">
        <v>2631</v>
      </c>
      <c r="V788" t="s">
        <v>2631</v>
      </c>
    </row>
    <row r="789">
      <c r="R789" t="s">
        <v>2631</v>
      </c>
      <c r="S789" t="s">
        <v>2631</v>
      </c>
      <c r="T789" t="s">
        <v>2631</v>
      </c>
      <c r="U789" t="s">
        <v>2631</v>
      </c>
      <c r="V789" t="s">
        <v>2631</v>
      </c>
    </row>
    <row r="790">
      <c r="R790" t="s">
        <v>2631</v>
      </c>
      <c r="S790" t="s">
        <v>2631</v>
      </c>
      <c r="T790" t="s">
        <v>2631</v>
      </c>
      <c r="U790" t="s">
        <v>2631</v>
      </c>
      <c r="V790" t="s">
        <v>2631</v>
      </c>
    </row>
    <row r="791">
      <c r="R791" t="s">
        <v>2631</v>
      </c>
      <c r="S791" t="s">
        <v>2631</v>
      </c>
      <c r="T791" t="s">
        <v>2631</v>
      </c>
      <c r="U791" t="s">
        <v>2631</v>
      </c>
      <c r="V791" t="s">
        <v>2631</v>
      </c>
    </row>
    <row r="792">
      <c r="R792" t="s">
        <v>2631</v>
      </c>
      <c r="S792" t="s">
        <v>2631</v>
      </c>
      <c r="T792" t="s">
        <v>2631</v>
      </c>
      <c r="U792" t="s">
        <v>2631</v>
      </c>
      <c r="V792" t="s">
        <v>2631</v>
      </c>
    </row>
    <row r="793">
      <c r="R793" t="s">
        <v>2631</v>
      </c>
      <c r="S793" t="s">
        <v>2631</v>
      </c>
      <c r="T793" t="s">
        <v>2631</v>
      </c>
      <c r="U793" t="s">
        <v>2631</v>
      </c>
      <c r="V793" t="s">
        <v>2631</v>
      </c>
    </row>
    <row r="794">
      <c r="R794" t="s">
        <v>2631</v>
      </c>
      <c r="S794" t="s">
        <v>2631</v>
      </c>
      <c r="T794" t="s">
        <v>2631</v>
      </c>
      <c r="U794" t="s">
        <v>2631</v>
      </c>
      <c r="V794" t="s">
        <v>2631</v>
      </c>
    </row>
    <row r="795">
      <c r="R795" t="s">
        <v>2631</v>
      </c>
      <c r="S795" t="s">
        <v>2631</v>
      </c>
      <c r="T795" t="s">
        <v>2631</v>
      </c>
      <c r="U795" t="s">
        <v>2631</v>
      </c>
      <c r="V795" t="s">
        <v>2631</v>
      </c>
    </row>
    <row r="796">
      <c r="R796" t="s">
        <v>2631</v>
      </c>
      <c r="S796" t="s">
        <v>2631</v>
      </c>
      <c r="T796" t="s">
        <v>2631</v>
      </c>
      <c r="U796" t="s">
        <v>2631</v>
      </c>
      <c r="V796" t="s">
        <v>2631</v>
      </c>
    </row>
    <row r="797">
      <c r="R797" t="s">
        <v>2631</v>
      </c>
      <c r="S797" t="s">
        <v>2631</v>
      </c>
      <c r="T797" t="s">
        <v>2631</v>
      </c>
      <c r="U797" t="s">
        <v>2631</v>
      </c>
      <c r="V797" t="s">
        <v>2631</v>
      </c>
    </row>
    <row r="798">
      <c r="R798" t="s">
        <v>2631</v>
      </c>
      <c r="S798" t="s">
        <v>2631</v>
      </c>
      <c r="T798" t="s">
        <v>2631</v>
      </c>
      <c r="U798" t="s">
        <v>2631</v>
      </c>
      <c r="V798" t="s">
        <v>2631</v>
      </c>
    </row>
    <row r="799">
      <c r="R799" t="s">
        <v>2631</v>
      </c>
      <c r="S799" t="s">
        <v>2631</v>
      </c>
      <c r="T799" t="s">
        <v>2631</v>
      </c>
      <c r="U799" t="s">
        <v>2631</v>
      </c>
      <c r="V799" t="s">
        <v>2631</v>
      </c>
    </row>
    <row r="800">
      <c r="R800" t="s">
        <v>2631</v>
      </c>
      <c r="S800" t="s">
        <v>2631</v>
      </c>
      <c r="T800" t="s">
        <v>2631</v>
      </c>
      <c r="U800" t="s">
        <v>2631</v>
      </c>
      <c r="V800" t="s">
        <v>2631</v>
      </c>
    </row>
    <row r="801">
      <c r="R801" t="s">
        <v>2631</v>
      </c>
      <c r="S801" t="s">
        <v>2631</v>
      </c>
      <c r="T801" t="s">
        <v>2631</v>
      </c>
      <c r="U801" t="s">
        <v>2631</v>
      </c>
      <c r="V801" t="s">
        <v>2631</v>
      </c>
    </row>
    <row r="802">
      <c r="R802" t="s">
        <v>2631</v>
      </c>
      <c r="S802" t="s">
        <v>2631</v>
      </c>
      <c r="T802" t="s">
        <v>2631</v>
      </c>
      <c r="U802" t="s">
        <v>2631</v>
      </c>
      <c r="V802" t="s">
        <v>2631</v>
      </c>
    </row>
    <row r="803">
      <c r="R803" t="s">
        <v>2631</v>
      </c>
      <c r="S803" t="s">
        <v>2631</v>
      </c>
      <c r="T803" t="s">
        <v>2631</v>
      </c>
      <c r="U803" t="s">
        <v>2631</v>
      </c>
      <c r="V803" t="s">
        <v>2631</v>
      </c>
    </row>
    <row r="804">
      <c r="R804" t="s">
        <v>2631</v>
      </c>
      <c r="S804" t="s">
        <v>2631</v>
      </c>
      <c r="T804" t="s">
        <v>2631</v>
      </c>
      <c r="U804" t="s">
        <v>2631</v>
      </c>
      <c r="V804" t="s">
        <v>2631</v>
      </c>
    </row>
    <row r="805">
      <c r="R805" t="s">
        <v>2631</v>
      </c>
      <c r="S805" t="s">
        <v>2631</v>
      </c>
      <c r="T805" t="s">
        <v>2631</v>
      </c>
      <c r="U805" t="s">
        <v>2631</v>
      </c>
      <c r="V805" t="s">
        <v>2631</v>
      </c>
    </row>
    <row r="806">
      <c r="R806" t="s">
        <v>2631</v>
      </c>
      <c r="S806" t="s">
        <v>2631</v>
      </c>
      <c r="T806" t="s">
        <v>2631</v>
      </c>
      <c r="U806" t="s">
        <v>2631</v>
      </c>
      <c r="V806" t="s">
        <v>2631</v>
      </c>
    </row>
    <row r="807">
      <c r="R807" t="s">
        <v>2631</v>
      </c>
      <c r="S807" t="s">
        <v>2631</v>
      </c>
      <c r="T807" t="s">
        <v>2631</v>
      </c>
      <c r="U807" t="s">
        <v>2631</v>
      </c>
      <c r="V807" t="s">
        <v>2631</v>
      </c>
    </row>
    <row r="808">
      <c r="R808" t="s">
        <v>2631</v>
      </c>
      <c r="S808" t="s">
        <v>2631</v>
      </c>
      <c r="T808" t="s">
        <v>2631</v>
      </c>
      <c r="U808" t="s">
        <v>2631</v>
      </c>
      <c r="V808" t="s">
        <v>2631</v>
      </c>
    </row>
    <row r="809">
      <c r="R809" t="s">
        <v>2631</v>
      </c>
      <c r="S809" t="s">
        <v>2631</v>
      </c>
      <c r="T809" t="s">
        <v>2631</v>
      </c>
      <c r="U809" t="s">
        <v>2631</v>
      </c>
      <c r="V809" t="s">
        <v>2631</v>
      </c>
    </row>
    <row r="810">
      <c r="R810" t="s">
        <v>2631</v>
      </c>
      <c r="S810" t="s">
        <v>2631</v>
      </c>
      <c r="T810" t="s">
        <v>2631</v>
      </c>
      <c r="U810" t="s">
        <v>2631</v>
      </c>
      <c r="V810" t="s">
        <v>2631</v>
      </c>
    </row>
    <row r="811">
      <c r="R811" t="s">
        <v>2631</v>
      </c>
      <c r="S811" t="s">
        <v>2631</v>
      </c>
      <c r="T811" t="s">
        <v>2631</v>
      </c>
      <c r="U811" t="s">
        <v>2631</v>
      </c>
      <c r="V811" t="s">
        <v>2631</v>
      </c>
    </row>
    <row r="812">
      <c r="R812" t="s">
        <v>2631</v>
      </c>
      <c r="S812" t="s">
        <v>2631</v>
      </c>
      <c r="T812" t="s">
        <v>2631</v>
      </c>
      <c r="U812" t="s">
        <v>2631</v>
      </c>
      <c r="V812" t="s">
        <v>2631</v>
      </c>
    </row>
    <row r="813">
      <c r="R813" t="s">
        <v>2631</v>
      </c>
      <c r="S813" t="s">
        <v>2631</v>
      </c>
      <c r="T813" t="s">
        <v>2631</v>
      </c>
      <c r="U813" t="s">
        <v>2631</v>
      </c>
      <c r="V813" t="s">
        <v>2631</v>
      </c>
    </row>
    <row r="814">
      <c r="R814" t="s">
        <v>2631</v>
      </c>
      <c r="S814" t="s">
        <v>2631</v>
      </c>
      <c r="T814" t="s">
        <v>2631</v>
      </c>
      <c r="U814" t="s">
        <v>2631</v>
      </c>
      <c r="V814" t="s">
        <v>2631</v>
      </c>
    </row>
    <row r="815">
      <c r="R815" t="s">
        <v>2631</v>
      </c>
      <c r="S815" t="s">
        <v>2631</v>
      </c>
      <c r="T815" t="s">
        <v>2631</v>
      </c>
      <c r="U815" t="s">
        <v>2631</v>
      </c>
      <c r="V815" t="s">
        <v>2631</v>
      </c>
    </row>
    <row r="816">
      <c r="R816" t="s">
        <v>2631</v>
      </c>
      <c r="S816" t="s">
        <v>2631</v>
      </c>
      <c r="T816" t="s">
        <v>2631</v>
      </c>
      <c r="U816" t="s">
        <v>2631</v>
      </c>
      <c r="V816" t="s">
        <v>2631</v>
      </c>
    </row>
    <row r="817">
      <c r="R817" t="s">
        <v>2631</v>
      </c>
      <c r="S817" t="s">
        <v>2631</v>
      </c>
      <c r="T817" t="s">
        <v>2631</v>
      </c>
      <c r="U817" t="s">
        <v>2631</v>
      </c>
      <c r="V817" t="s">
        <v>2631</v>
      </c>
    </row>
    <row r="818">
      <c r="R818" t="s">
        <v>2631</v>
      </c>
      <c r="S818" t="s">
        <v>2631</v>
      </c>
      <c r="T818" t="s">
        <v>2631</v>
      </c>
      <c r="U818" t="s">
        <v>2631</v>
      </c>
      <c r="V818" t="s">
        <v>2631</v>
      </c>
    </row>
    <row r="819">
      <c r="R819" t="s">
        <v>2631</v>
      </c>
      <c r="S819" t="s">
        <v>2631</v>
      </c>
      <c r="T819" t="s">
        <v>2631</v>
      </c>
      <c r="U819" t="s">
        <v>2631</v>
      </c>
      <c r="V819" t="s">
        <v>2631</v>
      </c>
    </row>
    <row r="820">
      <c r="R820" t="s">
        <v>2631</v>
      </c>
      <c r="S820" t="s">
        <v>2631</v>
      </c>
      <c r="T820" t="s">
        <v>2631</v>
      </c>
      <c r="U820" t="s">
        <v>2631</v>
      </c>
      <c r="V820" t="s">
        <v>2631</v>
      </c>
    </row>
    <row r="821">
      <c r="R821" t="s">
        <v>2631</v>
      </c>
      <c r="S821" t="s">
        <v>2631</v>
      </c>
      <c r="T821" t="s">
        <v>2631</v>
      </c>
      <c r="U821" t="s">
        <v>2631</v>
      </c>
      <c r="V821" t="s">
        <v>2631</v>
      </c>
    </row>
    <row r="822">
      <c r="R822" t="s">
        <v>2631</v>
      </c>
      <c r="S822" t="s">
        <v>2631</v>
      </c>
      <c r="T822" t="s">
        <v>2631</v>
      </c>
      <c r="U822" t="s">
        <v>2631</v>
      </c>
      <c r="V822" t="s">
        <v>2631</v>
      </c>
    </row>
    <row r="823">
      <c r="R823" t="s">
        <v>2631</v>
      </c>
      <c r="S823" t="s">
        <v>2631</v>
      </c>
      <c r="T823" t="s">
        <v>2631</v>
      </c>
      <c r="U823" t="s">
        <v>2631</v>
      </c>
      <c r="V823" t="s">
        <v>2631</v>
      </c>
    </row>
    <row r="824">
      <c r="R824" t="s">
        <v>2631</v>
      </c>
      <c r="S824" t="s">
        <v>2631</v>
      </c>
      <c r="T824" t="s">
        <v>2631</v>
      </c>
      <c r="U824" t="s">
        <v>2631</v>
      </c>
      <c r="V824" t="s">
        <v>2631</v>
      </c>
    </row>
    <row r="825">
      <c r="R825" t="s">
        <v>2631</v>
      </c>
      <c r="S825" t="s">
        <v>2631</v>
      </c>
      <c r="T825" t="s">
        <v>2631</v>
      </c>
      <c r="U825" t="s">
        <v>2631</v>
      </c>
      <c r="V825" t="s">
        <v>2631</v>
      </c>
    </row>
    <row r="826">
      <c r="R826" t="s">
        <v>2631</v>
      </c>
      <c r="S826" t="s">
        <v>2631</v>
      </c>
      <c r="T826" t="s">
        <v>2631</v>
      </c>
      <c r="U826" t="s">
        <v>2631</v>
      </c>
      <c r="V826" t="s">
        <v>2631</v>
      </c>
    </row>
    <row r="827">
      <c r="R827" t="s">
        <v>2631</v>
      </c>
      <c r="S827" t="s">
        <v>2631</v>
      </c>
      <c r="T827" t="s">
        <v>2631</v>
      </c>
      <c r="U827" t="s">
        <v>2631</v>
      </c>
      <c r="V827" t="s">
        <v>2631</v>
      </c>
    </row>
    <row r="828">
      <c r="R828" t="s">
        <v>2631</v>
      </c>
      <c r="S828" t="s">
        <v>2631</v>
      </c>
      <c r="T828" t="s">
        <v>2631</v>
      </c>
      <c r="U828" t="s">
        <v>2631</v>
      </c>
      <c r="V828" t="s">
        <v>2631</v>
      </c>
    </row>
    <row r="829">
      <c r="R829" t="s">
        <v>2631</v>
      </c>
      <c r="S829" t="s">
        <v>2631</v>
      </c>
      <c r="T829" t="s">
        <v>2631</v>
      </c>
      <c r="U829" t="s">
        <v>2631</v>
      </c>
      <c r="V829" t="s">
        <v>2631</v>
      </c>
    </row>
    <row r="830">
      <c r="R830" t="s">
        <v>2631</v>
      </c>
      <c r="S830" t="s">
        <v>2631</v>
      </c>
      <c r="T830" t="s">
        <v>2631</v>
      </c>
      <c r="U830" t="s">
        <v>2631</v>
      </c>
      <c r="V830" t="s">
        <v>2631</v>
      </c>
    </row>
    <row r="831">
      <c r="R831" t="s">
        <v>2631</v>
      </c>
      <c r="S831" t="s">
        <v>2631</v>
      </c>
      <c r="T831" t="s">
        <v>2631</v>
      </c>
      <c r="U831" t="s">
        <v>2631</v>
      </c>
      <c r="V831" t="s">
        <v>2631</v>
      </c>
    </row>
    <row r="832">
      <c r="R832" t="s">
        <v>2631</v>
      </c>
      <c r="S832" t="s">
        <v>2631</v>
      </c>
      <c r="T832" t="s">
        <v>2631</v>
      </c>
      <c r="U832" t="s">
        <v>2631</v>
      </c>
      <c r="V832" t="s">
        <v>2631</v>
      </c>
    </row>
    <row r="833">
      <c r="R833" t="s">
        <v>2631</v>
      </c>
      <c r="S833" t="s">
        <v>2631</v>
      </c>
      <c r="T833" t="s">
        <v>2631</v>
      </c>
      <c r="U833" t="s">
        <v>2631</v>
      </c>
      <c r="V833" t="s">
        <v>2631</v>
      </c>
    </row>
    <row r="834">
      <c r="R834" t="s">
        <v>2631</v>
      </c>
      <c r="S834" t="s">
        <v>2631</v>
      </c>
      <c r="T834" t="s">
        <v>2631</v>
      </c>
      <c r="U834" t="s">
        <v>2631</v>
      </c>
      <c r="V834" t="s">
        <v>2631</v>
      </c>
    </row>
    <row r="835">
      <c r="R835" t="s">
        <v>2631</v>
      </c>
      <c r="S835" t="s">
        <v>2631</v>
      </c>
      <c r="T835" t="s">
        <v>2631</v>
      </c>
      <c r="U835" t="s">
        <v>2631</v>
      </c>
      <c r="V835" t="s">
        <v>2631</v>
      </c>
    </row>
    <row r="836">
      <c r="R836" t="s">
        <v>2631</v>
      </c>
      <c r="S836" t="s">
        <v>2631</v>
      </c>
      <c r="T836" t="s">
        <v>2631</v>
      </c>
      <c r="U836" t="s">
        <v>2631</v>
      </c>
      <c r="V836" t="s">
        <v>2631</v>
      </c>
    </row>
    <row r="837">
      <c r="R837" t="s">
        <v>2631</v>
      </c>
      <c r="S837" t="s">
        <v>2631</v>
      </c>
      <c r="T837" t="s">
        <v>2631</v>
      </c>
      <c r="U837" t="s">
        <v>2631</v>
      </c>
      <c r="V837" t="s">
        <v>2631</v>
      </c>
    </row>
    <row r="838">
      <c r="R838" t="s">
        <v>2631</v>
      </c>
      <c r="S838" t="s">
        <v>2631</v>
      </c>
      <c r="T838" t="s">
        <v>2631</v>
      </c>
      <c r="U838" t="s">
        <v>2631</v>
      </c>
      <c r="V838" t="s">
        <v>2631</v>
      </c>
    </row>
    <row r="839">
      <c r="R839" t="s">
        <v>2631</v>
      </c>
      <c r="S839" t="s">
        <v>2631</v>
      </c>
      <c r="T839" t="s">
        <v>2631</v>
      </c>
      <c r="U839" t="s">
        <v>2631</v>
      </c>
      <c r="V839" t="s">
        <v>2631</v>
      </c>
    </row>
    <row r="840">
      <c r="R840" t="s">
        <v>2631</v>
      </c>
      <c r="S840" t="s">
        <v>2631</v>
      </c>
      <c r="T840" t="s">
        <v>2631</v>
      </c>
      <c r="U840" t="s">
        <v>2631</v>
      </c>
      <c r="V840" t="s">
        <v>2631</v>
      </c>
    </row>
    <row r="841">
      <c r="R841" t="s">
        <v>2631</v>
      </c>
      <c r="S841" t="s">
        <v>2631</v>
      </c>
      <c r="T841" t="s">
        <v>2631</v>
      </c>
      <c r="U841" t="s">
        <v>2631</v>
      </c>
      <c r="V841" t="s">
        <v>2631</v>
      </c>
    </row>
    <row r="842">
      <c r="R842" t="s">
        <v>2631</v>
      </c>
      <c r="S842" t="s">
        <v>2631</v>
      </c>
      <c r="T842" t="s">
        <v>2631</v>
      </c>
      <c r="U842" t="s">
        <v>2631</v>
      </c>
      <c r="V842" t="s">
        <v>2631</v>
      </c>
    </row>
    <row r="843">
      <c r="R843" t="s">
        <v>2631</v>
      </c>
      <c r="S843" t="s">
        <v>2631</v>
      </c>
      <c r="T843" t="s">
        <v>2631</v>
      </c>
      <c r="U843" t="s">
        <v>2631</v>
      </c>
      <c r="V843" t="s">
        <v>2631</v>
      </c>
    </row>
    <row r="844">
      <c r="R844" t="s">
        <v>2631</v>
      </c>
      <c r="S844" t="s">
        <v>2631</v>
      </c>
      <c r="T844" t="s">
        <v>2631</v>
      </c>
      <c r="U844" t="s">
        <v>2631</v>
      </c>
      <c r="V844" t="s">
        <v>2631</v>
      </c>
    </row>
    <row r="845">
      <c r="R845" t="s">
        <v>2631</v>
      </c>
      <c r="S845" t="s">
        <v>2631</v>
      </c>
      <c r="T845" t="s">
        <v>2631</v>
      </c>
      <c r="U845" t="s">
        <v>2631</v>
      </c>
      <c r="V845" t="s">
        <v>2631</v>
      </c>
    </row>
    <row r="846">
      <c r="R846" t="s">
        <v>2631</v>
      </c>
      <c r="S846" t="s">
        <v>2631</v>
      </c>
      <c r="T846" t="s">
        <v>2631</v>
      </c>
      <c r="U846" t="s">
        <v>2631</v>
      </c>
      <c r="V846" t="s">
        <v>2631</v>
      </c>
    </row>
    <row r="847">
      <c r="R847" t="s">
        <v>2631</v>
      </c>
      <c r="S847" t="s">
        <v>2631</v>
      </c>
      <c r="T847" t="s">
        <v>2631</v>
      </c>
      <c r="U847" t="s">
        <v>2631</v>
      </c>
      <c r="V847" t="s">
        <v>2631</v>
      </c>
    </row>
    <row r="848">
      <c r="R848" t="s">
        <v>2631</v>
      </c>
      <c r="S848" t="s">
        <v>2631</v>
      </c>
      <c r="T848" t="s">
        <v>2631</v>
      </c>
      <c r="U848" t="s">
        <v>2631</v>
      </c>
      <c r="V848" t="s">
        <v>2631</v>
      </c>
    </row>
    <row r="849">
      <c r="R849" t="s">
        <v>2631</v>
      </c>
      <c r="S849" t="s">
        <v>2631</v>
      </c>
      <c r="T849" t="s">
        <v>2631</v>
      </c>
      <c r="U849" t="s">
        <v>2631</v>
      </c>
      <c r="V849" t="s">
        <v>2631</v>
      </c>
    </row>
    <row r="850">
      <c r="R850" t="s">
        <v>2631</v>
      </c>
      <c r="S850" t="s">
        <v>2631</v>
      </c>
      <c r="T850" t="s">
        <v>2631</v>
      </c>
      <c r="U850" t="s">
        <v>2631</v>
      </c>
      <c r="V850" t="s">
        <v>2631</v>
      </c>
    </row>
    <row r="851">
      <c r="R851" t="s">
        <v>2631</v>
      </c>
      <c r="S851" t="s">
        <v>2631</v>
      </c>
      <c r="T851" t="s">
        <v>2631</v>
      </c>
      <c r="U851" t="s">
        <v>2631</v>
      </c>
      <c r="V851" t="s">
        <v>2631</v>
      </c>
    </row>
    <row r="852">
      <c r="R852" t="s">
        <v>2631</v>
      </c>
      <c r="S852" t="s">
        <v>2631</v>
      </c>
      <c r="T852" t="s">
        <v>2631</v>
      </c>
      <c r="U852" t="s">
        <v>2631</v>
      </c>
      <c r="V852" t="s">
        <v>2631</v>
      </c>
    </row>
    <row r="853">
      <c r="R853" t="s">
        <v>2631</v>
      </c>
      <c r="S853" t="s">
        <v>2631</v>
      </c>
      <c r="T853" t="s">
        <v>2631</v>
      </c>
      <c r="U853" t="s">
        <v>2631</v>
      </c>
      <c r="V853" t="s">
        <v>2631</v>
      </c>
    </row>
    <row r="854">
      <c r="R854" t="s">
        <v>2631</v>
      </c>
      <c r="S854" t="s">
        <v>2631</v>
      </c>
      <c r="T854" t="s">
        <v>2631</v>
      </c>
      <c r="U854" t="s">
        <v>2631</v>
      </c>
      <c r="V854" t="s">
        <v>2631</v>
      </c>
    </row>
    <row r="855">
      <c r="R855" t="s">
        <v>2631</v>
      </c>
      <c r="S855" t="s">
        <v>2631</v>
      </c>
      <c r="T855" t="s">
        <v>2631</v>
      </c>
      <c r="U855" t="s">
        <v>2631</v>
      </c>
      <c r="V855" t="s">
        <v>2631</v>
      </c>
    </row>
    <row r="856">
      <c r="R856" t="s">
        <v>2631</v>
      </c>
      <c r="S856" t="s">
        <v>2631</v>
      </c>
      <c r="T856" t="s">
        <v>2631</v>
      </c>
      <c r="U856" t="s">
        <v>2631</v>
      </c>
      <c r="V856" t="s">
        <v>2631</v>
      </c>
    </row>
    <row r="857">
      <c r="R857" t="s">
        <v>2631</v>
      </c>
      <c r="S857" t="s">
        <v>2631</v>
      </c>
      <c r="T857" t="s">
        <v>2631</v>
      </c>
      <c r="U857" t="s">
        <v>2631</v>
      </c>
      <c r="V857" t="s">
        <v>2631</v>
      </c>
    </row>
    <row r="858">
      <c r="R858" t="s">
        <v>2631</v>
      </c>
      <c r="S858" t="s">
        <v>2631</v>
      </c>
      <c r="T858" t="s">
        <v>2631</v>
      </c>
      <c r="U858" t="s">
        <v>2631</v>
      </c>
      <c r="V858" t="s">
        <v>2631</v>
      </c>
    </row>
    <row r="859">
      <c r="R859" t="s">
        <v>2631</v>
      </c>
      <c r="S859" t="s">
        <v>2631</v>
      </c>
      <c r="T859" t="s">
        <v>2631</v>
      </c>
      <c r="U859" t="s">
        <v>2631</v>
      </c>
      <c r="V859" t="s">
        <v>2631</v>
      </c>
    </row>
    <row r="860">
      <c r="R860" t="s">
        <v>2631</v>
      </c>
      <c r="S860" t="s">
        <v>2631</v>
      </c>
      <c r="T860" t="s">
        <v>2631</v>
      </c>
      <c r="U860" t="s">
        <v>2631</v>
      </c>
      <c r="V860" t="s">
        <v>2631</v>
      </c>
    </row>
    <row r="861">
      <c r="R861" t="s">
        <v>2631</v>
      </c>
      <c r="S861" t="s">
        <v>2631</v>
      </c>
      <c r="T861" t="s">
        <v>2631</v>
      </c>
      <c r="U861" t="s">
        <v>2631</v>
      </c>
      <c r="V861" t="s">
        <v>2631</v>
      </c>
    </row>
    <row r="862">
      <c r="R862" t="s">
        <v>2631</v>
      </c>
      <c r="S862" t="s">
        <v>2631</v>
      </c>
      <c r="T862" t="s">
        <v>2631</v>
      </c>
      <c r="U862" t="s">
        <v>2631</v>
      </c>
      <c r="V862" t="s">
        <v>2631</v>
      </c>
    </row>
    <row r="863">
      <c r="R863" t="s">
        <v>2631</v>
      </c>
      <c r="S863" t="s">
        <v>2631</v>
      </c>
      <c r="T863" t="s">
        <v>2631</v>
      </c>
      <c r="U863" t="s">
        <v>2631</v>
      </c>
      <c r="V863" t="s">
        <v>2631</v>
      </c>
    </row>
    <row r="864">
      <c r="R864" t="s">
        <v>2631</v>
      </c>
      <c r="S864" t="s">
        <v>2631</v>
      </c>
      <c r="T864" t="s">
        <v>2631</v>
      </c>
      <c r="U864" t="s">
        <v>2631</v>
      </c>
      <c r="V864" t="s">
        <v>2631</v>
      </c>
    </row>
    <row r="865">
      <c r="R865" t="s">
        <v>2631</v>
      </c>
      <c r="S865" t="s">
        <v>2631</v>
      </c>
      <c r="T865" t="s">
        <v>2631</v>
      </c>
      <c r="U865" t="s">
        <v>2631</v>
      </c>
      <c r="V865" t="s">
        <v>2631</v>
      </c>
    </row>
    <row r="866">
      <c r="R866" t="s">
        <v>2631</v>
      </c>
      <c r="S866" t="s">
        <v>2631</v>
      </c>
      <c r="T866" t="s">
        <v>2631</v>
      </c>
      <c r="U866" t="s">
        <v>2631</v>
      </c>
      <c r="V866" t="s">
        <v>2631</v>
      </c>
    </row>
    <row r="867">
      <c r="R867" t="s">
        <v>2631</v>
      </c>
      <c r="S867" t="s">
        <v>2631</v>
      </c>
      <c r="T867" t="s">
        <v>2631</v>
      </c>
      <c r="U867" t="s">
        <v>2631</v>
      </c>
      <c r="V867" t="s">
        <v>2631</v>
      </c>
    </row>
    <row r="868">
      <c r="R868" t="s">
        <v>2631</v>
      </c>
      <c r="S868" t="s">
        <v>2631</v>
      </c>
      <c r="T868" t="s">
        <v>2631</v>
      </c>
      <c r="U868" t="s">
        <v>2631</v>
      </c>
      <c r="V868" t="s">
        <v>2631</v>
      </c>
    </row>
    <row r="869">
      <c r="R869" t="s">
        <v>2631</v>
      </c>
      <c r="S869" t="s">
        <v>2631</v>
      </c>
      <c r="T869" t="s">
        <v>2631</v>
      </c>
      <c r="U869" t="s">
        <v>2631</v>
      </c>
      <c r="V869" t="s">
        <v>2631</v>
      </c>
    </row>
    <row r="870">
      <c r="R870" t="s">
        <v>2631</v>
      </c>
      <c r="S870" t="s">
        <v>2631</v>
      </c>
      <c r="T870" t="s">
        <v>2631</v>
      </c>
      <c r="U870" t="s">
        <v>2631</v>
      </c>
      <c r="V870" t="s">
        <v>2631</v>
      </c>
    </row>
    <row r="871">
      <c r="R871" t="s">
        <v>2631</v>
      </c>
      <c r="S871" t="s">
        <v>2631</v>
      </c>
      <c r="T871" t="s">
        <v>2631</v>
      </c>
      <c r="U871" t="s">
        <v>2631</v>
      </c>
      <c r="V871" t="s">
        <v>2631</v>
      </c>
    </row>
    <row r="872">
      <c r="R872" t="s">
        <v>2631</v>
      </c>
      <c r="S872" t="s">
        <v>2631</v>
      </c>
      <c r="T872" t="s">
        <v>2631</v>
      </c>
      <c r="U872" t="s">
        <v>2631</v>
      </c>
      <c r="V872" t="s">
        <v>2631</v>
      </c>
    </row>
    <row r="873">
      <c r="R873" t="s">
        <v>2631</v>
      </c>
      <c r="S873" t="s">
        <v>2631</v>
      </c>
      <c r="T873" t="s">
        <v>2631</v>
      </c>
      <c r="U873" t="s">
        <v>2631</v>
      </c>
      <c r="V873" t="s">
        <v>2631</v>
      </c>
    </row>
    <row r="874">
      <c r="R874" t="s">
        <v>2631</v>
      </c>
      <c r="S874" t="s">
        <v>2631</v>
      </c>
      <c r="T874" t="s">
        <v>2631</v>
      </c>
      <c r="U874" t="s">
        <v>2631</v>
      </c>
      <c r="V874" t="s">
        <v>2631</v>
      </c>
    </row>
    <row r="875">
      <c r="R875" t="s">
        <v>2631</v>
      </c>
      <c r="S875" t="s">
        <v>2631</v>
      </c>
      <c r="T875" t="s">
        <v>2631</v>
      </c>
      <c r="U875" t="s">
        <v>2631</v>
      </c>
      <c r="V875" t="s">
        <v>2631</v>
      </c>
    </row>
    <row r="876">
      <c r="R876" t="s">
        <v>2631</v>
      </c>
      <c r="S876" t="s">
        <v>2631</v>
      </c>
      <c r="T876" t="s">
        <v>2631</v>
      </c>
      <c r="U876" t="s">
        <v>2631</v>
      </c>
      <c r="V876" t="s">
        <v>2631</v>
      </c>
    </row>
    <row r="877">
      <c r="R877" t="s">
        <v>2631</v>
      </c>
      <c r="S877" t="s">
        <v>2631</v>
      </c>
      <c r="T877" t="s">
        <v>2631</v>
      </c>
      <c r="U877" t="s">
        <v>2631</v>
      </c>
      <c r="V877" t="s">
        <v>2631</v>
      </c>
    </row>
    <row r="878">
      <c r="R878" t="s">
        <v>2631</v>
      </c>
      <c r="S878" t="s">
        <v>2631</v>
      </c>
      <c r="T878" t="s">
        <v>2631</v>
      </c>
      <c r="U878" t="s">
        <v>2631</v>
      </c>
      <c r="V878" t="s">
        <v>2631</v>
      </c>
    </row>
    <row r="879">
      <c r="R879" t="s">
        <v>2631</v>
      </c>
      <c r="S879" t="s">
        <v>2631</v>
      </c>
      <c r="T879" t="s">
        <v>2631</v>
      </c>
      <c r="U879" t="s">
        <v>2631</v>
      </c>
      <c r="V879" t="s">
        <v>2631</v>
      </c>
    </row>
    <row r="880">
      <c r="R880" t="s">
        <v>2631</v>
      </c>
      <c r="S880" t="s">
        <v>2631</v>
      </c>
      <c r="T880" t="s">
        <v>2631</v>
      </c>
      <c r="U880" t="s">
        <v>2631</v>
      </c>
      <c r="V880" t="s">
        <v>2631</v>
      </c>
    </row>
    <row r="881">
      <c r="R881" t="s">
        <v>2631</v>
      </c>
      <c r="S881" t="s">
        <v>2631</v>
      </c>
      <c r="T881" t="s">
        <v>2631</v>
      </c>
      <c r="U881" t="s">
        <v>2631</v>
      </c>
      <c r="V881" t="s">
        <v>2631</v>
      </c>
    </row>
    <row r="882">
      <c r="R882" t="s">
        <v>2631</v>
      </c>
      <c r="S882" t="s">
        <v>2631</v>
      </c>
      <c r="T882" t="s">
        <v>2631</v>
      </c>
      <c r="U882" t="s">
        <v>2631</v>
      </c>
      <c r="V882" t="s">
        <v>2631</v>
      </c>
    </row>
    <row r="883">
      <c r="R883" t="s">
        <v>2631</v>
      </c>
      <c r="S883" t="s">
        <v>2631</v>
      </c>
      <c r="T883" t="s">
        <v>2631</v>
      </c>
      <c r="U883" t="s">
        <v>2631</v>
      </c>
      <c r="V883" t="s">
        <v>2631</v>
      </c>
    </row>
    <row r="884">
      <c r="R884" t="s">
        <v>2631</v>
      </c>
      <c r="S884" t="s">
        <v>2631</v>
      </c>
      <c r="T884" t="s">
        <v>2631</v>
      </c>
      <c r="U884" t="s">
        <v>2631</v>
      </c>
      <c r="V884" t="s">
        <v>2631</v>
      </c>
    </row>
    <row r="885">
      <c r="R885" t="s">
        <v>2631</v>
      </c>
      <c r="S885" t="s">
        <v>2631</v>
      </c>
      <c r="T885" t="s">
        <v>2631</v>
      </c>
      <c r="U885" t="s">
        <v>2631</v>
      </c>
      <c r="V885" t="s">
        <v>2631</v>
      </c>
    </row>
    <row r="886">
      <c r="R886" t="s">
        <v>2631</v>
      </c>
      <c r="S886" t="s">
        <v>2631</v>
      </c>
      <c r="T886" t="s">
        <v>2631</v>
      </c>
      <c r="U886" t="s">
        <v>2631</v>
      </c>
      <c r="V886" t="s">
        <v>2631</v>
      </c>
    </row>
    <row r="887">
      <c r="R887" t="s">
        <v>2631</v>
      </c>
      <c r="S887" t="s">
        <v>2631</v>
      </c>
      <c r="T887" t="s">
        <v>2631</v>
      </c>
      <c r="U887" t="s">
        <v>2631</v>
      </c>
      <c r="V887" t="s">
        <v>2631</v>
      </c>
    </row>
    <row r="888">
      <c r="R888" t="s">
        <v>2631</v>
      </c>
      <c r="S888" t="s">
        <v>2631</v>
      </c>
      <c r="T888" t="s">
        <v>2631</v>
      </c>
      <c r="U888" t="s">
        <v>2631</v>
      </c>
      <c r="V888" t="s">
        <v>2631</v>
      </c>
    </row>
    <row r="889">
      <c r="R889" t="s">
        <v>2631</v>
      </c>
      <c r="S889" t="s">
        <v>2631</v>
      </c>
      <c r="T889" t="s">
        <v>2631</v>
      </c>
      <c r="U889" t="s">
        <v>2631</v>
      </c>
      <c r="V889" t="s">
        <v>2631</v>
      </c>
    </row>
    <row r="890">
      <c r="R890" t="s">
        <v>2631</v>
      </c>
      <c r="S890" t="s">
        <v>2631</v>
      </c>
      <c r="T890" t="s">
        <v>2631</v>
      </c>
      <c r="U890" t="s">
        <v>2631</v>
      </c>
      <c r="V890" t="s">
        <v>2631</v>
      </c>
    </row>
    <row r="891">
      <c r="R891" t="s">
        <v>2631</v>
      </c>
      <c r="S891" t="s">
        <v>2631</v>
      </c>
      <c r="T891" t="s">
        <v>2631</v>
      </c>
      <c r="U891" t="s">
        <v>2631</v>
      </c>
      <c r="V891" t="s">
        <v>2631</v>
      </c>
    </row>
    <row r="892">
      <c r="R892" t="s">
        <v>2631</v>
      </c>
      <c r="S892" t="s">
        <v>2631</v>
      </c>
      <c r="T892" t="s">
        <v>2631</v>
      </c>
      <c r="U892" t="s">
        <v>2631</v>
      </c>
      <c r="V892" t="s">
        <v>2631</v>
      </c>
    </row>
    <row r="893">
      <c r="R893" t="s">
        <v>2631</v>
      </c>
      <c r="S893" t="s">
        <v>2631</v>
      </c>
      <c r="T893" t="s">
        <v>2631</v>
      </c>
      <c r="U893" t="s">
        <v>2631</v>
      </c>
      <c r="V893" t="s">
        <v>2631</v>
      </c>
    </row>
    <row r="894">
      <c r="R894" t="s">
        <v>2631</v>
      </c>
      <c r="S894" t="s">
        <v>2631</v>
      </c>
      <c r="T894" t="s">
        <v>2631</v>
      </c>
      <c r="U894" t="s">
        <v>2631</v>
      </c>
      <c r="V894" t="s">
        <v>2631</v>
      </c>
    </row>
    <row r="895">
      <c r="R895" t="s">
        <v>2631</v>
      </c>
      <c r="S895" t="s">
        <v>2631</v>
      </c>
      <c r="T895" t="s">
        <v>2631</v>
      </c>
      <c r="U895" t="s">
        <v>2631</v>
      </c>
      <c r="V895" t="s">
        <v>2631</v>
      </c>
    </row>
    <row r="896">
      <c r="R896" t="s">
        <v>2631</v>
      </c>
      <c r="S896" t="s">
        <v>2631</v>
      </c>
      <c r="T896" t="s">
        <v>2631</v>
      </c>
      <c r="U896" t="s">
        <v>2631</v>
      </c>
      <c r="V896" t="s">
        <v>2631</v>
      </c>
    </row>
    <row r="897">
      <c r="R897" t="s">
        <v>2631</v>
      </c>
      <c r="S897" t="s">
        <v>2631</v>
      </c>
      <c r="T897" t="s">
        <v>2631</v>
      </c>
      <c r="U897" t="s">
        <v>2631</v>
      </c>
      <c r="V897" t="s">
        <v>2631</v>
      </c>
    </row>
    <row r="898">
      <c r="R898" t="s">
        <v>2631</v>
      </c>
      <c r="S898" t="s">
        <v>2631</v>
      </c>
      <c r="T898" t="s">
        <v>2631</v>
      </c>
      <c r="U898" t="s">
        <v>2631</v>
      </c>
      <c r="V898" t="s">
        <v>2631</v>
      </c>
    </row>
    <row r="899">
      <c r="R899" t="s">
        <v>2631</v>
      </c>
      <c r="S899" t="s">
        <v>2631</v>
      </c>
      <c r="T899" t="s">
        <v>2631</v>
      </c>
      <c r="U899" t="s">
        <v>2631</v>
      </c>
      <c r="V899" t="s">
        <v>2631</v>
      </c>
    </row>
    <row r="900">
      <c r="R900" t="s">
        <v>2631</v>
      </c>
      <c r="S900" t="s">
        <v>2631</v>
      </c>
      <c r="T900" t="s">
        <v>2631</v>
      </c>
      <c r="U900" t="s">
        <v>2631</v>
      </c>
      <c r="V900" t="s">
        <v>2631</v>
      </c>
    </row>
    <row r="901">
      <c r="R901" t="s">
        <v>2631</v>
      </c>
      <c r="S901" t="s">
        <v>2631</v>
      </c>
      <c r="T901" t="s">
        <v>2631</v>
      </c>
      <c r="U901" t="s">
        <v>2631</v>
      </c>
      <c r="V901" t="s">
        <v>2631</v>
      </c>
    </row>
    <row r="902">
      <c r="R902" t="s">
        <v>2631</v>
      </c>
      <c r="S902" t="s">
        <v>2631</v>
      </c>
      <c r="T902" t="s">
        <v>2631</v>
      </c>
      <c r="U902" t="s">
        <v>2631</v>
      </c>
      <c r="V902" t="s">
        <v>2631</v>
      </c>
    </row>
    <row r="903">
      <c r="R903" t="s">
        <v>2631</v>
      </c>
      <c r="S903" t="s">
        <v>2631</v>
      </c>
      <c r="T903" t="s">
        <v>2631</v>
      </c>
      <c r="U903" t="s">
        <v>2631</v>
      </c>
      <c r="V903" t="s">
        <v>2631</v>
      </c>
    </row>
    <row r="904">
      <c r="R904" t="s">
        <v>2631</v>
      </c>
      <c r="S904" t="s">
        <v>2631</v>
      </c>
      <c r="T904" t="s">
        <v>2631</v>
      </c>
      <c r="U904" t="s">
        <v>2631</v>
      </c>
      <c r="V904" t="s">
        <v>2631</v>
      </c>
    </row>
    <row r="905">
      <c r="R905" t="s">
        <v>2631</v>
      </c>
      <c r="S905" t="s">
        <v>2631</v>
      </c>
      <c r="T905" t="s">
        <v>2631</v>
      </c>
      <c r="U905" t="s">
        <v>2631</v>
      </c>
      <c r="V905" t="s">
        <v>2631</v>
      </c>
    </row>
    <row r="906">
      <c r="R906" t="s">
        <v>2631</v>
      </c>
      <c r="S906" t="s">
        <v>2631</v>
      </c>
      <c r="T906" t="s">
        <v>2631</v>
      </c>
      <c r="U906" t="s">
        <v>2631</v>
      </c>
      <c r="V906" t="s">
        <v>2631</v>
      </c>
    </row>
    <row r="907">
      <c r="R907" t="s">
        <v>2631</v>
      </c>
      <c r="S907" t="s">
        <v>2631</v>
      </c>
      <c r="T907" t="s">
        <v>2631</v>
      </c>
      <c r="U907" t="s">
        <v>2631</v>
      </c>
      <c r="V907" t="s">
        <v>2631</v>
      </c>
    </row>
    <row r="908">
      <c r="R908" t="s">
        <v>2631</v>
      </c>
      <c r="S908" t="s">
        <v>2631</v>
      </c>
      <c r="T908" t="s">
        <v>2631</v>
      </c>
      <c r="U908" t="s">
        <v>2631</v>
      </c>
      <c r="V908" t="s">
        <v>2631</v>
      </c>
    </row>
    <row r="909">
      <c r="R909" t="s">
        <v>2631</v>
      </c>
      <c r="S909" t="s">
        <v>2631</v>
      </c>
      <c r="T909" t="s">
        <v>2631</v>
      </c>
      <c r="U909" t="s">
        <v>2631</v>
      </c>
      <c r="V909" t="s">
        <v>2631</v>
      </c>
    </row>
    <row r="910">
      <c r="R910" t="s">
        <v>2631</v>
      </c>
      <c r="S910" t="s">
        <v>2631</v>
      </c>
      <c r="T910" t="s">
        <v>2631</v>
      </c>
      <c r="U910" t="s">
        <v>2631</v>
      </c>
      <c r="V910" t="s">
        <v>2631</v>
      </c>
    </row>
    <row r="911">
      <c r="R911" t="s">
        <v>2631</v>
      </c>
      <c r="S911" t="s">
        <v>2631</v>
      </c>
      <c r="T911" t="s">
        <v>2631</v>
      </c>
      <c r="U911" t="s">
        <v>2631</v>
      </c>
      <c r="V911" t="s">
        <v>2631</v>
      </c>
    </row>
    <row r="912">
      <c r="R912" t="s">
        <v>2631</v>
      </c>
      <c r="S912" t="s">
        <v>2631</v>
      </c>
      <c r="T912" t="s">
        <v>2631</v>
      </c>
      <c r="U912" t="s">
        <v>2631</v>
      </c>
      <c r="V912" t="s">
        <v>2631</v>
      </c>
    </row>
    <row r="913">
      <c r="R913" t="s">
        <v>2631</v>
      </c>
      <c r="S913" t="s">
        <v>2631</v>
      </c>
      <c r="T913" t="s">
        <v>2631</v>
      </c>
      <c r="U913" t="s">
        <v>2631</v>
      </c>
      <c r="V913" t="s">
        <v>2631</v>
      </c>
    </row>
    <row r="914">
      <c r="R914" t="s">
        <v>2631</v>
      </c>
      <c r="S914" t="s">
        <v>2631</v>
      </c>
      <c r="T914" t="s">
        <v>2631</v>
      </c>
      <c r="U914" t="s">
        <v>2631</v>
      </c>
      <c r="V914" t="s">
        <v>2631</v>
      </c>
    </row>
    <row r="915">
      <c r="R915" t="s">
        <v>2631</v>
      </c>
      <c r="S915" t="s">
        <v>2631</v>
      </c>
      <c r="T915" t="s">
        <v>2631</v>
      </c>
      <c r="U915" t="s">
        <v>2631</v>
      </c>
      <c r="V915" t="s">
        <v>2631</v>
      </c>
    </row>
    <row r="916">
      <c r="R916" t="s">
        <v>2631</v>
      </c>
      <c r="S916" t="s">
        <v>2631</v>
      </c>
      <c r="T916" t="s">
        <v>2631</v>
      </c>
      <c r="U916" t="s">
        <v>2631</v>
      </c>
      <c r="V916" t="s">
        <v>2631</v>
      </c>
    </row>
    <row r="917">
      <c r="R917" t="s">
        <v>2631</v>
      </c>
      <c r="S917" t="s">
        <v>2631</v>
      </c>
      <c r="T917" t="s">
        <v>2631</v>
      </c>
      <c r="U917" t="s">
        <v>2631</v>
      </c>
      <c r="V917" t="s">
        <v>2631</v>
      </c>
    </row>
    <row r="918">
      <c r="R918" t="s">
        <v>2631</v>
      </c>
      <c r="S918" t="s">
        <v>2631</v>
      </c>
      <c r="T918" t="s">
        <v>2631</v>
      </c>
      <c r="U918" t="s">
        <v>2631</v>
      </c>
      <c r="V918" t="s">
        <v>2631</v>
      </c>
    </row>
    <row r="919">
      <c r="R919" t="s">
        <v>2631</v>
      </c>
      <c r="S919" t="s">
        <v>2631</v>
      </c>
      <c r="T919" t="s">
        <v>2631</v>
      </c>
      <c r="U919" t="s">
        <v>2631</v>
      </c>
      <c r="V919" t="s">
        <v>2631</v>
      </c>
    </row>
    <row r="920">
      <c r="R920" t="s">
        <v>2631</v>
      </c>
      <c r="S920" t="s">
        <v>2631</v>
      </c>
      <c r="T920" t="s">
        <v>2631</v>
      </c>
      <c r="U920" t="s">
        <v>2631</v>
      </c>
      <c r="V920" t="s">
        <v>2631</v>
      </c>
    </row>
    <row r="921">
      <c r="R921" t="s">
        <v>2631</v>
      </c>
      <c r="S921" t="s">
        <v>2631</v>
      </c>
      <c r="T921" t="s">
        <v>2631</v>
      </c>
      <c r="U921" t="s">
        <v>2631</v>
      </c>
      <c r="V921" t="s">
        <v>2631</v>
      </c>
    </row>
    <row r="922">
      <c r="R922" t="s">
        <v>2631</v>
      </c>
      <c r="S922" t="s">
        <v>2631</v>
      </c>
      <c r="T922" t="s">
        <v>2631</v>
      </c>
      <c r="U922" t="s">
        <v>2631</v>
      </c>
      <c r="V922" t="s">
        <v>2631</v>
      </c>
    </row>
    <row r="923">
      <c r="R923" t="s">
        <v>2631</v>
      </c>
      <c r="S923" t="s">
        <v>2631</v>
      </c>
      <c r="T923" t="s">
        <v>2631</v>
      </c>
      <c r="U923" t="s">
        <v>2631</v>
      </c>
      <c r="V923" t="s">
        <v>2631</v>
      </c>
    </row>
    <row r="924">
      <c r="R924" t="s">
        <v>2631</v>
      </c>
      <c r="S924" t="s">
        <v>2631</v>
      </c>
      <c r="T924" t="s">
        <v>2631</v>
      </c>
      <c r="U924" t="s">
        <v>2631</v>
      </c>
      <c r="V924" t="s">
        <v>2631</v>
      </c>
    </row>
    <row r="925">
      <c r="R925" t="s">
        <v>2631</v>
      </c>
      <c r="S925" t="s">
        <v>2631</v>
      </c>
      <c r="T925" t="s">
        <v>2631</v>
      </c>
      <c r="U925" t="s">
        <v>2631</v>
      </c>
      <c r="V925" t="s">
        <v>2631</v>
      </c>
    </row>
    <row r="926">
      <c r="R926" t="s">
        <v>2631</v>
      </c>
      <c r="S926" t="s">
        <v>2631</v>
      </c>
      <c r="T926" t="s">
        <v>2631</v>
      </c>
      <c r="U926" t="s">
        <v>2631</v>
      </c>
      <c r="V926" t="s">
        <v>2631</v>
      </c>
    </row>
    <row r="927">
      <c r="R927" t="s">
        <v>2631</v>
      </c>
      <c r="S927" t="s">
        <v>2631</v>
      </c>
      <c r="T927" t="s">
        <v>2631</v>
      </c>
      <c r="U927" t="s">
        <v>2631</v>
      </c>
      <c r="V927" t="s">
        <v>2631</v>
      </c>
    </row>
    <row r="928">
      <c r="R928" t="s">
        <v>2631</v>
      </c>
      <c r="S928" t="s">
        <v>2631</v>
      </c>
      <c r="T928" t="s">
        <v>2631</v>
      </c>
      <c r="U928" t="s">
        <v>2631</v>
      </c>
      <c r="V928" t="s">
        <v>2631</v>
      </c>
    </row>
    <row r="929">
      <c r="R929" t="s">
        <v>2631</v>
      </c>
      <c r="S929" t="s">
        <v>2631</v>
      </c>
      <c r="T929" t="s">
        <v>2631</v>
      </c>
      <c r="U929" t="s">
        <v>2631</v>
      </c>
      <c r="V929" t="s">
        <v>2631</v>
      </c>
    </row>
    <row r="930">
      <c r="R930" t="s">
        <v>2631</v>
      </c>
      <c r="S930" t="s">
        <v>2631</v>
      </c>
      <c r="T930" t="s">
        <v>2631</v>
      </c>
      <c r="U930" t="s">
        <v>2631</v>
      </c>
      <c r="V930" t="s">
        <v>2631</v>
      </c>
    </row>
    <row r="931">
      <c r="R931" t="s">
        <v>2631</v>
      </c>
      <c r="S931" t="s">
        <v>2631</v>
      </c>
      <c r="T931" t="s">
        <v>2631</v>
      </c>
      <c r="U931" t="s">
        <v>2631</v>
      </c>
      <c r="V931" t="s">
        <v>2631</v>
      </c>
    </row>
    <row r="932">
      <c r="R932" t="s">
        <v>2631</v>
      </c>
      <c r="S932" t="s">
        <v>2631</v>
      </c>
      <c r="T932" t="s">
        <v>2631</v>
      </c>
      <c r="U932" t="s">
        <v>2631</v>
      </c>
      <c r="V932" t="s">
        <v>2631</v>
      </c>
    </row>
    <row r="933">
      <c r="R933" t="s">
        <v>2631</v>
      </c>
      <c r="S933" t="s">
        <v>2631</v>
      </c>
      <c r="T933" t="s">
        <v>2631</v>
      </c>
      <c r="U933" t="s">
        <v>2631</v>
      </c>
      <c r="V933" t="s">
        <v>2631</v>
      </c>
    </row>
    <row r="934">
      <c r="R934" t="s">
        <v>2631</v>
      </c>
      <c r="S934" t="s">
        <v>2631</v>
      </c>
      <c r="T934" t="s">
        <v>2631</v>
      </c>
      <c r="U934" t="s">
        <v>2631</v>
      </c>
      <c r="V934" t="s">
        <v>2631</v>
      </c>
    </row>
    <row r="935">
      <c r="R935" t="s">
        <v>2631</v>
      </c>
      <c r="S935" t="s">
        <v>2631</v>
      </c>
      <c r="T935" t="s">
        <v>2631</v>
      </c>
      <c r="U935" t="s">
        <v>2631</v>
      </c>
      <c r="V935" t="s">
        <v>2631</v>
      </c>
    </row>
    <row r="936">
      <c r="R936" t="s">
        <v>2631</v>
      </c>
      <c r="S936" t="s">
        <v>2631</v>
      </c>
      <c r="T936" t="s">
        <v>2631</v>
      </c>
      <c r="U936" t="s">
        <v>2631</v>
      </c>
      <c r="V936" t="s">
        <v>2631</v>
      </c>
    </row>
    <row r="937">
      <c r="R937" t="s">
        <v>2631</v>
      </c>
      <c r="S937" t="s">
        <v>2631</v>
      </c>
      <c r="T937" t="s">
        <v>2631</v>
      </c>
      <c r="U937" t="s">
        <v>2631</v>
      </c>
      <c r="V937" t="s">
        <v>2631</v>
      </c>
    </row>
    <row r="938">
      <c r="R938" t="s">
        <v>2631</v>
      </c>
      <c r="S938" t="s">
        <v>2631</v>
      </c>
      <c r="T938" t="s">
        <v>2631</v>
      </c>
      <c r="U938" t="s">
        <v>2631</v>
      </c>
      <c r="V938" t="s">
        <v>2631</v>
      </c>
    </row>
    <row r="939">
      <c r="R939" t="s">
        <v>2631</v>
      </c>
      <c r="S939" t="s">
        <v>2631</v>
      </c>
      <c r="T939" t="s">
        <v>2631</v>
      </c>
      <c r="U939" t="s">
        <v>2631</v>
      </c>
      <c r="V939" t="s">
        <v>2631</v>
      </c>
    </row>
    <row r="940">
      <c r="R940" t="s">
        <v>2631</v>
      </c>
      <c r="S940" t="s">
        <v>2631</v>
      </c>
      <c r="T940" t="s">
        <v>2631</v>
      </c>
      <c r="U940" t="s">
        <v>2631</v>
      </c>
      <c r="V940" t="s">
        <v>2631</v>
      </c>
    </row>
    <row r="941">
      <c r="R941" t="s">
        <v>2631</v>
      </c>
      <c r="S941" t="s">
        <v>2631</v>
      </c>
      <c r="T941" t="s">
        <v>2631</v>
      </c>
      <c r="U941" t="s">
        <v>2631</v>
      </c>
      <c r="V941" t="s">
        <v>2631</v>
      </c>
    </row>
    <row r="942">
      <c r="R942" t="s">
        <v>2631</v>
      </c>
      <c r="S942" t="s">
        <v>2631</v>
      </c>
      <c r="T942" t="s">
        <v>2631</v>
      </c>
      <c r="U942" t="s">
        <v>2631</v>
      </c>
      <c r="V942" t="s">
        <v>2631</v>
      </c>
    </row>
    <row r="943">
      <c r="R943" t="s">
        <v>2631</v>
      </c>
      <c r="S943" t="s">
        <v>2631</v>
      </c>
      <c r="T943" t="s">
        <v>2631</v>
      </c>
      <c r="U943" t="s">
        <v>2631</v>
      </c>
      <c r="V943" t="s">
        <v>2631</v>
      </c>
    </row>
    <row r="944">
      <c r="R944" t="s">
        <v>2631</v>
      </c>
      <c r="S944" t="s">
        <v>2631</v>
      </c>
      <c r="T944" t="s">
        <v>2631</v>
      </c>
      <c r="U944" t="s">
        <v>2631</v>
      </c>
      <c r="V944" t="s">
        <v>2631</v>
      </c>
    </row>
    <row r="945">
      <c r="R945" t="s">
        <v>2631</v>
      </c>
      <c r="S945" t="s">
        <v>2631</v>
      </c>
      <c r="T945" t="s">
        <v>2631</v>
      </c>
      <c r="U945" t="s">
        <v>2631</v>
      </c>
      <c r="V945" t="s">
        <v>2631</v>
      </c>
    </row>
    <row r="946">
      <c r="R946" t="s">
        <v>2631</v>
      </c>
      <c r="S946" t="s">
        <v>2631</v>
      </c>
      <c r="T946" t="s">
        <v>2631</v>
      </c>
      <c r="U946" t="s">
        <v>2631</v>
      </c>
      <c r="V946" t="s">
        <v>2631</v>
      </c>
    </row>
    <row r="947">
      <c r="R947" t="s">
        <v>2631</v>
      </c>
      <c r="S947" t="s">
        <v>2631</v>
      </c>
      <c r="T947" t="s">
        <v>2631</v>
      </c>
      <c r="U947" t="s">
        <v>2631</v>
      </c>
      <c r="V947" t="s">
        <v>2631</v>
      </c>
    </row>
    <row r="948">
      <c r="R948" t="s">
        <v>2631</v>
      </c>
      <c r="S948" t="s">
        <v>2631</v>
      </c>
      <c r="T948" t="s">
        <v>2631</v>
      </c>
      <c r="U948" t="s">
        <v>2631</v>
      </c>
      <c r="V948" t="s">
        <v>2631</v>
      </c>
    </row>
    <row r="949">
      <c r="R949" t="s">
        <v>2631</v>
      </c>
      <c r="S949" t="s">
        <v>2631</v>
      </c>
      <c r="T949" t="s">
        <v>2631</v>
      </c>
      <c r="U949" t="s">
        <v>2631</v>
      </c>
      <c r="V949" t="s">
        <v>2631</v>
      </c>
    </row>
    <row r="950">
      <c r="R950" t="s">
        <v>2631</v>
      </c>
      <c r="S950" t="s">
        <v>2631</v>
      </c>
      <c r="T950" t="s">
        <v>2631</v>
      </c>
      <c r="U950" t="s">
        <v>2631</v>
      </c>
      <c r="V950" t="s">
        <v>2631</v>
      </c>
    </row>
    <row r="951">
      <c r="R951" t="s">
        <v>2631</v>
      </c>
      <c r="S951" t="s">
        <v>2631</v>
      </c>
      <c r="T951" t="s">
        <v>2631</v>
      </c>
      <c r="U951" t="s">
        <v>2631</v>
      </c>
      <c r="V951" t="s">
        <v>2631</v>
      </c>
    </row>
    <row r="952">
      <c r="R952" t="s">
        <v>2631</v>
      </c>
      <c r="S952" t="s">
        <v>2631</v>
      </c>
      <c r="T952" t="s">
        <v>2631</v>
      </c>
      <c r="U952" t="s">
        <v>2631</v>
      </c>
      <c r="V952" t="s">
        <v>2631</v>
      </c>
    </row>
    <row r="953">
      <c r="R953" t="s">
        <v>2631</v>
      </c>
      <c r="S953" t="s">
        <v>2631</v>
      </c>
      <c r="T953" t="s">
        <v>2631</v>
      </c>
      <c r="U953" t="s">
        <v>2631</v>
      </c>
      <c r="V953" t="s">
        <v>2631</v>
      </c>
    </row>
    <row r="954">
      <c r="R954" t="s">
        <v>2631</v>
      </c>
      <c r="S954" t="s">
        <v>2631</v>
      </c>
      <c r="T954" t="s">
        <v>2631</v>
      </c>
      <c r="U954" t="s">
        <v>2631</v>
      </c>
      <c r="V954" t="s">
        <v>2631</v>
      </c>
    </row>
    <row r="955">
      <c r="R955" t="s">
        <v>2631</v>
      </c>
      <c r="S955" t="s">
        <v>2631</v>
      </c>
      <c r="T955" t="s">
        <v>2631</v>
      </c>
      <c r="U955" t="s">
        <v>2631</v>
      </c>
      <c r="V955" t="s">
        <v>2631</v>
      </c>
    </row>
    <row r="956">
      <c r="R956" t="s">
        <v>2631</v>
      </c>
      <c r="S956" t="s">
        <v>2631</v>
      </c>
      <c r="T956" t="s">
        <v>2631</v>
      </c>
      <c r="U956" t="s">
        <v>2631</v>
      </c>
      <c r="V956" t="s">
        <v>2631</v>
      </c>
    </row>
    <row r="957">
      <c r="R957" t="s">
        <v>2631</v>
      </c>
      <c r="S957" t="s">
        <v>2631</v>
      </c>
      <c r="T957" t="s">
        <v>2631</v>
      </c>
      <c r="U957" t="s">
        <v>2631</v>
      </c>
      <c r="V957" t="s">
        <v>2631</v>
      </c>
    </row>
    <row r="958">
      <c r="R958" t="s">
        <v>2631</v>
      </c>
      <c r="S958" t="s">
        <v>2631</v>
      </c>
      <c r="T958" t="s">
        <v>2631</v>
      </c>
      <c r="U958" t="s">
        <v>2631</v>
      </c>
      <c r="V958" t="s">
        <v>2631</v>
      </c>
    </row>
    <row r="959">
      <c r="R959" t="s">
        <v>2631</v>
      </c>
      <c r="S959" t="s">
        <v>2631</v>
      </c>
      <c r="T959" t="s">
        <v>2631</v>
      </c>
      <c r="U959" t="s">
        <v>2631</v>
      </c>
      <c r="V959" t="s">
        <v>2631</v>
      </c>
    </row>
    <row r="960">
      <c r="R960" t="s">
        <v>2631</v>
      </c>
      <c r="S960" t="s">
        <v>2631</v>
      </c>
      <c r="T960" t="s">
        <v>2631</v>
      </c>
      <c r="U960" t="s">
        <v>2631</v>
      </c>
      <c r="V960" t="s">
        <v>2631</v>
      </c>
    </row>
    <row r="961">
      <c r="R961" t="s">
        <v>2631</v>
      </c>
      <c r="S961" t="s">
        <v>2631</v>
      </c>
      <c r="T961" t="s">
        <v>2631</v>
      </c>
      <c r="U961" t="s">
        <v>2631</v>
      </c>
      <c r="V961" t="s">
        <v>2631</v>
      </c>
    </row>
    <row r="962">
      <c r="R962" t="s">
        <v>2631</v>
      </c>
      <c r="S962" t="s">
        <v>2631</v>
      </c>
      <c r="T962" t="s">
        <v>2631</v>
      </c>
      <c r="U962" t="s">
        <v>2631</v>
      </c>
      <c r="V962" t="s">
        <v>2631</v>
      </c>
    </row>
    <row r="963">
      <c r="R963" t="s">
        <v>2631</v>
      </c>
      <c r="S963" t="s">
        <v>2631</v>
      </c>
      <c r="T963" t="s">
        <v>2631</v>
      </c>
      <c r="U963" t="s">
        <v>2631</v>
      </c>
      <c r="V963" t="s">
        <v>2631</v>
      </c>
    </row>
    <row r="964">
      <c r="R964" t="s">
        <v>2631</v>
      </c>
      <c r="S964" t="s">
        <v>2631</v>
      </c>
      <c r="T964" t="s">
        <v>2631</v>
      </c>
      <c r="U964" t="s">
        <v>2631</v>
      </c>
      <c r="V964" t="s">
        <v>2631</v>
      </c>
    </row>
    <row r="965">
      <c r="R965" t="s">
        <v>2631</v>
      </c>
      <c r="S965" t="s">
        <v>2631</v>
      </c>
      <c r="T965" t="s">
        <v>2631</v>
      </c>
      <c r="U965" t="s">
        <v>2631</v>
      </c>
      <c r="V965" t="s">
        <v>2631</v>
      </c>
    </row>
    <row r="966">
      <c r="R966" t="s">
        <v>2631</v>
      </c>
      <c r="S966" t="s">
        <v>2631</v>
      </c>
      <c r="T966" t="s">
        <v>2631</v>
      </c>
      <c r="U966" t="s">
        <v>2631</v>
      </c>
      <c r="V966" t="s">
        <v>2631</v>
      </c>
    </row>
    <row r="967">
      <c r="R967" t="s">
        <v>2631</v>
      </c>
      <c r="S967" t="s">
        <v>2631</v>
      </c>
      <c r="T967" t="s">
        <v>2631</v>
      </c>
      <c r="U967" t="s">
        <v>2631</v>
      </c>
      <c r="V967" t="s">
        <v>2631</v>
      </c>
    </row>
    <row r="968">
      <c r="R968" t="s">
        <v>2631</v>
      </c>
      <c r="S968" t="s">
        <v>2631</v>
      </c>
      <c r="T968" t="s">
        <v>2631</v>
      </c>
      <c r="U968" t="s">
        <v>2631</v>
      </c>
      <c r="V968" t="s">
        <v>2631</v>
      </c>
    </row>
    <row r="969">
      <c r="R969" t="s">
        <v>2631</v>
      </c>
      <c r="S969" t="s">
        <v>2631</v>
      </c>
      <c r="T969" t="s">
        <v>2631</v>
      </c>
      <c r="U969" t="s">
        <v>2631</v>
      </c>
      <c r="V969" t="s">
        <v>2631</v>
      </c>
    </row>
    <row r="970">
      <c r="R970" t="s">
        <v>2631</v>
      </c>
      <c r="S970" t="s">
        <v>2631</v>
      </c>
      <c r="T970" t="s">
        <v>2631</v>
      </c>
      <c r="U970" t="s">
        <v>2631</v>
      </c>
      <c r="V970" t="s">
        <v>2631</v>
      </c>
    </row>
    <row r="971">
      <c r="R971" t="s">
        <v>2631</v>
      </c>
      <c r="S971" t="s">
        <v>2631</v>
      </c>
      <c r="T971" t="s">
        <v>2631</v>
      </c>
      <c r="U971" t="s">
        <v>2631</v>
      </c>
      <c r="V971" t="s">
        <v>2631</v>
      </c>
    </row>
    <row r="972">
      <c r="R972" t="s">
        <v>2631</v>
      </c>
      <c r="S972" t="s">
        <v>2631</v>
      </c>
      <c r="T972" t="s">
        <v>2631</v>
      </c>
      <c r="U972" t="s">
        <v>2631</v>
      </c>
      <c r="V972" t="s">
        <v>2631</v>
      </c>
    </row>
    <row r="973">
      <c r="R973" t="s">
        <v>2631</v>
      </c>
      <c r="S973" t="s">
        <v>2631</v>
      </c>
      <c r="T973" t="s">
        <v>2631</v>
      </c>
      <c r="U973" t="s">
        <v>2631</v>
      </c>
      <c r="V973" t="s">
        <v>2631</v>
      </c>
    </row>
    <row r="974">
      <c r="R974" t="s">
        <v>2631</v>
      </c>
      <c r="S974" t="s">
        <v>2631</v>
      </c>
      <c r="T974" t="s">
        <v>2631</v>
      </c>
      <c r="U974" t="s">
        <v>2631</v>
      </c>
      <c r="V974" t="s">
        <v>2631</v>
      </c>
    </row>
    <row r="975">
      <c r="R975" t="s">
        <v>2631</v>
      </c>
      <c r="S975" t="s">
        <v>2631</v>
      </c>
      <c r="T975" t="s">
        <v>2631</v>
      </c>
      <c r="U975" t="s">
        <v>2631</v>
      </c>
      <c r="V975" t="s">
        <v>2631</v>
      </c>
    </row>
    <row r="976">
      <c r="R976" t="s">
        <v>2631</v>
      </c>
      <c r="S976" t="s">
        <v>2631</v>
      </c>
      <c r="T976" t="s">
        <v>2631</v>
      </c>
      <c r="U976" t="s">
        <v>2631</v>
      </c>
      <c r="V976" t="s">
        <v>2631</v>
      </c>
    </row>
    <row r="977">
      <c r="R977" t="s">
        <v>2631</v>
      </c>
      <c r="S977" t="s">
        <v>2631</v>
      </c>
      <c r="T977" t="s">
        <v>2631</v>
      </c>
      <c r="U977" t="s">
        <v>2631</v>
      </c>
      <c r="V977" t="s">
        <v>2631</v>
      </c>
    </row>
    <row r="978">
      <c r="R978" t="s">
        <v>2631</v>
      </c>
      <c r="S978" t="s">
        <v>2631</v>
      </c>
      <c r="T978" t="s">
        <v>2631</v>
      </c>
      <c r="U978" t="s">
        <v>2631</v>
      </c>
      <c r="V978" t="s">
        <v>2631</v>
      </c>
    </row>
    <row r="979">
      <c r="R979" t="s">
        <v>2631</v>
      </c>
      <c r="S979" t="s">
        <v>2631</v>
      </c>
      <c r="T979" t="s">
        <v>2631</v>
      </c>
      <c r="U979" t="s">
        <v>2631</v>
      </c>
      <c r="V979" t="s">
        <v>2631</v>
      </c>
    </row>
    <row r="980">
      <c r="R980" t="s">
        <v>2631</v>
      </c>
      <c r="S980" t="s">
        <v>2631</v>
      </c>
      <c r="T980" t="s">
        <v>2631</v>
      </c>
      <c r="U980" t="s">
        <v>2631</v>
      </c>
      <c r="V980" t="s">
        <v>2631</v>
      </c>
    </row>
    <row r="981">
      <c r="R981" t="s">
        <v>2631</v>
      </c>
      <c r="S981" t="s">
        <v>2631</v>
      </c>
      <c r="T981" t="s">
        <v>2631</v>
      </c>
      <c r="U981" t="s">
        <v>2631</v>
      </c>
      <c r="V981" t="s">
        <v>2631</v>
      </c>
    </row>
    <row r="982">
      <c r="R982" t="s">
        <v>2631</v>
      </c>
      <c r="S982" t="s">
        <v>2631</v>
      </c>
      <c r="T982" t="s">
        <v>2631</v>
      </c>
      <c r="U982" t="s">
        <v>2631</v>
      </c>
      <c r="V982" t="s">
        <v>2631</v>
      </c>
    </row>
    <row r="983">
      <c r="R983" t="s">
        <v>2631</v>
      </c>
      <c r="S983" t="s">
        <v>2631</v>
      </c>
      <c r="T983" t="s">
        <v>2631</v>
      </c>
      <c r="U983" t="s">
        <v>2631</v>
      </c>
      <c r="V983" t="s">
        <v>2631</v>
      </c>
    </row>
    <row r="984">
      <c r="R984" t="s">
        <v>2631</v>
      </c>
      <c r="S984" t="s">
        <v>2631</v>
      </c>
      <c r="T984" t="s">
        <v>2631</v>
      </c>
      <c r="U984" t="s">
        <v>2631</v>
      </c>
      <c r="V984" t="s">
        <v>2631</v>
      </c>
    </row>
    <row r="985">
      <c r="R985" t="s">
        <v>2631</v>
      </c>
      <c r="S985" t="s">
        <v>2631</v>
      </c>
      <c r="T985" t="s">
        <v>2631</v>
      </c>
      <c r="U985" t="s">
        <v>2631</v>
      </c>
      <c r="V985" t="s">
        <v>2631</v>
      </c>
    </row>
    <row r="986">
      <c r="R986" t="s">
        <v>2631</v>
      </c>
      <c r="S986" t="s">
        <v>2631</v>
      </c>
      <c r="T986" t="s">
        <v>2631</v>
      </c>
      <c r="U986" t="s">
        <v>2631</v>
      </c>
      <c r="V986" t="s">
        <v>2631</v>
      </c>
    </row>
    <row r="987">
      <c r="R987" t="s">
        <v>2631</v>
      </c>
      <c r="S987" t="s">
        <v>2631</v>
      </c>
      <c r="T987" t="s">
        <v>2631</v>
      </c>
      <c r="U987" t="s">
        <v>2631</v>
      </c>
      <c r="V987" t="s">
        <v>2631</v>
      </c>
    </row>
    <row r="988">
      <c r="R988" t="s">
        <v>2631</v>
      </c>
      <c r="S988" t="s">
        <v>2631</v>
      </c>
      <c r="T988" t="s">
        <v>2631</v>
      </c>
      <c r="U988" t="s">
        <v>2631</v>
      </c>
      <c r="V988" t="s">
        <v>2631</v>
      </c>
    </row>
    <row r="989">
      <c r="R989" t="s">
        <v>2631</v>
      </c>
      <c r="S989" t="s">
        <v>2631</v>
      </c>
      <c r="T989" t="s">
        <v>2631</v>
      </c>
      <c r="U989" t="s">
        <v>2631</v>
      </c>
      <c r="V989" t="s">
        <v>2631</v>
      </c>
    </row>
    <row r="990">
      <c r="R990" t="s">
        <v>2631</v>
      </c>
      <c r="S990" t="s">
        <v>2631</v>
      </c>
      <c r="T990" t="s">
        <v>2631</v>
      </c>
      <c r="U990" t="s">
        <v>2631</v>
      </c>
      <c r="V990" t="s">
        <v>2631</v>
      </c>
    </row>
    <row r="991">
      <c r="R991" t="s">
        <v>2631</v>
      </c>
      <c r="S991" t="s">
        <v>2631</v>
      </c>
      <c r="T991" t="s">
        <v>2631</v>
      </c>
      <c r="U991" t="s">
        <v>2631</v>
      </c>
      <c r="V991" t="s">
        <v>2631</v>
      </c>
    </row>
    <row r="992">
      <c r="R992" t="s">
        <v>2631</v>
      </c>
      <c r="S992" t="s">
        <v>2631</v>
      </c>
      <c r="T992" t="s">
        <v>2631</v>
      </c>
      <c r="U992" t="s">
        <v>2631</v>
      </c>
      <c r="V992" t="s">
        <v>2631</v>
      </c>
    </row>
    <row r="993">
      <c r="R993" t="s">
        <v>2631</v>
      </c>
      <c r="S993" t="s">
        <v>2631</v>
      </c>
      <c r="T993" t="s">
        <v>2631</v>
      </c>
      <c r="U993" t="s">
        <v>2631</v>
      </c>
      <c r="V993" t="s">
        <v>2631</v>
      </c>
    </row>
    <row r="994">
      <c r="R994" t="s">
        <v>2631</v>
      </c>
      <c r="S994" t="s">
        <v>2631</v>
      </c>
      <c r="T994" t="s">
        <v>2631</v>
      </c>
      <c r="U994" t="s">
        <v>2631</v>
      </c>
      <c r="V994" t="s">
        <v>2631</v>
      </c>
    </row>
    <row r="995">
      <c r="R995" t="s">
        <v>2631</v>
      </c>
      <c r="S995" t="s">
        <v>2631</v>
      </c>
      <c r="T995" t="s">
        <v>2631</v>
      </c>
      <c r="U995" t="s">
        <v>2631</v>
      </c>
      <c r="V995" t="s">
        <v>2631</v>
      </c>
    </row>
    <row r="996">
      <c r="R996" t="s">
        <v>2631</v>
      </c>
      <c r="S996" t="s">
        <v>2631</v>
      </c>
      <c r="T996" t="s">
        <v>2631</v>
      </c>
      <c r="U996" t="s">
        <v>2631</v>
      </c>
      <c r="V996" t="s">
        <v>2631</v>
      </c>
    </row>
    <row r="997">
      <c r="R997" t="s">
        <v>2631</v>
      </c>
      <c r="S997" t="s">
        <v>2631</v>
      </c>
      <c r="T997" t="s">
        <v>2631</v>
      </c>
      <c r="U997" t="s">
        <v>2631</v>
      </c>
      <c r="V997" t="s">
        <v>2631</v>
      </c>
    </row>
    <row r="998">
      <c r="R998" t="s">
        <v>2631</v>
      </c>
      <c r="S998" t="s">
        <v>2631</v>
      </c>
      <c r="T998" t="s">
        <v>2631</v>
      </c>
      <c r="U998" t="s">
        <v>2631</v>
      </c>
      <c r="V998" t="s">
        <v>2631</v>
      </c>
    </row>
    <row r="999">
      <c r="R999" t="s">
        <v>2631</v>
      </c>
      <c r="S999" t="s">
        <v>2631</v>
      </c>
      <c r="T999" t="s">
        <v>2631</v>
      </c>
      <c r="U999" t="s">
        <v>2631</v>
      </c>
      <c r="V999" t="s">
        <v>2631</v>
      </c>
    </row>
    <row r="1000">
      <c r="R1000" t="s">
        <v>2631</v>
      </c>
      <c r="S1000" t="s">
        <v>2631</v>
      </c>
      <c r="T1000" t="s">
        <v>2631</v>
      </c>
      <c r="U1000" t="s">
        <v>2631</v>
      </c>
      <c r="V1000" t="s">
        <v>2631</v>
      </c>
    </row>
  </sheetData>
  <mergeCells count="15">
    <mergeCell ref="A157:B157"/>
    <mergeCell ref="A209:B209"/>
    <mergeCell ref="C209:D209"/>
    <mergeCell ref="A261:B261"/>
    <mergeCell ref="C261:D261"/>
    <mergeCell ref="A313:L313"/>
    <mergeCell ref="M313:N313"/>
    <mergeCell ref="A365:B365"/>
    <mergeCell ref="A1:B1"/>
    <mergeCell ref="C1:D1"/>
    <mergeCell ref="A53:B53"/>
    <mergeCell ref="C53:D53"/>
    <mergeCell ref="A105:B105"/>
    <mergeCell ref="C105:D105"/>
    <mergeCell ref="C157:D15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t="str">
        <f>IF(Projections!$AB$17,Draft!D3,"")</f>
        <v>Victor Wembanyama</v>
      </c>
      <c r="B5" s="415" t="str">
        <f>IFERROR(__xludf.DUMMYFUNCTION("IF(Projections!Z17=""LeagV"", QUERY('Final Update'!N20:AM420, ""select * order by S desc ""),IF(Projections!Z17=""PuntV"",QUERY('Final Update'!N20:AM420, ""select * order by T desc ""),IF(Projections!Z17=""Punt+"",QUERY('Final Update'!N20:AM420, ""select "&amp;"* order by U desc ""),IF(Projections!Z17=""PTS"",QUERY('Final Update'!N20:AM420, ""select * order by V desc ""),IF(Projections!Z17=""3P"",QUERY('Final Update'!N20:AM420, ""select * order by W desc ""),IF(Projections!Z17=""REB"",QUERY('Final Update'!N20:AM"&amp;"420, ""select * order by X desc ""),IF(Projections!Z17=""AST"",QUERY('Final Update'!N20:AM420, ""select * order by Y desc ""),IF(Projections!Z17=""STL"",QUERY('Final Update'!N20:AM420, ""select * order by Z desc ""),IF(Projections!Z17=""BLK"",QUERY('Final"&amp;" Update'!N20:AM420, ""select * order by AA desc ""),IF(Projections!Z17=""FG%"",QUERY('Final Update'!N20:AM420, ""select * order by AB desc ""),IF(Projections!Z17=""FT%"",QUERY('Final Update'!N20:AM420, ""select * order by AC desc ""),IF(Projections!Z17="""&amp;"TO"",QUERY('Final Update'!N20:AM420, ""select * order by AD desc ""),IF(Projections!Z17=""z p/g"", QUERY('Final Update'!N20:AM420, ""select * order by AE desc ""),IF(Projections!Z17=""z 3/g"",QUERY('Final Update'!N20:AM420, ""select * order by AF desc "")"&amp;",IF(Projections!Z17=""z r/g"",QUERY('Final Update'!N20:AM420, ""select * order by AG desc ""),IF(Projections!Z17=""z a/g"",QUERY('Final Update'!N20:AM420, ""select * order by AH desc ""),IF(Projections!Z17=""z s/g"",QUERY('Final Update'!N20:AM420, ""selec"&amp;"t * order by AI desc ""),IF(Projections!Z17=""z b/g"",QUERY('Final Update'!N20:AM420, ""select * order by AJ desc ""),IF(Projections!Z17=""z fg%"", QUERY('Final Update'!N20:AM420, ""select * order by AK desc ""),IF(Projections!Z17=""z ft%"",QUERY('Final U"&amp;"pdate'!N20:AM420, ""select * order by AL desc ""),IF(Projections!Z17=""z to/g"",QUERY('Final Update'!N20:AM420, ""select * order by AM desc ""),IF(Projections!Z17=""ADP"",QUERY('Final Update'!N20:AM420, ""select * order by O asc "")))))))))))))))))))))))"),"Rank")</f>
        <v>Rank</v>
      </c>
      <c r="C5" t="str">
        <f>IFERROR(__xludf.DUMMYFUNCTION("""COMPUTED_VALUE"""),"ADP")</f>
        <v>ADP</v>
      </c>
      <c r="D5" t="str">
        <f>IFERROR(__xludf.DUMMYFUNCTION("""COMPUTED_VALUE"""),"Player")</f>
        <v>Player</v>
      </c>
      <c r="E5" t="str">
        <f>IFERROR(__xludf.DUMMYFUNCTION("""COMPUTED_VALUE"""),"GP")</f>
        <v>GP</v>
      </c>
      <c r="F5" t="str">
        <f>IFERROR(__xludf.DUMMYFUNCTION("""COMPUTED_VALUE"""),"Pos")</f>
        <v>Pos</v>
      </c>
      <c r="G5" t="str">
        <f>IFERROR(__xludf.DUMMYFUNCTION("""COMPUTED_VALUE"""),"LeagV")</f>
        <v>LeagV</v>
      </c>
      <c r="H5" t="str">
        <f>IFERROR(__xludf.DUMMYFUNCTION("""COMPUTED_VALUE"""),"PuntV")</f>
        <v>PuntV</v>
      </c>
      <c r="I5" t="str">
        <f>IFERROR(__xludf.DUMMYFUNCTION("""COMPUTED_VALUE"""),"Punt+")</f>
        <v>Punt+</v>
      </c>
      <c r="J5" t="str">
        <f>IFERROR(__xludf.DUMMYFUNCTION("""COMPUTED_VALUE"""),"PTS")</f>
        <v>PTS</v>
      </c>
      <c r="K5" t="str">
        <f>IFERROR(__xludf.DUMMYFUNCTION("""COMPUTED_VALUE"""),"3P")</f>
        <v>3P</v>
      </c>
      <c r="L5" t="str">
        <f>IFERROR(__xludf.DUMMYFUNCTION("""COMPUTED_VALUE"""),"REB")</f>
        <v>REB</v>
      </c>
      <c r="M5" t="str">
        <f>IFERROR(__xludf.DUMMYFUNCTION("""COMPUTED_VALUE"""),"AST")</f>
        <v>AST</v>
      </c>
      <c r="N5" t="str">
        <f>IFERROR(__xludf.DUMMYFUNCTION("""COMPUTED_VALUE"""),"STL")</f>
        <v>STL</v>
      </c>
      <c r="O5" t="str">
        <f>IFERROR(__xludf.DUMMYFUNCTION("""COMPUTED_VALUE"""),"BLK")</f>
        <v>BLK</v>
      </c>
      <c r="P5" t="str">
        <f>IFERROR(__xludf.DUMMYFUNCTION("""COMPUTED_VALUE"""),"FG%")</f>
        <v>FG%</v>
      </c>
      <c r="Q5" t="str">
        <f>IFERROR(__xludf.DUMMYFUNCTION("""COMPUTED_VALUE"""),"FT%")</f>
        <v>FT%</v>
      </c>
      <c r="R5" t="str">
        <f>IFERROR(__xludf.DUMMYFUNCTION("""COMPUTED_VALUE"""),"TO")</f>
        <v>TO</v>
      </c>
      <c r="S5" t="str">
        <f>IFERROR(__xludf.DUMMYFUNCTION("""COMPUTED_VALUE"""),"z p/g")</f>
        <v>z p/g</v>
      </c>
      <c r="T5" t="str">
        <f>IFERROR(__xludf.DUMMYFUNCTION("""COMPUTED_VALUE"""),"z 3/g")</f>
        <v>z 3/g</v>
      </c>
      <c r="U5" t="str">
        <f>IFERROR(__xludf.DUMMYFUNCTION("""COMPUTED_VALUE"""),"z r/g")</f>
        <v>z r/g</v>
      </c>
      <c r="V5" t="str">
        <f>IFERROR(__xludf.DUMMYFUNCTION("""COMPUTED_VALUE"""),"z a/g")</f>
        <v>z a/g</v>
      </c>
      <c r="W5" t="str">
        <f>IFERROR(__xludf.DUMMYFUNCTION("""COMPUTED_VALUE"""),"z s/g")</f>
        <v>z s/g</v>
      </c>
      <c r="X5" t="str">
        <f>IFERROR(__xludf.DUMMYFUNCTION("""COMPUTED_VALUE"""),"z b/g")</f>
        <v>z b/g</v>
      </c>
      <c r="Y5" t="str">
        <f>IFERROR(__xludf.DUMMYFUNCTION("""COMPUTED_VALUE"""),"z fg%")</f>
        <v>z fg%</v>
      </c>
      <c r="Z5" t="str">
        <f>IFERROR(__xludf.DUMMYFUNCTION("""COMPUTED_VALUE"""),"z ft%")</f>
        <v>z ft%</v>
      </c>
      <c r="AA5" t="str">
        <f>IFERROR(__xludf.DUMMYFUNCTION("""COMPUTED_VALUE"""),"z to/g")</f>
        <v>z to/g</v>
      </c>
    </row>
    <row r="6">
      <c r="A6" t="str">
        <f>IF(Projections!$AB$17,Draft!D4,"")</f>
        <v/>
      </c>
      <c r="B6">
        <f>IFERROR(__xludf.DUMMYFUNCTION("""COMPUTED_VALUE"""),1.0)</f>
        <v>1</v>
      </c>
      <c r="C6">
        <f>IFERROR(__xludf.DUMMYFUNCTION("""COMPUTED_VALUE"""),2.0)</f>
        <v>2</v>
      </c>
      <c r="D6" t="str">
        <f>IFERROR(__xludf.DUMMYFUNCTION("""COMPUTED_VALUE"""),"Victor Wembanyama")</f>
        <v>Victor Wembanyama</v>
      </c>
      <c r="E6">
        <f>IFERROR(__xludf.DUMMYFUNCTION("""COMPUTED_VALUE"""),72.0)</f>
        <v>72</v>
      </c>
      <c r="F6" t="str">
        <f>IFERROR(__xludf.DUMMYFUNCTION("""COMPUTED_VALUE"""),"PG")</f>
        <v>PG</v>
      </c>
      <c r="G6" s="26">
        <f>IFERROR(__xludf.DUMMYFUNCTION("""COMPUTED_VALUE"""),10.977397674607271)</f>
        <v>10.97739767</v>
      </c>
      <c r="H6" s="26">
        <f>IFERROR(__xludf.DUMMYFUNCTION("""COMPUTED_VALUE"""),11.457149121213128)</f>
        <v>11.45714912</v>
      </c>
      <c r="I6" s="26">
        <f>IFERROR(__xludf.DUMMYFUNCTION("""COMPUTED_VALUE"""),0.47975144660585656)</f>
        <v>0.4797514466</v>
      </c>
      <c r="J6" s="26">
        <f>IFERROR(__xludf.DUMMYFUNCTION("""COMPUTED_VALUE"""),25.20041096)</f>
        <v>25.20041096</v>
      </c>
      <c r="K6" s="26">
        <f>IFERROR(__xludf.DUMMYFUNCTION("""COMPUTED_VALUE"""),2.309589041)</f>
        <v>2.309589041</v>
      </c>
      <c r="L6" s="26">
        <f>IFERROR(__xludf.DUMMYFUNCTION("""COMPUTED_VALUE"""),12.32493151)</f>
        <v>12.32493151</v>
      </c>
      <c r="M6" s="26">
        <f>IFERROR(__xludf.DUMMYFUNCTION("""COMPUTED_VALUE"""),5.170821918)</f>
        <v>5.170821918</v>
      </c>
      <c r="N6" s="26">
        <f>IFERROR(__xludf.DUMMYFUNCTION("""COMPUTED_VALUE"""),1.274931507)</f>
        <v>1.274931507</v>
      </c>
      <c r="O6" s="26">
        <f>IFERROR(__xludf.DUMMYFUNCTION("""COMPUTED_VALUE"""),4.125479452)</f>
        <v>4.125479452</v>
      </c>
      <c r="P6" s="464">
        <f>IFERROR(__xludf.DUMMYFUNCTION("""COMPUTED_VALUE"""),0.4727531115)</f>
        <v>0.4727531115</v>
      </c>
      <c r="Q6" s="464">
        <f>IFERROR(__xludf.DUMMYFUNCTION("""COMPUTED_VALUE"""),0.7959939721)</f>
        <v>0.7959939721</v>
      </c>
      <c r="R6" s="26">
        <f>IFERROR(__xludf.DUMMYFUNCTION("""COMPUTED_VALUE"""),3.683287671)</f>
        <v>3.683287671</v>
      </c>
      <c r="S6" s="26">
        <f>IFERROR(__xludf.DUMMYFUNCTION("""COMPUTED_VALUE"""),1.3900853934109552)</f>
        <v>1.390085393</v>
      </c>
      <c r="T6" s="26">
        <f>IFERROR(__xludf.DUMMYFUNCTION("""COMPUTED_VALUE"""),0.5563949112870124)</f>
        <v>0.5563949113</v>
      </c>
      <c r="U6" s="26">
        <f>IFERROR(__xludf.DUMMYFUNCTION("""COMPUTED_VALUE"""),2.446125993762296)</f>
        <v>2.446125994</v>
      </c>
      <c r="V6" s="26">
        <f>IFERROR(__xludf.DUMMYFUNCTION("""COMPUTED_VALUE"""),0.5619910975905569)</f>
        <v>0.5619910976</v>
      </c>
      <c r="W6" s="26">
        <f>IFERROR(__xludf.DUMMYFUNCTION("""COMPUTED_VALUE"""),0.9889591040965529)</f>
        <v>0.9889591041</v>
      </c>
      <c r="X6" s="26">
        <f>IFERROR(__xludf.DUMMYFUNCTION("""COMPUTED_VALUE"""),6.023044776166665)</f>
        <v>6.023044776</v>
      </c>
      <c r="Y6" s="26">
        <f>IFERROR(__xludf.DUMMYFUNCTION("""COMPUTED_VALUE"""),-0.5327661677956241)</f>
        <v>-0.5327661678</v>
      </c>
      <c r="Z6" s="26">
        <f>IFERROR(__xludf.DUMMYFUNCTION("""COMPUTED_VALUE"""),0.023314012694714704)</f>
        <v>0.02331401269</v>
      </c>
      <c r="AA6" s="26">
        <f>IFERROR(__xludf.DUMMYFUNCTION("""COMPUTED_VALUE"""),0.0)</f>
        <v>0</v>
      </c>
      <c r="AB6" t="str">
        <f>IFERROR(__xludf.DUMMYFUNCTION("SUBSTITUTE(REGEXREPLACE(REGEXREPLACE(REGEXREPLACE(REGEXREPLACE(REGEXREPLACE(REGEXREPLACE(F6,"","",),IF(Projections!$T$17="""",""PG"",),),IF(Projections!$U$17="""",""SG"",),),IF(Projections!$V$17="""",""SF"",),),IF(Projections!$W$17="""",""PF"",),),IF(Proj"&amp;"ections!$X$17="""",""C"",),),""/"","""")"),"PG")</f>
        <v>PG</v>
      </c>
    </row>
    <row r="7">
      <c r="A7" t="str">
        <f>IF(Projections!$AB$17,Draft!D5,"")</f>
        <v/>
      </c>
      <c r="B7">
        <f>IFERROR(__xludf.DUMMYFUNCTION("""COMPUTED_VALUE"""),2.0)</f>
        <v>2</v>
      </c>
      <c r="C7">
        <f>IFERROR(__xludf.DUMMYFUNCTION("""COMPUTED_VALUE"""),9.6)</f>
        <v>9.6</v>
      </c>
      <c r="D7" t="str">
        <f>IFERROR(__xludf.DUMMYFUNCTION("""COMPUTED_VALUE"""),"Joel Embiid")</f>
        <v>Joel Embiid</v>
      </c>
      <c r="E7">
        <f>IFERROR(__xludf.DUMMYFUNCTION("""COMPUTED_VALUE"""),68.0)</f>
        <v>68</v>
      </c>
      <c r="F7" t="str">
        <f>IFERROR(__xludf.DUMMYFUNCTION("""COMPUTED_VALUE"""),"C")</f>
        <v>C</v>
      </c>
      <c r="G7" s="26">
        <f>IFERROR(__xludf.DUMMYFUNCTION("""COMPUTED_VALUE"""),8.957904690194928)</f>
        <v>8.95790469</v>
      </c>
      <c r="H7" s="26">
        <f>IFERROR(__xludf.DUMMYFUNCTION("""COMPUTED_VALUE"""),9.410476436812917)</f>
        <v>9.410476437</v>
      </c>
      <c r="I7" s="26">
        <f>IFERROR(__xludf.DUMMYFUNCTION("""COMPUTED_VALUE"""),0.4525717466179895)</f>
        <v>0.4525717466</v>
      </c>
      <c r="J7" s="26">
        <f>IFERROR(__xludf.DUMMYFUNCTION("""COMPUTED_VALUE"""),30.23877193)</f>
        <v>30.23877193</v>
      </c>
      <c r="K7" s="26">
        <f>IFERROR(__xludf.DUMMYFUNCTION("""COMPUTED_VALUE"""),1.142982456)</f>
        <v>1.142982456</v>
      </c>
      <c r="L7" s="26">
        <f>IFERROR(__xludf.DUMMYFUNCTION("""COMPUTED_VALUE"""),10.51052632)</f>
        <v>10.51052632</v>
      </c>
      <c r="M7" s="26">
        <f>IFERROR(__xludf.DUMMYFUNCTION("""COMPUTED_VALUE"""),5.037368421)</f>
        <v>5.037368421</v>
      </c>
      <c r="N7" s="26">
        <f>IFERROR(__xludf.DUMMYFUNCTION("""COMPUTED_VALUE"""),1.143859649)</f>
        <v>1.143859649</v>
      </c>
      <c r="O7" s="26">
        <f>IFERROR(__xludf.DUMMYFUNCTION("""COMPUTED_VALUE"""),1.551052632)</f>
        <v>1.551052632</v>
      </c>
      <c r="P7" s="464">
        <f>IFERROR(__xludf.DUMMYFUNCTION("""COMPUTED_VALUE"""),0.5367911594)</f>
        <v>0.5367911594</v>
      </c>
      <c r="Q7" s="464">
        <f>IFERROR(__xludf.DUMMYFUNCTION("""COMPUTED_VALUE"""),0.8699991153)</f>
        <v>0.8699991153</v>
      </c>
      <c r="R7" s="26">
        <f>IFERROR(__xludf.DUMMYFUNCTION("""COMPUTED_VALUE"""),3.573684211)</f>
        <v>3.573684211</v>
      </c>
      <c r="S7" s="26">
        <f>IFERROR(__xludf.DUMMYFUNCTION("""COMPUTED_VALUE"""),2.2982783682718377)</f>
        <v>2.298278368</v>
      </c>
      <c r="T7" s="26">
        <f>IFERROR(__xludf.DUMMYFUNCTION("""COMPUTED_VALUE"""),-0.6007954542058588)</f>
        <v>-0.6007954542</v>
      </c>
      <c r="U7" s="26">
        <f>IFERROR(__xludf.DUMMYFUNCTION("""COMPUTED_VALUE"""),1.7350479056104444)</f>
        <v>1.735047906</v>
      </c>
      <c r="V7" s="26">
        <f>IFERROR(__xludf.DUMMYFUNCTION("""COMPUTED_VALUE"""),0.5013847387233921)</f>
        <v>0.5013847387</v>
      </c>
      <c r="W7" s="26">
        <f>IFERROR(__xludf.DUMMYFUNCTION("""COMPUTED_VALUE"""),0.5553323226280126)</f>
        <v>0.5553323226</v>
      </c>
      <c r="X7" s="26">
        <f>IFERROR(__xludf.DUMMYFUNCTION("""COMPUTED_VALUE"""),1.4311739809683646)</f>
        <v>1.431173981</v>
      </c>
      <c r="Y7" s="26">
        <f>IFERROR(__xludf.DUMMYFUNCTION("""COMPUTED_VALUE"""),0.8770105201052155)</f>
        <v>0.8770105201</v>
      </c>
      <c r="Z7" s="26">
        <f>IFERROR(__xludf.DUMMYFUNCTION("""COMPUTED_VALUE"""),2.61304405471151)</f>
        <v>2.613044055</v>
      </c>
      <c r="AA7" s="26">
        <f>IFERROR(__xludf.DUMMYFUNCTION("""COMPUTED_VALUE"""),0.0)</f>
        <v>0</v>
      </c>
      <c r="AB7" t="str">
        <f>IFERROR(__xludf.DUMMYFUNCTION("SUBSTITUTE(REGEXREPLACE(REGEXREPLACE(REGEXREPLACE(REGEXREPLACE(REGEXREPLACE(REGEXREPLACE(F7,"","",),IF(Projections!$T$17="""",""PG"",),),IF(Projections!$U$17="""",""SG"",),),IF(Projections!$V$17="""",""SF"",),),IF(Projections!$W$17="""",""PF"",),),IF(Proj"&amp;"ections!$X$17="""",""C"",),),""/"","""")"),"C")</f>
        <v>C</v>
      </c>
    </row>
    <row r="8">
      <c r="A8" t="str">
        <f>IF(Projections!$AB$17,Draft!D6,"")</f>
        <v/>
      </c>
      <c r="B8">
        <f>IFERROR(__xludf.DUMMYFUNCTION("""COMPUTED_VALUE"""),3.0)</f>
        <v>3</v>
      </c>
      <c r="C8">
        <f>IFERROR(__xludf.DUMMYFUNCTION("""COMPUTED_VALUE"""),2.4)</f>
        <v>2.4</v>
      </c>
      <c r="D8" t="str">
        <f>IFERROR(__xludf.DUMMYFUNCTION("""COMPUTED_VALUE"""),"Nikola Jokic")</f>
        <v>Nikola Jokic</v>
      </c>
      <c r="E8">
        <f>IFERROR(__xludf.DUMMYFUNCTION("""COMPUTED_VALUE"""),67.0)</f>
        <v>67</v>
      </c>
      <c r="F8" t="str">
        <f>IFERROR(__xludf.DUMMYFUNCTION("""COMPUTED_VALUE"""),"PF,C")</f>
        <v>PF,C</v>
      </c>
      <c r="G8" s="26">
        <f>IFERROR(__xludf.DUMMYFUNCTION("""COMPUTED_VALUE"""),8.517820594732509)</f>
        <v>8.517820595</v>
      </c>
      <c r="H8" s="26">
        <f>IFERROR(__xludf.DUMMYFUNCTION("""COMPUTED_VALUE"""),8.881589989729328)</f>
        <v>8.88158999</v>
      </c>
      <c r="I8" s="26">
        <f>IFERROR(__xludf.DUMMYFUNCTION("""COMPUTED_VALUE"""),0.3637693949968188)</f>
        <v>0.363769395</v>
      </c>
      <c r="J8" s="26">
        <f>IFERROR(__xludf.DUMMYFUNCTION("""COMPUTED_VALUE"""),25.55948052)</f>
        <v>25.55948052</v>
      </c>
      <c r="K8" s="26">
        <f>IFERROR(__xludf.DUMMYFUNCTION("""COMPUTED_VALUE"""),0.9916883117)</f>
        <v>0.9916883117</v>
      </c>
      <c r="L8" s="26">
        <f>IFERROR(__xludf.DUMMYFUNCTION("""COMPUTED_VALUE"""),11.79064935)</f>
        <v>11.79064935</v>
      </c>
      <c r="M8" s="26">
        <f>IFERROR(__xludf.DUMMYFUNCTION("""COMPUTED_VALUE"""),8.360649351)</f>
        <v>8.360649351</v>
      </c>
      <c r="N8" s="26">
        <f>IFERROR(__xludf.DUMMYFUNCTION("""COMPUTED_VALUE"""),1.492597403)</f>
        <v>1.492597403</v>
      </c>
      <c r="O8" s="26">
        <f>IFERROR(__xludf.DUMMYFUNCTION("""COMPUTED_VALUE"""),0.788961039)</f>
        <v>0.788961039</v>
      </c>
      <c r="P8" s="464">
        <f>IFERROR(__xludf.DUMMYFUNCTION("""COMPUTED_VALUE"""),0.5897010341)</f>
        <v>0.5897010341</v>
      </c>
      <c r="Q8" s="464">
        <f>IFERROR(__xludf.DUMMYFUNCTION("""COMPUTED_VALUE"""),0.8110073214)</f>
        <v>0.8110073214</v>
      </c>
      <c r="R8" s="26">
        <f>IFERROR(__xludf.DUMMYFUNCTION("""COMPUTED_VALUE"""),3.215584416)</f>
        <v>3.215584416</v>
      </c>
      <c r="S8" s="26">
        <f>IFERROR(__xludf.DUMMYFUNCTION("""COMPUTED_VALUE"""),1.4548097063016192)</f>
        <v>1.454809706</v>
      </c>
      <c r="T8" s="26">
        <f>IFERROR(__xludf.DUMMYFUNCTION("""COMPUTED_VALUE"""),-0.7508684337265839)</f>
        <v>-0.7508684337</v>
      </c>
      <c r="U8" s="26">
        <f>IFERROR(__xludf.DUMMYFUNCTION("""COMPUTED_VALUE"""),2.2367370772400488)</f>
        <v>2.236737077</v>
      </c>
      <c r="V8" s="26">
        <f>IFERROR(__xludf.DUMMYFUNCTION("""COMPUTED_VALUE"""),2.0106142545298287)</f>
        <v>2.010614255</v>
      </c>
      <c r="W8" s="26">
        <f>IFERROR(__xludf.DUMMYFUNCTION("""COMPUTED_VALUE"""),1.7090661000464076)</f>
        <v>1.7090661</v>
      </c>
      <c r="X8" s="26">
        <f>IFERROR(__xludf.DUMMYFUNCTION("""COMPUTED_VALUE"""),0.07187096952644342)</f>
        <v>0.07187096953</v>
      </c>
      <c r="Y8" s="26">
        <f>IFERROR(__xludf.DUMMYFUNCTION("""COMPUTED_VALUE"""),1.8597186873550178)</f>
        <v>1.859718687</v>
      </c>
      <c r="Z8" s="26">
        <f>IFERROR(__xludf.DUMMYFUNCTION("""COMPUTED_VALUE"""),0.2896416284565464)</f>
        <v>0.2896416285</v>
      </c>
      <c r="AA8" s="26">
        <f>IFERROR(__xludf.DUMMYFUNCTION("""COMPUTED_VALUE"""),0.0)</f>
        <v>0</v>
      </c>
      <c r="AB8" t="str">
        <f>IFERROR(__xludf.DUMMYFUNCTION("SUBSTITUTE(REGEXREPLACE(REGEXREPLACE(REGEXREPLACE(REGEXREPLACE(REGEXREPLACE(REGEXREPLACE(F8,"","",),IF(Projections!$T$17="""",""PG"",),),IF(Projections!$U$17="""",""SG"",),),IF(Projections!$V$17="""",""SF"",),),IF(Projections!$W$17="""",""PF"",),),IF(Proj"&amp;"ections!$X$17="""",""C"",),),""/"","""")"),"PFC")</f>
        <v>PFC</v>
      </c>
    </row>
    <row r="9">
      <c r="A9" t="str">
        <f>IF(Projections!$AB$17,Draft!D7,"")</f>
        <v/>
      </c>
      <c r="B9">
        <f>IFERROR(__xludf.DUMMYFUNCTION("""COMPUTED_VALUE"""),4.0)</f>
        <v>4</v>
      </c>
      <c r="C9">
        <f>IFERROR(__xludf.DUMMYFUNCTION("""COMPUTED_VALUE"""),3.8)</f>
        <v>3.8</v>
      </c>
      <c r="D9" t="str">
        <f>IFERROR(__xludf.DUMMYFUNCTION("""COMPUTED_VALUE"""),"Luka Doncic")</f>
        <v>Luka Doncic</v>
      </c>
      <c r="E9">
        <f>IFERROR(__xludf.DUMMYFUNCTION("""COMPUTED_VALUE"""),68.0)</f>
        <v>68</v>
      </c>
      <c r="F9" t="str">
        <f>IFERROR(__xludf.DUMMYFUNCTION("""COMPUTED_VALUE"""),"PG,SG")</f>
        <v>PG,SG</v>
      </c>
      <c r="G9" s="26">
        <f>IFERROR(__xludf.DUMMYFUNCTION("""COMPUTED_VALUE"""),8.299053452451961)</f>
        <v>8.299053452</v>
      </c>
      <c r="H9" s="26">
        <f>IFERROR(__xludf.DUMMYFUNCTION("""COMPUTED_VALUE"""),8.833457384158983)</f>
        <v>8.833457384</v>
      </c>
      <c r="I9" s="26">
        <f>IFERROR(__xludf.DUMMYFUNCTION("""COMPUTED_VALUE"""),0.5344039317070219)</f>
        <v>0.5344039317</v>
      </c>
      <c r="J9" s="26">
        <f>IFERROR(__xludf.DUMMYFUNCTION("""COMPUTED_VALUE"""),31.87132353)</f>
        <v>31.87132353</v>
      </c>
      <c r="K9" s="26">
        <f>IFERROR(__xludf.DUMMYFUNCTION("""COMPUTED_VALUE"""),3.974117647)</f>
        <v>3.974117647</v>
      </c>
      <c r="L9" s="26">
        <f>IFERROR(__xludf.DUMMYFUNCTION("""COMPUTED_VALUE"""),9.108970588)</f>
        <v>9.108970588</v>
      </c>
      <c r="M9" s="26">
        <f>IFERROR(__xludf.DUMMYFUNCTION("""COMPUTED_VALUE"""),9.498235294)</f>
        <v>9.498235294</v>
      </c>
      <c r="N9" s="26">
        <f>IFERROR(__xludf.DUMMYFUNCTION("""COMPUTED_VALUE"""),1.394852941)</f>
        <v>1.394852941</v>
      </c>
      <c r="O9" s="26">
        <f>IFERROR(__xludf.DUMMYFUNCTION("""COMPUTED_VALUE"""),0.5467647059)</f>
        <v>0.5467647059</v>
      </c>
      <c r="P9" s="464">
        <f>IFERROR(__xludf.DUMMYFUNCTION("""COMPUTED_VALUE"""),0.4797165326)</f>
        <v>0.4797165326</v>
      </c>
      <c r="Q9" s="464">
        <f>IFERROR(__xludf.DUMMYFUNCTION("""COMPUTED_VALUE"""),0.7859938088)</f>
        <v>0.7859938088</v>
      </c>
      <c r="R9" s="26">
        <f>IFERROR(__xludf.DUMMYFUNCTION("""COMPUTED_VALUE"""),3.903676471)</f>
        <v>3.903676471</v>
      </c>
      <c r="S9" s="26">
        <f>IFERROR(__xludf.DUMMYFUNCTION("""COMPUTED_VALUE"""),2.5925549997093618)</f>
        <v>2.592555</v>
      </c>
      <c r="T9" s="26">
        <f>IFERROR(__xludf.DUMMYFUNCTION("""COMPUTED_VALUE"""),2.2074883396259914)</f>
        <v>2.20748834</v>
      </c>
      <c r="U9" s="26">
        <f>IFERROR(__xludf.DUMMYFUNCTION("""COMPUTED_VALUE"""),1.185768408482888)</f>
        <v>1.185768408</v>
      </c>
      <c r="V9" s="26">
        <f>IFERROR(__xludf.DUMMYFUNCTION("""COMPUTED_VALUE"""),2.5272357253310047)</f>
        <v>2.527235725</v>
      </c>
      <c r="W9" s="26">
        <f>IFERROR(__xludf.DUMMYFUNCTION("""COMPUTED_VALUE"""),1.3856967886612432)</f>
        <v>1.385696789</v>
      </c>
      <c r="X9" s="26">
        <f>IFERROR(__xludf.DUMMYFUNCTION("""COMPUTED_VALUE"""),-0.36012199295598174)</f>
        <v>-0.360121993</v>
      </c>
      <c r="Y9" s="26">
        <f>IFERROR(__xludf.DUMMYFUNCTION("""COMPUTED_VALUE"""),-0.46671174701275525)</f>
        <v>-0.466711747</v>
      </c>
      <c r="Z9" s="26">
        <f>IFERROR(__xludf.DUMMYFUNCTION("""COMPUTED_VALUE"""),-0.23845313768276888)</f>
        <v>-0.2384531377</v>
      </c>
      <c r="AA9" s="26">
        <f>IFERROR(__xludf.DUMMYFUNCTION("""COMPUTED_VALUE"""),0.0)</f>
        <v>0</v>
      </c>
      <c r="AB9" t="str">
        <f>IFERROR(__xludf.DUMMYFUNCTION("SUBSTITUTE(REGEXREPLACE(REGEXREPLACE(REGEXREPLACE(REGEXREPLACE(REGEXREPLACE(REGEXREPLACE(F9,"","",),IF(Projections!$T$17="""",""PG"",),),IF(Projections!$U$17="""",""SG"",),),IF(Projections!$V$17="""",""SF"",),),IF(Projections!$W$17="""",""PF"",),),IF(Proj"&amp;"ections!$X$17="""",""C"",),),""/"","""")"),"PGSG")</f>
        <v>PGSG</v>
      </c>
    </row>
    <row r="10">
      <c r="A10" t="str">
        <f>IF(Projections!$AB$17,Draft!D8,"")</f>
        <v/>
      </c>
      <c r="B10">
        <f>IFERROR(__xludf.DUMMYFUNCTION("""COMPUTED_VALUE"""),5.0)</f>
        <v>5</v>
      </c>
      <c r="C10">
        <f>IFERROR(__xludf.DUMMYFUNCTION("""COMPUTED_VALUE"""),7.4)</f>
        <v>7.4</v>
      </c>
      <c r="D10" t="str">
        <f>IFERROR(__xludf.DUMMYFUNCTION("""COMPUTED_VALUE"""),"Anthony Davis")</f>
        <v>Anthony Davis</v>
      </c>
      <c r="E10">
        <f>IFERROR(__xludf.DUMMYFUNCTION("""COMPUTED_VALUE"""),74.0)</f>
        <v>74</v>
      </c>
      <c r="F10" t="str">
        <f>IFERROR(__xludf.DUMMYFUNCTION("""COMPUTED_VALUE"""),"SF,PF")</f>
        <v>SF,PF</v>
      </c>
      <c r="G10" s="26">
        <f>IFERROR(__xludf.DUMMYFUNCTION("""COMPUTED_VALUE"""),7.557301441135948)</f>
        <v>7.557301441</v>
      </c>
      <c r="H10" s="26">
        <f>IFERROR(__xludf.DUMMYFUNCTION("""COMPUTED_VALUE"""),7.711756738160858)</f>
        <v>7.711756738</v>
      </c>
      <c r="I10" s="26">
        <f>IFERROR(__xludf.DUMMYFUNCTION("""COMPUTED_VALUE"""),0.15445529702491)</f>
        <v>0.154455297</v>
      </c>
      <c r="J10" s="26">
        <f>IFERROR(__xludf.DUMMYFUNCTION("""COMPUTED_VALUE"""),25.12242424)</f>
        <v>25.12242424</v>
      </c>
      <c r="K10" s="26">
        <f>IFERROR(__xludf.DUMMYFUNCTION("""COMPUTED_VALUE"""),0.5036363636)</f>
        <v>0.5036363636</v>
      </c>
      <c r="L10" s="26">
        <f>IFERROR(__xludf.DUMMYFUNCTION("""COMPUTED_VALUE"""),13.46393939)</f>
        <v>13.46393939</v>
      </c>
      <c r="M10" s="26">
        <f>IFERROR(__xludf.DUMMYFUNCTION("""COMPUTED_VALUE"""),3.366060606)</f>
        <v>3.366060606</v>
      </c>
      <c r="N10" s="26">
        <f>IFERROR(__xludf.DUMMYFUNCTION("""COMPUTED_VALUE"""),1.307878788)</f>
        <v>1.307878788</v>
      </c>
      <c r="O10" s="26">
        <f>IFERROR(__xludf.DUMMYFUNCTION("""COMPUTED_VALUE"""),2.065454545)</f>
        <v>2.065454545</v>
      </c>
      <c r="P10" s="464">
        <f>IFERROR(__xludf.DUMMYFUNCTION("""COMPUTED_VALUE"""),0.556141401)</f>
        <v>0.556141401</v>
      </c>
      <c r="Q10" s="464">
        <f>IFERROR(__xludf.DUMMYFUNCTION("""COMPUTED_VALUE"""),0.8080080528)</f>
        <v>0.8080080528</v>
      </c>
      <c r="R10" s="26">
        <f>IFERROR(__xludf.DUMMYFUNCTION("""COMPUTED_VALUE"""),2.371515152)</f>
        <v>2.371515152</v>
      </c>
      <c r="S10" s="26">
        <f>IFERROR(__xludf.DUMMYFUNCTION("""COMPUTED_VALUE"""),1.37602784738395)</f>
        <v>1.376027847</v>
      </c>
      <c r="T10" s="26">
        <f>IFERROR(__xludf.DUMMYFUNCTION("""COMPUTED_VALUE"""),-1.2349810895807822)</f>
        <v>-1.23498109</v>
      </c>
      <c r="U10" s="26">
        <f>IFERROR(__xludf.DUMMYFUNCTION("""COMPUTED_VALUE"""),2.8925111508177013)</f>
        <v>2.892511151</v>
      </c>
      <c r="V10" s="26">
        <f>IFERROR(__xludf.DUMMYFUNCTION("""COMPUTED_VALUE"""),-0.2576203341327158)</f>
        <v>-0.2576203341</v>
      </c>
      <c r="W10" s="26">
        <f>IFERROR(__xludf.DUMMYFUNCTION("""COMPUTED_VALUE"""),1.0979590346397636)</f>
        <v>1.097959035</v>
      </c>
      <c r="X10" s="26">
        <f>IFERROR(__xludf.DUMMYFUNCTION("""COMPUTED_VALUE"""),2.3486858336839282)</f>
        <v>2.348685834</v>
      </c>
      <c r="Y10" s="26">
        <f>IFERROR(__xludf.DUMMYFUNCTION("""COMPUTED_VALUE"""),1.1791629477595917)</f>
        <v>1.179162948</v>
      </c>
      <c r="Z10" s="26">
        <f>IFERROR(__xludf.DUMMYFUNCTION("""COMPUTED_VALUE"""),0.31001134758942167)</f>
        <v>0.3100113476</v>
      </c>
      <c r="AA10" s="26">
        <f>IFERROR(__xludf.DUMMYFUNCTION("""COMPUTED_VALUE"""),0.0)</f>
        <v>0</v>
      </c>
      <c r="AB10" t="str">
        <f>IFERROR(__xludf.DUMMYFUNCTION("SUBSTITUTE(REGEXREPLACE(REGEXREPLACE(REGEXREPLACE(REGEXREPLACE(REGEXREPLACE(REGEXREPLACE(F10,"","",),IF(Projections!$T$17="""",""PG"",),),IF(Projections!$U$17="""",""SG"",),),IF(Projections!$V$17="""",""SF"",),),IF(Projections!$W$17="""",""PF"",),),IF(Pro"&amp;"jections!$X$17="""",""C"",),),""/"","""")"),"SFPF")</f>
        <v>SFPF</v>
      </c>
    </row>
    <row r="11">
      <c r="A11" t="str">
        <f>IF(Projections!$AB$17,Draft!D9,"")</f>
        <v/>
      </c>
      <c r="B11">
        <f>IFERROR(__xludf.DUMMYFUNCTION("""COMPUTED_VALUE"""),6.0)</f>
        <v>6</v>
      </c>
      <c r="C11">
        <f>IFERROR(__xludf.DUMMYFUNCTION("""COMPUTED_VALUE"""),4.5)</f>
        <v>4.5</v>
      </c>
      <c r="D11" t="str">
        <f>IFERROR(__xludf.DUMMYFUNCTION("""COMPUTED_VALUE"""),"Shai Gilgeous-Alexander")</f>
        <v>Shai Gilgeous-Alexander</v>
      </c>
      <c r="E11">
        <f>IFERROR(__xludf.DUMMYFUNCTION("""COMPUTED_VALUE"""),64.0)</f>
        <v>64</v>
      </c>
      <c r="F11" t="str">
        <f>IFERROR(__xludf.DUMMYFUNCTION("""COMPUTED_VALUE"""),"SG,SF")</f>
        <v>SG,SF</v>
      </c>
      <c r="G11" s="26">
        <f>IFERROR(__xludf.DUMMYFUNCTION("""COMPUTED_VALUE"""),6.736591490731338)</f>
        <v>6.736591491</v>
      </c>
      <c r="H11" s="26">
        <f>IFERROR(__xludf.DUMMYFUNCTION("""COMPUTED_VALUE"""),6.959358711350021)</f>
        <v>6.959358711</v>
      </c>
      <c r="I11" s="26">
        <f>IFERROR(__xludf.DUMMYFUNCTION("""COMPUTED_VALUE"""),0.2227672206186826)</f>
        <v>0.2227672206</v>
      </c>
      <c r="J11" s="26">
        <f>IFERROR(__xludf.DUMMYFUNCTION("""COMPUTED_VALUE"""),29.18123288)</f>
        <v>29.18123288</v>
      </c>
      <c r="K11" s="26">
        <f>IFERROR(__xludf.DUMMYFUNCTION("""COMPUTED_VALUE"""),1.557945205)</f>
        <v>1.557945205</v>
      </c>
      <c r="L11" s="26">
        <f>IFERROR(__xludf.DUMMYFUNCTION("""COMPUTED_VALUE"""),5.437123288)</f>
        <v>5.437123288</v>
      </c>
      <c r="M11" s="26">
        <f>IFERROR(__xludf.DUMMYFUNCTION("""COMPUTED_VALUE"""),6.939589041)</f>
        <v>6.939589041</v>
      </c>
      <c r="N11" s="26">
        <f>IFERROR(__xludf.DUMMYFUNCTION("""COMPUTED_VALUE"""),1.502328767)</f>
        <v>1.502328767</v>
      </c>
      <c r="O11" s="26">
        <f>IFERROR(__xludf.DUMMYFUNCTION("""COMPUTED_VALUE"""),0.7869863014)</f>
        <v>0.7869863014</v>
      </c>
      <c r="P11" s="464">
        <f>IFERROR(__xludf.DUMMYFUNCTION("""COMPUTED_VALUE"""),0.5123976584)</f>
        <v>0.5123976584</v>
      </c>
      <c r="Q11" s="464">
        <f>IFERROR(__xludf.DUMMYFUNCTION("""COMPUTED_VALUE"""),0.8549952613)</f>
        <v>0.8549952613</v>
      </c>
      <c r="R11" s="26">
        <f>IFERROR(__xludf.DUMMYFUNCTION("""COMPUTED_VALUE"""),2.646986301)</f>
        <v>2.646986301</v>
      </c>
      <c r="S11" s="26">
        <f>IFERROR(__xludf.DUMMYFUNCTION("""COMPUTED_VALUE"""),2.107650991319318)</f>
        <v>2.107650991</v>
      </c>
      <c r="T11" s="26">
        <f>IFERROR(__xludf.DUMMYFUNCTION("""COMPUTED_VALUE"""),-0.18918206083448794)</f>
        <v>-0.1891820608</v>
      </c>
      <c r="U11" s="26">
        <f>IFERROR(__xludf.DUMMYFUNCTION("""COMPUTED_VALUE"""),-0.2532542378696264)</f>
        <v>-0.2532542379</v>
      </c>
      <c r="V11" s="26">
        <f>IFERROR(__xludf.DUMMYFUNCTION("""COMPUTED_VALUE"""),1.365256185570836)</f>
        <v>1.365256186</v>
      </c>
      <c r="W11" s="26">
        <f>IFERROR(__xludf.DUMMYFUNCTION("""COMPUTED_VALUE"""),1.7412605017662555)</f>
        <v>1.741260502</v>
      </c>
      <c r="X11" s="26">
        <f>IFERROR(__xludf.DUMMYFUNCTION("""COMPUTED_VALUE"""),0.06834873310349474)</f>
        <v>0.0683487331</v>
      </c>
      <c r="Y11" s="26">
        <f>IFERROR(__xludf.DUMMYFUNCTION("""COMPUTED_VALUE"""),0.35176815797639455)</f>
        <v>0.351768158</v>
      </c>
      <c r="Z11" s="26">
        <f>IFERROR(__xludf.DUMMYFUNCTION("""COMPUTED_VALUE"""),1.7675104403178359)</f>
        <v>1.76751044</v>
      </c>
      <c r="AA11" s="26">
        <f>IFERROR(__xludf.DUMMYFUNCTION("""COMPUTED_VALUE"""),0.0)</f>
        <v>0</v>
      </c>
      <c r="AB11" t="str">
        <f>IFERROR(__xludf.DUMMYFUNCTION("SUBSTITUTE(REGEXREPLACE(REGEXREPLACE(REGEXREPLACE(REGEXREPLACE(REGEXREPLACE(REGEXREPLACE(F11,"","",),IF(Projections!$T$17="""",""PG"",),),IF(Projections!$U$17="""",""SG"",),),IF(Projections!$V$17="""",""SF"",),),IF(Projections!$W$17="""",""PF"",),),IF(Pro"&amp;"jections!$X$17="""",""C"",),),""/"","""")"),"SGSF")</f>
        <v>SGSF</v>
      </c>
    </row>
    <row r="12">
      <c r="A12" t="str">
        <f>IF(Projections!$AB$17,Draft!D10,"")</f>
        <v/>
      </c>
      <c r="B12">
        <f>IFERROR(__xludf.DUMMYFUNCTION("""COMPUTED_VALUE"""),7.0)</f>
        <v>7</v>
      </c>
      <c r="C12">
        <f>IFERROR(__xludf.DUMMYFUNCTION("""COMPUTED_VALUE"""),22.3)</f>
        <v>22.3</v>
      </c>
      <c r="D12" t="str">
        <f>IFERROR(__xludf.DUMMYFUNCTION("""COMPUTED_VALUE"""),"LaMelo Ball")</f>
        <v>LaMelo Ball</v>
      </c>
      <c r="E12">
        <f>IFERROR(__xludf.DUMMYFUNCTION("""COMPUTED_VALUE"""),77.0)</f>
        <v>77</v>
      </c>
      <c r="F12" t="str">
        <f>IFERROR(__xludf.DUMMYFUNCTION("""COMPUTED_VALUE"""),"PG,SG")</f>
        <v>PG,SG</v>
      </c>
      <c r="G12" s="26">
        <f>IFERROR(__xludf.DUMMYFUNCTION("""COMPUTED_VALUE"""),6.171957496592203)</f>
        <v>6.171957497</v>
      </c>
      <c r="H12" s="26">
        <f>IFERROR(__xludf.DUMMYFUNCTION("""COMPUTED_VALUE"""),6.588658143108068)</f>
        <v>6.588658143</v>
      </c>
      <c r="I12" s="26">
        <f>IFERROR(__xludf.DUMMYFUNCTION("""COMPUTED_VALUE"""),0.41670064651586536)</f>
        <v>0.4167006465</v>
      </c>
      <c r="J12" s="26">
        <f>IFERROR(__xludf.DUMMYFUNCTION("""COMPUTED_VALUE"""),26.09983871)</f>
        <v>26.09983871</v>
      </c>
      <c r="K12" s="26">
        <f>IFERROR(__xludf.DUMMYFUNCTION("""COMPUTED_VALUE"""),3.96)</f>
        <v>3.96</v>
      </c>
      <c r="L12" s="26">
        <f>IFERROR(__xludf.DUMMYFUNCTION("""COMPUTED_VALUE"""),5.909677419)</f>
        <v>5.909677419</v>
      </c>
      <c r="M12" s="26">
        <f>IFERROR(__xludf.DUMMYFUNCTION("""COMPUTED_VALUE"""),8.492419355)</f>
        <v>8.492419355</v>
      </c>
      <c r="N12" s="26">
        <f>IFERROR(__xludf.DUMMYFUNCTION("""COMPUTED_VALUE"""),1.680483871)</f>
        <v>1.680483871</v>
      </c>
      <c r="O12" s="26">
        <f>IFERROR(__xludf.DUMMYFUNCTION("""COMPUTED_VALUE"""),0.2917741935)</f>
        <v>0.2917741935</v>
      </c>
      <c r="P12" s="464">
        <f>IFERROR(__xludf.DUMMYFUNCTION("""COMPUTED_VALUE"""),0.4356151932)</f>
        <v>0.4356151932</v>
      </c>
      <c r="Q12" s="464">
        <f>IFERROR(__xludf.DUMMYFUNCTION("""COMPUTED_VALUE"""),0.846013795)</f>
        <v>0.846013795</v>
      </c>
      <c r="R12" s="26">
        <f>IFERROR(__xludf.DUMMYFUNCTION("""COMPUTED_VALUE"""),3.429032258)</f>
        <v>3.429032258</v>
      </c>
      <c r="S12" s="26">
        <f>IFERROR(__xludf.DUMMYFUNCTION("""COMPUTED_VALUE"""),1.5522123169896227)</f>
        <v>1.552212317</v>
      </c>
      <c r="T12" s="26">
        <f>IFERROR(__xludf.DUMMYFUNCTION("""COMPUTED_VALUE"""),2.1934846426626065)</f>
        <v>2.193484643</v>
      </c>
      <c r="U12" s="26">
        <f>IFERROR(__xludf.DUMMYFUNCTION("""COMPUTED_VALUE"""),-0.0680569677825962)</f>
        <v>-0.06805696778</v>
      </c>
      <c r="V12" s="26">
        <f>IFERROR(__xludf.DUMMYFUNCTION("""COMPUTED_VALUE"""),2.070456074563602)</f>
        <v>2.070456075</v>
      </c>
      <c r="W12" s="26">
        <f>IFERROR(__xludf.DUMMYFUNCTION("""COMPUTED_VALUE"""),2.3306534159165455)</f>
        <v>2.330653416</v>
      </c>
      <c r="X12" s="26">
        <f>IFERROR(__xludf.DUMMYFUNCTION("""COMPUTED_VALUE"""),-0.8149352655050185)</f>
        <v>-0.8149352655</v>
      </c>
      <c r="Y12" s="26">
        <f>IFERROR(__xludf.DUMMYFUNCTION("""COMPUTED_VALUE"""),-1.5010523381290475)</f>
        <v>-1.501052338</v>
      </c>
      <c r="Z12" s="26">
        <f>IFERROR(__xludf.DUMMYFUNCTION("""COMPUTED_VALUE"""),0.8258962643923514)</f>
        <v>0.8258962644</v>
      </c>
      <c r="AA12" s="26">
        <f>IFERROR(__xludf.DUMMYFUNCTION("""COMPUTED_VALUE"""),0.0)</f>
        <v>0</v>
      </c>
      <c r="AB12" t="str">
        <f>IFERROR(__xludf.DUMMYFUNCTION("SUBSTITUTE(REGEXREPLACE(REGEXREPLACE(REGEXREPLACE(REGEXREPLACE(REGEXREPLACE(REGEXREPLACE(F12,"","",),IF(Projections!$T$17="""",""PG"",),),IF(Projections!$U$17="""",""SG"",),),IF(Projections!$V$17="""",""SF"",),),IF(Projections!$W$17="""",""PF"",),),IF(Pro"&amp;"jections!$X$17="""",""C"",),),""/"","""")"),"PGSG")</f>
        <v>PGSG</v>
      </c>
    </row>
    <row r="13">
      <c r="A13" t="str">
        <f>IF(Projections!$AB$17,Draft!D11,"")</f>
        <v/>
      </c>
      <c r="B13">
        <f>IFERROR(__xludf.DUMMYFUNCTION("""COMPUTED_VALUE"""),8.0)</f>
        <v>8</v>
      </c>
      <c r="C13">
        <f>IFERROR(__xludf.DUMMYFUNCTION("""COMPUTED_VALUE"""),8.4)</f>
        <v>8.4</v>
      </c>
      <c r="D13" t="str">
        <f>IFERROR(__xludf.DUMMYFUNCTION("""COMPUTED_VALUE"""),"Tyrese Haliburton")</f>
        <v>Tyrese Haliburton</v>
      </c>
      <c r="E13">
        <f>IFERROR(__xludf.DUMMYFUNCTION("""COMPUTED_VALUE"""),73.0)</f>
        <v>73</v>
      </c>
      <c r="F13" t="str">
        <f>IFERROR(__xludf.DUMMYFUNCTION("""COMPUTED_VALUE"""),"SF,PF")</f>
        <v>SF,PF</v>
      </c>
      <c r="G13" s="26">
        <f>IFERROR(__xludf.DUMMYFUNCTION("""COMPUTED_VALUE"""),5.239584635982243)</f>
        <v>5.239584636</v>
      </c>
      <c r="H13" s="26">
        <f>IFERROR(__xludf.DUMMYFUNCTION("""COMPUTED_VALUE"""),5.381228627636958)</f>
        <v>5.381228628</v>
      </c>
      <c r="I13" s="26">
        <f>IFERROR(__xludf.DUMMYFUNCTION("""COMPUTED_VALUE"""),0.14164399165471497)</f>
        <v>0.1416439917</v>
      </c>
      <c r="J13" s="26">
        <f>IFERROR(__xludf.DUMMYFUNCTION("""COMPUTED_VALUE"""),19.71779412)</f>
        <v>19.71779412</v>
      </c>
      <c r="K13" s="26">
        <f>IFERROR(__xludf.DUMMYFUNCTION("""COMPUTED_VALUE"""),2.888382353)</f>
        <v>2.888382353</v>
      </c>
      <c r="L13" s="26">
        <f>IFERROR(__xludf.DUMMYFUNCTION("""COMPUTED_VALUE"""),3.965441176)</f>
        <v>3.965441176</v>
      </c>
      <c r="M13" s="26">
        <f>IFERROR(__xludf.DUMMYFUNCTION("""COMPUTED_VALUE"""),10.62191176)</f>
        <v>10.62191176</v>
      </c>
      <c r="N13" s="26">
        <f>IFERROR(__xludf.DUMMYFUNCTION("""COMPUTED_VALUE"""),1.416176471)</f>
        <v>1.416176471</v>
      </c>
      <c r="O13" s="26">
        <f>IFERROR(__xludf.DUMMYFUNCTION("""COMPUTED_VALUE"""),0.6373529412)</f>
        <v>0.6373529412</v>
      </c>
      <c r="P13" s="464">
        <f>IFERROR(__xludf.DUMMYFUNCTION("""COMPUTED_VALUE"""),0.4795063553)</f>
        <v>0.4795063553</v>
      </c>
      <c r="Q13" s="464">
        <f>IFERROR(__xludf.DUMMYFUNCTION("""COMPUTED_VALUE"""),0.8569964121)</f>
        <v>0.8569964121</v>
      </c>
      <c r="R13" s="26">
        <f>IFERROR(__xludf.DUMMYFUNCTION("""COMPUTED_VALUE"""),2.319852941)</f>
        <v>2.319852941</v>
      </c>
      <c r="S13" s="26">
        <f>IFERROR(__xludf.DUMMYFUNCTION("""COMPUTED_VALUE"""),0.40181279293827227)</f>
        <v>0.4018127929</v>
      </c>
      <c r="T13" s="26">
        <f>IFERROR(__xludf.DUMMYFUNCTION("""COMPUTED_VALUE"""),1.1305165156649861)</f>
        <v>1.130516516</v>
      </c>
      <c r="U13" s="26">
        <f>IFERROR(__xludf.DUMMYFUNCTION("""COMPUTED_VALUE"""),-0.8300167539469965)</f>
        <v>-0.8300167539</v>
      </c>
      <c r="V13" s="26">
        <f>IFERROR(__xludf.DUMMYFUNCTION("""COMPUTED_VALUE"""),3.037540368370697)</f>
        <v>3.037540368</v>
      </c>
      <c r="W13" s="26">
        <f>IFERROR(__xludf.DUMMYFUNCTION("""COMPUTED_VALUE"""),1.4562417082537304)</f>
        <v>1.456241708</v>
      </c>
      <c r="X13" s="26">
        <f>IFERROR(__xludf.DUMMYFUNCTION("""COMPUTED_VALUE"""),-0.19854448419516899)</f>
        <v>-0.1985444842</v>
      </c>
      <c r="Y13" s="26">
        <f>IFERROR(__xludf.DUMMYFUNCTION("""COMPUTED_VALUE"""),-0.3039179224619302)</f>
        <v>-0.3039179225</v>
      </c>
      <c r="Z13" s="26">
        <f>IFERROR(__xludf.DUMMYFUNCTION("""COMPUTED_VALUE"""),0.6875964030133674)</f>
        <v>0.687596403</v>
      </c>
      <c r="AA13" s="26">
        <f>IFERROR(__xludf.DUMMYFUNCTION("""COMPUTED_VALUE"""),0.0)</f>
        <v>0</v>
      </c>
      <c r="AB13" t="str">
        <f>IFERROR(__xludf.DUMMYFUNCTION("SUBSTITUTE(REGEXREPLACE(REGEXREPLACE(REGEXREPLACE(REGEXREPLACE(REGEXREPLACE(REGEXREPLACE(F13,"","",),IF(Projections!$T$17="""",""PG"",),),IF(Projections!$U$17="""",""SG"",),),IF(Projections!$V$17="""",""SF"",),),IF(Projections!$W$17="""",""PF"",),),IF(Pro"&amp;"jections!$X$17="""",""C"",),),""/"","""")"),"SFPF")</f>
        <v>SFPF</v>
      </c>
    </row>
    <row r="14">
      <c r="A14" t="str">
        <f>IF(Projections!$AB$17,Draft!D12,"")</f>
        <v/>
      </c>
      <c r="B14">
        <f>IFERROR(__xludf.DUMMYFUNCTION("""COMPUTED_VALUE"""),9.0)</f>
        <v>9</v>
      </c>
      <c r="C14">
        <f>IFERROR(__xludf.DUMMYFUNCTION("""COMPUTED_VALUE"""),12.4)</f>
        <v>12.4</v>
      </c>
      <c r="D14" t="str">
        <f>IFERROR(__xludf.DUMMYFUNCTION("""COMPUTED_VALUE"""),"Stephen Curry")</f>
        <v>Stephen Curry</v>
      </c>
      <c r="E14">
        <f>IFERROR(__xludf.DUMMYFUNCTION("""COMPUTED_VALUE"""),72.0)</f>
        <v>72</v>
      </c>
      <c r="F14" t="str">
        <f>IFERROR(__xludf.DUMMYFUNCTION("""COMPUTED_VALUE"""),"C")</f>
        <v>C</v>
      </c>
      <c r="G14" s="26">
        <f>IFERROR(__xludf.DUMMYFUNCTION("""COMPUTED_VALUE"""),4.89836431834699)</f>
        <v>4.898364318</v>
      </c>
      <c r="H14" s="26">
        <f>IFERROR(__xludf.DUMMYFUNCTION("""COMPUTED_VALUE"""),5.214872183012166)</f>
        <v>5.214872183</v>
      </c>
      <c r="I14" s="26">
        <f>IFERROR(__xludf.DUMMYFUNCTION("""COMPUTED_VALUE"""),0.31650786466517644)</f>
        <v>0.3165078647</v>
      </c>
      <c r="J14" s="26">
        <f>IFERROR(__xludf.DUMMYFUNCTION("""COMPUTED_VALUE"""),27.32397059)</f>
        <v>27.32397059</v>
      </c>
      <c r="K14" s="26">
        <f>IFERROR(__xludf.DUMMYFUNCTION("""COMPUTED_VALUE"""),5.063235294)</f>
        <v>5.063235294</v>
      </c>
      <c r="L14" s="26">
        <f>IFERROR(__xludf.DUMMYFUNCTION("""COMPUTED_VALUE"""),4.8125)</f>
        <v>4.8125</v>
      </c>
      <c r="M14" s="26">
        <f>IFERROR(__xludf.DUMMYFUNCTION("""COMPUTED_VALUE"""),6.1875)</f>
        <v>6.1875</v>
      </c>
      <c r="N14" s="26">
        <f>IFERROR(__xludf.DUMMYFUNCTION("""COMPUTED_VALUE"""),0.825)</f>
        <v>0.825</v>
      </c>
      <c r="O14" s="26">
        <f>IFERROR(__xludf.DUMMYFUNCTION("""COMPUTED_VALUE"""),0.3408823529)</f>
        <v>0.3408823529</v>
      </c>
      <c r="P14" s="464">
        <f>IFERROR(__xludf.DUMMYFUNCTION("""COMPUTED_VALUE"""),0.4492422534)</f>
        <v>0.4492422534</v>
      </c>
      <c r="Q14" s="464">
        <f>IFERROR(__xludf.DUMMYFUNCTION("""COMPUTED_VALUE"""),0.9219855811)</f>
        <v>0.9219855811</v>
      </c>
      <c r="R14" s="26">
        <f>IFERROR(__xludf.DUMMYFUNCTION("""COMPUTED_VALUE"""),3.025)</f>
        <v>3.025</v>
      </c>
      <c r="S14" s="26">
        <f>IFERROR(__xludf.DUMMYFUNCTION("""COMPUTED_VALUE"""),1.7728689909236546)</f>
        <v>1.772868991</v>
      </c>
      <c r="T14" s="26">
        <f>IFERROR(__xludf.DUMMYFUNCTION("""COMPUTED_VALUE"""),3.287815216056803)</f>
        <v>3.287815216</v>
      </c>
      <c r="U14" s="26">
        <f>IFERROR(__xludf.DUMMYFUNCTION("""COMPUTED_VALUE"""),-0.4980484745120841)</f>
        <v>-0.4980484745</v>
      </c>
      <c r="V14" s="26">
        <f>IFERROR(__xludf.DUMMYFUNCTION("""COMPUTED_VALUE"""),1.0237036647035267)</f>
        <v>1.023703665</v>
      </c>
      <c r="W14" s="26">
        <f>IFERROR(__xludf.DUMMYFUNCTION("""COMPUTED_VALUE"""),-0.4995553202713378)</f>
        <v>-0.4995553203</v>
      </c>
      <c r="X14" s="26">
        <f>IFERROR(__xludf.DUMMYFUNCTION("""COMPUTED_VALUE"""),-0.727343603857086)</f>
        <v>-0.7273436039</v>
      </c>
      <c r="Y14" s="26">
        <f>IFERROR(__xludf.DUMMYFUNCTION("""COMPUTED_VALUE"""),-1.1286194805856642)</f>
        <v>-1.128619481</v>
      </c>
      <c r="Z14" s="26">
        <f>IFERROR(__xludf.DUMMYFUNCTION("""COMPUTED_VALUE"""),1.9840511905543525)</f>
        <v>1.984051191</v>
      </c>
      <c r="AA14" s="26">
        <f>IFERROR(__xludf.DUMMYFUNCTION("""COMPUTED_VALUE"""),0.0)</f>
        <v>0</v>
      </c>
      <c r="AB14" t="str">
        <f>IFERROR(__xludf.DUMMYFUNCTION("SUBSTITUTE(REGEXREPLACE(REGEXREPLACE(REGEXREPLACE(REGEXREPLACE(REGEXREPLACE(REGEXREPLACE(F14,"","",),IF(Projections!$T$17="""",""PG"",),),IF(Projections!$U$17="""",""SG"",),),IF(Projections!$V$17="""",""SF"",),),IF(Projections!$W$17="""",""PF"",),),IF(Pro"&amp;"jections!$X$17="""",""C"",),),""/"","""")"),"C")</f>
        <v>C</v>
      </c>
    </row>
    <row r="15">
      <c r="A15" t="str">
        <f>IF(Projections!$AB$17,Draft!D13,"")</f>
        <v/>
      </c>
      <c r="B15">
        <f>IFERROR(__xludf.DUMMYFUNCTION("""COMPUTED_VALUE"""),10.0)</f>
        <v>10</v>
      </c>
      <c r="C15">
        <f>IFERROR(__xludf.DUMMYFUNCTION("""COMPUTED_VALUE"""),16.2)</f>
        <v>16.2</v>
      </c>
      <c r="D15" t="str">
        <f>IFERROR(__xludf.DUMMYFUNCTION("""COMPUTED_VALUE"""),"James Harden")</f>
        <v>James Harden</v>
      </c>
      <c r="E15">
        <f>IFERROR(__xludf.DUMMYFUNCTION("""COMPUTED_VALUE"""),67.0)</f>
        <v>67</v>
      </c>
      <c r="F15" t="str">
        <f>IFERROR(__xludf.DUMMYFUNCTION("""COMPUTED_VALUE"""),"PG,SG")</f>
        <v>PG,SG</v>
      </c>
      <c r="G15" s="26">
        <f>IFERROR(__xludf.DUMMYFUNCTION("""COMPUTED_VALUE"""),4.551259773101705)</f>
        <v>4.551259773</v>
      </c>
      <c r="H15" s="26">
        <f>IFERROR(__xludf.DUMMYFUNCTION("""COMPUTED_VALUE"""),4.926699862777106)</f>
        <v>4.926699863</v>
      </c>
      <c r="I15" s="26">
        <f>IFERROR(__xludf.DUMMYFUNCTION("""COMPUTED_VALUE"""),0.37544008967540066)</f>
        <v>0.3754400897</v>
      </c>
      <c r="J15" s="26">
        <f>IFERROR(__xludf.DUMMYFUNCTION("""COMPUTED_VALUE"""),22.65044118)</f>
        <v>22.65044118</v>
      </c>
      <c r="K15" s="26">
        <f>IFERROR(__xludf.DUMMYFUNCTION("""COMPUTED_VALUE"""),2.797941176)</f>
        <v>2.797941176</v>
      </c>
      <c r="L15" s="26">
        <f>IFERROR(__xludf.DUMMYFUNCTION("""COMPUTED_VALUE"""),5.900441176)</f>
        <v>5.900441176</v>
      </c>
      <c r="M15" s="26">
        <f>IFERROR(__xludf.DUMMYFUNCTION("""COMPUTED_VALUE"""),9.440735294)</f>
        <v>9.440735294</v>
      </c>
      <c r="N15" s="26">
        <f>IFERROR(__xludf.DUMMYFUNCTION("""COMPUTED_VALUE"""),0.9710294118)</f>
        <v>0.9710294118</v>
      </c>
      <c r="O15" s="26">
        <f>IFERROR(__xludf.DUMMYFUNCTION("""COMPUTED_VALUE"""),0.5552941176)</f>
        <v>0.5552941176</v>
      </c>
      <c r="P15" s="464">
        <f>IFERROR(__xludf.DUMMYFUNCTION("""COMPUTED_VALUE"""),0.4337920333)</f>
        <v>0.4337920333</v>
      </c>
      <c r="Q15" s="464">
        <f>IFERROR(__xludf.DUMMYFUNCTION("""COMPUTED_VALUE"""),0.8789990497)</f>
        <v>0.8789990497</v>
      </c>
      <c r="R15" s="26">
        <f>IFERROR(__xludf.DUMMYFUNCTION("""COMPUTED_VALUE"""),3.262647059)</f>
        <v>3.262647059</v>
      </c>
      <c r="S15" s="26">
        <f>IFERROR(__xludf.DUMMYFUNCTION("""COMPUTED_VALUE"""),0.9304389619438688)</f>
        <v>0.9304389619</v>
      </c>
      <c r="T15" s="26">
        <f>IFERROR(__xludf.DUMMYFUNCTION("""COMPUTED_VALUE"""),1.0408053310943666)</f>
        <v>1.040805331</v>
      </c>
      <c r="U15" s="26">
        <f>IFERROR(__xludf.DUMMYFUNCTION("""COMPUTED_VALUE"""),-0.0716767160341684)</f>
        <v>-0.07167671603</v>
      </c>
      <c r="V15" s="26">
        <f>IFERROR(__xludf.DUMMYFUNCTION("""COMPUTED_VALUE"""),2.501122766785887)</f>
        <v>2.501122767</v>
      </c>
      <c r="W15" s="26">
        <f>IFERROR(__xludf.DUMMYFUNCTION("""COMPUTED_VALUE"""),-0.01644426344495128)</f>
        <v>-0.01644426344</v>
      </c>
      <c r="X15" s="26">
        <f>IFERROR(__xludf.DUMMYFUNCTION("""COMPUTED_VALUE"""),-0.3449085263384095)</f>
        <v>-0.3449085263</v>
      </c>
      <c r="Y15" s="26">
        <f>IFERROR(__xludf.DUMMYFUNCTION("""COMPUTED_VALUE"""),-1.1681525032923803)</f>
        <v>-1.168152503</v>
      </c>
      <c r="Z15" s="26">
        <f>IFERROR(__xludf.DUMMYFUNCTION("""COMPUTED_VALUE"""),2.0555148120628925)</f>
        <v>2.055514812</v>
      </c>
      <c r="AA15" s="26">
        <f>IFERROR(__xludf.DUMMYFUNCTION("""COMPUTED_VALUE"""),0.0)</f>
        <v>0</v>
      </c>
      <c r="AB15" t="str">
        <f>IFERROR(__xludf.DUMMYFUNCTION("SUBSTITUTE(REGEXREPLACE(REGEXREPLACE(REGEXREPLACE(REGEXREPLACE(REGEXREPLACE(REGEXREPLACE(F15,"","",),IF(Projections!$T$17="""",""PG"",),),IF(Projections!$U$17="""",""SG"",),),IF(Projections!$V$17="""",""SF"",),),IF(Projections!$W$17="""",""PF"",),),IF(Pro"&amp;"jections!$X$17="""",""C"",),),""/"","""")"),"PGSG")</f>
        <v>PGSG</v>
      </c>
    </row>
    <row r="16">
      <c r="A16" t="str">
        <f>IF(Projections!$AB$17,Draft!D14,"")</f>
        <v/>
      </c>
      <c r="B16">
        <f>IFERROR(__xludf.DUMMYFUNCTION("""COMPUTED_VALUE"""),13.0)</f>
        <v>13</v>
      </c>
      <c r="C16">
        <f>IFERROR(__xludf.DUMMYFUNCTION("""COMPUTED_VALUE"""),32.1)</f>
        <v>32.1</v>
      </c>
      <c r="D16" t="str">
        <f>IFERROR(__xludf.DUMMYFUNCTION("""COMPUTED_VALUE"""),"Paul George")</f>
        <v>Paul George</v>
      </c>
      <c r="E16">
        <f>IFERROR(__xludf.DUMMYFUNCTION("""COMPUTED_VALUE"""),69.0)</f>
        <v>69</v>
      </c>
      <c r="F16" t="str">
        <f>IFERROR(__xludf.DUMMYFUNCTION("""COMPUTED_VALUE"""),"C")</f>
        <v>C</v>
      </c>
      <c r="G16" s="26">
        <f>IFERROR(__xludf.DUMMYFUNCTION("""COMPUTED_VALUE"""),4.378452010478854)</f>
        <v>4.37845201</v>
      </c>
      <c r="H16" s="26">
        <f>IFERROR(__xludf.DUMMYFUNCTION("""COMPUTED_VALUE"""),4.618205404732)</f>
        <v>4.618205405</v>
      </c>
      <c r="I16" s="26">
        <f>IFERROR(__xludf.DUMMYFUNCTION("""COMPUTED_VALUE"""),0.239753394253146)</f>
        <v>0.2397533943</v>
      </c>
      <c r="J16" s="26">
        <f>IFERROR(__xludf.DUMMYFUNCTION("""COMPUTED_VALUE"""),20.82370968)</f>
        <v>20.82370968</v>
      </c>
      <c r="K16" s="26">
        <f>IFERROR(__xludf.DUMMYFUNCTION("""COMPUTED_VALUE"""),2.860322581)</f>
        <v>2.860322581</v>
      </c>
      <c r="L16" s="26">
        <f>IFERROR(__xludf.DUMMYFUNCTION("""COMPUTED_VALUE"""),6.431290323)</f>
        <v>6.431290323</v>
      </c>
      <c r="M16" s="26">
        <f>IFERROR(__xludf.DUMMYFUNCTION("""COMPUTED_VALUE"""),4.787741935)</f>
        <v>4.787741935</v>
      </c>
      <c r="N16" s="26">
        <f>IFERROR(__xludf.DUMMYFUNCTION("""COMPUTED_VALUE"""),1.589032258)</f>
        <v>1.589032258</v>
      </c>
      <c r="O16" s="26">
        <f>IFERROR(__xludf.DUMMYFUNCTION("""COMPUTED_VALUE"""),0.5001612903)</f>
        <v>0.5001612903</v>
      </c>
      <c r="P16" s="464">
        <f>IFERROR(__xludf.DUMMYFUNCTION("""COMPUTED_VALUE"""),0.4722811616)</f>
        <v>0.4722811616</v>
      </c>
      <c r="Q16" s="464">
        <f>IFERROR(__xludf.DUMMYFUNCTION("""COMPUTED_VALUE"""),0.8910028604)</f>
        <v>0.8910028604</v>
      </c>
      <c r="R16" s="26">
        <f>IFERROR(__xludf.DUMMYFUNCTION("""COMPUTED_VALUE"""),2.715483871)</f>
        <v>2.715483871</v>
      </c>
      <c r="S16" s="26">
        <f>IFERROR(__xludf.DUMMYFUNCTION("""COMPUTED_VALUE"""),0.6011603086009578)</f>
        <v>0.6011603086</v>
      </c>
      <c r="T16" s="26">
        <f>IFERROR(__xludf.DUMMYFUNCTION("""COMPUTED_VALUE"""),1.1026832270192457)</f>
        <v>1.102683227</v>
      </c>
      <c r="U16" s="26">
        <f>IFERROR(__xludf.DUMMYFUNCTION("""COMPUTED_VALUE"""),0.13636677867486113)</f>
        <v>0.1363667787</v>
      </c>
      <c r="V16" s="26">
        <f>IFERROR(__xludf.DUMMYFUNCTION("""COMPUTED_VALUE"""),0.3880197634071937)</f>
        <v>0.3880197634</v>
      </c>
      <c r="W16" s="26">
        <f>IFERROR(__xludf.DUMMYFUNCTION("""COMPUTED_VALUE"""),2.028102821071873)</f>
        <v>2.028102821</v>
      </c>
      <c r="X16" s="26">
        <f>IFERROR(__xludf.DUMMYFUNCTION("""COMPUTED_VALUE"""),-0.4432460737756995)</f>
        <v>-0.4432460738</v>
      </c>
      <c r="Y16" s="26">
        <f>IFERROR(__xludf.DUMMYFUNCTION("""COMPUTED_VALUE"""),-0.45030925961514695)</f>
        <v>-0.4503092596</v>
      </c>
      <c r="Z16" s="26">
        <f>IFERROR(__xludf.DUMMYFUNCTION("""COMPUTED_VALUE"""),1.2554278393487148)</f>
        <v>1.255427839</v>
      </c>
      <c r="AA16" s="26">
        <f>IFERROR(__xludf.DUMMYFUNCTION("""COMPUTED_VALUE"""),0.0)</f>
        <v>0</v>
      </c>
      <c r="AB16" t="str">
        <f>IFERROR(__xludf.DUMMYFUNCTION("SUBSTITUTE(REGEXREPLACE(REGEXREPLACE(REGEXREPLACE(REGEXREPLACE(REGEXREPLACE(REGEXREPLACE(F16,"","",),IF(Projections!$T$17="""",""PG"",),),IF(Projections!$U$17="""",""SG"",),),IF(Projections!$V$17="""",""SF"",),),IF(Projections!$W$17="""",""PF"",),),IF(Pro"&amp;"jections!$X$17="""",""C"",),),""/"","""")"),"C")</f>
        <v>C</v>
      </c>
    </row>
    <row r="17">
      <c r="A17" t="str">
        <f>IF(Projections!$AB$17,Draft!E3,"")</f>
        <v/>
      </c>
      <c r="B17">
        <f>IFERROR(__xludf.DUMMYFUNCTION("""COMPUTED_VALUE"""),14.0)</f>
        <v>14</v>
      </c>
      <c r="C17">
        <f>IFERROR(__xludf.DUMMYFUNCTION("""COMPUTED_VALUE"""),17.0)</f>
        <v>17</v>
      </c>
      <c r="D17" t="str">
        <f>IFERROR(__xludf.DUMMYFUNCTION("""COMPUTED_VALUE"""),"Donovan Mitchell")</f>
        <v>Donovan Mitchell</v>
      </c>
      <c r="E17">
        <f>IFERROR(__xludf.DUMMYFUNCTION("""COMPUTED_VALUE"""),70.0)</f>
        <v>70</v>
      </c>
      <c r="F17" t="str">
        <f>IFERROR(__xludf.DUMMYFUNCTION("""COMPUTED_VALUE"""),"PG,SG")</f>
        <v>PG,SG</v>
      </c>
      <c r="G17" s="26">
        <f>IFERROR(__xludf.DUMMYFUNCTION("""COMPUTED_VALUE"""),4.362182127322641)</f>
        <v>4.362182127</v>
      </c>
      <c r="H17" s="26">
        <f>IFERROR(__xludf.DUMMYFUNCTION("""COMPUTED_VALUE"""),4.611588943831613)</f>
        <v>4.611588944</v>
      </c>
      <c r="I17" s="26">
        <f>IFERROR(__xludf.DUMMYFUNCTION("""COMPUTED_VALUE"""),0.249406816508972)</f>
        <v>0.2494068165</v>
      </c>
      <c r="J17" s="26">
        <f>IFERROR(__xludf.DUMMYFUNCTION("""COMPUTED_VALUE"""),25.3975)</f>
        <v>25.3975</v>
      </c>
      <c r="K17" s="26">
        <f>IFERROR(__xludf.DUMMYFUNCTION("""COMPUTED_VALUE"""),3.406617647)</f>
        <v>3.406617647</v>
      </c>
      <c r="L17" s="26">
        <f>IFERROR(__xludf.DUMMYFUNCTION("""COMPUTED_VALUE"""),4.2075)</f>
        <v>4.2075</v>
      </c>
      <c r="M17" s="26">
        <f>IFERROR(__xludf.DUMMYFUNCTION("""COMPUTED_VALUE"""),5.469705882)</f>
        <v>5.469705882</v>
      </c>
      <c r="N17" s="26">
        <f>IFERROR(__xludf.DUMMYFUNCTION("""COMPUTED_VALUE"""),1.472647059)</f>
        <v>1.472647059</v>
      </c>
      <c r="O17" s="26">
        <f>IFERROR(__xludf.DUMMYFUNCTION("""COMPUTED_VALUE"""),0.4908823529)</f>
        <v>0.4908823529</v>
      </c>
      <c r="P17" s="464">
        <f>IFERROR(__xludf.DUMMYFUNCTION("""COMPUTED_VALUE"""),0.4648033924)</f>
        <v>0.4648033924</v>
      </c>
      <c r="Q17" s="464">
        <f>IFERROR(__xludf.DUMMYFUNCTION("""COMPUTED_VALUE"""),0.8589983098)</f>
        <v>0.8589983098</v>
      </c>
      <c r="R17" s="26">
        <f>IFERROR(__xludf.DUMMYFUNCTION("""COMPUTED_VALUE"""),2.754411765)</f>
        <v>2.754411765</v>
      </c>
      <c r="S17" s="26">
        <f>IFERROR(__xludf.DUMMYFUNCTION("""COMPUTED_VALUE"""),1.4256118042052333)</f>
        <v>1.425611804</v>
      </c>
      <c r="T17" s="26">
        <f>IFERROR(__xludf.DUMMYFUNCTION("""COMPUTED_VALUE"""),1.6445688937210945)</f>
        <v>1.644568894</v>
      </c>
      <c r="U17" s="26">
        <f>IFERROR(__xludf.DUMMYFUNCTION("""COMPUTED_VALUE"""),-0.7351522072961985)</f>
        <v>-0.7351522073</v>
      </c>
      <c r="V17" s="26">
        <f>IFERROR(__xludf.DUMMYFUNCTION("""COMPUTED_VALUE"""),0.6977257856206867)</f>
        <v>0.6977257856</v>
      </c>
      <c r="W17" s="26">
        <f>IFERROR(__xludf.DUMMYFUNCTION("""COMPUTED_VALUE"""),1.6430641100699614)</f>
        <v>1.64306411</v>
      </c>
      <c r="X17" s="26">
        <f>IFERROR(__xludf.DUMMYFUNCTION("""COMPUTED_VALUE"""),-0.45979643027700934)</f>
        <v>-0.4597964303</v>
      </c>
      <c r="Y17" s="26">
        <f>IFERROR(__xludf.DUMMYFUNCTION("""COMPUTED_VALUE"""),-0.7197733541183869)</f>
        <v>-0.7197733541</v>
      </c>
      <c r="Z17" s="26">
        <f>IFERROR(__xludf.DUMMYFUNCTION("""COMPUTED_VALUE"""),1.1153403419062318)</f>
        <v>1.115340342</v>
      </c>
      <c r="AA17" s="26">
        <f>IFERROR(__xludf.DUMMYFUNCTION("""COMPUTED_VALUE"""),0.0)</f>
        <v>0</v>
      </c>
      <c r="AB17" t="str">
        <f>IFERROR(__xludf.DUMMYFUNCTION("SUBSTITUTE(REGEXREPLACE(REGEXREPLACE(REGEXREPLACE(REGEXREPLACE(REGEXREPLACE(REGEXREPLACE(F17,"","",),IF(Projections!$T$17="""",""PG"",),),IF(Projections!$U$17="""",""SG"",),),IF(Projections!$V$17="""",""SF"",),),IF(Projections!$W$17="""",""PF"",),),IF(Pro"&amp;"jections!$X$17="""",""C"",),),""/"","""")"),"PGSG")</f>
        <v>PGSG</v>
      </c>
    </row>
    <row r="18">
      <c r="A18" t="str">
        <f>IF(Projections!$AB$17,Draft!E4,"")</f>
        <v/>
      </c>
      <c r="B18">
        <f>IFERROR(__xludf.DUMMYFUNCTION("""COMPUTED_VALUE"""),12.0)</f>
        <v>12</v>
      </c>
      <c r="C18">
        <f>IFERROR(__xludf.DUMMYFUNCTION("""COMPUTED_VALUE"""),26.6)</f>
        <v>26.6</v>
      </c>
      <c r="D18" t="str">
        <f>IFERROR(__xludf.DUMMYFUNCTION("""COMPUTED_VALUE"""),"Kyrie Irving")</f>
        <v>Kyrie Irving</v>
      </c>
      <c r="E18">
        <f>IFERROR(__xludf.DUMMYFUNCTION("""COMPUTED_VALUE"""),78.0)</f>
        <v>78</v>
      </c>
      <c r="F18" t="str">
        <f>IFERROR(__xludf.DUMMYFUNCTION("""COMPUTED_VALUE"""),"SG,SF,PF")</f>
        <v>SG,SF,PF</v>
      </c>
      <c r="G18" s="26">
        <f>IFERROR(__xludf.DUMMYFUNCTION("""COMPUTED_VALUE"""),4.39070431745973)</f>
        <v>4.390704317</v>
      </c>
      <c r="H18" s="26">
        <f>IFERROR(__xludf.DUMMYFUNCTION("""COMPUTED_VALUE"""),4.464262626069749)</f>
        <v>4.464262626</v>
      </c>
      <c r="I18" s="26">
        <f>IFERROR(__xludf.DUMMYFUNCTION("""COMPUTED_VALUE"""),0.07355830861001866)</f>
        <v>0.07355830861</v>
      </c>
      <c r="J18" s="26">
        <f>IFERROR(__xludf.DUMMYFUNCTION("""COMPUTED_VALUE"""),24.8325)</f>
        <v>24.8325</v>
      </c>
      <c r="K18" s="26">
        <f>IFERROR(__xludf.DUMMYFUNCTION("""COMPUTED_VALUE"""),2.898382353)</f>
        <v>2.898382353</v>
      </c>
      <c r="L18" s="26">
        <f>IFERROR(__xludf.DUMMYFUNCTION("""COMPUTED_VALUE"""),4.999558824)</f>
        <v>4.999558824</v>
      </c>
      <c r="M18" s="26">
        <f>IFERROR(__xludf.DUMMYFUNCTION("""COMPUTED_VALUE"""),4.999558824)</f>
        <v>4.999558824</v>
      </c>
      <c r="N18" s="26">
        <f>IFERROR(__xludf.DUMMYFUNCTION("""COMPUTED_VALUE"""),1.212205882)</f>
        <v>1.212205882</v>
      </c>
      <c r="O18" s="26">
        <f>IFERROR(__xludf.DUMMYFUNCTION("""COMPUTED_VALUE"""),0.5301470588)</f>
        <v>0.5301470588</v>
      </c>
      <c r="P18" s="464">
        <f>IFERROR(__xludf.DUMMYFUNCTION("""COMPUTED_VALUE"""),0.5067040208)</f>
        <v>0.5067040208</v>
      </c>
      <c r="Q18" s="464">
        <f>IFERROR(__xludf.DUMMYFUNCTION("""COMPUTED_VALUE"""),0.9090032436)</f>
        <v>0.9090032436</v>
      </c>
      <c r="R18" s="26">
        <f>IFERROR(__xludf.DUMMYFUNCTION("""COMPUTED_VALUE"""),2.045294118)</f>
        <v>2.045294118</v>
      </c>
      <c r="S18" s="26">
        <f>IFERROR(__xludf.DUMMYFUNCTION("""COMPUTED_VALUE"""),1.3237673683159166)</f>
        <v>1.323767368</v>
      </c>
      <c r="T18" s="26">
        <f>IFERROR(__xludf.DUMMYFUNCTION("""COMPUTED_VALUE"""),1.140435801055381)</f>
        <v>1.140435801</v>
      </c>
      <c r="U18" s="26">
        <f>IFERROR(__xludf.DUMMYFUNCTION("""COMPUTED_VALUE"""),-0.42473881265984165)</f>
        <v>-0.4247388127</v>
      </c>
      <c r="V18" s="26">
        <f>IFERROR(__xludf.DUMMYFUNCTION("""COMPUTED_VALUE"""),0.48421394847872073)</f>
        <v>0.4842139485</v>
      </c>
      <c r="W18" s="26">
        <f>IFERROR(__xludf.DUMMYFUNCTION("""COMPUTED_VALUE"""),0.7814430796853277)</f>
        <v>0.7814430797</v>
      </c>
      <c r="X18" s="26">
        <f>IFERROR(__xludf.DUMMYFUNCTION("""COMPUTED_VALUE"""),-0.3897620230436895)</f>
        <v>-0.389762023</v>
      </c>
      <c r="Y18" s="26">
        <f>IFERROR(__xludf.DUMMYFUNCTION("""COMPUTED_VALUE"""),0.20498816631263686)</f>
        <v>0.2049881663</v>
      </c>
      <c r="Z18" s="26">
        <f>IFERROR(__xludf.DUMMYFUNCTION("""COMPUTED_VALUE"""),1.343915097925297)</f>
        <v>1.343915098</v>
      </c>
      <c r="AA18" s="26">
        <f>IFERROR(__xludf.DUMMYFUNCTION("""COMPUTED_VALUE"""),0.0)</f>
        <v>0</v>
      </c>
      <c r="AB18" t="str">
        <f>IFERROR(__xludf.DUMMYFUNCTION("SUBSTITUTE(REGEXREPLACE(REGEXREPLACE(REGEXREPLACE(REGEXREPLACE(REGEXREPLACE(REGEXREPLACE(F18,"","",),IF(Projections!$T$17="""",""PG"",),),IF(Projections!$U$17="""",""SG"",),),IF(Projections!$V$17="""",""SF"",),),IF(Projections!$W$17="""",""PF"",),),IF(Pro"&amp;"jections!$X$17="""",""C"",),),""/"","""")"),"SGSFPF")</f>
        <v>SGSFPF</v>
      </c>
    </row>
    <row r="19">
      <c r="A19" t="str">
        <f>IF(Projections!$AB$17,Draft!E5,"")</f>
        <v/>
      </c>
      <c r="B19">
        <f>IFERROR(__xludf.DUMMYFUNCTION("""COMPUTED_VALUE"""),11.0)</f>
        <v>11</v>
      </c>
      <c r="C19">
        <f>IFERROR(__xludf.DUMMYFUNCTION("""COMPUTED_VALUE"""),24.2)</f>
        <v>24.2</v>
      </c>
      <c r="D19" t="str">
        <f>IFERROR(__xludf.DUMMYFUNCTION("""COMPUTED_VALUE"""),"LeBron James")</f>
        <v>LeBron James</v>
      </c>
      <c r="E19">
        <f>IFERROR(__xludf.DUMMYFUNCTION("""COMPUTED_VALUE"""),62.0)</f>
        <v>62</v>
      </c>
      <c r="F19" t="str">
        <f>IFERROR(__xludf.DUMMYFUNCTION("""COMPUTED_VALUE"""),"SF,PF")</f>
        <v>SF,PF</v>
      </c>
      <c r="G19" s="26">
        <f>IFERROR(__xludf.DUMMYFUNCTION("""COMPUTED_VALUE"""),3.923392389951665)</f>
        <v>3.92339239</v>
      </c>
      <c r="H19" s="26">
        <f>IFERROR(__xludf.DUMMYFUNCTION("""COMPUTED_VALUE"""),4.393498885867384)</f>
        <v>4.393498886</v>
      </c>
      <c r="I19" s="26">
        <f>IFERROR(__xludf.DUMMYFUNCTION("""COMPUTED_VALUE"""),0.47010649591571907)</f>
        <v>0.4701064959</v>
      </c>
      <c r="J19" s="26">
        <f>IFERROR(__xludf.DUMMYFUNCTION("""COMPUTED_VALUE"""),24.64166667)</f>
        <v>24.64166667</v>
      </c>
      <c r="K19" s="26">
        <f>IFERROR(__xludf.DUMMYFUNCTION("""COMPUTED_VALUE"""),1.924848485)</f>
        <v>1.924848485</v>
      </c>
      <c r="L19" s="26">
        <f>IFERROR(__xludf.DUMMYFUNCTION("""COMPUTED_VALUE"""),7.14)</f>
        <v>7.14</v>
      </c>
      <c r="M19" s="26">
        <f>IFERROR(__xludf.DUMMYFUNCTION("""COMPUTED_VALUE"""),8.776212121)</f>
        <v>8.776212121</v>
      </c>
      <c r="N19" s="26">
        <f>IFERROR(__xludf.DUMMYFUNCTION("""COMPUTED_VALUE"""),1.109242424)</f>
        <v>1.109242424</v>
      </c>
      <c r="O19" s="26">
        <f>IFERROR(__xludf.DUMMYFUNCTION("""COMPUTED_VALUE"""),0.5227272727)</f>
        <v>0.5227272727</v>
      </c>
      <c r="P19" s="464">
        <f>IFERROR(__xludf.DUMMYFUNCTION("""COMPUTED_VALUE"""),0.5371077316)</f>
        <v>0.5371077316</v>
      </c>
      <c r="Q19" s="464">
        <f>IFERROR(__xludf.DUMMYFUNCTION("""COMPUTED_VALUE"""),0.7690098505)</f>
        <v>0.7690098505</v>
      </c>
      <c r="R19" s="26">
        <f>IFERROR(__xludf.DUMMYFUNCTION("""COMPUTED_VALUE"""),3.644393939)</f>
        <v>3.644393939</v>
      </c>
      <c r="S19" s="26">
        <f>IFERROR(__xludf.DUMMYFUNCTION("""COMPUTED_VALUE"""),1.2893685845234746)</f>
        <v>1.289368585</v>
      </c>
      <c r="T19" s="26">
        <f>IFERROR(__xludf.DUMMYFUNCTION("""COMPUTED_VALUE"""),0.17475977366470033)</f>
        <v>0.1747597737</v>
      </c>
      <c r="U19" s="26">
        <f>IFERROR(__xludf.DUMMYFUNCTION("""COMPUTED_VALUE"""),0.414115059463165)</f>
        <v>0.4141150595</v>
      </c>
      <c r="V19" s="26">
        <f>IFERROR(__xludf.DUMMYFUNCTION("""COMPUTED_VALUE"""),2.19933726993686)</f>
        <v>2.19933727</v>
      </c>
      <c r="W19" s="26">
        <f>IFERROR(__xludf.DUMMYFUNCTION("""COMPUTED_VALUE"""),0.44080769400695324)</f>
        <v>0.440807694</v>
      </c>
      <c r="X19" s="26">
        <f>IFERROR(__xludf.DUMMYFUNCTION("""COMPUTED_VALUE"""),-0.40299630837451456)</f>
        <v>-0.4029963084</v>
      </c>
      <c r="Y19" s="26">
        <f>IFERROR(__xludf.DUMMYFUNCTION("""COMPUTED_VALUE"""),0.7931270720514652)</f>
        <v>0.7931270721</v>
      </c>
      <c r="Z19" s="26">
        <f>IFERROR(__xludf.DUMMYFUNCTION("""COMPUTED_VALUE"""),-0.5150202594047202)</f>
        <v>-0.5150202594</v>
      </c>
      <c r="AA19" s="26">
        <f>IFERROR(__xludf.DUMMYFUNCTION("""COMPUTED_VALUE"""),0.0)</f>
        <v>0</v>
      </c>
      <c r="AB19" t="str">
        <f>IFERROR(__xludf.DUMMYFUNCTION("SUBSTITUTE(REGEXREPLACE(REGEXREPLACE(REGEXREPLACE(REGEXREPLACE(REGEXREPLACE(REGEXREPLACE(F19,"","",),IF(Projections!$T$17="""",""PG"",),),IF(Projections!$U$17="""",""SG"",),),IF(Projections!$V$17="""",""SF"",),),IF(Projections!$W$17="""",""PF"",),),IF(Pro"&amp;"jections!$X$17="""",""C"",),),""/"","""")"),"SFPF")</f>
        <v>SFPF</v>
      </c>
    </row>
    <row r="20">
      <c r="A20" t="str">
        <f>IF(Projections!$AB$17,Draft!E6,"")</f>
        <v/>
      </c>
      <c r="B20">
        <f>IFERROR(__xludf.DUMMYFUNCTION("""COMPUTED_VALUE"""),19.0)</f>
        <v>19</v>
      </c>
      <c r="C20">
        <f>IFERROR(__xludf.DUMMYFUNCTION("""COMPUTED_VALUE"""),12.5)</f>
        <v>12.5</v>
      </c>
      <c r="D20" t="str">
        <f>IFERROR(__xludf.DUMMYFUNCTION("""COMPUTED_VALUE"""),"Trae Young")</f>
        <v>Trae Young</v>
      </c>
      <c r="E20">
        <f>IFERROR(__xludf.DUMMYFUNCTION("""COMPUTED_VALUE"""),78.0)</f>
        <v>78</v>
      </c>
      <c r="F20" t="str">
        <f>IFERROR(__xludf.DUMMYFUNCTION("""COMPUTED_VALUE"""),"SG,SF")</f>
        <v>SG,SF</v>
      </c>
      <c r="G20" s="26">
        <f>IFERROR(__xludf.DUMMYFUNCTION("""COMPUTED_VALUE"""),3.503772975657455)</f>
        <v>3.503772976</v>
      </c>
      <c r="H20" s="26">
        <f>IFERROR(__xludf.DUMMYFUNCTION("""COMPUTED_VALUE"""),4.074462528451495)</f>
        <v>4.074462528</v>
      </c>
      <c r="I20" s="26">
        <f>IFERROR(__xludf.DUMMYFUNCTION("""COMPUTED_VALUE"""),0.5706895527940397)</f>
        <v>0.5706895528</v>
      </c>
      <c r="J20" s="26">
        <f>IFERROR(__xludf.DUMMYFUNCTION("""COMPUTED_VALUE"""),26.75866667)</f>
        <v>26.75866667</v>
      </c>
      <c r="K20" s="26">
        <f>IFERROR(__xludf.DUMMYFUNCTION("""COMPUTED_VALUE"""),2.7916)</f>
        <v>2.7916</v>
      </c>
      <c r="L20" s="26">
        <f>IFERROR(__xludf.DUMMYFUNCTION("""COMPUTED_VALUE"""),3.374933333)</f>
        <v>3.374933333</v>
      </c>
      <c r="M20" s="26">
        <f>IFERROR(__xludf.DUMMYFUNCTION("""COMPUTED_VALUE"""),10.05)</f>
        <v>10.05</v>
      </c>
      <c r="N20" s="26">
        <f>IFERROR(__xludf.DUMMYFUNCTION("""COMPUTED_VALUE"""),1.05)</f>
        <v>1.05</v>
      </c>
      <c r="O20" s="26">
        <f>IFERROR(__xludf.DUMMYFUNCTION("""COMPUTED_VALUE"""),0.2248)</f>
        <v>0.2248</v>
      </c>
      <c r="P20" s="464">
        <f>IFERROR(__xludf.DUMMYFUNCTION("""COMPUTED_VALUE"""),0.4390615812)</f>
        <v>0.4390615812</v>
      </c>
      <c r="Q20" s="464">
        <f>IFERROR(__xludf.DUMMYFUNCTION("""COMPUTED_VALUE"""),0.8540079193)</f>
        <v>0.8540079193</v>
      </c>
      <c r="R20" s="26">
        <f>IFERROR(__xludf.DUMMYFUNCTION("""COMPUTED_VALUE"""),4.05)</f>
        <v>4.05</v>
      </c>
      <c r="S20" s="26">
        <f>IFERROR(__xludf.DUMMYFUNCTION("""COMPUTED_VALUE"""),1.6709697717406122)</f>
        <v>1.670969772</v>
      </c>
      <c r="T20" s="26">
        <f>IFERROR(__xludf.DUMMYFUNCTION("""COMPUTED_VALUE"""),1.0345153376488943)</f>
        <v>1.034515338</v>
      </c>
      <c r="U20" s="26">
        <f>IFERROR(__xludf.DUMMYFUNCTION("""COMPUTED_VALUE"""),-1.061440909010791)</f>
        <v>-1.061440909</v>
      </c>
      <c r="V20" s="26">
        <f>IFERROR(__xludf.DUMMYFUNCTION("""COMPUTED_VALUE"""),2.7778132713212145)</f>
        <v>2.777813271</v>
      </c>
      <c r="W20" s="26">
        <f>IFERROR(__xludf.DUMMYFUNCTION("""COMPUTED_VALUE"""),0.24481519006675123)</f>
        <v>0.2448151901</v>
      </c>
      <c r="X20" s="26">
        <f>IFERROR(__xludf.DUMMYFUNCTION("""COMPUTED_VALUE"""),-0.9343936399965528)</f>
        <v>-0.93439364</v>
      </c>
      <c r="Y20" s="26">
        <f>IFERROR(__xludf.DUMMYFUNCTION("""COMPUTED_VALUE"""),-1.319697620128027)</f>
        <v>-1.31969762</v>
      </c>
      <c r="Z20" s="26">
        <f>IFERROR(__xludf.DUMMYFUNCTION("""COMPUTED_VALUE"""),1.6618811268093934)</f>
        <v>1.661881127</v>
      </c>
      <c r="AA20" s="26">
        <f>IFERROR(__xludf.DUMMYFUNCTION("""COMPUTED_VALUE"""),0.0)</f>
        <v>0</v>
      </c>
      <c r="AB20" t="str">
        <f>IFERROR(__xludf.DUMMYFUNCTION("SUBSTITUTE(REGEXREPLACE(REGEXREPLACE(REGEXREPLACE(REGEXREPLACE(REGEXREPLACE(REGEXREPLACE(F20,"","",),IF(Projections!$T$17="""",""PG"",),),IF(Projections!$U$17="""",""SG"",),),IF(Projections!$V$17="""",""SF"",),),IF(Projections!$W$17="""",""PF"",),),IF(Pro"&amp;"jections!$X$17="""",""C"",),),""/"","""")"),"SGSF")</f>
        <v>SGSF</v>
      </c>
    </row>
    <row r="21">
      <c r="A21" t="str">
        <f>IF(Projections!$AB$17,Draft!E7,"")</f>
        <v/>
      </c>
      <c r="B21">
        <f>IFERROR(__xludf.DUMMYFUNCTION("""COMPUTED_VALUE"""),16.0)</f>
        <v>16</v>
      </c>
      <c r="C21">
        <f>IFERROR(__xludf.DUMMYFUNCTION("""COMPUTED_VALUE"""),10.1)</f>
        <v>10.1</v>
      </c>
      <c r="D21" t="str">
        <f>IFERROR(__xludf.DUMMYFUNCTION("""COMPUTED_VALUE"""),"Anthony Edwards")</f>
        <v>Anthony Edwards</v>
      </c>
      <c r="E21">
        <f>IFERROR(__xludf.DUMMYFUNCTION("""COMPUTED_VALUE"""),58.0)</f>
        <v>58</v>
      </c>
      <c r="F21" t="str">
        <f>IFERROR(__xludf.DUMMYFUNCTION("""COMPUTED_VALUE"""),"SG,SF")</f>
        <v>SG,SF</v>
      </c>
      <c r="G21" s="26">
        <f>IFERROR(__xludf.DUMMYFUNCTION("""COMPUTED_VALUE"""),3.814227079343934)</f>
        <v>3.814227079</v>
      </c>
      <c r="H21" s="26">
        <f>IFERROR(__xludf.DUMMYFUNCTION("""COMPUTED_VALUE"""),4.054424077926738)</f>
        <v>4.054424078</v>
      </c>
      <c r="I21" s="26">
        <f>IFERROR(__xludf.DUMMYFUNCTION("""COMPUTED_VALUE"""),0.24019699858280408)</f>
        <v>0.2401969986</v>
      </c>
      <c r="J21" s="26">
        <f>IFERROR(__xludf.DUMMYFUNCTION("""COMPUTED_VALUE"""),26.24675325)</f>
        <v>26.24675325</v>
      </c>
      <c r="K21" s="26">
        <f>IFERROR(__xludf.DUMMYFUNCTION("""COMPUTED_VALUE"""),2.313246753)</f>
        <v>2.313246753</v>
      </c>
      <c r="L21" s="26">
        <f>IFERROR(__xludf.DUMMYFUNCTION("""COMPUTED_VALUE"""),5.359350649)</f>
        <v>5.359350649</v>
      </c>
      <c r="M21" s="26">
        <f>IFERROR(__xludf.DUMMYFUNCTION("""COMPUTED_VALUE"""),5.359350649)</f>
        <v>5.359350649</v>
      </c>
      <c r="N21" s="26">
        <f>IFERROR(__xludf.DUMMYFUNCTION("""COMPUTED_VALUE"""),1.356103896)</f>
        <v>1.356103896</v>
      </c>
      <c r="O21" s="26">
        <f>IFERROR(__xludf.DUMMYFUNCTION("""COMPUTED_VALUE"""),0.5720779221)</f>
        <v>0.5720779221</v>
      </c>
      <c r="P21" s="464">
        <f>IFERROR(__xludf.DUMMYFUNCTION("""COMPUTED_VALUE"""),0.4670996365)</f>
        <v>0.4670996365</v>
      </c>
      <c r="Q21" s="464">
        <f>IFERROR(__xludf.DUMMYFUNCTION("""COMPUTED_VALUE"""),0.8489939292)</f>
        <v>0.8489939292</v>
      </c>
      <c r="R21" s="26">
        <f>IFERROR(__xludf.DUMMYFUNCTION("""COMPUTED_VALUE"""),2.717272727)</f>
        <v>2.717272727</v>
      </c>
      <c r="S21" s="26">
        <f>IFERROR(__xludf.DUMMYFUNCTION("""COMPUTED_VALUE"""),1.5786944912378325)</f>
        <v>1.578694491</v>
      </c>
      <c r="T21" s="26">
        <f>IFERROR(__xludf.DUMMYFUNCTION("""COMPUTED_VALUE"""),0.5600231002073994)</f>
        <v>0.5600231002</v>
      </c>
      <c r="U21" s="26">
        <f>IFERROR(__xludf.DUMMYFUNCTION("""COMPUTED_VALUE"""),-0.28373387921734805)</f>
        <v>-0.2837338792</v>
      </c>
      <c r="V21" s="26">
        <f>IFERROR(__xludf.DUMMYFUNCTION("""COMPUTED_VALUE"""),0.6476092356282376)</f>
        <v>0.6476092356</v>
      </c>
      <c r="W21" s="26">
        <f>IFERROR(__xludf.DUMMYFUNCTION("""COMPUTED_VALUE"""),1.2575028046534056)</f>
        <v>1.257502805</v>
      </c>
      <c r="X21" s="26">
        <f>IFERROR(__xludf.DUMMYFUNCTION("""COMPUTED_VALUE"""),-0.3149721299657725)</f>
        <v>-0.31497213</v>
      </c>
      <c r="Y21" s="26">
        <f>IFERROR(__xludf.DUMMYFUNCTION("""COMPUTED_VALUE"""),-0.6815711239581117)</f>
        <v>-0.681571124</v>
      </c>
      <c r="Z21" s="26">
        <f>IFERROR(__xludf.DUMMYFUNCTION("""COMPUTED_VALUE"""),1.2908715793410945)</f>
        <v>1.290871579</v>
      </c>
      <c r="AA21" s="26">
        <f>IFERROR(__xludf.DUMMYFUNCTION("""COMPUTED_VALUE"""),0.0)</f>
        <v>0</v>
      </c>
      <c r="AB21" t="str">
        <f>IFERROR(__xludf.DUMMYFUNCTION("SUBSTITUTE(REGEXREPLACE(REGEXREPLACE(REGEXREPLACE(REGEXREPLACE(REGEXREPLACE(REGEXREPLACE(F21,"","",),IF(Projections!$T$17="""",""PG"",),),IF(Projections!$U$17="""",""SG"",),),IF(Projections!$V$17="""",""SF"",),),IF(Projections!$W$17="""",""PF"",),),IF(Pro"&amp;"jections!$X$17="""",""C"",),),""/"","""")"),"SGSF")</f>
        <v>SGSF</v>
      </c>
    </row>
    <row r="22">
      <c r="A22" t="str">
        <f>IF(Projections!$AB$17,Draft!E8,"")</f>
        <v/>
      </c>
      <c r="B22">
        <f>IFERROR(__xludf.DUMMYFUNCTION("""COMPUTED_VALUE"""),17.0)</f>
        <v>17</v>
      </c>
      <c r="C22">
        <f>IFERROR(__xludf.DUMMYFUNCTION("""COMPUTED_VALUE"""),9.5)</f>
        <v>9.5</v>
      </c>
      <c r="D22" t="str">
        <f>IFERROR(__xludf.DUMMYFUNCTION("""COMPUTED_VALUE"""),"Jayson Tatum")</f>
        <v>Jayson Tatum</v>
      </c>
      <c r="E22">
        <f>IFERROR(__xludf.DUMMYFUNCTION("""COMPUTED_VALUE"""),60.0)</f>
        <v>60</v>
      </c>
      <c r="F22" t="str">
        <f>IFERROR(__xludf.DUMMYFUNCTION("""COMPUTED_VALUE"""),"PG,SG")</f>
        <v>PG,SG</v>
      </c>
      <c r="G22" s="26">
        <f>IFERROR(__xludf.DUMMYFUNCTION("""COMPUTED_VALUE"""),3.818833214530949)</f>
        <v>3.818833215</v>
      </c>
      <c r="H22" s="26">
        <f>IFERROR(__xludf.DUMMYFUNCTION("""COMPUTED_VALUE"""),4.0053949477535875)</f>
        <v>4.005394948</v>
      </c>
      <c r="I22" s="26">
        <f>IFERROR(__xludf.DUMMYFUNCTION("""COMPUTED_VALUE"""),0.18656173322263836)</f>
        <v>0.1865617332</v>
      </c>
      <c r="J22" s="26">
        <f>IFERROR(__xludf.DUMMYFUNCTION("""COMPUTED_VALUE"""),25.77873239)</f>
        <v>25.77873239</v>
      </c>
      <c r="K22" s="26">
        <f>IFERROR(__xludf.DUMMYFUNCTION("""COMPUTED_VALUE"""),2.897605634)</f>
        <v>2.897605634</v>
      </c>
      <c r="L22" s="26">
        <f>IFERROR(__xludf.DUMMYFUNCTION("""COMPUTED_VALUE"""),7.717464789)</f>
        <v>7.717464789</v>
      </c>
      <c r="M22" s="26">
        <f>IFERROR(__xludf.DUMMYFUNCTION("""COMPUTED_VALUE"""),5.245211268)</f>
        <v>5.245211268</v>
      </c>
      <c r="N22" s="26">
        <f>IFERROR(__xludf.DUMMYFUNCTION("""COMPUTED_VALUE"""),0.9969014085)</f>
        <v>0.9969014085</v>
      </c>
      <c r="O22" s="26">
        <f>IFERROR(__xludf.DUMMYFUNCTION("""COMPUTED_VALUE"""),0.5730985915)</f>
        <v>0.5730985915</v>
      </c>
      <c r="P22" s="464">
        <f>IFERROR(__xludf.DUMMYFUNCTION("""COMPUTED_VALUE"""),0.4581999526)</f>
        <v>0.4581999526</v>
      </c>
      <c r="Q22" s="464">
        <f>IFERROR(__xludf.DUMMYFUNCTION("""COMPUTED_VALUE"""),0.8500109577)</f>
        <v>0.8500109577</v>
      </c>
      <c r="R22" s="26">
        <f>IFERROR(__xludf.DUMMYFUNCTION("""COMPUTED_VALUE"""),2.500985915)</f>
        <v>2.500985915</v>
      </c>
      <c r="S22" s="26">
        <f>IFERROR(__xludf.DUMMYFUNCTION("""COMPUTED_VALUE"""),1.4943310921738802)</f>
        <v>1.494331092</v>
      </c>
      <c r="T22" s="26">
        <f>IFERROR(__xludf.DUMMYFUNCTION("""COMPUTED_VALUE"""),1.1396653513124666)</f>
        <v>1.139665351</v>
      </c>
      <c r="U22" s="26">
        <f>IFERROR(__xludf.DUMMYFUNCTION("""COMPUTED_VALUE"""),0.6404275504107535)</f>
        <v>0.6404275504</v>
      </c>
      <c r="V22" s="26">
        <f>IFERROR(__xludf.DUMMYFUNCTION("""COMPUTED_VALUE"""),0.595774158681831)</f>
        <v>0.5957741587</v>
      </c>
      <c r="W22" s="26">
        <f>IFERROR(__xludf.DUMMYFUNCTION("""COMPUTED_VALUE"""),0.06914840938635679)</f>
        <v>0.06914840939</v>
      </c>
      <c r="X22" s="26">
        <f>IFERROR(__xludf.DUMMYFUNCTION("""COMPUTED_VALUE"""),-0.31315161521157464)</f>
        <v>-0.3131516152</v>
      </c>
      <c r="Y22" s="26">
        <f>IFERROR(__xludf.DUMMYFUNCTION("""COMPUTED_VALUE"""),-0.8632677014460912)</f>
        <v>-0.8632677014</v>
      </c>
      <c r="Z22" s="26">
        <f>IFERROR(__xludf.DUMMYFUNCTION("""COMPUTED_VALUE"""),1.2424677024459658)</f>
        <v>1.242467702</v>
      </c>
      <c r="AA22" s="26">
        <f>IFERROR(__xludf.DUMMYFUNCTION("""COMPUTED_VALUE"""),0.0)</f>
        <v>0</v>
      </c>
      <c r="AB22" t="str">
        <f>IFERROR(__xludf.DUMMYFUNCTION("SUBSTITUTE(REGEXREPLACE(REGEXREPLACE(REGEXREPLACE(REGEXREPLACE(REGEXREPLACE(REGEXREPLACE(F22,"","",),IF(Projections!$T$17="""",""PG"",),),IF(Projections!$U$17="""",""SG"",),),IF(Projections!$V$17="""",""SF"",),),IF(Projections!$W$17="""",""PF"",),),IF(Pro"&amp;"jections!$X$17="""",""C"",),),""/"","""")"),"PGSG")</f>
        <v>PGSG</v>
      </c>
    </row>
    <row r="23">
      <c r="A23" t="str">
        <f>IF(Projections!$AB$17,Draft!E9,"")</f>
        <v/>
      </c>
      <c r="B23">
        <f>IFERROR(__xludf.DUMMYFUNCTION("""COMPUTED_VALUE"""),15.0)</f>
        <v>15</v>
      </c>
      <c r="C23">
        <f>IFERROR(__xludf.DUMMYFUNCTION("""COMPUTED_VALUE"""),22.1)</f>
        <v>22.1</v>
      </c>
      <c r="D23" t="str">
        <f>IFERROR(__xludf.DUMMYFUNCTION("""COMPUTED_VALUE"""),"Karl-Anthony Towns")</f>
        <v>Karl-Anthony Towns</v>
      </c>
      <c r="E23">
        <f>IFERROR(__xludf.DUMMYFUNCTION("""COMPUTED_VALUE"""),50.0)</f>
        <v>50</v>
      </c>
      <c r="F23" t="str">
        <f>IFERROR(__xludf.DUMMYFUNCTION("""COMPUTED_VALUE"""),"C")</f>
        <v>C</v>
      </c>
      <c r="G23" s="26">
        <f>IFERROR(__xludf.DUMMYFUNCTION("""COMPUTED_VALUE"""),3.543467632532436)</f>
        <v>3.543467633</v>
      </c>
      <c r="H23" s="26">
        <f>IFERROR(__xludf.DUMMYFUNCTION("""COMPUTED_VALUE"""),3.8492903846992776)</f>
        <v>3.849290385</v>
      </c>
      <c r="I23" s="26">
        <f>IFERROR(__xludf.DUMMYFUNCTION("""COMPUTED_VALUE"""),0.30582275216684174)</f>
        <v>0.3058227522</v>
      </c>
      <c r="J23" s="26">
        <f>IFERROR(__xludf.DUMMYFUNCTION("""COMPUTED_VALUE"""),22.99985294)</f>
        <v>22.99985294</v>
      </c>
      <c r="K23" s="26">
        <f>IFERROR(__xludf.DUMMYFUNCTION("""COMPUTED_VALUE"""),2.154264706)</f>
        <v>2.154264706</v>
      </c>
      <c r="L23" s="26">
        <f>IFERROR(__xludf.DUMMYFUNCTION("""COMPUTED_VALUE"""),10.5)</f>
        <v>10.5</v>
      </c>
      <c r="M23" s="26">
        <f>IFERROR(__xludf.DUMMYFUNCTION("""COMPUTED_VALUE"""),3.488235294)</f>
        <v>3.488235294</v>
      </c>
      <c r="N23" s="26">
        <f>IFERROR(__xludf.DUMMYFUNCTION("""COMPUTED_VALUE"""),0.6401470588)</f>
        <v>0.6401470588</v>
      </c>
      <c r="O23" s="26">
        <f>IFERROR(__xludf.DUMMYFUNCTION("""COMPUTED_VALUE"""),1.05)</f>
        <v>1.05</v>
      </c>
      <c r="P23" s="464">
        <f>IFERROR(__xludf.DUMMYFUNCTION("""COMPUTED_VALUE"""),0.5164562794)</f>
        <v>0.5164562794</v>
      </c>
      <c r="Q23" s="464">
        <f>IFERROR(__xludf.DUMMYFUNCTION("""COMPUTED_VALUE"""),0.8590137336)</f>
        <v>0.8590137336</v>
      </c>
      <c r="R23" s="26">
        <f>IFERROR(__xludf.DUMMYFUNCTION("""COMPUTED_VALUE"""),2.981911765)</f>
        <v>2.981911765</v>
      </c>
      <c r="S23" s="26">
        <f>IFERROR(__xludf.DUMMYFUNCTION("""COMPUTED_VALUE"""),0.9934224019266884)</f>
        <v>0.9934224019</v>
      </c>
      <c r="T23" s="26">
        <f>IFERROR(__xludf.DUMMYFUNCTION("""COMPUTED_VALUE"""),0.40232427059318576)</f>
        <v>0.4023242706</v>
      </c>
      <c r="U23" s="26">
        <f>IFERROR(__xludf.DUMMYFUNCTION("""COMPUTED_VALUE"""),1.730922567156758)</f>
        <v>1.730922567</v>
      </c>
      <c r="V23" s="26">
        <f>IFERROR(__xludf.DUMMYFUNCTION("""COMPUTED_VALUE"""),-0.20213611564564307)</f>
        <v>-0.2021361156</v>
      </c>
      <c r="W23" s="26">
        <f>IFERROR(__xludf.DUMMYFUNCTION("""COMPUTED_VALUE"""),-1.1111067788426296)</f>
        <v>-1.111106779</v>
      </c>
      <c r="X23" s="26">
        <f>IFERROR(__xludf.DUMMYFUNCTION("""COMPUTED_VALUE"""),0.5374725442586427)</f>
        <v>0.5374725443</v>
      </c>
      <c r="Y23" s="26">
        <f>IFERROR(__xludf.DUMMYFUNCTION("""COMPUTED_VALUE"""),0.35661493195132526)</f>
        <v>0.356614932</v>
      </c>
      <c r="Z23" s="26">
        <f>IFERROR(__xludf.DUMMYFUNCTION("""COMPUTED_VALUE"""),1.1417765633009507)</f>
        <v>1.141776563</v>
      </c>
      <c r="AA23" s="26">
        <f>IFERROR(__xludf.DUMMYFUNCTION("""COMPUTED_VALUE"""),0.0)</f>
        <v>0</v>
      </c>
      <c r="AB23" t="str">
        <f>IFERROR(__xludf.DUMMYFUNCTION("SUBSTITUTE(REGEXREPLACE(REGEXREPLACE(REGEXREPLACE(REGEXREPLACE(REGEXREPLACE(REGEXREPLACE(F23,"","",),IF(Projections!$T$17="""",""PG"",),),IF(Projections!$U$17="""",""SG"",),),IF(Projections!$V$17="""",""SF"",),),IF(Projections!$W$17="""",""PF"",),),IF(Pro"&amp;"jections!$X$17="""",""C"",),),""/"","""")"),"C")</f>
        <v>C</v>
      </c>
    </row>
    <row r="24">
      <c r="A24" t="str">
        <f>IF(Projections!$AB$17,Draft!E10,"")</f>
        <v/>
      </c>
      <c r="B24">
        <f>IFERROR(__xludf.DUMMYFUNCTION("""COMPUTED_VALUE"""),24.0)</f>
        <v>24</v>
      </c>
      <c r="C24">
        <f>IFERROR(__xludf.DUMMYFUNCTION("""COMPUTED_VALUE"""),38.4)</f>
        <v>38.4</v>
      </c>
      <c r="D24" t="str">
        <f>IFERROR(__xludf.DUMMYFUNCTION("""COMPUTED_VALUE"""),"Fred VanVleet")</f>
        <v>Fred VanVleet</v>
      </c>
      <c r="E24">
        <f>IFERROR(__xludf.DUMMYFUNCTION("""COMPUTED_VALUE"""),78.0)</f>
        <v>78</v>
      </c>
      <c r="F24" t="str">
        <f>IFERROR(__xludf.DUMMYFUNCTION("""COMPUTED_VALUE"""),"SF,PF")</f>
        <v>SF,PF</v>
      </c>
      <c r="G24" s="26">
        <f>IFERROR(__xludf.DUMMYFUNCTION("""COMPUTED_VALUE"""),3.7303233124940434)</f>
        <v>3.730323312</v>
      </c>
      <c r="H24" s="26">
        <f>IFERROR(__xludf.DUMMYFUNCTION("""COMPUTED_VALUE"""),3.6911466646783366)</f>
        <v>3.691146665</v>
      </c>
      <c r="I24" s="26">
        <f>IFERROR(__xludf.DUMMYFUNCTION("""COMPUTED_VALUE"""),-0.03917664781570673)</f>
        <v>-0.03917664782</v>
      </c>
      <c r="J24" s="26">
        <f>IFERROR(__xludf.DUMMYFUNCTION("""COMPUTED_VALUE"""),17.75273973)</f>
        <v>17.75273973</v>
      </c>
      <c r="K24" s="26">
        <f>IFERROR(__xludf.DUMMYFUNCTION("""COMPUTED_VALUE"""),3.176027397)</f>
        <v>3.176027397</v>
      </c>
      <c r="L24" s="26">
        <f>IFERROR(__xludf.DUMMYFUNCTION("""COMPUTED_VALUE"""),3.711780822)</f>
        <v>3.711780822</v>
      </c>
      <c r="M24" s="26">
        <f>IFERROR(__xludf.DUMMYFUNCTION("""COMPUTED_VALUE"""),7.347808219)</f>
        <v>7.347808219</v>
      </c>
      <c r="N24" s="26">
        <f>IFERROR(__xludf.DUMMYFUNCTION("""COMPUTED_VALUE"""),1.742191781)</f>
        <v>1.742191781</v>
      </c>
      <c r="O24" s="26">
        <f>IFERROR(__xludf.DUMMYFUNCTION("""COMPUTED_VALUE"""),0.5302739726)</f>
        <v>0.5302739726</v>
      </c>
      <c r="P24" s="464">
        <f>IFERROR(__xludf.DUMMYFUNCTION("""COMPUTED_VALUE"""),0.4186914797)</f>
        <v>0.4186914797</v>
      </c>
      <c r="Q24" s="464">
        <f>IFERROR(__xludf.DUMMYFUNCTION("""COMPUTED_VALUE"""),0.8609991087)</f>
        <v>0.8609991087</v>
      </c>
      <c r="R24" s="26">
        <f>IFERROR(__xludf.DUMMYFUNCTION("""COMPUTED_VALUE"""),1.590684932)</f>
        <v>1.590684932</v>
      </c>
      <c r="S24" s="26">
        <f>IFERROR(__xludf.DUMMYFUNCTION("""COMPUTED_VALUE"""),0.04760065870575043)</f>
        <v>0.04760065871</v>
      </c>
      <c r="T24" s="26">
        <f>IFERROR(__xludf.DUMMYFUNCTION("""COMPUTED_VALUE"""),1.4158398439218491)</f>
        <v>1.415839844</v>
      </c>
      <c r="U24" s="26">
        <f>IFERROR(__xludf.DUMMYFUNCTION("""COMPUTED_VALUE"""),-0.9294280213730127)</f>
        <v>-0.9294280214</v>
      </c>
      <c r="V24" s="26">
        <f>IFERROR(__xludf.DUMMYFUNCTION("""COMPUTED_VALUE"""),1.5506441937871147)</f>
        <v>1.550644194</v>
      </c>
      <c r="W24" s="26">
        <f>IFERROR(__xludf.DUMMYFUNCTION("""COMPUTED_VALUE"""),2.534802520176976)</f>
        <v>2.53480252</v>
      </c>
      <c r="X24" s="26">
        <f>IFERROR(__xludf.DUMMYFUNCTION("""COMPUTED_VALUE"""),-0.38953565352050085)</f>
        <v>-0.3895356535</v>
      </c>
      <c r="Y24" s="26">
        <f>IFERROR(__xludf.DUMMYFUNCTION("""COMPUTED_VALUE"""),-1.2873365613008023)</f>
        <v>-1.287336561</v>
      </c>
      <c r="Z24" s="26">
        <f>IFERROR(__xludf.DUMMYFUNCTION("""COMPUTED_VALUE"""),0.7485596842809622)</f>
        <v>0.7485596843</v>
      </c>
      <c r="AA24" s="26">
        <f>IFERROR(__xludf.DUMMYFUNCTION("""COMPUTED_VALUE"""),0.0)</f>
        <v>0</v>
      </c>
      <c r="AB24" t="str">
        <f>IFERROR(__xludf.DUMMYFUNCTION("SUBSTITUTE(REGEXREPLACE(REGEXREPLACE(REGEXREPLACE(REGEXREPLACE(REGEXREPLACE(REGEXREPLACE(F24,"","",),IF(Projections!$T$17="""",""PG"",),),IF(Projections!$U$17="""",""SG"",),),IF(Projections!$V$17="""",""SF"",),),IF(Projections!$W$17="""",""PF"",),),IF(Pro"&amp;"jections!$X$17="""",""C"",),),""/"","""")"),"SFPF")</f>
        <v>SFPF</v>
      </c>
    </row>
    <row r="25">
      <c r="A25" t="str">
        <f>IF(Projections!$AB$17,Draft!E11,"")</f>
        <v/>
      </c>
      <c r="B25">
        <f>IFERROR(__xludf.DUMMYFUNCTION("""COMPUTED_VALUE"""),20.0)</f>
        <v>20</v>
      </c>
      <c r="C25">
        <f>IFERROR(__xludf.DUMMYFUNCTION("""COMPUTED_VALUE"""),19.1)</f>
        <v>19.1</v>
      </c>
      <c r="D25" t="str">
        <f>IFERROR(__xludf.DUMMYFUNCTION("""COMPUTED_VALUE"""),"Jalen Brunson")</f>
        <v>Jalen Brunson</v>
      </c>
      <c r="E25">
        <f>IFERROR(__xludf.DUMMYFUNCTION("""COMPUTED_VALUE"""),55.0)</f>
        <v>55</v>
      </c>
      <c r="F25" t="str">
        <f>IFERROR(__xludf.DUMMYFUNCTION("""COMPUTED_VALUE"""),"C")</f>
        <v>C</v>
      </c>
      <c r="G25" s="26">
        <f>IFERROR(__xludf.DUMMYFUNCTION("""COMPUTED_VALUE"""),3.474301773061553)</f>
        <v>3.474301773</v>
      </c>
      <c r="H25" s="26">
        <f>IFERROR(__xludf.DUMMYFUNCTION("""COMPUTED_VALUE"""),3.6823938865748813)</f>
        <v>3.682393887</v>
      </c>
      <c r="I25" s="26">
        <f>IFERROR(__xludf.DUMMYFUNCTION("""COMPUTED_VALUE"""),0.20809211351332824)</f>
        <v>0.2080921135</v>
      </c>
      <c r="J25" s="26">
        <f>IFERROR(__xludf.DUMMYFUNCTION("""COMPUTED_VALUE"""),29.39794521)</f>
        <v>29.39794521</v>
      </c>
      <c r="K25" s="26">
        <f>IFERROR(__xludf.DUMMYFUNCTION("""COMPUTED_VALUE"""),2.575890411)</f>
        <v>2.575890411</v>
      </c>
      <c r="L25" s="26">
        <f>IFERROR(__xludf.DUMMYFUNCTION("""COMPUTED_VALUE"""),3.527945205)</f>
        <v>3.527945205</v>
      </c>
      <c r="M25" s="26">
        <f>IFERROR(__xludf.DUMMYFUNCTION("""COMPUTED_VALUE"""),7.703972603)</f>
        <v>7.703972603</v>
      </c>
      <c r="N25" s="26">
        <f>IFERROR(__xludf.DUMMYFUNCTION("""COMPUTED_VALUE"""),0.9384931507)</f>
        <v>0.9384931507</v>
      </c>
      <c r="O25" s="26">
        <f>IFERROR(__xludf.DUMMYFUNCTION("""COMPUTED_VALUE"""),0.1436986301)</f>
        <v>0.1436986301</v>
      </c>
      <c r="P25" s="464">
        <f>IFERROR(__xludf.DUMMYFUNCTION("""COMPUTED_VALUE"""),0.4834350148)</f>
        <v>0.4834350148</v>
      </c>
      <c r="Q25" s="464">
        <f>IFERROR(__xludf.DUMMYFUNCTION("""COMPUTED_VALUE"""),0.8589916366)</f>
        <v>0.8589916366</v>
      </c>
      <c r="R25" s="26">
        <f>IFERROR(__xludf.DUMMYFUNCTION("""COMPUTED_VALUE"""),2.587808219)</f>
        <v>2.587808219</v>
      </c>
      <c r="S25" s="26">
        <f>IFERROR(__xludf.DUMMYFUNCTION("""COMPUTED_VALUE"""),2.1467146107867685)</f>
        <v>2.146714611</v>
      </c>
      <c r="T25" s="26">
        <f>IFERROR(__xludf.DUMMYFUNCTION("""COMPUTED_VALUE"""),0.8205468401753206)</f>
        <v>0.8205468402</v>
      </c>
      <c r="U25" s="26">
        <f>IFERROR(__xludf.DUMMYFUNCTION("""COMPUTED_VALUE"""),-1.0014744858513116)</f>
        <v>-1.001474486</v>
      </c>
      <c r="V25" s="26">
        <f>IFERROR(__xludf.DUMMYFUNCTION("""COMPUTED_VALUE"""),1.7123921206504085)</f>
        <v>1.712392121</v>
      </c>
      <c r="W25" s="26">
        <f>IFERROR(__xludf.DUMMYFUNCTION("""COMPUTED_VALUE"""),-0.12408441135384177)</f>
        <v>-0.1240844114</v>
      </c>
      <c r="X25" s="26">
        <f>IFERROR(__xludf.DUMMYFUNCTION("""COMPUTED_VALUE"""),-1.079049921931335)</f>
        <v>-1.079049922</v>
      </c>
      <c r="Y25" s="26">
        <f>IFERROR(__xludf.DUMMYFUNCTION("""COMPUTED_VALUE"""),-0.347012330112926)</f>
        <v>-0.3470123301</v>
      </c>
      <c r="Z25" s="26">
        <f>IFERROR(__xludf.DUMMYFUNCTION("""COMPUTED_VALUE"""),1.554361464211798)</f>
        <v>1.554361464</v>
      </c>
      <c r="AA25" s="26">
        <f>IFERROR(__xludf.DUMMYFUNCTION("""COMPUTED_VALUE"""),0.0)</f>
        <v>0</v>
      </c>
      <c r="AB25" t="str">
        <f>IFERROR(__xludf.DUMMYFUNCTION("SUBSTITUTE(REGEXREPLACE(REGEXREPLACE(REGEXREPLACE(REGEXREPLACE(REGEXREPLACE(REGEXREPLACE(F25,"","",),IF(Projections!$T$17="""",""PG"",),),IF(Projections!$U$17="""",""SG"",),),IF(Projections!$V$17="""",""SF"",),),IF(Projections!$W$17="""",""PF"",),),IF(Pro"&amp;"jections!$X$17="""",""C"",),),""/"","""")"),"C")</f>
        <v>C</v>
      </c>
    </row>
    <row r="26">
      <c r="A26" t="str">
        <f>IF(Projections!$AB$17,Draft!E12,"")</f>
        <v/>
      </c>
      <c r="B26">
        <f>IFERROR(__xludf.DUMMYFUNCTION("""COMPUTED_VALUE"""),18.0)</f>
        <v>18</v>
      </c>
      <c r="C26">
        <f>IFERROR(__xludf.DUMMYFUNCTION("""COMPUTED_VALUE"""),49.1)</f>
        <v>49.1</v>
      </c>
      <c r="D26" t="str">
        <f>IFERROR(__xludf.DUMMYFUNCTION("""COMPUTED_VALUE"""),"Kawhi Leonard")</f>
        <v>Kawhi Leonard</v>
      </c>
      <c r="E26">
        <f>IFERROR(__xludf.DUMMYFUNCTION("""COMPUTED_VALUE"""),60.0)</f>
        <v>60</v>
      </c>
      <c r="F26" t="str">
        <f>IFERROR(__xludf.DUMMYFUNCTION("""COMPUTED_VALUE"""),"SG,SF,PF")</f>
        <v>SG,SF,PF</v>
      </c>
      <c r="G26" s="26">
        <f>IFERROR(__xludf.DUMMYFUNCTION("""COMPUTED_VALUE"""),3.6743426861757884)</f>
        <v>3.674342686</v>
      </c>
      <c r="H26" s="26">
        <f>IFERROR(__xludf.DUMMYFUNCTION("""COMPUTED_VALUE"""),3.6801773227569505)</f>
        <v>3.680177323</v>
      </c>
      <c r="I26" s="26">
        <f>IFERROR(__xludf.DUMMYFUNCTION("""COMPUTED_VALUE"""),0.005834636581162123)</f>
        <v>0.005834636581</v>
      </c>
      <c r="J26" s="26">
        <f>IFERROR(__xludf.DUMMYFUNCTION("""COMPUTED_VALUE"""),22.2904878)</f>
        <v>22.2904878</v>
      </c>
      <c r="K26" s="26">
        <f>IFERROR(__xludf.DUMMYFUNCTION("""COMPUTED_VALUE"""),1.713414634)</f>
        <v>1.713414634</v>
      </c>
      <c r="L26" s="26">
        <f>IFERROR(__xludf.DUMMYFUNCTION("""COMPUTED_VALUE"""),6.265853659)</f>
        <v>6.265853659</v>
      </c>
      <c r="M26" s="26">
        <f>IFERROR(__xludf.DUMMYFUNCTION("""COMPUTED_VALUE"""),3.797560976)</f>
        <v>3.797560976</v>
      </c>
      <c r="N26" s="26">
        <f>IFERROR(__xludf.DUMMYFUNCTION("""COMPUTED_VALUE"""),1.390243902)</f>
        <v>1.390243902</v>
      </c>
      <c r="O26" s="26">
        <f>IFERROR(__xludf.DUMMYFUNCTION("""COMPUTED_VALUE"""),0.6329268293)</f>
        <v>0.6329268293</v>
      </c>
      <c r="P26" s="464">
        <f>IFERROR(__xludf.DUMMYFUNCTION("""COMPUTED_VALUE"""),0.5124108633)</f>
        <v>0.5124108633</v>
      </c>
      <c r="Q26" s="464">
        <f>IFERROR(__xludf.DUMMYFUNCTION("""COMPUTED_VALUE"""),0.8799832583)</f>
        <v>0.8799832583</v>
      </c>
      <c r="R26" s="26">
        <f>IFERROR(__xludf.DUMMYFUNCTION("""COMPUTED_VALUE"""),1.772195122)</f>
        <v>1.772195122</v>
      </c>
      <c r="S26" s="26">
        <f>IFERROR(__xludf.DUMMYFUNCTION("""COMPUTED_VALUE"""),0.8655553355145719)</f>
        <v>0.8655553355</v>
      </c>
      <c r="T26" s="26">
        <f>IFERROR(__xludf.DUMMYFUNCTION("""COMPUTED_VALUE"""),-0.03496749726121787)</f>
        <v>-0.03496749726</v>
      </c>
      <c r="U26" s="26">
        <f>IFERROR(__xludf.DUMMYFUNCTION("""COMPUTED_VALUE"""),0.07153099260254513)</f>
        <v>0.0715309926</v>
      </c>
      <c r="V26" s="26">
        <f>IFERROR(__xludf.DUMMYFUNCTION("""COMPUTED_VALUE"""),-0.061659442410751567)</f>
        <v>-0.06165944241</v>
      </c>
      <c r="W26" s="26">
        <f>IFERROR(__xludf.DUMMYFUNCTION("""COMPUTED_VALUE"""),1.3704486432719183)</f>
        <v>1.370448643</v>
      </c>
      <c r="X26" s="26">
        <f>IFERROR(__xludf.DUMMYFUNCTION("""COMPUTED_VALUE"""),-0.20643910905379656)</f>
        <v>-0.2064391091</v>
      </c>
      <c r="Y26" s="26">
        <f>IFERROR(__xludf.DUMMYFUNCTION("""COMPUTED_VALUE"""),0.28354819439449463)</f>
        <v>0.2835481944</v>
      </c>
      <c r="Z26" s="26">
        <f>IFERROR(__xludf.DUMMYFUNCTION("""COMPUTED_VALUE"""),1.3921602056991869)</f>
        <v>1.392160206</v>
      </c>
      <c r="AA26" s="26">
        <f>IFERROR(__xludf.DUMMYFUNCTION("""COMPUTED_VALUE"""),0.0)</f>
        <v>0</v>
      </c>
      <c r="AB26" t="str">
        <f>IFERROR(__xludf.DUMMYFUNCTION("SUBSTITUTE(REGEXREPLACE(REGEXREPLACE(REGEXREPLACE(REGEXREPLACE(REGEXREPLACE(REGEXREPLACE(F26,"","",),IF(Projections!$T$17="""",""PG"",),),IF(Projections!$U$17="""",""SG"",),),IF(Projections!$V$17="""",""SF"",),),IF(Projections!$W$17="""",""PF"",),),IF(Pro"&amp;"jections!$X$17="""",""C"",),),""/"","""")"),"SGSFPF")</f>
        <v>SGSFPF</v>
      </c>
    </row>
    <row r="27">
      <c r="A27" t="str">
        <f>IF(Projections!$AB$17,Draft!E13,"")</f>
        <v/>
      </c>
      <c r="B27">
        <f>IFERROR(__xludf.DUMMYFUNCTION("""COMPUTED_VALUE"""),21.0)</f>
        <v>21</v>
      </c>
      <c r="C27">
        <f>IFERROR(__xludf.DUMMYFUNCTION("""COMPUTED_VALUE"""),20.0)</f>
        <v>20</v>
      </c>
      <c r="D27" t="str">
        <f>IFERROR(__xludf.DUMMYFUNCTION("""COMPUTED_VALUE"""),"Devin Booker")</f>
        <v>Devin Booker</v>
      </c>
      <c r="E27">
        <f>IFERROR(__xludf.DUMMYFUNCTION("""COMPUTED_VALUE"""),78.0)</f>
        <v>78</v>
      </c>
      <c r="F27" t="str">
        <f>IFERROR(__xludf.DUMMYFUNCTION("""COMPUTED_VALUE"""),"PF,C")</f>
        <v>PF,C</v>
      </c>
      <c r="G27" s="26">
        <f>IFERROR(__xludf.DUMMYFUNCTION("""COMPUTED_VALUE"""),3.4023707844651803)</f>
        <v>3.402370784</v>
      </c>
      <c r="H27" s="26">
        <f>IFERROR(__xludf.DUMMYFUNCTION("""COMPUTED_VALUE"""),3.5860043860535904)</f>
        <v>3.586004386</v>
      </c>
      <c r="I27" s="26">
        <f>IFERROR(__xludf.DUMMYFUNCTION("""COMPUTED_VALUE"""),0.18363360158841013)</f>
        <v>0.1836336016</v>
      </c>
      <c r="J27" s="26">
        <f>IFERROR(__xludf.DUMMYFUNCTION("""COMPUTED_VALUE"""),26.43630137)</f>
        <v>26.43630137</v>
      </c>
      <c r="K27" s="26">
        <f>IFERROR(__xludf.DUMMYFUNCTION("""COMPUTED_VALUE"""),2.919589041)</f>
        <v>2.919589041</v>
      </c>
      <c r="L27" s="26">
        <f>IFERROR(__xludf.DUMMYFUNCTION("""COMPUTED_VALUE"""),4.15630137)</f>
        <v>4.15630137</v>
      </c>
      <c r="M27" s="26">
        <f>IFERROR(__xludf.DUMMYFUNCTION("""COMPUTED_VALUE"""),5.90630137)</f>
        <v>5.90630137</v>
      </c>
      <c r="N27" s="26">
        <f>IFERROR(__xludf.DUMMYFUNCTION("""COMPUTED_VALUE"""),0.9415068493)</f>
        <v>0.9415068493</v>
      </c>
      <c r="O27" s="26">
        <f>IFERROR(__xludf.DUMMYFUNCTION("""COMPUTED_VALUE"""),0.3663013699)</f>
        <v>0.3663013699</v>
      </c>
      <c r="P27" s="464">
        <f>IFERROR(__xludf.DUMMYFUNCTION("""COMPUTED_VALUE"""),0.4664797607)</f>
        <v>0.4664797607</v>
      </c>
      <c r="Q27" s="464">
        <f>IFERROR(__xludf.DUMMYFUNCTION("""COMPUTED_VALUE"""),0.8880078459)</f>
        <v>0.8880078459</v>
      </c>
      <c r="R27" s="26">
        <f>IFERROR(__xludf.DUMMYFUNCTION("""COMPUTED_VALUE"""),2.489178082)</f>
        <v>2.489178082</v>
      </c>
      <c r="S27" s="26">
        <f>IFERROR(__xludf.DUMMYFUNCTION("""COMPUTED_VALUE"""),1.6128616086808063)</f>
        <v>1.612861609</v>
      </c>
      <c r="T27" s="26">
        <f>IFERROR(__xludf.DUMMYFUNCTION("""COMPUTED_VALUE"""),1.1614713201010867)</f>
        <v>1.16147132</v>
      </c>
      <c r="U27" s="26">
        <f>IFERROR(__xludf.DUMMYFUNCTION("""COMPUTED_VALUE"""),-0.7552173085960869)</f>
        <v>-0.7552173086</v>
      </c>
      <c r="V27" s="26">
        <f>IFERROR(__xludf.DUMMYFUNCTION("""COMPUTED_VALUE"""),0.8960005661272853)</f>
        <v>0.8960005661</v>
      </c>
      <c r="W27" s="26">
        <f>IFERROR(__xludf.DUMMYFUNCTION("""COMPUTED_VALUE"""),-0.11411415195434317)</f>
        <v>-0.114114152</v>
      </c>
      <c r="X27" s="26">
        <f>IFERROR(__xludf.DUMMYFUNCTION("""COMPUTED_VALUE"""),-0.6820050295001931)</f>
        <v>-0.6820050295</v>
      </c>
      <c r="Y27" s="26">
        <f>IFERROR(__xludf.DUMMYFUNCTION("""COMPUTED_VALUE"""),-0.6784506294748801)</f>
        <v>-0.6784506295</v>
      </c>
      <c r="Z27" s="26">
        <f>IFERROR(__xludf.DUMMYFUNCTION("""COMPUTED_VALUE"""),2.1454580106699153)</f>
        <v>2.145458011</v>
      </c>
      <c r="AA27" s="26">
        <f>IFERROR(__xludf.DUMMYFUNCTION("""COMPUTED_VALUE"""),0.0)</f>
        <v>0</v>
      </c>
      <c r="AB27" t="str">
        <f>IFERROR(__xludf.DUMMYFUNCTION("SUBSTITUTE(REGEXREPLACE(REGEXREPLACE(REGEXREPLACE(REGEXREPLACE(REGEXREPLACE(REGEXREPLACE(F27,"","",),IF(Projections!$T$17="""",""PG"",),),IF(Projections!$U$17="""",""SG"",),),IF(Projections!$V$17="""",""SF"",),),IF(Projections!$W$17="""",""PF"",),),IF(Pro"&amp;"jections!$X$17="""",""C"",),),""/"","""")"),"PFC")</f>
        <v>PFC</v>
      </c>
    </row>
    <row r="28">
      <c r="A28" t="str">
        <f>IF(Projections!$AB$17,Draft!E14,"")</f>
        <v/>
      </c>
      <c r="B28">
        <f>IFERROR(__xludf.DUMMYFUNCTION("""COMPUTED_VALUE"""),23.0)</f>
        <v>23</v>
      </c>
      <c r="C28">
        <f>IFERROR(__xludf.DUMMYFUNCTION("""COMPUTED_VALUE"""),19.0)</f>
        <v>19</v>
      </c>
      <c r="D28" t="str">
        <f>IFERROR(__xludf.DUMMYFUNCTION("""COMPUTED_VALUE"""),"Scottie Barnes")</f>
        <v>Scottie Barnes</v>
      </c>
      <c r="E28">
        <f>IFERROR(__xludf.DUMMYFUNCTION("""COMPUTED_VALUE"""),68.0)</f>
        <v>68</v>
      </c>
      <c r="F28" t="str">
        <f>IFERROR(__xludf.DUMMYFUNCTION("""COMPUTED_VALUE"""),"SF,PF")</f>
        <v>SF,PF</v>
      </c>
      <c r="G28" s="26">
        <f>IFERROR(__xludf.DUMMYFUNCTION("""COMPUTED_VALUE"""),2.9758235571961023)</f>
        <v>2.975823557</v>
      </c>
      <c r="H28" s="26">
        <f>IFERROR(__xludf.DUMMYFUNCTION("""COMPUTED_VALUE"""),3.3457569846009347)</f>
        <v>3.345756985</v>
      </c>
      <c r="I28" s="26">
        <f>IFERROR(__xludf.DUMMYFUNCTION("""COMPUTED_VALUE"""),0.3699334274048325)</f>
        <v>0.3699334274</v>
      </c>
      <c r="J28" s="26">
        <f>IFERROR(__xludf.DUMMYFUNCTION("""COMPUTED_VALUE"""),20.39897059)</f>
        <v>20.39897059</v>
      </c>
      <c r="K28" s="26">
        <f>IFERROR(__xludf.DUMMYFUNCTION("""COMPUTED_VALUE"""),1.265735294)</f>
        <v>1.265735294</v>
      </c>
      <c r="L28" s="26">
        <f>IFERROR(__xludf.DUMMYFUNCTION("""COMPUTED_VALUE"""),7.585588235)</f>
        <v>7.585588235</v>
      </c>
      <c r="M28" s="26">
        <f>IFERROR(__xludf.DUMMYFUNCTION("""COMPUTED_VALUE"""),6.554411765)</f>
        <v>6.554411765</v>
      </c>
      <c r="N28" s="26">
        <f>IFERROR(__xludf.DUMMYFUNCTION("""COMPUTED_VALUE"""),1.180441176)</f>
        <v>1.180441176</v>
      </c>
      <c r="O28" s="26">
        <f>IFERROR(__xludf.DUMMYFUNCTION("""COMPUTED_VALUE"""),1.325588235)</f>
        <v>1.325588235</v>
      </c>
      <c r="P28" s="464">
        <f>IFERROR(__xludf.DUMMYFUNCTION("""COMPUTED_VALUE"""),0.4873241251)</f>
        <v>0.4873241251</v>
      </c>
      <c r="Q28" s="464">
        <f>IFERROR(__xludf.DUMMYFUNCTION("""COMPUTED_VALUE"""),0.7949914552)</f>
        <v>0.7949914552</v>
      </c>
      <c r="R28" s="26">
        <f>IFERROR(__xludf.DUMMYFUNCTION("""COMPUTED_VALUE"""),3.240441176)</f>
        <v>3.240441176</v>
      </c>
      <c r="S28" s="26">
        <f>IFERROR(__xludf.DUMMYFUNCTION("""COMPUTED_VALUE"""),0.5245986926342472)</f>
        <v>0.5245986926</v>
      </c>
      <c r="T28" s="26">
        <f>IFERROR(__xludf.DUMMYFUNCTION("""COMPUTED_VALUE"""),-0.47903341094557045)</f>
        <v>-0.4790334109</v>
      </c>
      <c r="U28" s="26">
        <f>IFERROR(__xludf.DUMMYFUNCTION("""COMPUTED_VALUE"""),0.5887442062452894)</f>
        <v>0.5887442062</v>
      </c>
      <c r="V28" s="26">
        <f>IFERROR(__xludf.DUMMYFUNCTION("""COMPUTED_VALUE"""),1.190332390080239)</f>
        <v>1.19033239</v>
      </c>
      <c r="W28" s="26">
        <f>IFERROR(__xludf.DUMMYFUNCTION("""COMPUTED_VALUE"""),0.6763554778366198)</f>
        <v>0.6763554778</v>
      </c>
      <c r="X28" s="26">
        <f>IFERROR(__xludf.DUMMYFUNCTION("""COMPUTED_VALUE"""),1.0290248998997888)</f>
        <v>1.0290249</v>
      </c>
      <c r="Y28" s="26">
        <f>IFERROR(__xludf.DUMMYFUNCTION("""COMPUTED_VALUE"""),-0.18444534601068677)</f>
        <v>-0.184445346</v>
      </c>
      <c r="Z28" s="26">
        <f>IFERROR(__xludf.DUMMYFUNCTION("""COMPUTED_VALUE"""),1.80074861008132E-4)</f>
        <v>0.000180074861</v>
      </c>
      <c r="AA28" s="26">
        <f>IFERROR(__xludf.DUMMYFUNCTION("""COMPUTED_VALUE"""),0.0)</f>
        <v>0</v>
      </c>
      <c r="AB28" t="str">
        <f>IFERROR(__xludf.DUMMYFUNCTION("SUBSTITUTE(REGEXREPLACE(REGEXREPLACE(REGEXREPLACE(REGEXREPLACE(REGEXREPLACE(REGEXREPLACE(F28,"","",),IF(Projections!$T$17="""",""PG"",),),IF(Projections!$U$17="""",""SG"",),),IF(Projections!$V$17="""",""SF"",),),IF(Projections!$W$17="""",""PF"",),),IF(Pro"&amp;"jections!$X$17="""",""C"",),),""/"","""")"),"SFPF")</f>
        <v>SFPF</v>
      </c>
    </row>
    <row r="29">
      <c r="A29" s="408" t="str">
        <f>IF(Projections!$AB$17,Draft!F3,"")</f>
        <v/>
      </c>
      <c r="B29">
        <f>IFERROR(__xludf.DUMMYFUNCTION("""COMPUTED_VALUE"""),28.0)</f>
        <v>28</v>
      </c>
      <c r="C29">
        <f>IFERROR(__xludf.DUMMYFUNCTION("""COMPUTED_VALUE"""),24.3)</f>
        <v>24.3</v>
      </c>
      <c r="D29" t="str">
        <f>IFERROR(__xludf.DUMMYFUNCTION("""COMPUTED_VALUE"""),"Damian Lillard")</f>
        <v>Damian Lillard</v>
      </c>
      <c r="E29">
        <f>IFERROR(__xludf.DUMMYFUNCTION("""COMPUTED_VALUE"""),68.0)</f>
        <v>68</v>
      </c>
      <c r="F29" t="str">
        <f>IFERROR(__xludf.DUMMYFUNCTION("""COMPUTED_VALUE"""),"SG,SF")</f>
        <v>SG,SF</v>
      </c>
      <c r="G29" s="26">
        <f>IFERROR(__xludf.DUMMYFUNCTION("""COMPUTED_VALUE"""),2.96621614223755)</f>
        <v>2.966216142</v>
      </c>
      <c r="H29" s="26">
        <f>IFERROR(__xludf.DUMMYFUNCTION("""COMPUTED_VALUE"""),3.2149705318849504)</f>
        <v>3.214970532</v>
      </c>
      <c r="I29" s="26">
        <f>IFERROR(__xludf.DUMMYFUNCTION("""COMPUTED_VALUE"""),0.2487543896474005)</f>
        <v>0.2487543896</v>
      </c>
      <c r="J29" s="26">
        <f>IFERROR(__xludf.DUMMYFUNCTION("""COMPUTED_VALUE"""),23.52205479)</f>
        <v>23.52205479</v>
      </c>
      <c r="K29" s="26">
        <f>IFERROR(__xludf.DUMMYFUNCTION("""COMPUTED_VALUE"""),3.035342466)</f>
        <v>3.035342466</v>
      </c>
      <c r="L29" s="26">
        <f>IFERROR(__xludf.DUMMYFUNCTION("""COMPUTED_VALUE"""),4.331232877)</f>
        <v>4.331232877</v>
      </c>
      <c r="M29" s="26">
        <f>IFERROR(__xludf.DUMMYFUNCTION("""COMPUTED_VALUE"""),6.916575342)</f>
        <v>6.916575342</v>
      </c>
      <c r="N29" s="26">
        <f>IFERROR(__xludf.DUMMYFUNCTION("""COMPUTED_VALUE"""),0.8616438356)</f>
        <v>0.8616438356</v>
      </c>
      <c r="O29" s="26">
        <f>IFERROR(__xludf.DUMMYFUNCTION("""COMPUTED_VALUE"""),0.2898630137)</f>
        <v>0.2898630137</v>
      </c>
      <c r="P29" s="464">
        <f>IFERROR(__xludf.DUMMYFUNCTION("""COMPUTED_VALUE"""),0.433900243)</f>
        <v>0.433900243</v>
      </c>
      <c r="Q29" s="464">
        <f>IFERROR(__xludf.DUMMYFUNCTION("""COMPUTED_VALUE"""),0.921002059)</f>
        <v>0.921002059</v>
      </c>
      <c r="R29" s="26">
        <f>IFERROR(__xludf.DUMMYFUNCTION("""COMPUTED_VALUE"""),2.751780822)</f>
        <v>2.751780822</v>
      </c>
      <c r="S29" s="26">
        <f>IFERROR(__xludf.DUMMYFUNCTION("""COMPUTED_VALUE"""),1.0875522299507718)</f>
        <v>1.08755223</v>
      </c>
      <c r="T29" s="26">
        <f>IFERROR(__xludf.DUMMYFUNCTION("""COMPUTED_VALUE"""),1.276290445850151)</f>
        <v>1.276290446</v>
      </c>
      <c r="U29" s="26">
        <f>IFERROR(__xludf.DUMMYFUNCTION("""COMPUTED_VALUE"""),-0.6866604271229461)</f>
        <v>-0.6866604271</v>
      </c>
      <c r="V29" s="26">
        <f>IFERROR(__xludf.DUMMYFUNCTION("""COMPUTED_VALUE"""),1.3548047809107178)</f>
        <v>1.354804781</v>
      </c>
      <c r="W29" s="26">
        <f>IFERROR(__xludf.DUMMYFUNCTION("""COMPUTED_VALUE"""),-0.3783260286877064)</f>
        <v>-0.3783260287</v>
      </c>
      <c r="X29" s="26">
        <f>IFERROR(__xludf.DUMMYFUNCTION("""COMPUTED_VALUE"""),-0.8183441371963074)</f>
        <v>-0.8183441372</v>
      </c>
      <c r="Y29" s="26">
        <f>IFERROR(__xludf.DUMMYFUNCTION("""COMPUTED_VALUE"""),-1.2712285668018568)</f>
        <v>-1.271228567</v>
      </c>
      <c r="Z29" s="26">
        <f>IFERROR(__xludf.DUMMYFUNCTION("""COMPUTED_VALUE"""),2.650882234982127)</f>
        <v>2.650882235</v>
      </c>
      <c r="AA29" s="26">
        <f>IFERROR(__xludf.DUMMYFUNCTION("""COMPUTED_VALUE"""),0.0)</f>
        <v>0</v>
      </c>
      <c r="AB29" t="str">
        <f>IFERROR(__xludf.DUMMYFUNCTION("SUBSTITUTE(REGEXREPLACE(REGEXREPLACE(REGEXREPLACE(REGEXREPLACE(REGEXREPLACE(REGEXREPLACE(F29,"","",),IF(Projections!$T$17="""",""PG"",),),IF(Projections!$U$17="""",""SG"",),),IF(Projections!$V$17="""",""SF"",),),IF(Projections!$W$17="""",""PF"",),),IF(Pro"&amp;"jections!$X$17="""",""C"",),),""/"","""")"),"SGSF")</f>
        <v>SGSF</v>
      </c>
    </row>
    <row r="30">
      <c r="A30" s="408" t="str">
        <f>IF(Projections!$AB$17,Draft!F4,"")</f>
        <v/>
      </c>
      <c r="B30">
        <f>IFERROR(__xludf.DUMMYFUNCTION("""COMPUTED_VALUE"""),25.0)</f>
        <v>25</v>
      </c>
      <c r="C30">
        <f>IFERROR(__xludf.DUMMYFUNCTION("""COMPUTED_VALUE"""),18.3)</f>
        <v>18.3</v>
      </c>
      <c r="D30" t="str">
        <f>IFERROR(__xludf.DUMMYFUNCTION("""COMPUTED_VALUE"""),"Kevin Durant")</f>
        <v>Kevin Durant</v>
      </c>
      <c r="E30">
        <f>IFERROR(__xludf.DUMMYFUNCTION("""COMPUTED_VALUE"""),68.0)</f>
        <v>68</v>
      </c>
      <c r="F30" t="str">
        <f>IFERROR(__xludf.DUMMYFUNCTION("""COMPUTED_VALUE"""),"SG,SF")</f>
        <v>SG,SF</v>
      </c>
      <c r="G30" s="26">
        <f>IFERROR(__xludf.DUMMYFUNCTION("""COMPUTED_VALUE"""),2.727684495596219)</f>
        <v>2.727684496</v>
      </c>
      <c r="H30" s="26">
        <f>IFERROR(__xludf.DUMMYFUNCTION("""COMPUTED_VALUE"""),3.0399256089126094)</f>
        <v>3.039925609</v>
      </c>
      <c r="I30" s="26">
        <f>IFERROR(__xludf.DUMMYFUNCTION("""COMPUTED_VALUE"""),0.31224111331639026)</f>
        <v>0.3122411133</v>
      </c>
      <c r="J30" s="26">
        <f>IFERROR(__xludf.DUMMYFUNCTION("""COMPUTED_VALUE"""),24.575)</f>
        <v>24.575</v>
      </c>
      <c r="K30" s="26">
        <f>IFERROR(__xludf.DUMMYFUNCTION("""COMPUTED_VALUE"""),2.611323529)</f>
        <v>2.611323529</v>
      </c>
      <c r="L30" s="26">
        <f>IFERROR(__xludf.DUMMYFUNCTION("""COMPUTED_VALUE"""),6.020882353)</f>
        <v>6.020882353</v>
      </c>
      <c r="M30" s="26">
        <f>IFERROR(__xludf.DUMMYFUNCTION("""COMPUTED_VALUE"""),3.754117647)</f>
        <v>3.754117647</v>
      </c>
      <c r="N30" s="26">
        <f>IFERROR(__xludf.DUMMYFUNCTION("""COMPUTED_VALUE"""),0.765)</f>
        <v>0.765</v>
      </c>
      <c r="O30" s="26">
        <f>IFERROR(__xludf.DUMMYFUNCTION("""COMPUTED_VALUE"""),1.076323529)</f>
        <v>1.076323529</v>
      </c>
      <c r="P30" s="464">
        <f>IFERROR(__xludf.DUMMYFUNCTION("""COMPUTED_VALUE"""),0.5002442519)</f>
        <v>0.5002442519</v>
      </c>
      <c r="Q30" s="464">
        <f>IFERROR(__xludf.DUMMYFUNCTION("""COMPUTED_VALUE"""),0.8620139386)</f>
        <v>0.8620139386</v>
      </c>
      <c r="R30" s="26">
        <f>IFERROR(__xludf.DUMMYFUNCTION("""COMPUTED_VALUE"""),3.007794118)</f>
        <v>3.007794118</v>
      </c>
      <c r="S30" s="26">
        <f>IFERROR(__xludf.DUMMYFUNCTION("""COMPUTED_VALUE"""),1.2773515413398122)</f>
        <v>1.277351541</v>
      </c>
      <c r="T30" s="26">
        <f>IFERROR(__xludf.DUMMYFUNCTION("""COMPUTED_VALUE"""),0.8556939611466735)</f>
        <v>0.8556939611</v>
      </c>
      <c r="U30" s="26">
        <f>IFERROR(__xludf.DUMMYFUNCTION("""COMPUTED_VALUE"""),-0.024474976120759804)</f>
        <v>-0.02447497612</v>
      </c>
      <c r="V30" s="26">
        <f>IFERROR(__xludf.DUMMYFUNCTION("""COMPUTED_VALUE"""),-0.0813887267453413)</f>
        <v>-0.08138872675</v>
      </c>
      <c r="W30" s="26">
        <f>IFERROR(__xludf.DUMMYFUNCTION("""COMPUTED_VALUE"""),-0.6980541230281613)</f>
        <v>-0.698054123</v>
      </c>
      <c r="X30" s="26">
        <f>IFERROR(__xludf.DUMMYFUNCTION("""COMPUTED_VALUE"""),0.584424449475997)</f>
        <v>0.5844244495</v>
      </c>
      <c r="Y30" s="26">
        <f>IFERROR(__xludf.DUMMYFUNCTION("""COMPUTED_VALUE"""),0.06297756845591759)</f>
        <v>0.06297756846</v>
      </c>
      <c r="Z30" s="26">
        <f>IFERROR(__xludf.DUMMYFUNCTION("""COMPUTED_VALUE"""),1.0633959143884713)</f>
        <v>1.063395914</v>
      </c>
      <c r="AA30" s="26">
        <f>IFERROR(__xludf.DUMMYFUNCTION("""COMPUTED_VALUE"""),0.0)</f>
        <v>0</v>
      </c>
      <c r="AB30" t="str">
        <f>IFERROR(__xludf.DUMMYFUNCTION("SUBSTITUTE(REGEXREPLACE(REGEXREPLACE(REGEXREPLACE(REGEXREPLACE(REGEXREPLACE(REGEXREPLACE(F30,"","",),IF(Projections!$T$17="""",""PG"",),),IF(Projections!$U$17="""",""SG"",),),IF(Projections!$V$17="""",""SF"",),),IF(Projections!$W$17="""",""PF"",),),IF(Pro"&amp;"jections!$X$17="""",""C"",),),""/"","""")"),"SGSF")</f>
        <v>SGSF</v>
      </c>
    </row>
    <row r="31">
      <c r="A31" s="408" t="str">
        <f>IF(Projections!$AB$17,Draft!F5,"")</f>
        <v/>
      </c>
      <c r="B31">
        <f>IFERROR(__xludf.DUMMYFUNCTION("""COMPUTED_VALUE"""),30.0)</f>
        <v>30</v>
      </c>
      <c r="C31">
        <f>IFERROR(__xludf.DUMMYFUNCTION("""COMPUTED_VALUE"""),26.1)</f>
        <v>26.1</v>
      </c>
      <c r="D31" t="str">
        <f>IFERROR(__xludf.DUMMYFUNCTION("""COMPUTED_VALUE"""),"De'Aaron Fox")</f>
        <v>De'Aaron Fox</v>
      </c>
      <c r="E31">
        <f>IFERROR(__xludf.DUMMYFUNCTION("""COMPUTED_VALUE"""),76.0)</f>
        <v>76</v>
      </c>
      <c r="F31" t="str">
        <f>IFERROR(__xludf.DUMMYFUNCTION("""COMPUTED_VALUE"""),"SF,PF")</f>
        <v>SF,PF</v>
      </c>
      <c r="G31" s="26">
        <f>IFERROR(__xludf.DUMMYFUNCTION("""COMPUTED_VALUE"""),2.7908804349554908)</f>
        <v>2.790880435</v>
      </c>
      <c r="H31" s="26">
        <f>IFERROR(__xludf.DUMMYFUNCTION("""COMPUTED_VALUE"""),2.958344242663441)</f>
        <v>2.958344243</v>
      </c>
      <c r="I31" s="26">
        <f>IFERROR(__xludf.DUMMYFUNCTION("""COMPUTED_VALUE"""),0.16746380770795044)</f>
        <v>0.1674638077</v>
      </c>
      <c r="J31" s="26">
        <f>IFERROR(__xludf.DUMMYFUNCTION("""COMPUTED_VALUE"""),25.08767123)</f>
        <v>25.08767123</v>
      </c>
      <c r="K31" s="26">
        <f>IFERROR(__xludf.DUMMYFUNCTION("""COMPUTED_VALUE"""),2.718219178)</f>
        <v>2.718219178</v>
      </c>
      <c r="L31" s="26">
        <f>IFERROR(__xludf.DUMMYFUNCTION("""COMPUTED_VALUE"""),4.696438356)</f>
        <v>4.696438356</v>
      </c>
      <c r="M31" s="26">
        <f>IFERROR(__xludf.DUMMYFUNCTION("""COMPUTED_VALUE"""),5.075205479)</f>
        <v>5.075205479</v>
      </c>
      <c r="N31" s="26">
        <f>IFERROR(__xludf.DUMMYFUNCTION("""COMPUTED_VALUE"""),1.666438356)</f>
        <v>1.666438356</v>
      </c>
      <c r="O31" s="26">
        <f>IFERROR(__xludf.DUMMYFUNCTION("""COMPUTED_VALUE"""),0.4553424658)</f>
        <v>0.4553424658</v>
      </c>
      <c r="P31" s="464">
        <f>IFERROR(__xludf.DUMMYFUNCTION("""COMPUTED_VALUE"""),0.4634715994)</f>
        <v>0.4634715994</v>
      </c>
      <c r="Q31" s="464">
        <f>IFERROR(__xludf.DUMMYFUNCTION("""COMPUTED_VALUE"""),0.7749920559)</f>
        <v>0.7749920559</v>
      </c>
      <c r="R31" s="26">
        <f>IFERROR(__xludf.DUMMYFUNCTION("""COMPUTED_VALUE"""),2.423972603)</f>
        <v>2.423972603</v>
      </c>
      <c r="S31" s="26">
        <f>IFERROR(__xludf.DUMMYFUNCTION("""COMPUTED_VALUE"""),1.3697634213681877)</f>
        <v>1.369763421</v>
      </c>
      <c r="T31" s="26">
        <f>IFERROR(__xludf.DUMMYFUNCTION("""COMPUTED_VALUE"""),0.9617268060889191)</f>
        <v>0.9617268061</v>
      </c>
      <c r="U31" s="26">
        <f>IFERROR(__xludf.DUMMYFUNCTION("""COMPUTED_VALUE"""),-0.5435338448021023)</f>
        <v>-0.5435338448</v>
      </c>
      <c r="V31" s="26">
        <f>IFERROR(__xludf.DUMMYFUNCTION("""COMPUTED_VALUE"""),0.5185680000629262)</f>
        <v>0.5185680001</v>
      </c>
      <c r="W31" s="26">
        <f>IFERROR(__xludf.DUMMYFUNCTION("""COMPUTED_VALUE"""),2.284186450723162)</f>
        <v>2.284186451</v>
      </c>
      <c r="X31" s="26">
        <f>IFERROR(__xludf.DUMMYFUNCTION("""COMPUTED_VALUE"""),-0.5231870725634095)</f>
        <v>-0.5231870726</v>
      </c>
      <c r="Y31" s="26">
        <f>IFERROR(__xludf.DUMMYFUNCTION("""COMPUTED_VALUE"""),-0.806468710933035)</f>
        <v>-0.8064687109</v>
      </c>
      <c r="Z31" s="26">
        <f>IFERROR(__xludf.DUMMYFUNCTION("""COMPUTED_VALUE"""),-0.30271080728120703)</f>
        <v>-0.3027108073</v>
      </c>
      <c r="AA31" s="26">
        <f>IFERROR(__xludf.DUMMYFUNCTION("""COMPUTED_VALUE"""),0.0)</f>
        <v>0</v>
      </c>
      <c r="AB31" t="str">
        <f>IFERROR(__xludf.DUMMYFUNCTION("SUBSTITUTE(REGEXREPLACE(REGEXREPLACE(REGEXREPLACE(REGEXREPLACE(REGEXREPLACE(REGEXREPLACE(F31,"","",),IF(Projections!$T$17="""",""PG"",),),IF(Projections!$U$17="""",""SG"",),),IF(Projections!$V$17="""",""SF"",),),IF(Projections!$W$17="""",""PF"",),),IF(Pro"&amp;"jections!$X$17="""",""C"",),),""/"","""")"),"SFPF")</f>
        <v>SFPF</v>
      </c>
    </row>
    <row r="32">
      <c r="A32" s="408" t="str">
        <f>IF(Projections!$AB$17,Draft!F6,"")</f>
        <v/>
      </c>
      <c r="B32">
        <f>IFERROR(__xludf.DUMMYFUNCTION("""COMPUTED_VALUE"""),22.0)</f>
        <v>22</v>
      </c>
      <c r="C32">
        <f>IFERROR(__xludf.DUMMYFUNCTION("""COMPUTED_VALUE"""),14.6)</f>
        <v>14.6</v>
      </c>
      <c r="D32" t="str">
        <f>IFERROR(__xludf.DUMMYFUNCTION("""COMPUTED_VALUE"""),"Domantas Sabonis")</f>
        <v>Domantas Sabonis</v>
      </c>
      <c r="E32">
        <f>IFERROR(__xludf.DUMMYFUNCTION("""COMPUTED_VALUE"""),67.0)</f>
        <v>67</v>
      </c>
      <c r="F32" t="str">
        <f>IFERROR(__xludf.DUMMYFUNCTION("""COMPUTED_VALUE"""),"C")</f>
        <v>C</v>
      </c>
      <c r="G32" s="26">
        <f>IFERROR(__xludf.DUMMYFUNCTION("""COMPUTED_VALUE"""),2.6726699753926044)</f>
        <v>2.672669975</v>
      </c>
      <c r="H32" s="26">
        <f>IFERROR(__xludf.DUMMYFUNCTION("""COMPUTED_VALUE"""),2.934058174717424)</f>
        <v>2.934058175</v>
      </c>
      <c r="I32" s="26">
        <f>IFERROR(__xludf.DUMMYFUNCTION("""COMPUTED_VALUE"""),0.2613881993248195)</f>
        <v>0.2613881993</v>
      </c>
      <c r="J32" s="26">
        <f>IFERROR(__xludf.DUMMYFUNCTION("""COMPUTED_VALUE"""),18.4612987)</f>
        <v>18.4612987</v>
      </c>
      <c r="K32" s="26">
        <f>IFERROR(__xludf.DUMMYFUNCTION("""COMPUTED_VALUE"""),0.3036363636)</f>
        <v>0.3036363636</v>
      </c>
      <c r="L32" s="26">
        <f>IFERROR(__xludf.DUMMYFUNCTION("""COMPUTED_VALUE"""),14.01376623)</f>
        <v>14.01376623</v>
      </c>
      <c r="M32" s="26">
        <f>IFERROR(__xludf.DUMMYFUNCTION("""COMPUTED_VALUE"""),6.968961039)</f>
        <v>6.968961039</v>
      </c>
      <c r="N32" s="26">
        <f>IFERROR(__xludf.DUMMYFUNCTION("""COMPUTED_VALUE"""),0.9853246753)</f>
        <v>0.9853246753</v>
      </c>
      <c r="O32" s="26">
        <f>IFERROR(__xludf.DUMMYFUNCTION("""COMPUTED_VALUE"""),0.6814285714)</f>
        <v>0.6814285714</v>
      </c>
      <c r="P32" s="464">
        <f>IFERROR(__xludf.DUMMYFUNCTION("""COMPUTED_VALUE"""),0.5834030467)</f>
        <v>0.5834030467</v>
      </c>
      <c r="Q32" s="464">
        <f>IFERROR(__xludf.DUMMYFUNCTION("""COMPUTED_VALUE"""),0.71)</f>
        <v>0.71</v>
      </c>
      <c r="R32" s="26">
        <f>IFERROR(__xludf.DUMMYFUNCTION("""COMPUTED_VALUE"""),2.802727273)</f>
        <v>2.802727273</v>
      </c>
      <c r="S32" s="26">
        <f>IFERROR(__xludf.DUMMYFUNCTION("""COMPUTED_VALUE"""),0.1753224084295827)</f>
        <v>0.1753224084</v>
      </c>
      <c r="T32" s="26">
        <f>IFERROR(__xludf.DUMMYFUNCTION("""COMPUTED_VALUE"""),-1.4333667973886757)</f>
        <v>-1.433366797</v>
      </c>
      <c r="U32" s="26">
        <f>IFERROR(__xludf.DUMMYFUNCTION("""COMPUTED_VALUE"""),3.1079921361877734)</f>
        <v>3.107992136</v>
      </c>
      <c r="V32" s="26">
        <f>IFERROR(__xludf.DUMMYFUNCTION("""COMPUTED_VALUE"""),1.378595138025815)</f>
        <v>1.378595138</v>
      </c>
      <c r="W32" s="26">
        <f>IFERROR(__xludf.DUMMYFUNCTION("""COMPUTED_VALUE"""),0.03084894805243736)</f>
        <v>0.03084894805</v>
      </c>
      <c r="X32" s="26">
        <f>IFERROR(__xludf.DUMMYFUNCTION("""COMPUTED_VALUE"""),-0.11992908230336444)</f>
        <v>-0.1199290823</v>
      </c>
      <c r="Y32" s="26">
        <f>IFERROR(__xludf.DUMMYFUNCTION("""COMPUTED_VALUE"""),1.260155813700897)</f>
        <v>1.260155814</v>
      </c>
      <c r="Z32" s="26">
        <f>IFERROR(__xludf.DUMMYFUNCTION("""COMPUTED_VALUE"""),-1.4655603899870406)</f>
        <v>-1.46556039</v>
      </c>
      <c r="AA32" s="26">
        <f>IFERROR(__xludf.DUMMYFUNCTION("""COMPUTED_VALUE"""),0.0)</f>
        <v>0</v>
      </c>
      <c r="AB32" t="str">
        <f>IFERROR(__xludf.DUMMYFUNCTION("SUBSTITUTE(REGEXREPLACE(REGEXREPLACE(REGEXREPLACE(REGEXREPLACE(REGEXREPLACE(REGEXREPLACE(F32,"","",),IF(Projections!$T$17="""",""PG"",),),IF(Projections!$U$17="""",""SG"",),),IF(Projections!$V$17="""",""SF"",),),IF(Projections!$W$17="""",""PF"",),),IF(Pro"&amp;"jections!$X$17="""",""C"",),),""/"","""")"),"C")</f>
        <v>C</v>
      </c>
    </row>
    <row r="33">
      <c r="A33" s="408" t="str">
        <f>IF(Projections!$AB$17,Draft!F7,"")</f>
        <v/>
      </c>
      <c r="B33">
        <f>IFERROR(__xludf.DUMMYFUNCTION("""COMPUTED_VALUE"""),26.0)</f>
        <v>26</v>
      </c>
      <c r="C33">
        <f>IFERROR(__xludf.DUMMYFUNCTION("""COMPUTED_VALUE"""),17.6)</f>
        <v>17.6</v>
      </c>
      <c r="D33" t="str">
        <f>IFERROR(__xludf.DUMMYFUNCTION("""COMPUTED_VALUE"""),"Chet Holmgren")</f>
        <v>Chet Holmgren</v>
      </c>
      <c r="E33">
        <f>IFERROR(__xludf.DUMMYFUNCTION("""COMPUTED_VALUE"""),72.0)</f>
        <v>72</v>
      </c>
      <c r="F33" t="str">
        <f>IFERROR(__xludf.DUMMYFUNCTION("""COMPUTED_VALUE"""),"PG,SG")</f>
        <v>PG,SG</v>
      </c>
      <c r="G33" s="26">
        <f>IFERROR(__xludf.DUMMYFUNCTION("""COMPUTED_VALUE"""),2.9213476665866014)</f>
        <v>2.921347667</v>
      </c>
      <c r="H33" s="26">
        <f>IFERROR(__xludf.DUMMYFUNCTION("""COMPUTED_VALUE"""),2.871742180929906)</f>
        <v>2.871742181</v>
      </c>
      <c r="I33" s="26">
        <f>IFERROR(__xludf.DUMMYFUNCTION("""COMPUTED_VALUE"""),-0.049605485656695425)</f>
        <v>-0.04960548566</v>
      </c>
      <c r="J33" s="26">
        <f>IFERROR(__xludf.DUMMYFUNCTION("""COMPUTED_VALUE"""),19.0290411)</f>
        <v>19.0290411</v>
      </c>
      <c r="K33" s="26">
        <f>IFERROR(__xludf.DUMMYFUNCTION("""COMPUTED_VALUE"""),1.748630137)</f>
        <v>1.748630137</v>
      </c>
      <c r="L33" s="26">
        <f>IFERROR(__xludf.DUMMYFUNCTION("""COMPUTED_VALUE"""),9.09)</f>
        <v>9.09</v>
      </c>
      <c r="M33" s="26">
        <f>IFERROR(__xludf.DUMMYFUNCTION("""COMPUTED_VALUE"""),2.356712329)</f>
        <v>2.356712329</v>
      </c>
      <c r="N33" s="26">
        <f>IFERROR(__xludf.DUMMYFUNCTION("""COMPUTED_VALUE"""),0.7565753425)</f>
        <v>0.7565753425</v>
      </c>
      <c r="O33" s="26">
        <f>IFERROR(__xludf.DUMMYFUNCTION("""COMPUTED_VALUE"""),2.222054795)</f>
        <v>2.222054795</v>
      </c>
      <c r="P33" s="464">
        <f>IFERROR(__xludf.DUMMYFUNCTION("""COMPUTED_VALUE"""),0.5130794838)</f>
        <v>0.5130794838</v>
      </c>
      <c r="Q33" s="464">
        <f>IFERROR(__xludf.DUMMYFUNCTION("""COMPUTED_VALUE"""),0.7939860985)</f>
        <v>0.7939860985</v>
      </c>
      <c r="R33" s="26">
        <f>IFERROR(__xludf.DUMMYFUNCTION("""COMPUTED_VALUE"""),1.548630137)</f>
        <v>1.548630137</v>
      </c>
      <c r="S33" s="26">
        <f>IFERROR(__xludf.DUMMYFUNCTION("""COMPUTED_VALUE"""),0.2776611773825855)</f>
        <v>0.2776611774</v>
      </c>
      <c r="T33" s="26">
        <f>IFERROR(__xludf.DUMMYFUNCTION("""COMPUTED_VALUE"""),-3.623481888805206E-5)</f>
        <v>-0.00003623481889</v>
      </c>
      <c r="U33" s="26">
        <f>IFERROR(__xludf.DUMMYFUNCTION("""COMPUTED_VALUE"""),1.1783337023210538)</f>
        <v>1.178333702</v>
      </c>
      <c r="V33" s="26">
        <f>IFERROR(__xludf.DUMMYFUNCTION("""COMPUTED_VALUE"""),-0.7160041552611845)</f>
        <v>-0.7160041553</v>
      </c>
      <c r="W33" s="26">
        <f>IFERROR(__xludf.DUMMYFUNCTION("""COMPUTED_VALUE"""),-0.7259255301512662)</f>
        <v>-0.7259255302</v>
      </c>
      <c r="X33" s="26">
        <f>IFERROR(__xludf.DUMMYFUNCTION("""COMPUTED_VALUE"""),2.6280055288134845)</f>
        <v>2.628005529</v>
      </c>
      <c r="Y33" s="26">
        <f>IFERROR(__xludf.DUMMYFUNCTION("""COMPUTED_VALUE"""),0.24553485911638928)</f>
        <v>0.2455348591</v>
      </c>
      <c r="Z33" s="26">
        <f>IFERROR(__xludf.DUMMYFUNCTION("""COMPUTED_VALUE"""),-0.015827166472268086)</f>
        <v>-0.01582716647</v>
      </c>
      <c r="AA33" s="26">
        <f>IFERROR(__xludf.DUMMYFUNCTION("""COMPUTED_VALUE"""),0.0)</f>
        <v>0</v>
      </c>
      <c r="AB33" t="str">
        <f>IFERROR(__xludf.DUMMYFUNCTION("SUBSTITUTE(REGEXREPLACE(REGEXREPLACE(REGEXREPLACE(REGEXREPLACE(REGEXREPLACE(REGEXREPLACE(F33,"","",),IF(Projections!$T$17="""",""PG"",),),IF(Projections!$U$17="""",""SG"",),),IF(Projections!$V$17="""",""SF"",),),IF(Projections!$W$17="""",""PF"",),),IF(Pro"&amp;"jections!$X$17="""",""C"",),),""/"","""")"),"PGSG")</f>
        <v>PGSG</v>
      </c>
    </row>
    <row r="34">
      <c r="A34" s="408" t="str">
        <f>IF(Projections!$AB$17,Draft!F8,"")</f>
        <v/>
      </c>
      <c r="B34">
        <f>IFERROR(__xludf.DUMMYFUNCTION("""COMPUTED_VALUE"""),33.0)</f>
        <v>33</v>
      </c>
      <c r="C34">
        <f>IFERROR(__xludf.DUMMYFUNCTION("""COMPUTED_VALUE"""),35.6)</f>
        <v>35.6</v>
      </c>
      <c r="D34" t="str">
        <f>IFERROR(__xludf.DUMMYFUNCTION("""COMPUTED_VALUE"""),"Dejounte Murray")</f>
        <v>Dejounte Murray</v>
      </c>
      <c r="E34">
        <f>IFERROR(__xludf.DUMMYFUNCTION("""COMPUTED_VALUE"""),76.0)</f>
        <v>76</v>
      </c>
      <c r="F34" t="str">
        <f>IFERROR(__xludf.DUMMYFUNCTION("""COMPUTED_VALUE"""),"PG,SG")</f>
        <v>PG,SG</v>
      </c>
      <c r="G34" s="26">
        <f>IFERROR(__xludf.DUMMYFUNCTION("""COMPUTED_VALUE"""),2.4154533157720603)</f>
        <v>2.415453316</v>
      </c>
      <c r="H34" s="26">
        <f>IFERROR(__xludf.DUMMYFUNCTION("""COMPUTED_VALUE"""),2.7336766732329356)</f>
        <v>2.733676673</v>
      </c>
      <c r="I34" s="26">
        <f>IFERROR(__xludf.DUMMYFUNCTION("""COMPUTED_VALUE"""),0.31822335746087527)</f>
        <v>0.3182233575</v>
      </c>
      <c r="J34" s="26">
        <f>IFERROR(__xludf.DUMMYFUNCTION("""COMPUTED_VALUE"""),18.69739726)</f>
        <v>18.69739726</v>
      </c>
      <c r="K34" s="26">
        <f>IFERROR(__xludf.DUMMYFUNCTION("""COMPUTED_VALUE"""),2.435616438)</f>
        <v>2.435616438</v>
      </c>
      <c r="L34" s="26">
        <f>IFERROR(__xludf.DUMMYFUNCTION("""COMPUTED_VALUE"""),6.496849315)</f>
        <v>6.496849315</v>
      </c>
      <c r="M34" s="26">
        <f>IFERROR(__xludf.DUMMYFUNCTION("""COMPUTED_VALUE"""),7.868493151)</f>
        <v>7.868493151</v>
      </c>
      <c r="N34" s="26">
        <f>IFERROR(__xludf.DUMMYFUNCTION("""COMPUTED_VALUE"""),1.499589041)</f>
        <v>1.499589041</v>
      </c>
      <c r="O34" s="26">
        <f>IFERROR(__xludf.DUMMYFUNCTION("""COMPUTED_VALUE"""),0.2909589041)</f>
        <v>0.2909589041</v>
      </c>
      <c r="P34" s="464">
        <f>IFERROR(__xludf.DUMMYFUNCTION("""COMPUTED_VALUE"""),0.450156026)</f>
        <v>0.450156026</v>
      </c>
      <c r="Q34" s="464">
        <f>IFERROR(__xludf.DUMMYFUNCTION("""COMPUTED_VALUE"""),0.7759828727)</f>
        <v>0.7759828727</v>
      </c>
      <c r="R34" s="26">
        <f>IFERROR(__xludf.DUMMYFUNCTION("""COMPUTED_VALUE"""),3.031917808)</f>
        <v>3.031917808</v>
      </c>
      <c r="S34" s="26">
        <f>IFERROR(__xludf.DUMMYFUNCTION("""COMPUTED_VALUE"""),0.2178805051684849)</f>
        <v>0.2178805052</v>
      </c>
      <c r="T34" s="26">
        <f>IFERROR(__xludf.DUMMYFUNCTION("""COMPUTED_VALUE"""),0.6814050830721688)</f>
        <v>0.6814050831</v>
      </c>
      <c r="U34" s="26">
        <f>IFERROR(__xludf.DUMMYFUNCTION("""COMPUTED_VALUE"""),0.16205980631248762)</f>
        <v>0.1620598063</v>
      </c>
      <c r="V34" s="26">
        <f>IFERROR(__xludf.DUMMYFUNCTION("""COMPUTED_VALUE"""),1.7871072206459568)</f>
        <v>1.787107221</v>
      </c>
      <c r="W34" s="26">
        <f>IFERROR(__xludf.DUMMYFUNCTION("""COMPUTED_VALUE"""),1.7321966295848925)</f>
        <v>1.73219663</v>
      </c>
      <c r="X34" s="26">
        <f>IFERROR(__xludf.DUMMYFUNCTION("""COMPUTED_VALUE"""),-0.8163894546691505)</f>
        <v>-0.8163894547</v>
      </c>
      <c r="Y34" s="26">
        <f>IFERROR(__xludf.DUMMYFUNCTION("""COMPUTED_VALUE"""),-0.8896651577810943)</f>
        <v>-0.8896651578</v>
      </c>
      <c r="Z34" s="26">
        <f>IFERROR(__xludf.DUMMYFUNCTION("""COMPUTED_VALUE"""),-0.14091795910081045)</f>
        <v>-0.1409179591</v>
      </c>
      <c r="AA34" s="26">
        <f>IFERROR(__xludf.DUMMYFUNCTION("""COMPUTED_VALUE"""),0.0)</f>
        <v>0</v>
      </c>
      <c r="AB34" t="str">
        <f>IFERROR(__xludf.DUMMYFUNCTION("SUBSTITUTE(REGEXREPLACE(REGEXREPLACE(REGEXREPLACE(REGEXREPLACE(REGEXREPLACE(REGEXREPLACE(F34,"","",),IF(Projections!$T$17="""",""PG"",),),IF(Projections!$U$17="""",""SG"",),),IF(Projections!$V$17="""",""SF"",),),IF(Projections!$W$17="""",""PF"",),),IF(Pro"&amp;"jections!$X$17="""",""C"",),),""/"","""")"),"PGSG")</f>
        <v>PGSG</v>
      </c>
    </row>
    <row r="35">
      <c r="A35" s="408" t="str">
        <f>IF(Projections!$AB$17,Draft!F9,"")</f>
        <v/>
      </c>
      <c r="B35">
        <f>IFERROR(__xludf.DUMMYFUNCTION("""COMPUTED_VALUE"""),29.0)</f>
        <v>29</v>
      </c>
      <c r="C35">
        <f>IFERROR(__xludf.DUMMYFUNCTION("""COMPUTED_VALUE"""),36.0)</f>
        <v>36</v>
      </c>
      <c r="D35" t="str">
        <f>IFERROR(__xludf.DUMMYFUNCTION("""COMPUTED_VALUE"""),"Jalen Williams")</f>
        <v>Jalen Williams</v>
      </c>
      <c r="E35">
        <f>IFERROR(__xludf.DUMMYFUNCTION("""COMPUTED_VALUE"""),72.0)</f>
        <v>72</v>
      </c>
      <c r="F35" t="str">
        <f>IFERROR(__xludf.DUMMYFUNCTION("""COMPUTED_VALUE"""),"PG,SG")</f>
        <v>PG,SG</v>
      </c>
      <c r="G35" s="26">
        <f>IFERROR(__xludf.DUMMYFUNCTION("""COMPUTED_VALUE"""),2.5114576136794775)</f>
        <v>2.511457614</v>
      </c>
      <c r="H35" s="26">
        <f>IFERROR(__xludf.DUMMYFUNCTION("""COMPUTED_VALUE"""),2.5771808057264765)</f>
        <v>2.577180806</v>
      </c>
      <c r="I35" s="26">
        <f>IFERROR(__xludf.DUMMYFUNCTION("""COMPUTED_VALUE"""),0.06572319204699895)</f>
        <v>0.06572319205</v>
      </c>
      <c r="J35" s="26">
        <f>IFERROR(__xludf.DUMMYFUNCTION("""COMPUTED_VALUE"""),21.86369863)</f>
        <v>21.86369863</v>
      </c>
      <c r="K35" s="26">
        <f>IFERROR(__xludf.DUMMYFUNCTION("""COMPUTED_VALUE"""),1.781232877)</f>
        <v>1.781232877</v>
      </c>
      <c r="L35" s="26">
        <f>IFERROR(__xludf.DUMMYFUNCTION("""COMPUTED_VALUE"""),4.305068493)</f>
        <v>4.305068493</v>
      </c>
      <c r="M35" s="26">
        <f>IFERROR(__xludf.DUMMYFUNCTION("""COMPUTED_VALUE"""),5.555068493)</f>
        <v>5.555068493</v>
      </c>
      <c r="N35" s="26">
        <f>IFERROR(__xludf.DUMMYFUNCTION("""COMPUTED_VALUE"""),1.319315068)</f>
        <v>1.319315068</v>
      </c>
      <c r="O35" s="26">
        <f>IFERROR(__xludf.DUMMYFUNCTION("""COMPUTED_VALUE"""),0.6876712329)</f>
        <v>0.6876712329</v>
      </c>
      <c r="P35" s="464">
        <f>IFERROR(__xludf.DUMMYFUNCTION("""COMPUTED_VALUE"""),0.5155965468)</f>
        <v>0.5155965468</v>
      </c>
      <c r="Q35" s="464">
        <f>IFERROR(__xludf.DUMMYFUNCTION("""COMPUTED_VALUE"""),0.8190065086)</f>
        <v>0.8190065086</v>
      </c>
      <c r="R35" s="26">
        <f>IFERROR(__xludf.DUMMYFUNCTION("""COMPUTED_VALUE"""),2.01369863)</f>
        <v>2.01369863</v>
      </c>
      <c r="S35" s="26">
        <f>IFERROR(__xludf.DUMMYFUNCTION("""COMPUTED_VALUE"""),0.7886241810679882)</f>
        <v>0.7886241811</v>
      </c>
      <c r="T35" s="26">
        <f>IFERROR(__xludf.DUMMYFUNCTION("""COMPUTED_VALUE"""),0.0323033534379957)</f>
        <v>0.03230335344</v>
      </c>
      <c r="U35" s="26">
        <f>IFERROR(__xludf.DUMMYFUNCTION("""COMPUTED_VALUE"""),-0.6969144322674037)</f>
        <v>-0.6969144323</v>
      </c>
      <c r="V35" s="26">
        <f>IFERROR(__xludf.DUMMYFUNCTION("""COMPUTED_VALUE"""),0.7364922260093129)</f>
        <v>0.736492226</v>
      </c>
      <c r="W35" s="26">
        <f>IFERROR(__xludf.DUMMYFUNCTION("""COMPUTED_VALUE"""),1.1357938327729606)</f>
        <v>1.135793833</v>
      </c>
      <c r="X35" s="26">
        <f>IFERROR(__xludf.DUMMYFUNCTION("""COMPUTED_VALUE"""),-0.10879437270375009)</f>
        <v>-0.1087943727</v>
      </c>
      <c r="Y35" s="26">
        <f>IFERROR(__xludf.DUMMYFUNCTION("""COMPUTED_VALUE"""),0.3468116436552771)</f>
        <v>0.3468116437</v>
      </c>
      <c r="Z35" s="26">
        <f>IFERROR(__xludf.DUMMYFUNCTION("""COMPUTED_VALUE"""),0.34286437375409584)</f>
        <v>0.3428643738</v>
      </c>
      <c r="AA35" s="26">
        <f>IFERROR(__xludf.DUMMYFUNCTION("""COMPUTED_VALUE"""),0.0)</f>
        <v>0</v>
      </c>
      <c r="AB35" t="str">
        <f>IFERROR(__xludf.DUMMYFUNCTION("SUBSTITUTE(REGEXREPLACE(REGEXREPLACE(REGEXREPLACE(REGEXREPLACE(REGEXREPLACE(REGEXREPLACE(F35,"","",),IF(Projections!$T$17="""",""PG"",),),IF(Projections!$U$17="""",""SG"",),),IF(Projections!$V$17="""",""SF"",),),IF(Projections!$W$17="""",""PF"",),),IF(Pro"&amp;"jections!$X$17="""",""C"",),),""/"","""")"),"PGSG")</f>
        <v>PGSG</v>
      </c>
    </row>
    <row r="36">
      <c r="A36" s="408" t="str">
        <f>IF(Projections!$AB$17,Draft!F10,"")</f>
        <v/>
      </c>
      <c r="B36">
        <f>IFERROR(__xludf.DUMMYFUNCTION("""COMPUTED_VALUE"""),31.0)</f>
        <v>31</v>
      </c>
      <c r="C36">
        <f>IFERROR(__xludf.DUMMYFUNCTION("""COMPUTED_VALUE"""),30.1)</f>
        <v>30.1</v>
      </c>
      <c r="D36" t="str">
        <f>IFERROR(__xludf.DUMMYFUNCTION("""COMPUTED_VALUE"""),"Lauri Markkanen")</f>
        <v>Lauri Markkanen</v>
      </c>
      <c r="E36">
        <f>IFERROR(__xludf.DUMMYFUNCTION("""COMPUTED_VALUE"""),71.0)</f>
        <v>71</v>
      </c>
      <c r="F36" t="str">
        <f>IFERROR(__xludf.DUMMYFUNCTION("""COMPUTED_VALUE"""),"SF,PF")</f>
        <v>SF,PF</v>
      </c>
      <c r="G36" s="26">
        <f>IFERROR(__xludf.DUMMYFUNCTION("""COMPUTED_VALUE"""),2.590648298054223)</f>
        <v>2.590648298</v>
      </c>
      <c r="H36" s="26">
        <f>IFERROR(__xludf.DUMMYFUNCTION("""COMPUTED_VALUE"""),2.5364228712533987)</f>
        <v>2.536422871</v>
      </c>
      <c r="I36" s="26">
        <f>IFERROR(__xludf.DUMMYFUNCTION("""COMPUTED_VALUE"""),-0.054225426800824206)</f>
        <v>-0.0542254268</v>
      </c>
      <c r="J36" s="26">
        <f>IFERROR(__xludf.DUMMYFUNCTION("""COMPUTED_VALUE"""),22.97387097)</f>
        <v>22.97387097</v>
      </c>
      <c r="K36" s="26">
        <f>IFERROR(__xludf.DUMMYFUNCTION("""COMPUTED_VALUE"""),3.162741935)</f>
        <v>3.162741935</v>
      </c>
      <c r="L36" s="26">
        <f>IFERROR(__xludf.DUMMYFUNCTION("""COMPUTED_VALUE"""),7.290967742)</f>
        <v>7.290967742</v>
      </c>
      <c r="M36" s="26">
        <f>IFERROR(__xludf.DUMMYFUNCTION("""COMPUTED_VALUE"""),2.139354839)</f>
        <v>2.139354839</v>
      </c>
      <c r="N36" s="26">
        <f>IFERROR(__xludf.DUMMYFUNCTION("""COMPUTED_VALUE"""),0.9027419355)</f>
        <v>0.9027419355</v>
      </c>
      <c r="O36" s="26">
        <f>IFERROR(__xludf.DUMMYFUNCTION("""COMPUTED_VALUE"""),0.4174193548)</f>
        <v>0.4174193548</v>
      </c>
      <c r="P36" s="464">
        <f>IFERROR(__xludf.DUMMYFUNCTION("""COMPUTED_VALUE"""),0.4787610083)</f>
        <v>0.4787610083</v>
      </c>
      <c r="Q36" s="464">
        <f>IFERROR(__xludf.DUMMYFUNCTION("""COMPUTED_VALUE"""),0.8879979717)</f>
        <v>0.8879979717</v>
      </c>
      <c r="R36" s="26">
        <f>IFERROR(__xludf.DUMMYFUNCTION("""COMPUTED_VALUE"""),1.53)</f>
        <v>1.53</v>
      </c>
      <c r="S36" s="26">
        <f>IFERROR(__xludf.DUMMYFUNCTION("""COMPUTED_VALUE"""),0.988739005328559)</f>
        <v>0.9887390053</v>
      </c>
      <c r="T36" s="26">
        <f>IFERROR(__xludf.DUMMYFUNCTION("""COMPUTED_VALUE"""),1.4026616150097249)</f>
        <v>1.402661615</v>
      </c>
      <c r="U36" s="26">
        <f>IFERROR(__xludf.DUMMYFUNCTION("""COMPUTED_VALUE"""),0.47328037377422166)</f>
        <v>0.4732803738</v>
      </c>
      <c r="V36" s="26">
        <f>IFERROR(__xludf.DUMMYFUNCTION("""COMPUTED_VALUE"""),-0.8147145400584164)</f>
        <v>-0.8147145401</v>
      </c>
      <c r="W36" s="26">
        <f>IFERROR(__xludf.DUMMYFUNCTION("""COMPUTED_VALUE"""),-0.24236063492553409)</f>
        <v>-0.2423606349</v>
      </c>
      <c r="X36" s="26">
        <f>IFERROR(__xludf.DUMMYFUNCTION("""COMPUTED_VALUE"""),-0.5908285469728329)</f>
        <v>-0.590828547</v>
      </c>
      <c r="Y36" s="26">
        <f>IFERROR(__xludf.DUMMYFUNCTION("""COMPUTED_VALUE"""),-0.3433907836126116)</f>
        <v>-0.3433907836</v>
      </c>
      <c r="Z36" s="26">
        <f>IFERROR(__xludf.DUMMYFUNCTION("""COMPUTED_VALUE"""),1.6630363827102883)</f>
        <v>1.663036383</v>
      </c>
      <c r="AA36" s="26">
        <f>IFERROR(__xludf.DUMMYFUNCTION("""COMPUTED_VALUE"""),0.0)</f>
        <v>0</v>
      </c>
      <c r="AB36" t="str">
        <f>IFERROR(__xludf.DUMMYFUNCTION("SUBSTITUTE(REGEXREPLACE(REGEXREPLACE(REGEXREPLACE(REGEXREPLACE(REGEXREPLACE(REGEXREPLACE(F36,"","",),IF(Projections!$T$17="""",""PG"",),),IF(Projections!$U$17="""",""SG"",),),IF(Projections!$V$17="""",""SF"",),),IF(Projections!$W$17="""",""PF"",),),IF(Pro"&amp;"jections!$X$17="""",""C"",),),""/"","""")"),"SFPF")</f>
        <v>SFPF</v>
      </c>
    </row>
    <row r="37">
      <c r="A37" s="408" t="str">
        <f>IF(Projections!$AB$17,Draft!F11,"")</f>
        <v/>
      </c>
      <c r="B37">
        <f>IFERROR(__xludf.DUMMYFUNCTION("""COMPUTED_VALUE"""),27.0)</f>
        <v>27</v>
      </c>
      <c r="C37">
        <f>IFERROR(__xludf.DUMMYFUNCTION("""COMPUTED_VALUE"""),6.7)</f>
        <v>6.7</v>
      </c>
      <c r="D37" t="str">
        <f>IFERROR(__xludf.DUMMYFUNCTION("""COMPUTED_VALUE"""),"Giannis Antetokounmpo")</f>
        <v>Giannis Antetokounmpo</v>
      </c>
      <c r="E37">
        <f>IFERROR(__xludf.DUMMYFUNCTION("""COMPUTED_VALUE"""),60.0)</f>
        <v>60</v>
      </c>
      <c r="F37" t="str">
        <f>IFERROR(__xludf.DUMMYFUNCTION("""COMPUTED_VALUE"""),"SF,PF")</f>
        <v>SF,PF</v>
      </c>
      <c r="G37" s="26">
        <f>IFERROR(__xludf.DUMMYFUNCTION("""COMPUTED_VALUE"""),2.0807463649067497)</f>
        <v>2.080746365</v>
      </c>
      <c r="H37" s="26">
        <f>IFERROR(__xludf.DUMMYFUNCTION("""COMPUTED_VALUE"""),2.4884606001056886)</f>
        <v>2.4884606</v>
      </c>
      <c r="I37" s="26">
        <f>IFERROR(__xludf.DUMMYFUNCTION("""COMPUTED_VALUE"""),0.4077142351989389)</f>
        <v>0.4077142352</v>
      </c>
      <c r="J37" s="26">
        <f>IFERROR(__xludf.DUMMYFUNCTION("""COMPUTED_VALUE"""),27.78514706)</f>
        <v>27.78514706</v>
      </c>
      <c r="K37" s="26">
        <f>IFERROR(__xludf.DUMMYFUNCTION("""COMPUTED_VALUE"""),0.4780882353)</f>
        <v>0.4780882353</v>
      </c>
      <c r="L37" s="26">
        <f>IFERROR(__xludf.DUMMYFUNCTION("""COMPUTED_VALUE"""),11.83867647)</f>
        <v>11.83867647</v>
      </c>
      <c r="M37" s="26">
        <f>IFERROR(__xludf.DUMMYFUNCTION("""COMPUTED_VALUE"""),6.785588235)</f>
        <v>6.785588235</v>
      </c>
      <c r="N37" s="26">
        <f>IFERROR(__xludf.DUMMYFUNCTION("""COMPUTED_VALUE"""),1.080588235)</f>
        <v>1.080588235</v>
      </c>
      <c r="O37" s="26">
        <f>IFERROR(__xludf.DUMMYFUNCTION("""COMPUTED_VALUE"""),1.082794118)</f>
        <v>1.082794118</v>
      </c>
      <c r="P37" s="464">
        <f>IFERROR(__xludf.DUMMYFUNCTION("""COMPUTED_VALUE"""),0.6018925424)</f>
        <v>0.6018925424</v>
      </c>
      <c r="Q37" s="464">
        <f>IFERROR(__xludf.DUMMYFUNCTION("""COMPUTED_VALUE"""),0.6429979628)</f>
        <v>0.6429979628</v>
      </c>
      <c r="R37" s="26">
        <f>IFERROR(__xludf.DUMMYFUNCTION("""COMPUTED_VALUE"""),3.392794118)</f>
        <v>3.392794118</v>
      </c>
      <c r="S37" s="26">
        <f>IFERROR(__xludf.DUMMYFUNCTION("""COMPUTED_VALUE"""),1.8559986500963561)</f>
        <v>1.85599865</v>
      </c>
      <c r="T37" s="26">
        <f>IFERROR(__xludf.DUMMYFUNCTION("""COMPUTED_VALUE"""),-1.2603230071605942)</f>
        <v>-1.260323007</v>
      </c>
      <c r="U37" s="26">
        <f>IFERROR(__xludf.DUMMYFUNCTION("""COMPUTED_VALUE"""),2.255559241581983)</f>
        <v>2.255559242</v>
      </c>
      <c r="V37" s="26">
        <f>IFERROR(__xludf.DUMMYFUNCTION("""COMPUTED_VALUE"""),1.2953185044753108)</f>
        <v>1.295318504</v>
      </c>
      <c r="W37" s="26">
        <f>IFERROR(__xludf.DUMMYFUNCTION("""COMPUTED_VALUE"""),0.34601065716582396)</f>
        <v>0.3460106572</v>
      </c>
      <c r="X37" s="26">
        <f>IFERROR(__xludf.DUMMYFUNCTION("""COMPUTED_VALUE"""),0.5959657014649861)</f>
        <v>0.5959657015</v>
      </c>
      <c r="Y37" s="26">
        <f>IFERROR(__xludf.DUMMYFUNCTION("""COMPUTED_VALUE"""),2.179164888368954)</f>
        <v>2.179164888</v>
      </c>
      <c r="Z37" s="26">
        <f>IFERROR(__xludf.DUMMYFUNCTION("""COMPUTED_VALUE"""),-4.779234035887131)</f>
        <v>-4.779234036</v>
      </c>
      <c r="AA37" s="26">
        <f>IFERROR(__xludf.DUMMYFUNCTION("""COMPUTED_VALUE"""),0.0)</f>
        <v>0</v>
      </c>
      <c r="AB37" t="str">
        <f>IFERROR(__xludf.DUMMYFUNCTION("SUBSTITUTE(REGEXREPLACE(REGEXREPLACE(REGEXREPLACE(REGEXREPLACE(REGEXREPLACE(REGEXREPLACE(F37,"","",),IF(Projections!$T$17="""",""PG"",),),IF(Projections!$U$17="""",""SG"",),),IF(Projections!$V$17="""",""SF"",),),IF(Projections!$W$17="""",""PF"",),),IF(Pro"&amp;"jections!$X$17="""",""C"",),),""/"","""")"),"SFPF")</f>
        <v>SFPF</v>
      </c>
    </row>
    <row r="38">
      <c r="A38" s="408" t="str">
        <f>IF(Projections!$AB$17,Draft!F12,"")</f>
        <v/>
      </c>
      <c r="B38">
        <f>IFERROR(__xludf.DUMMYFUNCTION("""COMPUTED_VALUE"""),34.0)</f>
        <v>34</v>
      </c>
      <c r="C38">
        <f>IFERROR(__xludf.DUMMYFUNCTION("""COMPUTED_VALUE"""),34.0)</f>
        <v>34</v>
      </c>
      <c r="D38" t="str">
        <f>IFERROR(__xludf.DUMMYFUNCTION("""COMPUTED_VALUE"""),"Cade Cunningham")</f>
        <v>Cade Cunningham</v>
      </c>
      <c r="E38">
        <f>IFERROR(__xludf.DUMMYFUNCTION("""COMPUTED_VALUE"""),75.0)</f>
        <v>75</v>
      </c>
      <c r="F38" t="str">
        <f>IFERROR(__xludf.DUMMYFUNCTION("""COMPUTED_VALUE"""),"PF,C")</f>
        <v>PF,C</v>
      </c>
      <c r="G38" s="26">
        <f>IFERROR(__xludf.DUMMYFUNCTION("""COMPUTED_VALUE"""),1.9962353133828568)</f>
        <v>1.996235313</v>
      </c>
      <c r="H38" s="26">
        <f>IFERROR(__xludf.DUMMYFUNCTION("""COMPUTED_VALUE"""),2.3502687098088497)</f>
        <v>2.35026871</v>
      </c>
      <c r="I38" s="26">
        <f>IFERROR(__xludf.DUMMYFUNCTION("""COMPUTED_VALUE"""),0.35403339642599296)</f>
        <v>0.3540333964</v>
      </c>
      <c r="J38" s="26">
        <f>IFERROR(__xludf.DUMMYFUNCTION("""COMPUTED_VALUE"""),23.43279412)</f>
        <v>23.43279412</v>
      </c>
      <c r="K38" s="26">
        <f>IFERROR(__xludf.DUMMYFUNCTION("""COMPUTED_VALUE"""),1.937058824)</f>
        <v>1.937058824</v>
      </c>
      <c r="L38" s="26">
        <f>IFERROR(__xludf.DUMMYFUNCTION("""COMPUTED_VALUE"""),5.053088235)</f>
        <v>5.053088235</v>
      </c>
      <c r="M38" s="26">
        <f>IFERROR(__xludf.DUMMYFUNCTION("""COMPUTED_VALUE"""),8.0575)</f>
        <v>8.0575</v>
      </c>
      <c r="N38" s="26">
        <f>IFERROR(__xludf.DUMMYFUNCTION("""COMPUTED_VALUE"""),0.9517647059)</f>
        <v>0.9517647059</v>
      </c>
      <c r="O38" s="26">
        <f>IFERROR(__xludf.DUMMYFUNCTION("""COMPUTED_VALUE"""),0.4289705882)</f>
        <v>0.4289705882</v>
      </c>
      <c r="P38" s="464">
        <f>IFERROR(__xludf.DUMMYFUNCTION("""COMPUTED_VALUE"""),0.4586624621)</f>
        <v>0.4586624621</v>
      </c>
      <c r="Q38" s="464">
        <f>IFERROR(__xludf.DUMMYFUNCTION("""COMPUTED_VALUE"""),0.8599861907)</f>
        <v>0.8599861907</v>
      </c>
      <c r="R38" s="26">
        <f>IFERROR(__xludf.DUMMYFUNCTION("""COMPUTED_VALUE"""),3.176323529)</f>
        <v>3.176323529</v>
      </c>
      <c r="S38" s="26">
        <f>IFERROR(__xludf.DUMMYFUNCTION("""COMPUTED_VALUE"""),1.0714624908653698)</f>
        <v>1.071462491</v>
      </c>
      <c r="T38" s="26">
        <f>IFERROR(__xludf.DUMMYFUNCTION("""COMPUTED_VALUE"""),0.18687155739014685)</f>
        <v>0.1868715574</v>
      </c>
      <c r="U38" s="26">
        <f>IFERROR(__xludf.DUMMYFUNCTION("""COMPUTED_VALUE"""),-0.4037602619791228)</f>
        <v>-0.403760262</v>
      </c>
      <c r="V38" s="26">
        <f>IFERROR(__xludf.DUMMYFUNCTION("""COMPUTED_VALUE"""),1.8729424904317011)</f>
        <v>1.87294249</v>
      </c>
      <c r="W38" s="26">
        <f>IFERROR(__xludf.DUMMYFUNCTION("""COMPUTED_VALUE"""),-0.08017794772182346)</f>
        <v>-0.08017794772</v>
      </c>
      <c r="X38" s="26">
        <f>IFERROR(__xludf.DUMMYFUNCTION("""COMPUTED_VALUE"""),-0.5702252146559411)</f>
        <v>-0.5702252147</v>
      </c>
      <c r="Y38" s="26">
        <f>IFERROR(__xludf.DUMMYFUNCTION("""COMPUTED_VALUE"""),-0.8455592277925625)</f>
        <v>-0.8455592278</v>
      </c>
      <c r="Z38" s="26">
        <f>IFERROR(__xludf.DUMMYFUNCTION("""COMPUTED_VALUE"""),1.1187148232710822)</f>
        <v>1.118714823</v>
      </c>
      <c r="AA38" s="26">
        <f>IFERROR(__xludf.DUMMYFUNCTION("""COMPUTED_VALUE"""),0.0)</f>
        <v>0</v>
      </c>
      <c r="AB38" t="str">
        <f>IFERROR(__xludf.DUMMYFUNCTION("SUBSTITUTE(REGEXREPLACE(REGEXREPLACE(REGEXREPLACE(REGEXREPLACE(REGEXREPLACE(REGEXREPLACE(F38,"","",),IF(Projections!$T$17="""",""PG"",),),IF(Projections!$U$17="""",""SG"",),),IF(Projections!$V$17="""",""SF"",),),IF(Projections!$W$17="""",""PF"",),),IF(Pro"&amp;"jections!$X$17="""",""C"",),),""/"","""")"),"PFC")</f>
        <v>PFC</v>
      </c>
    </row>
    <row r="39">
      <c r="A39" s="408" t="str">
        <f>IF(Projections!$AB$17,Draft!F13,"")</f>
        <v/>
      </c>
      <c r="B39">
        <f>IFERROR(__xludf.DUMMYFUNCTION("""COMPUTED_VALUE"""),36.0)</f>
        <v>36</v>
      </c>
      <c r="C39">
        <f>IFERROR(__xludf.DUMMYFUNCTION("""COMPUTED_VALUE"""),27.8)</f>
        <v>27.8</v>
      </c>
      <c r="D39" t="str">
        <f>IFERROR(__xludf.DUMMYFUNCTION("""COMPUTED_VALUE"""),"Tyrese Maxey")</f>
        <v>Tyrese Maxey</v>
      </c>
      <c r="E39">
        <f>IFERROR(__xludf.DUMMYFUNCTION("""COMPUTED_VALUE"""),74.0)</f>
        <v>74</v>
      </c>
      <c r="F39" t="str">
        <f>IFERROR(__xludf.DUMMYFUNCTION("""COMPUTED_VALUE"""),"SF,PF")</f>
        <v>SF,PF</v>
      </c>
      <c r="G39" s="26">
        <f>IFERROR(__xludf.DUMMYFUNCTION("""COMPUTED_VALUE"""),2.246965456900757)</f>
        <v>2.246965457</v>
      </c>
      <c r="H39" s="26">
        <f>IFERROR(__xludf.DUMMYFUNCTION("""COMPUTED_VALUE"""),2.2554149668920367)</f>
        <v>2.255414967</v>
      </c>
      <c r="I39" s="26">
        <f>IFERROR(__xludf.DUMMYFUNCTION("""COMPUTED_VALUE"""),0.00844950999127958)</f>
        <v>0.008449509991</v>
      </c>
      <c r="J39" s="26">
        <f>IFERROR(__xludf.DUMMYFUNCTION("""COMPUTED_VALUE"""),25.06109589)</f>
        <v>25.06109589</v>
      </c>
      <c r="K39" s="26">
        <f>IFERROR(__xludf.DUMMYFUNCTION("""COMPUTED_VALUE"""),2.966712329)</f>
        <v>2.966712329</v>
      </c>
      <c r="L39" s="26">
        <f>IFERROR(__xludf.DUMMYFUNCTION("""COMPUTED_VALUE"""),3.723972603)</f>
        <v>3.723972603</v>
      </c>
      <c r="M39" s="26">
        <f>IFERROR(__xludf.DUMMYFUNCTION("""COMPUTED_VALUE"""),6.206712329)</f>
        <v>6.206712329</v>
      </c>
      <c r="N39" s="26">
        <f>IFERROR(__xludf.DUMMYFUNCTION("""COMPUTED_VALUE"""),0.9324657534)</f>
        <v>0.9324657534</v>
      </c>
      <c r="O39" s="26">
        <f>IFERROR(__xludf.DUMMYFUNCTION("""COMPUTED_VALUE"""),0.3875342466)</f>
        <v>0.3875342466</v>
      </c>
      <c r="P39" s="464">
        <f>IFERROR(__xludf.DUMMYFUNCTION("""COMPUTED_VALUE"""),0.4652092312)</f>
        <v>0.4652092312</v>
      </c>
      <c r="Q39" s="464">
        <f>IFERROR(__xludf.DUMMYFUNCTION("""COMPUTED_VALUE"""),0.867005814)</f>
        <v>0.867005814</v>
      </c>
      <c r="R39" s="26">
        <f>IFERROR(__xludf.DUMMYFUNCTION("""COMPUTED_VALUE"""),1.782739726)</f>
        <v>1.782739726</v>
      </c>
      <c r="S39" s="26">
        <f>IFERROR(__xludf.DUMMYFUNCTION("""COMPUTED_VALUE"""),1.3649730664816977)</f>
        <v>1.364973066</v>
      </c>
      <c r="T39" s="26">
        <f>IFERROR(__xludf.DUMMYFUNCTION("""COMPUTED_VALUE"""),1.2082142543216625)</f>
        <v>1.208214254</v>
      </c>
      <c r="U39" s="26">
        <f>IFERROR(__xludf.DUMMYFUNCTION("""COMPUTED_VALUE"""),-0.9246499771012997)</f>
        <v>-0.9246499771</v>
      </c>
      <c r="V39" s="26">
        <f>IFERROR(__xludf.DUMMYFUNCTION("""COMPUTED_VALUE"""),1.032428721237999)</f>
        <v>1.032428721</v>
      </c>
      <c r="W39" s="26">
        <f>IFERROR(__xludf.DUMMYFUNCTION("""COMPUTED_VALUE"""),-0.14402493048367)</f>
        <v>-0.1440249305</v>
      </c>
      <c r="X39" s="26">
        <f>IFERROR(__xludf.DUMMYFUNCTION("""COMPUTED_VALUE"""),-0.644133055179798)</f>
        <v>-0.6441330552</v>
      </c>
      <c r="Y39" s="26">
        <f>IFERROR(__xludf.DUMMYFUNCTION("""COMPUTED_VALUE"""),-0.7343700627300155)</f>
        <v>-0.7343700627</v>
      </c>
      <c r="Z39" s="26">
        <f>IFERROR(__xludf.DUMMYFUNCTION("""COMPUTED_VALUE"""),1.0969769503454612)</f>
        <v>1.09697695</v>
      </c>
      <c r="AA39" s="26">
        <f>IFERROR(__xludf.DUMMYFUNCTION("""COMPUTED_VALUE"""),0.0)</f>
        <v>0</v>
      </c>
      <c r="AB39" t="str">
        <f>IFERROR(__xludf.DUMMYFUNCTION("SUBSTITUTE(REGEXREPLACE(REGEXREPLACE(REGEXREPLACE(REGEXREPLACE(REGEXREPLACE(REGEXREPLACE(F39,"","",),IF(Projections!$T$17="""",""PG"",),),IF(Projections!$U$17="""",""SG"",),),IF(Projections!$V$17="""",""SF"",),),IF(Projections!$W$17="""",""PF"",),),IF(Pro"&amp;"jections!$X$17="""",""C"",),),""/"","""")"),"SFPF")</f>
        <v>SFPF</v>
      </c>
    </row>
    <row r="40">
      <c r="A40" s="408" t="str">
        <f>IF(Projections!$AB$17,Draft!F14,"")</f>
        <v/>
      </c>
      <c r="B40">
        <f>IFERROR(__xludf.DUMMYFUNCTION("""COMPUTED_VALUE"""),35.0)</f>
        <v>35</v>
      </c>
      <c r="C40">
        <f>IFERROR(__xludf.DUMMYFUNCTION("""COMPUTED_VALUE"""),37.3)</f>
        <v>37.3</v>
      </c>
      <c r="D40" t="str">
        <f>IFERROR(__xludf.DUMMYFUNCTION("""COMPUTED_VALUE"""),"Jaren Jackson Jr.")</f>
        <v>Jaren Jackson Jr.</v>
      </c>
      <c r="E40">
        <f>IFERROR(__xludf.DUMMYFUNCTION("""COMPUTED_VALUE"""),58.0)</f>
        <v>58</v>
      </c>
      <c r="F40" t="str">
        <f>IFERROR(__xludf.DUMMYFUNCTION("""COMPUTED_VALUE"""),"PF,C")</f>
        <v>PF,C</v>
      </c>
      <c r="G40" s="26">
        <f>IFERROR(__xludf.DUMMYFUNCTION("""COMPUTED_VALUE"""),2.1294274104812625)</f>
        <v>2.12942741</v>
      </c>
      <c r="H40" s="26">
        <f>IFERROR(__xludf.DUMMYFUNCTION("""COMPUTED_VALUE"""),2.2072524704400673)</f>
        <v>2.20725247</v>
      </c>
      <c r="I40" s="26">
        <f>IFERROR(__xludf.DUMMYFUNCTION("""COMPUTED_VALUE"""),0.07782505995880484)</f>
        <v>0.07782505996</v>
      </c>
      <c r="J40" s="26">
        <f>IFERROR(__xludf.DUMMYFUNCTION("""COMPUTED_VALUE"""),18.67691176)</f>
        <v>18.67691176</v>
      </c>
      <c r="K40" s="26">
        <f>IFERROR(__xludf.DUMMYFUNCTION("""COMPUTED_VALUE"""),1.729705882)</f>
        <v>1.729705882</v>
      </c>
      <c r="L40" s="26">
        <f>IFERROR(__xludf.DUMMYFUNCTION("""COMPUTED_VALUE"""),6.1875)</f>
        <v>6.1875</v>
      </c>
      <c r="M40" s="26">
        <f>IFERROR(__xludf.DUMMYFUNCTION("""COMPUTED_VALUE"""),1.856323529)</f>
        <v>1.856323529</v>
      </c>
      <c r="N40" s="26">
        <f>IFERROR(__xludf.DUMMYFUNCTION("""COMPUTED_VALUE"""),1.2375)</f>
        <v>1.2375</v>
      </c>
      <c r="O40" s="26">
        <f>IFERROR(__xludf.DUMMYFUNCTION("""COMPUTED_VALUE"""),2.131176471)</f>
        <v>2.131176471</v>
      </c>
      <c r="P40" s="464">
        <f>IFERROR(__xludf.DUMMYFUNCTION("""COMPUTED_VALUE"""),0.4709663351)</f>
        <v>0.4709663351</v>
      </c>
      <c r="Q40" s="464">
        <f>IFERROR(__xludf.DUMMYFUNCTION("""COMPUTED_VALUE"""),0.7959958466)</f>
        <v>0.7959958466</v>
      </c>
      <c r="R40" s="26">
        <f>IFERROR(__xludf.DUMMYFUNCTION("""COMPUTED_VALUE"""),2.0625)</f>
        <v>2.0625</v>
      </c>
      <c r="S40" s="26">
        <f>IFERROR(__xludf.DUMMYFUNCTION("""COMPUTED_VALUE"""),0.2141878782810326)</f>
        <v>0.2141878783</v>
      </c>
      <c r="T40" s="26">
        <f>IFERROR(__xludf.DUMMYFUNCTION("""COMPUTED_VALUE"""),-0.018807743433448314)</f>
        <v>-0.01880774343</v>
      </c>
      <c r="U40" s="26">
        <f>IFERROR(__xludf.DUMMYFUNCTION("""COMPUTED_VALUE"""),0.04082364545181181)</f>
        <v>0.04082364545</v>
      </c>
      <c r="V40" s="26">
        <f>IFERROR(__xludf.DUMMYFUNCTION("""COMPUTED_VALUE"""),-0.9432499290149442)</f>
        <v>-0.943249929</v>
      </c>
      <c r="W40" s="26">
        <f>IFERROR(__xludf.DUMMYFUNCTION("""COMPUTED_VALUE"""),0.8651239486818252)</f>
        <v>0.8651239487</v>
      </c>
      <c r="X40" s="26">
        <f>IFERROR(__xludf.DUMMYFUNCTION("""COMPUTED_VALUE"""),2.4659106039741876)</f>
        <v>2.465910604</v>
      </c>
      <c r="Y40" s="26">
        <f>IFERROR(__xludf.DUMMYFUNCTION("""COMPUTED_VALUE"""),-0.43290964108118263)</f>
        <v>-0.4329096411</v>
      </c>
      <c r="Z40" s="26">
        <f>IFERROR(__xludf.DUMMYFUNCTION("""COMPUTED_VALUE"""),0.016173707580785086)</f>
        <v>0.01617370758</v>
      </c>
      <c r="AA40" s="26">
        <f>IFERROR(__xludf.DUMMYFUNCTION("""COMPUTED_VALUE"""),0.0)</f>
        <v>0</v>
      </c>
      <c r="AB40" t="str">
        <f>IFERROR(__xludf.DUMMYFUNCTION("SUBSTITUTE(REGEXREPLACE(REGEXREPLACE(REGEXREPLACE(REGEXREPLACE(REGEXREPLACE(REGEXREPLACE(F40,"","",),IF(Projections!$T$17="""",""PG"",),),IF(Projections!$U$17="""",""SG"",),),IF(Projections!$V$17="""",""SF"",),),IF(Projections!$W$17="""",""PF"",),),IF(Pro"&amp;"jections!$X$17="""",""C"",),),""/"","""")"),"PFC")</f>
        <v>PFC</v>
      </c>
    </row>
    <row r="41">
      <c r="A41" s="408" t="str">
        <f>IF(Projections!$AB$17,Draft!G3,"")</f>
        <v/>
      </c>
      <c r="B41">
        <f>IFERROR(__xludf.DUMMYFUNCTION("""COMPUTED_VALUE"""),32.0)</f>
        <v>32</v>
      </c>
      <c r="C41">
        <f>IFERROR(__xludf.DUMMYFUNCTION("""COMPUTED_VALUE"""),39.0)</f>
        <v>39</v>
      </c>
      <c r="D41" t="str">
        <f>IFERROR(__xludf.DUMMYFUNCTION("""COMPUTED_VALUE"""),"Evan Mobley")</f>
        <v>Evan Mobley</v>
      </c>
      <c r="E41">
        <f>IFERROR(__xludf.DUMMYFUNCTION("""COMPUTED_VALUE"""),67.0)</f>
        <v>67</v>
      </c>
      <c r="F41" t="str">
        <f>IFERROR(__xludf.DUMMYFUNCTION("""COMPUTED_VALUE"""),"PF,C")</f>
        <v>PF,C</v>
      </c>
      <c r="G41" s="26">
        <f>IFERROR(__xludf.DUMMYFUNCTION("""COMPUTED_VALUE"""),2.1101174309394866)</f>
        <v>2.110117431</v>
      </c>
      <c r="H41" s="26">
        <f>IFERROR(__xludf.DUMMYFUNCTION("""COMPUTED_VALUE"""),2.112554223501651)</f>
        <v>2.112554224</v>
      </c>
      <c r="I41" s="26">
        <f>IFERROR(__xludf.DUMMYFUNCTION("""COMPUTED_VALUE"""),0.002436792562164225)</f>
        <v>0.002436792562</v>
      </c>
      <c r="J41" s="26">
        <f>IFERROR(__xludf.DUMMYFUNCTION("""COMPUTED_VALUE"""),18.58328767)</f>
        <v>18.58328767</v>
      </c>
      <c r="K41" s="26">
        <f>IFERROR(__xludf.DUMMYFUNCTION("""COMPUTED_VALUE"""),0.73)</f>
        <v>0.73</v>
      </c>
      <c r="L41" s="26">
        <f>IFERROR(__xludf.DUMMYFUNCTION("""COMPUTED_VALUE"""),9.52)</f>
        <v>9.52</v>
      </c>
      <c r="M41" s="26">
        <f>IFERROR(__xludf.DUMMYFUNCTION("""COMPUTED_VALUE"""),3.943972603)</f>
        <v>3.943972603</v>
      </c>
      <c r="N41" s="26">
        <f>IFERROR(__xludf.DUMMYFUNCTION("""COMPUTED_VALUE"""),0.9609589041)</f>
        <v>0.9609589041</v>
      </c>
      <c r="O41" s="26">
        <f>IFERROR(__xludf.DUMMYFUNCTION("""COMPUTED_VALUE"""),1.554109589)</f>
        <v>1.554109589</v>
      </c>
      <c r="P41" s="464">
        <f>IFERROR(__xludf.DUMMYFUNCTION("""COMPUTED_VALUE"""),0.5641756499)</f>
        <v>0.5641756499</v>
      </c>
      <c r="Q41" s="464">
        <f>IFERROR(__xludf.DUMMYFUNCTION("""COMPUTED_VALUE"""),0.7449994047)</f>
        <v>0.7449994047</v>
      </c>
      <c r="R41" s="26">
        <f>IFERROR(__xludf.DUMMYFUNCTION("""COMPUTED_VALUE"""),1.758493151)</f>
        <v>1.758493151</v>
      </c>
      <c r="S41" s="26">
        <f>IFERROR(__xludf.DUMMYFUNCTION("""COMPUTED_VALUE"""),0.19731160813643003)</f>
        <v>0.1973116081</v>
      </c>
      <c r="T41" s="26">
        <f>IFERROR(__xludf.DUMMYFUNCTION("""COMPUTED_VALUE"""),-1.0104445384348693)</f>
        <v>-1.010444538</v>
      </c>
      <c r="U41" s="26">
        <f>IFERROR(__xludf.DUMMYFUNCTION("""COMPUTED_VALUE"""),1.3468537107461267)</f>
        <v>1.346853711</v>
      </c>
      <c r="V41" s="26">
        <f>IFERROR(__xludf.DUMMYFUNCTION("""COMPUTED_VALUE"""),0.004831701004452462)</f>
        <v>0.004831701004</v>
      </c>
      <c r="W41" s="26">
        <f>IFERROR(__xludf.DUMMYFUNCTION("""COMPUTED_VALUE"""),-0.049760658805007726)</f>
        <v>-0.04976065881</v>
      </c>
      <c r="X41" s="26">
        <f>IFERROR(__xludf.DUMMYFUNCTION("""COMPUTED_VALUE"""),1.43662651566907)</f>
        <v>1.436626516</v>
      </c>
      <c r="Y41" s="26">
        <f>IFERROR(__xludf.DUMMYFUNCTION("""COMPUTED_VALUE"""),0.9952115986273099)</f>
        <v>0.9952115986</v>
      </c>
      <c r="Z41" s="26">
        <f>IFERROR(__xludf.DUMMYFUNCTION("""COMPUTED_VALUE"""),-0.8080757134418611)</f>
        <v>-0.8080757134</v>
      </c>
      <c r="AA41" s="26">
        <f>IFERROR(__xludf.DUMMYFUNCTION("""COMPUTED_VALUE"""),0.0)</f>
        <v>0</v>
      </c>
      <c r="AB41" t="str">
        <f>IFERROR(__xludf.DUMMYFUNCTION("SUBSTITUTE(REGEXREPLACE(REGEXREPLACE(REGEXREPLACE(REGEXREPLACE(REGEXREPLACE(REGEXREPLACE(F41,"","",),IF(Projections!$T$17="""",""PG"",),),IF(Projections!$U$17="""",""SG"",),),IF(Projections!$V$17="""",""SF"",),),IF(Projections!$W$17="""",""PF"",),),IF(Pro"&amp;"jections!$X$17="""",""C"",),),""/"","""")"),"PFC")</f>
        <v>PFC</v>
      </c>
    </row>
    <row r="42">
      <c r="A42" s="408" t="str">
        <f>IF(Projections!$AB$17,Draft!G4,"")</f>
        <v/>
      </c>
      <c r="B42">
        <f>IFERROR(__xludf.DUMMYFUNCTION("""COMPUTED_VALUE"""),37.0)</f>
        <v>37</v>
      </c>
      <c r="C42">
        <f>IFERROR(__xludf.DUMMYFUNCTION("""COMPUTED_VALUE"""),103.3)</f>
        <v>103.3</v>
      </c>
      <c r="D42" t="str">
        <f>IFERROR(__xludf.DUMMYFUNCTION("""COMPUTED_VALUE"""),"Kristaps Porzingis")</f>
        <v>Kristaps Porzingis</v>
      </c>
      <c r="E42">
        <f>IFERROR(__xludf.DUMMYFUNCTION("""COMPUTED_VALUE"""),68.0)</f>
        <v>68</v>
      </c>
      <c r="F42" t="str">
        <f>IFERROR(__xludf.DUMMYFUNCTION("""COMPUTED_VALUE"""),"C")</f>
        <v>C</v>
      </c>
      <c r="G42" s="26">
        <f>IFERROR(__xludf.DUMMYFUNCTION("""COMPUTED_VALUE"""),1.9648311103430747)</f>
        <v>1.96483111</v>
      </c>
      <c r="H42" s="26">
        <f>IFERROR(__xludf.DUMMYFUNCTION("""COMPUTED_VALUE"""),1.8856008183699582)</f>
        <v>1.885600818</v>
      </c>
      <c r="I42" s="26">
        <f>IFERROR(__xludf.DUMMYFUNCTION("""COMPUTED_VALUE"""),-0.07923029197311648)</f>
        <v>-0.07923029197</v>
      </c>
      <c r="J42" s="26">
        <f>IFERROR(__xludf.DUMMYFUNCTION("""COMPUTED_VALUE"""),18.43694444)</f>
        <v>18.43694444</v>
      </c>
      <c r="K42" s="26">
        <f>IFERROR(__xludf.DUMMYFUNCTION("""COMPUTED_VALUE"""),1.805277778)</f>
        <v>1.805277778</v>
      </c>
      <c r="L42" s="26">
        <f>IFERROR(__xludf.DUMMYFUNCTION("""COMPUTED_VALUE"""),6.802777778)</f>
        <v>6.802777778</v>
      </c>
      <c r="M42" s="26">
        <f>IFERROR(__xludf.DUMMYFUNCTION("""COMPUTED_VALUE"""),1.943611111)</f>
        <v>1.943611111</v>
      </c>
      <c r="N42" s="26">
        <f>IFERROR(__xludf.DUMMYFUNCTION("""COMPUTED_VALUE"""),0.7430555556)</f>
        <v>0.7430555556</v>
      </c>
      <c r="O42" s="26">
        <f>IFERROR(__xludf.DUMMYFUNCTION("""COMPUTED_VALUE"""),1.783333333)</f>
        <v>1.783333333</v>
      </c>
      <c r="P42" s="464">
        <f>IFERROR(__xludf.DUMMYFUNCTION("""COMPUTED_VALUE"""),0.5063670087)</f>
        <v>0.5063670087</v>
      </c>
      <c r="Q42" s="464">
        <f>IFERROR(__xludf.DUMMYFUNCTION("""COMPUTED_VALUE"""),0.8670216262)</f>
        <v>0.8670216262</v>
      </c>
      <c r="R42" s="26">
        <f>IFERROR(__xludf.DUMMYFUNCTION("""COMPUTED_VALUE"""),1.429166667)</f>
        <v>1.429166667</v>
      </c>
      <c r="S42" s="26">
        <f>IFERROR(__xludf.DUMMYFUNCTION("""COMPUTED_VALUE"""),0.1709324157371904)</f>
        <v>0.1709324157</v>
      </c>
      <c r="T42" s="26">
        <f>IFERROR(__xludf.DUMMYFUNCTION("""COMPUTED_VALUE"""),0.056154176958274196)</f>
        <v>0.05615417696</v>
      </c>
      <c r="U42" s="26">
        <f>IFERROR(__xludf.DUMMYFUNCTION("""COMPUTED_VALUE"""),0.2819553113409285)</f>
        <v>0.2819553113</v>
      </c>
      <c r="V42" s="26">
        <f>IFERROR(__xludf.DUMMYFUNCTION("""COMPUTED_VALUE"""),-0.9036092853580823)</f>
        <v>-0.9036092854</v>
      </c>
      <c r="W42" s="26">
        <f>IFERROR(__xludf.DUMMYFUNCTION("""COMPUTED_VALUE"""),-0.7706532220375559)</f>
        <v>-0.770653222</v>
      </c>
      <c r="X42" s="26">
        <f>IFERROR(__xludf.DUMMYFUNCTION("""COMPUTED_VALUE"""),1.8454809478333571)</f>
        <v>1.845480948</v>
      </c>
      <c r="Y42" s="26">
        <f>IFERROR(__xludf.DUMMYFUNCTION("""COMPUTED_VALUE"""),0.13583801010857285)</f>
        <v>0.1358380101</v>
      </c>
      <c r="Z42" s="26">
        <f>IFERROR(__xludf.DUMMYFUNCTION("""COMPUTED_VALUE"""),1.069502463787273)</f>
        <v>1.069502464</v>
      </c>
      <c r="AA42" s="26">
        <f>IFERROR(__xludf.DUMMYFUNCTION("""COMPUTED_VALUE"""),0.0)</f>
        <v>0</v>
      </c>
      <c r="AB42" t="str">
        <f>IFERROR(__xludf.DUMMYFUNCTION("SUBSTITUTE(REGEXREPLACE(REGEXREPLACE(REGEXREPLACE(REGEXREPLACE(REGEXREPLACE(REGEXREPLACE(F42,"","",),IF(Projections!$T$17="""",""PG"",),),IF(Projections!$U$17="""",""SG"",),),IF(Projections!$V$17="""",""SF"",),),IF(Projections!$W$17="""",""PF"",),),IF(Pro"&amp;"jections!$X$17="""",""C"",),),""/"","""")"),"C")</f>
        <v>C</v>
      </c>
    </row>
    <row r="43">
      <c r="A43" s="408" t="str">
        <f>IF(Projections!$AB$17,Draft!G5,"")</f>
        <v/>
      </c>
      <c r="B43">
        <f>IFERROR(__xludf.DUMMYFUNCTION("""COMPUTED_VALUE"""),38.0)</f>
        <v>38</v>
      </c>
      <c r="C43">
        <f>IFERROR(__xludf.DUMMYFUNCTION("""COMPUTED_VALUE"""),46.0)</f>
        <v>46</v>
      </c>
      <c r="D43" t="str">
        <f>IFERROR(__xludf.DUMMYFUNCTION("""COMPUTED_VALUE"""),"Jimmy Butler")</f>
        <v>Jimmy Butler</v>
      </c>
      <c r="E43">
        <f>IFERROR(__xludf.DUMMYFUNCTION("""COMPUTED_VALUE"""),63.0)</f>
        <v>63</v>
      </c>
      <c r="F43" t="str">
        <f>IFERROR(__xludf.DUMMYFUNCTION("""COMPUTED_VALUE"""),"PF,C")</f>
        <v>PF,C</v>
      </c>
      <c r="G43" s="26">
        <f>IFERROR(__xludf.DUMMYFUNCTION("""COMPUTED_VALUE"""),1.7687044167560737)</f>
        <v>1.768704417</v>
      </c>
      <c r="H43" s="26">
        <f>IFERROR(__xludf.DUMMYFUNCTION("""COMPUTED_VALUE"""),1.727243972014689)</f>
        <v>1.727243972</v>
      </c>
      <c r="I43" s="26">
        <f>IFERROR(__xludf.DUMMYFUNCTION("""COMPUTED_VALUE"""),-0.04146044474138466)</f>
        <v>-0.04146044474</v>
      </c>
      <c r="J43" s="26">
        <f>IFERROR(__xludf.DUMMYFUNCTION("""COMPUTED_VALUE"""),19.37639344)</f>
        <v>19.37639344</v>
      </c>
      <c r="K43" s="26">
        <f>IFERROR(__xludf.DUMMYFUNCTION("""COMPUTED_VALUE"""),0.8672131148)</f>
        <v>0.8672131148</v>
      </c>
      <c r="L43" s="26">
        <f>IFERROR(__xludf.DUMMYFUNCTION("""COMPUTED_VALUE"""),5.153114754)</f>
        <v>5.153114754</v>
      </c>
      <c r="M43" s="26">
        <f>IFERROR(__xludf.DUMMYFUNCTION("""COMPUTED_VALUE"""),5.274098361)</f>
        <v>5.274098361</v>
      </c>
      <c r="N43" s="26">
        <f>IFERROR(__xludf.DUMMYFUNCTION("""COMPUTED_VALUE"""),1.440983607)</f>
        <v>1.440983607</v>
      </c>
      <c r="O43" s="26">
        <f>IFERROR(__xludf.DUMMYFUNCTION("""COMPUTED_VALUE"""),0.2750819672)</f>
        <v>0.2750819672</v>
      </c>
      <c r="P43" s="464">
        <f>IFERROR(__xludf.DUMMYFUNCTION("""COMPUTED_VALUE"""),0.4986563192)</f>
        <v>0.4986563192</v>
      </c>
      <c r="Q43" s="464">
        <f>IFERROR(__xludf.DUMMYFUNCTION("""COMPUTED_VALUE"""),0.8470101196)</f>
        <v>0.8470101196</v>
      </c>
      <c r="R43" s="26">
        <f>IFERROR(__xludf.DUMMYFUNCTION("""COMPUTED_VALUE"""),1.58147541)</f>
        <v>1.58147541</v>
      </c>
      <c r="S43" s="26">
        <f>IFERROR(__xludf.DUMMYFUNCTION("""COMPUTED_VALUE"""),0.34027339529786704)</f>
        <v>0.3402733953</v>
      </c>
      <c r="T43" s="26">
        <f>IFERROR(__xludf.DUMMYFUNCTION("""COMPUTED_VALUE"""),-0.8743389339342508)</f>
        <v>-0.8743389339</v>
      </c>
      <c r="U43" s="26">
        <f>IFERROR(__xludf.DUMMYFUNCTION("""COMPUTED_VALUE"""),-0.36455916936374905)</f>
        <v>-0.3645591694</v>
      </c>
      <c r="V43" s="26">
        <f>IFERROR(__xludf.DUMMYFUNCTION("""COMPUTED_VALUE"""),0.6088928971513606)</f>
        <v>0.6088928972</v>
      </c>
      <c r="W43" s="26">
        <f>IFERROR(__xludf.DUMMYFUNCTION("""COMPUTED_VALUE"""),1.5383114881841586)</f>
        <v>1.538311488</v>
      </c>
      <c r="X43" s="26">
        <f>IFERROR(__xludf.DUMMYFUNCTION("""COMPUTED_VALUE"""),-0.844708318620512)</f>
        <v>-0.8447083186</v>
      </c>
      <c r="Y43" s="26">
        <f>IFERROR(__xludf.DUMMYFUNCTION("""COMPUTED_VALUE"""),0.020504539936560165)</f>
        <v>0.02050453994</v>
      </c>
      <c r="Z43" s="26">
        <f>IFERROR(__xludf.DUMMYFUNCTION("""COMPUTED_VALUE"""),1.3028680733632545)</f>
        <v>1.302868073</v>
      </c>
      <c r="AA43" s="26">
        <f>IFERROR(__xludf.DUMMYFUNCTION("""COMPUTED_VALUE"""),0.0)</f>
        <v>0</v>
      </c>
      <c r="AB43" t="str">
        <f>IFERROR(__xludf.DUMMYFUNCTION("SUBSTITUTE(REGEXREPLACE(REGEXREPLACE(REGEXREPLACE(REGEXREPLACE(REGEXREPLACE(REGEXREPLACE(F43,"","",),IF(Projections!$T$17="""",""PG"",),),IF(Projections!$U$17="""",""SG"",),),IF(Projections!$V$17="""",""SF"",),),IF(Projections!$W$17="""",""PF"",),),IF(Pro"&amp;"jections!$X$17="""",""C"",),),""/"","""")"),"PFC")</f>
        <v>PFC</v>
      </c>
    </row>
    <row r="44">
      <c r="A44" s="408" t="str">
        <f>IF(Projections!$AB$17,Draft!G6,"")</f>
        <v/>
      </c>
      <c r="B44">
        <f>IFERROR(__xludf.DUMMYFUNCTION("""COMPUTED_VALUE"""),41.0)</f>
        <v>41</v>
      </c>
      <c r="C44">
        <f>IFERROR(__xludf.DUMMYFUNCTION("""COMPUTED_VALUE"""),53.8)</f>
        <v>53.8</v>
      </c>
      <c r="D44" t="str">
        <f>IFERROR(__xludf.DUMMYFUNCTION("""COMPUTED_VALUE"""),"Immanuel Quickley")</f>
        <v>Immanuel Quickley</v>
      </c>
      <c r="E44">
        <f>IFERROR(__xludf.DUMMYFUNCTION("""COMPUTED_VALUE"""),65.0)</f>
        <v>65</v>
      </c>
      <c r="F44" t="str">
        <f>IFERROR(__xludf.DUMMYFUNCTION("""COMPUTED_VALUE"""),"PG,SG")</f>
        <v>PG,SG</v>
      </c>
      <c r="G44" s="26">
        <f>IFERROR(__xludf.DUMMYFUNCTION("""COMPUTED_VALUE"""),1.6461272906673718)</f>
        <v>1.646127291</v>
      </c>
      <c r="H44" s="26">
        <f>IFERROR(__xludf.DUMMYFUNCTION("""COMPUTED_VALUE"""),1.7015614961341547)</f>
        <v>1.701561496</v>
      </c>
      <c r="I44" s="26">
        <f>IFERROR(__xludf.DUMMYFUNCTION("""COMPUTED_VALUE"""),0.055434205466782904)</f>
        <v>0.05543420547</v>
      </c>
      <c r="J44" s="26">
        <f>IFERROR(__xludf.DUMMYFUNCTION("""COMPUTED_VALUE"""),20.93103896)</f>
        <v>20.93103896</v>
      </c>
      <c r="K44" s="26">
        <f>IFERROR(__xludf.DUMMYFUNCTION("""COMPUTED_VALUE"""),2.955974026)</f>
        <v>2.955974026</v>
      </c>
      <c r="L44" s="26">
        <f>IFERROR(__xludf.DUMMYFUNCTION("""COMPUTED_VALUE"""),4.787012987)</f>
        <v>4.787012987</v>
      </c>
      <c r="M44" s="26">
        <f>IFERROR(__xludf.DUMMYFUNCTION("""COMPUTED_VALUE"""),7.07)</f>
        <v>7.07</v>
      </c>
      <c r="N44" s="26">
        <f>IFERROR(__xludf.DUMMYFUNCTION("""COMPUTED_VALUE"""),1.045454545)</f>
        <v>1.045454545</v>
      </c>
      <c r="O44" s="26">
        <f>IFERROR(__xludf.DUMMYFUNCTION("""COMPUTED_VALUE"""),0.2188311688)</f>
        <v>0.2188311688</v>
      </c>
      <c r="P44" s="464">
        <f>IFERROR(__xludf.DUMMYFUNCTION("""COMPUTED_VALUE"""),0.434168524)</f>
        <v>0.434168524</v>
      </c>
      <c r="Q44" s="464">
        <f>IFERROR(__xludf.DUMMYFUNCTION("""COMPUTED_VALUE"""),0.8440125359)</f>
        <v>0.8440125359</v>
      </c>
      <c r="R44" s="26">
        <f>IFERROR(__xludf.DUMMYFUNCTION("""COMPUTED_VALUE"""),1.972207792)</f>
        <v>1.972207792</v>
      </c>
      <c r="S44" s="26">
        <f>IFERROR(__xludf.DUMMYFUNCTION("""COMPUTED_VALUE"""),0.6205070165230928)</f>
        <v>0.6205070165</v>
      </c>
      <c r="T44" s="26">
        <f>IFERROR(__xludf.DUMMYFUNCTION("""COMPUTED_VALUE"""),1.1975626251151092)</f>
        <v>1.197562625</v>
      </c>
      <c r="U44" s="26">
        <f>IFERROR(__xludf.DUMMYFUNCTION("""COMPUTED_VALUE"""),-0.5080370132225259)</f>
        <v>-0.5080370132</v>
      </c>
      <c r="V44" s="26">
        <f>IFERROR(__xludf.DUMMYFUNCTION("""COMPUTED_VALUE"""),1.424480811069898)</f>
        <v>1.424480811</v>
      </c>
      <c r="W44" s="26">
        <f>IFERROR(__xludf.DUMMYFUNCTION("""COMPUTED_VALUE"""),0.2297774004753338)</f>
        <v>0.2297774005</v>
      </c>
      <c r="X44" s="26">
        <f>IFERROR(__xludf.DUMMYFUNCTION("""COMPUTED_VALUE"""),-0.9450399327774633)</f>
        <v>-0.9450399328</v>
      </c>
      <c r="Y44" s="26">
        <f>IFERROR(__xludf.DUMMYFUNCTION("""COMPUTED_VALUE"""),-1.1671272085234643)</f>
        <v>-1.167127209</v>
      </c>
      <c r="Z44" s="26">
        <f>IFERROR(__xludf.DUMMYFUNCTION("""COMPUTED_VALUE"""),0.8494377974741747)</f>
        <v>0.8494377975</v>
      </c>
      <c r="AA44" s="26">
        <f>IFERROR(__xludf.DUMMYFUNCTION("""COMPUTED_VALUE"""),0.0)</f>
        <v>0</v>
      </c>
      <c r="AB44" t="str">
        <f>IFERROR(__xludf.DUMMYFUNCTION("SUBSTITUTE(REGEXREPLACE(REGEXREPLACE(REGEXREPLACE(REGEXREPLACE(REGEXREPLACE(REGEXREPLACE(F44,"","",),IF(Projections!$T$17="""",""PG"",),),IF(Projections!$U$17="""",""SG"",),),IF(Projections!$V$17="""",""SF"",),),IF(Projections!$W$17="""",""PF"",),),IF(Pro"&amp;"jections!$X$17="""",""C"",),),""/"","""")"),"PGSG")</f>
        <v>PGSG</v>
      </c>
    </row>
    <row r="45">
      <c r="A45" s="408" t="str">
        <f>IF(Projections!$AB$17,Draft!G7,"")</f>
        <v/>
      </c>
      <c r="B45">
        <f>IFERROR(__xludf.DUMMYFUNCTION("""COMPUTED_VALUE"""),40.0)</f>
        <v>40</v>
      </c>
      <c r="C45">
        <f>IFERROR(__xludf.DUMMYFUNCTION("""COMPUTED_VALUE"""),44.1)</f>
        <v>44.1</v>
      </c>
      <c r="D45" t="str">
        <f>IFERROR(__xludf.DUMMYFUNCTION("""COMPUTED_VALUE"""),"Desmond Bane")</f>
        <v>Desmond Bane</v>
      </c>
      <c r="E45">
        <f>IFERROR(__xludf.DUMMYFUNCTION("""COMPUTED_VALUE"""),68.0)</f>
        <v>68</v>
      </c>
      <c r="F45" t="str">
        <f>IFERROR(__xludf.DUMMYFUNCTION("""COMPUTED_VALUE"""),"SG,SF")</f>
        <v>SG,SF</v>
      </c>
      <c r="G45" s="26">
        <f>IFERROR(__xludf.DUMMYFUNCTION("""COMPUTED_VALUE"""),1.4725520317509155)</f>
        <v>1.472552032</v>
      </c>
      <c r="H45" s="26">
        <f>IFERROR(__xludf.DUMMYFUNCTION("""COMPUTED_VALUE"""),1.5834555305859963)</f>
        <v>1.583455531</v>
      </c>
      <c r="I45" s="26">
        <f>IFERROR(__xludf.DUMMYFUNCTION("""COMPUTED_VALUE"""),0.11090349883508077)</f>
        <v>0.1109034988</v>
      </c>
      <c r="J45" s="26">
        <f>IFERROR(__xludf.DUMMYFUNCTION("""COMPUTED_VALUE"""),21.32273973)</f>
        <v>21.32273973</v>
      </c>
      <c r="K45" s="26">
        <f>IFERROR(__xludf.DUMMYFUNCTION("""COMPUTED_VALUE"""),2.957671233)</f>
        <v>2.957671233</v>
      </c>
      <c r="L45" s="26">
        <f>IFERROR(__xludf.DUMMYFUNCTION("""COMPUTED_VALUE"""),4.887534247)</f>
        <v>4.887534247</v>
      </c>
      <c r="M45" s="26">
        <f>IFERROR(__xludf.DUMMYFUNCTION("""COMPUTED_VALUE"""),4.816712329)</f>
        <v>4.816712329</v>
      </c>
      <c r="N45" s="26">
        <f>IFERROR(__xludf.DUMMYFUNCTION("""COMPUTED_VALUE"""),0.9191780822)</f>
        <v>0.9191780822</v>
      </c>
      <c r="O45" s="26">
        <f>IFERROR(__xludf.DUMMYFUNCTION("""COMPUTED_VALUE"""),0.4254794521)</f>
        <v>0.4254794521</v>
      </c>
      <c r="P45" s="464">
        <f>IFERROR(__xludf.DUMMYFUNCTION("""COMPUTED_VALUE"""),0.474470924)</f>
        <v>0.474470924</v>
      </c>
      <c r="Q45" s="464">
        <f>IFERROR(__xludf.DUMMYFUNCTION("""COMPUTED_VALUE"""),0.8749848772)</f>
        <v>0.8749848772</v>
      </c>
      <c r="R45" s="26">
        <f>IFERROR(__xludf.DUMMYFUNCTION("""COMPUTED_VALUE"""),2.195890411)</f>
        <v>2.195890411</v>
      </c>
      <c r="S45" s="26">
        <f>IFERROR(__xludf.DUMMYFUNCTION("""COMPUTED_VALUE"""),0.6911132890152358)</f>
        <v>0.691113289</v>
      </c>
      <c r="T45" s="26">
        <f>IFERROR(__xludf.DUMMYFUNCTION("""COMPUTED_VALUE"""),1.1992461331750672)</f>
        <v>1.199246133</v>
      </c>
      <c r="U45" s="26">
        <f>IFERROR(__xludf.DUMMYFUNCTION("""COMPUTED_VALUE"""),-0.4686420281478773)</f>
        <v>-0.4686420281</v>
      </c>
      <c r="V45" s="26">
        <f>IFERROR(__xludf.DUMMYFUNCTION("""COMPUTED_VALUE"""),0.40117633206037145)</f>
        <v>0.4011763321</v>
      </c>
      <c r="W45" s="26">
        <f>IFERROR(__xludf.DUMMYFUNCTION("""COMPUTED_VALUE"""),-0.18798471089410898)</f>
        <v>-0.1879847109</v>
      </c>
      <c r="X45" s="26">
        <f>IFERROR(__xludf.DUMMYFUNCTION("""COMPUTED_VALUE"""),-0.5764521719635303)</f>
        <v>-0.576452172</v>
      </c>
      <c r="Y45" s="26">
        <f>IFERROR(__xludf.DUMMYFUNCTION("""COMPUTED_VALUE"""),-0.4297271198730037)</f>
        <v>-0.4297271199</v>
      </c>
      <c r="Z45" s="26">
        <f>IFERROR(__xludf.DUMMYFUNCTION("""COMPUTED_VALUE"""),0.9547258072138423)</f>
        <v>0.9547258072</v>
      </c>
      <c r="AA45" s="26">
        <f>IFERROR(__xludf.DUMMYFUNCTION("""COMPUTED_VALUE"""),0.0)</f>
        <v>0</v>
      </c>
      <c r="AB45" t="str">
        <f>IFERROR(__xludf.DUMMYFUNCTION("SUBSTITUTE(REGEXREPLACE(REGEXREPLACE(REGEXREPLACE(REGEXREPLACE(REGEXREPLACE(REGEXREPLACE(F45,"","",),IF(Projections!$T$17="""",""PG"",),),IF(Projections!$U$17="""",""SG"",),),IF(Projections!$V$17="""",""SF"",),),IF(Projections!$W$17="""",""PF"",),),IF(Pro"&amp;"jections!$X$17="""",""C"",),),""/"","""")"),"SGSF")</f>
        <v>SGSF</v>
      </c>
    </row>
    <row r="46">
      <c r="A46" s="408" t="str">
        <f>IF(Projections!$AB$17,Draft!G8,"")</f>
        <v/>
      </c>
      <c r="B46">
        <f>IFERROR(__xludf.DUMMYFUNCTION("""COMPUTED_VALUE"""),42.0)</f>
        <v>42</v>
      </c>
      <c r="C46">
        <f>IFERROR(__xludf.DUMMYFUNCTION("""COMPUTED_VALUE"""),48.4)</f>
        <v>48.4</v>
      </c>
      <c r="D46" t="str">
        <f>IFERROR(__xludf.DUMMYFUNCTION("""COMPUTED_VALUE"""),"Derrick White")</f>
        <v>Derrick White</v>
      </c>
      <c r="E46">
        <f>IFERROR(__xludf.DUMMYFUNCTION("""COMPUTED_VALUE"""),70.0)</f>
        <v>70</v>
      </c>
      <c r="F46" t="str">
        <f>IFERROR(__xludf.DUMMYFUNCTION("""COMPUTED_VALUE"""),"C")</f>
        <v>C</v>
      </c>
      <c r="G46" s="26">
        <f>IFERROR(__xludf.DUMMYFUNCTION("""COMPUTED_VALUE"""),1.4242579331885532)</f>
        <v>1.424257933</v>
      </c>
      <c r="H46" s="26">
        <f>IFERROR(__xludf.DUMMYFUNCTION("""COMPUTED_VALUE"""),1.3585544762211246)</f>
        <v>1.358554476</v>
      </c>
      <c r="I46" s="26">
        <f>IFERROR(__xludf.DUMMYFUNCTION("""COMPUTED_VALUE"""),-0.06570345696742863)</f>
        <v>-0.06570345697</v>
      </c>
      <c r="J46" s="26">
        <f>IFERROR(__xludf.DUMMYFUNCTION("""COMPUTED_VALUE"""),15.688)</f>
        <v>15.688</v>
      </c>
      <c r="K46" s="26">
        <f>IFERROR(__xludf.DUMMYFUNCTION("""COMPUTED_VALUE"""),2.864857143)</f>
        <v>2.864857143</v>
      </c>
      <c r="L46" s="26">
        <f>IFERROR(__xludf.DUMMYFUNCTION("""COMPUTED_VALUE"""),4.312)</f>
        <v>4.312</v>
      </c>
      <c r="M46" s="26">
        <f>IFERROR(__xludf.DUMMYFUNCTION("""COMPUTED_VALUE"""),5.39)</f>
        <v>5.39</v>
      </c>
      <c r="N46" s="26">
        <f>IFERROR(__xludf.DUMMYFUNCTION("""COMPUTED_VALUE"""),0.9417142857)</f>
        <v>0.9417142857</v>
      </c>
      <c r="O46" s="26">
        <f>IFERROR(__xludf.DUMMYFUNCTION("""COMPUTED_VALUE"""),1.078)</f>
        <v>1.078</v>
      </c>
      <c r="P46" s="464">
        <f>IFERROR(__xludf.DUMMYFUNCTION("""COMPUTED_VALUE"""),0.4605479809)</f>
        <v>0.4605479809</v>
      </c>
      <c r="Q46" s="464">
        <f>IFERROR(__xludf.DUMMYFUNCTION("""COMPUTED_VALUE"""),0.8910332542)</f>
        <v>0.8910332542</v>
      </c>
      <c r="R46" s="26">
        <f>IFERROR(__xludf.DUMMYFUNCTION("""COMPUTED_VALUE"""),1.483714286)</f>
        <v>1.483714286</v>
      </c>
      <c r="S46" s="26">
        <f>IFERROR(__xludf.DUMMYFUNCTION("""COMPUTED_VALUE"""),-0.3245803201616992)</f>
        <v>-0.3245803202</v>
      </c>
      <c r="T46" s="26">
        <f>IFERROR(__xludf.DUMMYFUNCTION("""COMPUTED_VALUE"""),1.1071811884790896)</f>
        <v>1.107181188</v>
      </c>
      <c r="U46" s="26">
        <f>IFERROR(__xludf.DUMMYFUNCTION("""COMPUTED_VALUE"""),-0.6941979261789422)</f>
        <v>-0.6941979262</v>
      </c>
      <c r="V46" s="26">
        <f>IFERROR(__xludf.DUMMYFUNCTION("""COMPUTED_VALUE"""),0.6615282831429813)</f>
        <v>0.6615282831</v>
      </c>
      <c r="W46" s="26">
        <f>IFERROR(__xludf.DUMMYFUNCTION("""COMPUTED_VALUE"""),-0.1134278873368731)</f>
        <v>-0.1134278873</v>
      </c>
      <c r="X46" s="26">
        <f>IFERROR(__xludf.DUMMYFUNCTION("""COMPUTED_VALUE"""),0.5874146833269236)</f>
        <v>0.5874146833</v>
      </c>
      <c r="Y46" s="26">
        <f>IFERROR(__xludf.DUMMYFUNCTION("""COMPUTED_VALUE"""),-0.5147930781920822)</f>
        <v>-0.5147930782</v>
      </c>
      <c r="Z46" s="26">
        <f>IFERROR(__xludf.DUMMYFUNCTION("""COMPUTED_VALUE"""),0.6494295331417268)</f>
        <v>0.6494295331</v>
      </c>
      <c r="AA46" s="26">
        <f>IFERROR(__xludf.DUMMYFUNCTION("""COMPUTED_VALUE"""),0.0)</f>
        <v>0</v>
      </c>
      <c r="AB46" t="str">
        <f>IFERROR(__xludf.DUMMYFUNCTION("SUBSTITUTE(REGEXREPLACE(REGEXREPLACE(REGEXREPLACE(REGEXREPLACE(REGEXREPLACE(REGEXREPLACE(F46,"","",),IF(Projections!$T$17="""",""PG"",),),IF(Projections!$U$17="""",""SG"",),),IF(Projections!$V$17="""",""SF"",),),IF(Projections!$W$17="""",""PF"",),),IF(Pro"&amp;"jections!$X$17="""",""C"",),),""/"","""")"),"C")</f>
        <v>C</v>
      </c>
    </row>
    <row r="47">
      <c r="A47" s="408" t="str">
        <f>IF(Projections!$AB$17,Draft!G9,"")</f>
        <v/>
      </c>
      <c r="B47">
        <f>IFERROR(__xludf.DUMMYFUNCTION("""COMPUTED_VALUE"""),39.0)</f>
        <v>39</v>
      </c>
      <c r="C47">
        <f>IFERROR(__xludf.DUMMYFUNCTION("""COMPUTED_VALUE"""),46.6)</f>
        <v>46.6</v>
      </c>
      <c r="D47" t="str">
        <f>IFERROR(__xludf.DUMMYFUNCTION("""COMPUTED_VALUE"""),"Zion Williamson")</f>
        <v>Zion Williamson</v>
      </c>
      <c r="E47">
        <f>IFERROR(__xludf.DUMMYFUNCTION("""COMPUTED_VALUE"""),69.0)</f>
        <v>69</v>
      </c>
      <c r="F47" t="str">
        <f>IFERROR(__xludf.DUMMYFUNCTION("""COMPUTED_VALUE"""),"SG")</f>
        <v>SG</v>
      </c>
      <c r="G47" s="26">
        <f>IFERROR(__xludf.DUMMYFUNCTION("""COMPUTED_VALUE"""),1.0409685266674964)</f>
        <v>1.040968527</v>
      </c>
      <c r="H47" s="26">
        <f>IFERROR(__xludf.DUMMYFUNCTION("""COMPUTED_VALUE"""),1.3493692830046058)</f>
        <v>1.349369283</v>
      </c>
      <c r="I47" s="26">
        <f>IFERROR(__xludf.DUMMYFUNCTION("""COMPUTED_VALUE"""),0.3084007563371094)</f>
        <v>0.3084007563</v>
      </c>
      <c r="J47" s="26">
        <f>IFERROR(__xludf.DUMMYFUNCTION("""COMPUTED_VALUE"""),24.63276923)</f>
        <v>24.63276923</v>
      </c>
      <c r="K47" s="26">
        <f>IFERROR(__xludf.DUMMYFUNCTION("""COMPUTED_VALUE"""),0.09169230769)</f>
        <v>0.09169230769</v>
      </c>
      <c r="L47" s="26">
        <f>IFERROR(__xludf.DUMMYFUNCTION("""COMPUTED_VALUE"""),6.466)</f>
        <v>6.466</v>
      </c>
      <c r="M47" s="26">
        <f>IFERROR(__xludf.DUMMYFUNCTION("""COMPUTED_VALUE"""),5.376923077)</f>
        <v>5.376923077</v>
      </c>
      <c r="N47" s="26">
        <f>IFERROR(__xludf.DUMMYFUNCTION("""COMPUTED_VALUE"""),1.361230769)</f>
        <v>1.361230769</v>
      </c>
      <c r="O47" s="26">
        <f>IFERROR(__xludf.DUMMYFUNCTION("""COMPUTED_VALUE"""),0.816)</f>
        <v>0.816</v>
      </c>
      <c r="P47" s="464">
        <f>IFERROR(__xludf.DUMMYFUNCTION("""COMPUTED_VALUE"""),0.5759092177)</f>
        <v>0.5759092177</v>
      </c>
      <c r="Q47" s="464">
        <f>IFERROR(__xludf.DUMMYFUNCTION("""COMPUTED_VALUE"""),0.7200072636)</f>
        <v>0.7200072636</v>
      </c>
      <c r="R47" s="26">
        <f>IFERROR(__xludf.DUMMYFUNCTION("""COMPUTED_VALUE"""),2.992307692)</f>
        <v>2.992307692</v>
      </c>
      <c r="S47" s="26">
        <f>IFERROR(__xludf.DUMMYFUNCTION("""COMPUTED_VALUE"""),1.2877647707931048)</f>
        <v>1.287764771</v>
      </c>
      <c r="T47" s="26">
        <f>IFERROR(__xludf.DUMMYFUNCTION("""COMPUTED_VALUE"""),-1.6436001551255808)</f>
        <v>-1.643600155</v>
      </c>
      <c r="U47" s="26">
        <f>IFERROR(__xludf.DUMMYFUNCTION("""COMPUTED_VALUE"""),0.1499697439317719)</f>
        <v>0.1499697439</v>
      </c>
      <c r="V47" s="26">
        <f>IFERROR(__xludf.DUMMYFUNCTION("""COMPUTED_VALUE"""),0.655589550130865)</f>
        <v>0.6555895501</v>
      </c>
      <c r="W47" s="26">
        <f>IFERROR(__xludf.DUMMYFUNCTION("""COMPUTED_VALUE"""),1.274464107193177)</f>
        <v>1.274464107</v>
      </c>
      <c r="X47" s="26">
        <f>IFERROR(__xludf.DUMMYFUNCTION("""COMPUTED_VALUE"""),0.12009895347372276)</f>
        <v>0.1200989535</v>
      </c>
      <c r="Y47" s="26">
        <f>IFERROR(__xludf.DUMMYFUNCTION("""COMPUTED_VALUE"""),1.5133645463762242)</f>
        <v>1.513364546</v>
      </c>
      <c r="Z47" s="26">
        <f>IFERROR(__xludf.DUMMYFUNCTION("""COMPUTED_VALUE"""),-2.008282233768679)</f>
        <v>-2.008282234</v>
      </c>
      <c r="AA47" s="26">
        <f>IFERROR(__xludf.DUMMYFUNCTION("""COMPUTED_VALUE"""),0.0)</f>
        <v>0</v>
      </c>
      <c r="AB47" t="str">
        <f>IFERROR(__xludf.DUMMYFUNCTION("SUBSTITUTE(REGEXREPLACE(REGEXREPLACE(REGEXREPLACE(REGEXREPLACE(REGEXREPLACE(REGEXREPLACE(F47,"","",),IF(Projections!$T$17="""",""PG"",),),IF(Projections!$U$17="""",""SG"",),),IF(Projections!$V$17="""",""SF"",),),IF(Projections!$W$17="""",""PF"",),),IF(Pro"&amp;"jections!$X$17="""",""C"",),),""/"","""")"),"SG")</f>
        <v>SG</v>
      </c>
    </row>
    <row r="48">
      <c r="A48" s="408" t="str">
        <f>IF(Projections!$AB$17,Draft!G10,"")</f>
        <v/>
      </c>
      <c r="B48">
        <f>IFERROR(__xludf.DUMMYFUNCTION("""COMPUTED_VALUE"""),49.0)</f>
        <v>49</v>
      </c>
      <c r="C48">
        <f>IFERROR(__xludf.DUMMYFUNCTION("""COMPUTED_VALUE"""),62.6)</f>
        <v>62.6</v>
      </c>
      <c r="D48" t="str">
        <f>IFERROR(__xludf.DUMMYFUNCTION("""COMPUTED_VALUE"""),"Darius Garland")</f>
        <v>Darius Garland</v>
      </c>
      <c r="E48">
        <f>IFERROR(__xludf.DUMMYFUNCTION("""COMPUTED_VALUE"""),68.0)</f>
        <v>68</v>
      </c>
      <c r="F48" t="str">
        <f>IFERROR(__xludf.DUMMYFUNCTION("""COMPUTED_VALUE"""),"PF")</f>
        <v>PF</v>
      </c>
      <c r="G48" s="26">
        <f>IFERROR(__xludf.DUMMYFUNCTION("""COMPUTED_VALUE"""),0.8088117132889285)</f>
        <v>0.8088117133</v>
      </c>
      <c r="H48" s="26">
        <f>IFERROR(__xludf.DUMMYFUNCTION("""COMPUTED_VALUE"""),1.109273675204225)</f>
        <v>1.109273675</v>
      </c>
      <c r="I48" s="26">
        <f>IFERROR(__xludf.DUMMYFUNCTION("""COMPUTED_VALUE"""),0.3004619619152964)</f>
        <v>0.3004619619</v>
      </c>
      <c r="J48" s="26">
        <f>IFERROR(__xludf.DUMMYFUNCTION("""COMPUTED_VALUE"""),19.48102941)</f>
        <v>19.48102941</v>
      </c>
      <c r="K48" s="26">
        <f>IFERROR(__xludf.DUMMYFUNCTION("""COMPUTED_VALUE"""),2.7025)</f>
        <v>2.7025</v>
      </c>
      <c r="L48" s="26">
        <f>IFERROR(__xludf.DUMMYFUNCTION("""COMPUTED_VALUE"""),2.805)</f>
        <v>2.805</v>
      </c>
      <c r="M48" s="26">
        <f>IFERROR(__xludf.DUMMYFUNCTION("""COMPUTED_VALUE"""),7.503382353)</f>
        <v>7.503382353</v>
      </c>
      <c r="N48" s="26">
        <f>IFERROR(__xludf.DUMMYFUNCTION("""COMPUTED_VALUE"""),1.251176471)</f>
        <v>1.251176471</v>
      </c>
      <c r="O48" s="26">
        <f>IFERROR(__xludf.DUMMYFUNCTION("""COMPUTED_VALUE"""),0.1410294118)</f>
        <v>0.1410294118</v>
      </c>
      <c r="P48" s="464">
        <f>IFERROR(__xludf.DUMMYFUNCTION("""COMPUTED_VALUE"""),0.4490716254)</f>
        <v>0.4490716254</v>
      </c>
      <c r="Q48" s="464">
        <f>IFERROR(__xludf.DUMMYFUNCTION("""COMPUTED_VALUE"""),0.8449892557)</f>
        <v>0.8449892557</v>
      </c>
      <c r="R48" s="26">
        <f>IFERROR(__xludf.DUMMYFUNCTION("""COMPUTED_VALUE"""),2.960294118)</f>
        <v>2.960294118</v>
      </c>
      <c r="S48" s="26">
        <f>IFERROR(__xludf.DUMMYFUNCTION("""COMPUTED_VALUE"""),0.3591346189056218)</f>
        <v>0.3591346189</v>
      </c>
      <c r="T48" s="26">
        <f>IFERROR(__xludf.DUMMYFUNCTION("""COMPUTED_VALUE"""),0.946134504820478)</f>
        <v>0.9461345048</v>
      </c>
      <c r="U48" s="26">
        <f>IFERROR(__xludf.DUMMYFUNCTION("""COMPUTED_VALUE"""),-1.284801769659372)</f>
        <v>-1.28480177</v>
      </c>
      <c r="V48" s="26">
        <f>IFERROR(__xludf.DUMMYFUNCTION("""COMPUTED_VALUE"""),1.621296383558151)</f>
        <v>1.621296384</v>
      </c>
      <c r="W48" s="26">
        <f>IFERROR(__xludf.DUMMYFUNCTION("""COMPUTED_VALUE"""),0.9103700006724652)</f>
        <v>0.9103700007</v>
      </c>
      <c r="X48" s="26">
        <f>IFERROR(__xludf.DUMMYFUNCTION("""COMPUTED_VALUE"""),-1.0838108673435563)</f>
        <v>-1.083810867</v>
      </c>
      <c r="Y48" s="26">
        <f>IFERROR(__xludf.DUMMYFUNCTION("""COMPUTED_VALUE"""),-0.8880697137438002)</f>
        <v>-0.8880697137</v>
      </c>
      <c r="Z48" s="26">
        <f>IFERROR(__xludf.DUMMYFUNCTION("""COMPUTED_VALUE"""),0.5290205179942371)</f>
        <v>0.529020518</v>
      </c>
      <c r="AA48" s="26">
        <f>IFERROR(__xludf.DUMMYFUNCTION("""COMPUTED_VALUE"""),0.0)</f>
        <v>0</v>
      </c>
      <c r="AB48" t="str">
        <f>IFERROR(__xludf.DUMMYFUNCTION("SUBSTITUTE(REGEXREPLACE(REGEXREPLACE(REGEXREPLACE(REGEXREPLACE(REGEXREPLACE(REGEXREPLACE(F48,"","",),IF(Projections!$T$17="""",""PG"",),),IF(Projections!$U$17="""",""SG"",),),IF(Projections!$V$17="""",""SF"",),),IF(Projections!$W$17="""",""PF"",),),IF(Pro"&amp;"jections!$X$17="""",""C"",),),""/"","""")"),"PF")</f>
        <v>PF</v>
      </c>
    </row>
    <row r="49">
      <c r="A49" s="408" t="str">
        <f>IF(Projections!$AB$17,Draft!G11,"")</f>
        <v/>
      </c>
      <c r="B49">
        <f>IFERROR(__xludf.DUMMYFUNCTION("""COMPUTED_VALUE"""),45.0)</f>
        <v>45</v>
      </c>
      <c r="C49">
        <f>IFERROR(__xludf.DUMMYFUNCTION("""COMPUTED_VALUE"""),54.1)</f>
        <v>54.1</v>
      </c>
      <c r="D49" t="str">
        <f>IFERROR(__xludf.DUMMYFUNCTION("""COMPUTED_VALUE"""),"DeMar DeRozan")</f>
        <v>DeMar DeRozan</v>
      </c>
      <c r="E49">
        <f>IFERROR(__xludf.DUMMYFUNCTION("""COMPUTED_VALUE"""),62.0)</f>
        <v>62</v>
      </c>
      <c r="F49" t="str">
        <f>IFERROR(__xludf.DUMMYFUNCTION("""COMPUTED_VALUE"""),"SF")</f>
        <v>SF</v>
      </c>
      <c r="G49" s="26">
        <f>IFERROR(__xludf.DUMMYFUNCTION("""COMPUTED_VALUE"""),1.105147830822949)</f>
        <v>1.105147831</v>
      </c>
      <c r="H49" s="26">
        <f>IFERROR(__xludf.DUMMYFUNCTION("""COMPUTED_VALUE"""),1.096235503259514)</f>
        <v>1.096235503</v>
      </c>
      <c r="I49" s="26">
        <f>IFERROR(__xludf.DUMMYFUNCTION("""COMPUTED_VALUE"""),-0.008912327563435074)</f>
        <v>-0.008912327563</v>
      </c>
      <c r="J49" s="26">
        <f>IFERROR(__xludf.DUMMYFUNCTION("""COMPUTED_VALUE"""),22.87337662)</f>
        <v>22.87337662</v>
      </c>
      <c r="K49" s="26">
        <f>IFERROR(__xludf.DUMMYFUNCTION("""COMPUTED_VALUE"""),0.9087012987)</f>
        <v>0.9087012987</v>
      </c>
      <c r="L49" s="26">
        <f>IFERROR(__xludf.DUMMYFUNCTION("""COMPUTED_VALUE"""),4.593376623)</f>
        <v>4.593376623</v>
      </c>
      <c r="M49" s="26">
        <f>IFERROR(__xludf.DUMMYFUNCTION("""COMPUTED_VALUE"""),4.904805195)</f>
        <v>4.904805195</v>
      </c>
      <c r="N49" s="26">
        <f>IFERROR(__xludf.DUMMYFUNCTION("""COMPUTED_VALUE"""),1.08)</f>
        <v>1.08</v>
      </c>
      <c r="O49" s="26">
        <f>IFERROR(__xludf.DUMMYFUNCTION("""COMPUTED_VALUE"""),0.4702597403)</f>
        <v>0.4702597403</v>
      </c>
      <c r="P49" s="464">
        <f>IFERROR(__xludf.DUMMYFUNCTION("""COMPUTED_VALUE"""),0.4843079597)</f>
        <v>0.4843079597</v>
      </c>
      <c r="Q49" s="464">
        <f>IFERROR(__xludf.DUMMYFUNCTION("""COMPUTED_VALUE"""),0.8590049462)</f>
        <v>0.8590049462</v>
      </c>
      <c r="R49" s="26">
        <f>IFERROR(__xludf.DUMMYFUNCTION("""COMPUTED_VALUE"""),1.712727273)</f>
        <v>1.712727273</v>
      </c>
      <c r="S49" s="26">
        <f>IFERROR(__xludf.DUMMYFUNCTION("""COMPUTED_VALUE"""),0.9706243320793312)</f>
        <v>0.9706243321</v>
      </c>
      <c r="T49" s="26">
        <f>IFERROR(__xludf.DUMMYFUNCTION("""COMPUTED_VALUE"""),-0.833185620290923)</f>
        <v>-0.8331856203</v>
      </c>
      <c r="U49" s="26">
        <f>IFERROR(__xludf.DUMMYFUNCTION("""COMPUTED_VALUE"""),-0.5839244590194571)</f>
        <v>-0.583924459</v>
      </c>
      <c r="V49" s="26">
        <f>IFERROR(__xludf.DUMMYFUNCTION("""COMPUTED_VALUE"""),0.44118268611217343)</f>
        <v>0.4411826861</v>
      </c>
      <c r="W49" s="26">
        <f>IFERROR(__xludf.DUMMYFUNCTION("""COMPUTED_VALUE"""),0.34406459144516316)</f>
        <v>0.3440645914</v>
      </c>
      <c r="X49" s="26">
        <f>IFERROR(__xludf.DUMMYFUNCTION("""COMPUTED_VALUE"""),-0.4965799083634551)</f>
        <v>-0.4965799084</v>
      </c>
      <c r="Y49" s="26">
        <f>IFERROR(__xludf.DUMMYFUNCTION("""COMPUTED_VALUE"""),-0.25191225232023257)</f>
        <v>-0.2519122523</v>
      </c>
      <c r="Z49" s="26">
        <f>IFERROR(__xludf.DUMMYFUNCTION("""COMPUTED_VALUE"""),1.505966133616914)</f>
        <v>1.505966134</v>
      </c>
      <c r="AA49" s="26">
        <f>IFERROR(__xludf.DUMMYFUNCTION("""COMPUTED_VALUE"""),0.0)</f>
        <v>0</v>
      </c>
      <c r="AB49" t="str">
        <f>IFERROR(__xludf.DUMMYFUNCTION("SUBSTITUTE(REGEXREPLACE(REGEXREPLACE(REGEXREPLACE(REGEXREPLACE(REGEXREPLACE(REGEXREPLACE(F49,"","",),IF(Projections!$T$17="""",""PG"",),),IF(Projections!$U$17="""",""SG"",),),IF(Projections!$V$17="""",""SF"",),),IF(Projections!$W$17="""",""PF"",),),IF(Pro"&amp;"jections!$X$17="""",""C"",),),""/"","""")"),"SF")</f>
        <v>SF</v>
      </c>
    </row>
    <row r="50">
      <c r="A50" s="408" t="str">
        <f>IF(Projections!$AB$17,Draft!G12,"")</f>
        <v/>
      </c>
      <c r="B50">
        <f>IFERROR(__xludf.DUMMYFUNCTION("""COMPUTED_VALUE"""),44.0)</f>
        <v>44</v>
      </c>
      <c r="C50">
        <f>IFERROR(__xludf.DUMMYFUNCTION("""COMPUTED_VALUE"""),32.2)</f>
        <v>32.2</v>
      </c>
      <c r="D50" t="str">
        <f>IFERROR(__xludf.DUMMYFUNCTION("""COMPUTED_VALUE"""),"Bam Adebayo")</f>
        <v>Bam Adebayo</v>
      </c>
      <c r="E50">
        <f>IFERROR(__xludf.DUMMYFUNCTION("""COMPUTED_VALUE"""),72.0)</f>
        <v>72</v>
      </c>
      <c r="F50" t="str">
        <f>IFERROR(__xludf.DUMMYFUNCTION("""COMPUTED_VALUE"""),"C")</f>
        <v>C</v>
      </c>
      <c r="G50" s="26">
        <f>IFERROR(__xludf.DUMMYFUNCTION("""COMPUTED_VALUE"""),0.9848735326096558)</f>
        <v>0.9848735326</v>
      </c>
      <c r="H50" s="26">
        <f>IFERROR(__xludf.DUMMYFUNCTION("""COMPUTED_VALUE"""),1.0948598372816498)</f>
        <v>1.094859837</v>
      </c>
      <c r="I50" s="26">
        <f>IFERROR(__xludf.DUMMYFUNCTION("""COMPUTED_VALUE"""),0.109986304671994)</f>
        <v>0.1099863047</v>
      </c>
      <c r="J50" s="26">
        <f>IFERROR(__xludf.DUMMYFUNCTION("""COMPUTED_VALUE"""),17.94493151)</f>
        <v>17.94493151</v>
      </c>
      <c r="K50" s="26">
        <f>IFERROR(__xludf.DUMMYFUNCTION("""COMPUTED_VALUE"""),0.8771232877)</f>
        <v>0.8771232877</v>
      </c>
      <c r="L50" s="26">
        <f>IFERROR(__xludf.DUMMYFUNCTION("""COMPUTED_VALUE"""),9.344383562)</f>
        <v>9.344383562</v>
      </c>
      <c r="M50" s="26">
        <f>IFERROR(__xludf.DUMMYFUNCTION("""COMPUTED_VALUE"""),3.893150685)</f>
        <v>3.893150685</v>
      </c>
      <c r="N50" s="26">
        <f>IFERROR(__xludf.DUMMYFUNCTION("""COMPUTED_VALUE"""),1.243013699)</f>
        <v>1.243013699</v>
      </c>
      <c r="O50" s="26">
        <f>IFERROR(__xludf.DUMMYFUNCTION("""COMPUTED_VALUE"""),0.8901369863)</f>
        <v>0.8901369863</v>
      </c>
      <c r="P50" s="464">
        <f>IFERROR(__xludf.DUMMYFUNCTION("""COMPUTED_VALUE"""),0.5157986357)</f>
        <v>0.5157986357</v>
      </c>
      <c r="Q50" s="464">
        <f>IFERROR(__xludf.DUMMYFUNCTION("""COMPUTED_VALUE"""),0.7400019588)</f>
        <v>0.7400019588</v>
      </c>
      <c r="R50" s="26">
        <f>IFERROR(__xludf.DUMMYFUNCTION("""COMPUTED_VALUE"""),2.192191781)</f>
        <v>2.192191781</v>
      </c>
      <c r="S50" s="26">
        <f>IFERROR(__xludf.DUMMYFUNCTION("""COMPUTED_VALUE"""),0.08224431077064204)</f>
        <v>0.08224431077</v>
      </c>
      <c r="T50" s="26">
        <f>IFERROR(__xludf.DUMMYFUNCTION("""COMPUTED_VALUE"""),-0.8645087506079252)</f>
        <v>-0.8645087506</v>
      </c>
      <c r="U50" s="26">
        <f>IFERROR(__xludf.DUMMYFUNCTION("""COMPUTED_VALUE"""),1.2780284000220776)</f>
        <v>1.2780284</v>
      </c>
      <c r="V50" s="26">
        <f>IFERROR(__xludf.DUMMYFUNCTION("""COMPUTED_VALUE"""),-0.018248484002806153)</f>
        <v>-0.018248484</v>
      </c>
      <c r="W50" s="26">
        <f>IFERROR(__xludf.DUMMYFUNCTION("""COMPUTED_VALUE"""),0.8833649928528501)</f>
        <v>0.8833649929</v>
      </c>
      <c r="X50" s="26">
        <f>IFERROR(__xludf.DUMMYFUNCTION("""COMPUTED_VALUE"""),0.25233322775578876)</f>
        <v>0.2523332278</v>
      </c>
      <c r="Y50" s="26">
        <f>IFERROR(__xludf.DUMMYFUNCTION("""COMPUTED_VALUE"""),0.2920723817743216)</f>
        <v>0.2920723818</v>
      </c>
      <c r="Z50" s="26">
        <f>IFERROR(__xludf.DUMMYFUNCTION("""COMPUTED_VALUE"""),-0.8104262412832989)</f>
        <v>-0.8104262413</v>
      </c>
      <c r="AA50" s="26">
        <f>IFERROR(__xludf.DUMMYFUNCTION("""COMPUTED_VALUE"""),0.0)</f>
        <v>0</v>
      </c>
      <c r="AB50" t="str">
        <f>IFERROR(__xludf.DUMMYFUNCTION("SUBSTITUTE(REGEXREPLACE(REGEXREPLACE(REGEXREPLACE(REGEXREPLACE(REGEXREPLACE(REGEXREPLACE(F50,"","",),IF(Projections!$T$17="""",""PG"",),),IF(Projections!$U$17="""",""SG"",),),IF(Projections!$V$17="""",""SF"",),),IF(Projections!$W$17="""",""PF"",),),IF(Pro"&amp;"jections!$X$17="""",""C"",),),""/"","""")"),"C")</f>
        <v>C</v>
      </c>
    </row>
    <row r="51">
      <c r="A51" s="408" t="str">
        <f>IF(Projections!$AB$17,Draft!G13,"")</f>
        <v/>
      </c>
      <c r="B51">
        <f>IFERROR(__xludf.DUMMYFUNCTION("""COMPUTED_VALUE"""),48.0)</f>
        <v>48</v>
      </c>
      <c r="C51">
        <f>IFERROR(__xludf.DUMMYFUNCTION("""COMPUTED_VALUE"""),35.2)</f>
        <v>35.2</v>
      </c>
      <c r="D51" t="str">
        <f>IFERROR(__xludf.DUMMYFUNCTION("""COMPUTED_VALUE"""),"Ja Morant")</f>
        <v>Ja Morant</v>
      </c>
      <c r="E51">
        <f>IFERROR(__xludf.DUMMYFUNCTION("""COMPUTED_VALUE"""),73.0)</f>
        <v>73</v>
      </c>
      <c r="F51" t="str">
        <f>IFERROR(__xludf.DUMMYFUNCTION("""COMPUTED_VALUE"""),"PG")</f>
        <v>PG</v>
      </c>
      <c r="G51" s="26">
        <f>IFERROR(__xludf.DUMMYFUNCTION("""COMPUTED_VALUE"""),0.6639316044415485)</f>
        <v>0.6639316044</v>
      </c>
      <c r="H51" s="26">
        <f>IFERROR(__xludf.DUMMYFUNCTION("""COMPUTED_VALUE"""),1.071755243406772)</f>
        <v>1.071755243</v>
      </c>
      <c r="I51" s="26">
        <f>IFERROR(__xludf.DUMMYFUNCTION("""COMPUTED_VALUE"""),0.40782363896522356)</f>
        <v>0.407823639</v>
      </c>
      <c r="J51" s="26">
        <f>IFERROR(__xludf.DUMMYFUNCTION("""COMPUTED_VALUE"""),24.52617647)</f>
        <v>24.52617647</v>
      </c>
      <c r="K51" s="26">
        <f>IFERROR(__xludf.DUMMYFUNCTION("""COMPUTED_VALUE"""),1.453382353)</f>
        <v>1.453382353</v>
      </c>
      <c r="L51" s="26">
        <f>IFERROR(__xludf.DUMMYFUNCTION("""COMPUTED_VALUE"""),5.614558824)</f>
        <v>5.614558824</v>
      </c>
      <c r="M51" s="26">
        <f>IFERROR(__xludf.DUMMYFUNCTION("""COMPUTED_VALUE"""),8.3125)</f>
        <v>8.3125</v>
      </c>
      <c r="N51" s="26">
        <f>IFERROR(__xludf.DUMMYFUNCTION("""COMPUTED_VALUE"""),1.020882353)</f>
        <v>1.020882353</v>
      </c>
      <c r="O51" s="26">
        <f>IFERROR(__xludf.DUMMYFUNCTION("""COMPUTED_VALUE"""),0.3602941176)</f>
        <v>0.3602941176</v>
      </c>
      <c r="P51" s="464">
        <f>IFERROR(__xludf.DUMMYFUNCTION("""COMPUTED_VALUE"""),0.4676800162)</f>
        <v>0.4676800162</v>
      </c>
      <c r="Q51" s="464">
        <f>IFERROR(__xludf.DUMMYFUNCTION("""COMPUTED_VALUE"""),0.7739919185)</f>
        <v>0.7739919185</v>
      </c>
      <c r="R51" s="26">
        <f>IFERROR(__xludf.DUMMYFUNCTION("""COMPUTED_VALUE"""),3.393235294)</f>
        <v>3.393235294</v>
      </c>
      <c r="S51" s="26">
        <f>IFERROR(__xludf.DUMMYFUNCTION("""COMPUTED_VALUE"""),1.2685508247540156)</f>
        <v>1.268550825</v>
      </c>
      <c r="T51" s="26">
        <f>IFERROR(__xludf.DUMMYFUNCTION("""COMPUTED_VALUE"""),-0.2929009378566478)</f>
        <v>-0.2929009379</v>
      </c>
      <c r="U51" s="26">
        <f>IFERROR(__xludf.DUMMYFUNCTION("""COMPUTED_VALUE"""),-0.18371600991235357)</f>
        <v>-0.1837160099</v>
      </c>
      <c r="V51" s="26">
        <f>IFERROR(__xludf.DUMMYFUNCTION("""COMPUTED_VALUE"""),1.98874778484918)</f>
        <v>1.988747785</v>
      </c>
      <c r="W51" s="26">
        <f>IFERROR(__xludf.DUMMYFUNCTION("""COMPUTED_VALUE"""),0.14848488892348735)</f>
        <v>0.1484848889</v>
      </c>
      <c r="X51" s="26">
        <f>IFERROR(__xludf.DUMMYFUNCTION("""COMPUTED_VALUE"""),-0.6927198519925093)</f>
        <v>-0.692719852</v>
      </c>
      <c r="Y51" s="26">
        <f>IFERROR(__xludf.DUMMYFUNCTION("""COMPUTED_VALUE"""),-0.6494751247502945)</f>
        <v>-0.6494751248</v>
      </c>
      <c r="Z51" s="26">
        <f>IFERROR(__xludf.DUMMYFUNCTION("""COMPUTED_VALUE"""),-0.515216330608106)</f>
        <v>-0.5152163306</v>
      </c>
      <c r="AA51" s="26">
        <f>IFERROR(__xludf.DUMMYFUNCTION("""COMPUTED_VALUE"""),0.0)</f>
        <v>0</v>
      </c>
      <c r="AB51" t="str">
        <f>IFERROR(__xludf.DUMMYFUNCTION("SUBSTITUTE(REGEXREPLACE(REGEXREPLACE(REGEXREPLACE(REGEXREPLACE(REGEXREPLACE(REGEXREPLACE(F51,"","",),IF(Projections!$T$17="""",""PG"",),),IF(Projections!$U$17="""",""SG"",),),IF(Projections!$V$17="""",""SF"",),),IF(Projections!$W$17="""",""PF"",),),IF(Pro"&amp;"jections!$X$17="""",""C"",),),""/"","""")"),"PG")</f>
        <v>PG</v>
      </c>
    </row>
    <row r="52">
      <c r="A52" s="408" t="str">
        <f>IF(Projections!$AB$17,Draft!G14,"")</f>
        <v/>
      </c>
      <c r="B52">
        <f>IFERROR(__xludf.DUMMYFUNCTION("""COMPUTED_VALUE"""),43.0)</f>
        <v>43</v>
      </c>
      <c r="C52">
        <f>IFERROR(__xludf.DUMMYFUNCTION("""COMPUTED_VALUE"""),27.7)</f>
        <v>27.7</v>
      </c>
      <c r="D52" t="str">
        <f>IFERROR(__xludf.DUMMYFUNCTION("""COMPUTED_VALUE"""),"Alperen Sengün")</f>
        <v>Alperen Sengün</v>
      </c>
      <c r="E52">
        <f>IFERROR(__xludf.DUMMYFUNCTION("""COMPUTED_VALUE"""),55.0)</f>
        <v>55</v>
      </c>
      <c r="F52" t="str">
        <f>IFERROR(__xludf.DUMMYFUNCTION("""COMPUTED_VALUE"""),"SF,PF")</f>
        <v>SF,PF</v>
      </c>
      <c r="G52" s="26">
        <f>IFERROR(__xludf.DUMMYFUNCTION("""COMPUTED_VALUE"""),0.7978128523016272)</f>
        <v>0.7978128523</v>
      </c>
      <c r="H52" s="26">
        <f>IFERROR(__xludf.DUMMYFUNCTION("""COMPUTED_VALUE"""),1.0198666997374608)</f>
        <v>1.0198667</v>
      </c>
      <c r="I52" s="26">
        <f>IFERROR(__xludf.DUMMYFUNCTION("""COMPUTED_VALUE"""),0.22205384743583356)</f>
        <v>0.2220538474</v>
      </c>
      <c r="J52" s="26">
        <f>IFERROR(__xludf.DUMMYFUNCTION("""COMPUTED_VALUE"""),22.21575342)</f>
        <v>22.21575342</v>
      </c>
      <c r="K52" s="26">
        <f>IFERROR(__xludf.DUMMYFUNCTION("""COMPUTED_VALUE"""),0.4330136986)</f>
        <v>0.4330136986</v>
      </c>
      <c r="L52" s="26">
        <f>IFERROR(__xludf.DUMMYFUNCTION("""COMPUTED_VALUE"""),9.860136986)</f>
        <v>9.860136986</v>
      </c>
      <c r="M52" s="26">
        <f>IFERROR(__xludf.DUMMYFUNCTION("""COMPUTED_VALUE"""),5.207808219)</f>
        <v>5.207808219</v>
      </c>
      <c r="N52" s="26">
        <f>IFERROR(__xludf.DUMMYFUNCTION("""COMPUTED_VALUE"""),1.180410959)</f>
        <v>1.180410959</v>
      </c>
      <c r="O52" s="26">
        <f>IFERROR(__xludf.DUMMYFUNCTION("""COMPUTED_VALUE"""),0.8332876712)</f>
        <v>0.8332876712</v>
      </c>
      <c r="P52" s="464">
        <f>IFERROR(__xludf.DUMMYFUNCTION("""COMPUTED_VALUE"""),0.5407574959)</f>
        <v>0.5407574959</v>
      </c>
      <c r="Q52" s="464">
        <f>IFERROR(__xludf.DUMMYFUNCTION("""COMPUTED_VALUE"""),0.6940083726)</f>
        <v>0.6940083726</v>
      </c>
      <c r="R52" s="26">
        <f>IFERROR(__xludf.DUMMYFUNCTION("""COMPUTED_VALUE"""),2.644109589)</f>
        <v>2.644109589</v>
      </c>
      <c r="S52" s="26">
        <f>IFERROR(__xludf.DUMMYFUNCTION("""COMPUTED_VALUE"""),0.8520840421116727)</f>
        <v>0.8520840421</v>
      </c>
      <c r="T52" s="26">
        <f>IFERROR(__xludf.DUMMYFUNCTION("""COMPUTED_VALUE"""),-1.305033726497306)</f>
        <v>-1.305033726</v>
      </c>
      <c r="U52" s="26">
        <f>IFERROR(__xludf.DUMMYFUNCTION("""COMPUTED_VALUE"""),1.4801557752726362)</f>
        <v>1.480155775</v>
      </c>
      <c r="V52" s="26">
        <f>IFERROR(__xludf.DUMMYFUNCTION("""COMPUTED_VALUE"""),0.5787879974992571)</f>
        <v>0.5787879975</v>
      </c>
      <c r="W52" s="26">
        <f>IFERROR(__xludf.DUMMYFUNCTION("""COMPUTED_VALUE"""),0.6762555105312382)</f>
        <v>0.6762555105</v>
      </c>
      <c r="X52" s="26">
        <f>IFERROR(__xludf.DUMMYFUNCTION("""COMPUTED_VALUE"""),0.1509340705893342)</f>
        <v>0.1509340706</v>
      </c>
      <c r="Y52" s="26">
        <f>IFERROR(__xludf.DUMMYFUNCTION("""COMPUTED_VALUE"""),0.815294400615669)</f>
        <v>0.8152944006</v>
      </c>
      <c r="Z52" s="26">
        <f>IFERROR(__xludf.DUMMYFUNCTION("""COMPUTED_VALUE"""),-2.2286113703850403)</f>
        <v>-2.22861137</v>
      </c>
      <c r="AA52" s="26">
        <f>IFERROR(__xludf.DUMMYFUNCTION("""COMPUTED_VALUE"""),0.0)</f>
        <v>0</v>
      </c>
      <c r="AB52" t="str">
        <f>IFERROR(__xludf.DUMMYFUNCTION("SUBSTITUTE(REGEXREPLACE(REGEXREPLACE(REGEXREPLACE(REGEXREPLACE(REGEXREPLACE(REGEXREPLACE(F52,"","",),IF(Projections!$T$17="""",""PG"",),),IF(Projections!$U$17="""",""SG"",),),IF(Projections!$V$17="""",""SF"",),),IF(Projections!$W$17="""",""PF"",),),IF(Pro"&amp;"jections!$X$17="""",""C"",),),""/"","""")"),"SFPF")</f>
        <v>SFPF</v>
      </c>
    </row>
    <row r="53">
      <c r="A53" s="408" t="str">
        <f>IF(Projections!$AB$17,Draft!H3,"")</f>
        <v/>
      </c>
      <c r="B53">
        <f>IFERROR(__xludf.DUMMYFUNCTION("""COMPUTED_VALUE"""),47.0)</f>
        <v>47</v>
      </c>
      <c r="C53">
        <f>IFERROR(__xludf.DUMMYFUNCTION("""COMPUTED_VALUE"""),41.4)</f>
        <v>41.4</v>
      </c>
      <c r="D53" t="str">
        <f>IFERROR(__xludf.DUMMYFUNCTION("""COMPUTED_VALUE"""),"Jalen Johnson")</f>
        <v>Jalen Johnson</v>
      </c>
      <c r="E53">
        <f>IFERROR(__xludf.DUMMYFUNCTION("""COMPUTED_VALUE"""),74.0)</f>
        <v>74</v>
      </c>
      <c r="F53" t="str">
        <f>IFERROR(__xludf.DUMMYFUNCTION("""COMPUTED_VALUE"""),"C")</f>
        <v>C</v>
      </c>
      <c r="G53" s="26">
        <f>IFERROR(__xludf.DUMMYFUNCTION("""COMPUTED_VALUE"""),0.9736096532581026)</f>
        <v>0.9736096533</v>
      </c>
      <c r="H53" s="26">
        <f>IFERROR(__xludf.DUMMYFUNCTION("""COMPUTED_VALUE"""),1.0101165134251815)</f>
        <v>1.010116513</v>
      </c>
      <c r="I53" s="26">
        <f>IFERROR(__xludf.DUMMYFUNCTION("""COMPUTED_VALUE"""),0.036506860167078936)</f>
        <v>0.03650686017</v>
      </c>
      <c r="J53" s="26">
        <f>IFERROR(__xludf.DUMMYFUNCTION("""COMPUTED_VALUE"""),19.71161765)</f>
        <v>19.71161765</v>
      </c>
      <c r="K53" s="26">
        <f>IFERROR(__xludf.DUMMYFUNCTION("""COMPUTED_VALUE"""),1.545588235)</f>
        <v>1.545588235</v>
      </c>
      <c r="L53" s="26">
        <f>IFERROR(__xludf.DUMMYFUNCTION("""COMPUTED_VALUE"""),8.968823529)</f>
        <v>8.968823529</v>
      </c>
      <c r="M53" s="26">
        <f>IFERROR(__xludf.DUMMYFUNCTION("""COMPUTED_VALUE"""),4.375)</f>
        <v>4.375</v>
      </c>
      <c r="N53" s="26">
        <f>IFERROR(__xludf.DUMMYFUNCTION("""COMPUTED_VALUE"""),1.093823529)</f>
        <v>1.093823529</v>
      </c>
      <c r="O53" s="26">
        <f>IFERROR(__xludf.DUMMYFUNCTION("""COMPUTED_VALUE"""),0.8020588235)</f>
        <v>0.8020588235</v>
      </c>
      <c r="P53" s="464">
        <f>IFERROR(__xludf.DUMMYFUNCTION("""COMPUTED_VALUE"""),0.4891252998)</f>
        <v>0.4891252998</v>
      </c>
      <c r="Q53" s="464">
        <f>IFERROR(__xludf.DUMMYFUNCTION("""COMPUTED_VALUE"""),0.7200090847)</f>
        <v>0.7200090847</v>
      </c>
      <c r="R53" s="26">
        <f>IFERROR(__xludf.DUMMYFUNCTION("""COMPUTED_VALUE"""),1.895882353)</f>
        <v>1.895882353</v>
      </c>
      <c r="S53" s="26">
        <f>IFERROR(__xludf.DUMMYFUNCTION("""COMPUTED_VALUE"""),0.40069944939325053)</f>
        <v>0.4006994494</v>
      </c>
      <c r="T53" s="26">
        <f>IFERROR(__xludf.DUMMYFUNCTION("""COMPUTED_VALUE"""),-0.20143929203354236)</f>
        <v>-0.201439292</v>
      </c>
      <c r="U53" s="26">
        <f>IFERROR(__xludf.DUMMYFUNCTION("""COMPUTED_VALUE"""),1.1308437955446804)</f>
        <v>1.130843796</v>
      </c>
      <c r="V53" s="26">
        <f>IFERROR(__xludf.DUMMYFUNCTION("""COMPUTED_VALUE"""),0.2005777975204694)</f>
        <v>0.2005777975</v>
      </c>
      <c r="W53" s="26">
        <f>IFERROR(__xludf.DUMMYFUNCTION("""COMPUTED_VALUE"""),0.38979715738473353)</f>
        <v>0.3897971574</v>
      </c>
      <c r="X53" s="26">
        <f>IFERROR(__xludf.DUMMYFUNCTION("""COMPUTED_VALUE"""),0.09523280434734965)</f>
        <v>0.09523280435</v>
      </c>
      <c r="Y53" s="26">
        <f>IFERROR(__xludf.DUMMYFUNCTION("""COMPUTED_VALUE"""),-0.15291042590809184)</f>
        <v>-0.1529104259</v>
      </c>
      <c r="Z53" s="26">
        <f>IFERROR(__xludf.DUMMYFUNCTION("""COMPUTED_VALUE"""),-0.8526847728236681)</f>
        <v>-0.8526847728</v>
      </c>
      <c r="AA53" s="26">
        <f>IFERROR(__xludf.DUMMYFUNCTION("""COMPUTED_VALUE"""),0.0)</f>
        <v>0</v>
      </c>
      <c r="AB53" t="str">
        <f>IFERROR(__xludf.DUMMYFUNCTION("SUBSTITUTE(REGEXREPLACE(REGEXREPLACE(REGEXREPLACE(REGEXREPLACE(REGEXREPLACE(REGEXREPLACE(F53,"","",),IF(Projections!$T$17="""",""PG"",),),IF(Projections!$U$17="""",""SG"",),),IF(Projections!$V$17="""",""SF"",),),IF(Projections!$W$17="""",""PF"",),),IF(Pro"&amp;"jections!$X$17="""",""C"",),),""/"","""")"),"C")</f>
        <v>C</v>
      </c>
    </row>
    <row r="54">
      <c r="A54" s="408" t="str">
        <f>IF(Projections!$AB$17,Draft!H4,"")</f>
        <v/>
      </c>
      <c r="B54">
        <f>IFERROR(__xludf.DUMMYFUNCTION("""COMPUTED_VALUE"""),46.0)</f>
        <v>46</v>
      </c>
      <c r="C54">
        <f>IFERROR(__xludf.DUMMYFUNCTION("""COMPUTED_VALUE"""),46.1)</f>
        <v>46.1</v>
      </c>
      <c r="D54" t="str">
        <f>IFERROR(__xludf.DUMMYFUNCTION("""COMPUTED_VALUE"""),"Franz Wagner")</f>
        <v>Franz Wagner</v>
      </c>
      <c r="E54">
        <f>IFERROR(__xludf.DUMMYFUNCTION("""COMPUTED_VALUE"""),72.0)</f>
        <v>72</v>
      </c>
      <c r="F54" t="str">
        <f>IFERROR(__xludf.DUMMYFUNCTION("""COMPUTED_VALUE"""),"PG")</f>
        <v>PG</v>
      </c>
      <c r="G54" s="26">
        <f>IFERROR(__xludf.DUMMYFUNCTION("""COMPUTED_VALUE"""),0.9021191865089622)</f>
        <v>0.9021191865</v>
      </c>
      <c r="H54" s="26">
        <f>IFERROR(__xludf.DUMMYFUNCTION("""COMPUTED_VALUE"""),0.8984413509039105)</f>
        <v>0.8984413509</v>
      </c>
      <c r="I54" s="26">
        <f>IFERROR(__xludf.DUMMYFUNCTION("""COMPUTED_VALUE"""),-0.003677835605051638)</f>
        <v>-0.003677835605</v>
      </c>
      <c r="J54" s="26">
        <f>IFERROR(__xludf.DUMMYFUNCTION("""COMPUTED_VALUE"""),21.69534247)</f>
        <v>21.69534247</v>
      </c>
      <c r="K54" s="26">
        <f>IFERROR(__xludf.DUMMYFUNCTION("""COMPUTED_VALUE"""),1.582054795)</f>
        <v>1.582054795</v>
      </c>
      <c r="L54" s="26">
        <f>IFERROR(__xludf.DUMMYFUNCTION("""COMPUTED_VALUE"""),5.201643836)</f>
        <v>5.201643836</v>
      </c>
      <c r="M54" s="26">
        <f>IFERROR(__xludf.DUMMYFUNCTION("""COMPUTED_VALUE"""),3.467808219)</f>
        <v>3.467808219</v>
      </c>
      <c r="N54" s="26">
        <f>IFERROR(__xludf.DUMMYFUNCTION("""COMPUTED_VALUE"""),1.076027397)</f>
        <v>1.076027397</v>
      </c>
      <c r="O54" s="26">
        <f>IFERROR(__xludf.DUMMYFUNCTION("""COMPUTED_VALUE"""),0.3978082192)</f>
        <v>0.3978082192</v>
      </c>
      <c r="P54" s="464">
        <f>IFERROR(__xludf.DUMMYFUNCTION("""COMPUTED_VALUE"""),0.5151407827)</f>
        <v>0.5151407827</v>
      </c>
      <c r="Q54" s="464">
        <f>IFERROR(__xludf.DUMMYFUNCTION("""COMPUTED_VALUE"""),0.8430037907)</f>
        <v>0.8430037907</v>
      </c>
      <c r="R54" s="26">
        <f>IFERROR(__xludf.DUMMYFUNCTION("""COMPUTED_VALUE"""),1.733835616)</f>
        <v>1.733835616</v>
      </c>
      <c r="S54" s="26">
        <f>IFERROR(__xludf.DUMMYFUNCTION("""COMPUTED_VALUE"""),0.7582770339110124)</f>
        <v>0.7582770339</v>
      </c>
      <c r="T54" s="26">
        <f>IFERROR(__xludf.DUMMYFUNCTION("""COMPUTED_VALUE"""),-0.1652670704489475)</f>
        <v>-0.1652670704</v>
      </c>
      <c r="U54" s="26">
        <f>IFERROR(__xludf.DUMMYFUNCTION("""COMPUTED_VALUE"""),-0.34554028260211866)</f>
        <v>-0.3455402826</v>
      </c>
      <c r="V54" s="26">
        <f>IFERROR(__xludf.DUMMYFUNCTION("""COMPUTED_VALUE"""),-0.2114128349964779)</f>
        <v>-0.211412835</v>
      </c>
      <c r="W54" s="26">
        <f>IFERROR(__xludf.DUMMYFUNCTION("""COMPUTED_VALUE"""),0.3309219757896937)</f>
        <v>0.3309219758</v>
      </c>
      <c r="X54" s="26">
        <f>IFERROR(__xludf.DUMMYFUNCTION("""COMPUTED_VALUE"""),-0.6258079063093371)</f>
        <v>-0.6258079063</v>
      </c>
      <c r="Y54" s="26">
        <f>IFERROR(__xludf.DUMMYFUNCTION("""COMPUTED_VALUE"""),0.3220143282391967)</f>
        <v>0.3220143282</v>
      </c>
      <c r="Z54" s="26">
        <f>IFERROR(__xludf.DUMMYFUNCTION("""COMPUTED_VALUE"""),0.835256107320889)</f>
        <v>0.8352561073</v>
      </c>
      <c r="AA54" s="26">
        <f>IFERROR(__xludf.DUMMYFUNCTION("""COMPUTED_VALUE"""),0.0)</f>
        <v>0</v>
      </c>
      <c r="AB54" t="str">
        <f>IFERROR(__xludf.DUMMYFUNCTION("SUBSTITUTE(REGEXREPLACE(REGEXREPLACE(REGEXREPLACE(REGEXREPLACE(REGEXREPLACE(REGEXREPLACE(F54,"","",),IF(Projections!$T$17="""",""PG"",),),IF(Projections!$U$17="""",""SG"",),),IF(Projections!$V$17="""",""SF"",),),IF(Projections!$W$17="""",""PF"",),),IF(Pro"&amp;"jections!$X$17="""",""C"",),),""/"","""")"),"PG")</f>
        <v>PG</v>
      </c>
    </row>
    <row r="55">
      <c r="A55" s="408" t="str">
        <f>IF(Projections!$AB$17,Draft!H5,"")</f>
        <v/>
      </c>
      <c r="B55">
        <f>IFERROR(__xludf.DUMMYFUNCTION("""COMPUTED_VALUE"""),51.0)</f>
        <v>51</v>
      </c>
      <c r="C55">
        <f>IFERROR(__xludf.DUMMYFUNCTION("""COMPUTED_VALUE"""),82.6)</f>
        <v>82.6</v>
      </c>
      <c r="D55" t="str">
        <f>IFERROR(__xludf.DUMMYFUNCTION("""COMPUTED_VALUE"""),"OG Anunoby")</f>
        <v>OG Anunoby</v>
      </c>
      <c r="E55">
        <f>IFERROR(__xludf.DUMMYFUNCTION("""COMPUTED_VALUE"""),69.0)</f>
        <v>69</v>
      </c>
      <c r="F55" t="str">
        <f>IFERROR(__xludf.DUMMYFUNCTION("""COMPUTED_VALUE"""),"SG,SF")</f>
        <v>SG,SF</v>
      </c>
      <c r="G55" s="26">
        <f>IFERROR(__xludf.DUMMYFUNCTION("""COMPUTED_VALUE"""),0.811353023661122)</f>
        <v>0.8113530237</v>
      </c>
      <c r="H55" s="26">
        <f>IFERROR(__xludf.DUMMYFUNCTION("""COMPUTED_VALUE"""),0.7687244084855955)</f>
        <v>0.7687244085</v>
      </c>
      <c r="I55" s="26">
        <f>IFERROR(__xludf.DUMMYFUNCTION("""COMPUTED_VALUE"""),-0.04262861517552652)</f>
        <v>-0.04262861518</v>
      </c>
      <c r="J55" s="26">
        <f>IFERROR(__xludf.DUMMYFUNCTION("""COMPUTED_VALUE"""),15.46573529)</f>
        <v>15.46573529</v>
      </c>
      <c r="K55" s="26">
        <f>IFERROR(__xludf.DUMMYFUNCTION("""COMPUTED_VALUE"""),1.850735294)</f>
        <v>1.850735294</v>
      </c>
      <c r="L55" s="26">
        <f>IFERROR(__xludf.DUMMYFUNCTION("""COMPUTED_VALUE"""),5.183970588)</f>
        <v>5.183970588</v>
      </c>
      <c r="M55" s="26">
        <f>IFERROR(__xludf.DUMMYFUNCTION("""COMPUTED_VALUE"""),1.872058824)</f>
        <v>1.872058824</v>
      </c>
      <c r="N55" s="26">
        <f>IFERROR(__xludf.DUMMYFUNCTION("""COMPUTED_VALUE"""),1.656029412)</f>
        <v>1.656029412</v>
      </c>
      <c r="O55" s="26">
        <f>IFERROR(__xludf.DUMMYFUNCTION("""COMPUTED_VALUE"""),0.8639705882)</f>
        <v>0.8639705882</v>
      </c>
      <c r="P55" s="464">
        <f>IFERROR(__xludf.DUMMYFUNCTION("""COMPUTED_VALUE"""),0.4973988682)</f>
        <v>0.4973988682</v>
      </c>
      <c r="Q55" s="464">
        <f>IFERROR(__xludf.DUMMYFUNCTION("""COMPUTED_VALUE"""),0.7740148758)</f>
        <v>0.7740148758</v>
      </c>
      <c r="R55" s="26">
        <f>IFERROR(__xludf.DUMMYFUNCTION("""COMPUTED_VALUE"""),1.576764706)</f>
        <v>1.576764706</v>
      </c>
      <c r="S55" s="26">
        <f>IFERROR(__xludf.DUMMYFUNCTION("""COMPUTED_VALUE"""),-0.36464478743258877)</f>
        <v>-0.3646447874</v>
      </c>
      <c r="T55" s="26">
        <f>IFERROR(__xludf.DUMMYFUNCTION("""COMPUTED_VALUE"""),0.10124478439251729)</f>
        <v>0.1012447844</v>
      </c>
      <c r="U55" s="26">
        <f>IFERROR(__xludf.DUMMYFUNCTION("""COMPUTED_VALUE"""),-0.35246655214132405)</f>
        <v>-0.3524665521</v>
      </c>
      <c r="V55" s="26">
        <f>IFERROR(__xludf.DUMMYFUNCTION("""COMPUTED_VALUE"""),-0.9361039271709409)</f>
        <v>-0.9361039272</v>
      </c>
      <c r="W55" s="26">
        <f>IFERROR(__xludf.DUMMYFUNCTION("""COMPUTED_VALUE"""),2.249750402023782)</f>
        <v>2.249750402</v>
      </c>
      <c r="X55" s="26">
        <f>IFERROR(__xludf.DUMMYFUNCTION("""COMPUTED_VALUE"""),0.2056615887262813)</f>
        <v>0.2056615887</v>
      </c>
      <c r="Y55" s="26">
        <f>IFERROR(__xludf.DUMMYFUNCTION("""COMPUTED_VALUE"""),0.00216693401655425)</f>
        <v>0.002166934017</v>
      </c>
      <c r="Z55" s="26">
        <f>IFERROR(__xludf.DUMMYFUNCTION("""COMPUTED_VALUE"""),-0.13688403392868534)</f>
        <v>-0.1368840339</v>
      </c>
      <c r="AA55" s="26">
        <f>IFERROR(__xludf.DUMMYFUNCTION("""COMPUTED_VALUE"""),0.0)</f>
        <v>0</v>
      </c>
      <c r="AB55" t="str">
        <f>IFERROR(__xludf.DUMMYFUNCTION("SUBSTITUTE(REGEXREPLACE(REGEXREPLACE(REGEXREPLACE(REGEXREPLACE(REGEXREPLACE(REGEXREPLACE(F55,"","",),IF(Projections!$T$17="""",""PG"",),),IF(Projections!$U$17="""",""SG"",),),IF(Projections!$V$17="""",""SF"",),),IF(Projections!$W$17="""",""PF"",),),IF(Pro"&amp;"jections!$X$17="""",""C"",),),""/"","""")"),"SGSF")</f>
        <v>SGSF</v>
      </c>
    </row>
    <row r="56">
      <c r="A56" s="408" t="str">
        <f>IF(Projections!$AB$17,Draft!H6,"")</f>
        <v/>
      </c>
      <c r="B56">
        <f>IFERROR(__xludf.DUMMYFUNCTION("""COMPUTED_VALUE"""),56.0)</f>
        <v>56</v>
      </c>
      <c r="C56">
        <f>IFERROR(__xludf.DUMMYFUNCTION("""COMPUTED_VALUE"""),86.4)</f>
        <v>86.4</v>
      </c>
      <c r="D56" t="str">
        <f>IFERROR(__xludf.DUMMYFUNCTION("""COMPUTED_VALUE"""),"Jordan Poole")</f>
        <v>Jordan Poole</v>
      </c>
      <c r="E56">
        <f>IFERROR(__xludf.DUMMYFUNCTION("""COMPUTED_VALUE"""),67.0)</f>
        <v>67</v>
      </c>
      <c r="F56" t="str">
        <f>IFERROR(__xludf.DUMMYFUNCTION("""COMPUTED_VALUE"""),"PF,C")</f>
        <v>PF,C</v>
      </c>
      <c r="G56" s="26">
        <f>IFERROR(__xludf.DUMMYFUNCTION("""COMPUTED_VALUE"""),0.3109042917495325)</f>
        <v>0.3109042917</v>
      </c>
      <c r="H56" s="26">
        <f>IFERROR(__xludf.DUMMYFUNCTION("""COMPUTED_VALUE"""),0.6165750149969097)</f>
        <v>0.616575015</v>
      </c>
      <c r="I56" s="26">
        <f>IFERROR(__xludf.DUMMYFUNCTION("""COMPUTED_VALUE"""),0.3056707232473772)</f>
        <v>0.3056707232</v>
      </c>
      <c r="J56" s="26">
        <f>IFERROR(__xludf.DUMMYFUNCTION("""COMPUTED_VALUE"""),19.74415584)</f>
        <v>19.74415584</v>
      </c>
      <c r="K56" s="26">
        <f>IFERROR(__xludf.DUMMYFUNCTION("""COMPUTED_VALUE"""),2.770519481)</f>
        <v>2.770519481</v>
      </c>
      <c r="L56" s="26">
        <f>IFERROR(__xludf.DUMMYFUNCTION("""COMPUTED_VALUE"""),2.911948052)</f>
        <v>2.911948052</v>
      </c>
      <c r="M56" s="26">
        <f>IFERROR(__xludf.DUMMYFUNCTION("""COMPUTED_VALUE"""),6.586623377)</f>
        <v>6.586623377</v>
      </c>
      <c r="N56" s="26">
        <f>IFERROR(__xludf.DUMMYFUNCTION("""COMPUTED_VALUE"""),1.04)</f>
        <v>1.04</v>
      </c>
      <c r="O56" s="26">
        <f>IFERROR(__xludf.DUMMYFUNCTION("""COMPUTED_VALUE"""),0.347012987)</f>
        <v>0.347012987</v>
      </c>
      <c r="P56" s="464">
        <f>IFERROR(__xludf.DUMMYFUNCTION("""COMPUTED_VALUE"""),0.4303583476)</f>
        <v>0.4303583476</v>
      </c>
      <c r="Q56" s="464">
        <f>IFERROR(__xludf.DUMMYFUNCTION("""COMPUTED_VALUE"""),0.8830112306)</f>
        <v>0.8830112306</v>
      </c>
      <c r="R56" s="26">
        <f>IFERROR(__xludf.DUMMYFUNCTION("""COMPUTED_VALUE"""),2.981298701)</f>
        <v>2.981298701</v>
      </c>
      <c r="S56" s="26">
        <f>IFERROR(__xludf.DUMMYFUNCTION("""COMPUTED_VALUE"""),0.40656464161521416)</f>
        <v>0.4065646416</v>
      </c>
      <c r="T56" s="26">
        <f>IFERROR(__xludf.DUMMYFUNCTION("""COMPUTED_VALUE"""),1.0136049692350306)</f>
        <v>1.013604969</v>
      </c>
      <c r="U56" s="26">
        <f>IFERROR(__xludf.DUMMYFUNCTION("""COMPUTED_VALUE"""),-1.2428880798359183)</f>
        <v>-1.24288808</v>
      </c>
      <c r="V56" s="26">
        <f>IFERROR(__xludf.DUMMYFUNCTION("""COMPUTED_VALUE"""),1.2049609203207154)</f>
        <v>1.20496092</v>
      </c>
      <c r="W56" s="26">
        <f>IFERROR(__xludf.DUMMYFUNCTION("""COMPUTED_VALUE"""),0.21173205627394728)</f>
        <v>0.2117320563</v>
      </c>
      <c r="X56" s="26">
        <f>IFERROR(__xludf.DUMMYFUNCTION("""COMPUTED_VALUE"""),-0.7164087116856951)</f>
        <v>-0.7164087117</v>
      </c>
      <c r="Y56" s="26">
        <f>IFERROR(__xludf.DUMMYFUNCTION("""COMPUTED_VALUE"""),-1.273071780543704)</f>
        <v>-1.273071781</v>
      </c>
      <c r="Z56" s="26">
        <f>IFERROR(__xludf.DUMMYFUNCTION("""COMPUTED_VALUE"""),1.0120809996173195)</f>
        <v>1.012081</v>
      </c>
      <c r="AA56" s="26">
        <f>IFERROR(__xludf.DUMMYFUNCTION("""COMPUTED_VALUE"""),0.0)</f>
        <v>0</v>
      </c>
      <c r="AB56" t="str">
        <f>IFERROR(__xludf.DUMMYFUNCTION("SUBSTITUTE(REGEXREPLACE(REGEXREPLACE(REGEXREPLACE(REGEXREPLACE(REGEXREPLACE(REGEXREPLACE(F56,"","",),IF(Projections!$T$17="""",""PG"",),),IF(Projections!$U$17="""",""SG"",),),IF(Projections!$V$17="""",""SF"",),),IF(Projections!$W$17="""",""PF"",),),IF(Pro"&amp;"jections!$X$17="""",""C"",),),""/"","""")"),"PFC")</f>
        <v>PFC</v>
      </c>
    </row>
    <row r="57">
      <c r="A57" s="408" t="str">
        <f>IF(Projections!$AB$17,Draft!H7,"")</f>
        <v/>
      </c>
      <c r="B57">
        <f>IFERROR(__xludf.DUMMYFUNCTION("""COMPUTED_VALUE"""),55.0)</f>
        <v>55</v>
      </c>
      <c r="C57">
        <f>IFERROR(__xludf.DUMMYFUNCTION("""COMPUTED_VALUE"""),63.0)</f>
        <v>63</v>
      </c>
      <c r="D57" t="str">
        <f>IFERROR(__xludf.DUMMYFUNCTION("""COMPUTED_VALUE"""),"Brandon Miller")</f>
        <v>Brandon Miller</v>
      </c>
      <c r="E57">
        <f>IFERROR(__xludf.DUMMYFUNCTION("""COMPUTED_VALUE"""),77.0)</f>
        <v>77</v>
      </c>
      <c r="F57" t="str">
        <f>IFERROR(__xludf.DUMMYFUNCTION("""COMPUTED_VALUE"""),"PF,C")</f>
        <v>PF,C</v>
      </c>
      <c r="G57" s="26">
        <f>IFERROR(__xludf.DUMMYFUNCTION("""COMPUTED_VALUE"""),0.5262078276680535)</f>
        <v>0.5262078277</v>
      </c>
      <c r="H57" s="26">
        <f>IFERROR(__xludf.DUMMYFUNCTION("""COMPUTED_VALUE"""),0.5448823545200843)</f>
        <v>0.5448823545</v>
      </c>
      <c r="I57" s="26">
        <f>IFERROR(__xludf.DUMMYFUNCTION("""COMPUTED_VALUE"""),0.01867452685203075)</f>
        <v>0.01867452685</v>
      </c>
      <c r="J57" s="26">
        <f>IFERROR(__xludf.DUMMYFUNCTION("""COMPUTED_VALUE"""),20.16657534)</f>
        <v>20.16657534</v>
      </c>
      <c r="K57" s="26">
        <f>IFERROR(__xludf.DUMMYFUNCTION("""COMPUTED_VALUE"""),2.994383562)</f>
        <v>2.994383562</v>
      </c>
      <c r="L57" s="26">
        <f>IFERROR(__xludf.DUMMYFUNCTION("""COMPUTED_VALUE"""),4.888219178)</f>
        <v>4.888219178</v>
      </c>
      <c r="M57" s="26">
        <f>IFERROR(__xludf.DUMMYFUNCTION("""COMPUTED_VALUE"""),2.772465753)</f>
        <v>2.772465753</v>
      </c>
      <c r="N57" s="26">
        <f>IFERROR(__xludf.DUMMYFUNCTION("""COMPUTED_VALUE"""),1.10109589)</f>
        <v>1.10109589</v>
      </c>
      <c r="O57" s="26">
        <f>IFERROR(__xludf.DUMMYFUNCTION("""COMPUTED_VALUE"""),0.6538356164)</f>
        <v>0.6538356164</v>
      </c>
      <c r="P57" s="464">
        <f>IFERROR(__xludf.DUMMYFUNCTION("""COMPUTED_VALUE"""),0.4534641689)</f>
        <v>0.4534641689</v>
      </c>
      <c r="Q57" s="464">
        <f>IFERROR(__xludf.DUMMYFUNCTION("""COMPUTED_VALUE"""),0.8320067966)</f>
        <v>0.8320067966</v>
      </c>
      <c r="R57" s="26">
        <f>IFERROR(__xludf.DUMMYFUNCTION("""COMPUTED_VALUE"""),1.823972603)</f>
        <v>1.823972603</v>
      </c>
      <c r="S57" s="26">
        <f>IFERROR(__xludf.DUMMYFUNCTION("""COMPUTED_VALUE"""),0.482708138404855)</f>
        <v>0.4827081384</v>
      </c>
      <c r="T57" s="26">
        <f>IFERROR(__xludf.DUMMYFUNCTION("""COMPUTED_VALUE"""),1.2356621400447731)</f>
        <v>1.23566214</v>
      </c>
      <c r="U57" s="26">
        <f>IFERROR(__xludf.DUMMYFUNCTION("""COMPUTED_VALUE"""),-0.4683735988969688)</f>
        <v>-0.4683735989</v>
      </c>
      <c r="V57" s="26">
        <f>IFERROR(__xludf.DUMMYFUNCTION("""COMPUTED_VALUE"""),-0.5271945565498326)</f>
        <v>-0.5271945565</v>
      </c>
      <c r="W57" s="26">
        <f>IFERROR(__xludf.DUMMYFUNCTION("""COMPUTED_VALUE"""),0.4138564065799907)</f>
        <v>0.4138564066</v>
      </c>
      <c r="X57" s="26">
        <f>IFERROR(__xludf.DUMMYFUNCTION("""COMPUTED_VALUE"""),-0.16914519644317946)</f>
        <v>-0.1691451964</v>
      </c>
      <c r="Y57" s="26">
        <f>IFERROR(__xludf.DUMMYFUNCTION("""COMPUTED_VALUE"""),-0.8211313047593825)</f>
        <v>-0.8211313048</v>
      </c>
      <c r="Z57" s="26">
        <f>IFERROR(__xludf.DUMMYFUNCTION("""COMPUTED_VALUE"""),0.39850032613982894)</f>
        <v>0.3985003261</v>
      </c>
      <c r="AA57" s="26">
        <f>IFERROR(__xludf.DUMMYFUNCTION("""COMPUTED_VALUE"""),0.0)</f>
        <v>0</v>
      </c>
      <c r="AB57" t="str">
        <f>IFERROR(__xludf.DUMMYFUNCTION("SUBSTITUTE(REGEXREPLACE(REGEXREPLACE(REGEXREPLACE(REGEXREPLACE(REGEXREPLACE(REGEXREPLACE(F57,"","",),IF(Projections!$T$17="""",""PG"",),),IF(Projections!$U$17="""",""SG"",),),IF(Projections!$V$17="""",""SF"",),),IF(Projections!$W$17="""",""PF"",),),IF(Pro"&amp;"jections!$X$17="""",""C"",),),""/"","""")"),"PFC")</f>
        <v>PFC</v>
      </c>
    </row>
    <row r="58">
      <c r="A58" s="408" t="str">
        <f>IF(Projections!$AB$17,Draft!H8,"")</f>
        <v/>
      </c>
      <c r="B58">
        <f>IFERROR(__xludf.DUMMYFUNCTION("""COMPUTED_VALUE"""),52.0)</f>
        <v>52</v>
      </c>
      <c r="C58">
        <f>IFERROR(__xludf.DUMMYFUNCTION("""COMPUTED_VALUE"""),72.6)</f>
        <v>72.6</v>
      </c>
      <c r="D58" t="str">
        <f>IFERROR(__xludf.DUMMYFUNCTION("""COMPUTED_VALUE"""),"Bradley Beal")</f>
        <v>Bradley Beal</v>
      </c>
      <c r="E58">
        <f>IFERROR(__xludf.DUMMYFUNCTION("""COMPUTED_VALUE"""),70.0)</f>
        <v>70</v>
      </c>
      <c r="F58" t="str">
        <f>IFERROR(__xludf.DUMMYFUNCTION("""COMPUTED_VALUE"""),"C")</f>
        <v>C</v>
      </c>
      <c r="G58" s="26">
        <f>IFERROR(__xludf.DUMMYFUNCTION("""COMPUTED_VALUE"""),0.46102069151473846)</f>
        <v>0.4610206915</v>
      </c>
      <c r="H58" s="26">
        <f>IFERROR(__xludf.DUMMYFUNCTION("""COMPUTED_VALUE"""),0.5388457514735433)</f>
        <v>0.5388457515</v>
      </c>
      <c r="I58" s="26">
        <f>IFERROR(__xludf.DUMMYFUNCTION("""COMPUTED_VALUE"""),0.07782505995880484)</f>
        <v>0.07782505996</v>
      </c>
      <c r="J58" s="26">
        <f>IFERROR(__xludf.DUMMYFUNCTION("""COMPUTED_VALUE"""),18.40529412)</f>
        <v>18.40529412</v>
      </c>
      <c r="K58" s="26">
        <f>IFERROR(__xludf.DUMMYFUNCTION("""COMPUTED_VALUE"""),2.250735294)</f>
        <v>2.250735294</v>
      </c>
      <c r="L58" s="26">
        <f>IFERROR(__xludf.DUMMYFUNCTION("""COMPUTED_VALUE"""),4.606176471)</f>
        <v>4.606176471</v>
      </c>
      <c r="M58" s="26">
        <f>IFERROR(__xludf.DUMMYFUNCTION("""COMPUTED_VALUE"""),4.675)</f>
        <v>4.675</v>
      </c>
      <c r="N58" s="26">
        <f>IFERROR(__xludf.DUMMYFUNCTION("""COMPUTED_VALUE"""),1.024705882)</f>
        <v>1.024705882</v>
      </c>
      <c r="O58" s="26">
        <f>IFERROR(__xludf.DUMMYFUNCTION("""COMPUTED_VALUE"""),0.5523529412)</f>
        <v>0.5523529412</v>
      </c>
      <c r="P58" s="464">
        <f>IFERROR(__xludf.DUMMYFUNCTION("""COMPUTED_VALUE"""),0.4904101296)</f>
        <v>0.4904101296</v>
      </c>
      <c r="Q58" s="464">
        <f>IFERROR(__xludf.DUMMYFUNCTION("""COMPUTED_VALUE"""),0.8500033632)</f>
        <v>0.8500033632</v>
      </c>
      <c r="R58" s="26">
        <f>IFERROR(__xludf.DUMMYFUNCTION("""COMPUTED_VALUE"""),2.0625)</f>
        <v>2.0625</v>
      </c>
      <c r="S58" s="26">
        <f>IFERROR(__xludf.DUMMYFUNCTION("""COMPUTED_VALUE"""),0.16522726708919672)</f>
        <v>0.1652272671</v>
      </c>
      <c r="T58" s="26">
        <f>IFERROR(__xludf.DUMMYFUNCTION("""COMPUTED_VALUE"""),0.49801620000830393)</f>
        <v>0.4980162</v>
      </c>
      <c r="U58" s="26">
        <f>IFERROR(__xludf.DUMMYFUNCTION("""COMPUTED_VALUE"""),-0.578908109036202)</f>
        <v>-0.578908109</v>
      </c>
      <c r="V58" s="26">
        <f>IFERROR(__xludf.DUMMYFUNCTION("""COMPUTED_VALUE"""),0.3368193203645615)</f>
        <v>0.3368193204</v>
      </c>
      <c r="W58" s="26">
        <f>IFERROR(__xludf.DUMMYFUNCTION("""COMPUTED_VALUE"""),0.16113432107025372)</f>
        <v>0.1611343211</v>
      </c>
      <c r="X58" s="26">
        <f>IFERROR(__xludf.DUMMYFUNCTION("""COMPUTED_VALUE"""),-0.35015454922387906)</f>
        <v>-0.3501545492</v>
      </c>
      <c r="Y58" s="26">
        <f>IFERROR(__xludf.DUMMYFUNCTION("""COMPUTED_VALUE"""),-0.1159062003828041)</f>
        <v>-0.1159062004</v>
      </c>
      <c r="Z58" s="26">
        <f>IFERROR(__xludf.DUMMYFUNCTION("""COMPUTED_VALUE"""),0.4226175015841126)</f>
        <v>0.4226175016</v>
      </c>
      <c r="AA58" s="26">
        <f>IFERROR(__xludf.DUMMYFUNCTION("""COMPUTED_VALUE"""),0.0)</f>
        <v>0</v>
      </c>
      <c r="AB58" t="str">
        <f>IFERROR(__xludf.DUMMYFUNCTION("SUBSTITUTE(REGEXREPLACE(REGEXREPLACE(REGEXREPLACE(REGEXREPLACE(REGEXREPLACE(REGEXREPLACE(F58,"","",),IF(Projections!$T$17="""",""PG"",),),IF(Projections!$U$17="""",""SG"",),),IF(Projections!$V$17="""",""SF"",),),IF(Projections!$W$17="""",""PF"",),),IF(Pro"&amp;"jections!$X$17="""",""C"",),),""/"","""")"),"C")</f>
        <v>C</v>
      </c>
    </row>
    <row r="59">
      <c r="A59" s="408" t="str">
        <f>IF(Projections!$AB$17,Draft!H9,"")</f>
        <v/>
      </c>
      <c r="B59">
        <f>IFERROR(__xludf.DUMMYFUNCTION("""COMPUTED_VALUE"""),54.0)</f>
        <v>54</v>
      </c>
      <c r="C59">
        <f>IFERROR(__xludf.DUMMYFUNCTION("""COMPUTED_VALUE"""),52.7)</f>
        <v>52.7</v>
      </c>
      <c r="D59" t="str">
        <f>IFERROR(__xludf.DUMMYFUNCTION("""COMPUTED_VALUE"""),"Jamal Murray")</f>
        <v>Jamal Murray</v>
      </c>
      <c r="E59">
        <f>IFERROR(__xludf.DUMMYFUNCTION("""COMPUTED_VALUE"""),70.0)</f>
        <v>70</v>
      </c>
      <c r="F59" t="str">
        <f>IFERROR(__xludf.DUMMYFUNCTION("""COMPUTED_VALUE"""),"PF,C")</f>
        <v>PF,C</v>
      </c>
      <c r="G59" s="26">
        <f>IFERROR(__xludf.DUMMYFUNCTION("""COMPUTED_VALUE"""),0.4583660558697513)</f>
        <v>0.4583660559</v>
      </c>
      <c r="H59" s="26">
        <f>IFERROR(__xludf.DUMMYFUNCTION("""COMPUTED_VALUE"""),0.5259436188913249)</f>
        <v>0.5259436189</v>
      </c>
      <c r="I59" s="26">
        <f>IFERROR(__xludf.DUMMYFUNCTION("""COMPUTED_VALUE"""),0.06757756302157358)</f>
        <v>0.06757756302</v>
      </c>
      <c r="J59" s="26">
        <f>IFERROR(__xludf.DUMMYFUNCTION("""COMPUTED_VALUE"""),20.65838235)</f>
        <v>20.65838235</v>
      </c>
      <c r="K59" s="26">
        <f>IFERROR(__xludf.DUMMYFUNCTION("""COMPUTED_VALUE"""),2.414264706)</f>
        <v>2.414264706</v>
      </c>
      <c r="L59" s="26">
        <f>IFERROR(__xludf.DUMMYFUNCTION("""COMPUTED_VALUE"""),3.705588235)</f>
        <v>3.705588235</v>
      </c>
      <c r="M59" s="26">
        <f>IFERROR(__xludf.DUMMYFUNCTION("""COMPUTED_VALUE"""),5.726911765)</f>
        <v>5.726911765</v>
      </c>
      <c r="N59" s="26">
        <f>IFERROR(__xludf.DUMMYFUNCTION("""COMPUTED_VALUE"""),1.016911765)</f>
        <v>1.016911765</v>
      </c>
      <c r="O59" s="26">
        <f>IFERROR(__xludf.DUMMYFUNCTION("""COMPUTED_VALUE"""),0.4716176471)</f>
        <v>0.4716176471</v>
      </c>
      <c r="P59" s="464">
        <f>IFERROR(__xludf.DUMMYFUNCTION("""COMPUTED_VALUE"""),0.4609148311)</f>
        <v>0.4609148311</v>
      </c>
      <c r="Q59" s="464">
        <f>IFERROR(__xludf.DUMMYFUNCTION("""COMPUTED_VALUE"""),0.8399790386)</f>
        <v>0.8399790386</v>
      </c>
      <c r="R59" s="26">
        <f>IFERROR(__xludf.DUMMYFUNCTION("""COMPUTED_VALUE"""),2.021176471)</f>
        <v>2.021176471</v>
      </c>
      <c r="S59" s="26">
        <f>IFERROR(__xludf.DUMMYFUNCTION("""COMPUTED_VALUE"""),0.5713591251302731)</f>
        <v>0.5713591251</v>
      </c>
      <c r="T59" s="26">
        <f>IFERROR(__xludf.DUMMYFUNCTION("""COMPUTED_VALUE"""),0.6602256907434468)</f>
        <v>0.6602256907</v>
      </c>
      <c r="U59" s="26">
        <f>IFERROR(__xludf.DUMMYFUNCTION("""COMPUTED_VALUE"""),-0.9318549395437407)</f>
        <v>-0.9318549395</v>
      </c>
      <c r="V59" s="26">
        <f>IFERROR(__xludf.DUMMYFUNCTION("""COMPUTED_VALUE"""),0.8145328562352844)</f>
        <v>0.8145328562</v>
      </c>
      <c r="W59" s="26">
        <f>IFERROR(__xludf.DUMMYFUNCTION("""COMPUTED_VALUE"""),0.135348939519477)</f>
        <v>0.1353489395</v>
      </c>
      <c r="X59" s="26">
        <f>IFERROR(__xludf.DUMMYFUNCTION("""COMPUTED_VALUE"""),-0.49415788085462076)</f>
        <v>-0.4941578809</v>
      </c>
      <c r="Y59" s="26">
        <f>IFERROR(__xludf.DUMMYFUNCTION("""COMPUTED_VALUE"""),-0.7175029208237195)</f>
        <v>-0.7175029208</v>
      </c>
      <c r="Z59" s="26">
        <f>IFERROR(__xludf.DUMMYFUNCTION("""COMPUTED_VALUE"""),0.4879927484849246)</f>
        <v>0.4879927485</v>
      </c>
      <c r="AA59" s="26">
        <f>IFERROR(__xludf.DUMMYFUNCTION("""COMPUTED_VALUE"""),0.0)</f>
        <v>0</v>
      </c>
      <c r="AB59" t="str">
        <f>IFERROR(__xludf.DUMMYFUNCTION("SUBSTITUTE(REGEXREPLACE(REGEXREPLACE(REGEXREPLACE(REGEXREPLACE(REGEXREPLACE(REGEXREPLACE(F59,"","",),IF(Projections!$T$17="""",""PG"",),),IF(Projections!$U$17="""",""SG"",),),IF(Projections!$V$17="""",""SF"",),),IF(Projections!$W$17="""",""PF"",),),IF(Pro"&amp;"jections!$X$17="""",""C"",),),""/"","""")"),"PFC")</f>
        <v>PFC</v>
      </c>
    </row>
    <row r="60">
      <c r="A60" s="408" t="str">
        <f>IF(Projections!$AB$17,Draft!H10,"")</f>
        <v/>
      </c>
      <c r="B60">
        <f>IFERROR(__xludf.DUMMYFUNCTION("""COMPUTED_VALUE"""),53.0)</f>
        <v>53</v>
      </c>
      <c r="C60">
        <f>IFERROR(__xludf.DUMMYFUNCTION("""COMPUTED_VALUE"""),40.9)</f>
        <v>40.9</v>
      </c>
      <c r="D60" t="str">
        <f>IFERROR(__xludf.DUMMYFUNCTION("""COMPUTED_VALUE"""),"Jaylen Brown")</f>
        <v>Jaylen Brown</v>
      </c>
      <c r="E60">
        <f>IFERROR(__xludf.DUMMYFUNCTION("""COMPUTED_VALUE"""),76.0)</f>
        <v>76</v>
      </c>
      <c r="F60" t="str">
        <f>IFERROR(__xludf.DUMMYFUNCTION("""COMPUTED_VALUE"""),"PG,SG")</f>
        <v>PG,SG</v>
      </c>
      <c r="G60" s="26">
        <f>IFERROR(__xludf.DUMMYFUNCTION("""COMPUTED_VALUE"""),0.2955601473710142)</f>
        <v>0.2955601474</v>
      </c>
      <c r="H60" s="26">
        <f>IFERROR(__xludf.DUMMYFUNCTION("""COMPUTED_VALUE"""),0.42871152461446416)</f>
        <v>0.4287115246</v>
      </c>
      <c r="I60" s="26">
        <f>IFERROR(__xludf.DUMMYFUNCTION("""COMPUTED_VALUE"""),0.13315137724344994)</f>
        <v>0.1331513772</v>
      </c>
      <c r="J60" s="26">
        <f>IFERROR(__xludf.DUMMYFUNCTION("""COMPUTED_VALUE"""),24.40318182)</f>
        <v>24.40318182</v>
      </c>
      <c r="K60" s="26">
        <f>IFERROR(__xludf.DUMMYFUNCTION("""COMPUTED_VALUE"""),2.173939394)</f>
        <v>2.173939394</v>
      </c>
      <c r="L60" s="26">
        <f>IFERROR(__xludf.DUMMYFUNCTION("""COMPUTED_VALUE"""),5.969848485)</f>
        <v>5.969848485</v>
      </c>
      <c r="M60" s="26">
        <f>IFERROR(__xludf.DUMMYFUNCTION("""COMPUTED_VALUE"""),3.331969697)</f>
        <v>3.331969697</v>
      </c>
      <c r="N60" s="26">
        <f>IFERROR(__xludf.DUMMYFUNCTION("""COMPUTED_VALUE"""),1.254393939)</f>
        <v>1.254393939</v>
      </c>
      <c r="O60" s="26">
        <f>IFERROR(__xludf.DUMMYFUNCTION("""COMPUTED_VALUE"""),0.4154545455)</f>
        <v>0.4154545455</v>
      </c>
      <c r="P60" s="464">
        <f>IFERROR(__xludf.DUMMYFUNCTION("""COMPUTED_VALUE"""),0.505456739)</f>
        <v>0.505456739</v>
      </c>
      <c r="Q60" s="464">
        <f>IFERROR(__xludf.DUMMYFUNCTION("""COMPUTED_VALUE"""),0.6979940833)</f>
        <v>0.6979940833</v>
      </c>
      <c r="R60" s="26">
        <f>IFERROR(__xludf.DUMMYFUNCTION("""COMPUTED_VALUE"""),2.285606061)</f>
        <v>2.285606061</v>
      </c>
      <c r="S60" s="26">
        <f>IFERROR(__xludf.DUMMYFUNCTION("""COMPUTED_VALUE"""),1.2463803455563982)</f>
        <v>1.246380346</v>
      </c>
      <c r="T60" s="26">
        <f>IFERROR(__xludf.DUMMYFUNCTION("""COMPUTED_VALUE"""),0.42184015511708295)</f>
        <v>0.4218401551</v>
      </c>
      <c r="U60" s="26">
        <f>IFERROR(__xludf.DUMMYFUNCTION("""COMPUTED_VALUE"""),-0.04447550604011816)</f>
        <v>-0.04447550604</v>
      </c>
      <c r="V60" s="26">
        <f>IFERROR(__xludf.DUMMYFUNCTION("""COMPUTED_VALUE"""),-0.27310232532371376)</f>
        <v>-0.2731023253</v>
      </c>
      <c r="W60" s="26">
        <f>IFERROR(__xludf.DUMMYFUNCTION("""COMPUTED_VALUE"""),0.9210143931042721)</f>
        <v>0.9210143931</v>
      </c>
      <c r="X60" s="26">
        <f>IFERROR(__xludf.DUMMYFUNCTION("""COMPUTED_VALUE"""),-0.5943330748050919)</f>
        <v>-0.5943330748</v>
      </c>
      <c r="Y60" s="26">
        <f>IFERROR(__xludf.DUMMYFUNCTION("""COMPUTED_VALUE"""),0.1822982898507913)</f>
        <v>0.1822982899</v>
      </c>
      <c r="Z60" s="26">
        <f>IFERROR(__xludf.DUMMYFUNCTION("""COMPUTED_VALUE"""),-1.4309107528451566)</f>
        <v>-1.430910753</v>
      </c>
      <c r="AA60" s="26">
        <f>IFERROR(__xludf.DUMMYFUNCTION("""COMPUTED_VALUE"""),0.0)</f>
        <v>0</v>
      </c>
      <c r="AB60" t="str">
        <f>IFERROR(__xludf.DUMMYFUNCTION("SUBSTITUTE(REGEXREPLACE(REGEXREPLACE(REGEXREPLACE(REGEXREPLACE(REGEXREPLACE(REGEXREPLACE(F60,"","",),IF(Projections!$T$17="""",""PG"",),),IF(Projections!$U$17="""",""SG"",),),IF(Projections!$V$17="""",""SF"",),),IF(Projections!$W$17="""",""PF"",),),IF(Pro"&amp;"jections!$X$17="""",""C"",),),""/"","""")"),"PGSG")</f>
        <v>PGSG</v>
      </c>
    </row>
    <row r="61">
      <c r="A61" s="408" t="str">
        <f>IF(Projections!$AB$17,Draft!H11,"")</f>
        <v/>
      </c>
      <c r="B61">
        <f>IFERROR(__xludf.DUMMYFUNCTION("""COMPUTED_VALUE"""),61.0)</f>
        <v>61</v>
      </c>
      <c r="C61">
        <f>IFERROR(__xludf.DUMMYFUNCTION("""COMPUTED_VALUE"""),54.7)</f>
        <v>54.7</v>
      </c>
      <c r="D61" t="str">
        <f>IFERROR(__xludf.DUMMYFUNCTION("""COMPUTED_VALUE"""),"Mikal Bridges")</f>
        <v>Mikal Bridges</v>
      </c>
      <c r="E61">
        <f>IFERROR(__xludf.DUMMYFUNCTION("""COMPUTED_VALUE"""),68.0)</f>
        <v>68</v>
      </c>
      <c r="F61" t="str">
        <f>IFERROR(__xludf.DUMMYFUNCTION("""COMPUTED_VALUE"""),"PG,SG")</f>
        <v>PG,SG</v>
      </c>
      <c r="G61" s="26">
        <f>IFERROR(__xludf.DUMMYFUNCTION("""COMPUTED_VALUE"""),0.3770052017078719)</f>
        <v>0.3770052017</v>
      </c>
      <c r="H61" s="26">
        <f>IFERROR(__xludf.DUMMYFUNCTION("""COMPUTED_VALUE"""),0.3004613827786598)</f>
        <v>0.3004613828</v>
      </c>
      <c r="I61" s="26">
        <f>IFERROR(__xludf.DUMMYFUNCTION("""COMPUTED_VALUE"""),-0.07654381892921208)</f>
        <v>-0.07654381893</v>
      </c>
      <c r="J61" s="26">
        <f>IFERROR(__xludf.DUMMYFUNCTION("""COMPUTED_VALUE"""),19.004625)</f>
        <v>19.004625</v>
      </c>
      <c r="K61" s="26">
        <f>IFERROR(__xludf.DUMMYFUNCTION("""COMPUTED_VALUE"""),3.184875)</f>
        <v>3.184875</v>
      </c>
      <c r="L61" s="26">
        <f>IFERROR(__xludf.DUMMYFUNCTION("""COMPUTED_VALUE"""),4.464)</f>
        <v>4.464</v>
      </c>
      <c r="M61" s="26">
        <f>IFERROR(__xludf.DUMMYFUNCTION("""COMPUTED_VALUE"""),3.168)</f>
        <v>3.168</v>
      </c>
      <c r="N61" s="26">
        <f>IFERROR(__xludf.DUMMYFUNCTION("""COMPUTED_VALUE"""),1.152)</f>
        <v>1.152</v>
      </c>
      <c r="O61" s="26">
        <f>IFERROR(__xludf.DUMMYFUNCTION("""COMPUTED_VALUE"""),0.504)</f>
        <v>0.504</v>
      </c>
      <c r="P61" s="464">
        <f>IFERROR(__xludf.DUMMYFUNCTION("""COMPUTED_VALUE"""),0.4476619441)</f>
        <v>0.4476619441</v>
      </c>
      <c r="Q61" s="464">
        <f>IFERROR(__xludf.DUMMYFUNCTION("""COMPUTED_VALUE"""),0.8300014452)</f>
        <v>0.8300014452</v>
      </c>
      <c r="R61" s="26">
        <f>IFERROR(__xludf.DUMMYFUNCTION("""COMPUTED_VALUE"""),1.44)</f>
        <v>1.44</v>
      </c>
      <c r="S61" s="26">
        <f>IFERROR(__xludf.DUMMYFUNCTION("""COMPUTED_VALUE"""),0.27326003768149326)</f>
        <v>0.2732600377</v>
      </c>
      <c r="T61" s="26">
        <f>IFERROR(__xludf.DUMMYFUNCTION("""COMPUTED_VALUE"""),1.4246160338396403)</f>
        <v>1.424616034</v>
      </c>
      <c r="U61" s="26">
        <f>IFERROR(__xludf.DUMMYFUNCTION("""COMPUTED_VALUE"""),-0.6346280627356605)</f>
        <v>-0.6346280627</v>
      </c>
      <c r="V61" s="26">
        <f>IFERROR(__xludf.DUMMYFUNCTION("""COMPUTED_VALUE"""),-0.34756726272226157)</f>
        <v>-0.3475672627</v>
      </c>
      <c r="W61" s="26">
        <f>IFERROR(__xludf.DUMMYFUNCTION("""COMPUTED_VALUE"""),0.582263154753351)</f>
        <v>0.5822631548</v>
      </c>
      <c r="X61" s="26">
        <f>IFERROR(__xludf.DUMMYFUNCTION("""COMPUTED_VALUE"""),-0.4363991675728367)</f>
        <v>-0.4363991676</v>
      </c>
      <c r="Y61" s="26">
        <f>IFERROR(__xludf.DUMMYFUNCTION("""COMPUTED_VALUE"""),-0.8803374060765898)</f>
        <v>-0.8803374061</v>
      </c>
      <c r="Z61" s="26">
        <f>IFERROR(__xludf.DUMMYFUNCTION("""COMPUTED_VALUE"""),0.31925405561152403)</f>
        <v>0.3192540556</v>
      </c>
      <c r="AA61" s="26">
        <f>IFERROR(__xludf.DUMMYFUNCTION("""COMPUTED_VALUE"""),0.0)</f>
        <v>0</v>
      </c>
      <c r="AB61" t="str">
        <f>IFERROR(__xludf.DUMMYFUNCTION("SUBSTITUTE(REGEXREPLACE(REGEXREPLACE(REGEXREPLACE(REGEXREPLACE(REGEXREPLACE(REGEXREPLACE(F61,"","",),IF(Projections!$T$17="""",""PG"",),),IF(Projections!$U$17="""",""SG"",),),IF(Projections!$V$17="""",""SF"",),),IF(Projections!$W$17="""",""PF"",),),IF(Pro"&amp;"jections!$X$17="""",""C"",),),""/"","""")"),"PGSG")</f>
        <v>PGSG</v>
      </c>
    </row>
    <row r="62">
      <c r="A62" s="408" t="str">
        <f>IF(Projections!$AB$17,Draft!H12,"")</f>
        <v/>
      </c>
      <c r="B62">
        <f>IFERROR(__xludf.DUMMYFUNCTION("""COMPUTED_VALUE"""),50.0)</f>
        <v>50</v>
      </c>
      <c r="C62">
        <f>IFERROR(__xludf.DUMMYFUNCTION("""COMPUTED_VALUE"""),60.8)</f>
        <v>60.8</v>
      </c>
      <c r="D62" t="str">
        <f>IFERROR(__xludf.DUMMYFUNCTION("""COMPUTED_VALUE"""),"Deandre Ayton")</f>
        <v>Deandre Ayton</v>
      </c>
      <c r="E62">
        <f>IFERROR(__xludf.DUMMYFUNCTION("""COMPUTED_VALUE"""),74.0)</f>
        <v>74</v>
      </c>
      <c r="F62" t="str">
        <f>IFERROR(__xludf.DUMMYFUNCTION("""COMPUTED_VALUE"""),"SG,SF")</f>
        <v>SG,SF</v>
      </c>
      <c r="G62" s="26">
        <f>IFERROR(__xludf.DUMMYFUNCTION("""COMPUTED_VALUE"""),0.17022417639622797)</f>
        <v>0.1702241764</v>
      </c>
      <c r="H62" s="26">
        <f>IFERROR(__xludf.DUMMYFUNCTION("""COMPUTED_VALUE"""),0.17543446761275888)</f>
        <v>0.1754344676</v>
      </c>
      <c r="I62" s="26">
        <f>IFERROR(__xludf.DUMMYFUNCTION("""COMPUTED_VALUE"""),0.00521029121653091)</f>
        <v>0.005210291217</v>
      </c>
      <c r="J62" s="26">
        <f>IFERROR(__xludf.DUMMYFUNCTION("""COMPUTED_VALUE"""),17.24596774)</f>
        <v>17.24596774</v>
      </c>
      <c r="K62" s="26">
        <f>IFERROR(__xludf.DUMMYFUNCTION("""COMPUTED_VALUE"""),0.05548387097)</f>
        <v>0.05548387097</v>
      </c>
      <c r="L62" s="26">
        <f>IFERROR(__xludf.DUMMYFUNCTION("""COMPUTED_VALUE"""),11.43451613)</f>
        <v>11.43451613</v>
      </c>
      <c r="M62" s="26">
        <f>IFERROR(__xludf.DUMMYFUNCTION("""COMPUTED_VALUE"""),1.701612903)</f>
        <v>1.701612903</v>
      </c>
      <c r="N62" s="26">
        <f>IFERROR(__xludf.DUMMYFUNCTION("""COMPUTED_VALUE"""),0.8167741935)</f>
        <v>0.8167741935</v>
      </c>
      <c r="O62" s="26">
        <f>IFERROR(__xludf.DUMMYFUNCTION("""COMPUTED_VALUE"""),0.7487096774)</f>
        <v>0.7487096774</v>
      </c>
      <c r="P62" s="464">
        <f>IFERROR(__xludf.DUMMYFUNCTION("""COMPUTED_VALUE"""),0.5743593318)</f>
        <v>0.5743593318</v>
      </c>
      <c r="Q62" s="464">
        <f>IFERROR(__xludf.DUMMYFUNCTION("""COMPUTED_VALUE"""),0.8129488804)</f>
        <v>0.8129488804</v>
      </c>
      <c r="R62" s="26">
        <f>IFERROR(__xludf.DUMMYFUNCTION("""COMPUTED_VALUE"""),1.769677419)</f>
        <v>1.769677419</v>
      </c>
      <c r="S62" s="26">
        <f>IFERROR(__xludf.DUMMYFUNCTION("""COMPUTED_VALUE"""),-0.04374785004833092)</f>
        <v>-0.04374785005</v>
      </c>
      <c r="T62" s="26">
        <f>IFERROR(__xludf.DUMMYFUNCTION("""COMPUTED_VALUE"""),-1.6795163368621533)</f>
        <v>-1.679516337</v>
      </c>
      <c r="U62" s="26">
        <f>IFERROR(__xludf.DUMMYFUNCTION("""COMPUTED_VALUE"""),2.0971659766938897)</f>
        <v>2.097165977</v>
      </c>
      <c r="V62" s="26">
        <f>IFERROR(__xludf.DUMMYFUNCTION("""COMPUTED_VALUE"""),-1.013509966636287)</f>
        <v>-1.013509967</v>
      </c>
      <c r="W62" s="26">
        <f>IFERROR(__xludf.DUMMYFUNCTION("""COMPUTED_VALUE"""),-0.5267688659706592)</f>
        <v>-0.526768866</v>
      </c>
      <c r="X62" s="26">
        <f>IFERROR(__xludf.DUMMYFUNCTION("""COMPUTED_VALUE"""),7.671600091256247E-5)</f>
        <v>0.00007671600091</v>
      </c>
      <c r="Y62" s="26">
        <f>IFERROR(__xludf.DUMMYFUNCTION("""COMPUTED_VALUE"""),1.245335579946604)</f>
        <v>1.24533558</v>
      </c>
      <c r="Z62" s="26">
        <f>IFERROR(__xludf.DUMMYFUNCTION("""COMPUTED_VALUE"""),0.0963992144887829)</f>
        <v>0.09639921449</v>
      </c>
      <c r="AA62" s="26">
        <f>IFERROR(__xludf.DUMMYFUNCTION("""COMPUTED_VALUE"""),0.0)</f>
        <v>0</v>
      </c>
      <c r="AB62" t="str">
        <f>IFERROR(__xludf.DUMMYFUNCTION("SUBSTITUTE(REGEXREPLACE(REGEXREPLACE(REGEXREPLACE(REGEXREPLACE(REGEXREPLACE(REGEXREPLACE(F62,"","",),IF(Projections!$T$17="""",""PG"",),),IF(Projections!$U$17="""",""SG"",),),IF(Projections!$V$17="""",""SF"",),),IF(Projections!$W$17="""",""PF"",),),IF(Pro"&amp;"jections!$X$17="""",""C"",),),""/"","""")"),"SGSF")</f>
        <v>SGSF</v>
      </c>
    </row>
    <row r="63">
      <c r="A63" s="408" t="str">
        <f>IF(Projections!$AB$17,Draft!H13,"")</f>
        <v/>
      </c>
      <c r="B63">
        <f>IFERROR(__xludf.DUMMYFUNCTION("""COMPUTED_VALUE"""),58.0)</f>
        <v>58</v>
      </c>
      <c r="C63">
        <f>IFERROR(__xludf.DUMMYFUNCTION("""COMPUTED_VALUE"""),63.0)</f>
        <v>63</v>
      </c>
      <c r="D63" t="str">
        <f>IFERROR(__xludf.DUMMYFUNCTION("""COMPUTED_VALUE"""),"Zach LaVine")</f>
        <v>Zach LaVine</v>
      </c>
      <c r="E63">
        <f>IFERROR(__xludf.DUMMYFUNCTION("""COMPUTED_VALUE"""),68.0)</f>
        <v>68</v>
      </c>
      <c r="F63" t="str">
        <f>IFERROR(__xludf.DUMMYFUNCTION("""COMPUTED_VALUE"""),"SG,SF")</f>
        <v>SG,SF</v>
      </c>
      <c r="G63" s="26">
        <f>IFERROR(__xludf.DUMMYFUNCTION("""COMPUTED_VALUE"""),0.0721000477387741)</f>
        <v>0.07210004774</v>
      </c>
      <c r="H63" s="26">
        <f>IFERROR(__xludf.DUMMYFUNCTION("""COMPUTED_VALUE"""),0.16994601825416444)</f>
        <v>0.1699460183</v>
      </c>
      <c r="I63" s="26">
        <f>IFERROR(__xludf.DUMMYFUNCTION("""COMPUTED_VALUE"""),0.09784597051539035)</f>
        <v>0.09784597052</v>
      </c>
      <c r="J63" s="26">
        <f>IFERROR(__xludf.DUMMYFUNCTION("""COMPUTED_VALUE"""),21.37235294)</f>
        <v>21.37235294</v>
      </c>
      <c r="K63" s="26">
        <f>IFERROR(__xludf.DUMMYFUNCTION("""COMPUTED_VALUE"""),2.576323529)</f>
        <v>2.576323529</v>
      </c>
      <c r="L63" s="26">
        <f>IFERROR(__xludf.DUMMYFUNCTION("""COMPUTED_VALUE"""),4.787647059)</f>
        <v>4.787647059</v>
      </c>
      <c r="M63" s="26">
        <f>IFERROR(__xludf.DUMMYFUNCTION("""COMPUTED_VALUE"""),3.858823529)</f>
        <v>3.858823529</v>
      </c>
      <c r="N63" s="26">
        <f>IFERROR(__xludf.DUMMYFUNCTION("""COMPUTED_VALUE"""),0.8577941176)</f>
        <v>0.8577941176</v>
      </c>
      <c r="O63" s="26">
        <f>IFERROR(__xludf.DUMMYFUNCTION("""COMPUTED_VALUE"""),0.2857352941)</f>
        <v>0.2857352941</v>
      </c>
      <c r="P63" s="464">
        <f>IFERROR(__xludf.DUMMYFUNCTION("""COMPUTED_VALUE"""),0.4751739668)</f>
        <v>0.4751739668</v>
      </c>
      <c r="Q63" s="464">
        <f>IFERROR(__xludf.DUMMYFUNCTION("""COMPUTED_VALUE"""),0.8489934033)</f>
        <v>0.8489934033</v>
      </c>
      <c r="R63" s="26">
        <f>IFERROR(__xludf.DUMMYFUNCTION("""COMPUTED_VALUE"""),2.143235294)</f>
        <v>2.143235294</v>
      </c>
      <c r="S63" s="26">
        <f>IFERROR(__xludf.DUMMYFUNCTION("""COMPUTED_VALUE"""),0.7000563498738345)</f>
        <v>0.7000563499</v>
      </c>
      <c r="T63" s="26">
        <f>IFERROR(__xludf.DUMMYFUNCTION("""COMPUTED_VALUE"""),0.8209764622802924)</f>
        <v>0.8209764623</v>
      </c>
      <c r="U63" s="26">
        <f>IFERROR(__xludf.DUMMYFUNCTION("""COMPUTED_VALUE"""),-0.5077885159695441)</f>
        <v>-0.507788516</v>
      </c>
      <c r="V63" s="26">
        <f>IFERROR(__xludf.DUMMYFUNCTION("""COMPUTED_VALUE"""),-0.03383776403062866)</f>
        <v>-0.03383776403</v>
      </c>
      <c r="W63" s="26">
        <f>IFERROR(__xludf.DUMMYFUNCTION("""COMPUTED_VALUE"""),-0.3910621022535629)</f>
        <v>-0.3910621023</v>
      </c>
      <c r="X63" s="26">
        <f>IFERROR(__xludf.DUMMYFUNCTION("""COMPUTED_VALUE"""),-0.8257065352783813)</f>
        <v>-0.8257065353</v>
      </c>
      <c r="Y63" s="26">
        <f>IFERROR(__xludf.DUMMYFUNCTION("""COMPUTED_VALUE"""),-0.40910191964407294)</f>
        <v>-0.4091019196</v>
      </c>
      <c r="Z63" s="26">
        <f>IFERROR(__xludf.DUMMYFUNCTION("""COMPUTED_VALUE"""),0.8164100432762275)</f>
        <v>0.8164100433</v>
      </c>
      <c r="AA63" s="26">
        <f>IFERROR(__xludf.DUMMYFUNCTION("""COMPUTED_VALUE"""),0.0)</f>
        <v>0</v>
      </c>
      <c r="AB63" t="str">
        <f>IFERROR(__xludf.DUMMYFUNCTION("SUBSTITUTE(REGEXREPLACE(REGEXREPLACE(REGEXREPLACE(REGEXREPLACE(REGEXREPLACE(REGEXREPLACE(F63,"","",),IF(Projections!$T$17="""",""PG"",),),IF(Projections!$U$17="""",""SG"",),),IF(Projections!$V$17="""",""SF"",),),IF(Projections!$W$17="""",""PF"",),),IF(Pro"&amp;"jections!$X$17="""",""C"",),),""/"","""")"),"SGSF")</f>
        <v>SGSF</v>
      </c>
    </row>
    <row r="64">
      <c r="A64" s="408" t="str">
        <f>IF(Projections!$AB$17,Draft!H14,"")</f>
        <v/>
      </c>
      <c r="B64">
        <f>IFERROR(__xludf.DUMMYFUNCTION("""COMPUTED_VALUE"""),64.0)</f>
        <v>64</v>
      </c>
      <c r="C64">
        <f>IFERROR(__xludf.DUMMYFUNCTION("""COMPUTED_VALUE"""),70.1)</f>
        <v>70.1</v>
      </c>
      <c r="D64" t="str">
        <f>IFERROR(__xludf.DUMMYFUNCTION("""COMPUTED_VALUE"""),"Cam Thomas")</f>
        <v>Cam Thomas</v>
      </c>
      <c r="E64">
        <f>IFERROR(__xludf.DUMMYFUNCTION("""COMPUTED_VALUE"""),72.0)</f>
        <v>72</v>
      </c>
      <c r="F64" t="str">
        <f>IFERROR(__xludf.DUMMYFUNCTION("""COMPUTED_VALUE"""),"PF")</f>
        <v>PF</v>
      </c>
      <c r="G64" s="26">
        <f>IFERROR(__xludf.DUMMYFUNCTION("""COMPUTED_VALUE"""),0.07447527863003793)</f>
        <v>0.07447527863</v>
      </c>
      <c r="H64" s="26">
        <f>IFERROR(__xludf.DUMMYFUNCTION("""COMPUTED_VALUE"""),0.15477166729227232)</f>
        <v>0.1547716673</v>
      </c>
      <c r="I64" s="26">
        <f>IFERROR(__xludf.DUMMYFUNCTION("""COMPUTED_VALUE"""),0.08029638866223439)</f>
        <v>0.08029638866</v>
      </c>
      <c r="J64" s="26">
        <f>IFERROR(__xludf.DUMMYFUNCTION("""COMPUTED_VALUE"""),26.6839726)</f>
        <v>26.6839726</v>
      </c>
      <c r="K64" s="26">
        <f>IFERROR(__xludf.DUMMYFUNCTION("""COMPUTED_VALUE"""),2.650136986)</f>
        <v>2.650136986</v>
      </c>
      <c r="L64" s="26">
        <f>IFERROR(__xludf.DUMMYFUNCTION("""COMPUTED_VALUE"""),3.648630137)</f>
        <v>3.648630137</v>
      </c>
      <c r="M64" s="26">
        <f>IFERROR(__xludf.DUMMYFUNCTION("""COMPUTED_VALUE"""),3.648630137)</f>
        <v>3.648630137</v>
      </c>
      <c r="N64" s="26">
        <f>IFERROR(__xludf.DUMMYFUNCTION("""COMPUTED_VALUE"""),0.7884931507)</f>
        <v>0.7884931507</v>
      </c>
      <c r="O64" s="26">
        <f>IFERROR(__xludf.DUMMYFUNCTION("""COMPUTED_VALUE"""),0.2143835616)</f>
        <v>0.2143835616</v>
      </c>
      <c r="P64" s="464">
        <f>IFERROR(__xludf.DUMMYFUNCTION("""COMPUTED_VALUE"""),0.4314966784)</f>
        <v>0.4314966784</v>
      </c>
      <c r="Q64" s="464">
        <f>IFERROR(__xludf.DUMMYFUNCTION("""COMPUTED_VALUE"""),0.8739976391)</f>
        <v>0.8739976391</v>
      </c>
      <c r="R64" s="26">
        <f>IFERROR(__xludf.DUMMYFUNCTION("""COMPUTED_VALUE"""),2.072465753)</f>
        <v>2.072465753</v>
      </c>
      <c r="S64" s="26">
        <f>IFERROR(__xludf.DUMMYFUNCTION("""COMPUTED_VALUE"""),1.6575057444425112)</f>
        <v>1.657505744</v>
      </c>
      <c r="T64" s="26">
        <f>IFERROR(__xludf.DUMMYFUNCTION("""COMPUTED_VALUE"""),0.8941941368437548)</f>
        <v>0.8941941368</v>
      </c>
      <c r="U64" s="26">
        <f>IFERROR(__xludf.DUMMYFUNCTION("""COMPUTED_VALUE"""),-0.9541772166480107)</f>
        <v>-0.9541772166</v>
      </c>
      <c r="V64" s="26">
        <f>IFERROR(__xludf.DUMMYFUNCTION("""COMPUTED_VALUE"""),-0.12929465675677937)</f>
        <v>-0.1292946568</v>
      </c>
      <c r="W64" s="26">
        <f>IFERROR(__xludf.DUMMYFUNCTION("""COMPUTED_VALUE"""),-0.6203314182459007)</f>
        <v>-0.6203314182</v>
      </c>
      <c r="X64" s="26">
        <f>IFERROR(__xludf.DUMMYFUNCTION("""COMPUTED_VALUE"""),-0.9529728976811594)</f>
        <v>-0.9529728977</v>
      </c>
      <c r="Y64" s="26">
        <f>IFERROR(__xludf.DUMMYFUNCTION("""COMPUTED_VALUE"""),-1.6085493131218536)</f>
        <v>-1.608549313</v>
      </c>
      <c r="Z64" s="26">
        <f>IFERROR(__xludf.DUMMYFUNCTION("""COMPUTED_VALUE"""),1.8683972884597102)</f>
        <v>1.868397288</v>
      </c>
      <c r="AA64" s="26">
        <f>IFERROR(__xludf.DUMMYFUNCTION("""COMPUTED_VALUE"""),0.0)</f>
        <v>0</v>
      </c>
      <c r="AB64" t="str">
        <f>IFERROR(__xludf.DUMMYFUNCTION("SUBSTITUTE(REGEXREPLACE(REGEXREPLACE(REGEXREPLACE(REGEXREPLACE(REGEXREPLACE(REGEXREPLACE(F64,"","",),IF(Projections!$T$17="""",""PG"",),),IF(Projections!$U$17="""",""SG"",),),IF(Projections!$V$17="""",""SF"",),),IF(Projections!$W$17="""",""PF"",),),IF(Pro"&amp;"jections!$X$17="""",""C"",),),""/"","""")"),"PF")</f>
        <v>PF</v>
      </c>
    </row>
    <row r="65">
      <c r="A65" s="408" t="str">
        <f>IF(Projections!$AB$17,Draft!I3,"")</f>
        <v/>
      </c>
      <c r="B65">
        <f>IFERROR(__xludf.DUMMYFUNCTION("""COMPUTED_VALUE"""),57.0)</f>
        <v>57</v>
      </c>
      <c r="C65">
        <f>IFERROR(__xludf.DUMMYFUNCTION("""COMPUTED_VALUE"""),66.6)</f>
        <v>66.6</v>
      </c>
      <c r="D65" t="str">
        <f>IFERROR(__xludf.DUMMYFUNCTION("""COMPUTED_VALUE"""),"Tobias Harris")</f>
        <v>Tobias Harris</v>
      </c>
      <c r="E65">
        <f>IFERROR(__xludf.DUMMYFUNCTION("""COMPUTED_VALUE"""),58.0)</f>
        <v>58</v>
      </c>
      <c r="F65" t="str">
        <f>IFERROR(__xludf.DUMMYFUNCTION("""COMPUTED_VALUE"""),"PG")</f>
        <v>PG</v>
      </c>
      <c r="G65" s="26">
        <f>IFERROR(__xludf.DUMMYFUNCTION("""COMPUTED_VALUE"""),0.2001695813048317)</f>
        <v>0.2001695813</v>
      </c>
      <c r="H65" s="26">
        <f>IFERROR(__xludf.DUMMYFUNCTION("""COMPUTED_VALUE"""),0.1317106594398405)</f>
        <v>0.1317106594</v>
      </c>
      <c r="I65" s="26">
        <f>IFERROR(__xludf.DUMMYFUNCTION("""COMPUTED_VALUE"""),-0.0684589218649912)</f>
        <v>-0.06845892186</v>
      </c>
      <c r="J65" s="26">
        <f>IFERROR(__xludf.DUMMYFUNCTION("""COMPUTED_VALUE"""),18.26835616)</f>
        <v>18.26835616</v>
      </c>
      <c r="K65" s="26">
        <f>IFERROR(__xludf.DUMMYFUNCTION("""COMPUTED_VALUE"""),1.421369863)</f>
        <v>1.421369863</v>
      </c>
      <c r="L65" s="26">
        <f>IFERROR(__xludf.DUMMYFUNCTION("""COMPUTED_VALUE"""),6.942328767)</f>
        <v>6.942328767</v>
      </c>
      <c r="M65" s="26">
        <f>IFERROR(__xludf.DUMMYFUNCTION("""COMPUTED_VALUE"""),3.50630137)</f>
        <v>3.50630137</v>
      </c>
      <c r="N65" s="26">
        <f>IFERROR(__xludf.DUMMYFUNCTION("""COMPUTED_VALUE"""),0.9116438356)</f>
        <v>0.9116438356</v>
      </c>
      <c r="O65" s="26">
        <f>IFERROR(__xludf.DUMMYFUNCTION("""COMPUTED_VALUE"""),0.5609589041)</f>
        <v>0.5609589041</v>
      </c>
      <c r="P65" s="464">
        <f>IFERROR(__xludf.DUMMYFUNCTION("""COMPUTED_VALUE"""),0.4745752973)</f>
        <v>0.4745752973</v>
      </c>
      <c r="Q65" s="464">
        <f>IFERROR(__xludf.DUMMYFUNCTION("""COMPUTED_VALUE"""),0.8790144372)</f>
        <v>0.8790144372</v>
      </c>
      <c r="R65" s="26">
        <f>IFERROR(__xludf.DUMMYFUNCTION("""COMPUTED_VALUE"""),1.47260274)</f>
        <v>1.47260274</v>
      </c>
      <c r="S65" s="26">
        <f>IFERROR(__xludf.DUMMYFUNCTION("""COMPUTED_VALUE"""),0.1405434276413492)</f>
        <v>0.1405434276</v>
      </c>
      <c r="T65" s="26">
        <f>IFERROR(__xludf.DUMMYFUNCTION("""COMPUTED_VALUE"""),-0.3246550402933634)</f>
        <v>-0.3246550403</v>
      </c>
      <c r="U65" s="26">
        <f>IFERROR(__xludf.DUMMYFUNCTION("""COMPUTED_VALUE"""),0.3366463202758291)</f>
        <v>0.3366463203</v>
      </c>
      <c r="V65" s="26">
        <f>IFERROR(__xludf.DUMMYFUNCTION("""COMPUTED_VALUE"""),-0.1939316166254526)</f>
        <v>-0.1939316166</v>
      </c>
      <c r="W65" s="26">
        <f>IFERROR(__xludf.DUMMYFUNCTION("""COMPUTED_VALUE"""),-0.21291035972368688)</f>
        <v>-0.2129103597</v>
      </c>
      <c r="X65" s="26">
        <f>IFERROR(__xludf.DUMMYFUNCTION("""COMPUTED_VALUE"""),-0.3348045422250123)</f>
        <v>-0.3348045422</v>
      </c>
      <c r="Y65" s="26">
        <f>IFERROR(__xludf.DUMMYFUNCTION("""COMPUTED_VALUE"""),-0.37722768570207094)</f>
        <v>-0.3772276857</v>
      </c>
      <c r="Z65" s="26">
        <f>IFERROR(__xludf.DUMMYFUNCTION("""COMPUTED_VALUE"""),1.0980501560922484)</f>
        <v>1.098050156</v>
      </c>
      <c r="AA65" s="26">
        <f>IFERROR(__xludf.DUMMYFUNCTION("""COMPUTED_VALUE"""),0.0)</f>
        <v>0</v>
      </c>
      <c r="AB65" t="str">
        <f>IFERROR(__xludf.DUMMYFUNCTION("SUBSTITUTE(REGEXREPLACE(REGEXREPLACE(REGEXREPLACE(REGEXREPLACE(REGEXREPLACE(REGEXREPLACE(F65,"","",),IF(Projections!$T$17="""",""PG"",),),IF(Projections!$U$17="""",""SG"",),),IF(Projections!$V$17="""",""SF"",),),IF(Projections!$W$17="""",""PF"",),),IF(Pro"&amp;"jections!$X$17="""",""C"",),),""/"","""")"),"PG")</f>
        <v>PG</v>
      </c>
    </row>
    <row r="66">
      <c r="A66" s="408" t="str">
        <f>IF(Projections!$AB$17,Draft!I4,"")</f>
        <v/>
      </c>
      <c r="B66">
        <f>IFERROR(__xludf.DUMMYFUNCTION("""COMPUTED_VALUE"""),63.0)</f>
        <v>63</v>
      </c>
      <c r="C66">
        <f>IFERROR(__xludf.DUMMYFUNCTION("""COMPUTED_VALUE"""),74.0)</f>
        <v>74</v>
      </c>
      <c r="D66" t="str">
        <f>IFERROR(__xludf.DUMMYFUNCTION("""COMPUTED_VALUE"""),"D'Angelo Russell")</f>
        <v>D'Angelo Russell</v>
      </c>
      <c r="E66">
        <f>IFERROR(__xludf.DUMMYFUNCTION("""COMPUTED_VALUE"""),74.0)</f>
        <v>74</v>
      </c>
      <c r="F66" t="str">
        <f>IFERROR(__xludf.DUMMYFUNCTION("""COMPUTED_VALUE"""),"PF,C")</f>
        <v>PF,C</v>
      </c>
      <c r="G66" s="26">
        <f>IFERROR(__xludf.DUMMYFUNCTION("""COMPUTED_VALUE"""),-0.02285435665558465)</f>
        <v>-0.02285435666</v>
      </c>
      <c r="H66" s="26">
        <f>IFERROR(__xludf.DUMMYFUNCTION("""COMPUTED_VALUE"""),0.0668517651944327)</f>
        <v>0.06685176519</v>
      </c>
      <c r="I66" s="26">
        <f>IFERROR(__xludf.DUMMYFUNCTION("""COMPUTED_VALUE"""),0.08970612185001735)</f>
        <v>0.08970612185</v>
      </c>
      <c r="J66" s="26">
        <f>IFERROR(__xludf.DUMMYFUNCTION("""COMPUTED_VALUE"""),17.59767123)</f>
        <v>17.59767123</v>
      </c>
      <c r="K66" s="26">
        <f>IFERROR(__xludf.DUMMYFUNCTION("""COMPUTED_VALUE"""),3.184794521)</f>
        <v>3.184794521</v>
      </c>
      <c r="L66" s="26">
        <f>IFERROR(__xludf.DUMMYFUNCTION("""COMPUTED_VALUE"""),3.395753425)</f>
        <v>3.395753425</v>
      </c>
      <c r="M66" s="26">
        <f>IFERROR(__xludf.DUMMYFUNCTION("""COMPUTED_VALUE"""),6.177808219)</f>
        <v>6.177808219</v>
      </c>
      <c r="N66" s="26">
        <f>IFERROR(__xludf.DUMMYFUNCTION("""COMPUTED_VALUE"""),0.9278082192)</f>
        <v>0.9278082192</v>
      </c>
      <c r="O66" s="26">
        <f>IFERROR(__xludf.DUMMYFUNCTION("""COMPUTED_VALUE"""),0.437260274)</f>
        <v>0.437260274</v>
      </c>
      <c r="P66" s="464">
        <f>IFERROR(__xludf.DUMMYFUNCTION("""COMPUTED_VALUE"""),0.43945023)</f>
        <v>0.43945023</v>
      </c>
      <c r="Q66" s="464">
        <f>IFERROR(__xludf.DUMMYFUNCTION("""COMPUTED_VALUE"""),0.8360202117)</f>
        <v>0.8360202117</v>
      </c>
      <c r="R66" s="26">
        <f>IFERROR(__xludf.DUMMYFUNCTION("""COMPUTED_VALUE"""),2.110410959)</f>
        <v>2.110410959</v>
      </c>
      <c r="S66" s="26">
        <f>IFERROR(__xludf.DUMMYFUNCTION("""COMPUTED_VALUE"""),0.01964868718946314)</f>
        <v>0.01964868719</v>
      </c>
      <c r="T66" s="26">
        <f>IFERROR(__xludf.DUMMYFUNCTION("""COMPUTED_VALUE"""),1.4245362044227472)</f>
        <v>1.424536204</v>
      </c>
      <c r="U66" s="26">
        <f>IFERROR(__xludf.DUMMYFUNCTION("""COMPUTED_VALUE"""),-1.0532813692916032)</f>
        <v>-1.053281369</v>
      </c>
      <c r="V66" s="26">
        <f>IFERROR(__xludf.DUMMYFUNCTION("""COMPUTED_VALUE"""),1.0193022546951551)</f>
        <v>1.019302255</v>
      </c>
      <c r="W66" s="26">
        <f>IFERROR(__xludf.DUMMYFUNCTION("""COMPUTED_VALUE"""),-0.1594335131919861)</f>
        <v>-0.1594335132</v>
      </c>
      <c r="X66" s="26">
        <f>IFERROR(__xludf.DUMMYFUNCTION("""COMPUTED_VALUE"""),-0.5554393346182284)</f>
        <v>-0.5554393346</v>
      </c>
      <c r="Y66" s="26">
        <f>IFERROR(__xludf.DUMMYFUNCTION("""COMPUTED_VALUE"""),-0.9568093594866875)</f>
        <v>-0.9568093595</v>
      </c>
      <c r="Z66" s="26">
        <f>IFERROR(__xludf.DUMMYFUNCTION("""COMPUTED_VALUE"""),0.32832819547557246)</f>
        <v>0.3283281955</v>
      </c>
      <c r="AA66" s="26">
        <f>IFERROR(__xludf.DUMMYFUNCTION("""COMPUTED_VALUE"""),0.0)</f>
        <v>0</v>
      </c>
      <c r="AB66" t="str">
        <f>IFERROR(__xludf.DUMMYFUNCTION("SUBSTITUTE(REGEXREPLACE(REGEXREPLACE(REGEXREPLACE(REGEXREPLACE(REGEXREPLACE(REGEXREPLACE(F66,"","",),IF(Projections!$T$17="""",""PG"",),),IF(Projections!$U$17="""",""SG"",),),IF(Projections!$V$17="""",""SF"",),),IF(Projections!$W$17="""",""PF"",),),IF(Pro"&amp;"jections!$X$17="""",""C"",),),""/"","""")"),"PFC")</f>
        <v>PFC</v>
      </c>
    </row>
    <row r="67">
      <c r="A67" s="408" t="str">
        <f>IF(Projections!$AB$17,Draft!I5,"")</f>
        <v/>
      </c>
      <c r="B67">
        <f>IFERROR(__xludf.DUMMYFUNCTION("""COMPUTED_VALUE"""),59.0)</f>
        <v>59</v>
      </c>
      <c r="C67">
        <f>IFERROR(__xludf.DUMMYFUNCTION("""COMPUTED_VALUE"""),94.9)</f>
        <v>94.9</v>
      </c>
      <c r="D67" t="str">
        <f>IFERROR(__xludf.DUMMYFUNCTION("""COMPUTED_VALUE"""),"Collin Sexton")</f>
        <v>Collin Sexton</v>
      </c>
      <c r="E67">
        <f>IFERROR(__xludf.DUMMYFUNCTION("""COMPUTED_VALUE"""),60.0)</f>
        <v>60</v>
      </c>
      <c r="F67" t="str">
        <f>IFERROR(__xludf.DUMMYFUNCTION("""COMPUTED_VALUE"""),"SF,PF")</f>
        <v>SF,PF</v>
      </c>
      <c r="G67" s="26">
        <f>IFERROR(__xludf.DUMMYFUNCTION("""COMPUTED_VALUE"""),-0.14818505416841513)</f>
        <v>-0.1481850542</v>
      </c>
      <c r="H67" s="26">
        <f>IFERROR(__xludf.DUMMYFUNCTION("""COMPUTED_VALUE"""),0.04643583383698102)</f>
        <v>0.04643583384</v>
      </c>
      <c r="I67" s="26">
        <f>IFERROR(__xludf.DUMMYFUNCTION("""COMPUTED_VALUE"""),0.19462088800539615)</f>
        <v>0.194620888</v>
      </c>
      <c r="J67" s="26">
        <f>IFERROR(__xludf.DUMMYFUNCTION("""COMPUTED_VALUE"""),21.09242424)</f>
        <v>21.09242424</v>
      </c>
      <c r="K67" s="26">
        <f>IFERROR(__xludf.DUMMYFUNCTION("""COMPUTED_VALUE"""),1.707121212)</f>
        <v>1.707121212</v>
      </c>
      <c r="L67" s="26">
        <f>IFERROR(__xludf.DUMMYFUNCTION("""COMPUTED_VALUE"""),2.870151515)</f>
        <v>2.870151515</v>
      </c>
      <c r="M67" s="26">
        <f>IFERROR(__xludf.DUMMYFUNCTION("""COMPUTED_VALUE"""),6.066363636)</f>
        <v>6.066363636</v>
      </c>
      <c r="N67" s="26">
        <f>IFERROR(__xludf.DUMMYFUNCTION("""COMPUTED_VALUE"""),0.9198484848)</f>
        <v>0.9198484848</v>
      </c>
      <c r="O67" s="26">
        <f>IFERROR(__xludf.DUMMYFUNCTION("""COMPUTED_VALUE"""),0.2596969697)</f>
        <v>0.2596969697</v>
      </c>
      <c r="P67" s="464">
        <f>IFERROR(__xludf.DUMMYFUNCTION("""COMPUTED_VALUE"""),0.4962002503)</f>
        <v>0.4962002503</v>
      </c>
      <c r="Q67" s="464">
        <f>IFERROR(__xludf.DUMMYFUNCTION("""COMPUTED_VALUE"""),0.83899415)</f>
        <v>0.83899415</v>
      </c>
      <c r="R67" s="26">
        <f>IFERROR(__xludf.DUMMYFUNCTION("""COMPUTED_VALUE"""),2.533484848)</f>
        <v>2.533484848</v>
      </c>
      <c r="S67" s="26">
        <f>IFERROR(__xludf.DUMMYFUNCTION("""COMPUTED_VALUE"""),0.6495976232530742)</f>
        <v>0.6495976233</v>
      </c>
      <c r="T67" s="26">
        <f>IFERROR(__xludf.DUMMYFUNCTION("""COMPUTED_VALUE"""),-0.041210122151236636)</f>
        <v>-0.04121012215</v>
      </c>
      <c r="U67" s="26">
        <f>IFERROR(__xludf.DUMMYFUNCTION("""COMPUTED_VALUE"""),-1.2592684351088925)</f>
        <v>-1.259268435</v>
      </c>
      <c r="V67" s="26">
        <f>IFERROR(__xludf.DUMMYFUNCTION("""COMPUTED_VALUE"""),0.9686909890263391)</f>
        <v>0.968690989</v>
      </c>
      <c r="W67" s="26">
        <f>IFERROR(__xludf.DUMMYFUNCTION("""COMPUTED_VALUE"""),-0.18576680900302442)</f>
        <v>-0.185766809</v>
      </c>
      <c r="X67" s="26">
        <f>IFERROR(__xludf.DUMMYFUNCTION("""COMPUTED_VALUE"""),-0.872149735931589)</f>
        <v>-0.8721497359</v>
      </c>
      <c r="Y67" s="26">
        <f>IFERROR(__xludf.DUMMYFUNCTION("""COMPUTED_VALUE"""),-0.018418633419597843)</f>
        <v>-0.01841863342</v>
      </c>
      <c r="Z67" s="26">
        <f>IFERROR(__xludf.DUMMYFUNCTION("""COMPUTED_VALUE"""),0.8049609571719081)</f>
        <v>0.8049609572</v>
      </c>
      <c r="AA67" s="26">
        <f>IFERROR(__xludf.DUMMYFUNCTION("""COMPUTED_VALUE"""),0.0)</f>
        <v>0</v>
      </c>
      <c r="AB67" t="str">
        <f>IFERROR(__xludf.DUMMYFUNCTION("SUBSTITUTE(REGEXREPLACE(REGEXREPLACE(REGEXREPLACE(REGEXREPLACE(REGEXREPLACE(REGEXREPLACE(F67,"","",),IF(Projections!$T$17="""",""PG"",),),IF(Projections!$U$17="""",""SG"",),),IF(Projections!$V$17="""",""SF"",),),IF(Projections!$W$17="""",""PF"",),),IF(Pro"&amp;"jections!$X$17="""",""C"",),),""/"","""")"),"SFPF")</f>
        <v>SFPF</v>
      </c>
    </row>
    <row r="68">
      <c r="A68" s="408" t="str">
        <f>IF(Projections!$AB$17,Draft!I6,"")</f>
        <v/>
      </c>
      <c r="B68">
        <f>IFERROR(__xludf.DUMMYFUNCTION("""COMPUTED_VALUE"""),65.0)</f>
        <v>65</v>
      </c>
      <c r="C68">
        <f>IFERROR(__xludf.DUMMYFUNCTION("""COMPUTED_VALUE"""),96.7)</f>
        <v>96.7</v>
      </c>
      <c r="D68" t="str">
        <f>IFERROR(__xludf.DUMMYFUNCTION("""COMPUTED_VALUE"""),"Trey Murphy III")</f>
        <v>Trey Murphy III</v>
      </c>
      <c r="E68">
        <f>IFERROR(__xludf.DUMMYFUNCTION("""COMPUTED_VALUE"""),65.0)</f>
        <v>65</v>
      </c>
      <c r="F68" t="str">
        <f>IFERROR(__xludf.DUMMYFUNCTION("""COMPUTED_VALUE"""),"PG,SG")</f>
        <v>PG,SG</v>
      </c>
      <c r="G68" s="26">
        <f>IFERROR(__xludf.DUMMYFUNCTION("""COMPUTED_VALUE"""),0.21529656780423906)</f>
        <v>0.2152965678</v>
      </c>
      <c r="H68" s="26">
        <f>IFERROR(__xludf.DUMMYFUNCTION("""COMPUTED_VALUE"""),-0.07490722085684065)</f>
        <v>-0.07490722086</v>
      </c>
      <c r="I68" s="26">
        <f>IFERROR(__xludf.DUMMYFUNCTION("""COMPUTED_VALUE"""),-0.2902037886610797)</f>
        <v>-0.2902037887</v>
      </c>
      <c r="J68" s="26">
        <f>IFERROR(__xludf.DUMMYFUNCTION("""COMPUTED_VALUE"""),16.47492754)</f>
        <v>16.47492754</v>
      </c>
      <c r="K68" s="26">
        <f>IFERROR(__xludf.DUMMYFUNCTION("""COMPUTED_VALUE"""),3.33884058)</f>
        <v>3.33884058</v>
      </c>
      <c r="L68" s="26">
        <f>IFERROR(__xludf.DUMMYFUNCTION("""COMPUTED_VALUE"""),5.754347826)</f>
        <v>5.754347826</v>
      </c>
      <c r="M68" s="26">
        <f>IFERROR(__xludf.DUMMYFUNCTION("""COMPUTED_VALUE"""),2.045942029)</f>
        <v>2.045942029</v>
      </c>
      <c r="N68" s="26">
        <f>IFERROR(__xludf.DUMMYFUNCTION("""COMPUTED_VALUE"""),1.013913043)</f>
        <v>1.013913043</v>
      </c>
      <c r="O68" s="26">
        <f>IFERROR(__xludf.DUMMYFUNCTION("""COMPUTED_VALUE"""),0.4475362319)</f>
        <v>0.4475362319</v>
      </c>
      <c r="P68" s="464">
        <f>IFERROR(__xludf.DUMMYFUNCTION("""COMPUTED_VALUE"""),0.4493969521)</f>
        <v>0.4493969521</v>
      </c>
      <c r="Q68" s="464">
        <f>IFERROR(__xludf.DUMMYFUNCTION("""COMPUTED_VALUE"""),0.8500216315)</f>
        <v>0.8500216315</v>
      </c>
      <c r="R68" s="26">
        <f>IFERROR(__xludf.DUMMYFUNCTION("""COMPUTED_VALUE"""),0.5784057971)</f>
        <v>0.5784057971</v>
      </c>
      <c r="S68" s="26">
        <f>IFERROR(__xludf.DUMMYFUNCTION("""COMPUTED_VALUE"""),-0.18273219379520844)</f>
        <v>-0.1827321938</v>
      </c>
      <c r="T68" s="26">
        <f>IFERROR(__xludf.DUMMYFUNCTION("""COMPUTED_VALUE"""),1.5773388866714042)</f>
        <v>1.577338887</v>
      </c>
      <c r="U68" s="26">
        <f>IFERROR(__xludf.DUMMYFUNCTION("""COMPUTED_VALUE"""),-0.12893172201753386)</f>
        <v>-0.128931722</v>
      </c>
      <c r="V68" s="26">
        <f>IFERROR(__xludf.DUMMYFUNCTION("""COMPUTED_VALUE"""),-0.8571368850169025)</f>
        <v>-0.857136885</v>
      </c>
      <c r="W68" s="26">
        <f>IFERROR(__xludf.DUMMYFUNCTION("""COMPUTED_VALUE"""),0.12542822740613505)</f>
        <v>0.1254282274</v>
      </c>
      <c r="X68" s="26">
        <f>IFERROR(__xludf.DUMMYFUNCTION("""COMPUTED_VALUE"""),-0.5371106446717426)</f>
        <v>-0.5371106447</v>
      </c>
      <c r="Y68" s="26">
        <f>IFERROR(__xludf.DUMMYFUNCTION("""COMPUTED_VALUE"""),-0.6547434775747677)</f>
        <v>-0.6547434776</v>
      </c>
      <c r="Z68" s="26">
        <f>IFERROR(__xludf.DUMMYFUNCTION("""COMPUTED_VALUE"""),0.5829805881417753)</f>
        <v>0.5829805881</v>
      </c>
      <c r="AA68" s="26">
        <f>IFERROR(__xludf.DUMMYFUNCTION("""COMPUTED_VALUE"""),0.0)</f>
        <v>0</v>
      </c>
      <c r="AB68" t="str">
        <f>IFERROR(__xludf.DUMMYFUNCTION("SUBSTITUTE(REGEXREPLACE(REGEXREPLACE(REGEXREPLACE(REGEXREPLACE(REGEXREPLACE(REGEXREPLACE(F68,"","",),IF(Projections!$T$17="""",""PG"",),),IF(Projections!$U$17="""",""SG"",),),IF(Projections!$V$17="""",""SF"",),),IF(Projections!$W$17="""",""PF"",),),IF(Pro"&amp;"jections!$X$17="""",""C"",),),""/"","""")"),"PGSG")</f>
        <v>PGSG</v>
      </c>
    </row>
    <row r="69">
      <c r="A69" s="408" t="str">
        <f>IF(Projections!$AB$17,Draft!I7,"")</f>
        <v/>
      </c>
      <c r="B69">
        <f>IFERROR(__xludf.DUMMYFUNCTION("""COMPUTED_VALUE"""),67.0)</f>
        <v>67</v>
      </c>
      <c r="C69">
        <f>IFERROR(__xludf.DUMMYFUNCTION("""COMPUTED_VALUE"""),101.8)</f>
        <v>101.8</v>
      </c>
      <c r="D69" t="str">
        <f>IFERROR(__xludf.DUMMYFUNCTION("""COMPUTED_VALUE"""),"Jalen Suggs")</f>
        <v>Jalen Suggs</v>
      </c>
      <c r="E69">
        <f>IFERROR(__xludf.DUMMYFUNCTION("""COMPUTED_VALUE"""),66.0)</f>
        <v>66</v>
      </c>
      <c r="F69" t="str">
        <f>IFERROR(__xludf.DUMMYFUNCTION("""COMPUTED_VALUE"""),"SF,PF")</f>
        <v>SF,PF</v>
      </c>
      <c r="G69" s="26">
        <f>IFERROR(__xludf.DUMMYFUNCTION("""COMPUTED_VALUE"""),-0.2420519162141398)</f>
        <v>-0.2420519162</v>
      </c>
      <c r="H69" s="26">
        <f>IFERROR(__xludf.DUMMYFUNCTION("""COMPUTED_VALUE"""),-0.2106505705132986)</f>
        <v>-0.2106505705</v>
      </c>
      <c r="I69" s="26">
        <f>IFERROR(__xludf.DUMMYFUNCTION("""COMPUTED_VALUE"""),0.03140134570084119)</f>
        <v>0.0314013457</v>
      </c>
      <c r="J69" s="26">
        <f>IFERROR(__xludf.DUMMYFUNCTION("""COMPUTED_VALUE"""),13.48)</f>
        <v>13.48</v>
      </c>
      <c r="K69" s="26">
        <f>IFERROR(__xludf.DUMMYFUNCTION("""COMPUTED_VALUE"""),2.01)</f>
        <v>2.01</v>
      </c>
      <c r="L69" s="26">
        <f>IFERROR(__xludf.DUMMYFUNCTION("""COMPUTED_VALUE"""),3.398970588)</f>
        <v>3.398970588</v>
      </c>
      <c r="M69" s="26">
        <f>IFERROR(__xludf.DUMMYFUNCTION("""COMPUTED_VALUE"""),4.453970588)</f>
        <v>4.453970588</v>
      </c>
      <c r="N69" s="26">
        <f>IFERROR(__xludf.DUMMYFUNCTION("""COMPUTED_VALUE"""),1.540441176)</f>
        <v>1.540441176</v>
      </c>
      <c r="O69" s="26">
        <f>IFERROR(__xludf.DUMMYFUNCTION("""COMPUTED_VALUE"""),0.64)</f>
        <v>0.64</v>
      </c>
      <c r="P69" s="464">
        <f>IFERROR(__xludf.DUMMYFUNCTION("""COMPUTED_VALUE"""),0.4743023035)</f>
        <v>0.4743023035</v>
      </c>
      <c r="Q69" s="464">
        <f>IFERROR(__xludf.DUMMYFUNCTION("""COMPUTED_VALUE"""),0.7570028011)</f>
        <v>0.7570028011</v>
      </c>
      <c r="R69" s="26">
        <f>IFERROR(__xludf.DUMMYFUNCTION("""COMPUTED_VALUE"""),1.875294118)</f>
        <v>1.875294118</v>
      </c>
      <c r="S69" s="26">
        <f>IFERROR(__xludf.DUMMYFUNCTION("""COMPUTED_VALUE"""),-0.7225847705043725)</f>
        <v>-0.7225847705</v>
      </c>
      <c r="T69" s="26">
        <f>IFERROR(__xludf.DUMMYFUNCTION("""COMPUTED_VALUE"""),0.25922399153564724)</f>
        <v>0.2592239915</v>
      </c>
      <c r="U69" s="26">
        <f>IFERROR(__xludf.DUMMYFUNCTION("""COMPUTED_VALUE"""),-1.0520205406035454)</f>
        <v>-1.052020541</v>
      </c>
      <c r="V69" s="26">
        <f>IFERROR(__xludf.DUMMYFUNCTION("""COMPUTED_VALUE"""),0.23644137475051397)</f>
        <v>0.2364413748</v>
      </c>
      <c r="W69" s="26">
        <f>IFERROR(__xludf.DUMMYFUNCTION("""COMPUTED_VALUE"""),1.8673482943775621)</f>
        <v>1.867348294</v>
      </c>
      <c r="X69" s="26">
        <f>IFERROR(__xludf.DUMMYFUNCTION("""COMPUTED_VALUE"""),-0.19382306352690046)</f>
        <v>-0.1938230635</v>
      </c>
      <c r="Y69" s="26">
        <f>IFERROR(__xludf.DUMMYFUNCTION("""COMPUTED_VALUE"""),-0.2690268160442196)</f>
        <v>-0.269026816</v>
      </c>
      <c r="Z69" s="26">
        <f>IFERROR(__xludf.DUMMYFUNCTION("""COMPUTED_VALUE"""),-0.336209040497984)</f>
        <v>-0.3362090405</v>
      </c>
      <c r="AA69" s="26">
        <f>IFERROR(__xludf.DUMMYFUNCTION("""COMPUTED_VALUE"""),0.0)</f>
        <v>0</v>
      </c>
      <c r="AB69" t="str">
        <f>IFERROR(__xludf.DUMMYFUNCTION("SUBSTITUTE(REGEXREPLACE(REGEXREPLACE(REGEXREPLACE(REGEXREPLACE(REGEXREPLACE(REGEXREPLACE(F69,"","",),IF(Projections!$T$17="""",""PG"",),),IF(Projections!$U$17="""",""SG"",),),IF(Projections!$V$17="""",""SF"",),),IF(Projections!$W$17="""",""PF"",),),IF(Pro"&amp;"jections!$X$17="""",""C"",),),""/"","""")"),"SFPF")</f>
        <v>SFPF</v>
      </c>
    </row>
    <row r="70">
      <c r="A70" s="408" t="str">
        <f>IF(Projections!$AB$17,Draft!I8,"")</f>
        <v/>
      </c>
      <c r="B70">
        <f>IFERROR(__xludf.DUMMYFUNCTION("""COMPUTED_VALUE"""),68.0)</f>
        <v>68</v>
      </c>
      <c r="C70">
        <f>IFERROR(__xludf.DUMMYFUNCTION("""COMPUTED_VALUE"""),102.0)</f>
        <v>102</v>
      </c>
      <c r="D70" t="str">
        <f>IFERROR(__xludf.DUMMYFUNCTION("""COMPUTED_VALUE"""),"Alex Caruso")</f>
        <v>Alex Caruso</v>
      </c>
      <c r="E70">
        <f>IFERROR(__xludf.DUMMYFUNCTION("""COMPUTED_VALUE"""),76.0)</f>
        <v>76</v>
      </c>
      <c r="F70" t="str">
        <f>IFERROR(__xludf.DUMMYFUNCTION("""COMPUTED_VALUE"""),"SG,SF")</f>
        <v>SG,SF</v>
      </c>
      <c r="G70" s="26">
        <f>IFERROR(__xludf.DUMMYFUNCTION("""COMPUTED_VALUE"""),-0.1474799882305675)</f>
        <v>-0.1474799882</v>
      </c>
      <c r="H70" s="26">
        <f>IFERROR(__xludf.DUMMYFUNCTION("""COMPUTED_VALUE"""),-0.22756119940538141)</f>
        <v>-0.2275611994</v>
      </c>
      <c r="I70" s="26">
        <f>IFERROR(__xludf.DUMMYFUNCTION("""COMPUTED_VALUE"""),-0.08008121117481393)</f>
        <v>-0.08008121117</v>
      </c>
      <c r="J70" s="26">
        <f>IFERROR(__xludf.DUMMYFUNCTION("""COMPUTED_VALUE"""),8.978088235)</f>
        <v>8.978088235</v>
      </c>
      <c r="K70" s="26">
        <f>IFERROR(__xludf.DUMMYFUNCTION("""COMPUTED_VALUE"""),1.822647059)</f>
        <v>1.822647059</v>
      </c>
      <c r="L70" s="26">
        <f>IFERROR(__xludf.DUMMYFUNCTION("""COMPUTED_VALUE"""),3.770735294)</f>
        <v>3.770735294</v>
      </c>
      <c r="M70" s="26">
        <f>IFERROR(__xludf.DUMMYFUNCTION("""COMPUTED_VALUE"""),3.829558824)</f>
        <v>3.829558824</v>
      </c>
      <c r="N70" s="26">
        <f>IFERROR(__xludf.DUMMYFUNCTION("""COMPUTED_VALUE"""),1.8)</f>
        <v>1.8</v>
      </c>
      <c r="O70" s="26">
        <f>IFERROR(__xludf.DUMMYFUNCTION("""COMPUTED_VALUE"""),0.7658823529)</f>
        <v>0.7658823529</v>
      </c>
      <c r="P70" s="464">
        <f>IFERROR(__xludf.DUMMYFUNCTION("""COMPUTED_VALUE"""),0.4395757015)</f>
        <v>0.4395757015</v>
      </c>
      <c r="Q70" s="464">
        <f>IFERROR(__xludf.DUMMYFUNCTION("""COMPUTED_VALUE"""),0.7709817281)</f>
        <v>0.7709817281</v>
      </c>
      <c r="R70" s="26">
        <f>IFERROR(__xludf.DUMMYFUNCTION("""COMPUTED_VALUE"""),1.425735294)</f>
        <v>1.425735294</v>
      </c>
      <c r="S70" s="26">
        <f>IFERROR(__xludf.DUMMYFUNCTION("""COMPUTED_VALUE"""),-1.5340797512652602)</f>
        <v>-1.534079751</v>
      </c>
      <c r="T70" s="26">
        <f>IFERROR(__xludf.DUMMYFUNCTION("""COMPUTED_VALUE"""),0.07338326248477006)</f>
        <v>0.07338326248</v>
      </c>
      <c r="U70" s="26">
        <f>IFERROR(__xludf.DUMMYFUNCTION("""COMPUTED_VALUE"""),-0.9063233513308366)</f>
        <v>-0.9063233513</v>
      </c>
      <c r="V70" s="26">
        <f>IFERROR(__xludf.DUMMYFUNCTION("""COMPUTED_VALUE"""),-0.04712799061323911)</f>
        <v>-0.04712799061</v>
      </c>
      <c r="W70" s="26">
        <f>IFERROR(__xludf.DUMMYFUNCTION("""COMPUTED_VALUE"""),2.726050224527047)</f>
        <v>2.726050225</v>
      </c>
      <c r="X70" s="26">
        <f>IFERROR(__xludf.DUMMYFUNCTION("""COMPUTED_VALUE"""),0.03070672128646459)</f>
        <v>0.03070672129</v>
      </c>
      <c r="Y70" s="26">
        <f>IFERROR(__xludf.DUMMYFUNCTION("""COMPUTED_VALUE"""),-0.4901030456077578)</f>
        <v>-0.4901030456</v>
      </c>
      <c r="Z70" s="26">
        <f>IFERROR(__xludf.DUMMYFUNCTION("""COMPUTED_VALUE"""),-0.08006726888656937)</f>
        <v>-0.08006726889</v>
      </c>
      <c r="AA70" s="26">
        <f>IFERROR(__xludf.DUMMYFUNCTION("""COMPUTED_VALUE"""),0.0)</f>
        <v>0</v>
      </c>
      <c r="AB70" t="str">
        <f>IFERROR(__xludf.DUMMYFUNCTION("SUBSTITUTE(REGEXREPLACE(REGEXREPLACE(REGEXREPLACE(REGEXREPLACE(REGEXREPLACE(REGEXREPLACE(F70,"","",),IF(Projections!$T$17="""",""PG"",),),IF(Projections!$U$17="""",""SG"",),),IF(Projections!$V$17="""",""SF"",),),IF(Projections!$W$17="""",""PF"",),),IF(Pro"&amp;"jections!$X$17="""",""C"",),),""/"","""")"),"SGSF")</f>
        <v>SGSF</v>
      </c>
    </row>
    <row r="71">
      <c r="A71" s="408" t="str">
        <f>IF(Projections!$AB$17,Draft!I9,"")</f>
        <v/>
      </c>
      <c r="B71">
        <f>IFERROR(__xludf.DUMMYFUNCTION("""COMPUTED_VALUE"""),62.0)</f>
        <v>62</v>
      </c>
      <c r="C71">
        <f>IFERROR(__xludf.DUMMYFUNCTION("""COMPUTED_VALUE"""),45.0)</f>
        <v>45</v>
      </c>
      <c r="D71" t="str">
        <f>IFERROR(__xludf.DUMMYFUNCTION("""COMPUTED_VALUE"""),"Myles Turner")</f>
        <v>Myles Turner</v>
      </c>
      <c r="E71">
        <f>IFERROR(__xludf.DUMMYFUNCTION("""COMPUTED_VALUE"""),73.0)</f>
        <v>73</v>
      </c>
      <c r="F71" t="str">
        <f>IFERROR(__xludf.DUMMYFUNCTION("""COMPUTED_VALUE"""),"SG,SF")</f>
        <v>SG,SF</v>
      </c>
      <c r="G71" s="26">
        <f>IFERROR(__xludf.DUMMYFUNCTION("""COMPUTED_VALUE"""),-0.186697485007555)</f>
        <v>-0.186697485</v>
      </c>
      <c r="H71" s="26">
        <f>IFERROR(__xludf.DUMMYFUNCTION("""COMPUTED_VALUE"""),-0.2497551521361615)</f>
        <v>-0.2497551521</v>
      </c>
      <c r="I71" s="26">
        <f>IFERROR(__xludf.DUMMYFUNCTION("""COMPUTED_VALUE"""),-0.0630576671286065)</f>
        <v>-0.06305766713</v>
      </c>
      <c r="J71" s="26">
        <f>IFERROR(__xludf.DUMMYFUNCTION("""COMPUTED_VALUE"""),17.50863014)</f>
        <v>17.50863014</v>
      </c>
      <c r="K71" s="26">
        <f>IFERROR(__xludf.DUMMYFUNCTION("""COMPUTED_VALUE"""),1.77260274)</f>
        <v>1.77260274</v>
      </c>
      <c r="L71" s="26">
        <f>IFERROR(__xludf.DUMMYFUNCTION("""COMPUTED_VALUE"""),7.330136986)</f>
        <v>7.330136986</v>
      </c>
      <c r="M71" s="26">
        <f>IFERROR(__xludf.DUMMYFUNCTION("""COMPUTED_VALUE"""),1.414109589)</f>
        <v>1.414109589</v>
      </c>
      <c r="N71" s="26">
        <f>IFERROR(__xludf.DUMMYFUNCTION("""COMPUTED_VALUE"""),0.4806849315)</f>
        <v>0.4806849315</v>
      </c>
      <c r="O71" s="26">
        <f>IFERROR(__xludf.DUMMYFUNCTION("""COMPUTED_VALUE"""),2.042876712)</f>
        <v>2.042876712</v>
      </c>
      <c r="P71" s="464">
        <f>IFERROR(__xludf.DUMMYFUNCTION("""COMPUTED_VALUE"""),0.5184559093)</f>
        <v>0.5184559093</v>
      </c>
      <c r="Q71" s="464">
        <f>IFERROR(__xludf.DUMMYFUNCTION("""COMPUTED_VALUE"""),0.7519897126)</f>
        <v>0.7519897126</v>
      </c>
      <c r="R71" s="26">
        <f>IFERROR(__xludf.DUMMYFUNCTION("""COMPUTED_VALUE"""),1.494383562)</f>
        <v>1.494383562</v>
      </c>
      <c r="S71" s="26">
        <f>IFERROR(__xludf.DUMMYFUNCTION("""COMPUTED_VALUE"""),0.003598528637215903)</f>
        <v>0.003598528637</v>
      </c>
      <c r="T71" s="26">
        <f>IFERROR(__xludf.DUMMYFUNCTION("""COMPUTED_VALUE"""),0.02374287425187511)</f>
        <v>0.02374287425</v>
      </c>
      <c r="U71" s="26">
        <f>IFERROR(__xludf.DUMMYFUNCTION("""COMPUTED_VALUE"""),0.4886310745390675)</f>
        <v>0.4886310745</v>
      </c>
      <c r="V71" s="26">
        <f>IFERROR(__xludf.DUMMYFUNCTION("""COMPUTED_VALUE"""),-1.1440762643765645)</f>
        <v>-1.144076264</v>
      </c>
      <c r="W71" s="26">
        <f>IFERROR(__xludf.DUMMYFUNCTION("""COMPUTED_VALUE"""),-1.638657468077733)</f>
        <v>-1.638657468</v>
      </c>
      <c r="X71" s="26">
        <f>IFERROR(__xludf.DUMMYFUNCTION("""COMPUTED_VALUE"""),2.3084149309858417)</f>
        <v>2.308414931</v>
      </c>
      <c r="Y71" s="26">
        <f>IFERROR(__xludf.DUMMYFUNCTION("""COMPUTED_VALUE"""),0.3038674159909155)</f>
        <v>0.303867416</v>
      </c>
      <c r="Z71" s="26">
        <f>IFERROR(__xludf.DUMMYFUNCTION("""COMPUTED_VALUE"""),-0.5952762440867796)</f>
        <v>-0.5952762441</v>
      </c>
      <c r="AA71" s="26">
        <f>IFERROR(__xludf.DUMMYFUNCTION("""COMPUTED_VALUE"""),0.0)</f>
        <v>0</v>
      </c>
      <c r="AB71" t="str">
        <f>IFERROR(__xludf.DUMMYFUNCTION("SUBSTITUTE(REGEXREPLACE(REGEXREPLACE(REGEXREPLACE(REGEXREPLACE(REGEXREPLACE(REGEXREPLACE(F71,"","",),IF(Projections!$T$17="""",""PG"",),),IF(Projections!$U$17="""",""SG"",),),IF(Projections!$V$17="""",""SF"",),),IF(Projections!$W$17="""",""PF"",),),IF(Pro"&amp;"jections!$X$17="""",""C"",),),""/"","""")"),"SGSF")</f>
        <v>SGSF</v>
      </c>
    </row>
    <row r="72">
      <c r="A72" s="408" t="str">
        <f>IF(Projections!$AB$17,Draft!I10,"")</f>
        <v/>
      </c>
      <c r="B72">
        <f>IFERROR(__xludf.DUMMYFUNCTION("""COMPUTED_VALUE"""),75.0)</f>
        <v>75</v>
      </c>
      <c r="C72">
        <f>IFERROR(__xludf.DUMMYFUNCTION("""COMPUTED_VALUE"""),79.7)</f>
        <v>79.7</v>
      </c>
      <c r="D72" t="str">
        <f>IFERROR(__xludf.DUMMYFUNCTION("""COMPUTED_VALUE"""),"Anfernee Simons")</f>
        <v>Anfernee Simons</v>
      </c>
      <c r="E72">
        <f>IFERROR(__xludf.DUMMYFUNCTION("""COMPUTED_VALUE"""),68.0)</f>
        <v>68</v>
      </c>
      <c r="F72" t="str">
        <f>IFERROR(__xludf.DUMMYFUNCTION("""COMPUTED_VALUE"""),"C")</f>
        <v>C</v>
      </c>
      <c r="G72" s="26">
        <f>IFERROR(__xludf.DUMMYFUNCTION("""COMPUTED_VALUE"""),-0.5677516917229615)</f>
        <v>-0.5677516917</v>
      </c>
      <c r="H72" s="26">
        <f>IFERROR(__xludf.DUMMYFUNCTION("""COMPUTED_VALUE"""),-0.28536136910652443)</f>
        <v>-0.2853613691</v>
      </c>
      <c r="I72" s="26">
        <f>IFERROR(__xludf.DUMMYFUNCTION("""COMPUTED_VALUE"""),0.28239032261643704)</f>
        <v>0.2823903226</v>
      </c>
      <c r="J72" s="26">
        <f>IFERROR(__xludf.DUMMYFUNCTION("""COMPUTED_VALUE"""),21.93741935)</f>
        <v>21.93741935</v>
      </c>
      <c r="K72" s="26">
        <f>IFERROR(__xludf.DUMMYFUNCTION("""COMPUTED_VALUE"""),3.438225806)</f>
        <v>3.438225806</v>
      </c>
      <c r="L72" s="26">
        <f>IFERROR(__xludf.DUMMYFUNCTION("""COMPUTED_VALUE"""),3.465)</f>
        <v>3.465</v>
      </c>
      <c r="M72" s="26">
        <f>IFERROR(__xludf.DUMMYFUNCTION("""COMPUTED_VALUE"""),5.847258065)</f>
        <v>5.847258065</v>
      </c>
      <c r="N72" s="26">
        <f>IFERROR(__xludf.DUMMYFUNCTION("""COMPUTED_VALUE"""),0.5064516129)</f>
        <v>0.5064516129</v>
      </c>
      <c r="O72" s="26">
        <f>IFERROR(__xludf.DUMMYFUNCTION("""COMPUTED_VALUE"""),0.1441935484)</f>
        <v>0.1441935484</v>
      </c>
      <c r="P72" s="464">
        <f>IFERROR(__xludf.DUMMYFUNCTION("""COMPUTED_VALUE"""),0.4348100802)</f>
        <v>0.4348100802</v>
      </c>
      <c r="Q72" s="464">
        <f>IFERROR(__xludf.DUMMYFUNCTION("""COMPUTED_VALUE"""),0.9000045618)</f>
        <v>0.9000045618</v>
      </c>
      <c r="R72" s="26">
        <f>IFERROR(__xludf.DUMMYFUNCTION("""COMPUTED_VALUE"""),2.887419355)</f>
        <v>2.887419355</v>
      </c>
      <c r="S72" s="26">
        <f>IFERROR(__xludf.DUMMYFUNCTION("""COMPUTED_VALUE"""),0.8019127565401197)</f>
        <v>0.8019127565</v>
      </c>
      <c r="T72" s="26">
        <f>IFERROR(__xludf.DUMMYFUNCTION("""COMPUTED_VALUE"""),1.6759219286996918)</f>
        <v>1.675921929</v>
      </c>
      <c r="U72" s="26">
        <f>IFERROR(__xludf.DUMMYFUNCTION("""COMPUTED_VALUE"""),-1.0261431520767021)</f>
        <v>-1.026143152</v>
      </c>
      <c r="V72" s="26">
        <f>IFERROR(__xludf.DUMMYFUNCTION("""COMPUTED_VALUE"""),0.8691867335041245)</f>
        <v>0.8691867335</v>
      </c>
      <c r="W72" s="26">
        <f>IFERROR(__xludf.DUMMYFUNCTION("""COMPUTED_VALUE"""),-1.553413211262458)</f>
        <v>-1.553413211</v>
      </c>
      <c r="X72" s="26">
        <f>IFERROR(__xludf.DUMMYFUNCTION("""COMPUTED_VALUE"""),-1.078167161982548)</f>
        <v>-1.078167162</v>
      </c>
      <c r="Y72" s="26">
        <f>IFERROR(__xludf.DUMMYFUNCTION("""COMPUTED_VALUE"""),-1.2791634214275236)</f>
        <v>-1.279163421</v>
      </c>
      <c r="Z72" s="26">
        <f>IFERROR(__xludf.DUMMYFUNCTION("""COMPUTED_VALUE"""),1.304504158898771)</f>
        <v>1.304504159</v>
      </c>
      <c r="AA72" s="26">
        <f>IFERROR(__xludf.DUMMYFUNCTION("""COMPUTED_VALUE"""),0.0)</f>
        <v>0</v>
      </c>
      <c r="AB72" t="str">
        <f>IFERROR(__xludf.DUMMYFUNCTION("SUBSTITUTE(REGEXREPLACE(REGEXREPLACE(REGEXREPLACE(REGEXREPLACE(REGEXREPLACE(REGEXREPLACE(F72,"","",),IF(Projections!$T$17="""",""PG"",),),IF(Projections!$U$17="""",""SG"",),),IF(Projections!$V$17="""",""SF"",),),IF(Projections!$W$17="""",""PF"",),),IF(Pro"&amp;"jections!$X$17="""",""C"",),),""/"","""")"),"C")</f>
        <v>C</v>
      </c>
    </row>
    <row r="73">
      <c r="A73" s="408" t="str">
        <f>IF(Projections!$AB$17,Draft!I11,"")</f>
        <v/>
      </c>
      <c r="B73">
        <f>IFERROR(__xludf.DUMMYFUNCTION("""COMPUTED_VALUE"""),69.0)</f>
        <v>69</v>
      </c>
      <c r="C73">
        <f>IFERROR(__xludf.DUMMYFUNCTION("""COMPUTED_VALUE"""),58.2)</f>
        <v>58.2</v>
      </c>
      <c r="D73" t="str">
        <f>IFERROR(__xludf.DUMMYFUNCTION("""COMPUTED_VALUE"""),"Miles Bridges")</f>
        <v>Miles Bridges</v>
      </c>
      <c r="E73">
        <f>IFERROR(__xludf.DUMMYFUNCTION("""COMPUTED_VALUE"""),74.0)</f>
        <v>74</v>
      </c>
      <c r="F73" t="str">
        <f>IFERROR(__xludf.DUMMYFUNCTION("""COMPUTED_VALUE"""),"SG")</f>
        <v>SG</v>
      </c>
      <c r="G73" s="26">
        <f>IFERROR(__xludf.DUMMYFUNCTION("""COMPUTED_VALUE"""),-0.4430138795875465)</f>
        <v>-0.4430138796</v>
      </c>
      <c r="H73" s="26">
        <f>IFERROR(__xludf.DUMMYFUNCTION("""COMPUTED_VALUE"""),-0.4296474190094255)</f>
        <v>-0.429647419</v>
      </c>
      <c r="I73" s="26">
        <f>IFERROR(__xludf.DUMMYFUNCTION("""COMPUTED_VALUE"""),0.01336646057812102)</f>
        <v>0.01336646058</v>
      </c>
      <c r="J73" s="26">
        <f>IFERROR(__xludf.DUMMYFUNCTION("""COMPUTED_VALUE"""),18.80608108)</f>
        <v>18.80608108</v>
      </c>
      <c r="K73" s="26">
        <f>IFERROR(__xludf.DUMMYFUNCTION("""COMPUTED_VALUE"""),2.032432432)</f>
        <v>2.032432432</v>
      </c>
      <c r="L73" s="26">
        <f>IFERROR(__xludf.DUMMYFUNCTION("""COMPUTED_VALUE"""),7.285135135)</f>
        <v>7.285135135</v>
      </c>
      <c r="M73" s="26">
        <f>IFERROR(__xludf.DUMMYFUNCTION("""COMPUTED_VALUE"""),3.079324324)</f>
        <v>3.079324324</v>
      </c>
      <c r="N73" s="26">
        <f>IFERROR(__xludf.DUMMYFUNCTION("""COMPUTED_VALUE"""),0.8133783784)</f>
        <v>0.8133783784</v>
      </c>
      <c r="O73" s="26">
        <f>IFERROR(__xludf.DUMMYFUNCTION("""COMPUTED_VALUE"""),0.6759459459)</f>
        <v>0.6759459459</v>
      </c>
      <c r="P73" s="464">
        <f>IFERROR(__xludf.DUMMYFUNCTION("""COMPUTED_VALUE"""),0.4741350367)</f>
        <v>0.4741350367</v>
      </c>
      <c r="Q73" s="464">
        <f>IFERROR(__xludf.DUMMYFUNCTION("""COMPUTED_VALUE"""),0.8019858807)</f>
        <v>0.8019858807</v>
      </c>
      <c r="R73" s="26">
        <f>IFERROR(__xludf.DUMMYFUNCTION("""COMPUTED_VALUE"""),1.802567568)</f>
        <v>1.802567568</v>
      </c>
      <c r="S73" s="26">
        <f>IFERROR(__xludf.DUMMYFUNCTION("""COMPUTED_VALUE"""),0.23747137656352196)</f>
        <v>0.2374713766</v>
      </c>
      <c r="T73" s="26">
        <f>IFERROR(__xludf.DUMMYFUNCTION("""COMPUTED_VALUE"""),0.28147536103650944)</f>
        <v>0.281475361</v>
      </c>
      <c r="U73" s="26">
        <f>IFERROR(__xludf.DUMMYFUNCTION("""COMPUTED_VALUE"""),0.47099453428403515)</f>
        <v>0.4709945343</v>
      </c>
      <c r="V73" s="26">
        <f>IFERROR(__xludf.DUMMYFUNCTION("""COMPUTED_VALUE"""),-0.3878382931804928)</f>
        <v>-0.3878382932</v>
      </c>
      <c r="W73" s="26">
        <f>IFERROR(__xludf.DUMMYFUNCTION("""COMPUTED_VALUE"""),-0.5380032864995515)</f>
        <v>-0.5380032865</v>
      </c>
      <c r="X73" s="26">
        <f>IFERROR(__xludf.DUMMYFUNCTION("""COMPUTED_VALUE"""),-0.12970815534551813)</f>
        <v>-0.1297081553</v>
      </c>
      <c r="Y73" s="26">
        <f>IFERROR(__xludf.DUMMYFUNCTION("""COMPUTED_VALUE"""),-0.42198714537922966)</f>
        <v>-0.4219871454</v>
      </c>
      <c r="Z73" s="26">
        <f>IFERROR(__xludf.DUMMYFUNCTION("""COMPUTED_VALUE"""),0.057948189511300076)</f>
        <v>0.05794818951</v>
      </c>
      <c r="AA73" s="26">
        <f>IFERROR(__xludf.DUMMYFUNCTION("""COMPUTED_VALUE"""),0.0)</f>
        <v>0</v>
      </c>
      <c r="AB73" t="str">
        <f>IFERROR(__xludf.DUMMYFUNCTION("SUBSTITUTE(REGEXREPLACE(REGEXREPLACE(REGEXREPLACE(REGEXREPLACE(REGEXREPLACE(REGEXREPLACE(F73,"","",),IF(Projections!$T$17="""",""PG"",),),IF(Projections!$U$17="""",""SG"",),),IF(Projections!$V$17="""",""SF"",),),IF(Projections!$W$17="""",""PF"",),),IF(Pro"&amp;"jections!$X$17="""",""C"",),),""/"","""")"),"SG")</f>
        <v>SG</v>
      </c>
    </row>
    <row r="74">
      <c r="A74" s="408" t="str">
        <f>IF(Projections!$AB$17,Draft!I12,"")</f>
        <v/>
      </c>
      <c r="B74">
        <f>IFERROR(__xludf.DUMMYFUNCTION("""COMPUTED_VALUE"""),73.0)</f>
        <v>73</v>
      </c>
      <c r="C74">
        <f>IFERROR(__xludf.DUMMYFUNCTION("""COMPUTED_VALUE"""),78.5)</f>
        <v>78.5</v>
      </c>
      <c r="D74" t="str">
        <f>IFERROR(__xludf.DUMMYFUNCTION("""COMPUTED_VALUE"""),"Jrue Holiday")</f>
        <v>Jrue Holiday</v>
      </c>
      <c r="E74">
        <f>IFERROR(__xludf.DUMMYFUNCTION("""COMPUTED_VALUE"""),69.0)</f>
        <v>69</v>
      </c>
      <c r="F74" t="str">
        <f>IFERROR(__xludf.DUMMYFUNCTION("""COMPUTED_VALUE"""),"PF")</f>
        <v>PF</v>
      </c>
      <c r="G74" s="26">
        <f>IFERROR(__xludf.DUMMYFUNCTION("""COMPUTED_VALUE"""),-0.515160027992847)</f>
        <v>-0.515160028</v>
      </c>
      <c r="H74" s="26">
        <f>IFERROR(__xludf.DUMMYFUNCTION("""COMPUTED_VALUE"""),-0.5143894167309023)</f>
        <v>-0.5143894167</v>
      </c>
      <c r="I74" s="26">
        <f>IFERROR(__xludf.DUMMYFUNCTION("""COMPUTED_VALUE"""),7.706112619446648E-4)</f>
        <v>0.0007706112619</v>
      </c>
      <c r="J74" s="26">
        <f>IFERROR(__xludf.DUMMYFUNCTION("""COMPUTED_VALUE"""),12.81564516)</f>
        <v>12.81564516</v>
      </c>
      <c r="K74" s="26">
        <f>IFERROR(__xludf.DUMMYFUNCTION("""COMPUTED_VALUE"""),2.158548387)</f>
        <v>2.158548387</v>
      </c>
      <c r="L74" s="26">
        <f>IFERROR(__xludf.DUMMYFUNCTION("""COMPUTED_VALUE"""),5.187903226)</f>
        <v>5.187903226</v>
      </c>
      <c r="M74" s="26">
        <f>IFERROR(__xludf.DUMMYFUNCTION("""COMPUTED_VALUE"""),4.985806452)</f>
        <v>4.985806452</v>
      </c>
      <c r="N74" s="26">
        <f>IFERROR(__xludf.DUMMYFUNCTION("""COMPUTED_VALUE"""),0.9503225806)</f>
        <v>0.9503225806</v>
      </c>
      <c r="O74" s="26">
        <f>IFERROR(__xludf.DUMMYFUNCTION("""COMPUTED_VALUE"""),0.7411290323)</f>
        <v>0.7411290323</v>
      </c>
      <c r="P74" s="464">
        <f>IFERROR(__xludf.DUMMYFUNCTION("""COMPUTED_VALUE"""),0.4725389396)</f>
        <v>0.4725389396</v>
      </c>
      <c r="Q74" s="464">
        <f>IFERROR(__xludf.DUMMYFUNCTION("""COMPUTED_VALUE"""),0.8609246115)</f>
        <v>0.8609246115</v>
      </c>
      <c r="R74" s="26">
        <f>IFERROR(__xludf.DUMMYFUNCTION("""COMPUTED_VALUE"""),1.751774194)</f>
        <v>1.751774194</v>
      </c>
      <c r="S74" s="26">
        <f>IFERROR(__xludf.DUMMYFUNCTION("""COMPUTED_VALUE"""),-0.8423384765400133)</f>
        <v>-0.8423384765</v>
      </c>
      <c r="T74" s="26">
        <f>IFERROR(__xludf.DUMMYFUNCTION("""COMPUTED_VALUE"""),0.4065733760292269)</f>
        <v>0.406573376</v>
      </c>
      <c r="U74" s="26">
        <f>IFERROR(__xludf.DUMMYFUNCTION("""COMPUTED_VALUE"""),-0.35092532379506175)</f>
        <v>-0.3509253238</v>
      </c>
      <c r="V74" s="26">
        <f>IFERROR(__xludf.DUMMYFUNCTION("""COMPUTED_VALUE"""),0.4779684681320593)</f>
        <v>0.4779684681</v>
      </c>
      <c r="W74" s="26">
        <f>IFERROR(__xludf.DUMMYFUNCTION("""COMPUTED_VALUE"""),-0.08494895014641217)</f>
        <v>-0.08494895015</v>
      </c>
      <c r="X74" s="26">
        <f>IFERROR(__xludf.DUMMYFUNCTION("""COMPUTED_VALUE"""),-0.013444485135211834)</f>
        <v>-0.01344448514</v>
      </c>
      <c r="Y74" s="26">
        <f>IFERROR(__xludf.DUMMYFUNCTION("""COMPUTED_VALUE"""),-0.30206160739270954)</f>
        <v>-0.3020616074</v>
      </c>
      <c r="Z74" s="26">
        <f>IFERROR(__xludf.DUMMYFUNCTION("""COMPUTED_VALUE"""),0.1947875821172201)</f>
        <v>0.1947875821</v>
      </c>
      <c r="AA74" s="26">
        <f>IFERROR(__xludf.DUMMYFUNCTION("""COMPUTED_VALUE"""),0.0)</f>
        <v>0</v>
      </c>
      <c r="AB74" t="str">
        <f>IFERROR(__xludf.DUMMYFUNCTION("SUBSTITUTE(REGEXREPLACE(REGEXREPLACE(REGEXREPLACE(REGEXREPLACE(REGEXREPLACE(REGEXREPLACE(F74,"","",),IF(Projections!$T$17="""",""PG"",),),IF(Projections!$U$17="""",""SG"",),),IF(Projections!$V$17="""",""SF"",),),IF(Projections!$W$17="""",""PF"",),),IF(Pro"&amp;"jections!$X$17="""",""C"",),),""/"","""")"),"PF")</f>
        <v>PF</v>
      </c>
    </row>
    <row r="75">
      <c r="A75" s="408" t="str">
        <f>IF(Projections!$AB$17,Draft!I13,"")</f>
        <v/>
      </c>
      <c r="B75">
        <f>IFERROR(__xludf.DUMMYFUNCTION("""COMPUTED_VALUE"""),82.0)</f>
        <v>82</v>
      </c>
      <c r="C75">
        <f>IFERROR(__xludf.DUMMYFUNCTION("""COMPUTED_VALUE"""),90.4)</f>
        <v>90.4</v>
      </c>
      <c r="D75" t="str">
        <f>IFERROR(__xludf.DUMMYFUNCTION("""COMPUTED_VALUE"""),"Bogdan Bogdanovic")</f>
        <v>Bogdan Bogdanovic</v>
      </c>
      <c r="E75">
        <f>IFERROR(__xludf.DUMMYFUNCTION("""COMPUTED_VALUE"""),76.0)</f>
        <v>76</v>
      </c>
      <c r="F75" t="str">
        <f>IFERROR(__xludf.DUMMYFUNCTION("""COMPUTED_VALUE"""),"SG,SF")</f>
        <v>SG,SF</v>
      </c>
      <c r="G75" s="26">
        <f>IFERROR(__xludf.DUMMYFUNCTION("""COMPUTED_VALUE"""),-0.6068367743554123)</f>
        <v>-0.6068367744</v>
      </c>
      <c r="H75" s="26">
        <f>IFERROR(__xludf.DUMMYFUNCTION("""COMPUTED_VALUE"""),-0.5610540635793216)</f>
        <v>-0.5610540636</v>
      </c>
      <c r="I75" s="26">
        <f>IFERROR(__xludf.DUMMYFUNCTION("""COMPUTED_VALUE"""),0.04578271077609064)</f>
        <v>0.04578271078</v>
      </c>
      <c r="J75" s="26">
        <f>IFERROR(__xludf.DUMMYFUNCTION("""COMPUTED_VALUE"""),16.61136986)</f>
        <v>16.61136986</v>
      </c>
      <c r="K75" s="26">
        <f>IFERROR(__xludf.DUMMYFUNCTION("""COMPUTED_VALUE"""),2.866438356)</f>
        <v>2.866438356</v>
      </c>
      <c r="L75" s="26">
        <f>IFERROR(__xludf.DUMMYFUNCTION("""COMPUTED_VALUE"""),3.8)</f>
        <v>3.8</v>
      </c>
      <c r="M75" s="26">
        <f>IFERROR(__xludf.DUMMYFUNCTION("""COMPUTED_VALUE"""),3.8)</f>
        <v>3.8</v>
      </c>
      <c r="N75" s="26">
        <f>IFERROR(__xludf.DUMMYFUNCTION("""COMPUTED_VALUE"""),1.129178082)</f>
        <v>1.129178082</v>
      </c>
      <c r="O75" s="26">
        <f>IFERROR(__xludf.DUMMYFUNCTION("""COMPUTED_VALUE"""),0.4009589041)</f>
        <v>0.4009589041</v>
      </c>
      <c r="P75" s="464">
        <f>IFERROR(__xludf.DUMMYFUNCTION("""COMPUTED_VALUE"""),0.4296976103)</f>
        <v>0.4296976103</v>
      </c>
      <c r="Q75" s="464">
        <f>IFERROR(__xludf.DUMMYFUNCTION("""COMPUTED_VALUE"""),0.8840013249)</f>
        <v>0.8840013249</v>
      </c>
      <c r="R75" s="26">
        <f>IFERROR(__xludf.DUMMYFUNCTION("""COMPUTED_VALUE"""),1.933287671)</f>
        <v>1.933287671</v>
      </c>
      <c r="S75" s="26">
        <f>IFERROR(__xludf.DUMMYFUNCTION("""COMPUTED_VALUE"""),-0.15813769625214716)</f>
        <v>-0.1581376963</v>
      </c>
      <c r="T75" s="26">
        <f>IFERROR(__xludf.DUMMYFUNCTION("""COMPUTED_VALUE"""),1.10874963878009)</f>
        <v>1.108749639</v>
      </c>
      <c r="U75" s="26">
        <f>IFERROR(__xludf.DUMMYFUNCTION("""COMPUTED_VALUE"""),-0.8948543083036803)</f>
        <v>-0.8948543083</v>
      </c>
      <c r="V75" s="26">
        <f>IFERROR(__xludf.DUMMYFUNCTION("""COMPUTED_VALUE"""),-0.06055178793070744)</f>
        <v>-0.06055178793</v>
      </c>
      <c r="W75" s="26">
        <f>IFERROR(__xludf.DUMMYFUNCTION("""COMPUTED_VALUE"""),0.506761098093111)</f>
        <v>0.5067610981</v>
      </c>
      <c r="X75" s="26">
        <f>IFERROR(__xludf.DUMMYFUNCTION("""COMPUTED_VALUE"""),-0.6201881940437609)</f>
        <v>-0.620188194</v>
      </c>
      <c r="Y75" s="26">
        <f>IFERROR(__xludf.DUMMYFUNCTION("""COMPUTED_VALUE"""),-1.089514002826499)</f>
        <v>-1.089514003</v>
      </c>
      <c r="Z75" s="26">
        <f>IFERROR(__xludf.DUMMYFUNCTION("""COMPUTED_VALUE"""),0.6466811889042722)</f>
        <v>0.6466811889</v>
      </c>
      <c r="AA75" s="26">
        <f>IFERROR(__xludf.DUMMYFUNCTION("""COMPUTED_VALUE"""),0.0)</f>
        <v>0</v>
      </c>
      <c r="AB75" t="str">
        <f>IFERROR(__xludf.DUMMYFUNCTION("SUBSTITUTE(REGEXREPLACE(REGEXREPLACE(REGEXREPLACE(REGEXREPLACE(REGEXREPLACE(REGEXREPLACE(F75,"","",),IF(Projections!$T$17="""",""PG"",),),IF(Projections!$U$17="""",""SG"",),),IF(Projections!$V$17="""",""SF"",),),IF(Projections!$W$17="""",""PF"",),),IF(Pro"&amp;"jections!$X$17="""",""C"",),),""/"","""")"),"SGSF")</f>
        <v>SGSF</v>
      </c>
    </row>
    <row r="76">
      <c r="A76" s="408" t="str">
        <f>IF(Projections!$AB$17,Draft!I14,"")</f>
        <v/>
      </c>
      <c r="B76">
        <f>IFERROR(__xludf.DUMMYFUNCTION("""COMPUTED_VALUE"""),60.0)</f>
        <v>60</v>
      </c>
      <c r="C76">
        <f>IFERROR(__xludf.DUMMYFUNCTION("""COMPUTED_VALUE"""),53.2)</f>
        <v>53.2</v>
      </c>
      <c r="D76" t="str">
        <f>IFERROR(__xludf.DUMMYFUNCTION("""COMPUTED_VALUE"""),"Jarrett Allen")</f>
        <v>Jarrett Allen</v>
      </c>
      <c r="E76">
        <f>IFERROR(__xludf.DUMMYFUNCTION("""COMPUTED_VALUE"""),69.0)</f>
        <v>69</v>
      </c>
      <c r="F76" t="str">
        <f>IFERROR(__xludf.DUMMYFUNCTION("""COMPUTED_VALUE"""),"PF")</f>
        <v>PF</v>
      </c>
      <c r="G76" s="26">
        <f>IFERROR(__xludf.DUMMYFUNCTION("""COMPUTED_VALUE"""),-0.5025118217443567)</f>
        <v>-0.5025118217</v>
      </c>
      <c r="H76" s="26">
        <f>IFERROR(__xludf.DUMMYFUNCTION("""COMPUTED_VALUE"""),-0.5988942114543581)</f>
        <v>-0.5988942115</v>
      </c>
      <c r="I76" s="26">
        <f>IFERROR(__xludf.DUMMYFUNCTION("""COMPUTED_VALUE"""),-0.09638238971000135)</f>
        <v>-0.09638238971</v>
      </c>
      <c r="J76" s="26">
        <f>IFERROR(__xludf.DUMMYFUNCTION("""COMPUTED_VALUE"""),16.19958904)</f>
        <v>16.19958904</v>
      </c>
      <c r="K76" s="26">
        <f>IFERROR(__xludf.DUMMYFUNCTION("""COMPUTED_VALUE"""),0.01479452055)</f>
        <v>0.01479452055</v>
      </c>
      <c r="L76" s="26">
        <f>IFERROR(__xludf.DUMMYFUNCTION("""COMPUTED_VALUE"""),10.3360274)</f>
        <v>10.3360274</v>
      </c>
      <c r="M76" s="26">
        <f>IFERROR(__xludf.DUMMYFUNCTION("""COMPUTED_VALUE"""),2.447945205)</f>
        <v>2.447945205</v>
      </c>
      <c r="N76" s="26">
        <f>IFERROR(__xludf.DUMMYFUNCTION("""COMPUTED_VALUE"""),0.61)</f>
        <v>0.61</v>
      </c>
      <c r="O76" s="26">
        <f>IFERROR(__xludf.DUMMYFUNCTION("""COMPUTED_VALUE"""),1.022328767)</f>
        <v>1.022328767</v>
      </c>
      <c r="P76" s="464">
        <f>IFERROR(__xludf.DUMMYFUNCTION("""COMPUTED_VALUE"""),0.6408925389)</f>
        <v>0.6408925389</v>
      </c>
      <c r="Q76" s="464">
        <f>IFERROR(__xludf.DUMMYFUNCTION("""COMPUTED_VALUE"""),0.738994326)</f>
        <v>0.738994326</v>
      </c>
      <c r="R76" s="26">
        <f>IFERROR(__xludf.DUMMYFUNCTION("""COMPUTED_VALUE"""),1.36)</f>
        <v>1.36</v>
      </c>
      <c r="S76" s="26">
        <f>IFERROR(__xludf.DUMMYFUNCTION("""COMPUTED_VALUE"""),-0.2323635109830147)</f>
        <v>-0.232363511</v>
      </c>
      <c r="T76" s="26">
        <f>IFERROR(__xludf.DUMMYFUNCTION("""COMPUTED_VALUE"""),-1.7198772647787288)</f>
        <v>-1.719877265</v>
      </c>
      <c r="U76" s="26">
        <f>IFERROR(__xludf.DUMMYFUNCTION("""COMPUTED_VALUE"""),1.6666605580091278)</f>
        <v>1.666660558</v>
      </c>
      <c r="V76" s="26">
        <f>IFERROR(__xludf.DUMMYFUNCTION("""COMPUTED_VALUE"""),-0.6745718020622306)</f>
        <v>-0.6745718021</v>
      </c>
      <c r="W76" s="26">
        <f>IFERROR(__xludf.DUMMYFUNCTION("""COMPUTED_VALUE"""),-1.2108426968166226)</f>
        <v>-1.210842697</v>
      </c>
      <c r="X76" s="26">
        <f>IFERROR(__xludf.DUMMYFUNCTION("""COMPUTED_VALUE"""),0.488116809734471)</f>
        <v>0.4881168097</v>
      </c>
      <c r="Y76" s="26">
        <f>IFERROR(__xludf.DUMMYFUNCTION("""COMPUTED_VALUE"""),1.7725025752353556)</f>
        <v>1.772502575</v>
      </c>
      <c r="Z76" s="26">
        <f>IFERROR(__xludf.DUMMYFUNCTION("""COMPUTED_VALUE"""),-0.688518879792716)</f>
        <v>-0.6885188798</v>
      </c>
      <c r="AA76" s="26">
        <f>IFERROR(__xludf.DUMMYFUNCTION("""COMPUTED_VALUE"""),0.0)</f>
        <v>0</v>
      </c>
      <c r="AB76" t="str">
        <f>IFERROR(__xludf.DUMMYFUNCTION("SUBSTITUTE(REGEXREPLACE(REGEXREPLACE(REGEXREPLACE(REGEXREPLACE(REGEXREPLACE(REGEXREPLACE(F76,"","",),IF(Projections!$T$17="""",""PG"",),),IF(Projections!$U$17="""",""SG"",),),IF(Projections!$V$17="""",""SF"",),),IF(Projections!$W$17="""",""PF"",),),IF(Pro"&amp;"jections!$X$17="""",""C"",),),""/"","""")"),"PF")</f>
        <v>PF</v>
      </c>
    </row>
    <row r="77">
      <c r="A77" s="408" t="str">
        <f>IF(Projections!$AB$17,Draft!J3,"")</f>
        <v/>
      </c>
      <c r="B77">
        <f>IFERROR(__xludf.DUMMYFUNCTION("""COMPUTED_VALUE"""),71.0)</f>
        <v>71</v>
      </c>
      <c r="C77">
        <f>IFERROR(__xludf.DUMMYFUNCTION("""COMPUTED_VALUE"""),101.4)</f>
        <v>101.4</v>
      </c>
      <c r="D77" t="str">
        <f>IFERROR(__xludf.DUMMYFUNCTION("""COMPUTED_VALUE"""),"Draymond Green")</f>
        <v>Draymond Green</v>
      </c>
      <c r="E77">
        <f>IFERROR(__xludf.DUMMYFUNCTION("""COMPUTED_VALUE"""),78.0)</f>
        <v>78</v>
      </c>
      <c r="F77" t="str">
        <f>IFERROR(__xludf.DUMMYFUNCTION("""COMPUTED_VALUE"""),"SG,SF")</f>
        <v>SG,SF</v>
      </c>
      <c r="G77" s="26">
        <f>IFERROR(__xludf.DUMMYFUNCTION("""COMPUTED_VALUE"""),-0.8036610579484014)</f>
        <v>-0.8036610579</v>
      </c>
      <c r="H77" s="26">
        <f>IFERROR(__xludf.DUMMYFUNCTION("""COMPUTED_VALUE"""),-0.6156530267046136)</f>
        <v>-0.6156530267</v>
      </c>
      <c r="I77" s="26">
        <f>IFERROR(__xludf.DUMMYFUNCTION("""COMPUTED_VALUE"""),0.18800803124378773)</f>
        <v>0.1880080312</v>
      </c>
      <c r="J77" s="26">
        <f>IFERROR(__xludf.DUMMYFUNCTION("""COMPUTED_VALUE"""),8.276212121)</f>
        <v>8.276212121</v>
      </c>
      <c r="K77" s="26">
        <f>IFERROR(__xludf.DUMMYFUNCTION("""COMPUTED_VALUE"""),0.7610606061)</f>
        <v>0.7610606061</v>
      </c>
      <c r="L77" s="26">
        <f>IFERROR(__xludf.DUMMYFUNCTION("""COMPUTED_VALUE"""),7.35)</f>
        <v>7.35</v>
      </c>
      <c r="M77" s="26">
        <f>IFERROR(__xludf.DUMMYFUNCTION("""COMPUTED_VALUE"""),6.416666667)</f>
        <v>6.416666667</v>
      </c>
      <c r="N77" s="26">
        <f>IFERROR(__xludf.DUMMYFUNCTION("""COMPUTED_VALUE"""),1.109545455)</f>
        <v>1.109545455</v>
      </c>
      <c r="O77" s="26">
        <f>IFERROR(__xludf.DUMMYFUNCTION("""COMPUTED_VALUE"""),0.8743939394)</f>
        <v>0.8743939394</v>
      </c>
      <c r="P77" s="464">
        <f>IFERROR(__xludf.DUMMYFUNCTION("""COMPUTED_VALUE"""),0.5117810761)</f>
        <v>0.5117810761</v>
      </c>
      <c r="Q77" s="464">
        <f>IFERROR(__xludf.DUMMYFUNCTION("""COMPUTED_VALUE"""),0.7039422829)</f>
        <v>0.7039422829</v>
      </c>
      <c r="R77" s="26">
        <f>IFERROR(__xludf.DUMMYFUNCTION("""COMPUTED_VALUE"""),2.506818182)</f>
        <v>2.506818182</v>
      </c>
      <c r="S77" s="26">
        <f>IFERROR(__xludf.DUMMYFUNCTION("""COMPUTED_VALUE"""),-1.66059687851219)</f>
        <v>-1.660596879</v>
      </c>
      <c r="T77" s="26">
        <f>IFERROR(__xludf.DUMMYFUNCTION("""COMPUTED_VALUE"""),-0.979634636804416)</f>
        <v>-0.9796346368</v>
      </c>
      <c r="U77" s="26">
        <f>IFERROR(__xludf.DUMMYFUNCTION("""COMPUTED_VALUE"""),0.49641552869401456)</f>
        <v>0.4964155287</v>
      </c>
      <c r="V77" s="26">
        <f>IFERROR(__xludf.DUMMYFUNCTION("""COMPUTED_VALUE"""),1.12777705036081)</f>
        <v>1.12777705</v>
      </c>
      <c r="W77" s="26">
        <f>IFERROR(__xludf.DUMMYFUNCTION("""COMPUTED_VALUE"""),0.44181021551858946)</f>
        <v>0.4418102155</v>
      </c>
      <c r="X77" s="26">
        <f>IFERROR(__xludf.DUMMYFUNCTION("""COMPUTED_VALUE"""),0.2242531764115647)</f>
        <v>0.2242531764</v>
      </c>
      <c r="Y77" s="26">
        <f>IFERROR(__xludf.DUMMYFUNCTION("""COMPUTED_VALUE"""),0.11045165571056575)</f>
        <v>0.1104516557</v>
      </c>
      <c r="Z77" s="26">
        <f>IFERROR(__xludf.DUMMYFUNCTION("""COMPUTED_VALUE"""),-0.37612913808355186)</f>
        <v>-0.3761291381</v>
      </c>
      <c r="AA77" s="26">
        <f>IFERROR(__xludf.DUMMYFUNCTION("""COMPUTED_VALUE"""),0.0)</f>
        <v>0</v>
      </c>
      <c r="AB77" t="str">
        <f>IFERROR(__xludf.DUMMYFUNCTION("SUBSTITUTE(REGEXREPLACE(REGEXREPLACE(REGEXREPLACE(REGEXREPLACE(REGEXREPLACE(REGEXREPLACE(F77,"","",),IF(Projections!$T$17="""",""PG"",),),IF(Projections!$U$17="""",""SG"",),),IF(Projections!$V$17="""",""SF"",),),IF(Projections!$W$17="""",""PF"",),),IF(Pro"&amp;"jections!$X$17="""",""C"",),),""/"","""")"),"SGSF")</f>
        <v>SGSF</v>
      </c>
    </row>
    <row r="78">
      <c r="A78" s="408" t="str">
        <f>IF(Projections!$AB$17,Draft!J4,"")</f>
        <v/>
      </c>
      <c r="B78">
        <f>IFERROR(__xludf.DUMMYFUNCTION("""COMPUTED_VALUE"""),85.0)</f>
        <v>85</v>
      </c>
      <c r="C78">
        <f>IFERROR(__xludf.DUMMYFUNCTION("""COMPUTED_VALUE"""),34.6)</f>
        <v>34.6</v>
      </c>
      <c r="D78" t="str">
        <f>IFERROR(__xludf.DUMMYFUNCTION("""COMPUTED_VALUE"""),"Paolo Banchero")</f>
        <v>Paolo Banchero</v>
      </c>
      <c r="E78">
        <f>IFERROR(__xludf.DUMMYFUNCTION("""COMPUTED_VALUE"""),72.0)</f>
        <v>72</v>
      </c>
      <c r="F78" t="str">
        <f>IFERROR(__xludf.DUMMYFUNCTION("""COMPUTED_VALUE"""),"SF,PF")</f>
        <v>SF,PF</v>
      </c>
      <c r="G78" s="26">
        <f>IFERROR(__xludf.DUMMYFUNCTION("""COMPUTED_VALUE"""),-1.0175315294911282)</f>
        <v>-1.017531529</v>
      </c>
      <c r="H78" s="26">
        <f>IFERROR(__xludf.DUMMYFUNCTION("""COMPUTED_VALUE"""),-0.6782704987637425)</f>
        <v>-0.6782704988</v>
      </c>
      <c r="I78" s="26">
        <f>IFERROR(__xludf.DUMMYFUNCTION("""COMPUTED_VALUE"""),0.3392610307273858)</f>
        <v>0.3392610307</v>
      </c>
      <c r="J78" s="26">
        <f>IFERROR(__xludf.DUMMYFUNCTION("""COMPUTED_VALUE"""),23.43792208)</f>
        <v>23.43792208</v>
      </c>
      <c r="K78" s="26">
        <f>IFERROR(__xludf.DUMMYFUNCTION("""COMPUTED_VALUE"""),1.547402597)</f>
        <v>1.547402597</v>
      </c>
      <c r="L78" s="26">
        <f>IFERROR(__xludf.DUMMYFUNCTION("""COMPUTED_VALUE"""),7.355844156)</f>
        <v>7.355844156</v>
      </c>
      <c r="M78" s="26">
        <f>IFERROR(__xludf.DUMMYFUNCTION("""COMPUTED_VALUE"""),5.624935065)</f>
        <v>5.624935065</v>
      </c>
      <c r="N78" s="26">
        <f>IFERROR(__xludf.DUMMYFUNCTION("""COMPUTED_VALUE"""),0.7054545455)</f>
        <v>0.7054545455</v>
      </c>
      <c r="O78" s="26">
        <f>IFERROR(__xludf.DUMMYFUNCTION("""COMPUTED_VALUE"""),0.6376623377)</f>
        <v>0.6376623377</v>
      </c>
      <c r="P78" s="464">
        <f>IFERROR(__xludf.DUMMYFUNCTION("""COMPUTED_VALUE"""),0.455972672)</f>
        <v>0.455972672</v>
      </c>
      <c r="Q78" s="464">
        <f>IFERROR(__xludf.DUMMYFUNCTION("""COMPUTED_VALUE"""),0.7599947347)</f>
        <v>0.7599947347</v>
      </c>
      <c r="R78" s="26">
        <f>IFERROR(__xludf.DUMMYFUNCTION("""COMPUTED_VALUE"""),3.116753247)</f>
        <v>3.116753247</v>
      </c>
      <c r="S78" s="26">
        <f>IFERROR(__xludf.DUMMYFUNCTION("""COMPUTED_VALUE"""),1.0723868345706138)</f>
        <v>1.072386835</v>
      </c>
      <c r="T78" s="26">
        <f>IFERROR(__xludf.DUMMYFUNCTION("""COMPUTED_VALUE"""),-0.19963957458559367)</f>
        <v>-0.1996395746</v>
      </c>
      <c r="U78" s="26">
        <f>IFERROR(__xludf.DUMMYFUNCTION("""COMPUTED_VALUE"""),0.49870589431810175)</f>
        <v>0.4987058943</v>
      </c>
      <c r="V78" s="26">
        <f>IFERROR(__xludf.DUMMYFUNCTION("""COMPUTED_VALUE"""),0.768221319893234)</f>
        <v>0.7682213199</v>
      </c>
      <c r="W78" s="26">
        <f>IFERROR(__xludf.DUMMYFUNCTION("""COMPUTED_VALUE"""),-0.8950491468258434)</f>
        <v>-0.8950491468</v>
      </c>
      <c r="X78" s="26">
        <f>IFERROR(__xludf.DUMMYFUNCTION("""COMPUTED_VALUE"""),-0.19799262980123178)</f>
        <v>-0.1979926298</v>
      </c>
      <c r="Y78" s="26">
        <f>IFERROR(__xludf.DUMMYFUNCTION("""COMPUTED_VALUE"""),-0.8760895298231579)</f>
        <v>-0.8760895298</v>
      </c>
      <c r="Z78" s="26">
        <f>IFERROR(__xludf.DUMMYFUNCTION("""COMPUTED_VALUE"""),-0.8488136665098653)</f>
        <v>-0.8488136665</v>
      </c>
      <c r="AA78" s="26">
        <f>IFERROR(__xludf.DUMMYFUNCTION("""COMPUTED_VALUE"""),0.0)</f>
        <v>0</v>
      </c>
      <c r="AB78" t="str">
        <f>IFERROR(__xludf.DUMMYFUNCTION("SUBSTITUTE(REGEXREPLACE(REGEXREPLACE(REGEXREPLACE(REGEXREPLACE(REGEXREPLACE(REGEXREPLACE(F78,"","",),IF(Projections!$T$17="""",""PG"",),),IF(Projections!$U$17="""",""SG"",),),IF(Projections!$V$17="""",""SF"",),),IF(Projections!$W$17="""",""PF"",),),IF(Pro"&amp;"jections!$X$17="""",""C"",),),""/"","""")"),"SFPF")</f>
        <v>SFPF</v>
      </c>
    </row>
    <row r="79">
      <c r="A79" s="408" t="str">
        <f>IF(Projections!$AB$17,Draft!J5,"")</f>
        <v/>
      </c>
      <c r="B79">
        <f>IFERROR(__xludf.DUMMYFUNCTION("""COMPUTED_VALUE"""),88.0)</f>
        <v>88</v>
      </c>
      <c r="C79">
        <f>IFERROR(__xludf.DUMMYFUNCTION("""COMPUTED_VALUE"""),86.9)</f>
        <v>86.9</v>
      </c>
      <c r="D79" t="str">
        <f>IFERROR(__xludf.DUMMYFUNCTION("""COMPUTED_VALUE"""),"CJ McCollum")</f>
        <v>CJ McCollum</v>
      </c>
      <c r="E79">
        <f>IFERROR(__xludf.DUMMYFUNCTION("""COMPUTED_VALUE"""),68.0)</f>
        <v>68</v>
      </c>
      <c r="F79" t="str">
        <f>IFERROR(__xludf.DUMMYFUNCTION("""COMPUTED_VALUE"""),"SG,SF")</f>
        <v>SG,SF</v>
      </c>
      <c r="G79" s="26">
        <f>IFERROR(__xludf.DUMMYFUNCTION("""COMPUTED_VALUE"""),-0.6663066112985226)</f>
        <v>-0.6663066113</v>
      </c>
      <c r="H79" s="26">
        <f>IFERROR(__xludf.DUMMYFUNCTION("""COMPUTED_VALUE"""),-0.6916129450456142)</f>
        <v>-0.691612945</v>
      </c>
      <c r="I79" s="26">
        <f>IFERROR(__xludf.DUMMYFUNCTION("""COMPUTED_VALUE"""),-0.02530633374709157)</f>
        <v>-0.02530633375</v>
      </c>
      <c r="J79" s="26">
        <f>IFERROR(__xludf.DUMMYFUNCTION("""COMPUTED_VALUE"""),18.45455882)</f>
        <v>18.45455882</v>
      </c>
      <c r="K79" s="26">
        <f>IFERROR(__xludf.DUMMYFUNCTION("""COMPUTED_VALUE"""),3.242205882)</f>
        <v>3.242205882</v>
      </c>
      <c r="L79" s="26">
        <f>IFERROR(__xludf.DUMMYFUNCTION("""COMPUTED_VALUE"""),4.356029412)</f>
        <v>4.356029412</v>
      </c>
      <c r="M79" s="26">
        <f>IFERROR(__xludf.DUMMYFUNCTION("""COMPUTED_VALUE"""),4.424117647)</f>
        <v>4.424117647</v>
      </c>
      <c r="N79" s="26">
        <f>IFERROR(__xludf.DUMMYFUNCTION("""COMPUTED_VALUE"""),0.8055882353)</f>
        <v>0.8055882353</v>
      </c>
      <c r="O79" s="26">
        <f>IFERROR(__xludf.DUMMYFUNCTION("""COMPUTED_VALUE"""),0.4808823529)</f>
        <v>0.4808823529</v>
      </c>
      <c r="P79" s="464">
        <f>IFERROR(__xludf.DUMMYFUNCTION("""COMPUTED_VALUE"""),0.4369886049)</f>
        <v>0.4369886049</v>
      </c>
      <c r="Q79" s="464">
        <f>IFERROR(__xludf.DUMMYFUNCTION("""COMPUTED_VALUE"""),0.83299992)</f>
        <v>0.83299992</v>
      </c>
      <c r="R79" s="26">
        <f>IFERROR(__xludf.DUMMYFUNCTION("""COMPUTED_VALUE"""),1.646617647)</f>
        <v>1.646617647</v>
      </c>
      <c r="S79" s="26">
        <f>IFERROR(__xludf.DUMMYFUNCTION("""COMPUTED_VALUE"""),0.17410750705513697)</f>
        <v>0.1741075071</v>
      </c>
      <c r="T79" s="26">
        <f>IFERROR(__xludf.DUMMYFUNCTION("""COMPUTED_VALUE"""),1.4814841718637444)</f>
        <v>1.481484172</v>
      </c>
      <c r="U79" s="26">
        <f>IFERROR(__xludf.DUMMYFUNCTION("""COMPUTED_VALUE"""),-0.6769424915715213)</f>
        <v>-0.6769424916</v>
      </c>
      <c r="V79" s="26">
        <f>IFERROR(__xludf.DUMMYFUNCTION("""COMPUTED_VALUE"""),0.22288400760646465)</f>
        <v>0.2228840076</v>
      </c>
      <c r="W79" s="26">
        <f>IFERROR(__xludf.DUMMYFUNCTION("""COMPUTED_VALUE"""),-0.5637755211437905)</f>
        <v>-0.5637755211</v>
      </c>
      <c r="X79" s="26">
        <f>IFERROR(__xludf.DUMMYFUNCTION("""COMPUTED_VALUE"""),-0.47763290851568113)</f>
        <v>-0.4776329085</v>
      </c>
      <c r="Y79" s="26">
        <f>IFERROR(__xludf.DUMMYFUNCTION("""COMPUTED_VALUE"""),-1.0972051954830047)</f>
        <v>-1.097205195</v>
      </c>
      <c r="Z79" s="26">
        <f>IFERROR(__xludf.DUMMYFUNCTION("""COMPUTED_VALUE"""),0.24546748514303754)</f>
        <v>0.2454674851</v>
      </c>
      <c r="AA79" s="26">
        <f>IFERROR(__xludf.DUMMYFUNCTION("""COMPUTED_VALUE"""),0.0)</f>
        <v>0</v>
      </c>
      <c r="AB79" t="str">
        <f>IFERROR(__xludf.DUMMYFUNCTION("SUBSTITUTE(REGEXREPLACE(REGEXREPLACE(REGEXREPLACE(REGEXREPLACE(REGEXREPLACE(REGEXREPLACE(F79,"","",),IF(Projections!$T$17="""",""PG"",),),IF(Projections!$U$17="""",""SG"",),),IF(Projections!$V$17="""",""SF"",),),IF(Projections!$W$17="""",""PF"",),),IF(Pro"&amp;"jections!$X$17="""",""C"",),),""/"","""")"),"SGSF")</f>
        <v>SGSF</v>
      </c>
    </row>
    <row r="80">
      <c r="A80" s="408" t="str">
        <f>IF(Projections!$AB$17,Draft!J6,"")</f>
        <v/>
      </c>
      <c r="B80">
        <f>IFERROR(__xludf.DUMMYFUNCTION("""COMPUTED_VALUE"""),78.0)</f>
        <v>78</v>
      </c>
      <c r="C80">
        <f>IFERROR(__xludf.DUMMYFUNCTION("""COMPUTED_VALUE"""),111.1)</f>
        <v>111.1</v>
      </c>
      <c r="D80" t="str">
        <f>IFERROR(__xludf.DUMMYFUNCTION("""COMPUTED_VALUE"""),"Khris Middleton")</f>
        <v>Khris Middleton</v>
      </c>
      <c r="E80">
        <f>IFERROR(__xludf.DUMMYFUNCTION("""COMPUTED_VALUE"""),73.0)</f>
        <v>73</v>
      </c>
      <c r="F80" t="str">
        <f>IFERROR(__xludf.DUMMYFUNCTION("""COMPUTED_VALUE"""),"PF")</f>
        <v>PF</v>
      </c>
      <c r="G80" s="26">
        <f>IFERROR(__xludf.DUMMYFUNCTION("""COMPUTED_VALUE"""),-0.8670174126053564)</f>
        <v>-0.8670174126</v>
      </c>
      <c r="H80" s="26">
        <f>IFERROR(__xludf.DUMMYFUNCTION("""COMPUTED_VALUE"""),-0.6933985643215985)</f>
        <v>-0.6933985643</v>
      </c>
      <c r="I80" s="26">
        <f>IFERROR(__xludf.DUMMYFUNCTION("""COMPUTED_VALUE"""),0.17361884828375784)</f>
        <v>0.1736188483</v>
      </c>
      <c r="J80" s="26">
        <f>IFERROR(__xludf.DUMMYFUNCTION("""COMPUTED_VALUE"""),15.0487931)</f>
        <v>15.0487931</v>
      </c>
      <c r="K80" s="26">
        <f>IFERROR(__xludf.DUMMYFUNCTION("""COMPUTED_VALUE"""),1.715344828)</f>
        <v>1.715344828</v>
      </c>
      <c r="L80" s="26">
        <f>IFERROR(__xludf.DUMMYFUNCTION("""COMPUTED_VALUE"""),5.073793103)</f>
        <v>5.073793103</v>
      </c>
      <c r="M80" s="26">
        <f>IFERROR(__xludf.DUMMYFUNCTION("""COMPUTED_VALUE"""),5.816206897)</f>
        <v>5.816206897</v>
      </c>
      <c r="N80" s="26">
        <f>IFERROR(__xludf.DUMMYFUNCTION("""COMPUTED_VALUE"""),0.9456896552)</f>
        <v>0.9456896552</v>
      </c>
      <c r="O80" s="26">
        <f>IFERROR(__xludf.DUMMYFUNCTION("""COMPUTED_VALUE"""),0.3055172414)</f>
        <v>0.3055172414</v>
      </c>
      <c r="P80" s="464">
        <f>IFERROR(__xludf.DUMMYFUNCTION("""COMPUTED_VALUE"""),0.4775616836)</f>
        <v>0.4775616836</v>
      </c>
      <c r="Q80" s="464">
        <f>IFERROR(__xludf.DUMMYFUNCTION("""COMPUTED_VALUE"""),0.8540308239)</f>
        <v>0.8540308239</v>
      </c>
      <c r="R80" s="26">
        <f>IFERROR(__xludf.DUMMYFUNCTION("""COMPUTED_VALUE"""),2.448793103)</f>
        <v>2.448793103</v>
      </c>
      <c r="S80" s="26">
        <f>IFERROR(__xludf.DUMMYFUNCTION("""COMPUTED_VALUE"""),-0.4398009682095908)</f>
        <v>-0.4398009682</v>
      </c>
      <c r="T80" s="26">
        <f>IFERROR(__xludf.DUMMYFUNCTION("""COMPUTED_VALUE"""),-0.03305288274673507)</f>
        <v>-0.03305288275</v>
      </c>
      <c r="U80" s="26">
        <f>IFERROR(__xludf.DUMMYFUNCTION("""COMPUTED_VALUE"""),-0.39564587935168083)</f>
        <v>-0.3956458794</v>
      </c>
      <c r="V80" s="26">
        <f>IFERROR(__xludf.DUMMYFUNCTION("""COMPUTED_VALUE"""),0.8550852054560986)</f>
        <v>0.8550852055</v>
      </c>
      <c r="W80" s="26">
        <f>IFERROR(__xludf.DUMMYFUNCTION("""COMPUTED_VALUE"""),-0.10027611923243991)</f>
        <v>-0.1002761192</v>
      </c>
      <c r="X80" s="26">
        <f>IFERROR(__xludf.DUMMYFUNCTION("""COMPUTED_VALUE"""),-0.7904225080248811)</f>
        <v>-0.790422508</v>
      </c>
      <c r="Y80" s="26">
        <f>IFERROR(__xludf.DUMMYFUNCTION("""COMPUTED_VALUE"""),-0.27199836752805545)</f>
        <v>-0.2719983675</v>
      </c>
      <c r="Z80" s="26">
        <f>IFERROR(__xludf.DUMMYFUNCTION("""COMPUTED_VALUE"""),0.4827129553156861)</f>
        <v>0.4827129553</v>
      </c>
      <c r="AA80" s="26">
        <f>IFERROR(__xludf.DUMMYFUNCTION("""COMPUTED_VALUE"""),0.0)</f>
        <v>0</v>
      </c>
      <c r="AB80" t="str">
        <f>IFERROR(__xludf.DUMMYFUNCTION("SUBSTITUTE(REGEXREPLACE(REGEXREPLACE(REGEXREPLACE(REGEXREPLACE(REGEXREPLACE(REGEXREPLACE(F80,"","",),IF(Projections!$T$17="""",""PG"",),),IF(Projections!$U$17="""",""SG"",),),IF(Projections!$V$17="""",""SF"",),),IF(Projections!$W$17="""",""PF"",),),IF(Pro"&amp;"jections!$X$17="""",""C"",),),""/"","""")"),"PF")</f>
        <v>PF</v>
      </c>
    </row>
    <row r="81">
      <c r="A81" s="408" t="str">
        <f>IF(Projections!$AB$17,Draft!J7,"")</f>
        <v/>
      </c>
      <c r="B81">
        <f>IFERROR(__xludf.DUMMYFUNCTION("""COMPUTED_VALUE"""),77.0)</f>
        <v>77</v>
      </c>
      <c r="C81">
        <f>IFERROR(__xludf.DUMMYFUNCTION("""COMPUTED_VALUE"""),63.6)</f>
        <v>63.6</v>
      </c>
      <c r="D81" t="str">
        <f>IFERROR(__xludf.DUMMYFUNCTION("""COMPUTED_VALUE"""),"Julius Randle")</f>
        <v>Julius Randle</v>
      </c>
      <c r="E81">
        <f>IFERROR(__xludf.DUMMYFUNCTION("""COMPUTED_VALUE"""),69.0)</f>
        <v>69</v>
      </c>
      <c r="F81" t="str">
        <f>IFERROR(__xludf.DUMMYFUNCTION("""COMPUTED_VALUE"""),"SF,PF")</f>
        <v>SF,PF</v>
      </c>
      <c r="G81" s="26">
        <f>IFERROR(__xludf.DUMMYFUNCTION("""COMPUTED_VALUE"""),-1.021910600385727)</f>
        <v>-1.0219106</v>
      </c>
      <c r="H81" s="26">
        <f>IFERROR(__xludf.DUMMYFUNCTION("""COMPUTED_VALUE"""),-0.6981456114535507)</f>
        <v>-0.6981456115</v>
      </c>
      <c r="I81" s="26">
        <f>IFERROR(__xludf.DUMMYFUNCTION("""COMPUTED_VALUE"""),0.3237649889321763)</f>
        <v>0.3237649889</v>
      </c>
      <c r="J81" s="26">
        <f>IFERROR(__xludf.DUMMYFUNCTION("""COMPUTED_VALUE"""),22.09382353)</f>
        <v>22.09382353</v>
      </c>
      <c r="K81" s="26">
        <f>IFERROR(__xludf.DUMMYFUNCTION("""COMPUTED_VALUE"""),1.700882353)</f>
        <v>1.700882353</v>
      </c>
      <c r="L81" s="26">
        <f>IFERROR(__xludf.DUMMYFUNCTION("""COMPUTED_VALUE"""),8.954705882)</f>
        <v>8.954705882</v>
      </c>
      <c r="M81" s="26">
        <f>IFERROR(__xludf.DUMMYFUNCTION("""COMPUTED_VALUE"""),4.581470588)</f>
        <v>4.581470588</v>
      </c>
      <c r="N81" s="26">
        <f>IFERROR(__xludf.DUMMYFUNCTION("""COMPUTED_VALUE"""),0.4848529412)</f>
        <v>0.4848529412</v>
      </c>
      <c r="O81" s="26">
        <f>IFERROR(__xludf.DUMMYFUNCTION("""COMPUTED_VALUE"""),0.2780882353)</f>
        <v>0.2780882353</v>
      </c>
      <c r="P81" s="464">
        <f>IFERROR(__xludf.DUMMYFUNCTION("""COMPUTED_VALUE"""),0.482485659)</f>
        <v>0.482485659</v>
      </c>
      <c r="Q81" s="464">
        <f>IFERROR(__xludf.DUMMYFUNCTION("""COMPUTED_VALUE"""),0.786995894)</f>
        <v>0.786995894</v>
      </c>
      <c r="R81" s="26">
        <f>IFERROR(__xludf.DUMMYFUNCTION("""COMPUTED_VALUE"""),3.054264706)</f>
        <v>3.054264706</v>
      </c>
      <c r="S81" s="26">
        <f>IFERROR(__xludf.DUMMYFUNCTION("""COMPUTED_VALUE"""),0.8301054919079628)</f>
        <v>0.8301054919</v>
      </c>
      <c r="T81" s="26">
        <f>IFERROR(__xludf.DUMMYFUNCTION("""COMPUTED_VALUE"""),-0.04739862444438007)</f>
        <v>-0.04739862444</v>
      </c>
      <c r="U81" s="26">
        <f>IFERROR(__xludf.DUMMYFUNCTION("""COMPUTED_VALUE"""),1.1253109909135592)</f>
        <v>1.125310991</v>
      </c>
      <c r="V81" s="26">
        <f>IFERROR(__xludf.DUMMYFUNCTION("""COMPUTED_VALUE"""),0.29434402195925335)</f>
        <v>0.294344022</v>
      </c>
      <c r="W81" s="26">
        <f>IFERROR(__xludf.DUMMYFUNCTION("""COMPUTED_VALUE"""),-1.6248683858222528)</f>
        <v>-1.624868386</v>
      </c>
      <c r="X81" s="26">
        <f>IFERROR(__xludf.DUMMYFUNCTION("""COMPUTED_VALUE"""),-0.8393461950659857)</f>
        <v>-0.8393461951</v>
      </c>
      <c r="Y81" s="26">
        <f>IFERROR(__xludf.DUMMYFUNCTION("""COMPUTED_VALUE"""),-0.28962313636933823)</f>
        <v>-0.2896231364</v>
      </c>
      <c r="Z81" s="26">
        <f>IFERROR(__xludf.DUMMYFUNCTION("""COMPUTED_VALUE"""),-0.1466697745323691)</f>
        <v>-0.1466697745</v>
      </c>
      <c r="AA81" s="26">
        <f>IFERROR(__xludf.DUMMYFUNCTION("""COMPUTED_VALUE"""),0.0)</f>
        <v>0</v>
      </c>
      <c r="AB81" t="str">
        <f>IFERROR(__xludf.DUMMYFUNCTION("SUBSTITUTE(REGEXREPLACE(REGEXREPLACE(REGEXREPLACE(REGEXREPLACE(REGEXREPLACE(REGEXREPLACE(F81,"","",),IF(Projections!$T$17="""",""PG"",),),IF(Projections!$U$17="""",""SG"",),),IF(Projections!$V$17="""",""SF"",),),IF(Projections!$W$17="""",""PF"",),),IF(Pro"&amp;"jections!$X$17="""",""C"",),),""/"","""")"),"SFPF")</f>
        <v>SFPF</v>
      </c>
    </row>
    <row r="82">
      <c r="A82" s="408" t="str">
        <f>IF(Projections!$AB$17,Draft!J8,"")</f>
        <v/>
      </c>
      <c r="B82">
        <f>IFERROR(__xludf.DUMMYFUNCTION("""COMPUTED_VALUE"""),72.0)</f>
        <v>72</v>
      </c>
      <c r="C82">
        <f>IFERROR(__xludf.DUMMYFUNCTION("""COMPUTED_VALUE"""),48.3)</f>
        <v>48.3</v>
      </c>
      <c r="D82" t="str">
        <f>IFERROR(__xludf.DUMMYFUNCTION("""COMPUTED_VALUE"""),"Pascal Siakam")</f>
        <v>Pascal Siakam</v>
      </c>
      <c r="E82">
        <f>IFERROR(__xludf.DUMMYFUNCTION("""COMPUTED_VALUE"""),73.0)</f>
        <v>73</v>
      </c>
      <c r="F82" t="str">
        <f>IFERROR(__xludf.DUMMYFUNCTION("""COMPUTED_VALUE"""),"PG,SG")</f>
        <v>PG,SG</v>
      </c>
      <c r="G82" s="26">
        <f>IFERROR(__xludf.DUMMYFUNCTION("""COMPUTED_VALUE"""),-0.6754504293201735)</f>
        <v>-0.6754504293</v>
      </c>
      <c r="H82" s="26">
        <f>IFERROR(__xludf.DUMMYFUNCTION("""COMPUTED_VALUE"""),-0.7578710851076698)</f>
        <v>-0.7578710851</v>
      </c>
      <c r="I82" s="26">
        <f>IFERROR(__xludf.DUMMYFUNCTION("""COMPUTED_VALUE"""),-0.08242065578749624)</f>
        <v>-0.08242065579</v>
      </c>
      <c r="J82" s="26">
        <f>IFERROR(__xludf.DUMMYFUNCTION("""COMPUTED_VALUE"""),22.94424658)</f>
        <v>22.94424658</v>
      </c>
      <c r="K82" s="26">
        <f>IFERROR(__xludf.DUMMYFUNCTION("""COMPUTED_VALUE"""),0.8468493151)</f>
        <v>0.8468493151</v>
      </c>
      <c r="L82" s="26">
        <f>IFERROR(__xludf.DUMMYFUNCTION("""COMPUTED_VALUE"""),8.07260274)</f>
        <v>8.07260274</v>
      </c>
      <c r="M82" s="26">
        <f>IFERROR(__xludf.DUMMYFUNCTION("""COMPUTED_VALUE"""),3.399041096)</f>
        <v>3.399041096</v>
      </c>
      <c r="N82" s="26">
        <f>IFERROR(__xludf.DUMMYFUNCTION("""COMPUTED_VALUE"""),0.8612328767)</f>
        <v>0.8612328767</v>
      </c>
      <c r="O82" s="26">
        <f>IFERROR(__xludf.DUMMYFUNCTION("""COMPUTED_VALUE"""),0.4209589041)</f>
        <v>0.4209589041</v>
      </c>
      <c r="P82" s="464">
        <f>IFERROR(__xludf.DUMMYFUNCTION("""COMPUTED_VALUE"""),0.5370361488)</f>
        <v>0.5370361488</v>
      </c>
      <c r="Q82" s="464">
        <f>IFERROR(__xludf.DUMMYFUNCTION("""COMPUTED_VALUE"""),0.7270103315)</f>
        <v>0.7270103315</v>
      </c>
      <c r="R82" s="26">
        <f>IFERROR(__xludf.DUMMYFUNCTION("""COMPUTED_VALUE"""),1.41630137)</f>
        <v>1.41630137</v>
      </c>
      <c r="S82" s="26">
        <f>IFERROR(__xludf.DUMMYFUNCTION("""COMPUTED_VALUE"""),0.9833990419867625)</f>
        <v>0.983399042</v>
      </c>
      <c r="T82" s="26">
        <f>IFERROR(__xludf.DUMMYFUNCTION("""COMPUTED_VALUE"""),-0.894538368019964)</f>
        <v>-0.894538368</v>
      </c>
      <c r="U82" s="26">
        <f>IFERROR(__xludf.DUMMYFUNCTION("""COMPUTED_VALUE"""),0.7796085980725749)</f>
        <v>0.7796085981</v>
      </c>
      <c r="V82" s="26">
        <f>IFERROR(__xludf.DUMMYFUNCTION("""COMPUTED_VALUE"""),-0.24264262686023466)</f>
        <v>-0.2426426269</v>
      </c>
      <c r="W82" s="26">
        <f>IFERROR(__xludf.DUMMYFUNCTION("""COMPUTED_VALUE"""),-0.37968560951491065)</f>
        <v>-0.3796856095</v>
      </c>
      <c r="X82" s="26">
        <f>IFERROR(__xludf.DUMMYFUNCTION("""COMPUTED_VALUE"""),-0.5845152375664174)</f>
        <v>-0.5845152376</v>
      </c>
      <c r="Y82" s="26">
        <f>IFERROR(__xludf.DUMMYFUNCTION("""COMPUTED_VALUE"""),0.7930890068385853)</f>
        <v>0.7930890068</v>
      </c>
      <c r="Z82" s="26">
        <f>IFERROR(__xludf.DUMMYFUNCTION("""COMPUTED_VALUE"""),-1.2125858900440658)</f>
        <v>-1.21258589</v>
      </c>
      <c r="AA82" s="26">
        <f>IFERROR(__xludf.DUMMYFUNCTION("""COMPUTED_VALUE"""),0.0)</f>
        <v>0</v>
      </c>
      <c r="AB82" t="str">
        <f>IFERROR(__xludf.DUMMYFUNCTION("SUBSTITUTE(REGEXREPLACE(REGEXREPLACE(REGEXREPLACE(REGEXREPLACE(REGEXREPLACE(REGEXREPLACE(F82,"","",),IF(Projections!$T$17="""",""PG"",),),IF(Projections!$U$17="""",""SG"",),),IF(Projections!$V$17="""",""SF"",),),IF(Projections!$W$17="""",""PF"",),),IF(Pro"&amp;"jections!$X$17="""",""C"",),),""/"","""")"),"PGSG")</f>
        <v>PGSG</v>
      </c>
    </row>
    <row r="83">
      <c r="A83" s="408" t="str">
        <f>IF(Projections!$AB$17,Draft!J9,"")</f>
        <v/>
      </c>
      <c r="B83">
        <f>IFERROR(__xludf.DUMMYFUNCTION("""COMPUTED_VALUE"""),89.0)</f>
        <v>89</v>
      </c>
      <c r="C83">
        <f>IFERROR(__xludf.DUMMYFUNCTION("""COMPUTED_VALUE"""),81.0)</f>
        <v>81</v>
      </c>
      <c r="D83" t="str">
        <f>IFERROR(__xludf.DUMMYFUNCTION("""COMPUTED_VALUE"""),"Keegan Murray")</f>
        <v>Keegan Murray</v>
      </c>
      <c r="E83">
        <f>IFERROR(__xludf.DUMMYFUNCTION("""COMPUTED_VALUE"""),76.0)</f>
        <v>76</v>
      </c>
      <c r="F83" t="str">
        <f>IFERROR(__xludf.DUMMYFUNCTION("""COMPUTED_VALUE"""),"SF,PF")</f>
        <v>SF,PF</v>
      </c>
      <c r="G83" s="26">
        <f>IFERROR(__xludf.DUMMYFUNCTION("""COMPUTED_VALUE"""),-0.5901041227301831)</f>
        <v>-0.5901041227</v>
      </c>
      <c r="H83" s="26">
        <f>IFERROR(__xludf.DUMMYFUNCTION("""COMPUTED_VALUE"""),-0.804777211264625)</f>
        <v>-0.8047772113</v>
      </c>
      <c r="I83" s="26">
        <f>IFERROR(__xludf.DUMMYFUNCTION("""COMPUTED_VALUE"""),-0.2146730885344419)</f>
        <v>-0.2146730885</v>
      </c>
      <c r="J83" s="26">
        <f>IFERROR(__xludf.DUMMYFUNCTION("""COMPUTED_VALUE"""),14.94246753)</f>
        <v>14.94246753</v>
      </c>
      <c r="K83" s="26">
        <f>IFERROR(__xludf.DUMMYFUNCTION("""COMPUTED_VALUE"""),2.654935065)</f>
        <v>2.654935065</v>
      </c>
      <c r="L83" s="26">
        <f>IFERROR(__xludf.DUMMYFUNCTION("""COMPUTED_VALUE"""),6.628181818)</f>
        <v>6.628181818</v>
      </c>
      <c r="M83" s="26">
        <f>IFERROR(__xludf.DUMMYFUNCTION("""COMPUTED_VALUE"""),1.546623377)</f>
        <v>1.546623377</v>
      </c>
      <c r="N83" s="26">
        <f>IFERROR(__xludf.DUMMYFUNCTION("""COMPUTED_VALUE"""),0.9588311688)</f>
        <v>0.9588311688</v>
      </c>
      <c r="O83" s="26">
        <f>IFERROR(__xludf.DUMMYFUNCTION("""COMPUTED_VALUE"""),0.8828571429)</f>
        <v>0.8828571429</v>
      </c>
      <c r="P83" s="464">
        <f>IFERROR(__xludf.DUMMYFUNCTION("""COMPUTED_VALUE"""),0.4471965635)</f>
        <v>0.4471965635</v>
      </c>
      <c r="Q83" s="464">
        <f>IFERROR(__xludf.DUMMYFUNCTION("""COMPUTED_VALUE"""),0.8400546822)</f>
        <v>0.8400546822</v>
      </c>
      <c r="R83" s="26">
        <f>IFERROR(__xludf.DUMMYFUNCTION("""COMPUTED_VALUE"""),0.882987013)</f>
        <v>0.882987013</v>
      </c>
      <c r="S83" s="26">
        <f>IFERROR(__xludf.DUMMYFUNCTION("""COMPUTED_VALUE"""),-0.45896675174456414)</f>
        <v>-0.4589667517</v>
      </c>
      <c r="T83" s="26">
        <f>IFERROR(__xludf.DUMMYFUNCTION("""COMPUTED_VALUE"""),0.8989534883364207)</f>
        <v>0.8989534883</v>
      </c>
      <c r="U83" s="26">
        <f>IFERROR(__xludf.DUMMYFUNCTION("""COMPUTED_VALUE"""),0.2135299330846872)</f>
        <v>0.2135299331</v>
      </c>
      <c r="V83" s="26">
        <f>IFERROR(__xludf.DUMMYFUNCTION("""COMPUTED_VALUE"""),-1.0838966634600338)</f>
        <v>-1.083896663</v>
      </c>
      <c r="W83" s="26">
        <f>IFERROR(__xludf.DUMMYFUNCTION("""COMPUTED_VALUE"""),-0.05679987396556487)</f>
        <v>-0.05679987397</v>
      </c>
      <c r="X83" s="26">
        <f>IFERROR(__xludf.DUMMYFUNCTION("""COMPUTED_VALUE"""),0.2393485509172847)</f>
        <v>0.2393485509</v>
      </c>
      <c r="Y83" s="26">
        <f>IFERROR(__xludf.DUMMYFUNCTION("""COMPUTED_VALUE"""),-0.7374651118223421)</f>
        <v>-0.7374651118</v>
      </c>
      <c r="Z83" s="26">
        <f>IFERROR(__xludf.DUMMYFUNCTION("""COMPUTED_VALUE"""),0.18051921738948734)</f>
        <v>0.1805192174</v>
      </c>
      <c r="AA83" s="26">
        <f>IFERROR(__xludf.DUMMYFUNCTION("""COMPUTED_VALUE"""),0.0)</f>
        <v>0</v>
      </c>
      <c r="AB83" t="str">
        <f>IFERROR(__xludf.DUMMYFUNCTION("SUBSTITUTE(REGEXREPLACE(REGEXREPLACE(REGEXREPLACE(REGEXREPLACE(REGEXREPLACE(REGEXREPLACE(F83,"","",),IF(Projections!$T$17="""",""PG"",),),IF(Projections!$U$17="""",""SG"",),),IF(Projections!$V$17="""",""SF"",),),IF(Projections!$W$17="""",""PF"",),),IF(Pro"&amp;"jections!$X$17="""",""C"",),),""/"","""")"),"SFPF")</f>
        <v>SFPF</v>
      </c>
    </row>
    <row r="84">
      <c r="A84" s="408" t="str">
        <f>IF(Projections!$AB$17,Draft!J10,"")</f>
        <v/>
      </c>
      <c r="B84">
        <f>IFERROR(__xludf.DUMMYFUNCTION("""COMPUTED_VALUE"""),81.0)</f>
        <v>81</v>
      </c>
      <c r="C84">
        <f>IFERROR(__xludf.DUMMYFUNCTION("""COMPUTED_VALUE"""),87.2)</f>
        <v>87.2</v>
      </c>
      <c r="D84" t="str">
        <f>IFERROR(__xludf.DUMMYFUNCTION("""COMPUTED_VALUE"""),"Austin Reaves")</f>
        <v>Austin Reaves</v>
      </c>
      <c r="E84">
        <f>IFERROR(__xludf.DUMMYFUNCTION("""COMPUTED_VALUE"""),70.0)</f>
        <v>70</v>
      </c>
      <c r="F84" t="str">
        <f>IFERROR(__xludf.DUMMYFUNCTION("""COMPUTED_VALUE"""),"SG,SF")</f>
        <v>SG,SF</v>
      </c>
      <c r="G84" s="26">
        <f>IFERROR(__xludf.DUMMYFUNCTION("""COMPUTED_VALUE"""),-0.9422812906353915)</f>
        <v>-0.9422812906</v>
      </c>
      <c r="H84" s="26">
        <f>IFERROR(__xludf.DUMMYFUNCTION("""COMPUTED_VALUE"""),-0.8524516409486219)</f>
        <v>-0.8524516409</v>
      </c>
      <c r="I84" s="26">
        <f>IFERROR(__xludf.DUMMYFUNCTION("""COMPUTED_VALUE"""),0.08982964968676954)</f>
        <v>0.08982964969</v>
      </c>
      <c r="J84" s="26">
        <f>IFERROR(__xludf.DUMMYFUNCTION("""COMPUTED_VALUE"""),16.56701299)</f>
        <v>16.56701299</v>
      </c>
      <c r="K84" s="26">
        <f>IFERROR(__xludf.DUMMYFUNCTION("""COMPUTED_VALUE"""),2.255714286)</f>
        <v>2.255714286</v>
      </c>
      <c r="L84" s="26">
        <f>IFERROR(__xludf.DUMMYFUNCTION("""COMPUTED_VALUE"""),4.558181818)</f>
        <v>4.558181818</v>
      </c>
      <c r="M84" s="26">
        <f>IFERROR(__xludf.DUMMYFUNCTION("""COMPUTED_VALUE"""),5.39961039)</f>
        <v>5.39961039</v>
      </c>
      <c r="N84" s="26">
        <f>IFERROR(__xludf.DUMMYFUNCTION("""COMPUTED_VALUE"""),0.6971428571)</f>
        <v>0.6971428571</v>
      </c>
      <c r="O84" s="26">
        <f>IFERROR(__xludf.DUMMYFUNCTION("""COMPUTED_VALUE"""),0.4224675325)</f>
        <v>0.4224675325</v>
      </c>
      <c r="P84" s="464">
        <f>IFERROR(__xludf.DUMMYFUNCTION("""COMPUTED_VALUE"""),0.4831642746)</f>
        <v>0.4831642746</v>
      </c>
      <c r="Q84" s="464">
        <f>IFERROR(__xludf.DUMMYFUNCTION("""COMPUTED_VALUE"""),0.84001281)</f>
        <v>0.84001281</v>
      </c>
      <c r="R84" s="26">
        <f>IFERROR(__xludf.DUMMYFUNCTION("""COMPUTED_VALUE"""),2.110909091)</f>
        <v>2.110909091</v>
      </c>
      <c r="S84" s="26">
        <f>IFERROR(__xludf.DUMMYFUNCTION("""COMPUTED_VALUE"""),-0.16613327218660004)</f>
        <v>-0.1661332722</v>
      </c>
      <c r="T84" s="26">
        <f>IFERROR(__xludf.DUMMYFUNCTION("""COMPUTED_VALUE"""),0.502955004268753)</f>
        <v>0.5029550043</v>
      </c>
      <c r="U84" s="26">
        <f>IFERROR(__xludf.DUMMYFUNCTION("""COMPUTED_VALUE"""),-0.5977175493336868)</f>
        <v>-0.5977175493</v>
      </c>
      <c r="V84" s="26">
        <f>IFERROR(__xludf.DUMMYFUNCTION("""COMPUTED_VALUE"""),0.665892730372067)</f>
        <v>0.6658927304</v>
      </c>
      <c r="W84" s="26">
        <f>IFERROR(__xludf.DUMMYFUNCTION("""COMPUTED_VALUE"""),-0.9225468167639729)</f>
        <v>-0.9225468168</v>
      </c>
      <c r="X84" s="26">
        <f>IFERROR(__xludf.DUMMYFUNCTION("""COMPUTED_VALUE"""),-0.581824375803733)</f>
        <v>-0.5818243758</v>
      </c>
      <c r="Y84" s="26">
        <f>IFERROR(__xludf.DUMMYFUNCTION("""COMPUTED_VALUE"""),-0.20216868149433026)</f>
        <v>-0.2021686815</v>
      </c>
      <c r="Z84" s="26">
        <f>IFERROR(__xludf.DUMMYFUNCTION("""COMPUTED_VALUE"""),0.4490913199928811)</f>
        <v>0.44909132</v>
      </c>
      <c r="AA84" s="26">
        <f>IFERROR(__xludf.DUMMYFUNCTION("""COMPUTED_VALUE"""),0.0)</f>
        <v>0</v>
      </c>
      <c r="AB84" t="str">
        <f>IFERROR(__xludf.DUMMYFUNCTION("SUBSTITUTE(REGEXREPLACE(REGEXREPLACE(REGEXREPLACE(REGEXREPLACE(REGEXREPLACE(REGEXREPLACE(F84,"","",),IF(Projections!$T$17="""",""PG"",),),IF(Projections!$U$17="""",""SG"",),),IF(Projections!$V$17="""",""SF"",),),IF(Projections!$W$17="""",""PF"",),),IF(Pro"&amp;"jections!$X$17="""",""C"",),),""/"","""")"),"SGSF")</f>
        <v>SGSF</v>
      </c>
    </row>
    <row r="85">
      <c r="A85" s="408" t="str">
        <f>IF(Projections!$AB$17,Draft!J11,"")</f>
        <v/>
      </c>
      <c r="B85">
        <f>IFERROR(__xludf.DUMMYFUNCTION("""COMPUTED_VALUE"""),87.0)</f>
        <v>87</v>
      </c>
      <c r="C85">
        <f>IFERROR(__xludf.DUMMYFUNCTION("""COMPUTED_VALUE"""),82.0)</f>
        <v>82</v>
      </c>
      <c r="D85" t="str">
        <f>IFERROR(__xludf.DUMMYFUNCTION("""COMPUTED_VALUE"""),"Devin Vassell")</f>
        <v>Devin Vassell</v>
      </c>
      <c r="E85">
        <f>IFERROR(__xludf.DUMMYFUNCTION("""COMPUTED_VALUE"""),76.0)</f>
        <v>76</v>
      </c>
      <c r="F85" t="str">
        <f>IFERROR(__xludf.DUMMYFUNCTION("""COMPUTED_VALUE"""),"SG,SF")</f>
        <v>SG,SF</v>
      </c>
      <c r="G85" s="26">
        <f>IFERROR(__xludf.DUMMYFUNCTION("""COMPUTED_VALUE"""),-0.8099713462651276)</f>
        <v>-0.8099713463</v>
      </c>
      <c r="H85" s="26">
        <f>IFERROR(__xludf.DUMMYFUNCTION("""COMPUTED_VALUE"""),-0.8855683242710779)</f>
        <v>-0.8855683243</v>
      </c>
      <c r="I85" s="26">
        <f>IFERROR(__xludf.DUMMYFUNCTION("""COMPUTED_VALUE"""),-0.07559697800595033)</f>
        <v>-0.07559697801</v>
      </c>
      <c r="J85" s="26">
        <f>IFERROR(__xludf.DUMMYFUNCTION("""COMPUTED_VALUE"""),18.84818182)</f>
        <v>18.84818182</v>
      </c>
      <c r="K85" s="26">
        <f>IFERROR(__xludf.DUMMYFUNCTION("""COMPUTED_VALUE"""),2.230181818)</f>
        <v>2.230181818</v>
      </c>
      <c r="L85" s="26">
        <f>IFERROR(__xludf.DUMMYFUNCTION("""COMPUTED_VALUE"""),3.85)</f>
        <v>3.85</v>
      </c>
      <c r="M85" s="26">
        <f>IFERROR(__xludf.DUMMYFUNCTION("""COMPUTED_VALUE"""),3.437454545)</f>
        <v>3.437454545</v>
      </c>
      <c r="N85" s="26">
        <f>IFERROR(__xludf.DUMMYFUNCTION("""COMPUTED_VALUE"""),1.031272727)</f>
        <v>1.031272727</v>
      </c>
      <c r="O85" s="26">
        <f>IFERROR(__xludf.DUMMYFUNCTION("""COMPUTED_VALUE"""),0.4152727273)</f>
        <v>0.4152727273</v>
      </c>
      <c r="P85" s="464">
        <f>IFERROR(__xludf.DUMMYFUNCTION("""COMPUTED_VALUE"""),0.4845355868)</f>
        <v>0.4845355868</v>
      </c>
      <c r="Q85" s="464">
        <f>IFERROR(__xludf.DUMMYFUNCTION("""COMPUTED_VALUE"""),0.8099924869)</f>
        <v>0.8099924869</v>
      </c>
      <c r="R85" s="26">
        <f>IFERROR(__xludf.DUMMYFUNCTION("""COMPUTED_VALUE"""),1.443818182)</f>
        <v>1.443818182</v>
      </c>
      <c r="S85" s="26">
        <f>IFERROR(__xludf.DUMMYFUNCTION("""COMPUTED_VALUE"""),0.24506027234373967)</f>
        <v>0.2450602723</v>
      </c>
      <c r="T85" s="26">
        <f>IFERROR(__xludf.DUMMYFUNCTION("""COMPUTED_VALUE"""),0.47762862058744127)</f>
        <v>0.4776286206</v>
      </c>
      <c r="U85" s="26">
        <f>IFERROR(__xludf.DUMMYFUNCTION("""COMPUTED_VALUE"""),-0.8752589584868112)</f>
        <v>-0.8752589585</v>
      </c>
      <c r="V85" s="26">
        <f>IFERROR(__xludf.DUMMYFUNCTION("""COMPUTED_VALUE"""),-0.2251976042287217)</f>
        <v>-0.2251976042</v>
      </c>
      <c r="W85" s="26">
        <f>IFERROR(__xludf.DUMMYFUNCTION("""COMPUTED_VALUE"""),0.18285950224341443)</f>
        <v>0.1828595022</v>
      </c>
      <c r="X85" s="26">
        <f>IFERROR(__xludf.DUMMYFUNCTION("""COMPUTED_VALUE"""),-0.5946573744418614)</f>
        <v>-0.5946573744</v>
      </c>
      <c r="Y85" s="26">
        <f>IFERROR(__xludf.DUMMYFUNCTION("""COMPUTED_VALUE"""),-0.22363312186258066)</f>
        <v>-0.2236331219</v>
      </c>
      <c r="Z85" s="26">
        <f>IFERROR(__xludf.DUMMYFUNCTION("""COMPUTED_VALUE"""),0.12763033957430173)</f>
        <v>0.1276303396</v>
      </c>
      <c r="AA85" s="26">
        <f>IFERROR(__xludf.DUMMYFUNCTION("""COMPUTED_VALUE"""),0.0)</f>
        <v>0</v>
      </c>
      <c r="AB85" t="str">
        <f>IFERROR(__xludf.DUMMYFUNCTION("SUBSTITUTE(REGEXREPLACE(REGEXREPLACE(REGEXREPLACE(REGEXREPLACE(REGEXREPLACE(REGEXREPLACE(F85,"","",),IF(Projections!$T$17="""",""PG"",),),IF(Projections!$U$17="""",""SG"",),),IF(Projections!$V$17="""",""SF"",),),IF(Projections!$W$17="""",""PF"",),),IF(Pro"&amp;"jections!$X$17="""",""C"",),),""/"","""")"),"SGSF")</f>
        <v>SGSF</v>
      </c>
    </row>
    <row r="86">
      <c r="A86" s="408" t="str">
        <f>IF(Projections!$AB$17,Draft!J12,"")</f>
        <v/>
      </c>
      <c r="B86">
        <f>IFERROR(__xludf.DUMMYFUNCTION("""COMPUTED_VALUE"""),66.0)</f>
        <v>66</v>
      </c>
      <c r="C86">
        <f>IFERROR(__xludf.DUMMYFUNCTION("""COMPUTED_VALUE"""),53.8)</f>
        <v>53.8</v>
      </c>
      <c r="D86" t="str">
        <f>IFERROR(__xludf.DUMMYFUNCTION("""COMPUTED_VALUE"""),"Jalen Duren")</f>
        <v>Jalen Duren</v>
      </c>
      <c r="E86">
        <f>IFERROR(__xludf.DUMMYFUNCTION("""COMPUTED_VALUE"""),68.0)</f>
        <v>68</v>
      </c>
      <c r="F86" t="str">
        <f>IFERROR(__xludf.DUMMYFUNCTION("""COMPUTED_VALUE"""),"PG")</f>
        <v>PG</v>
      </c>
      <c r="G86" s="26">
        <f>IFERROR(__xludf.DUMMYFUNCTION("""COMPUTED_VALUE"""),-1.012956475375705)</f>
        <v>-1.012956475</v>
      </c>
      <c r="H86" s="26">
        <f>IFERROR(__xludf.DUMMYFUNCTION("""COMPUTED_VALUE"""),-0.8977882234318798)</f>
        <v>-0.8977882234</v>
      </c>
      <c r="I86" s="26">
        <f>IFERROR(__xludf.DUMMYFUNCTION("""COMPUTED_VALUE"""),0.11516825194382518)</f>
        <v>0.1151682519</v>
      </c>
      <c r="J86" s="26">
        <f>IFERROR(__xludf.DUMMYFUNCTION("""COMPUTED_VALUE"""),12.98647059)</f>
        <v>12.98647059</v>
      </c>
      <c r="K86" s="26">
        <f>IFERROR(__xludf.DUMMYFUNCTION("""COMPUTED_VALUE"""),0.0)</f>
        <v>0</v>
      </c>
      <c r="L86" s="26">
        <f>IFERROR(__xludf.DUMMYFUNCTION("""COMPUTED_VALUE"""),11.42411765)</f>
        <v>11.42411765</v>
      </c>
      <c r="M86" s="26">
        <f>IFERROR(__xludf.DUMMYFUNCTION("""COMPUTED_VALUE"""),2.262941176)</f>
        <v>2.262941176</v>
      </c>
      <c r="N86" s="26">
        <f>IFERROR(__xludf.DUMMYFUNCTION("""COMPUTED_VALUE"""),0.6036764706)</f>
        <v>0.6036764706</v>
      </c>
      <c r="O86" s="26">
        <f>IFERROR(__xludf.DUMMYFUNCTION("""COMPUTED_VALUE"""),0.8373529412)</f>
        <v>0.8373529412</v>
      </c>
      <c r="P86" s="464">
        <f>IFERROR(__xludf.DUMMYFUNCTION("""COMPUTED_VALUE"""),0.6229925716)</f>
        <v>0.6229925716</v>
      </c>
      <c r="Q86" s="464">
        <f>IFERROR(__xludf.DUMMYFUNCTION("""COMPUTED_VALUE"""),0.8100140596)</f>
        <v>0.8100140596</v>
      </c>
      <c r="R86" s="26">
        <f>IFERROR(__xludf.DUMMYFUNCTION("""COMPUTED_VALUE"""),2.213088235)</f>
        <v>2.213088235</v>
      </c>
      <c r="S86" s="26">
        <f>IFERROR(__xludf.DUMMYFUNCTION("""COMPUTED_VALUE"""),-0.8115462295419605)</f>
        <v>-0.8115462295</v>
      </c>
      <c r="T86" s="26">
        <f>IFERROR(__xludf.DUMMYFUNCTION("""COMPUTED_VALUE"""),-1.7345523719336797)</f>
        <v>-1.734552372</v>
      </c>
      <c r="U86" s="26">
        <f>IFERROR(__xludf.DUMMYFUNCTION("""COMPUTED_VALUE"""),2.093090739630615)</f>
        <v>2.09309074</v>
      </c>
      <c r="V86" s="26">
        <f>IFERROR(__xludf.DUMMYFUNCTION("""COMPUTED_VALUE"""),-0.7585892375397392)</f>
        <v>-0.7585892375</v>
      </c>
      <c r="W86" s="26">
        <f>IFERROR(__xludf.DUMMYFUNCTION("""COMPUTED_VALUE"""),-1.2317629137349155)</f>
        <v>-1.231762914</v>
      </c>
      <c r="X86" s="26">
        <f>IFERROR(__xludf.DUMMYFUNCTION("""COMPUTED_VALUE"""),0.15818508057826675)</f>
        <v>0.1581850806</v>
      </c>
      <c r="Y86" s="26">
        <f>IFERROR(__xludf.DUMMYFUNCTION("""COMPUTED_VALUE"""),1.216132139105478)</f>
        <v>1.216132139</v>
      </c>
      <c r="Z86" s="26">
        <f>IFERROR(__xludf.DUMMYFUNCTION("""COMPUTED_VALUE"""),0.1712545700040552)</f>
        <v>0.17125457</v>
      </c>
      <c r="AA86" s="26">
        <f>IFERROR(__xludf.DUMMYFUNCTION("""COMPUTED_VALUE"""),0.0)</f>
        <v>0</v>
      </c>
      <c r="AB86" t="str">
        <f>IFERROR(__xludf.DUMMYFUNCTION("SUBSTITUTE(REGEXREPLACE(REGEXREPLACE(REGEXREPLACE(REGEXREPLACE(REGEXREPLACE(REGEXREPLACE(F86,"","",),IF(Projections!$T$17="""",""PG"",),),IF(Projections!$U$17="""",""SG"",),),IF(Projections!$V$17="""",""SF"",),),IF(Projections!$W$17="""",""PF"",),),IF(Pro"&amp;"jections!$X$17="""",""C"",),),""/"","""")"),"PG")</f>
        <v>PG</v>
      </c>
    </row>
    <row r="87">
      <c r="A87" s="408" t="str">
        <f>IF(Projections!$AB$17,Draft!J13,"")</f>
        <v/>
      </c>
      <c r="B87">
        <f>IFERROR(__xludf.DUMMYFUNCTION("""COMPUTED_VALUE"""),76.0)</f>
        <v>76</v>
      </c>
      <c r="C87">
        <f>IFERROR(__xludf.DUMMYFUNCTION("""COMPUTED_VALUE"""),76.4)</f>
        <v>76.4</v>
      </c>
      <c r="D87" t="str">
        <f>IFERROR(__xludf.DUMMYFUNCTION("""COMPUTED_VALUE"""),"Isaiah Hartenstein")</f>
        <v>Isaiah Hartenstein</v>
      </c>
      <c r="E87">
        <f>IFERROR(__xludf.DUMMYFUNCTION("""COMPUTED_VALUE"""),72.0)</f>
        <v>72</v>
      </c>
      <c r="F87" t="str">
        <f>IFERROR(__xludf.DUMMYFUNCTION("""COMPUTED_VALUE"""),"SF,PF")</f>
        <v>SF,PF</v>
      </c>
      <c r="G87" s="26">
        <f>IFERROR(__xludf.DUMMYFUNCTION("""COMPUTED_VALUE"""),-0.8745065711818732)</f>
        <v>-0.8745065712</v>
      </c>
      <c r="H87" s="26">
        <f>IFERROR(__xludf.DUMMYFUNCTION("""COMPUTED_VALUE"""),-0.9580849853776192)</f>
        <v>-0.9580849854</v>
      </c>
      <c r="I87" s="26">
        <f>IFERROR(__xludf.DUMMYFUNCTION("""COMPUTED_VALUE"""),-0.08357841419574596)</f>
        <v>-0.0835784142</v>
      </c>
      <c r="J87" s="26">
        <f>IFERROR(__xludf.DUMMYFUNCTION("""COMPUTED_VALUE"""),11.22408163)</f>
        <v>11.22408163</v>
      </c>
      <c r="K87" s="26">
        <f>IFERROR(__xludf.DUMMYFUNCTION("""COMPUTED_VALUE"""),0.1579591837)</f>
        <v>0.1579591837</v>
      </c>
      <c r="L87" s="26">
        <f>IFERROR(__xludf.DUMMYFUNCTION("""COMPUTED_VALUE"""),8.749183673)</f>
        <v>8.749183673</v>
      </c>
      <c r="M87" s="26">
        <f>IFERROR(__xludf.DUMMYFUNCTION("""COMPUTED_VALUE"""),3.40877551)</f>
        <v>3.40877551</v>
      </c>
      <c r="N87" s="26">
        <f>IFERROR(__xludf.DUMMYFUNCTION("""COMPUTED_VALUE"""),0.9657142857)</f>
        <v>0.9657142857</v>
      </c>
      <c r="O87" s="26">
        <f>IFERROR(__xludf.DUMMYFUNCTION("""COMPUTED_VALUE"""),1.184489796)</f>
        <v>1.184489796</v>
      </c>
      <c r="P87" s="464">
        <f>IFERROR(__xludf.DUMMYFUNCTION("""COMPUTED_VALUE"""),0.5965386128)</f>
        <v>0.5965386128</v>
      </c>
      <c r="Q87" s="464">
        <f>IFERROR(__xludf.DUMMYFUNCTION("""COMPUTED_VALUE"""),0.7150114716)</f>
        <v>0.7150114716</v>
      </c>
      <c r="R87" s="26">
        <f>IFERROR(__xludf.DUMMYFUNCTION("""COMPUTED_VALUE"""),1.411632653)</f>
        <v>1.411632653</v>
      </c>
      <c r="S87" s="26">
        <f>IFERROR(__xludf.DUMMYFUNCTION("""COMPUTED_VALUE"""),-1.1292267772388787)</f>
        <v>-1.129226777</v>
      </c>
      <c r="T87" s="26">
        <f>IFERROR(__xludf.DUMMYFUNCTION("""COMPUTED_VALUE"""),-1.577868149618272)</f>
        <v>-1.57786815</v>
      </c>
      <c r="U87" s="26">
        <f>IFERROR(__xludf.DUMMYFUNCTION("""COMPUTED_VALUE"""),1.0447653993037458)</f>
        <v>1.044765399</v>
      </c>
      <c r="V87" s="26">
        <f>IFERROR(__xludf.DUMMYFUNCTION("""COMPUTED_VALUE"""),-0.23822185556905184)</f>
        <v>-0.2382218556</v>
      </c>
      <c r="W87" s="26">
        <f>IFERROR(__xludf.DUMMYFUNCTION("""COMPUTED_VALUE"""),-0.034028366234143924)</f>
        <v>-0.03402836623</v>
      </c>
      <c r="X87" s="26">
        <f>IFERROR(__xludf.DUMMYFUNCTION("""COMPUTED_VALUE"""),0.7773549762263833)</f>
        <v>0.7773549762</v>
      </c>
      <c r="Y87" s="26">
        <f>IFERROR(__xludf.DUMMYFUNCTION("""COMPUTED_VALUE"""),0.8988386059173915)</f>
        <v>0.8988386059</v>
      </c>
      <c r="Z87" s="26">
        <f>IFERROR(__xludf.DUMMYFUNCTION("""COMPUTED_VALUE"""),-0.6996988181647933)</f>
        <v>-0.6996988182</v>
      </c>
      <c r="AA87" s="26">
        <f>IFERROR(__xludf.DUMMYFUNCTION("""COMPUTED_VALUE"""),0.0)</f>
        <v>0</v>
      </c>
      <c r="AB87" t="str">
        <f>IFERROR(__xludf.DUMMYFUNCTION("SUBSTITUTE(REGEXREPLACE(REGEXREPLACE(REGEXREPLACE(REGEXREPLACE(REGEXREPLACE(REGEXREPLACE(F87,"","",),IF(Projections!$T$17="""",""PG"",),),IF(Projections!$U$17="""",""SG"",),),IF(Projections!$V$17="""",""SF"",),),IF(Projections!$W$17="""",""PF"",),),IF(Pro"&amp;"jections!$X$17="""",""C"",),),""/"","""")"),"SFPF")</f>
        <v>SFPF</v>
      </c>
    </row>
    <row r="88">
      <c r="A88" s="408" t="str">
        <f>IF(Projections!$AB$17,Draft!J14,"")</f>
        <v/>
      </c>
      <c r="B88">
        <f>IFERROR(__xludf.DUMMYFUNCTION("""COMPUTED_VALUE"""),84.0)</f>
        <v>84</v>
      </c>
      <c r="C88">
        <f>IFERROR(__xludf.DUMMYFUNCTION("""COMPUTED_VALUE"""),67.4)</f>
        <v>67.4</v>
      </c>
      <c r="D88" t="str">
        <f>IFERROR(__xludf.DUMMYFUNCTION("""COMPUTED_VALUE"""),"Josh Giddey")</f>
        <v>Josh Giddey</v>
      </c>
      <c r="E88">
        <f>IFERROR(__xludf.DUMMYFUNCTION("""COMPUTED_VALUE"""),58.0)</f>
        <v>58</v>
      </c>
      <c r="F88" t="str">
        <f>IFERROR(__xludf.DUMMYFUNCTION("""COMPUTED_VALUE"""),"C")</f>
        <v>C</v>
      </c>
      <c r="G88" s="26">
        <f>IFERROR(__xludf.DUMMYFUNCTION("""COMPUTED_VALUE"""),-1.193500606707342)</f>
        <v>-1.193500607</v>
      </c>
      <c r="H88" s="26">
        <f>IFERROR(__xludf.DUMMYFUNCTION("""COMPUTED_VALUE"""),-0.9679248924434174)</f>
        <v>-0.9679248924</v>
      </c>
      <c r="I88" s="26">
        <f>IFERROR(__xludf.DUMMYFUNCTION("""COMPUTED_VALUE"""),0.22557571426392453)</f>
        <v>0.2255757143</v>
      </c>
      <c r="J88" s="26">
        <f>IFERROR(__xludf.DUMMYFUNCTION("""COMPUTED_VALUE"""),15.11077922)</f>
        <v>15.11077922</v>
      </c>
      <c r="K88" s="26">
        <f>IFERROR(__xludf.DUMMYFUNCTION("""COMPUTED_VALUE"""),1.057532468)</f>
        <v>1.057532468</v>
      </c>
      <c r="L88" s="26">
        <f>IFERROR(__xludf.DUMMYFUNCTION("""COMPUTED_VALUE"""),7.721558442)</f>
        <v>7.721558442</v>
      </c>
      <c r="M88" s="26">
        <f>IFERROR(__xludf.DUMMYFUNCTION("""COMPUTED_VALUE"""),6.265844156)</f>
        <v>6.265844156</v>
      </c>
      <c r="N88" s="26">
        <f>IFERROR(__xludf.DUMMYFUNCTION("""COMPUTED_VALUE"""),0.7207792208)</f>
        <v>0.7207792208</v>
      </c>
      <c r="O88" s="26">
        <f>IFERROR(__xludf.DUMMYFUNCTION("""COMPUTED_VALUE"""),0.5696103896)</f>
        <v>0.5696103896</v>
      </c>
      <c r="P88" s="464">
        <f>IFERROR(__xludf.DUMMYFUNCTION("""COMPUTED_VALUE"""),0.4830343544)</f>
        <v>0.4830343544</v>
      </c>
      <c r="Q88" s="464">
        <f>IFERROR(__xludf.DUMMYFUNCTION("""COMPUTED_VALUE"""),0.7759944815)</f>
        <v>0.7759944815</v>
      </c>
      <c r="R88" s="26">
        <f>IFERROR(__xludf.DUMMYFUNCTION("""COMPUTED_VALUE"""),2.658311688)</f>
        <v>2.658311688</v>
      </c>
      <c r="S88" s="26">
        <f>IFERROR(__xludf.DUMMYFUNCTION("""COMPUTED_VALUE"""),-0.428627620555843)</f>
        <v>-0.4286276206</v>
      </c>
      <c r="T88" s="26">
        <f>IFERROR(__xludf.DUMMYFUNCTION("""COMPUTED_VALUE"""),-0.6855557359636386)</f>
        <v>-0.685555736</v>
      </c>
      <c r="U88" s="26">
        <f>IFERROR(__xludf.DUMMYFUNCTION("""COMPUTED_VALUE"""),0.642031881662031)</f>
        <v>0.6420318817</v>
      </c>
      <c r="V88" s="26">
        <f>IFERROR(__xludf.DUMMYFUNCTION("""COMPUTED_VALUE"""),1.0592827551014437)</f>
        <v>1.059282755</v>
      </c>
      <c r="W88" s="26">
        <f>IFERROR(__xludf.DUMMYFUNCTION("""COMPUTED_VALUE"""),-0.8443503184977255)</f>
        <v>-0.8443503185</v>
      </c>
      <c r="X88" s="26">
        <f>IFERROR(__xludf.DUMMYFUNCTION("""COMPUTED_VALUE"""),-0.319373338939719)</f>
        <v>-0.3193733389</v>
      </c>
      <c r="Y88" s="26">
        <f>IFERROR(__xludf.DUMMYFUNCTION("""COMPUTED_VALUE"""),-0.20297755291050495)</f>
        <v>-0.2029775529</v>
      </c>
      <c r="Z88" s="26">
        <f>IFERROR(__xludf.DUMMYFUNCTION("""COMPUTED_VALUE"""),-0.18835496233946092)</f>
        <v>-0.1883549623</v>
      </c>
      <c r="AA88" s="26">
        <f>IFERROR(__xludf.DUMMYFUNCTION("""COMPUTED_VALUE"""),0.0)</f>
        <v>0</v>
      </c>
      <c r="AB88" t="str">
        <f>IFERROR(__xludf.DUMMYFUNCTION("SUBSTITUTE(REGEXREPLACE(REGEXREPLACE(REGEXREPLACE(REGEXREPLACE(REGEXREPLACE(REGEXREPLACE(F88,"","",),IF(Projections!$T$17="""",""PG"",),),IF(Projections!$U$17="""",""SG"",),),IF(Projections!$V$17="""",""SF"",),),IF(Projections!$W$17="""",""PF"",),),IF(Pro"&amp;"jections!$X$17="""",""C"",),),""/"","""")"),"C")</f>
        <v>C</v>
      </c>
    </row>
    <row r="89">
      <c r="A89" s="408" t="str">
        <f>IF(Projections!$AB$17,Draft!K3,"")</f>
        <v/>
      </c>
      <c r="B89">
        <f>IFERROR(__xludf.DUMMYFUNCTION("""COMPUTED_VALUE"""),83.0)</f>
        <v>83</v>
      </c>
      <c r="C89">
        <f>IFERROR(__xludf.DUMMYFUNCTION("""COMPUTED_VALUE"""),69.9)</f>
        <v>69.9</v>
      </c>
      <c r="D89" t="str">
        <f>IFERROR(__xludf.DUMMYFUNCTION("""COMPUTED_VALUE"""),"Brandon Ingram")</f>
        <v>Brandon Ingram</v>
      </c>
      <c r="E89">
        <f>IFERROR(__xludf.DUMMYFUNCTION("""COMPUTED_VALUE"""),67.0)</f>
        <v>67</v>
      </c>
      <c r="F89" t="str">
        <f>IFERROR(__xludf.DUMMYFUNCTION("""COMPUTED_VALUE"""),"C")</f>
        <v>C</v>
      </c>
      <c r="G89" s="26">
        <f>IFERROR(__xludf.DUMMYFUNCTION("""COMPUTED_VALUE"""),-1.126117832950926)</f>
        <v>-1.126117833</v>
      </c>
      <c r="H89" s="26">
        <f>IFERROR(__xludf.DUMMYFUNCTION("""COMPUTED_VALUE"""),-0.9858960917458066)</f>
        <v>-0.9858960917</v>
      </c>
      <c r="I89" s="26">
        <f>IFERROR(__xludf.DUMMYFUNCTION("""COMPUTED_VALUE"""),0.14022174120511943)</f>
        <v>0.1402217412</v>
      </c>
      <c r="J89" s="26">
        <f>IFERROR(__xludf.DUMMYFUNCTION("""COMPUTED_VALUE"""),17.98279412)</f>
        <v>17.98279412</v>
      </c>
      <c r="K89" s="26">
        <f>IFERROR(__xludf.DUMMYFUNCTION("""COMPUTED_VALUE"""),1.190441176)</f>
        <v>1.190441176</v>
      </c>
      <c r="L89" s="26">
        <f>IFERROR(__xludf.DUMMYFUNCTION("""COMPUTED_VALUE"""),5.785294118)</f>
        <v>5.785294118</v>
      </c>
      <c r="M89" s="26">
        <f>IFERROR(__xludf.DUMMYFUNCTION("""COMPUTED_VALUE"""),4.900441176)</f>
        <v>4.900441176</v>
      </c>
      <c r="N89" s="26">
        <f>IFERROR(__xludf.DUMMYFUNCTION("""COMPUTED_VALUE"""),0.7513235294)</f>
        <v>0.7513235294</v>
      </c>
      <c r="O89" s="26">
        <f>IFERROR(__xludf.DUMMYFUNCTION("""COMPUTED_VALUE"""),0.5445588235)</f>
        <v>0.5445588235</v>
      </c>
      <c r="P89" s="464">
        <f>IFERROR(__xludf.DUMMYFUNCTION("""COMPUTED_VALUE"""),0.4993455769)</f>
        <v>0.4993455769</v>
      </c>
      <c r="Q89" s="464">
        <f>IFERROR(__xludf.DUMMYFUNCTION("""COMPUTED_VALUE"""),0.815012194)</f>
        <v>0.815012194</v>
      </c>
      <c r="R89" s="26">
        <f>IFERROR(__xludf.DUMMYFUNCTION("""COMPUTED_VALUE"""),2.314117647)</f>
        <v>2.314117647</v>
      </c>
      <c r="S89" s="26">
        <f>IFERROR(__xludf.DUMMYFUNCTION("""COMPUTED_VALUE"""),0.08906925972063728)</f>
        <v>0.08906925972</v>
      </c>
      <c r="T89" s="26">
        <f>IFERROR(__xludf.DUMMYFUNCTION("""COMPUTED_VALUE"""),-0.5537197954115756)</f>
        <v>-0.5537197954</v>
      </c>
      <c r="U89" s="26">
        <f>IFERROR(__xludf.DUMMYFUNCTION("""COMPUTED_VALUE"""),-0.11680365367203428)</f>
        <v>-0.1168036537</v>
      </c>
      <c r="V89" s="26">
        <f>IFERROR(__xludf.DUMMYFUNCTION("""COMPUTED_VALUE"""),0.43920081746457174)</f>
        <v>0.4392008175</v>
      </c>
      <c r="W89" s="26">
        <f>IFERROR(__xludf.DUMMYFUNCTION("""COMPUTED_VALUE"""),-0.7433001736954762)</f>
        <v>-0.7433001737</v>
      </c>
      <c r="X89" s="26">
        <f>IFERROR(__xludf.DUMMYFUNCTION("""COMPUTED_VALUE"""),-0.3640565102984488)</f>
        <v>-0.3640565103</v>
      </c>
      <c r="Y89" s="26">
        <f>IFERROR(__xludf.DUMMYFUNCTION("""COMPUTED_VALUE"""),0.03456264138805354)</f>
        <v>0.03456264139</v>
      </c>
      <c r="Z89" s="26">
        <f>IFERROR(__xludf.DUMMYFUNCTION("""COMPUTED_VALUE"""),0.22915132275846556)</f>
        <v>0.2291513228</v>
      </c>
      <c r="AA89" s="26">
        <f>IFERROR(__xludf.DUMMYFUNCTION("""COMPUTED_VALUE"""),0.0)</f>
        <v>0</v>
      </c>
      <c r="AB89" t="str">
        <f>IFERROR(__xludf.DUMMYFUNCTION("SUBSTITUTE(REGEXREPLACE(REGEXREPLACE(REGEXREPLACE(REGEXREPLACE(REGEXREPLACE(REGEXREPLACE(F89,"","",),IF(Projections!$T$17="""",""PG"",),),IF(Projections!$U$17="""",""SG"",),),IF(Projections!$V$17="""",""SF"",),),IF(Projections!$W$17="""",""PF"",),),IF(Pro"&amp;"jections!$X$17="""",""C"",),),""/"","""")"),"C")</f>
        <v>C</v>
      </c>
    </row>
    <row r="90">
      <c r="A90" s="408" t="str">
        <f>IF(Projections!$AB$17,Draft!K4,"")</f>
        <v/>
      </c>
      <c r="B90">
        <f>IFERROR(__xludf.DUMMYFUNCTION("""COMPUTED_VALUE"""),74.0)</f>
        <v>74</v>
      </c>
      <c r="C90">
        <f>IFERROR(__xludf.DUMMYFUNCTION("""COMPUTED_VALUE"""),46.4)</f>
        <v>46.4</v>
      </c>
      <c r="D90" t="str">
        <f>IFERROR(__xludf.DUMMYFUNCTION("""COMPUTED_VALUE"""),"Rudy Gobert")</f>
        <v>Rudy Gobert</v>
      </c>
      <c r="E90">
        <f>IFERROR(__xludf.DUMMYFUNCTION("""COMPUTED_VALUE"""),74.0)</f>
        <v>74</v>
      </c>
      <c r="F90" t="str">
        <f>IFERROR(__xludf.DUMMYFUNCTION("""COMPUTED_VALUE"""),"SG,SF")</f>
        <v>SG,SF</v>
      </c>
      <c r="G90" s="26">
        <f>IFERROR(__xludf.DUMMYFUNCTION("""COMPUTED_VALUE"""),-0.95984735783506)</f>
        <v>-0.9598473578</v>
      </c>
      <c r="H90" s="26">
        <f>IFERROR(__xludf.DUMMYFUNCTION("""COMPUTED_VALUE"""),-1.0228370848022421)</f>
        <v>-1.022837085</v>
      </c>
      <c r="I90" s="26">
        <f>IFERROR(__xludf.DUMMYFUNCTION("""COMPUTED_VALUE"""),-0.06298972696718208)</f>
        <v>-0.06298972697</v>
      </c>
      <c r="J90" s="26">
        <f>IFERROR(__xludf.DUMMYFUNCTION("""COMPUTED_VALUE"""),11.92520548)</f>
        <v>11.92520548</v>
      </c>
      <c r="K90" s="26">
        <f>IFERROR(__xludf.DUMMYFUNCTION("""COMPUTED_VALUE"""),0.0)</f>
        <v>0</v>
      </c>
      <c r="L90" s="26">
        <f>IFERROR(__xludf.DUMMYFUNCTION("""COMPUTED_VALUE"""),12.46438356)</f>
        <v>12.46438356</v>
      </c>
      <c r="M90" s="26">
        <f>IFERROR(__xludf.DUMMYFUNCTION("""COMPUTED_VALUE"""),1.30369863)</f>
        <v>1.30369863</v>
      </c>
      <c r="N90" s="26">
        <f>IFERROR(__xludf.DUMMYFUNCTION("""COMPUTED_VALUE"""),0.6642465753)</f>
        <v>0.6642465753</v>
      </c>
      <c r="O90" s="26">
        <f>IFERROR(__xludf.DUMMYFUNCTION("""COMPUTED_VALUE"""),2.041232877)</f>
        <v>2.041232877</v>
      </c>
      <c r="P90" s="464">
        <f>IFERROR(__xludf.DUMMYFUNCTION("""COMPUTED_VALUE"""),0.675)</f>
        <v>0.675</v>
      </c>
      <c r="Q90" s="464">
        <f>IFERROR(__xludf.DUMMYFUNCTION("""COMPUTED_VALUE"""),0.6430088154)</f>
        <v>0.6430088154</v>
      </c>
      <c r="R90" s="26">
        <f>IFERROR(__xludf.DUMMYFUNCTION("""COMPUTED_VALUE"""),1.494657534)</f>
        <v>1.494657534</v>
      </c>
      <c r="S90" s="26">
        <f>IFERROR(__xludf.DUMMYFUNCTION("""COMPUTED_VALUE"""),-1.0028452498197713)</f>
        <v>-1.00284525</v>
      </c>
      <c r="T90" s="26">
        <f>IFERROR(__xludf.DUMMYFUNCTION("""COMPUTED_VALUE"""),-1.7345523719336797)</f>
        <v>-1.734552372</v>
      </c>
      <c r="U90" s="26">
        <f>IFERROR(__xludf.DUMMYFUNCTION("""COMPUTED_VALUE"""),2.500778227810885)</f>
        <v>2.500778228</v>
      </c>
      <c r="V90" s="26">
        <f>IFERROR(__xludf.DUMMYFUNCTION("""COMPUTED_VALUE"""),-1.1942181216860197)</f>
        <v>-1.194218122</v>
      </c>
      <c r="W90" s="26">
        <f>IFERROR(__xludf.DUMMYFUNCTION("""COMPUTED_VALUE"""),-1.031378025971491)</f>
        <v>-1.031378026</v>
      </c>
      <c r="X90" s="26">
        <f>IFERROR(__xludf.DUMMYFUNCTION("""COMPUTED_VALUE"""),2.305482908265295)</f>
        <v>2.305482908</v>
      </c>
      <c r="Y90" s="26">
        <f>IFERROR(__xludf.DUMMYFUNCTION("""COMPUTED_VALUE"""),1.4070725947543323)</f>
        <v>1.407072595</v>
      </c>
      <c r="Z90" s="26">
        <f>IFERROR(__xludf.DUMMYFUNCTION("""COMPUTED_VALUE"""),-2.273177046221793)</f>
        <v>-2.273177046</v>
      </c>
      <c r="AA90" s="26">
        <f>IFERROR(__xludf.DUMMYFUNCTION("""COMPUTED_VALUE"""),0.0)</f>
        <v>0</v>
      </c>
      <c r="AB90" t="str">
        <f>IFERROR(__xludf.DUMMYFUNCTION("SUBSTITUTE(REGEXREPLACE(REGEXREPLACE(REGEXREPLACE(REGEXREPLACE(REGEXREPLACE(REGEXREPLACE(F90,"","",),IF(Projections!$T$17="""",""PG"",),),IF(Projections!$U$17="""",""SG"",),),IF(Projections!$V$17="""",""SF"",),),IF(Projections!$W$17="""",""PF"",),),IF(Pro"&amp;"jections!$X$17="""",""C"",),),""/"","""")"),"SGSF")</f>
        <v>SGSF</v>
      </c>
    </row>
    <row r="91">
      <c r="A91" s="408" t="str">
        <f>IF(Projections!$AB$17,Draft!K5,"")</f>
        <v/>
      </c>
      <c r="B91">
        <f>IFERROR(__xludf.DUMMYFUNCTION("""COMPUTED_VALUE"""),93.0)</f>
        <v>93</v>
      </c>
      <c r="C91">
        <f>IFERROR(__xludf.DUMMYFUNCTION("""COMPUTED_VALUE"""),96.2)</f>
        <v>96.2</v>
      </c>
      <c r="D91" t="str">
        <f>IFERROR(__xludf.DUMMYFUNCTION("""COMPUTED_VALUE"""),"Herbert Jones")</f>
        <v>Herbert Jones</v>
      </c>
      <c r="E91">
        <f>IFERROR(__xludf.DUMMYFUNCTION("""COMPUTED_VALUE"""),65.0)</f>
        <v>65</v>
      </c>
      <c r="F91" t="str">
        <f>IFERROR(__xludf.DUMMYFUNCTION("""COMPUTED_VALUE"""),"SG,SF")</f>
        <v>SG,SF</v>
      </c>
      <c r="G91" s="26">
        <f>IFERROR(__xludf.DUMMYFUNCTION("""COMPUTED_VALUE"""),-0.9058334631657428)</f>
        <v>-0.9058334632</v>
      </c>
      <c r="H91" s="26">
        <f>IFERROR(__xludf.DUMMYFUNCTION("""COMPUTED_VALUE"""),-1.0271106826712546)</f>
        <v>-1.027110683</v>
      </c>
      <c r="I91" s="26">
        <f>IFERROR(__xludf.DUMMYFUNCTION("""COMPUTED_VALUE"""),-0.12127721950551185)</f>
        <v>-0.1212772195</v>
      </c>
      <c r="J91" s="26">
        <f>IFERROR(__xludf.DUMMYFUNCTION("""COMPUTED_VALUE"""),9.722077922)</f>
        <v>9.722077922</v>
      </c>
      <c r="K91" s="26">
        <f>IFERROR(__xludf.DUMMYFUNCTION("""COMPUTED_VALUE"""),1.309480519)</f>
        <v>1.309480519</v>
      </c>
      <c r="L91" s="26">
        <f>IFERROR(__xludf.DUMMYFUNCTION("""COMPUTED_VALUE"""),4.818051948)</f>
        <v>4.818051948</v>
      </c>
      <c r="M91" s="26">
        <f>IFERROR(__xludf.DUMMYFUNCTION("""COMPUTED_VALUE"""),2.375974026)</f>
        <v>2.375974026</v>
      </c>
      <c r="N91" s="26">
        <f>IFERROR(__xludf.DUMMYFUNCTION("""COMPUTED_VALUE"""),1.571688312)</f>
        <v>1.571688312</v>
      </c>
      <c r="O91" s="26">
        <f>IFERROR(__xludf.DUMMYFUNCTION("""COMPUTED_VALUE"""),0.7298701299)</f>
        <v>0.7298701299</v>
      </c>
      <c r="P91" s="464">
        <f>IFERROR(__xludf.DUMMYFUNCTION("""COMPUTED_VALUE"""),0.4685706033)</f>
        <v>0.4685706033</v>
      </c>
      <c r="Q91" s="464">
        <f>IFERROR(__xludf.DUMMYFUNCTION("""COMPUTED_VALUE"""),0.8399712719)</f>
        <v>0.8399712719</v>
      </c>
      <c r="R91" s="26">
        <f>IFERROR(__xludf.DUMMYFUNCTION("""COMPUTED_VALUE"""),1.25961039)</f>
        <v>1.25961039</v>
      </c>
      <c r="S91" s="26">
        <f>IFERROR(__xludf.DUMMYFUNCTION("""COMPUTED_VALUE"""),-1.3999714150175007)</f>
        <v>-1.399971415</v>
      </c>
      <c r="T91" s="26">
        <f>IFERROR(__xludf.DUMMYFUNCTION("""COMPUTED_VALUE"""),-0.4356412738213676)</f>
        <v>-0.4356412738</v>
      </c>
      <c r="U91" s="26">
        <f>IFERROR(__xludf.DUMMYFUNCTION("""COMPUTED_VALUE"""),-0.49587262724758285)</f>
        <v>-0.4958726272</v>
      </c>
      <c r="V91" s="26">
        <f>IFERROR(__xludf.DUMMYFUNCTION("""COMPUTED_VALUE"""),-0.7072566788217128)</f>
        <v>-0.7072566788</v>
      </c>
      <c r="W91" s="26">
        <f>IFERROR(__xludf.DUMMYFUNCTION("""COMPUTED_VALUE"""),1.970723612470556)</f>
        <v>1.970723612</v>
      </c>
      <c r="X91" s="26">
        <f>IFERROR(__xludf.DUMMYFUNCTION("""COMPUTED_VALUE"""),-0.03352640190010487)</f>
        <v>-0.0335264019</v>
      </c>
      <c r="Y91" s="26">
        <f>IFERROR(__xludf.DUMMYFUNCTION("""COMPUTED_VALUE"""),-0.2399559684722401)</f>
        <v>-0.2399559685</v>
      </c>
      <c r="Z91" s="26">
        <f>IFERROR(__xludf.DUMMYFUNCTION("""COMPUTED_VALUE"""),0.314390070138698)</f>
        <v>0.3143900701</v>
      </c>
      <c r="AA91" s="26">
        <f>IFERROR(__xludf.DUMMYFUNCTION("""COMPUTED_VALUE"""),0.0)</f>
        <v>0</v>
      </c>
      <c r="AB91" t="str">
        <f>IFERROR(__xludf.DUMMYFUNCTION("SUBSTITUTE(REGEXREPLACE(REGEXREPLACE(REGEXREPLACE(REGEXREPLACE(REGEXREPLACE(REGEXREPLACE(F91,"","",),IF(Projections!$T$17="""",""PG"",),),IF(Projections!$U$17="""",""SG"",),),IF(Projections!$V$17="""",""SF"",),),IF(Projections!$W$17="""",""PF"",),),IF(Pro"&amp;"jections!$X$17="""",""C"",),),""/"","""")"),"SGSF")</f>
        <v>SGSF</v>
      </c>
    </row>
    <row r="92">
      <c r="A92" s="408" t="str">
        <f>IF(Projections!$AB$17,Draft!K6,"")</f>
        <v/>
      </c>
      <c r="B92">
        <f>IFERROR(__xludf.DUMMYFUNCTION("""COMPUTED_VALUE"""),86.0)</f>
        <v>86</v>
      </c>
      <c r="C92">
        <f>IFERROR(__xludf.DUMMYFUNCTION("""COMPUTED_VALUE"""),55.2)</f>
        <v>55.2</v>
      </c>
      <c r="D92" t="str">
        <f>IFERROR(__xludf.DUMMYFUNCTION("""COMPUTED_VALUE"""),"Nikola Vucevic")</f>
        <v>Nikola Vucevic</v>
      </c>
      <c r="E92">
        <f>IFERROR(__xludf.DUMMYFUNCTION("""COMPUTED_VALUE"""),73.0)</f>
        <v>73</v>
      </c>
      <c r="F92" t="str">
        <f>IFERROR(__xludf.DUMMYFUNCTION("""COMPUTED_VALUE"""),"PG,SG")</f>
        <v>PG,SG</v>
      </c>
      <c r="G92" s="26">
        <f>IFERROR(__xludf.DUMMYFUNCTION("""COMPUTED_VALUE"""),-0.9903727139943168)</f>
        <v>-0.990372714</v>
      </c>
      <c r="H92" s="26">
        <f>IFERROR(__xludf.DUMMYFUNCTION("""COMPUTED_VALUE"""),-1.0787041769687917)</f>
        <v>-1.078704177</v>
      </c>
      <c r="I92" s="26">
        <f>IFERROR(__xludf.DUMMYFUNCTION("""COMPUTED_VALUE"""),-0.08833146297447492)</f>
        <v>-0.08833146297</v>
      </c>
      <c r="J92" s="26">
        <f>IFERROR(__xludf.DUMMYFUNCTION("""COMPUTED_VALUE"""),16.21643836)</f>
        <v>16.21643836</v>
      </c>
      <c r="K92" s="26">
        <f>IFERROR(__xludf.DUMMYFUNCTION("""COMPUTED_VALUE"""),1.126712329)</f>
        <v>1.126712329</v>
      </c>
      <c r="L92" s="26">
        <f>IFERROR(__xludf.DUMMYFUNCTION("""COMPUTED_VALUE"""),9.620273973)</f>
        <v>9.620273973</v>
      </c>
      <c r="M92" s="26">
        <f>IFERROR(__xludf.DUMMYFUNCTION("""COMPUTED_VALUE"""),2.911369863)</f>
        <v>2.911369863</v>
      </c>
      <c r="N92" s="26">
        <f>IFERROR(__xludf.DUMMYFUNCTION("""COMPUTED_VALUE"""),0.6328767123)</f>
        <v>0.6328767123</v>
      </c>
      <c r="O92" s="26">
        <f>IFERROR(__xludf.DUMMYFUNCTION("""COMPUTED_VALUE"""),0.705890411)</f>
        <v>0.705890411</v>
      </c>
      <c r="P92" s="464">
        <f>IFERROR(__xludf.DUMMYFUNCTION("""COMPUTED_VALUE"""),0.4953355311)</f>
        <v>0.4953355311</v>
      </c>
      <c r="Q92" s="464">
        <f>IFERROR(__xludf.DUMMYFUNCTION("""COMPUTED_VALUE"""),0.807973089)</f>
        <v>0.807973089</v>
      </c>
      <c r="R92" s="26">
        <f>IFERROR(__xludf.DUMMYFUNCTION("""COMPUTED_VALUE"""),1.392465753)</f>
        <v>1.392465753</v>
      </c>
      <c r="S92" s="26">
        <f>IFERROR(__xludf.DUMMYFUNCTION("""COMPUTED_VALUE"""),-0.22932632604404338)</f>
        <v>-0.229326326</v>
      </c>
      <c r="T92" s="26">
        <f>IFERROR(__xludf.DUMMYFUNCTION("""COMPUTED_VALUE"""),-0.6169342575109552)</f>
        <v>-0.6169342575</v>
      </c>
      <c r="U92" s="26">
        <f>IFERROR(__xludf.DUMMYFUNCTION("""COMPUTED_VALUE"""),1.3861517823153722)</f>
        <v>1.386151782</v>
      </c>
      <c r="V92" s="26">
        <f>IFERROR(__xludf.DUMMYFUNCTION("""COMPUTED_VALUE"""),-0.46411286496415505)</f>
        <v>-0.464112865</v>
      </c>
      <c r="W92" s="26">
        <f>IFERROR(__xludf.DUMMYFUNCTION("""COMPUTED_VALUE"""),-1.135159363440584)</f>
        <v>-1.135159363</v>
      </c>
      <c r="X92" s="26">
        <f>IFERROR(__xludf.DUMMYFUNCTION("""COMPUTED_VALUE"""),-0.07629777533303642)</f>
        <v>-0.07629777533</v>
      </c>
      <c r="Y92" s="26">
        <f>IFERROR(__xludf.DUMMYFUNCTION("""COMPUTED_VALUE"""),-0.03038968124209836)</f>
        <v>-0.03038968124</v>
      </c>
      <c r="Z92" s="26">
        <f>IFERROR(__xludf.DUMMYFUNCTION("""COMPUTED_VALUE"""),0.08736430925070855)</f>
        <v>0.08736430925</v>
      </c>
      <c r="AA92" s="26">
        <f>IFERROR(__xludf.DUMMYFUNCTION("""COMPUTED_VALUE"""),0.0)</f>
        <v>0</v>
      </c>
      <c r="AB92" t="str">
        <f>IFERROR(__xludf.DUMMYFUNCTION("SUBSTITUTE(REGEXREPLACE(REGEXREPLACE(REGEXREPLACE(REGEXREPLACE(REGEXREPLACE(REGEXREPLACE(F92,"","",),IF(Projections!$T$17="""",""PG"",),),IF(Projections!$U$17="""",""SG"",),),IF(Projections!$V$17="""",""SF"",),),IF(Projections!$W$17="""",""PF"",),),IF(Pro"&amp;"jections!$X$17="""",""C"",),),""/"","""")"),"PGSG")</f>
        <v>PGSG</v>
      </c>
    </row>
    <row r="93">
      <c r="A93" s="408" t="str">
        <f>IF(Projections!$AB$17,Draft!K7,"")</f>
        <v/>
      </c>
      <c r="B93">
        <f>IFERROR(__xludf.DUMMYFUNCTION("""COMPUTED_VALUE"""),70.0)</f>
        <v>70</v>
      </c>
      <c r="C93">
        <f>IFERROR(__xludf.DUMMYFUNCTION("""COMPUTED_VALUE"""),93.2)</f>
        <v>93.2</v>
      </c>
      <c r="D93" t="str">
        <f>IFERROR(__xludf.DUMMYFUNCTION("""COMPUTED_VALUE"""),"Walker Kessler")</f>
        <v>Walker Kessler</v>
      </c>
      <c r="E93">
        <f>IFERROR(__xludf.DUMMYFUNCTION("""COMPUTED_VALUE"""),64.0)</f>
        <v>64</v>
      </c>
      <c r="F93" t="str">
        <f>IFERROR(__xludf.DUMMYFUNCTION("""COMPUTED_VALUE"""),"PF,C")</f>
        <v>PF,C</v>
      </c>
      <c r="G93" s="26">
        <f>IFERROR(__xludf.DUMMYFUNCTION("""COMPUTED_VALUE"""),-0.9492859850222184)</f>
        <v>-0.949285985</v>
      </c>
      <c r="H93" s="26">
        <f>IFERROR(__xludf.DUMMYFUNCTION("""COMPUTED_VALUE"""),-1.0870779941298534)</f>
        <v>-1.087077994</v>
      </c>
      <c r="I93" s="26">
        <f>IFERROR(__xludf.DUMMYFUNCTION("""COMPUTED_VALUE"""),-0.137792009107635)</f>
        <v>-0.1377920091</v>
      </c>
      <c r="J93" s="26">
        <f>IFERROR(__xludf.DUMMYFUNCTION("""COMPUTED_VALUE"""),9.348356164)</f>
        <v>9.348356164</v>
      </c>
      <c r="K93" s="26">
        <f>IFERROR(__xludf.DUMMYFUNCTION("""COMPUTED_VALUE"""),0.05712328767)</f>
        <v>0.05712328767</v>
      </c>
      <c r="L93" s="26">
        <f>IFERROR(__xludf.DUMMYFUNCTION("""COMPUTED_VALUE"""),8.805890411)</f>
        <v>8.805890411</v>
      </c>
      <c r="M93" s="26">
        <f>IFERROR(__xludf.DUMMYFUNCTION("""COMPUTED_VALUE"""),1.306712329)</f>
        <v>1.306712329</v>
      </c>
      <c r="N93" s="26">
        <f>IFERROR(__xludf.DUMMYFUNCTION("""COMPUTED_VALUE"""),0.5171232877)</f>
        <v>0.5171232877</v>
      </c>
      <c r="O93" s="26">
        <f>IFERROR(__xludf.DUMMYFUNCTION("""COMPUTED_VALUE"""),2.556575342)</f>
        <v>2.556575342</v>
      </c>
      <c r="P93" s="464">
        <f>IFERROR(__xludf.DUMMYFUNCTION("""COMPUTED_VALUE"""),0.6835808675)</f>
        <v>0.6835808675</v>
      </c>
      <c r="Q93" s="464">
        <f>IFERROR(__xludf.DUMMYFUNCTION("""COMPUTED_VALUE"""),0.650042123)</f>
        <v>0.650042123</v>
      </c>
      <c r="R93" s="26">
        <f>IFERROR(__xludf.DUMMYFUNCTION("""COMPUTED_VALUE"""),1.193013699)</f>
        <v>1.193013699</v>
      </c>
      <c r="S93" s="26">
        <f>IFERROR(__xludf.DUMMYFUNCTION("""COMPUTED_VALUE"""),-1.467336869217631)</f>
        <v>-1.467336869</v>
      </c>
      <c r="T93" s="26">
        <f>IFERROR(__xludf.DUMMYFUNCTION("""COMPUTED_VALUE"""),-1.6778901526500454)</f>
        <v>-1.677890153</v>
      </c>
      <c r="U93" s="26">
        <f>IFERROR(__xludf.DUMMYFUNCTION("""COMPUTED_VALUE"""),1.0669891666654168)</f>
        <v>1.066989167</v>
      </c>
      <c r="V93" s="26">
        <f>IFERROR(__xludf.DUMMYFUNCTION("""COMPUTED_VALUE"""),-1.1928494852155074)</f>
        <v>-1.192849485</v>
      </c>
      <c r="W93" s="26">
        <f>IFERROR(__xludf.DUMMYFUNCTION("""COMPUTED_VALUE"""),-1.5181079667422883)</f>
        <v>-1.518107967</v>
      </c>
      <c r="X93" s="26">
        <f>IFERROR(__xludf.DUMMYFUNCTION("""COMPUTED_VALUE"""),3.2246723745088923)</f>
        <v>3.224672375</v>
      </c>
      <c r="Y93" s="26">
        <f>IFERROR(__xludf.DUMMYFUNCTION("""COMPUTED_VALUE"""),1.3053788507730175)</f>
        <v>1.305378851</v>
      </c>
      <c r="Z93" s="26">
        <f>IFERROR(__xludf.DUMMYFUNCTION("""COMPUTED_VALUE"""),-0.8279339122517073)</f>
        <v>-0.8279339123</v>
      </c>
      <c r="AA93" s="26">
        <f>IFERROR(__xludf.DUMMYFUNCTION("""COMPUTED_VALUE"""),0.0)</f>
        <v>0</v>
      </c>
      <c r="AB93" t="str">
        <f>IFERROR(__xludf.DUMMYFUNCTION("SUBSTITUTE(REGEXREPLACE(REGEXREPLACE(REGEXREPLACE(REGEXREPLACE(REGEXREPLACE(REGEXREPLACE(F93,"","",),IF(Projections!$T$17="""",""PG"",),),IF(Projections!$U$17="""",""SG"",),),IF(Projections!$V$17="""",""SF"",),),IF(Projections!$W$17="""",""PF"",),),IF(Pro"&amp;"jections!$X$17="""",""C"",),),""/"","""")"),"PFC")</f>
        <v>PFC</v>
      </c>
    </row>
    <row r="94">
      <c r="A94" s="408" t="str">
        <f>IF(Projections!$AB$17,Draft!K8,"")</f>
        <v/>
      </c>
      <c r="B94">
        <f>IFERROR(__xludf.DUMMYFUNCTION("""COMPUTED_VALUE"""),94.0)</f>
        <v>94</v>
      </c>
      <c r="C94">
        <f>IFERROR(__xludf.DUMMYFUNCTION("""COMPUTED_VALUE"""),82.5)</f>
        <v>82.5</v>
      </c>
      <c r="D94" t="str">
        <f>IFERROR(__xludf.DUMMYFUNCTION("""COMPUTED_VALUE"""),"Kyle Kuzma")</f>
        <v>Kyle Kuzma</v>
      </c>
      <c r="E94">
        <f>IFERROR(__xludf.DUMMYFUNCTION("""COMPUTED_VALUE"""),67.0)</f>
        <v>67</v>
      </c>
      <c r="F94" t="str">
        <f>IFERROR(__xludf.DUMMYFUNCTION("""COMPUTED_VALUE"""),"C")</f>
        <v>C</v>
      </c>
      <c r="G94" s="26">
        <f>IFERROR(__xludf.DUMMYFUNCTION("""COMPUTED_VALUE"""),-1.41354389196998)</f>
        <v>-1.413543892</v>
      </c>
      <c r="H94" s="26">
        <f>IFERROR(__xludf.DUMMYFUNCTION("""COMPUTED_VALUE"""),-1.1024882371622566)</f>
        <v>-1.102488237</v>
      </c>
      <c r="I94" s="26">
        <f>IFERROR(__xludf.DUMMYFUNCTION("""COMPUTED_VALUE"""),0.31105565480772346)</f>
        <v>0.3110556548</v>
      </c>
      <c r="J94" s="26">
        <f>IFERROR(__xludf.DUMMYFUNCTION("""COMPUTED_VALUE"""),21.66260274)</f>
        <v>21.66260274</v>
      </c>
      <c r="K94" s="26">
        <f>IFERROR(__xludf.DUMMYFUNCTION("""COMPUTED_VALUE"""),1.784109589)</f>
        <v>1.784109589</v>
      </c>
      <c r="L94" s="26">
        <f>IFERROR(__xludf.DUMMYFUNCTION("""COMPUTED_VALUE"""),6.006027397)</f>
        <v>6.006027397</v>
      </c>
      <c r="M94" s="26">
        <f>IFERROR(__xludf.DUMMYFUNCTION("""COMPUTED_VALUE"""),4.29)</f>
        <v>4.29</v>
      </c>
      <c r="N94" s="26">
        <f>IFERROR(__xludf.DUMMYFUNCTION("""COMPUTED_VALUE"""),0.6387671233)</f>
        <v>0.6387671233</v>
      </c>
      <c r="O94" s="26">
        <f>IFERROR(__xludf.DUMMYFUNCTION("""COMPUTED_VALUE"""),0.718630137)</f>
        <v>0.718630137</v>
      </c>
      <c r="P94" s="464">
        <f>IFERROR(__xludf.DUMMYFUNCTION("""COMPUTED_VALUE"""),0.4744839783)</f>
        <v>0.4744839783</v>
      </c>
      <c r="Q94" s="464">
        <f>IFERROR(__xludf.DUMMYFUNCTION("""COMPUTED_VALUE"""),0.7680089033)</f>
        <v>0.7680089033</v>
      </c>
      <c r="R94" s="26">
        <f>IFERROR(__xludf.DUMMYFUNCTION("""COMPUTED_VALUE"""),3.003013699)</f>
        <v>3.003013699</v>
      </c>
      <c r="S94" s="26">
        <f>IFERROR(__xludf.DUMMYFUNCTION("""COMPUTED_VALUE"""),0.7523755129676168)</f>
        <v>0.752375513</v>
      </c>
      <c r="T94" s="26">
        <f>IFERROR(__xludf.DUMMYFUNCTION("""COMPUTED_VALUE"""),0.03515684616939295)</f>
        <v>0.03515684617</v>
      </c>
      <c r="U94" s="26">
        <f>IFERROR(__xludf.DUMMYFUNCTION("""COMPUTED_VALUE"""),-0.03029673730744363)</f>
        <v>-0.03029673731</v>
      </c>
      <c r="V94" s="26">
        <f>IFERROR(__xludf.DUMMYFUNCTION("""COMPUTED_VALUE"""),0.16197603271464328)</f>
        <v>0.1619760327</v>
      </c>
      <c r="W94" s="26">
        <f>IFERROR(__xludf.DUMMYFUNCTION("""COMPUTED_VALUE"""),-1.1156720379198237)</f>
        <v>-1.115672038</v>
      </c>
      <c r="X94" s="26">
        <f>IFERROR(__xludf.DUMMYFUNCTION("""COMPUTED_VALUE"""),-0.05357459077647239)</f>
        <v>-0.05357459078</v>
      </c>
      <c r="Y94" s="26">
        <f>IFERROR(__xludf.DUMMYFUNCTION("""COMPUTED_VALUE"""),-0.4675818496417563)</f>
        <v>-0.4675818496</v>
      </c>
      <c r="Z94" s="26">
        <f>IFERROR(__xludf.DUMMYFUNCTION("""COMPUTED_VALUE"""),-0.38487141336841363)</f>
        <v>-0.3848714134</v>
      </c>
      <c r="AA94" s="26">
        <f>IFERROR(__xludf.DUMMYFUNCTION("""COMPUTED_VALUE"""),0.0)</f>
        <v>0</v>
      </c>
      <c r="AB94" t="str">
        <f>IFERROR(__xludf.DUMMYFUNCTION("SUBSTITUTE(REGEXREPLACE(REGEXREPLACE(REGEXREPLACE(REGEXREPLACE(REGEXREPLACE(REGEXREPLACE(F94,"","",),IF(Projections!$T$17="""",""PG"",),),IF(Projections!$U$17="""",""SG"",),),IF(Projections!$V$17="""",""SF"",),),IF(Projections!$W$17="""",""PF"",),),IF(Pro"&amp;"jections!$X$17="""",""C"",),),""/"","""")"),"C")</f>
        <v>C</v>
      </c>
    </row>
    <row r="95">
      <c r="A95" s="408" t="str">
        <f>IF(Projections!$AB$17,Draft!K9,"")</f>
        <v/>
      </c>
      <c r="B95">
        <f>IFERROR(__xludf.DUMMYFUNCTION("""COMPUTED_VALUE"""),79.0)</f>
        <v>79</v>
      </c>
      <c r="C95">
        <f>IFERROR(__xludf.DUMMYFUNCTION("""COMPUTED_VALUE"""),63.9)</f>
        <v>63.9</v>
      </c>
      <c r="D95" t="str">
        <f>IFERROR(__xludf.DUMMYFUNCTION("""COMPUTED_VALUE"""),"Nicolas Claxton")</f>
        <v>Nicolas Claxton</v>
      </c>
      <c r="E95">
        <f>IFERROR(__xludf.DUMMYFUNCTION("""COMPUTED_VALUE"""),70.0)</f>
        <v>70</v>
      </c>
      <c r="F95" t="str">
        <f>IFERROR(__xludf.DUMMYFUNCTION("""COMPUTED_VALUE"""),"PG")</f>
        <v>PG</v>
      </c>
      <c r="G95" s="26">
        <f>IFERROR(__xludf.DUMMYFUNCTION("""COMPUTED_VALUE"""),-1.2330421084207177)</f>
        <v>-1.233042108</v>
      </c>
      <c r="H95" s="26">
        <f>IFERROR(__xludf.DUMMYFUNCTION("""COMPUTED_VALUE"""),-1.2622994708460298)</f>
        <v>-1.262299471</v>
      </c>
      <c r="I95" s="26">
        <f>IFERROR(__xludf.DUMMYFUNCTION("""COMPUTED_VALUE"""),-0.029257362425312072)</f>
        <v>-0.02925736243</v>
      </c>
      <c r="J95" s="26">
        <f>IFERROR(__xludf.DUMMYFUNCTION("""COMPUTED_VALUE"""),13.46027397)</f>
        <v>13.46027397</v>
      </c>
      <c r="K95" s="26">
        <f>IFERROR(__xludf.DUMMYFUNCTION("""COMPUTED_VALUE"""),0.0)</f>
        <v>0</v>
      </c>
      <c r="L95" s="26">
        <f>IFERROR(__xludf.DUMMYFUNCTION("""COMPUTED_VALUE"""),9.98)</f>
        <v>9.98</v>
      </c>
      <c r="M95" s="26">
        <f>IFERROR(__xludf.DUMMYFUNCTION("""COMPUTED_VALUE"""),2.478767123)</f>
        <v>2.478767123</v>
      </c>
      <c r="N95" s="26">
        <f>IFERROR(__xludf.DUMMYFUNCTION("""COMPUTED_VALUE"""),0.7197260274)</f>
        <v>0.7197260274</v>
      </c>
      <c r="O95" s="26">
        <f>IFERROR(__xludf.DUMMYFUNCTION("""COMPUTED_VALUE"""),2.022054795)</f>
        <v>2.022054795</v>
      </c>
      <c r="P95" s="464">
        <f>IFERROR(__xludf.DUMMYFUNCTION("""COMPUTED_VALUE"""),0.6600061767)</f>
        <v>0.6600061767</v>
      </c>
      <c r="Q95" s="464">
        <f>IFERROR(__xludf.DUMMYFUNCTION("""COMPUTED_VALUE"""),0.5479969117)</f>
        <v>0.5479969117</v>
      </c>
      <c r="R95" s="26">
        <f>IFERROR(__xludf.DUMMYFUNCTION("""COMPUTED_VALUE"""),1.630684932)</f>
        <v>1.630684932</v>
      </c>
      <c r="S95" s="26">
        <f>IFERROR(__xludf.DUMMYFUNCTION("""COMPUTED_VALUE"""),-0.7261404986418696)</f>
        <v>-0.7261404986</v>
      </c>
      <c r="T95" s="26">
        <f>IFERROR(__xludf.DUMMYFUNCTION("""COMPUTED_VALUE"""),-1.7345523719336797)</f>
        <v>-1.734552372</v>
      </c>
      <c r="U95" s="26">
        <f>IFERROR(__xludf.DUMMYFUNCTION("""COMPUTED_VALUE"""),1.5271309290613213)</f>
        <v>1.527130929</v>
      </c>
      <c r="V95" s="26">
        <f>IFERROR(__xludf.DUMMYFUNCTION("""COMPUTED_VALUE"""),-0.660574385244578)</f>
        <v>-0.6605743852</v>
      </c>
      <c r="W95" s="26">
        <f>IFERROR(__xludf.DUMMYFUNCTION("""COMPUTED_VALUE"""),-0.8478346123139152)</f>
        <v>-0.8478346123</v>
      </c>
      <c r="X95" s="26">
        <f>IFERROR(__xludf.DUMMYFUNCTION("""COMPUTED_VALUE"""),2.2712759640400484)</f>
        <v>2.271275964</v>
      </c>
      <c r="Y95" s="26">
        <f>IFERROR(__xludf.DUMMYFUNCTION("""COMPUTED_VALUE"""),1.6794627570015943)</f>
        <v>1.679462757</v>
      </c>
      <c r="Z95" s="26">
        <f>IFERROR(__xludf.DUMMYFUNCTION("""COMPUTED_VALUE"""),-2.771067252814951)</f>
        <v>-2.771067253</v>
      </c>
      <c r="AA95" s="26">
        <f>IFERROR(__xludf.DUMMYFUNCTION("""COMPUTED_VALUE"""),0.0)</f>
        <v>0</v>
      </c>
      <c r="AB95" t="str">
        <f>IFERROR(__xludf.DUMMYFUNCTION("SUBSTITUTE(REGEXREPLACE(REGEXREPLACE(REGEXREPLACE(REGEXREPLACE(REGEXREPLACE(REGEXREPLACE(F95,"","",),IF(Projections!$T$17="""",""PG"",),),IF(Projections!$U$17="""",""SG"",),),IF(Projections!$V$17="""",""SF"",),),IF(Projections!$W$17="""",""PF"",),),IF(Pro"&amp;"jections!$X$17="""",""C"",),),""/"","""")"),"PG")</f>
        <v>PG</v>
      </c>
    </row>
    <row r="96">
      <c r="A96" s="408" t="str">
        <f>IF(Projections!$AB$17,Draft!K10,"")</f>
        <v/>
      </c>
      <c r="B96">
        <f>IFERROR(__xludf.DUMMYFUNCTION("""COMPUTED_VALUE"""),100.0)</f>
        <v>100</v>
      </c>
      <c r="C96">
        <f>IFERROR(__xludf.DUMMYFUNCTION("""COMPUTED_VALUE"""),118.7)</f>
        <v>118.7</v>
      </c>
      <c r="D96" t="str">
        <f>IFERROR(__xludf.DUMMYFUNCTION("""COMPUTED_VALUE"""),"Keyonte George")</f>
        <v>Keyonte George</v>
      </c>
      <c r="E96">
        <f>IFERROR(__xludf.DUMMYFUNCTION("""COMPUTED_VALUE"""),50.0)</f>
        <v>50</v>
      </c>
      <c r="F96" t="str">
        <f>IFERROR(__xludf.DUMMYFUNCTION("""COMPUTED_VALUE"""),"PF")</f>
        <v>PF</v>
      </c>
      <c r="G96" s="26">
        <f>IFERROR(__xludf.DUMMYFUNCTION("""COMPUTED_VALUE"""),-1.7330447844561192)</f>
        <v>-1.733044784</v>
      </c>
      <c r="H96" s="26">
        <f>IFERROR(__xludf.DUMMYFUNCTION("""COMPUTED_VALUE"""),-1.3057092877009024)</f>
        <v>-1.305709288</v>
      </c>
      <c r="I96" s="26">
        <f>IFERROR(__xludf.DUMMYFUNCTION("""COMPUTED_VALUE"""),0.42733549675521676)</f>
        <v>0.4273354968</v>
      </c>
      <c r="J96" s="26">
        <f>IFERROR(__xludf.DUMMYFUNCTION("""COMPUTED_VALUE"""),18.19739726)</f>
        <v>18.19739726</v>
      </c>
      <c r="K96" s="26">
        <f>IFERROR(__xludf.DUMMYFUNCTION("""COMPUTED_VALUE"""),2.684246575)</f>
        <v>2.684246575</v>
      </c>
      <c r="L96" s="26">
        <f>IFERROR(__xludf.DUMMYFUNCTION("""COMPUTED_VALUE"""),2.916438356)</f>
        <v>2.916438356</v>
      </c>
      <c r="M96" s="26">
        <f>IFERROR(__xludf.DUMMYFUNCTION("""COMPUTED_VALUE"""),6.18)</f>
        <v>6.18</v>
      </c>
      <c r="N96" s="26">
        <f>IFERROR(__xludf.DUMMYFUNCTION("""COMPUTED_VALUE"""),0.7638356164)</f>
        <v>0.7638356164</v>
      </c>
      <c r="O96" s="26">
        <f>IFERROR(__xludf.DUMMYFUNCTION("""COMPUTED_VALUE"""),0.1367123288)</f>
        <v>0.1367123288</v>
      </c>
      <c r="P96" s="464">
        <f>IFERROR(__xludf.DUMMYFUNCTION("""COMPUTED_VALUE"""),0.4156589368)</f>
        <v>0.4156589368</v>
      </c>
      <c r="Q96" s="464">
        <f>IFERROR(__xludf.DUMMYFUNCTION("""COMPUTED_VALUE"""),0.8670144299)</f>
        <v>0.8670144299</v>
      </c>
      <c r="R96" s="26">
        <f>IFERROR(__xludf.DUMMYFUNCTION("""COMPUTED_VALUE"""),3.471917808)</f>
        <v>3.471917808</v>
      </c>
      <c r="S96" s="26">
        <f>IFERROR(__xludf.DUMMYFUNCTION("""COMPUTED_VALUE"""),0.1277526857974085)</f>
        <v>0.1277526858</v>
      </c>
      <c r="T96" s="26">
        <f>IFERROR(__xludf.DUMMYFUNCTION("""COMPUTED_VALUE"""),0.9280284116277614)</f>
        <v>0.9280284116</v>
      </c>
      <c r="U96" s="26">
        <f>IFERROR(__xludf.DUMMYFUNCTION("""COMPUTED_VALUE"""),-1.2411282982826366)</f>
        <v>-1.241128298</v>
      </c>
      <c r="V96" s="26">
        <f>IFERROR(__xludf.DUMMYFUNCTION("""COMPUTED_VALUE"""),1.0202976266324242)</f>
        <v>1.020297627</v>
      </c>
      <c r="W96" s="26">
        <f>IFERROR(__xludf.DUMMYFUNCTION("""COMPUTED_VALUE"""),-0.7019062688706561)</f>
        <v>-0.7019062689</v>
      </c>
      <c r="X96" s="26">
        <f>IFERROR(__xludf.DUMMYFUNCTION("""COMPUTED_VALUE"""),-1.0915110230419605)</f>
        <v>-1.091511023</v>
      </c>
      <c r="Y96" s="26">
        <f>IFERROR(__xludf.DUMMYFUNCTION("""COMPUTED_VALUE"""),-1.370650772532118)</f>
        <v>-1.370650773</v>
      </c>
      <c r="Z96" s="26">
        <f>IFERROR(__xludf.DUMMYFUNCTION("""COMPUTED_VALUE"""),1.0234083509688747)</f>
        <v>1.023408351</v>
      </c>
      <c r="AA96" s="26">
        <f>IFERROR(__xludf.DUMMYFUNCTION("""COMPUTED_VALUE"""),0.0)</f>
        <v>0</v>
      </c>
      <c r="AB96" t="str">
        <f>IFERROR(__xludf.DUMMYFUNCTION("SUBSTITUTE(REGEXREPLACE(REGEXREPLACE(REGEXREPLACE(REGEXREPLACE(REGEXREPLACE(REGEXREPLACE(F96,"","",),IF(Projections!$T$17="""",""PG"",),),IF(Projections!$U$17="""",""SG"",),),IF(Projections!$V$17="""",""SF"",),),IF(Projections!$W$17="""",""PF"",),),IF(Pro"&amp;"jections!$X$17="""",""C"",),),""/"","""")"),"PF")</f>
        <v>PF</v>
      </c>
    </row>
    <row r="97">
      <c r="A97" s="408" t="str">
        <f>IF(Projections!$AB$17,Draft!K11,"")</f>
        <v/>
      </c>
      <c r="B97">
        <f>IFERROR(__xludf.DUMMYFUNCTION("""COMPUTED_VALUE"""),96.0)</f>
        <v>96</v>
      </c>
      <c r="C97">
        <f>IFERROR(__xludf.DUMMYFUNCTION("""COMPUTED_VALUE"""),116.3)</f>
        <v>116.3</v>
      </c>
      <c r="D97" t="str">
        <f>IFERROR(__xludf.DUMMYFUNCTION("""COMPUTED_VALUE"""),"Josh Hart")</f>
        <v>Josh Hart</v>
      </c>
      <c r="E97">
        <f>IFERROR(__xludf.DUMMYFUNCTION("""COMPUTED_VALUE"""),72.0)</f>
        <v>72</v>
      </c>
      <c r="F97" t="str">
        <f>IFERROR(__xludf.DUMMYFUNCTION("""COMPUTED_VALUE"""),"PF,C")</f>
        <v>PF,C</v>
      </c>
      <c r="G97" s="26">
        <f>IFERROR(__xludf.DUMMYFUNCTION("""COMPUTED_VALUE"""),-1.3051445317902188)</f>
        <v>-1.305144532</v>
      </c>
      <c r="H97" s="26">
        <f>IFERROR(__xludf.DUMMYFUNCTION("""COMPUTED_VALUE"""),-1.3113361588235815)</f>
        <v>-1.311336159</v>
      </c>
      <c r="I97" s="26">
        <f>IFERROR(__xludf.DUMMYFUNCTION("""COMPUTED_VALUE"""),-0.006191627033362623)</f>
        <v>-0.006191627033</v>
      </c>
      <c r="J97" s="26">
        <f>IFERROR(__xludf.DUMMYFUNCTION("""COMPUTED_VALUE"""),8.972739726)</f>
        <v>8.972739726</v>
      </c>
      <c r="K97" s="26">
        <f>IFERROR(__xludf.DUMMYFUNCTION("""COMPUTED_VALUE"""),0.7701369863)</f>
        <v>0.7701369863</v>
      </c>
      <c r="L97" s="26">
        <f>IFERROR(__xludf.DUMMYFUNCTION("""COMPUTED_VALUE"""),9.693972603)</f>
        <v>9.693972603</v>
      </c>
      <c r="M97" s="26">
        <f>IFERROR(__xludf.DUMMYFUNCTION("""COMPUTED_VALUE"""),4.883972603)</f>
        <v>4.883972603</v>
      </c>
      <c r="N97" s="26">
        <f>IFERROR(__xludf.DUMMYFUNCTION("""COMPUTED_VALUE"""),1.086849315)</f>
        <v>1.086849315</v>
      </c>
      <c r="O97" s="26">
        <f>IFERROR(__xludf.DUMMYFUNCTION("""COMPUTED_VALUE"""),0.3756164384)</f>
        <v>0.3756164384</v>
      </c>
      <c r="P97" s="464">
        <f>IFERROR(__xludf.DUMMYFUNCTION("""COMPUTED_VALUE"""),0.4730107449)</f>
        <v>0.4730107449</v>
      </c>
      <c r="Q97" s="464">
        <f>IFERROR(__xludf.DUMMYFUNCTION("""COMPUTED_VALUE"""),0.7660477977)</f>
        <v>0.7660477977</v>
      </c>
      <c r="R97" s="26">
        <f>IFERROR(__xludf.DUMMYFUNCTION("""COMPUTED_VALUE"""),1.72369863)</f>
        <v>1.72369863</v>
      </c>
      <c r="S97" s="26">
        <f>IFERROR(__xludf.DUMMYFUNCTION("""COMPUTED_VALUE"""),-1.535043850171373)</f>
        <v>-1.53504385</v>
      </c>
      <c r="T97" s="26">
        <f>IFERROR(__xludf.DUMMYFUNCTION("""COMPUTED_VALUE"""),-0.9706315162528633)</f>
        <v>-0.9706315163</v>
      </c>
      <c r="U97" s="26">
        <f>IFERROR(__xludf.DUMMYFUNCTION("""COMPUTED_VALUE"""),1.4150347910328525)</f>
        <v>1.415034791</v>
      </c>
      <c r="V97" s="26">
        <f>IFERROR(__xludf.DUMMYFUNCTION("""COMPUTED_VALUE"""),0.4317218059159414)</f>
        <v>0.4317218059</v>
      </c>
      <c r="W97" s="26">
        <f>IFERROR(__xludf.DUMMYFUNCTION("""COMPUTED_VALUE"""),0.36672427189856893)</f>
        <v>0.3667242719</v>
      </c>
      <c r="X97" s="26">
        <f>IFERROR(__xludf.DUMMYFUNCTION("""COMPUTED_VALUE"""),-0.6653902278409946)</f>
        <v>-0.6653902278</v>
      </c>
      <c r="Y97" s="26">
        <f>IFERROR(__xludf.DUMMYFUNCTION("""COMPUTED_VALUE"""),-0.2127633283533736)</f>
        <v>-0.2127633284</v>
      </c>
      <c r="Z97" s="26">
        <f>IFERROR(__xludf.DUMMYFUNCTION("""COMPUTED_VALUE"""),-0.14098810505233966)</f>
        <v>-0.1409881051</v>
      </c>
      <c r="AA97" s="26">
        <f>IFERROR(__xludf.DUMMYFUNCTION("""COMPUTED_VALUE"""),0.0)</f>
        <v>0</v>
      </c>
      <c r="AB97" t="str">
        <f>IFERROR(__xludf.DUMMYFUNCTION("SUBSTITUTE(REGEXREPLACE(REGEXREPLACE(REGEXREPLACE(REGEXREPLACE(REGEXREPLACE(REGEXREPLACE(F97,"","",),IF(Projections!$T$17="""",""PG"",),),IF(Projections!$U$17="""",""SG"",),),IF(Projections!$V$17="""",""SF"",),),IF(Projections!$W$17="""",""PF"",),),IF(Pro"&amp;"jections!$X$17="""",""C"",),),""/"","""")"),"PFC")</f>
        <v>PFC</v>
      </c>
    </row>
    <row r="98">
      <c r="A98" s="408" t="str">
        <f>IF(Projections!$AB$17,Draft!K12,"")</f>
        <v/>
      </c>
      <c r="B98">
        <f>IFERROR(__xludf.DUMMYFUNCTION("""COMPUTED_VALUE"""),98.0)</f>
        <v>98</v>
      </c>
      <c r="C98">
        <f>IFERROR(__xludf.DUMMYFUNCTION("""COMPUTED_VALUE"""),78.0)</f>
        <v>78</v>
      </c>
      <c r="D98" t="str">
        <f>IFERROR(__xludf.DUMMYFUNCTION("""COMPUTED_VALUE"""),"Tyler Herro")</f>
        <v>Tyler Herro</v>
      </c>
      <c r="E98">
        <f>IFERROR(__xludf.DUMMYFUNCTION("""COMPUTED_VALUE"""),72.0)</f>
        <v>72</v>
      </c>
      <c r="F98" t="str">
        <f>IFERROR(__xludf.DUMMYFUNCTION("""COMPUTED_VALUE"""),"SF,PF")</f>
        <v>SF,PF</v>
      </c>
      <c r="G98" s="26">
        <f>IFERROR(__xludf.DUMMYFUNCTION("""COMPUTED_VALUE"""),-1.391042697652046)</f>
        <v>-1.391042698</v>
      </c>
      <c r="H98" s="26">
        <f>IFERROR(__xludf.DUMMYFUNCTION("""COMPUTED_VALUE"""),-1.3135093814833043)</f>
        <v>-1.313509381</v>
      </c>
      <c r="I98" s="26">
        <f>IFERROR(__xludf.DUMMYFUNCTION("""COMPUTED_VALUE"""),0.0775333161687417)</f>
        <v>0.07753331617</v>
      </c>
      <c r="J98" s="26">
        <f>IFERROR(__xludf.DUMMYFUNCTION("""COMPUTED_VALUE"""),19.46397059)</f>
        <v>19.46397059</v>
      </c>
      <c r="K98" s="26">
        <f>IFERROR(__xludf.DUMMYFUNCTION("""COMPUTED_VALUE"""),2.970882353)</f>
        <v>2.970882353</v>
      </c>
      <c r="L98" s="26">
        <f>IFERROR(__xludf.DUMMYFUNCTION("""COMPUTED_VALUE"""),5.221764706)</f>
        <v>5.221764706</v>
      </c>
      <c r="M98" s="26">
        <f>IFERROR(__xludf.DUMMYFUNCTION("""COMPUTED_VALUE"""),4.328676471)</f>
        <v>4.328676471</v>
      </c>
      <c r="N98" s="26">
        <f>IFERROR(__xludf.DUMMYFUNCTION("""COMPUTED_VALUE"""),0.6220588235)</f>
        <v>0.6220588235</v>
      </c>
      <c r="O98" s="26">
        <f>IFERROR(__xludf.DUMMYFUNCTION("""COMPUTED_VALUE"""),0.06838235294)</f>
        <v>0.06838235294</v>
      </c>
      <c r="P98" s="464">
        <f>IFERROR(__xludf.DUMMYFUNCTION("""COMPUTED_VALUE"""),0.4448603749)</f>
        <v>0.4448603749</v>
      </c>
      <c r="Q98" s="464">
        <f>IFERROR(__xludf.DUMMYFUNCTION("""COMPUTED_VALUE"""),0.8699861687)</f>
        <v>0.8699861687</v>
      </c>
      <c r="R98" s="26">
        <f>IFERROR(__xludf.DUMMYFUNCTION("""COMPUTED_VALUE"""),2.061323529)</f>
        <v>2.061323529</v>
      </c>
      <c r="S98" s="26">
        <f>IFERROR(__xludf.DUMMYFUNCTION("""COMPUTED_VALUE"""),0.35605967041033393)</f>
        <v>0.3560596704</v>
      </c>
      <c r="T98" s="26">
        <f>IFERROR(__xludf.DUMMYFUNCTION("""COMPUTED_VALUE"""),1.2123506201357421)</f>
        <v>1.21235062</v>
      </c>
      <c r="U98" s="26">
        <f>IFERROR(__xludf.DUMMYFUNCTION("""COMPUTED_VALUE"""),-0.33765477287672363)</f>
        <v>-0.3376547729</v>
      </c>
      <c r="V98" s="26">
        <f>IFERROR(__xludf.DUMMYFUNCTION("""COMPUTED_VALUE"""),0.17954050373889435)</f>
        <v>0.1795405037</v>
      </c>
      <c r="W98" s="26">
        <f>IFERROR(__xludf.DUMMYFUNCTION("""COMPUTED_VALUE"""),-1.1709483296931917)</f>
        <v>-1.17094833</v>
      </c>
      <c r="X98" s="26">
        <f>IFERROR(__xludf.DUMMYFUNCTION("""COMPUTED_VALUE"""),-1.2133876357895461)</f>
        <v>-1.213387636</v>
      </c>
      <c r="Y98" s="26">
        <f>IFERROR(__xludf.DUMMYFUNCTION("""COMPUTED_VALUE"""),-0.9838465703486031)</f>
        <v>-0.9838465703</v>
      </c>
      <c r="Z98" s="26">
        <f>IFERROR(__xludf.DUMMYFUNCTION("""COMPUTED_VALUE"""),0.6443771329397897)</f>
        <v>0.6443771329</v>
      </c>
      <c r="AA98" s="26">
        <f>IFERROR(__xludf.DUMMYFUNCTION("""COMPUTED_VALUE"""),0.0)</f>
        <v>0</v>
      </c>
      <c r="AB98" t="str">
        <f>IFERROR(__xludf.DUMMYFUNCTION("SUBSTITUTE(REGEXREPLACE(REGEXREPLACE(REGEXREPLACE(REGEXREPLACE(REGEXREPLACE(REGEXREPLACE(F98,"","",),IF(Projections!$T$17="""",""PG"",),),IF(Projections!$U$17="""",""SG"",),),IF(Projections!$V$17="""",""SF"",),),IF(Projections!$W$17="""",""PF"",),),IF(Pro"&amp;"jections!$X$17="""",""C"",),),""/"","""")"),"SFPF")</f>
        <v>SFPF</v>
      </c>
    </row>
    <row r="99">
      <c r="A99" s="408" t="str">
        <f>IF(Projections!$AB$17,Draft!K13,"")</f>
        <v/>
      </c>
      <c r="B99">
        <f>IFERROR(__xludf.DUMMYFUNCTION("""COMPUTED_VALUE"""),80.0)</f>
        <v>80</v>
      </c>
      <c r="C99">
        <f>IFERROR(__xludf.DUMMYFUNCTION("""COMPUTED_VALUE"""),99.3)</f>
        <v>99.3</v>
      </c>
      <c r="D99" t="str">
        <f>IFERROR(__xludf.DUMMYFUNCTION("""COMPUTED_VALUE"""),"Mark Williams")</f>
        <v>Mark Williams</v>
      </c>
      <c r="E99">
        <f>IFERROR(__xludf.DUMMYFUNCTION("""COMPUTED_VALUE"""),65.0)</f>
        <v>65</v>
      </c>
      <c r="F99" t="str">
        <f>IFERROR(__xludf.DUMMYFUNCTION("""COMPUTED_VALUE"""),"PG")</f>
        <v>PG</v>
      </c>
      <c r="G99" s="26">
        <f>IFERROR(__xludf.DUMMYFUNCTION("""COMPUTED_VALUE"""),-1.1260322050369882)</f>
        <v>-1.126032205</v>
      </c>
      <c r="H99" s="26">
        <f>IFERROR(__xludf.DUMMYFUNCTION("""COMPUTED_VALUE"""),-1.3154282216831759)</f>
        <v>-1.315428222</v>
      </c>
      <c r="I99" s="26">
        <f>IFERROR(__xludf.DUMMYFUNCTION("""COMPUTED_VALUE"""),-0.18939601664618766)</f>
        <v>-0.1893960166</v>
      </c>
      <c r="J99" s="26">
        <f>IFERROR(__xludf.DUMMYFUNCTION("""COMPUTED_VALUE"""),13.07557377)</f>
        <v>13.07557377</v>
      </c>
      <c r="K99" s="26">
        <f>IFERROR(__xludf.DUMMYFUNCTION("""COMPUTED_VALUE"""),0.0)</f>
        <v>0</v>
      </c>
      <c r="L99" s="26">
        <f>IFERROR(__xludf.DUMMYFUNCTION("""COMPUTED_VALUE"""),9.907377049)</f>
        <v>9.907377049</v>
      </c>
      <c r="M99" s="26">
        <f>IFERROR(__xludf.DUMMYFUNCTION("""COMPUTED_VALUE"""),1.158688525)</f>
        <v>1.158688525</v>
      </c>
      <c r="N99" s="26">
        <f>IFERROR(__xludf.DUMMYFUNCTION("""COMPUTED_VALUE"""),0.8316393443)</f>
        <v>0.8316393443</v>
      </c>
      <c r="O99" s="26">
        <f>IFERROR(__xludf.DUMMYFUNCTION("""COMPUTED_VALUE"""),1.332622951)</f>
        <v>1.332622951</v>
      </c>
      <c r="P99" s="464">
        <f>IFERROR(__xludf.DUMMYFUNCTION("""COMPUTED_VALUE"""),0.643003876)</f>
        <v>0.643003876</v>
      </c>
      <c r="Q99" s="464">
        <f>IFERROR(__xludf.DUMMYFUNCTION("""COMPUTED_VALUE"""),0.7020217892)</f>
        <v>0.7020217892</v>
      </c>
      <c r="R99" s="26">
        <f>IFERROR(__xludf.DUMMYFUNCTION("""COMPUTED_VALUE"""),0.9849180328)</f>
        <v>0.9849180328</v>
      </c>
      <c r="S99" s="26">
        <f>IFERROR(__xludf.DUMMYFUNCTION("""COMPUTED_VALUE"""),-0.7954848789171034)</f>
        <v>-0.7954848789</v>
      </c>
      <c r="T99" s="26">
        <f>IFERROR(__xludf.DUMMYFUNCTION("""COMPUTED_VALUE"""),-1.7345523719336797)</f>
        <v>-1.734552372</v>
      </c>
      <c r="U99" s="26">
        <f>IFERROR(__xludf.DUMMYFUNCTION("""COMPUTED_VALUE"""),1.4986694864697547)</f>
        <v>1.498669486</v>
      </c>
      <c r="V99" s="26">
        <f>IFERROR(__xludf.DUMMYFUNCTION("""COMPUTED_VALUE"""),-1.2600727801292921)</f>
        <v>-1.26007278</v>
      </c>
      <c r="W99" s="26">
        <f>IFERROR(__xludf.DUMMYFUNCTION("""COMPUTED_VALUE"""),-0.4775902886939987)</f>
        <v>-0.4775902887</v>
      </c>
      <c r="X99" s="26">
        <f>IFERROR(__xludf.DUMMYFUNCTION("""COMPUTED_VALUE"""),1.0415723557847127)</f>
        <v>1.041572356</v>
      </c>
      <c r="Y99" s="26">
        <f>IFERROR(__xludf.DUMMYFUNCTION("""COMPUTED_VALUE"""),1.4341346705371556)</f>
        <v>1.434134671</v>
      </c>
      <c r="Z99" s="26">
        <f>IFERROR(__xludf.DUMMYFUNCTION("""COMPUTED_VALUE"""),-1.0221044148007254)</f>
        <v>-1.022104415</v>
      </c>
      <c r="AA99" s="26">
        <f>IFERROR(__xludf.DUMMYFUNCTION("""COMPUTED_VALUE"""),0.0)</f>
        <v>0</v>
      </c>
      <c r="AB99" t="str">
        <f>IFERROR(__xludf.DUMMYFUNCTION("SUBSTITUTE(REGEXREPLACE(REGEXREPLACE(REGEXREPLACE(REGEXREPLACE(REGEXREPLACE(REGEXREPLACE(F99,"","",),IF(Projections!$T$17="""",""PG"",),),IF(Projections!$U$17="""",""SG"",),),IF(Projections!$V$17="""",""SF"",),),IF(Projections!$W$17="""",""PF"",),),IF(Pro"&amp;"jections!$X$17="""",""C"",),),""/"","""")"),"PG")</f>
        <v>PG</v>
      </c>
    </row>
    <row r="100">
      <c r="A100" s="408" t="str">
        <f>IF(Projections!$AB$17,Draft!K14,"")</f>
        <v/>
      </c>
      <c r="B100">
        <f>IFERROR(__xludf.DUMMYFUNCTION("""COMPUTED_VALUE"""),97.0)</f>
        <v>97</v>
      </c>
      <c r="C100">
        <f>IFERROR(__xludf.DUMMYFUNCTION("""COMPUTED_VALUE"""),103.8)</f>
        <v>103.8</v>
      </c>
      <c r="D100" t="str">
        <f>IFERROR(__xludf.DUMMYFUNCTION("""COMPUTED_VALUE"""),"Chris Paul")</f>
        <v>Chris Paul</v>
      </c>
      <c r="E100">
        <f>IFERROR(__xludf.DUMMYFUNCTION("""COMPUTED_VALUE"""),72.0)</f>
        <v>72</v>
      </c>
      <c r="F100" t="str">
        <f>IFERROR(__xludf.DUMMYFUNCTION("""COMPUTED_VALUE"""),"SG,SF")</f>
        <v>SG,SF</v>
      </c>
      <c r="G100" s="26">
        <f>IFERROR(__xludf.DUMMYFUNCTION("""COMPUTED_VALUE"""),-1.3284007164910874)</f>
        <v>-1.328400716</v>
      </c>
      <c r="H100" s="26">
        <f>IFERROR(__xludf.DUMMYFUNCTION("""COMPUTED_VALUE"""),-1.342542473705607)</f>
        <v>-1.342542474</v>
      </c>
      <c r="I100" s="26">
        <f>IFERROR(__xludf.DUMMYFUNCTION("""COMPUTED_VALUE"""),-0.014141757214519712)</f>
        <v>-0.01414175721</v>
      </c>
      <c r="J100" s="26">
        <f>IFERROR(__xludf.DUMMYFUNCTION("""COMPUTED_VALUE"""),9.503770492)</f>
        <v>9.503770492</v>
      </c>
      <c r="K100" s="26">
        <f>IFERROR(__xludf.DUMMYFUNCTION("""COMPUTED_VALUE"""),1.234918033)</f>
        <v>1.234918033</v>
      </c>
      <c r="L100" s="26">
        <f>IFERROR(__xludf.DUMMYFUNCTION("""COMPUTED_VALUE"""),3.675081967)</f>
        <v>3.675081967</v>
      </c>
      <c r="M100" s="26">
        <f>IFERROR(__xludf.DUMMYFUNCTION("""COMPUTED_VALUE"""),8.05)</f>
        <v>8.05</v>
      </c>
      <c r="N100" s="26">
        <f>IFERROR(__xludf.DUMMYFUNCTION("""COMPUTED_VALUE"""),1.298196721)</f>
        <v>1.298196721</v>
      </c>
      <c r="O100" s="26">
        <f>IFERROR(__xludf.DUMMYFUNCTION("""COMPUTED_VALUE"""),0.1737704918)</f>
        <v>0.1737704918</v>
      </c>
      <c r="P100" s="464">
        <f>IFERROR(__xludf.DUMMYFUNCTION("""COMPUTED_VALUE"""),0.4577398819)</f>
        <v>0.4577398819</v>
      </c>
      <c r="Q100" s="464">
        <f>IFERROR(__xludf.DUMMYFUNCTION("""COMPUTED_VALUE"""),0.8138942001)</f>
        <v>0.8138942001</v>
      </c>
      <c r="R100" s="26">
        <f>IFERROR(__xludf.DUMMYFUNCTION("""COMPUTED_VALUE"""),1.691639344)</f>
        <v>1.691639344</v>
      </c>
      <c r="S100" s="26">
        <f>IFERROR(__xludf.DUMMYFUNCTION("""COMPUTED_VALUE"""),-1.4393225602543087)</f>
        <v>-1.43932256</v>
      </c>
      <c r="T100" s="26">
        <f>IFERROR(__xludf.DUMMYFUNCTION("""COMPUTED_VALUE"""),-0.5096019316264983)</f>
        <v>-0.5096019316</v>
      </c>
      <c r="U100" s="26">
        <f>IFERROR(__xludf.DUMMYFUNCTION("""COMPUTED_VALUE"""),-0.9438105594050837)</f>
        <v>-0.9438105594</v>
      </c>
      <c r="V100" s="26">
        <f>IFERROR(__xludf.DUMMYFUNCTION("""COMPUTED_VALUE"""),1.8695364523605995)</f>
        <v>1.869536452</v>
      </c>
      <c r="W100" s="26">
        <f>IFERROR(__xludf.DUMMYFUNCTION("""COMPUTED_VALUE"""),1.0659277228445745)</f>
        <v>1.065927723</v>
      </c>
      <c r="X100" s="26">
        <f>IFERROR(__xludf.DUMMYFUNCTION("""COMPUTED_VALUE"""),-1.0254123112504951)</f>
        <v>-1.025412311</v>
      </c>
      <c r="Y100" s="26">
        <f>IFERROR(__xludf.DUMMYFUNCTION("""COMPUTED_VALUE"""),-0.39404124945886726)</f>
        <v>-0.3940412495</v>
      </c>
      <c r="Z100" s="26">
        <f>IFERROR(__xludf.DUMMYFUNCTION("""COMPUTED_VALUE"""),0.03418196308447191)</f>
        <v>0.03418196308</v>
      </c>
      <c r="AA100" s="26">
        <f>IFERROR(__xludf.DUMMYFUNCTION("""COMPUTED_VALUE"""),0.0)</f>
        <v>0</v>
      </c>
      <c r="AB100" t="str">
        <f>IFERROR(__xludf.DUMMYFUNCTION("SUBSTITUTE(REGEXREPLACE(REGEXREPLACE(REGEXREPLACE(REGEXREPLACE(REGEXREPLACE(REGEXREPLACE(F100,"","",),IF(Projections!$T$17="""",""PG"",),),IF(Projections!$U$17="""",""SG"",),),IF(Projections!$V$17="""",""SF"",),),IF(Projections!$W$17="""",""PF"",),),IF(Pr"&amp;"ojections!$X$17="""",""C"",),),""/"","""")"),"SGSF")</f>
        <v>SGSF</v>
      </c>
    </row>
    <row r="101">
      <c r="A101" s="408" t="str">
        <f>IF(Projections!$AB$17,Draft!L3,"")</f>
        <v/>
      </c>
      <c r="B101">
        <f>IFERROR(__xludf.DUMMYFUNCTION("""COMPUTED_VALUE"""),90.0)</f>
        <v>90</v>
      </c>
      <c r="C101">
        <f>IFERROR(__xludf.DUMMYFUNCTION("""COMPUTED_VALUE"""),92.7)</f>
        <v>92.7</v>
      </c>
      <c r="D101" t="str">
        <f>IFERROR(__xludf.DUMMYFUNCTION("""COMPUTED_VALUE"""),"Jakob Poeltl")</f>
        <v>Jakob Poeltl</v>
      </c>
      <c r="E101">
        <f>IFERROR(__xludf.DUMMYFUNCTION("""COMPUTED_VALUE"""),77.0)</f>
        <v>77</v>
      </c>
      <c r="F101" t="str">
        <f>IFERROR(__xludf.DUMMYFUNCTION("""COMPUTED_VALUE"""),"SG,SF")</f>
        <v>SG,SF</v>
      </c>
      <c r="G101" s="26">
        <f>IFERROR(__xludf.DUMMYFUNCTION("""COMPUTED_VALUE"""),-1.3600311448533522)</f>
        <v>-1.360031145</v>
      </c>
      <c r="H101" s="26">
        <f>IFERROR(__xludf.DUMMYFUNCTION("""COMPUTED_VALUE"""),-1.4137470192035824)</f>
        <v>-1.413747019</v>
      </c>
      <c r="I101" s="26">
        <f>IFERROR(__xludf.DUMMYFUNCTION("""COMPUTED_VALUE"""),-0.053715874350230175)</f>
        <v>-0.05371587435</v>
      </c>
      <c r="J101" s="26">
        <f>IFERROR(__xludf.DUMMYFUNCTION("""COMPUTED_VALUE"""),12.01561644)</f>
        <v>12.01561644</v>
      </c>
      <c r="K101" s="26">
        <f>IFERROR(__xludf.DUMMYFUNCTION("""COMPUTED_VALUE"""),0.0)</f>
        <v>0</v>
      </c>
      <c r="L101" s="26">
        <f>IFERROR(__xludf.DUMMYFUNCTION("""COMPUTED_VALUE"""),8.805890411)</f>
        <v>8.805890411</v>
      </c>
      <c r="M101" s="26">
        <f>IFERROR(__xludf.DUMMYFUNCTION("""COMPUTED_VALUE"""),2.684657534)</f>
        <v>2.684657534</v>
      </c>
      <c r="N101" s="26">
        <f>IFERROR(__xludf.DUMMYFUNCTION("""COMPUTED_VALUE"""),0.7971232877)</f>
        <v>0.7971232877</v>
      </c>
      <c r="O101" s="26">
        <f>IFERROR(__xludf.DUMMYFUNCTION("""COMPUTED_VALUE"""),1.704383562)</f>
        <v>1.704383562</v>
      </c>
      <c r="P101" s="464">
        <f>IFERROR(__xludf.DUMMYFUNCTION("""COMPUTED_VALUE"""),0.61)</f>
        <v>0.61</v>
      </c>
      <c r="Q101" s="464">
        <f>IFERROR(__xludf.DUMMYFUNCTION("""COMPUTED_VALUE"""),0.590014112)</f>
        <v>0.590014112</v>
      </c>
      <c r="R101" s="26">
        <f>IFERROR(__xludf.DUMMYFUNCTION("""COMPUTED_VALUE"""),1.532054795)</f>
        <v>1.532054795</v>
      </c>
      <c r="S101" s="26">
        <f>IFERROR(__xludf.DUMMYFUNCTION("""COMPUTED_VALUE"""),-0.9865481644756802)</f>
        <v>-0.9865481645</v>
      </c>
      <c r="T101" s="26">
        <f>IFERROR(__xludf.DUMMYFUNCTION("""COMPUTED_VALUE"""),-1.7345523719336797)</f>
        <v>-1.734552372</v>
      </c>
      <c r="U101" s="26">
        <f>IFERROR(__xludf.DUMMYFUNCTION("""COMPUTED_VALUE"""),1.0669891666654168)</f>
        <v>1.066989167</v>
      </c>
      <c r="V101" s="26">
        <f>IFERROR(__xludf.DUMMYFUNCTION("""COMPUTED_VALUE"""),-0.5670716414657913)</f>
        <v>-0.5670716415</v>
      </c>
      <c r="W101" s="26">
        <f>IFERROR(__xludf.DUMMYFUNCTION("""COMPUTED_VALUE"""),-0.5917802205437781)</f>
        <v>-0.5917802205</v>
      </c>
      <c r="X101" s="26">
        <f>IFERROR(__xludf.DUMMYFUNCTION("""COMPUTED_VALUE"""),1.7046623605943954)</f>
        <v>1.704662361</v>
      </c>
      <c r="Y101" s="26">
        <f>IFERROR(__xludf.DUMMYFUNCTION("""COMPUTED_VALUE"""),1.162387240774537)</f>
        <v>1.162387241</v>
      </c>
      <c r="Z101" s="26">
        <f>IFERROR(__xludf.DUMMYFUNCTION("""COMPUTED_VALUE"""),-1.4678333888190025)</f>
        <v>-1.467833389</v>
      </c>
      <c r="AA101" s="26">
        <f>IFERROR(__xludf.DUMMYFUNCTION("""COMPUTED_VALUE"""),0.0)</f>
        <v>0</v>
      </c>
      <c r="AB101" t="str">
        <f>IFERROR(__xludf.DUMMYFUNCTION("SUBSTITUTE(REGEXREPLACE(REGEXREPLACE(REGEXREPLACE(REGEXREPLACE(REGEXREPLACE(REGEXREPLACE(F101,"","",),IF(Projections!$T$17="""",""PG"",),),IF(Projections!$U$17="""",""SG"",),),IF(Projections!$V$17="""",""SF"",),),IF(Projections!$W$17="""",""PF"",),),IF(Pr"&amp;"ojections!$X$17="""",""C"",),),""/"","""")"),"SGSF")</f>
        <v>SGSF</v>
      </c>
    </row>
    <row r="102">
      <c r="A102" s="408" t="str">
        <f>IF(Projections!$AB$17,Draft!L4,"")</f>
        <v/>
      </c>
      <c r="B102">
        <f>IFERROR(__xludf.DUMMYFUNCTION("""COMPUTED_VALUE"""),102.0)</f>
        <v>102</v>
      </c>
      <c r="C102">
        <f>IFERROR(__xludf.DUMMYFUNCTION("""COMPUTED_VALUE"""),105.4)</f>
        <v>105.4</v>
      </c>
      <c r="D102" t="str">
        <f>IFERROR(__xludf.DUMMYFUNCTION("""COMPUTED_VALUE"""),"Terry Rozier")</f>
        <v>Terry Rozier</v>
      </c>
      <c r="E102">
        <f>IFERROR(__xludf.DUMMYFUNCTION("""COMPUTED_VALUE"""),55.0)</f>
        <v>55</v>
      </c>
      <c r="F102" t="str">
        <f>IFERROR(__xludf.DUMMYFUNCTION("""COMPUTED_VALUE"""),"PF,C")</f>
        <v>PF,C</v>
      </c>
      <c r="G102" s="26">
        <f>IFERROR(__xludf.DUMMYFUNCTION("""COMPUTED_VALUE"""),-1.3510132380082316)</f>
        <v>-1.351013238</v>
      </c>
      <c r="H102" s="26">
        <f>IFERROR(__xludf.DUMMYFUNCTION("""COMPUTED_VALUE"""),-1.4208469519978322)</f>
        <v>-1.420846952</v>
      </c>
      <c r="I102" s="26">
        <f>IFERROR(__xludf.DUMMYFUNCTION("""COMPUTED_VALUE"""),-0.06983371398960059)</f>
        <v>-0.06983371399</v>
      </c>
      <c r="J102" s="26">
        <f>IFERROR(__xludf.DUMMYFUNCTION("""COMPUTED_VALUE"""),16.37514706)</f>
        <v>16.37514706</v>
      </c>
      <c r="K102" s="26">
        <f>IFERROR(__xludf.DUMMYFUNCTION("""COMPUTED_VALUE"""),2.146176471)</f>
        <v>2.146176471</v>
      </c>
      <c r="L102" s="26">
        <f>IFERROR(__xludf.DUMMYFUNCTION("""COMPUTED_VALUE"""),3.734558824)</f>
        <v>3.734558824</v>
      </c>
      <c r="M102" s="26">
        <f>IFERROR(__xludf.DUMMYFUNCTION("""COMPUTED_VALUE"""),4.534705882)</f>
        <v>4.534705882</v>
      </c>
      <c r="N102" s="26">
        <f>IFERROR(__xludf.DUMMYFUNCTION("""COMPUTED_VALUE"""),1.070882353)</f>
        <v>1.070882353</v>
      </c>
      <c r="O102" s="26">
        <f>IFERROR(__xludf.DUMMYFUNCTION("""COMPUTED_VALUE"""),0.3326470588)</f>
        <v>0.3326470588</v>
      </c>
      <c r="P102" s="464">
        <f>IFERROR(__xludf.DUMMYFUNCTION("""COMPUTED_VALUE"""),0.4413512506)</f>
        <v>0.4413512506</v>
      </c>
      <c r="Q102" s="464">
        <f>IFERROR(__xludf.DUMMYFUNCTION("""COMPUTED_VALUE"""),0.8500332766)</f>
        <v>0.8500332766</v>
      </c>
      <c r="R102" s="26">
        <f>IFERROR(__xludf.DUMMYFUNCTION("""COMPUTED_VALUE"""),1.467058824)</f>
        <v>1.467058824</v>
      </c>
      <c r="S102" s="26">
        <f>IFERROR(__xludf.DUMMYFUNCTION("""COMPUTED_VALUE"""),-0.20071818795160698)</f>
        <v>-0.200718188</v>
      </c>
      <c r="T102" s="26">
        <f>IFERROR(__xludf.DUMMYFUNCTION("""COMPUTED_VALUE"""),0.3943013194662277)</f>
        <v>0.3943013195</v>
      </c>
      <c r="U102" s="26">
        <f>IFERROR(__xludf.DUMMYFUNCTION("""COMPUTED_VALUE"""),-0.920501163026626)</f>
        <v>-0.920501163</v>
      </c>
      <c r="V102" s="26">
        <f>IFERROR(__xludf.DUMMYFUNCTION("""COMPUTED_VALUE"""),0.273106372756599)</f>
        <v>0.2731063728</v>
      </c>
      <c r="W102" s="26">
        <f>IFERROR(__xludf.DUMMYFUNCTION("""COMPUTED_VALUE"""),0.3139005578875072)</f>
        <v>0.3139005579</v>
      </c>
      <c r="X102" s="26">
        <f>IFERROR(__xludf.DUMMYFUNCTION("""COMPUTED_VALUE"""),-0.7420324682574572)</f>
        <v>-0.7420324683</v>
      </c>
      <c r="Y102" s="26">
        <f>IFERROR(__xludf.DUMMYFUNCTION("""COMPUTED_VALUE"""),-0.9235245883137768)</f>
        <v>-0.9235245883</v>
      </c>
      <c r="Z102" s="26">
        <f>IFERROR(__xludf.DUMMYFUNCTION("""COMPUTED_VALUE"""),0.384621205441301)</f>
        <v>0.3846212054</v>
      </c>
      <c r="AA102" s="26">
        <f>IFERROR(__xludf.DUMMYFUNCTION("""COMPUTED_VALUE"""),0.0)</f>
        <v>0</v>
      </c>
      <c r="AB102" t="str">
        <f>IFERROR(__xludf.DUMMYFUNCTION("SUBSTITUTE(REGEXREPLACE(REGEXREPLACE(REGEXREPLACE(REGEXREPLACE(REGEXREPLACE(REGEXREPLACE(F102,"","",),IF(Projections!$T$17="""",""PG"",),),IF(Projections!$U$17="""",""SG"",),),IF(Projections!$V$17="""",""SF"",),),IF(Projections!$W$17="""",""PF"",),),IF(Pr"&amp;"ojections!$X$17="""",""C"",),),""/"","""")"),"PFC")</f>
        <v>PFC</v>
      </c>
    </row>
    <row r="103">
      <c r="A103" s="408" t="str">
        <f>IF(Projections!$AB$17,Draft!L5,"")</f>
        <v/>
      </c>
      <c r="B103">
        <f>IFERROR(__xludf.DUMMYFUNCTION("""COMPUTED_VALUE"""),95.0)</f>
        <v>95</v>
      </c>
      <c r="C103">
        <f>IFERROR(__xludf.DUMMYFUNCTION("""COMPUTED_VALUE"""),116.8)</f>
        <v>116.8</v>
      </c>
      <c r="D103" t="str">
        <f>IFERROR(__xludf.DUMMYFUNCTION("""COMPUTED_VALUE"""),"Amen Thompson")</f>
        <v>Amen Thompson</v>
      </c>
      <c r="E103">
        <f>IFERROR(__xludf.DUMMYFUNCTION("""COMPUTED_VALUE"""),60.0)</f>
        <v>60</v>
      </c>
      <c r="F103" t="str">
        <f>IFERROR(__xludf.DUMMYFUNCTION("""COMPUTED_VALUE"""),"PF,C")</f>
        <v>PF,C</v>
      </c>
      <c r="G103" s="26">
        <f>IFERROR(__xludf.DUMMYFUNCTION("""COMPUTED_VALUE"""),-1.3653044557770007)</f>
        <v>-1.365304456</v>
      </c>
      <c r="H103" s="26">
        <f>IFERROR(__xludf.DUMMYFUNCTION("""COMPUTED_VALUE"""),-1.4326583484190025)</f>
        <v>-1.432658348</v>
      </c>
      <c r="I103" s="26">
        <f>IFERROR(__xludf.DUMMYFUNCTION("""COMPUTED_VALUE"""),-0.06735389264200187)</f>
        <v>-0.06735389264</v>
      </c>
      <c r="J103" s="26">
        <f>IFERROR(__xludf.DUMMYFUNCTION("""COMPUTED_VALUE"""),11.99764706)</f>
        <v>11.99764706</v>
      </c>
      <c r="K103" s="26">
        <f>IFERROR(__xludf.DUMMYFUNCTION("""COMPUTED_VALUE"""),0.1511764706)</f>
        <v>0.1511764706</v>
      </c>
      <c r="L103" s="26">
        <f>IFERROR(__xludf.DUMMYFUNCTION("""COMPUTED_VALUE"""),6.947941176)</f>
        <v>6.947941176</v>
      </c>
      <c r="M103" s="26">
        <f>IFERROR(__xludf.DUMMYFUNCTION("""COMPUTED_VALUE"""),3.227794118)</f>
        <v>3.227794118</v>
      </c>
      <c r="N103" s="26">
        <f>IFERROR(__xludf.DUMMYFUNCTION("""COMPUTED_VALUE"""),1.416176471)</f>
        <v>1.416176471</v>
      </c>
      <c r="O103" s="26">
        <f>IFERROR(__xludf.DUMMYFUNCTION("""COMPUTED_VALUE"""),0.7680882353)</f>
        <v>0.7680882353</v>
      </c>
      <c r="P103" s="464">
        <f>IFERROR(__xludf.DUMMYFUNCTION("""COMPUTED_VALUE"""),0.5641206775)</f>
        <v>0.5641206775</v>
      </c>
      <c r="Q103" s="464">
        <f>IFERROR(__xludf.DUMMYFUNCTION("""COMPUTED_VALUE"""),0.7019978578)</f>
        <v>0.7019978578</v>
      </c>
      <c r="R103" s="26">
        <f>IFERROR(__xludf.DUMMYFUNCTION("""COMPUTED_VALUE"""),1.477058824)</f>
        <v>1.477058824</v>
      </c>
      <c r="S103" s="26">
        <f>IFERROR(__xludf.DUMMYFUNCTION("""COMPUTED_VALUE"""),-0.9897872465453806)</f>
        <v>-0.9897872465</v>
      </c>
      <c r="T103" s="26">
        <f>IFERROR(__xludf.DUMMYFUNCTION("""COMPUTED_VALUE"""),-1.5845961163142788)</f>
        <v>-1.584596116</v>
      </c>
      <c r="U103" s="26">
        <f>IFERROR(__xludf.DUMMYFUNCTION("""COMPUTED_VALUE"""),0.3388458626292357)</f>
        <v>0.3388458626</v>
      </c>
      <c r="V103" s="26">
        <f>IFERROR(__xludf.DUMMYFUNCTION("""COMPUTED_VALUE"""),-0.3204124570774639)</f>
        <v>-0.3204124571</v>
      </c>
      <c r="W103" s="26">
        <f>IFERROR(__xludf.DUMMYFUNCTION("""COMPUTED_VALUE"""),1.4562417082537304)</f>
        <v>1.456241708</v>
      </c>
      <c r="X103" s="26">
        <f>IFERROR(__xludf.DUMMYFUNCTION("""COMPUTED_VALUE"""),0.03464123862893164)</f>
        <v>0.03464123863</v>
      </c>
      <c r="Y103" s="26">
        <f>IFERROR(__xludf.DUMMYFUNCTION("""COMPUTED_VALUE"""),0.6639087666020693)</f>
        <v>0.6639087666</v>
      </c>
      <c r="Z103" s="26">
        <f>IFERROR(__xludf.DUMMYFUNCTION("""COMPUTED_VALUE"""),-1.0315001045958463)</f>
        <v>-1.031500105</v>
      </c>
      <c r="AA103" s="26">
        <f>IFERROR(__xludf.DUMMYFUNCTION("""COMPUTED_VALUE"""),0.0)</f>
        <v>0</v>
      </c>
      <c r="AB103" t="str">
        <f>IFERROR(__xludf.DUMMYFUNCTION("SUBSTITUTE(REGEXREPLACE(REGEXREPLACE(REGEXREPLACE(REGEXREPLACE(REGEXREPLACE(REGEXREPLACE(F103,"","",),IF(Projections!$T$17="""",""PG"",),),IF(Projections!$U$17="""",""SG"",),),IF(Projections!$V$17="""",""SF"",),),IF(Projections!$W$17="""",""PF"",),),IF(Pr"&amp;"ojections!$X$17="""",""C"",),),""/"","""")"),"PFC")</f>
        <v>PFC</v>
      </c>
    </row>
    <row r="104">
      <c r="A104" s="408" t="str">
        <f>IF(Projections!$AB$17,Draft!L6,"")</f>
        <v/>
      </c>
      <c r="B104">
        <f>IFERROR(__xludf.DUMMYFUNCTION("""COMPUTED_VALUE"""),91.0)</f>
        <v>91</v>
      </c>
      <c r="C104">
        <f>IFERROR(__xludf.DUMMYFUNCTION("""COMPUTED_VALUE"""),91.6)</f>
        <v>91.6</v>
      </c>
      <c r="D104" t="str">
        <f>IFERROR(__xludf.DUMMYFUNCTION("""COMPUTED_VALUE"""),"Ivica Zubac")</f>
        <v>Ivica Zubac</v>
      </c>
      <c r="E104">
        <f>IFERROR(__xludf.DUMMYFUNCTION("""COMPUTED_VALUE"""),67.0)</f>
        <v>67</v>
      </c>
      <c r="F104" t="str">
        <f>IFERROR(__xludf.DUMMYFUNCTION("""COMPUTED_VALUE"""),"SF,PF,C")</f>
        <v>SF,PF,C</v>
      </c>
      <c r="G104" s="26">
        <f>IFERROR(__xludf.DUMMYFUNCTION("""COMPUTED_VALUE"""),-1.4770255159328256)</f>
        <v>-1.477025516</v>
      </c>
      <c r="H104" s="26">
        <f>IFERROR(__xludf.DUMMYFUNCTION("""COMPUTED_VALUE"""),-1.5907326849953054)</f>
        <v>-1.590732685</v>
      </c>
      <c r="I104" s="26">
        <f>IFERROR(__xludf.DUMMYFUNCTION("""COMPUTED_VALUE"""),-0.1137071690624798)</f>
        <v>-0.1137071691</v>
      </c>
      <c r="J104" s="26">
        <f>IFERROR(__xludf.DUMMYFUNCTION("""COMPUTED_VALUE"""),14.28589041)</f>
        <v>14.28589041</v>
      </c>
      <c r="K104" s="26">
        <f>IFERROR(__xludf.DUMMYFUNCTION("""COMPUTED_VALUE"""),0.0)</f>
        <v>0</v>
      </c>
      <c r="L104" s="26">
        <f>IFERROR(__xludf.DUMMYFUNCTION("""COMPUTED_VALUE"""),10.12465753)</f>
        <v>10.12465753</v>
      </c>
      <c r="M104" s="26">
        <f>IFERROR(__xludf.DUMMYFUNCTION("""COMPUTED_VALUE"""),1.606712329)</f>
        <v>1.606712329</v>
      </c>
      <c r="N104" s="26">
        <f>IFERROR(__xludf.DUMMYFUNCTION("""COMPUTED_VALUE"""),0.4216438356)</f>
        <v>0.4216438356</v>
      </c>
      <c r="O104" s="26">
        <f>IFERROR(__xludf.DUMMYFUNCTION("""COMPUTED_VALUE"""),1.229452055)</f>
        <v>1.229452055</v>
      </c>
      <c r="P104" s="464">
        <f>IFERROR(__xludf.DUMMYFUNCTION("""COMPUTED_VALUE"""),0.6339964633)</f>
        <v>0.6339964633</v>
      </c>
      <c r="Q104" s="464">
        <f>IFERROR(__xludf.DUMMYFUNCTION("""COMPUTED_VALUE"""),0.768009768)</f>
        <v>0.768009768</v>
      </c>
      <c r="R104" s="26">
        <f>IFERROR(__xludf.DUMMYFUNCTION("""COMPUTED_VALUE"""),1.290136986)</f>
        <v>1.290136986</v>
      </c>
      <c r="S104" s="26">
        <f>IFERROR(__xludf.DUMMYFUNCTION("""COMPUTED_VALUE"""),-0.5773184798936472)</f>
        <v>-0.5773184799</v>
      </c>
      <c r="T104" s="26">
        <f>IFERROR(__xludf.DUMMYFUNCTION("""COMPUTED_VALUE"""),-1.7345523719336797)</f>
        <v>-1.734552372</v>
      </c>
      <c r="U104" s="26">
        <f>IFERROR(__xludf.DUMMYFUNCTION("""COMPUTED_VALUE"""),1.5838232271412056)</f>
        <v>1.583823227</v>
      </c>
      <c r="V104" s="26">
        <f>IFERROR(__xludf.DUMMYFUNCTION("""COMPUTED_VALUE"""),-1.056607962371415)</f>
        <v>-1.056607962</v>
      </c>
      <c r="W104" s="26">
        <f>IFERROR(__xludf.DUMMYFUNCTION("""COMPUTED_VALUE"""),-1.8339839155710802)</f>
        <v>-1.833983916</v>
      </c>
      <c r="X104" s="26">
        <f>IFERROR(__xludf.DUMMYFUNCTION("""COMPUTED_VALUE"""),0.8575518116478859)</f>
        <v>0.8575518116</v>
      </c>
      <c r="Y104" s="26">
        <f>IFERROR(__xludf.DUMMYFUNCTION("""COMPUTED_VALUE"""),1.478623853771848)</f>
        <v>1.478623854</v>
      </c>
      <c r="Z104" s="26">
        <f>IFERROR(__xludf.DUMMYFUNCTION("""COMPUTED_VALUE"""),-0.3082688477864227)</f>
        <v>-0.3082688478</v>
      </c>
      <c r="AA104" s="26">
        <f>IFERROR(__xludf.DUMMYFUNCTION("""COMPUTED_VALUE"""),0.0)</f>
        <v>0</v>
      </c>
      <c r="AB104" t="str">
        <f>IFERROR(__xludf.DUMMYFUNCTION("SUBSTITUTE(REGEXREPLACE(REGEXREPLACE(REGEXREPLACE(REGEXREPLACE(REGEXREPLACE(REGEXREPLACE(F104,"","",),IF(Projections!$T$17="""",""PG"",),),IF(Projections!$U$17="""",""SG"",),),IF(Projections!$V$17="""",""SF"",),),IF(Projections!$W$17="""",""PF"",),),IF(Pr"&amp;"ojections!$X$17="""",""C"",),),""/"","""")"),"SFPFC")</f>
        <v>SFPFC</v>
      </c>
    </row>
    <row r="105">
      <c r="A105" s="408" t="str">
        <f>IF(Projections!$AB$17,Draft!L7,"")</f>
        <v/>
      </c>
      <c r="B105">
        <f>IFERROR(__xludf.DUMMYFUNCTION("""COMPUTED_VALUE"""),99.0)</f>
        <v>99</v>
      </c>
      <c r="C105">
        <f>IFERROR(__xludf.DUMMYFUNCTION("""COMPUTED_VALUE"""),73.3)</f>
        <v>73.3</v>
      </c>
      <c r="D105" t="str">
        <f>IFERROR(__xludf.DUMMYFUNCTION("""COMPUTED_VALUE"""),"Michael Porter Jr.")</f>
        <v>Michael Porter Jr.</v>
      </c>
      <c r="E105">
        <f>IFERROR(__xludf.DUMMYFUNCTION("""COMPUTED_VALUE"""),74.0)</f>
        <v>74</v>
      </c>
      <c r="F105" t="str">
        <f>IFERROR(__xludf.DUMMYFUNCTION("""COMPUTED_VALUE"""),"PG")</f>
        <v>PG</v>
      </c>
      <c r="G105" s="26">
        <f>IFERROR(__xludf.DUMMYFUNCTION("""COMPUTED_VALUE"""),-1.433929959352242)</f>
        <v>-1.433929959</v>
      </c>
      <c r="H105" s="26">
        <f>IFERROR(__xludf.DUMMYFUNCTION("""COMPUTED_VALUE"""),-1.6083537855020902)</f>
        <v>-1.608353786</v>
      </c>
      <c r="I105" s="26">
        <f>IFERROR(__xludf.DUMMYFUNCTION("""COMPUTED_VALUE"""),-0.17442382614984808)</f>
        <v>-0.1744238261</v>
      </c>
      <c r="J105" s="26">
        <f>IFERROR(__xludf.DUMMYFUNCTION("""COMPUTED_VALUE"""),16.79617647)</f>
        <v>16.79617647</v>
      </c>
      <c r="K105" s="26">
        <f>IFERROR(__xludf.DUMMYFUNCTION("""COMPUTED_VALUE"""),2.626470588)</f>
        <v>2.626470588</v>
      </c>
      <c r="L105" s="26">
        <f>IFERROR(__xludf.DUMMYFUNCTION("""COMPUTED_VALUE"""),6.206617647)</f>
        <v>6.206617647</v>
      </c>
      <c r="M105" s="26">
        <f>IFERROR(__xludf.DUMMYFUNCTION("""COMPUTED_VALUE"""),1.372058824)</f>
        <v>1.372058824</v>
      </c>
      <c r="N105" s="26">
        <f>IFERROR(__xludf.DUMMYFUNCTION("""COMPUTED_VALUE"""),0.5895588235)</f>
        <v>0.5895588235</v>
      </c>
      <c r="O105" s="26">
        <f>IFERROR(__xludf.DUMMYFUNCTION("""COMPUTED_VALUE"""),0.5869117647)</f>
        <v>0.5869117647</v>
      </c>
      <c r="P105" s="464">
        <f>IFERROR(__xludf.DUMMYFUNCTION("""COMPUTED_VALUE"""),0.4910021389)</f>
        <v>0.4910021389</v>
      </c>
      <c r="Q105" s="464">
        <f>IFERROR(__xludf.DUMMYFUNCTION("""COMPUTED_VALUE"""),0.8779647273)</f>
        <v>0.8779647273</v>
      </c>
      <c r="R105" s="26">
        <f>IFERROR(__xludf.DUMMYFUNCTION("""COMPUTED_VALUE"""),1.045294118)</f>
        <v>1.045294118</v>
      </c>
      <c r="S105" s="26">
        <f>IFERROR(__xludf.DUMMYFUNCTION("""COMPUTED_VALUE"""),-0.12482526272282542)</f>
        <v>-0.1248252627</v>
      </c>
      <c r="T105" s="26">
        <f>IFERROR(__xludf.DUMMYFUNCTION("""COMPUTED_VALUE"""),0.8707187612512883)</f>
        <v>0.8707187613</v>
      </c>
      <c r="U105" s="26">
        <f>IFERROR(__xludf.DUMMYFUNCTION("""COMPUTED_VALUE"""),0.04831598506462005)</f>
        <v>0.04831598506</v>
      </c>
      <c r="V105" s="26">
        <f>IFERROR(__xludf.DUMMYFUNCTION("""COMPUTED_VALUE"""),-1.1631731319110945)</f>
        <v>-1.163173132</v>
      </c>
      <c r="W105" s="26">
        <f>IFERROR(__xludf.DUMMYFUNCTION("""COMPUTED_VALUE"""),-1.2784685145198045)</f>
        <v>-1.278468515</v>
      </c>
      <c r="X105" s="26">
        <f>IFERROR(__xludf.DUMMYFUNCTION("""COMPUTED_VALUE"""),-0.28851377889269425)</f>
        <v>-0.2885137789</v>
      </c>
      <c r="Y105" s="26">
        <f>IFERROR(__xludf.DUMMYFUNCTION("""COMPUTED_VALUE"""),-0.0953843902109194)</f>
        <v>-0.09538439021</v>
      </c>
      <c r="Z105" s="26">
        <f>IFERROR(__xludf.DUMMYFUNCTION("""COMPUTED_VALUE"""),0.42297654643933935)</f>
        <v>0.4229765464</v>
      </c>
      <c r="AA105" s="26">
        <f>IFERROR(__xludf.DUMMYFUNCTION("""COMPUTED_VALUE"""),0.0)</f>
        <v>0</v>
      </c>
      <c r="AB105" t="str">
        <f>IFERROR(__xludf.DUMMYFUNCTION("SUBSTITUTE(REGEXREPLACE(REGEXREPLACE(REGEXREPLACE(REGEXREPLACE(REGEXREPLACE(REGEXREPLACE(F105,"","",),IF(Projections!$T$17="""",""PG"",),),IF(Projections!$U$17="""",""SG"",),),IF(Projections!$V$17="""",""SF"",),),IF(Projections!$W$17="""",""PF"",),),IF(Pr"&amp;"ojections!$X$17="""",""C"",),),""/"","""")"),"PG")</f>
        <v>PG</v>
      </c>
    </row>
    <row r="106">
      <c r="A106" s="408" t="str">
        <f>IF(Projections!$AB$17,Draft!L8,"")</f>
        <v/>
      </c>
      <c r="B106">
        <f>IFERROR(__xludf.DUMMYFUNCTION("""COMPUTED_VALUE"""),92.0)</f>
        <v>92</v>
      </c>
      <c r="C106">
        <f>IFERROR(__xludf.DUMMYFUNCTION("""COMPUTED_VALUE"""),104.5)</f>
        <v>104.5</v>
      </c>
      <c r="D106" t="str">
        <f>IFERROR(__xludf.DUMMYFUNCTION("""COMPUTED_VALUE"""),"Daniel Gafford")</f>
        <v>Daniel Gafford</v>
      </c>
      <c r="E106">
        <f>IFERROR(__xludf.DUMMYFUNCTION("""COMPUTED_VALUE"""),76.0)</f>
        <v>76</v>
      </c>
      <c r="F106" t="str">
        <f>IFERROR(__xludf.DUMMYFUNCTION("""COMPUTED_VALUE"""),"PG,SG")</f>
        <v>PG,SG</v>
      </c>
      <c r="G106" s="26">
        <f>IFERROR(__xludf.DUMMYFUNCTION("""COMPUTED_VALUE"""),-1.480972693957607)</f>
        <v>-1.480972694</v>
      </c>
      <c r="H106" s="26">
        <f>IFERROR(__xludf.DUMMYFUNCTION("""COMPUTED_VALUE"""),-1.6742379669994905)</f>
        <v>-1.674237967</v>
      </c>
      <c r="I106" s="26">
        <f>IFERROR(__xludf.DUMMYFUNCTION("""COMPUTED_VALUE"""),-0.19326527304188357)</f>
        <v>-0.193265273</v>
      </c>
      <c r="J106" s="26">
        <f>IFERROR(__xludf.DUMMYFUNCTION("""COMPUTED_VALUE"""),10.43520548)</f>
        <v>10.43520548</v>
      </c>
      <c r="K106" s="26">
        <f>IFERROR(__xludf.DUMMYFUNCTION("""COMPUTED_VALUE"""),0.0)</f>
        <v>0</v>
      </c>
      <c r="L106" s="26">
        <f>IFERROR(__xludf.DUMMYFUNCTION("""COMPUTED_VALUE"""),6.630273973)</f>
        <v>6.630273973</v>
      </c>
      <c r="M106" s="26">
        <f>IFERROR(__xludf.DUMMYFUNCTION("""COMPUTED_VALUE"""),1.597123288)</f>
        <v>1.597123288</v>
      </c>
      <c r="N106" s="26">
        <f>IFERROR(__xludf.DUMMYFUNCTION("""COMPUTED_VALUE"""),0.7239726027)</f>
        <v>0.7239726027</v>
      </c>
      <c r="O106" s="26">
        <f>IFERROR(__xludf.DUMMYFUNCTION("""COMPUTED_VALUE"""),1.79369863)</f>
        <v>1.79369863</v>
      </c>
      <c r="P106" s="464">
        <f>IFERROR(__xludf.DUMMYFUNCTION("""COMPUTED_VALUE"""),0.7399957109)</f>
        <v>0.7399957109</v>
      </c>
      <c r="Q106" s="464">
        <f>IFERROR(__xludf.DUMMYFUNCTION("""COMPUTED_VALUE"""),0.6680029834)</f>
        <v>0.6680029834</v>
      </c>
      <c r="R106" s="26">
        <f>IFERROR(__xludf.DUMMYFUNCTION("""COMPUTED_VALUE"""),0.9693150685)</f>
        <v>0.9693150685</v>
      </c>
      <c r="S106" s="26">
        <f>IFERROR(__xludf.DUMMYFUNCTION("""COMPUTED_VALUE"""),-1.271426151545579)</f>
        <v>-1.271426152</v>
      </c>
      <c r="T106" s="26">
        <f>IFERROR(__xludf.DUMMYFUNCTION("""COMPUTED_VALUE"""),-1.7345523719336797)</f>
        <v>-1.734552372</v>
      </c>
      <c r="U106" s="26">
        <f>IFERROR(__xludf.DUMMYFUNCTION("""COMPUTED_VALUE"""),0.21434986326660965)</f>
        <v>0.2143498633</v>
      </c>
      <c r="V106" s="26">
        <f>IFERROR(__xludf.DUMMYFUNCTION("""COMPUTED_VALUE"""),-1.0609627141995968)</f>
        <v>-1.060962714</v>
      </c>
      <c r="W106" s="26">
        <f>IFERROR(__xludf.DUMMYFUNCTION("""COMPUTED_VALUE"""),-0.8337856104328037)</f>
        <v>-0.8337856104</v>
      </c>
      <c r="X106" s="26">
        <f>IFERROR(__xludf.DUMMYFUNCTION("""COMPUTED_VALUE"""),1.8639689872711438)</f>
        <v>1.863968987</v>
      </c>
      <c r="Y106" s="26">
        <f>IFERROR(__xludf.DUMMYFUNCTION("""COMPUTED_VALUE"""),1.8035995064573276)</f>
        <v>1.803599506</v>
      </c>
      <c r="Z106" s="26">
        <f>IFERROR(__xludf.DUMMYFUNCTION("""COMPUTED_VALUE"""),-0.6554294758829119)</f>
        <v>-0.6554294759</v>
      </c>
      <c r="AA106" s="26">
        <f>IFERROR(__xludf.DUMMYFUNCTION("""COMPUTED_VALUE"""),0.0)</f>
        <v>0</v>
      </c>
      <c r="AB106" t="str">
        <f>IFERROR(__xludf.DUMMYFUNCTION("SUBSTITUTE(REGEXREPLACE(REGEXREPLACE(REGEXREPLACE(REGEXREPLACE(REGEXREPLACE(REGEXREPLACE(F106,"","",),IF(Projections!$T$17="""",""PG"",),),IF(Projections!$U$17="""",""SG"",),),IF(Projections!$V$17="""",""SF"",),),IF(Projections!$W$17="""",""PF"",),),IF(Pr"&amp;"ojections!$X$17="""",""C"",),),""/"","""")"),"PGSG")</f>
        <v>PGSG</v>
      </c>
    </row>
    <row r="107">
      <c r="A107" s="408" t="str">
        <f>IF(Projections!$AB$17,Draft!L9,"")</f>
        <v/>
      </c>
      <c r="B107">
        <f>IFERROR(__xludf.DUMMYFUNCTION("""COMPUTED_VALUE"""),111.0)</f>
        <v>111</v>
      </c>
      <c r="C107">
        <f>IFERROR(__xludf.DUMMYFUNCTION("""COMPUTED_VALUE"""),92.2)</f>
        <v>92.2</v>
      </c>
      <c r="D107" t="str">
        <f>IFERROR(__xludf.DUMMYFUNCTION("""COMPUTED_VALUE"""),"Jalen Green")</f>
        <v>Jalen Green</v>
      </c>
      <c r="E107">
        <f>IFERROR(__xludf.DUMMYFUNCTION("""COMPUTED_VALUE"""),68.0)</f>
        <v>68</v>
      </c>
      <c r="F107" t="str">
        <f>IFERROR(__xludf.DUMMYFUNCTION("""COMPUTED_VALUE"""),"SG,SF")</f>
        <v>SG,SF</v>
      </c>
      <c r="G107" s="26">
        <f>IFERROR(__xludf.DUMMYFUNCTION("""COMPUTED_VALUE"""),-1.8861184242693458)</f>
        <v>-1.886118424</v>
      </c>
      <c r="H107" s="26">
        <f>IFERROR(__xludf.DUMMYFUNCTION("""COMPUTED_VALUE"""),-1.7520472795521966)</f>
        <v>-1.75204728</v>
      </c>
      <c r="I107" s="26">
        <f>IFERROR(__xludf.DUMMYFUNCTION("""COMPUTED_VALUE"""),0.1340711447171492)</f>
        <v>0.1340711447</v>
      </c>
      <c r="J107" s="26">
        <f>IFERROR(__xludf.DUMMYFUNCTION("""COMPUTED_VALUE"""),19.86671233)</f>
        <v>19.86671233</v>
      </c>
      <c r="K107" s="26">
        <f>IFERROR(__xludf.DUMMYFUNCTION("""COMPUTED_VALUE"""),2.66109589)</f>
        <v>2.66109589</v>
      </c>
      <c r="L107" s="26">
        <f>IFERROR(__xludf.DUMMYFUNCTION("""COMPUTED_VALUE"""),4.443972603)</f>
        <v>4.443972603</v>
      </c>
      <c r="M107" s="26">
        <f>IFERROR(__xludf.DUMMYFUNCTION("""COMPUTED_VALUE"""),3.644246575)</f>
        <v>3.644246575</v>
      </c>
      <c r="N107" s="26">
        <f>IFERROR(__xludf.DUMMYFUNCTION("""COMPUTED_VALUE"""),0.8628767123)</f>
        <v>0.8628767123</v>
      </c>
      <c r="O107" s="26">
        <f>IFERROR(__xludf.DUMMYFUNCTION("""COMPUTED_VALUE"""),0.34)</f>
        <v>0.34</v>
      </c>
      <c r="P107" s="464">
        <f>IFERROR(__xludf.DUMMYFUNCTION("""COMPUTED_VALUE"""),0.4297209182)</f>
        <v>0.4297209182</v>
      </c>
      <c r="Q107" s="464">
        <f>IFERROR(__xludf.DUMMYFUNCTION("""COMPUTED_VALUE"""),0.801002631)</f>
        <v>0.801002631</v>
      </c>
      <c r="R107" s="26">
        <f>IFERROR(__xludf.DUMMYFUNCTION("""COMPUTED_VALUE"""),2.289315068)</f>
        <v>2.289315068</v>
      </c>
      <c r="S107" s="26">
        <f>IFERROR(__xludf.DUMMYFUNCTION("""COMPUTED_VALUE"""),0.4286561400021599)</f>
        <v>0.42865614</v>
      </c>
      <c r="T107" s="26">
        <f>IFERROR(__xludf.DUMMYFUNCTION("""COMPUTED_VALUE"""),0.9050645864779484)</f>
        <v>0.9050645865</v>
      </c>
      <c r="U107" s="26">
        <f>IFERROR(__xludf.DUMMYFUNCTION("""COMPUTED_VALUE"""),-0.6424769397383869)</f>
        <v>-0.6424769397</v>
      </c>
      <c r="V107" s="26">
        <f>IFERROR(__xludf.DUMMYFUNCTION("""COMPUTED_VALUE"""),-0.13128540063131774)</f>
        <v>-0.1312854006</v>
      </c>
      <c r="W107" s="26">
        <f>IFERROR(__xludf.DUMMYFUNCTION("""COMPUTED_VALUE"""),-0.3742472862060935)</f>
        <v>-0.3742472862</v>
      </c>
      <c r="X107" s="26">
        <f>IFERROR(__xludf.DUMMYFUNCTION("""COMPUTED_VALUE"""),-0.7289174106870538)</f>
        <v>-0.7289174107</v>
      </c>
      <c r="Y107" s="26">
        <f>IFERROR(__xludf.DUMMYFUNCTION("""COMPUTED_VALUE"""),-1.2903596761958462)</f>
        <v>-1.290359676</v>
      </c>
      <c r="Z107" s="26">
        <f>IFERROR(__xludf.DUMMYFUNCTION("""COMPUTED_VALUE"""),0.08151870742639354)</f>
        <v>0.08151870743</v>
      </c>
      <c r="AA107" s="26">
        <f>IFERROR(__xludf.DUMMYFUNCTION("""COMPUTED_VALUE"""),0.0)</f>
        <v>0</v>
      </c>
      <c r="AB107" t="str">
        <f>IFERROR(__xludf.DUMMYFUNCTION("SUBSTITUTE(REGEXREPLACE(REGEXREPLACE(REGEXREPLACE(REGEXREPLACE(REGEXREPLACE(REGEXREPLACE(F107,"","",),IF(Projections!$T$17="""",""PG"",),),IF(Projections!$U$17="""",""SG"",),),IF(Projections!$V$17="""",""SF"",),),IF(Projections!$W$17="""",""PF"",),),IF(Pr"&amp;"ojections!$X$17="""",""C"",),),""/"","""")"),"SGSF")</f>
        <v>SGSF</v>
      </c>
    </row>
    <row r="108">
      <c r="A108" s="408" t="str">
        <f>IF(Projections!$AB$17,Draft!L10,"")</f>
        <v/>
      </c>
      <c r="B108">
        <f>IFERROR(__xludf.DUMMYFUNCTION("""COMPUTED_VALUE"""),103.0)</f>
        <v>103</v>
      </c>
      <c r="C108">
        <f>IFERROR(__xludf.DUMMYFUNCTION("""COMPUTED_VALUE"""),84.2)</f>
        <v>84.2</v>
      </c>
      <c r="D108" t="str">
        <f>IFERROR(__xludf.DUMMYFUNCTION("""COMPUTED_VALUE"""),"Jusuf Nurkic")</f>
        <v>Jusuf Nurkic</v>
      </c>
      <c r="E108">
        <f>IFERROR(__xludf.DUMMYFUNCTION("""COMPUTED_VALUE"""),48.0)</f>
        <v>48</v>
      </c>
      <c r="F108" t="str">
        <f>IFERROR(__xludf.DUMMYFUNCTION("""COMPUTED_VALUE"""),"C")</f>
        <v>C</v>
      </c>
      <c r="G108" s="26">
        <f>IFERROR(__xludf.DUMMYFUNCTION("""COMPUTED_VALUE"""),-1.9345415924895948)</f>
        <v>-1.934541592</v>
      </c>
      <c r="H108" s="26">
        <f>IFERROR(__xludf.DUMMYFUNCTION("""COMPUTED_VALUE"""),-1.7699312780090057)</f>
        <v>-1.769931278</v>
      </c>
      <c r="I108" s="26">
        <f>IFERROR(__xludf.DUMMYFUNCTION("""COMPUTED_VALUE"""),0.16461031448058905)</f>
        <v>0.1646103145</v>
      </c>
      <c r="J108" s="26">
        <f>IFERROR(__xludf.DUMMYFUNCTION("""COMPUTED_VALUE"""),11.10712329)</f>
        <v>11.10712329</v>
      </c>
      <c r="K108" s="26">
        <f>IFERROR(__xludf.DUMMYFUNCTION("""COMPUTED_VALUE"""),0.355890411)</f>
        <v>0.355890411</v>
      </c>
      <c r="L108" s="26">
        <f>IFERROR(__xludf.DUMMYFUNCTION("""COMPUTED_VALUE"""),11.36246575)</f>
        <v>11.36246575</v>
      </c>
      <c r="M108" s="26">
        <f>IFERROR(__xludf.DUMMYFUNCTION("""COMPUTED_VALUE"""),3.431232877)</f>
        <v>3.431232877</v>
      </c>
      <c r="N108" s="26">
        <f>IFERROR(__xludf.DUMMYFUNCTION("""COMPUTED_VALUE"""),1.130410959)</f>
        <v>1.130410959</v>
      </c>
      <c r="O108" s="26">
        <f>IFERROR(__xludf.DUMMYFUNCTION("""COMPUTED_VALUE"""),1.009315068)</f>
        <v>1.009315068</v>
      </c>
      <c r="P108" s="464">
        <f>IFERROR(__xludf.DUMMYFUNCTION("""COMPUTED_VALUE"""),0.5060056601)</f>
        <v>0.5060056601</v>
      </c>
      <c r="Q108" s="464">
        <f>IFERROR(__xludf.DUMMYFUNCTION("""COMPUTED_VALUE"""),0.6300048239)</f>
        <v>0.6300048239</v>
      </c>
      <c r="R108" s="26">
        <f>IFERROR(__xludf.DUMMYFUNCTION("""COMPUTED_VALUE"""),2.412465753)</f>
        <v>2.412465753</v>
      </c>
      <c r="S108" s="26">
        <f>IFERROR(__xludf.DUMMYFUNCTION("""COMPUTED_VALUE"""),-1.1503091775218006)</f>
        <v>-1.150309178</v>
      </c>
      <c r="T108" s="26">
        <f>IFERROR(__xludf.DUMMYFUNCTION("""COMPUTED_VALUE"""),-1.3815345164922945)</f>
        <v>-1.381534516</v>
      </c>
      <c r="U108" s="26">
        <f>IFERROR(__xludf.DUMMYFUNCTION("""COMPUTED_VALUE"""),2.068928928683123)</f>
        <v>2.068928929</v>
      </c>
      <c r="V108" s="26">
        <f>IFERROR(__xludf.DUMMYFUNCTION("""COMPUTED_VALUE"""),-0.22802310263855635)</f>
        <v>-0.2280231026</v>
      </c>
      <c r="W108" s="26">
        <f>IFERROR(__xludf.DUMMYFUNCTION("""COMPUTED_VALUE"""),0.5108398415672183)</f>
        <v>0.5108398416</v>
      </c>
      <c r="X108" s="26">
        <f>IFERROR(__xludf.DUMMYFUNCTION("""COMPUTED_VALUE"""),0.4649049538326585)</f>
        <v>0.4649049538</v>
      </c>
      <c r="Y108" s="26">
        <f>IFERROR(__xludf.DUMMYFUNCTION("""COMPUTED_VALUE"""),0.084821017487391)</f>
        <v>0.08482101749</v>
      </c>
      <c r="Z108" s="26">
        <f>IFERROR(__xludf.DUMMYFUNCTION("""COMPUTED_VALUE"""),-2.139559222926745)</f>
        <v>-2.139559223</v>
      </c>
      <c r="AA108" s="26">
        <f>IFERROR(__xludf.DUMMYFUNCTION("""COMPUTED_VALUE"""),0.0)</f>
        <v>0</v>
      </c>
      <c r="AB108" t="str">
        <f>IFERROR(__xludf.DUMMYFUNCTION("SUBSTITUTE(REGEXREPLACE(REGEXREPLACE(REGEXREPLACE(REGEXREPLACE(REGEXREPLACE(REGEXREPLACE(F108,"","",),IF(Projections!$T$17="""",""PG"",),),IF(Projections!$U$17="""",""SG"",),),IF(Projections!$V$17="""",""SF"",),),IF(Projections!$W$17="""",""PF"",),),IF(Pr"&amp;"ojections!$X$17="""",""C"",),),""/"","""")"),"C")</f>
        <v>C</v>
      </c>
    </row>
    <row r="109">
      <c r="A109" s="408" t="str">
        <f>IF(Projections!$AB$17,Draft!L11,"")</f>
        <v/>
      </c>
      <c r="B109">
        <f>IFERROR(__xludf.DUMMYFUNCTION("""COMPUTED_VALUE"""),101.0)</f>
        <v>101</v>
      </c>
      <c r="C109">
        <f>IFERROR(__xludf.DUMMYFUNCTION("""COMPUTED_VALUE"""),91.0)</f>
        <v>91</v>
      </c>
      <c r="D109" t="str">
        <f>IFERROR(__xludf.DUMMYFUNCTION("""COMPUTED_VALUE"""),"Jonathan Kuminga")</f>
        <v>Jonathan Kuminga</v>
      </c>
      <c r="E109">
        <f>IFERROR(__xludf.DUMMYFUNCTION("""COMPUTED_VALUE"""),67.0)</f>
        <v>67</v>
      </c>
      <c r="F109" t="str">
        <f>IFERROR(__xludf.DUMMYFUNCTION("""COMPUTED_VALUE"""),"SG,SF,PF")</f>
        <v>SG,SF,PF</v>
      </c>
      <c r="G109" s="26">
        <f>IFERROR(__xludf.DUMMYFUNCTION("""COMPUTED_VALUE"""),-1.8701319708233377)</f>
        <v>-1.870131971</v>
      </c>
      <c r="H109" s="26">
        <f>IFERROR(__xludf.DUMMYFUNCTION("""COMPUTED_VALUE"""),-1.856951344585256)</f>
        <v>-1.856951345</v>
      </c>
      <c r="I109" s="26">
        <f>IFERROR(__xludf.DUMMYFUNCTION("""COMPUTED_VALUE"""),0.013180626238081805)</f>
        <v>0.01318062624</v>
      </c>
      <c r="J109" s="26">
        <f>IFERROR(__xludf.DUMMYFUNCTION("""COMPUTED_VALUE"""),18.77363636)</f>
        <v>18.77363636</v>
      </c>
      <c r="K109" s="26">
        <f>IFERROR(__xludf.DUMMYFUNCTION("""COMPUTED_VALUE"""),0.7936363636)</f>
        <v>0.7936363636</v>
      </c>
      <c r="L109" s="26">
        <f>IFERROR(__xludf.DUMMYFUNCTION("""COMPUTED_VALUE"""),5.437532468)</f>
        <v>5.437532468</v>
      </c>
      <c r="M109" s="26">
        <f>IFERROR(__xludf.DUMMYFUNCTION("""COMPUTED_VALUE"""),3.25)</f>
        <v>3.25</v>
      </c>
      <c r="N109" s="26">
        <f>IFERROR(__xludf.DUMMYFUNCTION("""COMPUTED_VALUE"""),0.8842857143)</f>
        <v>0.8842857143</v>
      </c>
      <c r="O109" s="26">
        <f>IFERROR(__xludf.DUMMYFUNCTION("""COMPUTED_VALUE"""),0.5585714286)</f>
        <v>0.5585714286</v>
      </c>
      <c r="P109" s="464">
        <f>IFERROR(__xludf.DUMMYFUNCTION("""COMPUTED_VALUE"""),0.5313195112)</f>
        <v>0.5313195112</v>
      </c>
      <c r="Q109" s="464">
        <f>IFERROR(__xludf.DUMMYFUNCTION("""COMPUTED_VALUE"""),0.7580010849)</f>
        <v>0.7580010849</v>
      </c>
      <c r="R109" s="26">
        <f>IFERROR(__xludf.DUMMYFUNCTION("""COMPUTED_VALUE"""),1.801818182)</f>
        <v>1.801818182</v>
      </c>
      <c r="S109" s="26">
        <f>IFERROR(__xludf.DUMMYFUNCTION("""COMPUTED_VALUE"""),0.23162303283611216)</f>
        <v>0.2316230328</v>
      </c>
      <c r="T109" s="26">
        <f>IFERROR(__xludf.DUMMYFUNCTION("""COMPUTED_VALUE"""),-0.9473218132593371)</f>
        <v>-0.9473218133</v>
      </c>
      <c r="U109" s="26">
        <f>IFERROR(__xludf.DUMMYFUNCTION("""COMPUTED_VALUE"""),-0.2530938773648654)</f>
        <v>-0.2530938774</v>
      </c>
      <c r="V109" s="26">
        <f>IFERROR(__xludf.DUMMYFUNCTION("""COMPUTED_VALUE"""),-0.31032791314487645)</f>
        <v>-0.3103279131</v>
      </c>
      <c r="W109" s="26">
        <f>IFERROR(__xludf.DUMMYFUNCTION("""COMPUTED_VALUE"""),-0.3034195984524526)</f>
        <v>-0.3034195985</v>
      </c>
      <c r="X109" s="26">
        <f>IFERROR(__xludf.DUMMYFUNCTION("""COMPUTED_VALUE"""),-0.3390629577051237)</f>
        <v>-0.3390629577</v>
      </c>
      <c r="Y109" s="26">
        <f>IFERROR(__xludf.DUMMYFUNCTION("""COMPUTED_VALUE"""),0.562288575128439)</f>
        <v>0.5622885751</v>
      </c>
      <c r="Z109" s="26">
        <f>IFERROR(__xludf.DUMMYFUNCTION("""COMPUTED_VALUE"""),-0.497636792623152)</f>
        <v>-0.4976367926</v>
      </c>
      <c r="AA109" s="26">
        <f>IFERROR(__xludf.DUMMYFUNCTION("""COMPUTED_VALUE"""),0.0)</f>
        <v>0</v>
      </c>
      <c r="AB109" t="str">
        <f>IFERROR(__xludf.DUMMYFUNCTION("SUBSTITUTE(REGEXREPLACE(REGEXREPLACE(REGEXREPLACE(REGEXREPLACE(REGEXREPLACE(REGEXREPLACE(F109,"","",),IF(Projections!$T$17="""",""PG"",),),IF(Projections!$U$17="""",""SG"",),),IF(Projections!$V$17="""",""SF"",),),IF(Projections!$W$17="""",""PF"",),),IF(Pr"&amp;"ojections!$X$17="""",""C"",),),""/"","""")"),"SGSFPF")</f>
        <v>SGSFPF</v>
      </c>
    </row>
    <row r="110">
      <c r="A110" s="408" t="str">
        <f>IF(Projections!$AB$17,Draft!L12,"")</f>
        <v/>
      </c>
      <c r="B110">
        <f>IFERROR(__xludf.DUMMYFUNCTION("""COMPUTED_VALUE"""),107.0)</f>
        <v>107</v>
      </c>
      <c r="C110">
        <f>IFERROR(__xludf.DUMMYFUNCTION("""COMPUTED_VALUE"""),86.5)</f>
        <v>86.5</v>
      </c>
      <c r="D110" t="str">
        <f>IFERROR(__xludf.DUMMYFUNCTION("""COMPUTED_VALUE"""),"Coby White")</f>
        <v>Coby White</v>
      </c>
      <c r="E110">
        <f>IFERROR(__xludf.DUMMYFUNCTION("""COMPUTED_VALUE"""),68.0)</f>
        <v>68</v>
      </c>
      <c r="F110" t="str">
        <f>IFERROR(__xludf.DUMMYFUNCTION("""COMPUTED_VALUE"""),"PF")</f>
        <v>PF</v>
      </c>
      <c r="G110" s="26">
        <f>IFERROR(__xludf.DUMMYFUNCTION("""COMPUTED_VALUE"""),-1.8554082408591954)</f>
        <v>-1.855408241</v>
      </c>
      <c r="H110" s="26">
        <f>IFERROR(__xludf.DUMMYFUNCTION("""COMPUTED_VALUE"""),-1.888062619043175)</f>
        <v>-1.888062619</v>
      </c>
      <c r="I110" s="26">
        <f>IFERROR(__xludf.DUMMYFUNCTION("""COMPUTED_VALUE"""),-0.03265437818397965)</f>
        <v>-0.03265437818</v>
      </c>
      <c r="J110" s="26">
        <f>IFERROR(__xludf.DUMMYFUNCTION("""COMPUTED_VALUE"""),18.96849315)</f>
        <v>18.96849315</v>
      </c>
      <c r="K110" s="26">
        <f>IFERROR(__xludf.DUMMYFUNCTION("""COMPUTED_VALUE"""),2.273424658)</f>
        <v>2.273424658</v>
      </c>
      <c r="L110" s="26">
        <f>IFERROR(__xludf.DUMMYFUNCTION("""COMPUTED_VALUE"""),3.822054795)</f>
        <v>3.822054795</v>
      </c>
      <c r="M110" s="26">
        <f>IFERROR(__xludf.DUMMYFUNCTION("""COMPUTED_VALUE"""),4.41)</f>
        <v>4.41</v>
      </c>
      <c r="N110" s="26">
        <f>IFERROR(__xludf.DUMMYFUNCTION("""COMPUTED_VALUE"""),0.6620547945)</f>
        <v>0.6620547945</v>
      </c>
      <c r="O110" s="26">
        <f>IFERROR(__xludf.DUMMYFUNCTION("""COMPUTED_VALUE"""),0.2204109589)</f>
        <v>0.2204109589</v>
      </c>
      <c r="P110" s="464">
        <f>IFERROR(__xludf.DUMMYFUNCTION("""COMPUTED_VALUE"""),0.4497405255)</f>
        <v>0.4497405255</v>
      </c>
      <c r="Q110" s="464">
        <f>IFERROR(__xludf.DUMMYFUNCTION("""COMPUTED_VALUE"""),0.8560152025)</f>
        <v>0.8560152025</v>
      </c>
      <c r="R110" s="26">
        <f>IFERROR(__xludf.DUMMYFUNCTION("""COMPUTED_VALUE"""),1.616986301)</f>
        <v>1.616986301</v>
      </c>
      <c r="S110" s="26">
        <f>IFERROR(__xludf.DUMMYFUNCTION("""COMPUTED_VALUE"""),0.26674706798080755)</f>
        <v>0.266747068</v>
      </c>
      <c r="T110" s="26">
        <f>IFERROR(__xludf.DUMMYFUNCTION("""COMPUTED_VALUE"""),0.5205224276925586)</f>
        <v>0.5205224277</v>
      </c>
      <c r="U110" s="26">
        <f>IFERROR(__xludf.DUMMYFUNCTION("""COMPUTED_VALUE"""),-0.8862108798403935)</f>
        <v>-0.8862108798</v>
      </c>
      <c r="V110" s="26">
        <f>IFERROR(__xludf.DUMMYFUNCTION("""COMPUTED_VALUE"""),0.21647264185228024)</f>
        <v>0.2164726419</v>
      </c>
      <c r="W110" s="26">
        <f>IFERROR(__xludf.DUMMYFUNCTION("""COMPUTED_VALUE"""),-1.0386291237165808)</f>
        <v>-1.038629124</v>
      </c>
      <c r="X110" s="26">
        <f>IFERROR(__xludf.DUMMYFUNCTION("""COMPUTED_VALUE"""),-0.9422221436034315)</f>
        <v>-0.9422221436</v>
      </c>
      <c r="Y110" s="26">
        <f>IFERROR(__xludf.DUMMYFUNCTION("""COMPUTED_VALUE"""),-0.8284963900960279)</f>
        <v>-0.8284963901</v>
      </c>
      <c r="Z110" s="26">
        <f>IFERROR(__xludf.DUMMYFUNCTION("""COMPUTED_VALUE"""),0.8037537806876122)</f>
        <v>0.8037537807</v>
      </c>
      <c r="AA110" s="26">
        <f>IFERROR(__xludf.DUMMYFUNCTION("""COMPUTED_VALUE"""),0.0)</f>
        <v>0</v>
      </c>
      <c r="AB110" t="str">
        <f>IFERROR(__xludf.DUMMYFUNCTION("SUBSTITUTE(REGEXREPLACE(REGEXREPLACE(REGEXREPLACE(REGEXREPLACE(REGEXREPLACE(REGEXREPLACE(F110,"","",),IF(Projections!$T$17="""",""PG"",),),IF(Projections!$U$17="""",""SG"",),),IF(Projections!$V$17="""",""SF"",),),IF(Projections!$W$17="""",""PF"",),),IF(Pr"&amp;"ojections!$X$17="""",""C"",),),""/"","""")"),"PF")</f>
        <v>PF</v>
      </c>
    </row>
    <row r="111">
      <c r="A111" s="408" t="str">
        <f>IF(Projections!$AB$17,Draft!L13,"")</f>
        <v/>
      </c>
      <c r="B111">
        <f>IFERROR(__xludf.DUMMYFUNCTION("""COMPUTED_VALUE"""),106.0)</f>
        <v>106</v>
      </c>
      <c r="C111">
        <f>IFERROR(__xludf.DUMMYFUNCTION("""COMPUTED_VALUE"""),144.4)</f>
        <v>144.4</v>
      </c>
      <c r="D111" t="str">
        <f>IFERROR(__xludf.DUMMYFUNCTION("""COMPUTED_VALUE"""),"Dyson Daniels")</f>
        <v>Dyson Daniels</v>
      </c>
      <c r="E111">
        <f>IFERROR(__xludf.DUMMYFUNCTION("""COMPUTED_VALUE"""),68.0)</f>
        <v>68</v>
      </c>
      <c r="F111" t="str">
        <f>IFERROR(__xludf.DUMMYFUNCTION("""COMPUTED_VALUE"""),"PG,SG")</f>
        <v>PG,SG</v>
      </c>
      <c r="G111" s="26">
        <f>IFERROR(__xludf.DUMMYFUNCTION("""COMPUTED_VALUE"""),-1.828853420221427)</f>
        <v>-1.82885342</v>
      </c>
      <c r="H111" s="26">
        <f>IFERROR(__xludf.DUMMYFUNCTION("""COMPUTED_VALUE"""),-1.9008312189939105)</f>
        <v>-1.900831219</v>
      </c>
      <c r="I111" s="26">
        <f>IFERROR(__xludf.DUMMYFUNCTION("""COMPUTED_VALUE"""),-0.07197779877248345)</f>
        <v>-0.07197779877</v>
      </c>
      <c r="J111" s="26">
        <f>IFERROR(__xludf.DUMMYFUNCTION("""COMPUTED_VALUE"""),9.287301587)</f>
        <v>9.287301587</v>
      </c>
      <c r="K111" s="26">
        <f>IFERROR(__xludf.DUMMYFUNCTION("""COMPUTED_VALUE"""),1.195555556)</f>
        <v>1.195555556</v>
      </c>
      <c r="L111" s="26">
        <f>IFERROR(__xludf.DUMMYFUNCTION("""COMPUTED_VALUE"""),5.016666667)</f>
        <v>5.016666667</v>
      </c>
      <c r="M111" s="26">
        <f>IFERROR(__xludf.DUMMYFUNCTION("""COMPUTED_VALUE"""),3.5)</f>
        <v>3.5</v>
      </c>
      <c r="N111" s="26">
        <f>IFERROR(__xludf.DUMMYFUNCTION("""COMPUTED_VALUE"""),1.575079365)</f>
        <v>1.575079365</v>
      </c>
      <c r="O111" s="26">
        <f>IFERROR(__xludf.DUMMYFUNCTION("""COMPUTED_VALUE"""),0.4568253968)</f>
        <v>0.4568253968</v>
      </c>
      <c r="P111" s="464">
        <f>IFERROR(__xludf.DUMMYFUNCTION("""COMPUTED_VALUE"""),0.4659558171)</f>
        <v>0.4659558171</v>
      </c>
      <c r="Q111" s="464">
        <f>IFERROR(__xludf.DUMMYFUNCTION("""COMPUTED_VALUE"""),0.6829830118)</f>
        <v>0.6829830118</v>
      </c>
      <c r="R111" s="26">
        <f>IFERROR(__xludf.DUMMYFUNCTION("""COMPUTED_VALUE"""),1.458412698)</f>
        <v>1.458412698</v>
      </c>
      <c r="S111" s="26">
        <f>IFERROR(__xludf.DUMMYFUNCTION("""COMPUTED_VALUE"""),-1.478342300992898)</f>
        <v>-1.478342301</v>
      </c>
      <c r="T111" s="26">
        <f>IFERROR(__xludf.DUMMYFUNCTION("""COMPUTED_VALUE"""),-0.548646695930083)</f>
        <v>-0.5486466959</v>
      </c>
      <c r="U111" s="26">
        <f>IFERROR(__xludf.DUMMYFUNCTION("""COMPUTED_VALUE"""),-0.4180341292959003)</f>
        <v>-0.4180341293</v>
      </c>
      <c r="V111" s="26">
        <f>IFERROR(__xludf.DUMMYFUNCTION("""COMPUTED_VALUE"""),-0.19679331077479958)</f>
        <v>-0.1967933108</v>
      </c>
      <c r="W111" s="26">
        <f>IFERROR(__xludf.DUMMYFUNCTION("""COMPUTED_VALUE"""),1.9819422784803045)</f>
        <v>1.981942278</v>
      </c>
      <c r="X111" s="26">
        <f>IFERROR(__xludf.DUMMYFUNCTION("""COMPUTED_VALUE"""),-0.5205420459123143)</f>
        <v>-0.5205420459</v>
      </c>
      <c r="Y111" s="26">
        <f>IFERROR(__xludf.DUMMYFUNCTION("""COMPUTED_VALUE"""),-0.2866180678808224)</f>
        <v>-0.2866180679</v>
      </c>
      <c r="Z111" s="26">
        <f>IFERROR(__xludf.DUMMYFUNCTION("""COMPUTED_VALUE"""),-0.43379694668739743)</f>
        <v>-0.4337969467</v>
      </c>
      <c r="AA111" s="26">
        <f>IFERROR(__xludf.DUMMYFUNCTION("""COMPUTED_VALUE"""),0.0)</f>
        <v>0</v>
      </c>
      <c r="AB111" t="str">
        <f>IFERROR(__xludf.DUMMYFUNCTION("SUBSTITUTE(REGEXREPLACE(REGEXREPLACE(REGEXREPLACE(REGEXREPLACE(REGEXREPLACE(REGEXREPLACE(F111,"","",),IF(Projections!$T$17="""",""PG"",),),IF(Projections!$U$17="""",""SG"",),),IF(Projections!$V$17="""",""SF"",),),IF(Projections!$W$17="""",""PF"",),),IF(Pr"&amp;"ojections!$X$17="""",""C"",),),""/"","""")"),"PGSG")</f>
        <v>PGSG</v>
      </c>
    </row>
    <row r="112">
      <c r="A112" s="408" t="str">
        <f>IF(Projections!$AB$17,Draft!L14,"")</f>
        <v/>
      </c>
      <c r="B112">
        <f>IFERROR(__xludf.DUMMYFUNCTION("""COMPUTED_VALUE"""),112.0)</f>
        <v>112</v>
      </c>
      <c r="C112">
        <f>IFERROR(__xludf.DUMMYFUNCTION("""COMPUTED_VALUE"""),106.5)</f>
        <v>106.5</v>
      </c>
      <c r="D112" t="str">
        <f>IFERROR(__xludf.DUMMYFUNCTION("""COMPUTED_VALUE"""),"Klay Thompson")</f>
        <v>Klay Thompson</v>
      </c>
      <c r="E112">
        <f>IFERROR(__xludf.DUMMYFUNCTION("""COMPUTED_VALUE"""),70.0)</f>
        <v>70</v>
      </c>
      <c r="F112" t="str">
        <f>IFERROR(__xludf.DUMMYFUNCTION("""COMPUTED_VALUE"""),"PG")</f>
        <v>PG</v>
      </c>
      <c r="G112" s="26">
        <f>IFERROR(__xludf.DUMMYFUNCTION("""COMPUTED_VALUE"""),-1.8429003551881535)</f>
        <v>-1.842900355</v>
      </c>
      <c r="H112" s="26">
        <f>IFERROR(__xludf.DUMMYFUNCTION("""COMPUTED_VALUE"""),-1.9478092540035632)</f>
        <v>-1.947809254</v>
      </c>
      <c r="I112" s="26">
        <f>IFERROR(__xludf.DUMMYFUNCTION("""COMPUTED_VALUE"""),-0.10490889881540966)</f>
        <v>-0.1049088988</v>
      </c>
      <c r="J112" s="26">
        <f>IFERROR(__xludf.DUMMYFUNCTION("""COMPUTED_VALUE"""),17.09369863)</f>
        <v>17.09369863</v>
      </c>
      <c r="K112" s="26">
        <f>IFERROR(__xludf.DUMMYFUNCTION("""COMPUTED_VALUE"""),3.497945205)</f>
        <v>3.497945205</v>
      </c>
      <c r="L112" s="26">
        <f>IFERROR(__xludf.DUMMYFUNCTION("""COMPUTED_VALUE"""),2.90369863)</f>
        <v>2.90369863</v>
      </c>
      <c r="M112" s="26">
        <f>IFERROR(__xludf.DUMMYFUNCTION("""COMPUTED_VALUE"""),2.02)</f>
        <v>2.02</v>
      </c>
      <c r="N112" s="26">
        <f>IFERROR(__xludf.DUMMYFUNCTION("""COMPUTED_VALUE"""),0.7615068493)</f>
        <v>0.7615068493</v>
      </c>
      <c r="O112" s="26">
        <f>IFERROR(__xludf.DUMMYFUNCTION("""COMPUTED_VALUE"""),0.4402739726)</f>
        <v>0.4402739726</v>
      </c>
      <c r="P112" s="464">
        <f>IFERROR(__xludf.DUMMYFUNCTION("""COMPUTED_VALUE"""),0.4461633849)</f>
        <v>0.4461633849</v>
      </c>
      <c r="Q112" s="464">
        <f>IFERROR(__xludf.DUMMYFUNCTION("""COMPUTED_VALUE"""),0.9030193781)</f>
        <v>0.9030193781</v>
      </c>
      <c r="R112" s="26">
        <f>IFERROR(__xludf.DUMMYFUNCTION("""COMPUTED_VALUE"""),1.325616438)</f>
        <v>1.325616438</v>
      </c>
      <c r="S112" s="26">
        <f>IFERROR(__xludf.DUMMYFUNCTION("""COMPUTED_VALUE"""),-0.07119521573208049)</f>
        <v>-0.07119521573</v>
      </c>
      <c r="T112" s="26">
        <f>IFERROR(__xludf.DUMMYFUNCTION("""COMPUTED_VALUE"""),1.7351593049020768)</f>
        <v>1.735159305</v>
      </c>
      <c r="U112" s="26">
        <f>IFERROR(__xludf.DUMMYFUNCTION("""COMPUTED_VALUE"""),-1.2461210860334577)</f>
        <v>-1.246121086</v>
      </c>
      <c r="V112" s="26">
        <f>IFERROR(__xludf.DUMMYFUNCTION("""COMPUTED_VALUE"""),-0.8689181568056545)</f>
        <v>-0.8689181568</v>
      </c>
      <c r="W112" s="26">
        <f>IFERROR(__xludf.DUMMYFUNCTION("""COMPUTED_VALUE"""),-0.709610560224814)</f>
        <v>-0.7096105602</v>
      </c>
      <c r="X112" s="26">
        <f>IFERROR(__xludf.DUMMYFUNCTION("""COMPUTED_VALUE"""),-0.5500639576685469)</f>
        <v>-0.5500639577</v>
      </c>
      <c r="Y112" s="26">
        <f>IFERROR(__xludf.DUMMYFUNCTION("""COMPUTED_VALUE"""),-0.8139222573590439)</f>
        <v>-0.8139222574</v>
      </c>
      <c r="Z112" s="26">
        <f>IFERROR(__xludf.DUMMYFUNCTION("""COMPUTED_VALUE"""),0.5768626749179575)</f>
        <v>0.5768626749</v>
      </c>
      <c r="AA112" s="26">
        <f>IFERROR(__xludf.DUMMYFUNCTION("""COMPUTED_VALUE"""),0.0)</f>
        <v>0</v>
      </c>
      <c r="AB112" t="str">
        <f>IFERROR(__xludf.DUMMYFUNCTION("SUBSTITUTE(REGEXREPLACE(REGEXREPLACE(REGEXREPLACE(REGEXREPLACE(REGEXREPLACE(REGEXREPLACE(F112,"","",),IF(Projections!$T$17="""",""PG"",),),IF(Projections!$U$17="""",""SG"",),),IF(Projections!$V$17="""",""SF"",),),IF(Projections!$W$17="""",""PF"",),),IF(Pr"&amp;"ojections!$X$17="""",""C"",),),""/"","""")"),"PG")</f>
        <v>PG</v>
      </c>
    </row>
    <row r="113">
      <c r="A113" s="408" t="str">
        <f>IF(Projections!$AB$17,Draft!M3,"")</f>
        <v/>
      </c>
      <c r="B113">
        <f>IFERROR(__xludf.DUMMYFUNCTION("""COMPUTED_VALUE"""),113.0)</f>
        <v>113</v>
      </c>
      <c r="C113">
        <f>IFERROR(__xludf.DUMMYFUNCTION("""COMPUTED_VALUE"""),124.0)</f>
        <v>124</v>
      </c>
      <c r="D113" t="str">
        <f>IFERROR(__xludf.DUMMYFUNCTION("""COMPUTED_VALUE"""),"Cameron Johnson")</f>
        <v>Cameron Johnson</v>
      </c>
      <c r="E113">
        <f>IFERROR(__xludf.DUMMYFUNCTION("""COMPUTED_VALUE"""),73.0)</f>
        <v>73</v>
      </c>
      <c r="F113" t="str">
        <f>IFERROR(__xludf.DUMMYFUNCTION("""COMPUTED_VALUE"""),"SF,PF")</f>
        <v>SF,PF</v>
      </c>
      <c r="G113" s="26">
        <f>IFERROR(__xludf.DUMMYFUNCTION("""COMPUTED_VALUE"""),-1.8307502327719452)</f>
        <v>-1.830750233</v>
      </c>
      <c r="H113" s="26">
        <f>IFERROR(__xludf.DUMMYFUNCTION("""COMPUTED_VALUE"""),-1.9868109461333976)</f>
        <v>-1.986810946</v>
      </c>
      <c r="I113" s="26">
        <f>IFERROR(__xludf.DUMMYFUNCTION("""COMPUTED_VALUE"""),-0.15606071336145244)</f>
        <v>-0.1560607134</v>
      </c>
      <c r="J113" s="26">
        <f>IFERROR(__xludf.DUMMYFUNCTION("""COMPUTED_VALUE"""),14.85704918)</f>
        <v>14.85704918</v>
      </c>
      <c r="K113" s="26">
        <f>IFERROR(__xludf.DUMMYFUNCTION("""COMPUTED_VALUE"""),2.645081967)</f>
        <v>2.645081967</v>
      </c>
      <c r="L113" s="26">
        <f>IFERROR(__xludf.DUMMYFUNCTION("""COMPUTED_VALUE"""),4.300983607)</f>
        <v>4.300983607</v>
      </c>
      <c r="M113" s="26">
        <f>IFERROR(__xludf.DUMMYFUNCTION("""COMPUTED_VALUE"""),2.425901639)</f>
        <v>2.425901639</v>
      </c>
      <c r="N113" s="26">
        <f>IFERROR(__xludf.DUMMYFUNCTION("""COMPUTED_VALUE"""),1.013442623)</f>
        <v>1.013442623</v>
      </c>
      <c r="O113" s="26">
        <f>IFERROR(__xludf.DUMMYFUNCTION("""COMPUTED_VALUE"""),0.292295082)</f>
        <v>0.292295082</v>
      </c>
      <c r="P113" s="464">
        <f>IFERROR(__xludf.DUMMYFUNCTION("""COMPUTED_VALUE"""),0.4483718099)</f>
        <v>0.4483718099</v>
      </c>
      <c r="Q113" s="464">
        <f>IFERROR(__xludf.DUMMYFUNCTION("""COMPUTED_VALUE"""),0.8309729267)</f>
        <v>0.8309729267</v>
      </c>
      <c r="R113" s="26">
        <f>IFERROR(__xludf.DUMMYFUNCTION("""COMPUTED_VALUE"""),1.119344262)</f>
        <v>1.119344262</v>
      </c>
      <c r="S113" s="26">
        <f>IFERROR(__xludf.DUMMYFUNCTION("""COMPUTED_VALUE"""),-0.4743638909841148)</f>
        <v>-0.474363891</v>
      </c>
      <c r="T113" s="26">
        <f>IFERROR(__xludf.DUMMYFUNCTION("""COMPUTED_VALUE"""),0.8891799192322679)</f>
        <v>0.8891799192</v>
      </c>
      <c r="U113" s="26">
        <f>IFERROR(__xludf.DUMMYFUNCTION("""COMPUTED_VALUE"""),-0.6985153276700443)</f>
        <v>-0.6985153277</v>
      </c>
      <c r="V113" s="26">
        <f>IFERROR(__xludf.DUMMYFUNCTION("""COMPUTED_VALUE"""),-0.6845826320647446)</f>
        <v>-0.6845826321</v>
      </c>
      <c r="W113" s="26">
        <f>IFERROR(__xludf.DUMMYFUNCTION("""COMPUTED_VALUE"""),0.12387193062625368)</f>
        <v>0.1238719306</v>
      </c>
      <c r="X113" s="26">
        <f>IFERROR(__xludf.DUMMYFUNCTION("""COMPUTED_VALUE"""),-0.8140061838655162)</f>
        <v>-0.8140061839</v>
      </c>
      <c r="Y113" s="26">
        <f>IFERROR(__xludf.DUMMYFUNCTION("""COMPUTED_VALUE"""),-0.6430780097742186)</f>
        <v>-0.6430780098</v>
      </c>
      <c r="Z113" s="26">
        <f>IFERROR(__xludf.DUMMYFUNCTION("""COMPUTED_VALUE"""),0.31468324836671935)</f>
        <v>0.3146832484</v>
      </c>
      <c r="AA113" s="26">
        <f>IFERROR(__xludf.DUMMYFUNCTION("""COMPUTED_VALUE"""),0.0)</f>
        <v>0</v>
      </c>
      <c r="AB113" t="str">
        <f>IFERROR(__xludf.DUMMYFUNCTION("SUBSTITUTE(REGEXREPLACE(REGEXREPLACE(REGEXREPLACE(REGEXREPLACE(REGEXREPLACE(REGEXREPLACE(F113,"","",),IF(Projections!$T$17="""",""PG"",),),IF(Projections!$U$17="""",""SG"",),),IF(Projections!$V$17="""",""SF"",),),IF(Projections!$W$17="""",""PF"",),),IF(Pr"&amp;"ojections!$X$17="""",""C"",),),""/"","""")"),"SFPF")</f>
        <v>SFPF</v>
      </c>
    </row>
    <row r="114">
      <c r="A114" s="408" t="str">
        <f>IF(Projections!$AB$17,Draft!M4,"")</f>
        <v/>
      </c>
      <c r="B114">
        <f>IFERROR(__xludf.DUMMYFUNCTION("""COMPUTED_VALUE"""),109.0)</f>
        <v>109</v>
      </c>
      <c r="C114">
        <f>IFERROR(__xludf.DUMMYFUNCTION("""COMPUTED_VALUE"""),96.4)</f>
        <v>96.4</v>
      </c>
      <c r="D114" t="str">
        <f>IFERROR(__xludf.DUMMYFUNCTION("""COMPUTED_VALUE"""),"Naz Reid")</f>
        <v>Naz Reid</v>
      </c>
      <c r="E114">
        <f>IFERROR(__xludf.DUMMYFUNCTION("""COMPUTED_VALUE"""),74.0)</f>
        <v>74</v>
      </c>
      <c r="F114" t="str">
        <f>IFERROR(__xludf.DUMMYFUNCTION("""COMPUTED_VALUE"""),"SF,PF")</f>
        <v>SF,PF</v>
      </c>
      <c r="G114" s="26">
        <f>IFERROR(__xludf.DUMMYFUNCTION("""COMPUTED_VALUE"""),-1.9558628017449138)</f>
        <v>-1.955862802</v>
      </c>
      <c r="H114" s="26">
        <f>IFERROR(__xludf.DUMMYFUNCTION("""COMPUTED_VALUE"""),-1.993856670746902)</f>
        <v>-1.993856671</v>
      </c>
      <c r="I114" s="26">
        <f>IFERROR(__xludf.DUMMYFUNCTION("""COMPUTED_VALUE"""),-0.03799386900198831)</f>
        <v>-0.037993869</v>
      </c>
      <c r="J114" s="26">
        <f>IFERROR(__xludf.DUMMYFUNCTION("""COMPUTED_VALUE"""),13.83649351)</f>
        <v>13.83649351</v>
      </c>
      <c r="K114" s="26">
        <f>IFERROR(__xludf.DUMMYFUNCTION("""COMPUTED_VALUE"""),2.004155844)</f>
        <v>2.004155844</v>
      </c>
      <c r="L114" s="26">
        <f>IFERROR(__xludf.DUMMYFUNCTION("""COMPUTED_VALUE"""),5.888181818)</f>
        <v>5.888181818</v>
      </c>
      <c r="M114" s="26">
        <f>IFERROR(__xludf.DUMMYFUNCTION("""COMPUTED_VALUE"""),1.682857143)</f>
        <v>1.682857143</v>
      </c>
      <c r="N114" s="26">
        <f>IFERROR(__xludf.DUMMYFUNCTION("""COMPUTED_VALUE"""),0.9201298701)</f>
        <v>0.9201298701</v>
      </c>
      <c r="O114" s="26">
        <f>IFERROR(__xludf.DUMMYFUNCTION("""COMPUTED_VALUE"""),1.195844156)</f>
        <v>1.195844156</v>
      </c>
      <c r="P114" s="464">
        <f>IFERROR(__xludf.DUMMYFUNCTION("""COMPUTED_VALUE"""),0.4676141659)</f>
        <v>0.4676141659</v>
      </c>
      <c r="Q114" s="464">
        <f>IFERROR(__xludf.DUMMYFUNCTION("""COMPUTED_VALUE"""),0.6939887208)</f>
        <v>0.6939887208</v>
      </c>
      <c r="R114" s="26">
        <f>IFERROR(__xludf.DUMMYFUNCTION("""COMPUTED_VALUE"""),1.595454545)</f>
        <v>1.595454545</v>
      </c>
      <c r="S114" s="26">
        <f>IFERROR(__xludf.DUMMYFUNCTION("""COMPUTED_VALUE"""),-0.6583248051518905)</f>
        <v>-0.6583248052</v>
      </c>
      <c r="T114" s="26">
        <f>IFERROR(__xludf.DUMMYFUNCTION("""COMPUTED_VALUE"""),0.25342700641264876)</f>
        <v>0.2534270064</v>
      </c>
      <c r="U114" s="26">
        <f>IFERROR(__xludf.DUMMYFUNCTION("""COMPUTED_VALUE"""),-0.07648124420497324)</f>
        <v>-0.0764812442</v>
      </c>
      <c r="V114" s="26">
        <f>IFERROR(__xludf.DUMMYFUNCTION("""COMPUTED_VALUE"""),-1.0220276776512813)</f>
        <v>-1.022027678</v>
      </c>
      <c r="W114" s="26">
        <f>IFERROR(__xludf.DUMMYFUNCTION("""COMPUTED_VALUE"""),-0.1848358982503016)</f>
        <v>-0.1848358983</v>
      </c>
      <c r="X114" s="26">
        <f>IFERROR(__xludf.DUMMYFUNCTION("""COMPUTED_VALUE"""),0.7976071557317876)</f>
        <v>0.7976071557</v>
      </c>
      <c r="Y114" s="26">
        <f>IFERROR(__xludf.DUMMYFUNCTION("""COMPUTED_VALUE"""),-0.3842441922452465)</f>
        <v>-0.3842441922</v>
      </c>
      <c r="Z114" s="26">
        <f>IFERROR(__xludf.DUMMYFUNCTION("""COMPUTED_VALUE"""),-0.7189770153876457)</f>
        <v>-0.7189770154</v>
      </c>
      <c r="AA114" s="26">
        <f>IFERROR(__xludf.DUMMYFUNCTION("""COMPUTED_VALUE"""),0.0)</f>
        <v>0</v>
      </c>
      <c r="AB114" t="str">
        <f>IFERROR(__xludf.DUMMYFUNCTION("SUBSTITUTE(REGEXREPLACE(REGEXREPLACE(REGEXREPLACE(REGEXREPLACE(REGEXREPLACE(REGEXREPLACE(F114,"","",),IF(Projections!$T$17="""",""PG"",),),IF(Projections!$U$17="""",""SG"",),),IF(Projections!$V$17="""",""SF"",),),IF(Projections!$W$17="""",""PF"",),),IF(Pr"&amp;"ojections!$X$17="""",""C"",),),""/"","""")"),"SFPF")</f>
        <v>SFPF</v>
      </c>
    </row>
    <row r="115">
      <c r="A115" s="408" t="str">
        <f>IF(Projections!$AB$17,Draft!M5,"")</f>
        <v/>
      </c>
      <c r="B115">
        <f>IFERROR(__xludf.DUMMYFUNCTION("""COMPUTED_VALUE"""),110.0)</f>
        <v>110</v>
      </c>
      <c r="C115">
        <f>IFERROR(__xludf.DUMMYFUNCTION("""COMPUTED_VALUE"""),133.4)</f>
        <v>133.4</v>
      </c>
      <c r="D115" t="str">
        <f>IFERROR(__xludf.DUMMYFUNCTION("""COMPUTED_VALUE"""),"Alexandre Sarr")</f>
        <v>Alexandre Sarr</v>
      </c>
      <c r="E115">
        <f>IFERROR(__xludf.DUMMYFUNCTION("""COMPUTED_VALUE"""),72.0)</f>
        <v>72</v>
      </c>
      <c r="F115" t="str">
        <f>IFERROR(__xludf.DUMMYFUNCTION("""COMPUTED_VALUE"""),"SG,SF")</f>
        <v>SG,SF</v>
      </c>
      <c r="G115" s="26">
        <f>IFERROR(__xludf.DUMMYFUNCTION("""COMPUTED_VALUE"""),-2.063417142383422)</f>
        <v>-2.063417142</v>
      </c>
      <c r="H115" s="26">
        <f>IFERROR(__xludf.DUMMYFUNCTION("""COMPUTED_VALUE"""),-1.9973882188660672)</f>
        <v>-1.997388219</v>
      </c>
      <c r="I115" s="26">
        <f>IFERROR(__xludf.DUMMYFUNCTION("""COMPUTED_VALUE"""),0.06602892351735501)</f>
        <v>0.06602892352</v>
      </c>
      <c r="J115" s="26">
        <f>IFERROR(__xludf.DUMMYFUNCTION("""COMPUTED_VALUE"""),11.58890411)</f>
        <v>11.58890411</v>
      </c>
      <c r="K115" s="26">
        <f>IFERROR(__xludf.DUMMYFUNCTION("""COMPUTED_VALUE"""),1.09)</f>
        <v>1.09</v>
      </c>
      <c r="L115" s="26">
        <f>IFERROR(__xludf.DUMMYFUNCTION("""COMPUTED_VALUE"""),6.716712329)</f>
        <v>6.716712329</v>
      </c>
      <c r="M115" s="26">
        <f>IFERROR(__xludf.DUMMYFUNCTION("""COMPUTED_VALUE"""),2.350821918)</f>
        <v>2.350821918</v>
      </c>
      <c r="N115" s="26">
        <f>IFERROR(__xludf.DUMMYFUNCTION("""COMPUTED_VALUE"""),0.7387671233)</f>
        <v>0.7387671233</v>
      </c>
      <c r="O115" s="26">
        <f>IFERROR(__xludf.DUMMYFUNCTION("""COMPUTED_VALUE"""),2.014931507)</f>
        <v>2.014931507</v>
      </c>
      <c r="P115" s="464">
        <f>IFERROR(__xludf.DUMMYFUNCTION("""COMPUTED_VALUE"""),0.4337825279)</f>
        <v>0.4337825279</v>
      </c>
      <c r="Q115" s="464">
        <f>IFERROR(__xludf.DUMMYFUNCTION("""COMPUTED_VALUE"""),0.7160212604)</f>
        <v>0.7160212604</v>
      </c>
      <c r="R115" s="26">
        <f>IFERROR(__xludf.DUMMYFUNCTION("""COMPUTED_VALUE"""),2.014931507)</f>
        <v>2.014931507</v>
      </c>
      <c r="S115" s="26">
        <f>IFERROR(__xludf.DUMMYFUNCTION("""COMPUTED_VALUE"""),-1.0634654680789826)</f>
        <v>-1.063465468</v>
      </c>
      <c r="T115" s="26">
        <f>IFERROR(__xludf.DUMMYFUNCTION("""COMPUTED_VALUE"""),-0.6533502643806613)</f>
        <v>-0.6533502644</v>
      </c>
      <c r="U115" s="26">
        <f>IFERROR(__xludf.DUMMYFUNCTION("""COMPUTED_VALUE"""),0.2482256597349105)</f>
        <v>0.2482256597</v>
      </c>
      <c r="V115" s="26">
        <f>IFERROR(__xludf.DUMMYFUNCTION("""COMPUTED_VALUE"""),-0.7186792171439099)</f>
        <v>-0.7186792171</v>
      </c>
      <c r="W115" s="26">
        <f>IFERROR(__xludf.DUMMYFUNCTION("""COMPUTED_VALUE"""),-0.7848406999917841)</f>
        <v>-0.7848407</v>
      </c>
      <c r="X115" s="26">
        <f>IFERROR(__xludf.DUMMYFUNCTION("""COMPUTED_VALUE"""),2.2585705269000695)</f>
        <v>2.258570527</v>
      </c>
      <c r="Y115" s="26">
        <f>IFERROR(__xludf.DUMMYFUNCTION("""COMPUTED_VALUE"""),-0.7834121852831802)</f>
        <v>-0.7834121853</v>
      </c>
      <c r="Z115" s="26">
        <f>IFERROR(__xludf.DUMMYFUNCTION("""COMPUTED_VALUE"""),-0.5004365706225291)</f>
        <v>-0.5004365706</v>
      </c>
      <c r="AA115" s="26">
        <f>IFERROR(__xludf.DUMMYFUNCTION("""COMPUTED_VALUE"""),0.0)</f>
        <v>0</v>
      </c>
      <c r="AB115" t="str">
        <f>IFERROR(__xludf.DUMMYFUNCTION("SUBSTITUTE(REGEXREPLACE(REGEXREPLACE(REGEXREPLACE(REGEXREPLACE(REGEXREPLACE(REGEXREPLACE(F115,"","",),IF(Projections!$T$17="""",""PG"",),),IF(Projections!$U$17="""",""SG"",),),IF(Projections!$V$17="""",""SF"",),),IF(Projections!$W$17="""",""PF"",),),IF(Pr"&amp;"ojections!$X$17="""",""C"",),),""/"","""")"),"SGSF")</f>
        <v>SGSF</v>
      </c>
    </row>
    <row r="116">
      <c r="A116" s="408" t="str">
        <f>IF(Projections!$AB$17,Draft!M6,"")</f>
        <v/>
      </c>
      <c r="B116">
        <f>IFERROR(__xludf.DUMMYFUNCTION("""COMPUTED_VALUE"""),108.0)</f>
        <v>108</v>
      </c>
      <c r="C116">
        <f>IFERROR(__xludf.DUMMYFUNCTION("""COMPUTED_VALUE"""),80.8)</f>
        <v>80.8</v>
      </c>
      <c r="D116" t="str">
        <f>IFERROR(__xludf.DUMMYFUNCTION("""COMPUTED_VALUE"""),"Jabari Smith Jr.")</f>
        <v>Jabari Smith Jr.</v>
      </c>
      <c r="E116">
        <f>IFERROR(__xludf.DUMMYFUNCTION("""COMPUTED_VALUE"""),58.0)</f>
        <v>58</v>
      </c>
      <c r="F116" t="str">
        <f>IFERROR(__xludf.DUMMYFUNCTION("""COMPUTED_VALUE"""),"PG")</f>
        <v>PG</v>
      </c>
      <c r="G116" s="26">
        <f>IFERROR(__xludf.DUMMYFUNCTION("""COMPUTED_VALUE"""),-1.8003561217949673)</f>
        <v>-1.800356122</v>
      </c>
      <c r="H116" s="26">
        <f>IFERROR(__xludf.DUMMYFUNCTION("""COMPUTED_VALUE"""),-2.007549158579451)</f>
        <v>-2.007549159</v>
      </c>
      <c r="I116" s="26">
        <f>IFERROR(__xludf.DUMMYFUNCTION("""COMPUTED_VALUE"""),-0.20719303678448364)</f>
        <v>-0.2071930368</v>
      </c>
      <c r="J116" s="26">
        <f>IFERROR(__xludf.DUMMYFUNCTION("""COMPUTED_VALUE"""),14.23739726)</f>
        <v>14.23739726</v>
      </c>
      <c r="K116" s="26">
        <f>IFERROR(__xludf.DUMMYFUNCTION("""COMPUTED_VALUE"""),1.953424658)</f>
        <v>1.953424658</v>
      </c>
      <c r="L116" s="26">
        <f>IFERROR(__xludf.DUMMYFUNCTION("""COMPUTED_VALUE"""),7.175205479)</f>
        <v>7.175205479</v>
      </c>
      <c r="M116" s="26">
        <f>IFERROR(__xludf.DUMMYFUNCTION("""COMPUTED_VALUE"""),1.826438356)</f>
        <v>1.826438356</v>
      </c>
      <c r="N116" s="26">
        <f>IFERROR(__xludf.DUMMYFUNCTION("""COMPUTED_VALUE"""),0.7168493151)</f>
        <v>0.7168493151</v>
      </c>
      <c r="O116" s="26">
        <f>IFERROR(__xludf.DUMMYFUNCTION("""COMPUTED_VALUE"""),0.8484931507)</f>
        <v>0.8484931507</v>
      </c>
      <c r="P116" s="464">
        <f>IFERROR(__xludf.DUMMYFUNCTION("""COMPUTED_VALUE"""),0.4621599585)</f>
        <v>0.4621599585</v>
      </c>
      <c r="Q116" s="464">
        <f>IFERROR(__xludf.DUMMYFUNCTION("""COMPUTED_VALUE"""),0.7990209264)</f>
        <v>0.7990209264</v>
      </c>
      <c r="R116" s="26">
        <f>IFERROR(__xludf.DUMMYFUNCTION("""COMPUTED_VALUE"""),0.9131506849)</f>
        <v>0.9131506849</v>
      </c>
      <c r="S116" s="26">
        <f>IFERROR(__xludf.DUMMYFUNCTION("""COMPUTED_VALUE"""),-0.5860596436215163)</f>
        <v>-0.5860596436</v>
      </c>
      <c r="T116" s="26">
        <f>IFERROR(__xludf.DUMMYFUNCTION("""COMPUTED_VALUE"""),0.2031052951999294)</f>
        <v>0.2031052952</v>
      </c>
      <c r="U116" s="26">
        <f>IFERROR(__xludf.DUMMYFUNCTION("""COMPUTED_VALUE"""),0.4279123329926737)</f>
        <v>0.427912333</v>
      </c>
      <c r="V116" s="26">
        <f>IFERROR(__xludf.DUMMYFUNCTION("""COMPUTED_VALUE"""),-0.9568219339482081)</f>
        <v>-0.9568219339</v>
      </c>
      <c r="W116" s="26">
        <f>IFERROR(__xludf.DUMMYFUNCTION("""COMPUTED_VALUE"""),-0.8573516781043456)</f>
        <v>-0.8573516781</v>
      </c>
      <c r="X116" s="26">
        <f>IFERROR(__xludf.DUMMYFUNCTION("""COMPUTED_VALUE"""),0.1780552910103661)</f>
        <v>0.178055291</v>
      </c>
      <c r="Y116" s="26">
        <f>IFERROR(__xludf.DUMMYFUNCTION("""COMPUTED_VALUE"""),-0.45253813318109504)</f>
        <v>-0.4525381332</v>
      </c>
      <c r="Z116" s="26">
        <f>IFERROR(__xludf.DUMMYFUNCTION("""COMPUTED_VALUE"""),0.03614931107274497)</f>
        <v>0.03614931107</v>
      </c>
      <c r="AA116" s="26">
        <f>IFERROR(__xludf.DUMMYFUNCTION("""COMPUTED_VALUE"""),0.0)</f>
        <v>0</v>
      </c>
      <c r="AB116" t="str">
        <f>IFERROR(__xludf.DUMMYFUNCTION("SUBSTITUTE(REGEXREPLACE(REGEXREPLACE(REGEXREPLACE(REGEXREPLACE(REGEXREPLACE(REGEXREPLACE(F116,"","",),IF(Projections!$T$17="""",""PG"",),),IF(Projections!$U$17="""",""SG"",),),IF(Projections!$V$17="""",""SF"",),),IF(Projections!$W$17="""",""PF"",),),IF(Pr"&amp;"ojections!$X$17="""",""C"",),),""/"","""")"),"PG")</f>
        <v>PG</v>
      </c>
    </row>
    <row r="117">
      <c r="A117" s="408" t="str">
        <f>IF(Projections!$AB$17,Draft!M7,"")</f>
        <v/>
      </c>
      <c r="B117">
        <f>IFERROR(__xludf.DUMMYFUNCTION("""COMPUTED_VALUE"""),104.0)</f>
        <v>104</v>
      </c>
      <c r="C117">
        <f>IFERROR(__xludf.DUMMYFUNCTION("""COMPUTED_VALUE"""),136.7)</f>
        <v>136.7</v>
      </c>
      <c r="D117" t="str">
        <f>IFERROR(__xludf.DUMMYFUNCTION("""COMPUTED_VALUE"""),"Al Horford")</f>
        <v>Al Horford</v>
      </c>
      <c r="E117">
        <f>IFERROR(__xludf.DUMMYFUNCTION("""COMPUTED_VALUE"""),67.0)</f>
        <v>67</v>
      </c>
      <c r="F117" t="str">
        <f>IFERROR(__xludf.DUMMYFUNCTION("""COMPUTED_VALUE"""),"SF,PF")</f>
        <v>SF,PF</v>
      </c>
      <c r="G117" s="26">
        <f>IFERROR(__xludf.DUMMYFUNCTION("""COMPUTED_VALUE"""),-1.793733896925799)</f>
        <v>-1.793733897</v>
      </c>
      <c r="H117" s="26">
        <f>IFERROR(__xludf.DUMMYFUNCTION("""COMPUTED_VALUE"""),-2.0218173440259766)</f>
        <v>-2.021817344</v>
      </c>
      <c r="I117" s="26">
        <f>IFERROR(__xludf.DUMMYFUNCTION("""COMPUTED_VALUE"""),-0.22808344710017758)</f>
        <v>-0.2280834471</v>
      </c>
      <c r="J117" s="26">
        <f>IFERROR(__xludf.DUMMYFUNCTION("""COMPUTED_VALUE"""),10.16818182)</f>
        <v>10.16818182</v>
      </c>
      <c r="K117" s="26">
        <f>IFERROR(__xludf.DUMMYFUNCTION("""COMPUTED_VALUE"""),1.853636364)</f>
        <v>1.853636364</v>
      </c>
      <c r="L117" s="26">
        <f>IFERROR(__xludf.DUMMYFUNCTION("""COMPUTED_VALUE"""),6.453636364)</f>
        <v>6.453636364</v>
      </c>
      <c r="M117" s="26">
        <f>IFERROR(__xludf.DUMMYFUNCTION("""COMPUTED_VALUE"""),2.605090909)</f>
        <v>2.605090909</v>
      </c>
      <c r="N117" s="26">
        <f>IFERROR(__xludf.DUMMYFUNCTION("""COMPUTED_VALUE"""),0.6607272727)</f>
        <v>0.6607272727</v>
      </c>
      <c r="O117" s="26">
        <f>IFERROR(__xludf.DUMMYFUNCTION("""COMPUTED_VALUE"""),1.124909091)</f>
        <v>1.124909091</v>
      </c>
      <c r="P117" s="464">
        <f>IFERROR(__xludf.DUMMYFUNCTION("""COMPUTED_VALUE"""),0.4954747447)</f>
        <v>0.4954747447</v>
      </c>
      <c r="Q117" s="464">
        <f>IFERROR(__xludf.DUMMYFUNCTION("""COMPUTED_VALUE"""),0.81106229)</f>
        <v>0.81106229</v>
      </c>
      <c r="R117" s="26">
        <f>IFERROR(__xludf.DUMMYFUNCTION("""COMPUTED_VALUE"""),0.8289090909)</f>
        <v>0.8289090909</v>
      </c>
      <c r="S117" s="26">
        <f>IFERROR(__xludf.DUMMYFUNCTION("""COMPUTED_VALUE"""),-1.3195586719381467)</f>
        <v>-1.319558672</v>
      </c>
      <c r="T117" s="26">
        <f>IFERROR(__xludf.DUMMYFUNCTION("""COMPUTED_VALUE"""),0.10412243851926857)</f>
        <v>0.1041224385</v>
      </c>
      <c r="U117" s="26">
        <f>IFERROR(__xludf.DUMMYFUNCTION("""COMPUTED_VALUE"""),0.14512434848320324)</f>
        <v>0.1451243485</v>
      </c>
      <c r="V117" s="26">
        <f>IFERROR(__xludf.DUMMYFUNCTION("""COMPUTED_VALUE"""),-0.6032059019910073)</f>
        <v>-0.603205902</v>
      </c>
      <c r="W117" s="26">
        <f>IFERROR(__xludf.DUMMYFUNCTION("""COMPUTED_VALUE"""),-1.0430209818488074)</f>
        <v>-1.043020982</v>
      </c>
      <c r="X117" s="26">
        <f>IFERROR(__xludf.DUMMYFUNCTION("""COMPUTED_VALUE"""),0.6710839814086608)</f>
        <v>0.6710839814</v>
      </c>
      <c r="Y117" s="26">
        <f>IFERROR(__xludf.DUMMYFUNCTION("""COMPUTED_VALUE"""),-0.01610639857443933)</f>
        <v>-0.01610639857</v>
      </c>
      <c r="Z117" s="26">
        <f>IFERROR(__xludf.DUMMYFUNCTION("""COMPUTED_VALUE"""),0.039743841915291796)</f>
        <v>0.03974384192</v>
      </c>
      <c r="AA117" s="26">
        <f>IFERROR(__xludf.DUMMYFUNCTION("""COMPUTED_VALUE"""),0.0)</f>
        <v>0</v>
      </c>
      <c r="AB117" t="str">
        <f>IFERROR(__xludf.DUMMYFUNCTION("SUBSTITUTE(REGEXREPLACE(REGEXREPLACE(REGEXREPLACE(REGEXREPLACE(REGEXREPLACE(REGEXREPLACE(F117,"","",),IF(Projections!$T$17="""",""PG"",),),IF(Projections!$U$17="""",""SG"",),),IF(Projections!$V$17="""",""SF"",),),IF(Projections!$W$17="""",""PF"",),),IF(Pr"&amp;"ojections!$X$17="""",""C"",),),""/"","""")"),"SFPF")</f>
        <v>SFPF</v>
      </c>
    </row>
    <row r="118">
      <c r="A118" s="408" t="str">
        <f>IF(Projections!$AB$17,Draft!M8,"")</f>
        <v/>
      </c>
      <c r="B118">
        <f>IFERROR(__xludf.DUMMYFUNCTION("""COMPUTED_VALUE"""),105.0)</f>
        <v>105</v>
      </c>
      <c r="C118">
        <f>IFERROR(__xludf.DUMMYFUNCTION("""COMPUTED_VALUE"""),76.9)</f>
        <v>76.9</v>
      </c>
      <c r="D118" t="str">
        <f>IFERROR(__xludf.DUMMYFUNCTION("""COMPUTED_VALUE"""),"Brook Lopez")</f>
        <v>Brook Lopez</v>
      </c>
      <c r="E118">
        <f>IFERROR(__xludf.DUMMYFUNCTION("""COMPUTED_VALUE"""),69.0)</f>
        <v>69</v>
      </c>
      <c r="F118" t="str">
        <f>IFERROR(__xludf.DUMMYFUNCTION("""COMPUTED_VALUE"""),"C")</f>
        <v>C</v>
      </c>
      <c r="G118" s="26">
        <f>IFERROR(__xludf.DUMMYFUNCTION("""COMPUTED_VALUE"""),-1.9002135073014268)</f>
        <v>-1.900213507</v>
      </c>
      <c r="H118" s="26">
        <f>IFERROR(__xludf.DUMMYFUNCTION("""COMPUTED_VALUE"""),-2.081045703400614)</f>
        <v>-2.081045703</v>
      </c>
      <c r="I118" s="26">
        <f>IFERROR(__xludf.DUMMYFUNCTION("""COMPUTED_VALUE"""),-0.180832196099187)</f>
        <v>-0.1808321961</v>
      </c>
      <c r="J118" s="26">
        <f>IFERROR(__xludf.DUMMYFUNCTION("""COMPUTED_VALUE"""),11.46547945)</f>
        <v>11.46547945</v>
      </c>
      <c r="K118" s="26">
        <f>IFERROR(__xludf.DUMMYFUNCTION("""COMPUTED_VALUE"""),1.876575342)</f>
        <v>1.876575342</v>
      </c>
      <c r="L118" s="26">
        <f>IFERROR(__xludf.DUMMYFUNCTION("""COMPUTED_VALUE"""),4.605616438)</f>
        <v>4.605616438</v>
      </c>
      <c r="M118" s="26">
        <f>IFERROR(__xludf.DUMMYFUNCTION("""COMPUTED_VALUE"""),1.315890411)</f>
        <v>1.315890411</v>
      </c>
      <c r="N118" s="26">
        <f>IFERROR(__xludf.DUMMYFUNCTION("""COMPUTED_VALUE"""),0.4763013699)</f>
        <v>0.4763013699</v>
      </c>
      <c r="O118" s="26">
        <f>IFERROR(__xludf.DUMMYFUNCTION("""COMPUTED_VALUE"""),2.039863014)</f>
        <v>2.039863014</v>
      </c>
      <c r="P118" s="464">
        <f>IFERROR(__xludf.DUMMYFUNCTION("""COMPUTED_VALUE"""),0.4835494622)</f>
        <v>0.4835494622</v>
      </c>
      <c r="Q118" s="464">
        <f>IFERROR(__xludf.DUMMYFUNCTION("""COMPUTED_VALUE"""),0.8210240569)</f>
        <v>0.8210240569</v>
      </c>
      <c r="R118" s="26">
        <f>IFERROR(__xludf.DUMMYFUNCTION("""COMPUTED_VALUE"""),1.019452055)</f>
        <v>1.019452055</v>
      </c>
      <c r="S118" s="26">
        <f>IFERROR(__xludf.DUMMYFUNCTION("""COMPUTED_VALUE"""),-1.0857134590038156)</f>
        <v>-1.085713459</v>
      </c>
      <c r="T118" s="26">
        <f>IFERROR(__xludf.DUMMYFUNCTION("""COMPUTED_VALUE"""),0.12687626545386702)</f>
        <v>0.1268762655</v>
      </c>
      <c r="U118" s="26">
        <f>IFERROR(__xludf.DUMMYFUNCTION("""COMPUTED_VALUE"""),-0.5791275898870819)</f>
        <v>-0.5791275899</v>
      </c>
      <c r="V118" s="26">
        <f>IFERROR(__xludf.DUMMYFUNCTION("""COMPUTED_VALUE"""),-1.1886813656539477)</f>
        <v>-1.188681366</v>
      </c>
      <c r="W118" s="26">
        <f>IFERROR(__xludf.DUMMYFUNCTION("""COMPUTED_VALUE"""),-1.6531596635679129)</f>
        <v>-1.653159664</v>
      </c>
      <c r="X118" s="26">
        <f>IFERROR(__xludf.DUMMYFUNCTION("""COMPUTED_VALUE"""),2.3030395551063485)</f>
        <v>2.303039555</v>
      </c>
      <c r="Y118" s="26">
        <f>IFERROR(__xludf.DUMMYFUNCTION("""COMPUTED_VALUE"""),-0.13817461900141972)</f>
        <v>-0.138174619</v>
      </c>
      <c r="Z118" s="26">
        <f>IFERROR(__xludf.DUMMYFUNCTION("""COMPUTED_VALUE"""),0.1338951731533487)</f>
        <v>0.1338951732</v>
      </c>
      <c r="AA118" s="26">
        <f>IFERROR(__xludf.DUMMYFUNCTION("""COMPUTED_VALUE"""),0.0)</f>
        <v>0</v>
      </c>
      <c r="AB118" t="str">
        <f>IFERROR(__xludf.DUMMYFUNCTION("SUBSTITUTE(REGEXREPLACE(REGEXREPLACE(REGEXREPLACE(REGEXREPLACE(REGEXREPLACE(REGEXREPLACE(F118,"","",),IF(Projections!$T$17="""",""PG"",),),IF(Projections!$U$17="""",""SG"",),),IF(Projections!$V$17="""",""SF"",),),IF(Projections!$W$17="""",""PF"",),),IF(Pr"&amp;"ojections!$X$17="""",""C"",),),""/"","""")"),"C")</f>
        <v>C</v>
      </c>
    </row>
    <row r="119">
      <c r="A119" s="408" t="str">
        <f>IF(Projections!$AB$17,Draft!M9,"")</f>
        <v/>
      </c>
      <c r="B119">
        <f>IFERROR(__xludf.DUMMYFUNCTION("""COMPUTED_VALUE"""),124.0)</f>
        <v>124</v>
      </c>
      <c r="C119">
        <f>IFERROR(__xludf.DUMMYFUNCTION("""COMPUTED_VALUE"""),130.8)</f>
        <v>130.8</v>
      </c>
      <c r="D119" t="str">
        <f>IFERROR(__xludf.DUMMYFUNCTION("""COMPUTED_VALUE"""),"Scoot Henderson")</f>
        <v>Scoot Henderson</v>
      </c>
      <c r="E119">
        <f>IFERROR(__xludf.DUMMYFUNCTION("""COMPUTED_VALUE"""),68.0)</f>
        <v>68</v>
      </c>
      <c r="F119" t="str">
        <f>IFERROR(__xludf.DUMMYFUNCTION("""COMPUTED_VALUE"""),"SF")</f>
        <v>SF</v>
      </c>
      <c r="G119" s="26">
        <f>IFERROR(__xludf.DUMMYFUNCTION("""COMPUTED_VALUE"""),-2.547221336245985)</f>
        <v>-2.547221336</v>
      </c>
      <c r="H119" s="26">
        <f>IFERROR(__xludf.DUMMYFUNCTION("""COMPUTED_VALUE"""),-2.12466464096621)</f>
        <v>-2.124664641</v>
      </c>
      <c r="I119" s="26">
        <f>IFERROR(__xludf.DUMMYFUNCTION("""COMPUTED_VALUE"""),0.4225566952797748)</f>
        <v>0.4225566953</v>
      </c>
      <c r="J119" s="26">
        <f>IFERROR(__xludf.DUMMYFUNCTION("""COMPUTED_VALUE"""),16.42367647)</f>
        <v>16.42367647</v>
      </c>
      <c r="K119" s="26">
        <f>IFERROR(__xludf.DUMMYFUNCTION("""COMPUTED_VALUE"""),1.855441176)</f>
        <v>1.855441176</v>
      </c>
      <c r="L119" s="26">
        <f>IFERROR(__xludf.DUMMYFUNCTION("""COMPUTED_VALUE"""),3.452647059)</f>
        <v>3.452647059</v>
      </c>
      <c r="M119" s="26">
        <f>IFERROR(__xludf.DUMMYFUNCTION("""COMPUTED_VALUE"""),6.841323529)</f>
        <v>6.841323529</v>
      </c>
      <c r="N119" s="26">
        <f>IFERROR(__xludf.DUMMYFUNCTION("""COMPUTED_VALUE"""),0.9064705882)</f>
        <v>0.9064705882</v>
      </c>
      <c r="O119" s="26">
        <f>IFERROR(__xludf.DUMMYFUNCTION("""COMPUTED_VALUE"""),0.1901470588)</f>
        <v>0.1901470588</v>
      </c>
      <c r="P119" s="464">
        <f>IFERROR(__xludf.DUMMYFUNCTION("""COMPUTED_VALUE"""),0.4143974864)</f>
        <v>0.4143974864</v>
      </c>
      <c r="Q119" s="464">
        <f>IFERROR(__xludf.DUMMYFUNCTION("""COMPUTED_VALUE"""),0.8190178571)</f>
        <v>0.8190178571</v>
      </c>
      <c r="R119" s="26">
        <f>IFERROR(__xludf.DUMMYFUNCTION("""COMPUTED_VALUE"""),3.452647059)</f>
        <v>3.452647059</v>
      </c>
      <c r="S119" s="26">
        <f>IFERROR(__xludf.DUMMYFUNCTION("""COMPUTED_VALUE"""),-0.19197048815427709)</f>
        <v>-0.1919704882</v>
      </c>
      <c r="T119" s="26">
        <f>IFERROR(__xludf.DUMMYFUNCTION("""COMPUTED_VALUE"""),0.10591268304966951)</f>
        <v>0.105912683</v>
      </c>
      <c r="U119" s="26">
        <f>IFERROR(__xludf.DUMMYFUNCTION("""COMPUTED_VALUE"""),-1.030984356079945)</f>
        <v>-1.030984356</v>
      </c>
      <c r="V119" s="26">
        <f>IFERROR(__xludf.DUMMYFUNCTION("""COMPUTED_VALUE"""),1.3206300422443884)</f>
        <v>1.320630042</v>
      </c>
      <c r="W119" s="26">
        <f>IFERROR(__xludf.DUMMYFUNCTION("""COMPUTED_VALUE"""),-0.2300250833114341)</f>
        <v>-0.2300250833</v>
      </c>
      <c r="X119" s="26">
        <f>IFERROR(__xludf.DUMMYFUNCTION("""COMPUTED_VALUE"""),-0.9962022831585302)</f>
        <v>-0.9962022832</v>
      </c>
      <c r="Y119" s="26">
        <f>IFERROR(__xludf.DUMMYFUNCTION("""COMPUTED_VALUE"""),-1.380201869123272)</f>
        <v>-1.380201869</v>
      </c>
      <c r="Z119" s="26">
        <f>IFERROR(__xludf.DUMMYFUNCTION("""COMPUTED_VALUE"""),0.27817671356719065)</f>
        <v>0.2781767136</v>
      </c>
      <c r="AA119" s="26">
        <f>IFERROR(__xludf.DUMMYFUNCTION("""COMPUTED_VALUE"""),0.0)</f>
        <v>0</v>
      </c>
      <c r="AB119" t="str">
        <f>IFERROR(__xludf.DUMMYFUNCTION("SUBSTITUTE(REGEXREPLACE(REGEXREPLACE(REGEXREPLACE(REGEXREPLACE(REGEXREPLACE(REGEXREPLACE(F119,"","",),IF(Projections!$T$17="""",""PG"",),),IF(Projections!$U$17="""",""SG"",),),IF(Projections!$V$17="""",""SF"",),),IF(Projections!$W$17="""",""PF"",),),IF(Pr"&amp;"ojections!$X$17="""",""C"",),),""/"","""")"),"SF")</f>
        <v>SF</v>
      </c>
    </row>
    <row r="120">
      <c r="A120" s="408" t="str">
        <f>IF(Projections!$AB$17,Draft!M10,"")</f>
        <v/>
      </c>
      <c r="B120">
        <f>IFERROR(__xludf.DUMMYFUNCTION("""COMPUTED_VALUE"""),115.0)</f>
        <v>115</v>
      </c>
      <c r="C120">
        <f>IFERROR(__xludf.DUMMYFUNCTION("""COMPUTED_VALUE"""),132.8)</f>
        <v>132.8</v>
      </c>
      <c r="D120" t="str">
        <f>IFERROR(__xludf.DUMMYFUNCTION("""COMPUTED_VALUE"""),"Mike Conley")</f>
        <v>Mike Conley</v>
      </c>
      <c r="E120">
        <f>IFERROR(__xludf.DUMMYFUNCTION("""COMPUTED_VALUE"""),64.0)</f>
        <v>64</v>
      </c>
      <c r="F120" t="str">
        <f>IFERROR(__xludf.DUMMYFUNCTION("""COMPUTED_VALUE"""),"SG,SF")</f>
        <v>SG,SF</v>
      </c>
      <c r="G120" s="26">
        <f>IFERROR(__xludf.DUMMYFUNCTION("""COMPUTED_VALUE"""),-2.0829976151564207)</f>
        <v>-2.082997615</v>
      </c>
      <c r="H120" s="26">
        <f>IFERROR(__xludf.DUMMYFUNCTION("""COMPUTED_VALUE"""),-2.1338895116089325)</f>
        <v>-2.133889512</v>
      </c>
      <c r="I120" s="26">
        <f>IFERROR(__xludf.DUMMYFUNCTION("""COMPUTED_VALUE"""),-0.0508918964525118)</f>
        <v>-0.05089189645</v>
      </c>
      <c r="J120" s="26">
        <f>IFERROR(__xludf.DUMMYFUNCTION("""COMPUTED_VALUE"""),9.918032787)</f>
        <v>9.918032787</v>
      </c>
      <c r="K120" s="26">
        <f>IFERROR(__xludf.DUMMYFUNCTION("""COMPUTED_VALUE"""),1.947213115)</f>
        <v>1.947213115</v>
      </c>
      <c r="L120" s="26">
        <f>IFERROR(__xludf.DUMMYFUNCTION("""COMPUTED_VALUE"""),2.686885246)</f>
        <v>2.686885246</v>
      </c>
      <c r="M120" s="26">
        <f>IFERROR(__xludf.DUMMYFUNCTION("""COMPUTED_VALUE"""),5.259344262)</f>
        <v>5.259344262</v>
      </c>
      <c r="N120" s="26">
        <f>IFERROR(__xludf.DUMMYFUNCTION("""COMPUTED_VALUE"""),1.194754098)</f>
        <v>1.194754098</v>
      </c>
      <c r="O120" s="26">
        <f>IFERROR(__xludf.DUMMYFUNCTION("""COMPUTED_VALUE"""),0.2293442623)</f>
        <v>0.2293442623</v>
      </c>
      <c r="P120" s="464">
        <f>IFERROR(__xludf.DUMMYFUNCTION("""COMPUTED_VALUE"""),0.4445775914)</f>
        <v>0.4445775914</v>
      </c>
      <c r="Q120" s="464">
        <f>IFERROR(__xludf.DUMMYFUNCTION("""COMPUTED_VALUE"""),0.889979859)</f>
        <v>0.889979859</v>
      </c>
      <c r="R120" s="26">
        <f>IFERROR(__xludf.DUMMYFUNCTION("""COMPUTED_VALUE"""),1.543442623)</f>
        <v>1.543442623</v>
      </c>
      <c r="S120" s="26">
        <f>IFERROR(__xludf.DUMMYFUNCTION("""COMPUTED_VALUE"""),-1.3646494456622935)</f>
        <v>-1.364649446</v>
      </c>
      <c r="T120" s="26">
        <f>IFERROR(__xludf.DUMMYFUNCTION("""COMPUTED_VALUE"""),0.19694388842675856)</f>
        <v>0.1969438884</v>
      </c>
      <c r="U120" s="26">
        <f>IFERROR(__xludf.DUMMYFUNCTION("""COMPUTED_VALUE"""),-1.3310917681226406)</f>
        <v>-1.331091768</v>
      </c>
      <c r="V120" s="26">
        <f>IFERROR(__xludf.DUMMYFUNCTION("""COMPUTED_VALUE"""),0.6021924940981856)</f>
        <v>0.6021924941</v>
      </c>
      <c r="W120" s="26">
        <f>IFERROR(__xludf.DUMMYFUNCTION("""COMPUTED_VALUE"""),0.7237071091858165)</f>
        <v>0.7237071092</v>
      </c>
      <c r="X120" s="26">
        <f>IFERROR(__xludf.DUMMYFUNCTION("""COMPUTED_VALUE"""),-0.9262882764340761)</f>
        <v>-0.9262882764</v>
      </c>
      <c r="Y120" s="26">
        <f>IFERROR(__xludf.DUMMYFUNCTION("""COMPUTED_VALUE"""),-0.46933209063879167)</f>
        <v>-0.4693320906</v>
      </c>
      <c r="Z120" s="26">
        <f>IFERROR(__xludf.DUMMYFUNCTION("""COMPUTED_VALUE"""),0.4346285775381091)</f>
        <v>0.4346285775</v>
      </c>
      <c r="AA120" s="26">
        <f>IFERROR(__xludf.DUMMYFUNCTION("""COMPUTED_VALUE"""),0.0)</f>
        <v>0</v>
      </c>
      <c r="AB120" t="str">
        <f>IFERROR(__xludf.DUMMYFUNCTION("SUBSTITUTE(REGEXREPLACE(REGEXREPLACE(REGEXREPLACE(REGEXREPLACE(REGEXREPLACE(REGEXREPLACE(F120,"","",),IF(Projections!$T$17="""",""PG"",),),IF(Projections!$U$17="""",""SG"",),),IF(Projections!$V$17="""",""SF"",),),IF(Projections!$W$17="""",""PF"",),),IF(Pr"&amp;"ojections!$X$17="""",""C"",),),""/"","""")"),"SGSF")</f>
        <v>SGSF</v>
      </c>
    </row>
    <row r="121">
      <c r="A121" s="408" t="str">
        <f>IF(Projections!$AB$17,Draft!M11,"")</f>
        <v/>
      </c>
      <c r="B121">
        <f>IFERROR(__xludf.DUMMYFUNCTION("""COMPUTED_VALUE"""),121.0)</f>
        <v>121</v>
      </c>
      <c r="C121">
        <f>IFERROR(__xludf.DUMMYFUNCTION("""COMPUTED_VALUE"""),144.9)</f>
        <v>144.9</v>
      </c>
      <c r="D121" t="str">
        <f>IFERROR(__xludf.DUMMYFUNCTION("""COMPUTED_VALUE"""),"Caris LeVert")</f>
        <v>Caris LeVert</v>
      </c>
      <c r="E121">
        <f>IFERROR(__xludf.DUMMYFUNCTION("""COMPUTED_VALUE"""),60.0)</f>
        <v>60</v>
      </c>
      <c r="F121" t="str">
        <f>IFERROR(__xludf.DUMMYFUNCTION("""COMPUTED_VALUE"""),"SG")</f>
        <v>SG</v>
      </c>
      <c r="G121" s="26">
        <f>IFERROR(__xludf.DUMMYFUNCTION("""COMPUTED_VALUE"""),-2.1175062093124644)</f>
        <v>-2.117506209</v>
      </c>
      <c r="H121" s="26">
        <f>IFERROR(__xludf.DUMMYFUNCTION("""COMPUTED_VALUE"""),-2.1538258673527095)</f>
        <v>-2.153825867</v>
      </c>
      <c r="I121" s="26">
        <f>IFERROR(__xludf.DUMMYFUNCTION("""COMPUTED_VALUE"""),-0.03631965804024517)</f>
        <v>-0.03631965804</v>
      </c>
      <c r="J121" s="26">
        <f>IFERROR(__xludf.DUMMYFUNCTION("""COMPUTED_VALUE"""),13.56176471)</f>
        <v>13.56176471</v>
      </c>
      <c r="K121" s="26">
        <f>IFERROR(__xludf.DUMMYFUNCTION("""COMPUTED_VALUE"""),1.524705882)</f>
        <v>1.524705882</v>
      </c>
      <c r="L121" s="26">
        <f>IFERROR(__xludf.DUMMYFUNCTION("""COMPUTED_VALUE"""),4.498676471)</f>
        <v>4.498676471</v>
      </c>
      <c r="M121" s="26">
        <f>IFERROR(__xludf.DUMMYFUNCTION("""COMPUTED_VALUE"""),5.114852941)</f>
        <v>5.114852941</v>
      </c>
      <c r="N121" s="26">
        <f>IFERROR(__xludf.DUMMYFUNCTION("""COMPUTED_VALUE"""),1.213529412)</f>
        <v>1.213529412</v>
      </c>
      <c r="O121" s="26">
        <f>IFERROR(__xludf.DUMMYFUNCTION("""COMPUTED_VALUE"""),0.4313235294)</f>
        <v>0.4313235294</v>
      </c>
      <c r="P121" s="464">
        <f>IFERROR(__xludf.DUMMYFUNCTION("""COMPUTED_VALUE"""),0.4256898479)</f>
        <v>0.4256898479</v>
      </c>
      <c r="Q121" s="464">
        <f>IFERROR(__xludf.DUMMYFUNCTION("""COMPUTED_VALUE"""),0.7550187869)</f>
        <v>0.7550187869</v>
      </c>
      <c r="R121" s="26">
        <f>IFERROR(__xludf.DUMMYFUNCTION("""COMPUTED_VALUE"""),1.602205882)</f>
        <v>1.602205882</v>
      </c>
      <c r="S121" s="26">
        <f>IFERROR(__xludf.DUMMYFUNCTION("""COMPUTED_VALUE"""),-0.7078462204767557)</f>
        <v>-0.7078462205</v>
      </c>
      <c r="T121" s="26">
        <f>IFERROR(__xludf.DUMMYFUNCTION("""COMPUTED_VALUE"""),-0.22215309393653895)</f>
        <v>-0.2221530939</v>
      </c>
      <c r="U121" s="26">
        <f>IFERROR(__xludf.DUMMYFUNCTION("""COMPUTED_VALUE"""),-0.6210381111424707)</f>
        <v>-0.6210381111</v>
      </c>
      <c r="V121" s="26">
        <f>IFERROR(__xludf.DUMMYFUNCTION("""COMPUTED_VALUE"""),0.5365734353955369)</f>
        <v>0.5365734354</v>
      </c>
      <c r="W121" s="26">
        <f>IFERROR(__xludf.DUMMYFUNCTION("""COMPUTED_VALUE"""),0.7858217316922069)</f>
        <v>0.7858217317</v>
      </c>
      <c r="X121" s="26">
        <f>IFERROR(__xludf.DUMMYFUNCTION("""COMPUTED_VALUE"""),-0.5660283962048737)</f>
        <v>-0.5660283962</v>
      </c>
      <c r="Y121" s="26">
        <f>IFERROR(__xludf.DUMMYFUNCTION("""COMPUTED_VALUE"""),-0.9745381710749844)</f>
        <v>-0.9745381711</v>
      </c>
      <c r="Z121" s="26">
        <f>IFERROR(__xludf.DUMMYFUNCTION("""COMPUTED_VALUE"""),-0.3846170416048299)</f>
        <v>-0.3846170416</v>
      </c>
      <c r="AA121" s="26">
        <f>IFERROR(__xludf.DUMMYFUNCTION("""COMPUTED_VALUE"""),0.0)</f>
        <v>0</v>
      </c>
      <c r="AB121" t="str">
        <f>IFERROR(__xludf.DUMMYFUNCTION("SUBSTITUTE(REGEXREPLACE(REGEXREPLACE(REGEXREPLACE(REGEXREPLACE(REGEXREPLACE(REGEXREPLACE(F121,"","",),IF(Projections!$T$17="""",""PG"",),),IF(Projections!$U$17="""",""SG"",),),IF(Projections!$V$17="""",""SF"",),),IF(Projections!$W$17="""",""PF"",),),IF(Pr"&amp;"ojections!$X$17="""",""C"",),),""/"","""")"),"SG")</f>
        <v>SG</v>
      </c>
    </row>
    <row r="122">
      <c r="A122" s="408" t="str">
        <f>IF(Projections!$AB$17,Draft!M12,"")</f>
        <v/>
      </c>
      <c r="B122">
        <f>IFERROR(__xludf.DUMMYFUNCTION("""COMPUTED_VALUE"""),120.0)</f>
        <v>120</v>
      </c>
      <c r="C122">
        <f>IFERROR(__xludf.DUMMYFUNCTION("""COMPUTED_VALUE"""),109.6)</f>
        <v>109.6</v>
      </c>
      <c r="D122" t="str">
        <f>IFERROR(__xludf.DUMMYFUNCTION("""COMPUTED_VALUE"""),"Jerami Grant")</f>
        <v>Jerami Grant</v>
      </c>
      <c r="E122">
        <f>IFERROR(__xludf.DUMMYFUNCTION("""COMPUTED_VALUE"""),79.0)</f>
        <v>79</v>
      </c>
      <c r="F122" t="str">
        <f>IFERROR(__xludf.DUMMYFUNCTION("""COMPUTED_VALUE"""),"SG,SF")</f>
        <v>SG,SF</v>
      </c>
      <c r="G122" s="26">
        <f>IFERROR(__xludf.DUMMYFUNCTION("""COMPUTED_VALUE"""),-2.224355184023448)</f>
        <v>-2.224355184</v>
      </c>
      <c r="H122" s="26">
        <f>IFERROR(__xludf.DUMMYFUNCTION("""COMPUTED_VALUE"""),-2.17108035540587)</f>
        <v>-2.171080355</v>
      </c>
      <c r="I122" s="26">
        <f>IFERROR(__xludf.DUMMYFUNCTION("""COMPUTED_VALUE"""),0.05327482861757815)</f>
        <v>0.05327482862</v>
      </c>
      <c r="J122" s="26">
        <f>IFERROR(__xludf.DUMMYFUNCTION("""COMPUTED_VALUE"""),19.58816667)</f>
        <v>19.58816667</v>
      </c>
      <c r="K122" s="26">
        <f>IFERROR(__xludf.DUMMYFUNCTION("""COMPUTED_VALUE"""),1.995)</f>
        <v>1.995</v>
      </c>
      <c r="L122" s="26">
        <f>IFERROR(__xludf.DUMMYFUNCTION("""COMPUTED_VALUE"""),3.295833333)</f>
        <v>3.295833333</v>
      </c>
      <c r="M122" s="26">
        <f>IFERROR(__xludf.DUMMYFUNCTION("""COMPUTED_VALUE"""),2.664666667)</f>
        <v>2.664666667</v>
      </c>
      <c r="N122" s="26">
        <f>IFERROR(__xludf.DUMMYFUNCTION("""COMPUTED_VALUE"""),0.8436666667)</f>
        <v>0.8436666667</v>
      </c>
      <c r="O122" s="26">
        <f>IFERROR(__xludf.DUMMYFUNCTION("""COMPUTED_VALUE"""),0.63)</f>
        <v>0.63</v>
      </c>
      <c r="P122" s="464">
        <f>IFERROR(__xludf.DUMMYFUNCTION("""COMPUTED_VALUE"""),0.4424836746)</f>
        <v>0.4424836746</v>
      </c>
      <c r="Q122" s="464">
        <f>IFERROR(__xludf.DUMMYFUNCTION("""COMPUTED_VALUE"""),0.8210001904)</f>
        <v>0.8210001904</v>
      </c>
      <c r="R122" s="26">
        <f>IFERROR(__xludf.DUMMYFUNCTION("""COMPUTED_VALUE"""),1.9635)</f>
        <v>1.9635</v>
      </c>
      <c r="S122" s="26">
        <f>IFERROR(__xludf.DUMMYFUNCTION("""COMPUTED_VALUE"""),0.3784467141400056)</f>
        <v>0.3784467141</v>
      </c>
      <c r="T122" s="26">
        <f>IFERROR(__xludf.DUMMYFUNCTION("""COMPUTED_VALUE"""),0.24434506345005558)</f>
        <v>0.2443450635</v>
      </c>
      <c r="U122" s="26">
        <f>IFERROR(__xludf.DUMMYFUNCTION("""COMPUTED_VALUE"""),-1.0924407524210777)</f>
        <v>-1.092440752</v>
      </c>
      <c r="V122" s="26">
        <f>IFERROR(__xludf.DUMMYFUNCTION("""COMPUTED_VALUE"""),-0.5761502620093035)</f>
        <v>-0.576150262</v>
      </c>
      <c r="W122" s="26">
        <f>IFERROR(__xludf.DUMMYFUNCTION("""COMPUTED_VALUE"""),-0.4378001370811598)</f>
        <v>-0.4378001371</v>
      </c>
      <c r="X122" s="26">
        <f>IFERROR(__xludf.DUMMYFUNCTION("""COMPUTED_VALUE"""),-0.21165954176557225)</f>
        <v>-0.2116595418</v>
      </c>
      <c r="Y122" s="26">
        <f>IFERROR(__xludf.DUMMYFUNCTION("""COMPUTED_VALUE"""),-0.9559401908010251)</f>
        <v>-0.9559401908</v>
      </c>
      <c r="Z122" s="26">
        <f>IFERROR(__xludf.DUMMYFUNCTION("""COMPUTED_VALUE"""),0.4801187510822071)</f>
        <v>0.4801187511</v>
      </c>
      <c r="AA122" s="26">
        <f>IFERROR(__xludf.DUMMYFUNCTION("""COMPUTED_VALUE"""),0.0)</f>
        <v>0</v>
      </c>
      <c r="AB122" t="str">
        <f>IFERROR(__xludf.DUMMYFUNCTION("SUBSTITUTE(REGEXREPLACE(REGEXREPLACE(REGEXREPLACE(REGEXREPLACE(REGEXREPLACE(REGEXREPLACE(F122,"","",),IF(Projections!$T$17="""",""PG"",),),IF(Projections!$U$17="""",""SG"",),),IF(Projections!$V$17="""",""SF"",),),IF(Projections!$W$17="""",""PF"",),),IF(Pr"&amp;"ojections!$X$17="""",""C"",),),""/"","""")"),"SGSF")</f>
        <v>SGSF</v>
      </c>
    </row>
    <row r="123">
      <c r="A123" s="408" t="str">
        <f>IF(Projections!$AB$17,Draft!M13,"")</f>
        <v/>
      </c>
      <c r="B123">
        <f>IFERROR(__xludf.DUMMYFUNCTION("""COMPUTED_VALUE"""),125.0)</f>
        <v>125</v>
      </c>
      <c r="C123">
        <f>IFERROR(__xludf.DUMMYFUNCTION("""COMPUTED_VALUE"""),142.0)</f>
        <v>142</v>
      </c>
      <c r="D123" t="str">
        <f>IFERROR(__xludf.DUMMYFUNCTION("""COMPUTED_VALUE"""),"De'Anthony Melton")</f>
        <v>De'Anthony Melton</v>
      </c>
      <c r="E123">
        <f>IFERROR(__xludf.DUMMYFUNCTION("""COMPUTED_VALUE"""),58.0)</f>
        <v>58</v>
      </c>
      <c r="F123" t="str">
        <f>IFERROR(__xludf.DUMMYFUNCTION("""COMPUTED_VALUE"""),"PG,SG,SF")</f>
        <v>PG,SG,SF</v>
      </c>
      <c r="G123" s="26">
        <f>IFERROR(__xludf.DUMMYFUNCTION("""COMPUTED_VALUE"""),-2.0492585771844363)</f>
        <v>-2.049258577</v>
      </c>
      <c r="H123" s="26">
        <f>IFERROR(__xludf.DUMMYFUNCTION("""COMPUTED_VALUE"""),-2.198757140179268)</f>
        <v>-2.19875714</v>
      </c>
      <c r="I123" s="26">
        <f>IFERROR(__xludf.DUMMYFUNCTION("""COMPUTED_VALUE"""),-0.14949856299483155)</f>
        <v>-0.149498563</v>
      </c>
      <c r="J123" s="26">
        <f>IFERROR(__xludf.DUMMYFUNCTION("""COMPUTED_VALUE"""),11.52258065)</f>
        <v>11.52258065</v>
      </c>
      <c r="K123" s="26">
        <f>IFERROR(__xludf.DUMMYFUNCTION("""COMPUTED_VALUE"""),2.155967742)</f>
        <v>2.155967742</v>
      </c>
      <c r="L123" s="26">
        <f>IFERROR(__xludf.DUMMYFUNCTION("""COMPUTED_VALUE"""),3.437419355)</f>
        <v>3.437419355</v>
      </c>
      <c r="M123" s="26">
        <f>IFERROR(__xludf.DUMMYFUNCTION("""COMPUTED_VALUE"""),2.546290323)</f>
        <v>2.546290323</v>
      </c>
      <c r="N123" s="26">
        <f>IFERROR(__xludf.DUMMYFUNCTION("""COMPUTED_VALUE"""),1.405)</f>
        <v>1.405</v>
      </c>
      <c r="O123" s="26">
        <f>IFERROR(__xludf.DUMMYFUNCTION("""COMPUTED_VALUE"""),0.4169354839)</f>
        <v>0.4169354839</v>
      </c>
      <c r="P123" s="464">
        <f>IFERROR(__xludf.DUMMYFUNCTION("""COMPUTED_VALUE"""),0.4041167362)</f>
        <v>0.4041167362</v>
      </c>
      <c r="Q123" s="464">
        <f>IFERROR(__xludf.DUMMYFUNCTION("""COMPUTED_VALUE"""),0.8470419686)</f>
        <v>0.8470419686</v>
      </c>
      <c r="R123" s="26">
        <f>IFERROR(__xludf.DUMMYFUNCTION("""COMPUTED_VALUE"""),1.145806452)</f>
        <v>1.145806452</v>
      </c>
      <c r="S123" s="26">
        <f>IFERROR(__xludf.DUMMYFUNCTION("""COMPUTED_VALUE"""),-1.075420645724872)</f>
        <v>-1.075420646</v>
      </c>
      <c r="T123" s="26">
        <f>IFERROR(__xludf.DUMMYFUNCTION("""COMPUTED_VALUE"""),0.4040135606045973)</f>
        <v>0.4040135606</v>
      </c>
      <c r="U123" s="26">
        <f>IFERROR(__xludf.DUMMYFUNCTION("""COMPUTED_VALUE"""),-1.0369521998156996)</f>
        <v>-1.0369522</v>
      </c>
      <c r="V123" s="26">
        <f>IFERROR(__xludf.DUMMYFUNCTION("""COMPUTED_VALUE"""),-0.6299095065935573)</f>
        <v>-0.6299095066</v>
      </c>
      <c r="W123" s="26">
        <f>IFERROR(__xludf.DUMMYFUNCTION("""COMPUTED_VALUE"""),1.4192664397112913)</f>
        <v>1.41926644</v>
      </c>
      <c r="X123" s="26">
        <f>IFERROR(__xludf.DUMMYFUNCTION("""COMPUTED_VALUE"""),-0.5916916022506505)</f>
        <v>-0.5916916023</v>
      </c>
      <c r="Y123" s="26">
        <f>IFERROR(__xludf.DUMMYFUNCTION("""COMPUTED_VALUE"""),-1.0381043810799349)</f>
        <v>-1.038104381</v>
      </c>
      <c r="Z123" s="26">
        <f>IFERROR(__xludf.DUMMYFUNCTION("""COMPUTED_VALUE"""),0.35004119496955804)</f>
        <v>0.350041195</v>
      </c>
      <c r="AA123" s="26">
        <f>IFERROR(__xludf.DUMMYFUNCTION("""COMPUTED_VALUE"""),0.0)</f>
        <v>0</v>
      </c>
      <c r="AB123" t="str">
        <f>IFERROR(__xludf.DUMMYFUNCTION("SUBSTITUTE(REGEXREPLACE(REGEXREPLACE(REGEXREPLACE(REGEXREPLACE(REGEXREPLACE(REGEXREPLACE(F123,"","",),IF(Projections!$T$17="""",""PG"",),),IF(Projections!$U$17="""",""SG"",),),IF(Projections!$V$17="""",""SF"",),),IF(Projections!$W$17="""",""PF"",),),IF(Pr"&amp;"ojections!$X$17="""",""C"",),),""/"","""")"),"PGSGSF")</f>
        <v>PGSGSF</v>
      </c>
    </row>
    <row r="124">
      <c r="A124" s="408" t="str">
        <f>IF(Projections!$AB$17,Draft!M14,"")</f>
        <v/>
      </c>
      <c r="B124">
        <f>IFERROR(__xludf.DUMMYFUNCTION("""COMPUTED_VALUE"""),119.0)</f>
        <v>119</v>
      </c>
      <c r="C124">
        <f>IFERROR(__xludf.DUMMYFUNCTION("""COMPUTED_VALUE"""),141.7)</f>
        <v>141.7</v>
      </c>
      <c r="D124" t="str">
        <f>IFERROR(__xludf.DUMMYFUNCTION("""COMPUTED_VALUE"""),"Jeremy Sochan")</f>
        <v>Jeremy Sochan</v>
      </c>
      <c r="E124">
        <f>IFERROR(__xludf.DUMMYFUNCTION("""COMPUTED_VALUE"""),67.0)</f>
        <v>67</v>
      </c>
      <c r="F124" t="str">
        <f>IFERROR(__xludf.DUMMYFUNCTION("""COMPUTED_VALUE"""),"PG")</f>
        <v>PG</v>
      </c>
      <c r="G124" s="26">
        <f>IFERROR(__xludf.DUMMYFUNCTION("""COMPUTED_VALUE"""),-2.1827471112572243)</f>
        <v>-2.182747111</v>
      </c>
      <c r="H124" s="26">
        <f>IFERROR(__xludf.DUMMYFUNCTION("""COMPUTED_VALUE"""),-2.2196137886248577)</f>
        <v>-2.219613789</v>
      </c>
      <c r="I124" s="26">
        <f>IFERROR(__xludf.DUMMYFUNCTION("""COMPUTED_VALUE"""),-0.03686667736763338)</f>
        <v>-0.03686667737</v>
      </c>
      <c r="J124" s="26">
        <f>IFERROR(__xludf.DUMMYFUNCTION("""COMPUTED_VALUE"""),12.86205479)</f>
        <v>12.86205479</v>
      </c>
      <c r="K124" s="26">
        <f>IFERROR(__xludf.DUMMYFUNCTION("""COMPUTED_VALUE"""),1.093013699)</f>
        <v>1.093013699</v>
      </c>
      <c r="L124" s="26">
        <f>IFERROR(__xludf.DUMMYFUNCTION("""COMPUTED_VALUE"""),7.266712329)</f>
        <v>7.266712329</v>
      </c>
      <c r="M124" s="26">
        <f>IFERROR(__xludf.DUMMYFUNCTION("""COMPUTED_VALUE"""),2.733287671)</f>
        <v>2.733287671</v>
      </c>
      <c r="N124" s="26">
        <f>IFERROR(__xludf.DUMMYFUNCTION("""COMPUTED_VALUE"""),1.133287671)</f>
        <v>1.133287671</v>
      </c>
      <c r="O124" s="26">
        <f>IFERROR(__xludf.DUMMYFUNCTION("""COMPUTED_VALUE"""),0.6612328767)</f>
        <v>0.6612328767</v>
      </c>
      <c r="P124" s="464">
        <f>IFERROR(__xludf.DUMMYFUNCTION("""COMPUTED_VALUE"""),0.4409704385)</f>
        <v>0.4409704385</v>
      </c>
      <c r="Q124" s="464">
        <f>IFERROR(__xludf.DUMMYFUNCTION("""COMPUTED_VALUE"""),0.7570052539)</f>
        <v>0.7570052539</v>
      </c>
      <c r="R124" s="26">
        <f>IFERROR(__xludf.DUMMYFUNCTION("""COMPUTED_VALUE"""),1.6)</f>
        <v>1.6</v>
      </c>
      <c r="S124" s="26">
        <f>IFERROR(__xludf.DUMMYFUNCTION("""COMPUTED_VALUE"""),-0.8339728790405764)</f>
        <v>-0.833972879</v>
      </c>
      <c r="T124" s="26">
        <f>IFERROR(__xludf.DUMMYFUNCTION("""COMPUTED_VALUE"""),-0.6503608903344869)</f>
        <v>-0.6503608903</v>
      </c>
      <c r="U124" s="26">
        <f>IFERROR(__xludf.DUMMYFUNCTION("""COMPUTED_VALUE"""),0.4637745077204688)</f>
        <v>0.4637745077</v>
      </c>
      <c r="V124" s="26">
        <f>IFERROR(__xludf.DUMMYFUNCTION("""COMPUTED_VALUE"""),-0.5449868283958018)</f>
        <v>-0.5449868284</v>
      </c>
      <c r="W124" s="26">
        <f>IFERROR(__xludf.DUMMYFUNCTION("""COMPUTED_VALUE"""),0.5203569063651546)</f>
        <v>0.5203569064</v>
      </c>
      <c r="X124" s="26">
        <f>IFERROR(__xludf.DUMMYFUNCTION("""COMPUTED_VALUE"""),-0.1559510892065054)</f>
        <v>-0.1559510892</v>
      </c>
      <c r="Y124" s="26">
        <f>IFERROR(__xludf.DUMMYFUNCTION("""COMPUTED_VALUE"""),-0.7680325983384617)</f>
        <v>-0.7680325983</v>
      </c>
      <c r="Z124" s="26">
        <f>IFERROR(__xludf.DUMMYFUNCTION("""COMPUTED_VALUE"""),-0.25044091739464874)</f>
        <v>-0.2504409174</v>
      </c>
      <c r="AA124" s="26">
        <f>IFERROR(__xludf.DUMMYFUNCTION("""COMPUTED_VALUE"""),0.0)</f>
        <v>0</v>
      </c>
      <c r="AB124" t="str">
        <f>IFERROR(__xludf.DUMMYFUNCTION("SUBSTITUTE(REGEXREPLACE(REGEXREPLACE(REGEXREPLACE(REGEXREPLACE(REGEXREPLACE(REGEXREPLACE(F124,"","",),IF(Projections!$T$17="""",""PG"",),),IF(Projections!$U$17="""",""SG"",),),IF(Projections!$V$17="""",""SF"",),),IF(Projections!$W$17="""",""PF"",),),IF(Pr"&amp;"ojections!$X$17="""",""C"",),),""/"","""")"),"PG")</f>
        <v>PG</v>
      </c>
    </row>
    <row r="125">
      <c r="A125" s="408" t="str">
        <f>IF(Projections!$AB$17,Draft!N3,"")</f>
        <v/>
      </c>
      <c r="B125">
        <f>IFERROR(__xludf.DUMMYFUNCTION("""COMPUTED_VALUE"""),127.0)</f>
        <v>127</v>
      </c>
      <c r="C125">
        <f>IFERROR(__xludf.DUMMYFUNCTION("""COMPUTED_VALUE"""),130.7)</f>
        <v>130.7</v>
      </c>
      <c r="D125" t="str">
        <f>IFERROR(__xludf.DUMMYFUNCTION("""COMPUTED_VALUE"""),"Marcus Smart")</f>
        <v>Marcus Smart</v>
      </c>
      <c r="E125">
        <f>IFERROR(__xludf.DUMMYFUNCTION("""COMPUTED_VALUE"""),28.0)</f>
        <v>28</v>
      </c>
      <c r="F125" t="str">
        <f>IFERROR(__xludf.DUMMYFUNCTION("""COMPUTED_VALUE"""),"PG")</f>
        <v>PG</v>
      </c>
      <c r="G125" s="26">
        <f>IFERROR(__xludf.DUMMYFUNCTION("""COMPUTED_VALUE"""),-2.312135416142238)</f>
        <v>-2.312135416</v>
      </c>
      <c r="H125" s="26">
        <f>IFERROR(__xludf.DUMMYFUNCTION("""COMPUTED_VALUE"""),-2.249809239605925)</f>
        <v>-2.24980924</v>
      </c>
      <c r="I125" s="26">
        <f>IFERROR(__xludf.DUMMYFUNCTION("""COMPUTED_VALUE"""),0.06232617653631323)</f>
        <v>0.06232617654</v>
      </c>
      <c r="J125" s="26">
        <f>IFERROR(__xludf.DUMMYFUNCTION("""COMPUTED_VALUE"""),10.58455882)</f>
        <v>10.58455882</v>
      </c>
      <c r="K125" s="26">
        <f>IFERROR(__xludf.DUMMYFUNCTION("""COMPUTED_VALUE"""),1.756323529)</f>
        <v>1.756323529</v>
      </c>
      <c r="L125" s="26">
        <f>IFERROR(__xludf.DUMMYFUNCTION("""COMPUTED_VALUE"""),3.0625)</f>
        <v>3.0625</v>
      </c>
      <c r="M125" s="26">
        <f>IFERROR(__xludf.DUMMYFUNCTION("""COMPUTED_VALUE"""),3.5)</f>
        <v>3.5</v>
      </c>
      <c r="N125" s="26">
        <f>IFERROR(__xludf.DUMMYFUNCTION("""COMPUTED_VALUE"""),1.690294118)</f>
        <v>1.690294118</v>
      </c>
      <c r="O125" s="26">
        <f>IFERROR(__xludf.DUMMYFUNCTION("""COMPUTED_VALUE"""),0.2497058824)</f>
        <v>0.2497058824</v>
      </c>
      <c r="P125" s="464">
        <f>IFERROR(__xludf.DUMMYFUNCTION("""COMPUTED_VALUE"""),0.4153441729)</f>
        <v>0.4153441729</v>
      </c>
      <c r="Q125" s="464">
        <f>IFERROR(__xludf.DUMMYFUNCTION("""COMPUTED_VALUE"""),0.7549748057)</f>
        <v>0.7549748057</v>
      </c>
      <c r="R125" s="26">
        <f>IFERROR(__xludf.DUMMYFUNCTION("""COMPUTED_VALUE"""),2.0)</f>
        <v>2</v>
      </c>
      <c r="S125" s="26">
        <f>IFERROR(__xludf.DUMMYFUNCTION("""COMPUTED_VALUE"""),-1.2445043698456053)</f>
        <v>-1.24450437</v>
      </c>
      <c r="T125" s="26">
        <f>IFERROR(__xludf.DUMMYFUNCTION("""COMPUTED_VALUE"""),0.007595060267930051)</f>
        <v>0.007595060268</v>
      </c>
      <c r="U125" s="26">
        <f>IFERROR(__xludf.DUMMYFUNCTION("""COMPUTED_VALUE"""),-1.183885718102497)</f>
        <v>-1.183885718</v>
      </c>
      <c r="V125" s="26">
        <f>IFERROR(__xludf.DUMMYFUNCTION("""COMPUTED_VALUE"""),-0.19679331077479958)</f>
        <v>-0.1967933108</v>
      </c>
      <c r="W125" s="26">
        <f>IFERROR(__xludf.DUMMYFUNCTION("""COMPUTED_VALUE"""),2.3631087873206904)</f>
        <v>2.363108787</v>
      </c>
      <c r="X125" s="26">
        <f>IFERROR(__xludf.DUMMYFUNCTION("""COMPUTED_VALUE"""),-0.8899703170523009)</f>
        <v>-0.8899703171</v>
      </c>
      <c r="Y125" s="26">
        <f>IFERROR(__xludf.DUMMYFUNCTION("""COMPUTED_VALUE"""),-0.8633605812905321)</f>
        <v>-0.8633605813</v>
      </c>
      <c r="Z125" s="26">
        <f>IFERROR(__xludf.DUMMYFUNCTION("""COMPUTED_VALUE"""),-0.24199879012881054)</f>
        <v>-0.2419987901</v>
      </c>
      <c r="AA125" s="26">
        <f>IFERROR(__xludf.DUMMYFUNCTION("""COMPUTED_VALUE"""),0.0)</f>
        <v>0</v>
      </c>
      <c r="AB125" t="str">
        <f>IFERROR(__xludf.DUMMYFUNCTION("SUBSTITUTE(REGEXREPLACE(REGEXREPLACE(REGEXREPLACE(REGEXREPLACE(REGEXREPLACE(REGEXREPLACE(F125,"","",),IF(Projections!$T$17="""",""PG"",),),IF(Projections!$U$17="""",""SG"",),),IF(Projections!$V$17="""",""SF"",),),IF(Projections!$W$17="""",""PF"",),),IF(Pr"&amp;"ojections!$X$17="""",""C"",),),""/"","""")"),"PG")</f>
        <v>PG</v>
      </c>
    </row>
    <row r="126">
      <c r="A126" s="408" t="str">
        <f>IF(Projections!$AB$17,Draft!N4,"")</f>
        <v/>
      </c>
      <c r="B126">
        <f>IFERROR(__xludf.DUMMYFUNCTION("""COMPUTED_VALUE"""),117.0)</f>
        <v>117</v>
      </c>
      <c r="C126">
        <f>IFERROR(__xludf.DUMMYFUNCTION("""COMPUTED_VALUE"""),143.7)</f>
        <v>143.7</v>
      </c>
      <c r="D126" t="str">
        <f>IFERROR(__xludf.DUMMYFUNCTION("""COMPUTED_VALUE"""),"Jonathan Isaac")</f>
        <v>Jonathan Isaac</v>
      </c>
      <c r="E126">
        <f>IFERROR(__xludf.DUMMYFUNCTION("""COMPUTED_VALUE"""),68.0)</f>
        <v>68</v>
      </c>
      <c r="F126" t="str">
        <f>IFERROR(__xludf.DUMMYFUNCTION("""COMPUTED_VALUE"""),"C")</f>
        <v>C</v>
      </c>
      <c r="G126" s="26">
        <f>IFERROR(__xludf.DUMMYFUNCTION("""COMPUTED_VALUE"""),-2.13702981257081)</f>
        <v>-2.137029813</v>
      </c>
      <c r="H126" s="26">
        <f>IFERROR(__xludf.DUMMYFUNCTION("""COMPUTED_VALUE"""),-2.4162990266662128)</f>
        <v>-2.416299027</v>
      </c>
      <c r="I126" s="26">
        <f>IFERROR(__xludf.DUMMYFUNCTION("""COMPUTED_VALUE"""),-0.27926921409540295)</f>
        <v>-0.2792692141</v>
      </c>
      <c r="J126" s="26">
        <f>IFERROR(__xludf.DUMMYFUNCTION("""COMPUTED_VALUE"""),8.962321429)</f>
        <v>8.962321429</v>
      </c>
      <c r="K126" s="26">
        <f>IFERROR(__xludf.DUMMYFUNCTION("""COMPUTED_VALUE"""),1.009464286)</f>
        <v>1.009464286</v>
      </c>
      <c r="L126" s="26">
        <f>IFERROR(__xludf.DUMMYFUNCTION("""COMPUTED_VALUE"""),6.401964286)</f>
        <v>6.401964286</v>
      </c>
      <c r="M126" s="26">
        <f>IFERROR(__xludf.DUMMYFUNCTION("""COMPUTED_VALUE"""),0.965)</f>
        <v>0.965</v>
      </c>
      <c r="N126" s="26">
        <f>IFERROR(__xludf.DUMMYFUNCTION("""COMPUTED_VALUE"""),1.0225)</f>
        <v>1.0225</v>
      </c>
      <c r="O126" s="26">
        <f>IFERROR(__xludf.DUMMYFUNCTION("""COMPUTED_VALUE"""),1.484107143)</f>
        <v>1.484107143</v>
      </c>
      <c r="P126" s="464">
        <f>IFERROR(__xludf.DUMMYFUNCTION("""COMPUTED_VALUE"""),0.5068315759)</f>
        <v>0.5068315759</v>
      </c>
      <c r="Q126" s="464">
        <f>IFERROR(__xludf.DUMMYFUNCTION("""COMPUTED_VALUE"""),0.7100183824)</f>
        <v>0.7100183824</v>
      </c>
      <c r="R126" s="26">
        <f>IFERROR(__xludf.DUMMYFUNCTION("""COMPUTED_VALUE"""),0.6225)</f>
        <v>0.6225</v>
      </c>
      <c r="S126" s="26">
        <f>IFERROR(__xludf.DUMMYFUNCTION("""COMPUTED_VALUE"""),-1.5369218069517137)</f>
        <v>-1.536921807</v>
      </c>
      <c r="T126" s="26">
        <f>IFERROR(__xludf.DUMMYFUNCTION("""COMPUTED_VALUE"""),-0.7332359375091817)</f>
        <v>-0.7332359375</v>
      </c>
      <c r="U126" s="26">
        <f>IFERROR(__xludf.DUMMYFUNCTION("""COMPUTED_VALUE"""),0.12487369959971242)</f>
        <v>0.1248736996</v>
      </c>
      <c r="V126" s="26">
        <f>IFERROR(__xludf.DUMMYFUNCTION("""COMPUTED_VALUE"""),-1.3480341788073789)</f>
        <v>-1.348034179</v>
      </c>
      <c r="W126" s="26">
        <f>IFERROR(__xludf.DUMMYFUNCTION("""COMPUTED_VALUE"""),0.15383657213654015)</f>
        <v>0.1538365721</v>
      </c>
      <c r="X126" s="26">
        <f>IFERROR(__xludf.DUMMYFUNCTION("""COMPUTED_VALUE"""),1.3117668051957903)</f>
        <v>1.311766805</v>
      </c>
      <c r="Y126" s="26">
        <f>IFERROR(__xludf.DUMMYFUNCTION("""COMPUTED_VALUE"""),0.07533202673073025)</f>
        <v>0.07533202673</v>
      </c>
      <c r="Z126" s="26">
        <f>IFERROR(__xludf.DUMMYFUNCTION("""COMPUTED_VALUE"""),-0.46391620706071146)</f>
        <v>-0.4639162071</v>
      </c>
      <c r="AA126" s="26">
        <f>IFERROR(__xludf.DUMMYFUNCTION("""COMPUTED_VALUE"""),0.0)</f>
        <v>0</v>
      </c>
      <c r="AB126" t="str">
        <f>IFERROR(__xludf.DUMMYFUNCTION("SUBSTITUTE(REGEXREPLACE(REGEXREPLACE(REGEXREPLACE(REGEXREPLACE(REGEXREPLACE(REGEXREPLACE(F126,"","",),IF(Projections!$T$17="""",""PG"",),),IF(Projections!$U$17="""",""SG"",),),IF(Projections!$V$17="""",""SF"",),),IF(Projections!$W$17="""",""PF"",),),IF(Pr"&amp;"ojections!$X$17="""",""C"",),),""/"","""")"),"C")</f>
        <v>C</v>
      </c>
    </row>
    <row r="127">
      <c r="A127" s="408" t="str">
        <f>IF(Projections!$AB$17,Draft!N5,"")</f>
        <v/>
      </c>
      <c r="B127">
        <f>IFERROR(__xludf.DUMMYFUNCTION("""COMPUTED_VALUE"""),122.0)</f>
        <v>122</v>
      </c>
      <c r="C127">
        <f>IFERROR(__xludf.DUMMYFUNCTION("""COMPUTED_VALUE"""),138.9)</f>
        <v>138.9</v>
      </c>
      <c r="D127" t="str">
        <f>IFERROR(__xludf.DUMMYFUNCTION("""COMPUTED_VALUE"""),"Taylor Hendricks")</f>
        <v>Taylor Hendricks</v>
      </c>
      <c r="E127">
        <f>IFERROR(__xludf.DUMMYFUNCTION("""COMPUTED_VALUE"""),70.0)</f>
        <v>70</v>
      </c>
      <c r="F127" t="str">
        <f>IFERROR(__xludf.DUMMYFUNCTION("""COMPUTED_VALUE"""),"PG,SG")</f>
        <v>PG,SG</v>
      </c>
      <c r="G127" s="26">
        <f>IFERROR(__xludf.DUMMYFUNCTION("""COMPUTED_VALUE"""),-2.210223863281694)</f>
        <v>-2.210223863</v>
      </c>
      <c r="H127" s="26">
        <f>IFERROR(__xludf.DUMMYFUNCTION("""COMPUTED_VALUE"""),-2.4198967214137768)</f>
        <v>-2.419896721</v>
      </c>
      <c r="I127" s="26">
        <f>IFERROR(__xludf.DUMMYFUNCTION("""COMPUTED_VALUE"""),-0.20967285813208258)</f>
        <v>-0.2096728581</v>
      </c>
      <c r="J127" s="26">
        <f>IFERROR(__xludf.DUMMYFUNCTION("""COMPUTED_VALUE"""),10.64863014)</f>
        <v>10.64863014</v>
      </c>
      <c r="K127" s="26">
        <f>IFERROR(__xludf.DUMMYFUNCTION("""COMPUTED_VALUE"""),1.819452055)</f>
        <v>1.819452055</v>
      </c>
      <c r="L127" s="26">
        <f>IFERROR(__xludf.DUMMYFUNCTION("""COMPUTED_VALUE"""),6.285205479)</f>
        <v>6.285205479</v>
      </c>
      <c r="M127" s="26">
        <f>IFERROR(__xludf.DUMMYFUNCTION("""COMPUTED_VALUE"""),1.169315068)</f>
        <v>1.169315068</v>
      </c>
      <c r="N127" s="26">
        <f>IFERROR(__xludf.DUMMYFUNCTION("""COMPUTED_VALUE"""),0.9153424658)</f>
        <v>0.9153424658</v>
      </c>
      <c r="O127" s="26">
        <f>IFERROR(__xludf.DUMMYFUNCTION("""COMPUTED_VALUE"""),1.021232877)</f>
        <v>1.021232877</v>
      </c>
      <c r="P127" s="464">
        <f>IFERROR(__xludf.DUMMYFUNCTION("""COMPUTED_VALUE"""),0.4610116933)</f>
        <v>0.4610116933</v>
      </c>
      <c r="Q127" s="464">
        <f>IFERROR(__xludf.DUMMYFUNCTION("""COMPUTED_VALUE"""),0.7929586563)</f>
        <v>0.7929586563</v>
      </c>
      <c r="R127" s="26">
        <f>IFERROR(__xludf.DUMMYFUNCTION("""COMPUTED_VALUE"""),0.9031506849)</f>
        <v>0.9031506849</v>
      </c>
      <c r="S127" s="26">
        <f>IFERROR(__xludf.DUMMYFUNCTION("""COMPUTED_VALUE"""),-1.2329551531339524)</f>
        <v>-1.232955153</v>
      </c>
      <c r="T127" s="26">
        <f>IFERROR(__xludf.DUMMYFUNCTION("""COMPUTED_VALUE"""),0.07021404683482486)</f>
        <v>0.07021404683</v>
      </c>
      <c r="U127" s="26">
        <f>IFERROR(__xludf.DUMMYFUNCTION("""COMPUTED_VALUE"""),0.07911510625240667)</f>
        <v>0.07911510625</v>
      </c>
      <c r="V127" s="26">
        <f>IFERROR(__xludf.DUMMYFUNCTION("""COMPUTED_VALUE"""),-1.2552468587929981)</f>
        <v>-1.255246859</v>
      </c>
      <c r="W127" s="26">
        <f>IFERROR(__xludf.DUMMYFUNCTION("""COMPUTED_VALUE"""),-0.20067413194801617)</f>
        <v>-0.2006741319</v>
      </c>
      <c r="X127" s="26">
        <f>IFERROR(__xludf.DUMMYFUNCTION("""COMPUTED_VALUE"""),0.48616212792077323)</f>
        <v>0.4861621279</v>
      </c>
      <c r="Y127" s="26">
        <f>IFERROR(__xludf.DUMMYFUNCTION("""COMPUTED_VALUE"""),-0.35747691529524817)</f>
        <v>-0.3574769153</v>
      </c>
      <c r="Z127" s="26">
        <f>IFERROR(__xludf.DUMMYFUNCTION("""COMPUTED_VALUE"""),-0.009034943251566877)</f>
        <v>-0.009034943252</v>
      </c>
      <c r="AA127" s="26">
        <f>IFERROR(__xludf.DUMMYFUNCTION("""COMPUTED_VALUE"""),0.0)</f>
        <v>0</v>
      </c>
      <c r="AB127" t="str">
        <f>IFERROR(__xludf.DUMMYFUNCTION("SUBSTITUTE(REGEXREPLACE(REGEXREPLACE(REGEXREPLACE(REGEXREPLACE(REGEXREPLACE(REGEXREPLACE(F127,"","",),IF(Projections!$T$17="""",""PG"",),),IF(Projections!$U$17="""",""SG"",),),IF(Projections!$V$17="""",""SF"",),),IF(Projections!$W$17="""",""PF"",),),IF(Pr"&amp;"ojections!$X$17="""",""C"",),),""/"","""")"),"PGSG")</f>
        <v>PGSG</v>
      </c>
    </row>
    <row r="128">
      <c r="A128" s="408" t="str">
        <f>IF(Projections!$AB$17,Draft!N6,"")</f>
        <v/>
      </c>
      <c r="B128">
        <f>IFERROR(__xludf.DUMMYFUNCTION("""COMPUTED_VALUE"""),129.0)</f>
        <v>129</v>
      </c>
      <c r="C128">
        <f>IFERROR(__xludf.DUMMYFUNCTION("""COMPUTED_VALUE"""),110.3)</f>
        <v>110.3</v>
      </c>
      <c r="D128" t="str">
        <f>IFERROR(__xludf.DUMMYFUNCTION("""COMPUTED_VALUE"""),"Donte DiVincenzo")</f>
        <v>Donte DiVincenzo</v>
      </c>
      <c r="E128">
        <f>IFERROR(__xludf.DUMMYFUNCTION("""COMPUTED_VALUE"""),65.0)</f>
        <v>65</v>
      </c>
      <c r="F128" t="str">
        <f>IFERROR(__xludf.DUMMYFUNCTION("""COMPUTED_VALUE"""),"PF")</f>
        <v>PF</v>
      </c>
      <c r="G128" s="26">
        <f>IFERROR(__xludf.DUMMYFUNCTION("""COMPUTED_VALUE"""),-2.3904054520691687)</f>
        <v>-2.390405452</v>
      </c>
      <c r="H128" s="26">
        <f>IFERROR(__xludf.DUMMYFUNCTION("""COMPUTED_VALUE"""),-2.4837984679809777)</f>
        <v>-2.483798468</v>
      </c>
      <c r="I128" s="26">
        <f>IFERROR(__xludf.DUMMYFUNCTION("""COMPUTED_VALUE"""),-0.09339301591180904)</f>
        <v>-0.09339301591</v>
      </c>
      <c r="J128" s="26">
        <f>IFERROR(__xludf.DUMMYFUNCTION("""COMPUTED_VALUE"""),12.27575342)</f>
        <v>12.27575342</v>
      </c>
      <c r="K128" s="26">
        <f>IFERROR(__xludf.DUMMYFUNCTION("""COMPUTED_VALUE"""),2.784657534)</f>
        <v>2.784657534</v>
      </c>
      <c r="L128" s="26">
        <f>IFERROR(__xludf.DUMMYFUNCTION("""COMPUTED_VALUE"""),3.503561644)</f>
        <v>3.503561644</v>
      </c>
      <c r="M128" s="26">
        <f>IFERROR(__xludf.DUMMYFUNCTION("""COMPUTED_VALUE"""),2.388767123)</f>
        <v>2.388767123</v>
      </c>
      <c r="N128" s="26">
        <f>IFERROR(__xludf.DUMMYFUNCTION("""COMPUTED_VALUE"""),1.102191781)</f>
        <v>1.102191781</v>
      </c>
      <c r="O128" s="26">
        <f>IFERROR(__xludf.DUMMYFUNCTION("""COMPUTED_VALUE"""),0.4417808219)</f>
        <v>0.4417808219</v>
      </c>
      <c r="P128" s="464">
        <f>IFERROR(__xludf.DUMMYFUNCTION("""COMPUTED_VALUE"""),0.4359206643)</f>
        <v>0.4359206643</v>
      </c>
      <c r="Q128" s="464">
        <f>IFERROR(__xludf.DUMMYFUNCTION("""COMPUTED_VALUE"""),0.79)</f>
        <v>0.79</v>
      </c>
      <c r="R128" s="26">
        <f>IFERROR(__xludf.DUMMYFUNCTION("""COMPUTED_VALUE"""),1.372054795)</f>
        <v>1.372054795</v>
      </c>
      <c r="S128" s="26">
        <f>IFERROR(__xludf.DUMMYFUNCTION("""COMPUTED_VALUE"""),-0.9396570069853257)</f>
        <v>-0.939657007</v>
      </c>
      <c r="T128" s="26">
        <f>IFERROR(__xludf.DUMMYFUNCTION("""COMPUTED_VALUE"""),1.0276289074921832)</f>
        <v>1.027628907</v>
      </c>
      <c r="U128" s="26">
        <f>IFERROR(__xludf.DUMMYFUNCTION("""COMPUTED_VALUE"""),-1.011030574002831)</f>
        <v>-1.011030574</v>
      </c>
      <c r="V128" s="26">
        <f>IFERROR(__xludf.DUMMYFUNCTION("""COMPUTED_VALUE"""),-0.7014468420978056)</f>
        <v>-0.7014468421</v>
      </c>
      <c r="W128" s="26">
        <f>IFERROR(__xludf.DUMMYFUNCTION("""COMPUTED_VALUE"""),0.41748195743752314)</f>
        <v>0.4174819574</v>
      </c>
      <c r="X128" s="26">
        <f>IFERROR(__xludf.DUMMYFUNCTION("""COMPUTED_VALUE"""),-0.5473762691937061)</f>
        <v>-0.5473762692</v>
      </c>
      <c r="Y128" s="26">
        <f>IFERROR(__xludf.DUMMYFUNCTION("""COMPUTED_VALUE"""),-0.7119035877285963)</f>
        <v>-0.7119035877</v>
      </c>
      <c r="Z128" s="26">
        <f>IFERROR(__xludf.DUMMYFUNCTION("""COMPUTED_VALUE"""),-0.017495052902419622)</f>
        <v>-0.0174950529</v>
      </c>
      <c r="AA128" s="26">
        <f>IFERROR(__xludf.DUMMYFUNCTION("""COMPUTED_VALUE"""),0.0)</f>
        <v>0</v>
      </c>
      <c r="AB128" t="str">
        <f>IFERROR(__xludf.DUMMYFUNCTION("SUBSTITUTE(REGEXREPLACE(REGEXREPLACE(REGEXREPLACE(REGEXREPLACE(REGEXREPLACE(REGEXREPLACE(F128,"","",),IF(Projections!$T$17="""",""PG"",),),IF(Projections!$U$17="""",""SG"",),),IF(Projections!$V$17="""",""SF"",),),IF(Projections!$W$17="""",""PF"",),),IF(Pr"&amp;"ojections!$X$17="""",""C"",),),""/"","""")"),"PF")</f>
        <v>PF</v>
      </c>
    </row>
    <row r="129">
      <c r="A129" s="408" t="str">
        <f>IF(Projections!$AB$17,Draft!N7,"")</f>
        <v/>
      </c>
      <c r="B129">
        <f>IFERROR(__xludf.DUMMYFUNCTION("""COMPUTED_VALUE"""),130.0)</f>
        <v>130</v>
      </c>
      <c r="C129">
        <f>IFERROR(__xludf.DUMMYFUNCTION("""COMPUTED_VALUE"""),146.3)</f>
        <v>146.3</v>
      </c>
      <c r="D129" t="str">
        <f>IFERROR(__xludf.DUMMYFUNCTION("""COMPUTED_VALUE"""),"Keon Ellis")</f>
        <v>Keon Ellis</v>
      </c>
      <c r="E129">
        <f>IFERROR(__xludf.DUMMYFUNCTION("""COMPUTED_VALUE"""),72.0)</f>
        <v>72</v>
      </c>
      <c r="F129" t="str">
        <f>IFERROR(__xludf.DUMMYFUNCTION("""COMPUTED_VALUE"""),"PG")</f>
        <v>PG</v>
      </c>
      <c r="G129" s="26">
        <f>IFERROR(__xludf.DUMMYFUNCTION("""COMPUTED_VALUE"""),-2.2818614909393067)</f>
        <v>-2.281861491</v>
      </c>
      <c r="H129" s="26">
        <f>IFERROR(__xludf.DUMMYFUNCTION("""COMPUTED_VALUE"""),-2.525572444810835)</f>
        <v>-2.525572445</v>
      </c>
      <c r="I129" s="26">
        <f>IFERROR(__xludf.DUMMYFUNCTION("""COMPUTED_VALUE"""),-0.24371095387152852)</f>
        <v>-0.2437109539</v>
      </c>
      <c r="J129" s="26">
        <f>IFERROR(__xludf.DUMMYFUNCTION("""COMPUTED_VALUE"""),8.132054795)</f>
        <v>8.132054795</v>
      </c>
      <c r="K129" s="26">
        <f>IFERROR(__xludf.DUMMYFUNCTION("""COMPUTED_VALUE"""),1.812328767)</f>
        <v>1.812328767</v>
      </c>
      <c r="L129" s="26">
        <f>IFERROR(__xludf.DUMMYFUNCTION("""COMPUTED_VALUE"""),3.337260274)</f>
        <v>3.337260274</v>
      </c>
      <c r="M129" s="26">
        <f>IFERROR(__xludf.DUMMYFUNCTION("""COMPUTED_VALUE"""),1.750684932)</f>
        <v>1.750684932</v>
      </c>
      <c r="N129" s="26">
        <f>IFERROR(__xludf.DUMMYFUNCTION("""COMPUTED_VALUE"""),1.491369863)</f>
        <v>1.491369863</v>
      </c>
      <c r="O129" s="26">
        <f>IFERROR(__xludf.DUMMYFUNCTION("""COMPUTED_VALUE"""),0.6564383562)</f>
        <v>0.6564383562</v>
      </c>
      <c r="P129" s="464">
        <f>IFERROR(__xludf.DUMMYFUNCTION("""COMPUTED_VALUE"""),0.4362947585)</f>
        <v>0.4362947585</v>
      </c>
      <c r="Q129" s="464">
        <f>IFERROR(__xludf.DUMMYFUNCTION("""COMPUTED_VALUE"""),0.8199327423)</f>
        <v>0.8199327423</v>
      </c>
      <c r="R129" s="26">
        <f>IFERROR(__xludf.DUMMYFUNCTION("""COMPUTED_VALUE"""),0.765890411)</f>
        <v>0.765890411</v>
      </c>
      <c r="S129" s="26">
        <f>IFERROR(__xludf.DUMMYFUNCTION("""COMPUTED_VALUE"""),-1.6865820493896808)</f>
        <v>-1.686582049</v>
      </c>
      <c r="T129" s="26">
        <f>IFERROR(__xludf.DUMMYFUNCTION("""COMPUTED_VALUE"""),0.06314825417582744)</f>
        <v>0.06314825418</v>
      </c>
      <c r="U129" s="26">
        <f>IFERROR(__xludf.DUMMYFUNCTION("""COMPUTED_VALUE"""),-1.076205244406322)</f>
        <v>-1.076205244</v>
      </c>
      <c r="V129" s="26">
        <f>IFERROR(__xludf.DUMMYFUNCTION("""COMPUTED_VALUE"""),-0.9912244734362554)</f>
        <v>-0.9912244734</v>
      </c>
      <c r="W129" s="26">
        <f>IFERROR(__xludf.DUMMYFUNCTION("""COMPUTED_VALUE"""),1.705005013040806)</f>
        <v>1.705005013</v>
      </c>
      <c r="X129" s="26">
        <f>IFERROR(__xludf.DUMMYFUNCTION("""COMPUTED_VALUE"""),-0.1645028252628169)</f>
        <v>-0.1645028253</v>
      </c>
      <c r="Y129" s="26">
        <f>IFERROR(__xludf.DUMMYFUNCTION("""COMPUTED_VALUE"""),-0.4537693836566381)</f>
        <v>-0.4537693837</v>
      </c>
      <c r="Z129" s="26">
        <f>IFERROR(__xludf.DUMMYFUNCTION("""COMPUTED_VALUE"""),0.0785582641242439)</f>
        <v>0.07855826412</v>
      </c>
      <c r="AA129" s="26">
        <f>IFERROR(__xludf.DUMMYFUNCTION("""COMPUTED_VALUE"""),0.0)</f>
        <v>0</v>
      </c>
      <c r="AB129" t="str">
        <f>IFERROR(__xludf.DUMMYFUNCTION("SUBSTITUTE(REGEXREPLACE(REGEXREPLACE(REGEXREPLACE(REGEXREPLACE(REGEXREPLACE(REGEXREPLACE(F129,"","",),IF(Projections!$T$17="""",""PG"",),),IF(Projections!$U$17="""",""SG"",),),IF(Projections!$V$17="""",""SF"",),),IF(Projections!$W$17="""",""PF"",),),IF(Pr"&amp;"ojections!$X$17="""",""C"",),),""/"","""")"),"PG")</f>
        <v>PG</v>
      </c>
    </row>
    <row r="130">
      <c r="A130" s="408" t="str">
        <f>IF(Projections!$AB$17,Draft!N8,"")</f>
        <v/>
      </c>
      <c r="B130">
        <f>IFERROR(__xludf.DUMMYFUNCTION("""COMPUTED_VALUE"""),126.0)</f>
        <v>126</v>
      </c>
      <c r="C130">
        <f>IFERROR(__xludf.DUMMYFUNCTION("""COMPUTED_VALUE"""),140.6)</f>
        <v>140.6</v>
      </c>
      <c r="D130" t="str">
        <f>IFERROR(__xludf.DUMMYFUNCTION("""COMPUTED_VALUE"""),"Andrew Nembhard")</f>
        <v>Andrew Nembhard</v>
      </c>
      <c r="E130">
        <f>IFERROR(__xludf.DUMMYFUNCTION("""COMPUTED_VALUE"""),60.0)</f>
        <v>60</v>
      </c>
      <c r="F130" t="str">
        <f>IFERROR(__xludf.DUMMYFUNCTION("""COMPUTED_VALUE"""),"SG,SF")</f>
        <v>SG,SF</v>
      </c>
      <c r="G130" s="26">
        <f>IFERROR(__xludf.DUMMYFUNCTION("""COMPUTED_VALUE"""),-2.447536586267482)</f>
        <v>-2.447536586</v>
      </c>
      <c r="H130" s="26">
        <f>IFERROR(__xludf.DUMMYFUNCTION("""COMPUTED_VALUE"""),-2.540623870956917)</f>
        <v>-2.540623871</v>
      </c>
      <c r="I130" s="26">
        <f>IFERROR(__xludf.DUMMYFUNCTION("""COMPUTED_VALUE"""),-0.09308728468943483)</f>
        <v>-0.09308728469</v>
      </c>
      <c r="J130" s="26">
        <f>IFERROR(__xludf.DUMMYFUNCTION("""COMPUTED_VALUE"""),12.56383562)</f>
        <v>12.56383562</v>
      </c>
      <c r="K130" s="26">
        <f>IFERROR(__xludf.DUMMYFUNCTION("""COMPUTED_VALUE"""),1.626164384)</f>
        <v>1.626164384</v>
      </c>
      <c r="L130" s="26">
        <f>IFERROR(__xludf.DUMMYFUNCTION("""COMPUTED_VALUE"""),2.677945205)</f>
        <v>2.677945205</v>
      </c>
      <c r="M130" s="26">
        <f>IFERROR(__xludf.DUMMYFUNCTION("""COMPUTED_VALUE"""),5.081369863)</f>
        <v>5.081369863</v>
      </c>
      <c r="N130" s="26">
        <f>IFERROR(__xludf.DUMMYFUNCTION("""COMPUTED_VALUE"""),1.118630137)</f>
        <v>1.118630137</v>
      </c>
      <c r="O130" s="26">
        <f>IFERROR(__xludf.DUMMYFUNCTION("""COMPUTED_VALUE"""),0.1357534247)</f>
        <v>0.1357534247</v>
      </c>
      <c r="P130" s="464">
        <f>IFERROR(__xludf.DUMMYFUNCTION("""COMPUTED_VALUE"""),0.4832456129)</f>
        <v>0.4832456129</v>
      </c>
      <c r="Q130" s="464">
        <f>IFERROR(__xludf.DUMMYFUNCTION("""COMPUTED_VALUE"""),0.8149363434)</f>
        <v>0.8149363434</v>
      </c>
      <c r="R130" s="26">
        <f>IFERROR(__xludf.DUMMYFUNCTION("""COMPUTED_VALUE"""),1.373287671)</f>
        <v>1.373287671</v>
      </c>
      <c r="S130" s="26">
        <f>IFERROR(__xludf.DUMMYFUNCTION("""COMPUTED_VALUE"""),-0.8877285660140809)</f>
        <v>-0.887728566</v>
      </c>
      <c r="T130" s="26">
        <f>IFERROR(__xludf.DUMMYFUNCTION("""COMPUTED_VALUE"""),-0.12151351027454614)</f>
        <v>-0.1215135103</v>
      </c>
      <c r="U130" s="26">
        <f>IFERROR(__xludf.DUMMYFUNCTION("""COMPUTED_VALUE"""),-1.3345954327380836)</f>
        <v>-1.334595433</v>
      </c>
      <c r="V130" s="26">
        <f>IFERROR(__xludf.DUMMYFUNCTION("""COMPUTED_VALUE"""),0.521367483608112)</f>
        <v>0.5213674836</v>
      </c>
      <c r="W130" s="26">
        <f>IFERROR(__xludf.DUMMYFUNCTION("""COMPUTED_VALUE"""),0.4718651905256976)</f>
        <v>0.4718651905</v>
      </c>
      <c r="X130" s="26">
        <f>IFERROR(__xludf.DUMMYFUNCTION("""COMPUTED_VALUE"""),-1.0932213702532227)</f>
        <v>-1.09322137</v>
      </c>
      <c r="Y130" s="26">
        <f>IFERROR(__xludf.DUMMYFUNCTION("""COMPUTED_VALUE"""),-0.1699691727372408)</f>
        <v>-0.1699691727</v>
      </c>
      <c r="Z130" s="26">
        <f>IFERROR(__xludf.DUMMYFUNCTION("""COMPUTED_VALUE"""),0.07317150692644783)</f>
        <v>0.07317150693</v>
      </c>
      <c r="AA130" s="26">
        <f>IFERROR(__xludf.DUMMYFUNCTION("""COMPUTED_VALUE"""),0.0)</f>
        <v>0</v>
      </c>
      <c r="AB130" t="str">
        <f>IFERROR(__xludf.DUMMYFUNCTION("SUBSTITUTE(REGEXREPLACE(REGEXREPLACE(REGEXREPLACE(REGEXREPLACE(REGEXREPLACE(REGEXREPLACE(F130,"","",),IF(Projections!$T$17="""",""PG"",),),IF(Projections!$U$17="""",""SG"",),),IF(Projections!$V$17="""",""SF"",),),IF(Projections!$W$17="""",""PF"",),),IF(Pr"&amp;"ojections!$X$17="""",""C"",),),""/"","""")"),"SGSF")</f>
        <v>SGSF</v>
      </c>
    </row>
    <row r="131">
      <c r="A131" s="408" t="str">
        <f>IF(Projections!$AB$17,Draft!N9,"")</f>
        <v/>
      </c>
      <c r="B131">
        <f>IFERROR(__xludf.DUMMYFUNCTION("""COMPUTED_VALUE"""),128.0)</f>
        <v>128</v>
      </c>
      <c r="C131">
        <f>IFERROR(__xludf.DUMMYFUNCTION("""COMPUTED_VALUE"""),129.5)</f>
        <v>129.5</v>
      </c>
      <c r="D131" t="str">
        <f>IFERROR(__xludf.DUMMYFUNCTION("""COMPUTED_VALUE"""),"Malik Monk")</f>
        <v>Malik Monk</v>
      </c>
      <c r="E131">
        <f>IFERROR(__xludf.DUMMYFUNCTION("""COMPUTED_VALUE"""),67.0)</f>
        <v>67</v>
      </c>
      <c r="F131" t="str">
        <f>IFERROR(__xludf.DUMMYFUNCTION("""COMPUTED_VALUE"""),"SG")</f>
        <v>SG</v>
      </c>
      <c r="G131" s="26">
        <f>IFERROR(__xludf.DUMMYFUNCTION("""COMPUTED_VALUE"""),-2.578340973783329)</f>
        <v>-2.578340974</v>
      </c>
      <c r="H131" s="26">
        <f>IFERROR(__xludf.DUMMYFUNCTION("""COMPUTED_VALUE"""),-2.5611611339543856)</f>
        <v>-2.561161134</v>
      </c>
      <c r="I131" s="26">
        <f>IFERROR(__xludf.DUMMYFUNCTION("""COMPUTED_VALUE"""),0.017179839828943333)</f>
        <v>0.01717983983</v>
      </c>
      <c r="J131" s="26">
        <f>IFERROR(__xludf.DUMMYFUNCTION("""COMPUTED_VALUE"""),15.73054795)</f>
        <v>15.73054795</v>
      </c>
      <c r="K131" s="26">
        <f>IFERROR(__xludf.DUMMYFUNCTION("""COMPUTED_VALUE"""),1.898082192)</f>
        <v>1.898082192</v>
      </c>
      <c r="L131" s="26">
        <f>IFERROR(__xludf.DUMMYFUNCTION("""COMPUTED_VALUE"""),3.181506849)</f>
        <v>3.181506849</v>
      </c>
      <c r="M131" s="26">
        <f>IFERROR(__xludf.DUMMYFUNCTION("""COMPUTED_VALUE"""),4.374520548)</f>
        <v>4.374520548</v>
      </c>
      <c r="N131" s="26">
        <f>IFERROR(__xludf.DUMMYFUNCTION("""COMPUTED_VALUE"""),0.6926027397)</f>
        <v>0.6926027397</v>
      </c>
      <c r="O131" s="26">
        <f>IFERROR(__xludf.DUMMYFUNCTION("""COMPUTED_VALUE"""),0.5060273973)</f>
        <v>0.5060273973</v>
      </c>
      <c r="P131" s="464">
        <f>IFERROR(__xludf.DUMMYFUNCTION("""COMPUTED_VALUE"""),0.4548712936)</f>
        <v>0.4548712936</v>
      </c>
      <c r="Q131" s="464">
        <f>IFERROR(__xludf.DUMMYFUNCTION("""COMPUTED_VALUE"""),0.8500123426)</f>
        <v>0.8500123426</v>
      </c>
      <c r="R131" s="26">
        <f>IFERROR(__xludf.DUMMYFUNCTION("""COMPUTED_VALUE"""),1.817945205)</f>
        <v>1.817945205</v>
      </c>
      <c r="S131" s="26">
        <f>IFERROR(__xludf.DUMMYFUNCTION("""COMPUTED_VALUE"""),-0.31691081225728013)</f>
        <v>-0.3169108123</v>
      </c>
      <c r="T131" s="26">
        <f>IFERROR(__xludf.DUMMYFUNCTION("""COMPUTED_VALUE"""),0.14820952375370794)</f>
        <v>0.1482095238</v>
      </c>
      <c r="U131" s="26">
        <f>IFERROR(__xludf.DUMMYFUNCTION("""COMPUTED_VALUE"""),-1.1372461013673312)</f>
        <v>-1.137246101</v>
      </c>
      <c r="V131" s="26">
        <f>IFERROR(__xludf.DUMMYFUNCTION("""COMPUTED_VALUE"""),0.20036005995176706)</f>
        <v>0.20036006</v>
      </c>
      <c r="W131" s="26">
        <f>IFERROR(__xludf.DUMMYFUNCTION("""COMPUTED_VALUE"""),-0.9375669479018968)</f>
        <v>-0.9375669479</v>
      </c>
      <c r="X131" s="26">
        <f>IFERROR(__xludf.DUMMYFUNCTION("""COMPUTED_VALUE"""),-0.43278300479057746)</f>
        <v>-0.4327830048</v>
      </c>
      <c r="Y131" s="26">
        <f>IFERROR(__xludf.DUMMYFUNCTION("""COMPUTED_VALUE"""),-0.6216541562857939)</f>
        <v>-0.6216541563</v>
      </c>
      <c r="Z131" s="26">
        <f>IFERROR(__xludf.DUMMYFUNCTION("""COMPUTED_VALUE"""),0.5364303049430188)</f>
        <v>0.5364303049</v>
      </c>
      <c r="AA131" s="26">
        <f>IFERROR(__xludf.DUMMYFUNCTION("""COMPUTED_VALUE"""),0.0)</f>
        <v>0</v>
      </c>
      <c r="AB131" t="str">
        <f>IFERROR(__xludf.DUMMYFUNCTION("SUBSTITUTE(REGEXREPLACE(REGEXREPLACE(REGEXREPLACE(REGEXREPLACE(REGEXREPLACE(REGEXREPLACE(F131,"","",),IF(Projections!$T$17="""",""PG"",),),IF(Projections!$U$17="""",""SG"",),),IF(Projections!$V$17="""",""SF"",),),IF(Projections!$W$17="""",""PF"",),),IF(Pr"&amp;"ojections!$X$17="""",""C"",),),""/"","""")"),"SG")</f>
        <v>SG</v>
      </c>
    </row>
    <row r="132">
      <c r="A132" s="408" t="str">
        <f>IF(Projections!$AB$17,Draft!N10,"")</f>
        <v/>
      </c>
      <c r="B132">
        <f>IFERROR(__xludf.DUMMYFUNCTION("""COMPUTED_VALUE"""),116.0)</f>
        <v>116</v>
      </c>
      <c r="C132">
        <f>IFERROR(__xludf.DUMMYFUNCTION("""COMPUTED_VALUE"""),88.2)</f>
        <v>88.2</v>
      </c>
      <c r="D132" t="str">
        <f>IFERROR(__xludf.DUMMYFUNCTION("""COMPUTED_VALUE"""),"Jonas Valanciunas")</f>
        <v>Jonas Valanciunas</v>
      </c>
      <c r="E132">
        <f>IFERROR(__xludf.DUMMYFUNCTION("""COMPUTED_VALUE"""),72.0)</f>
        <v>72</v>
      </c>
      <c r="F132" t="str">
        <f>IFERROR(__xludf.DUMMYFUNCTION("""COMPUTED_VALUE"""),"PG,SG")</f>
        <v>PG,SG</v>
      </c>
      <c r="G132" s="26">
        <f>IFERROR(__xludf.DUMMYFUNCTION("""COMPUTED_VALUE"""),-2.6205951281485507)</f>
        <v>-2.620595128</v>
      </c>
      <c r="H132" s="26">
        <f>IFERROR(__xludf.DUMMYFUNCTION("""COMPUTED_VALUE"""),-2.641423480356396)</f>
        <v>-2.64142348</v>
      </c>
      <c r="I132" s="26">
        <f>IFERROR(__xludf.DUMMYFUNCTION("""COMPUTED_VALUE"""),-0.020828352207845402)</f>
        <v>-0.02082835221</v>
      </c>
      <c r="J132" s="26">
        <f>IFERROR(__xludf.DUMMYFUNCTION("""COMPUTED_VALUE"""),14.37376623)</f>
        <v>14.37376623</v>
      </c>
      <c r="K132" s="26">
        <f>IFERROR(__xludf.DUMMYFUNCTION("""COMPUTED_VALUE"""),0.5123376623)</f>
        <v>0.5123376623</v>
      </c>
      <c r="L132" s="26">
        <f>IFERROR(__xludf.DUMMYFUNCTION("""COMPUTED_VALUE"""),10.25272727)</f>
        <v>10.25272727</v>
      </c>
      <c r="M132" s="26">
        <f>IFERROR(__xludf.DUMMYFUNCTION("""COMPUTED_VALUE"""),2.028051948)</f>
        <v>2.028051948</v>
      </c>
      <c r="N132" s="26">
        <f>IFERROR(__xludf.DUMMYFUNCTION("""COMPUTED_VALUE"""),0.3476623377)</f>
        <v>0.3476623377</v>
      </c>
      <c r="O132" s="26">
        <f>IFERROR(__xludf.DUMMYFUNCTION("""COMPUTED_VALUE"""),0.7323376623)</f>
        <v>0.7323376623</v>
      </c>
      <c r="P132" s="464">
        <f>IFERROR(__xludf.DUMMYFUNCTION("""COMPUTED_VALUE"""),0.5421716456)</f>
        <v>0.5421716456</v>
      </c>
      <c r="Q132" s="464">
        <f>IFERROR(__xludf.DUMMYFUNCTION("""COMPUTED_VALUE"""),0.7890027724)</f>
        <v>0.7890027724</v>
      </c>
      <c r="R132" s="26">
        <f>IFERROR(__xludf.DUMMYFUNCTION("""COMPUTED_VALUE"""),1.664675325)</f>
        <v>1.664675325</v>
      </c>
      <c r="S132" s="26">
        <f>IFERROR(__xludf.DUMMYFUNCTION("""COMPUTED_VALUE"""),-0.561478367829557)</f>
        <v>-0.5614783678</v>
      </c>
      <c r="T132" s="26">
        <f>IFERROR(__xludf.DUMMYFUNCTION("""COMPUTED_VALUE"""),-1.2263500230735453)</f>
        <v>-1.226350023</v>
      </c>
      <c r="U132" s="26">
        <f>IFERROR(__xludf.DUMMYFUNCTION("""COMPUTED_VALUE"""),1.6340146542663143)</f>
        <v>1.634014654</v>
      </c>
      <c r="V132" s="26">
        <f>IFERROR(__xludf.DUMMYFUNCTION("""COMPUTED_VALUE"""),-0.8652614579477165)</f>
        <v>-0.8652614579</v>
      </c>
      <c r="W132" s="26">
        <f>IFERROR(__xludf.DUMMYFUNCTION("""COMPUTED_VALUE"""),-2.0787378948928543)</f>
        <v>-2.078737895</v>
      </c>
      <c r="X132" s="26">
        <f>IFERROR(__xludf.DUMMYFUNCTION("""COMPUTED_VALUE"""),-0.02912519310452316)</f>
        <v>-0.0291251931</v>
      </c>
      <c r="Y132" s="26">
        <f>IFERROR(__xludf.DUMMYFUNCTION("""COMPUTED_VALUE"""),0.5504352362430711)</f>
        <v>0.5504352362</v>
      </c>
      <c r="Z132" s="26">
        <f>IFERROR(__xludf.DUMMYFUNCTION("""COMPUTED_VALUE"""),-0.0649204340175854)</f>
        <v>-0.06492043402</v>
      </c>
      <c r="AA132" s="26">
        <f>IFERROR(__xludf.DUMMYFUNCTION("""COMPUTED_VALUE"""),0.0)</f>
        <v>0</v>
      </c>
      <c r="AB132" t="str">
        <f>IFERROR(__xludf.DUMMYFUNCTION("SUBSTITUTE(REGEXREPLACE(REGEXREPLACE(REGEXREPLACE(REGEXREPLACE(REGEXREPLACE(REGEXREPLACE(F132,"","",),IF(Projections!$T$17="""",""PG"",),),IF(Projections!$U$17="""",""SG"",),),IF(Projections!$V$17="""",""SF"",),),IF(Projections!$W$17="""",""PF"",),),IF(Pr"&amp;"ojections!$X$17="""",""C"",),),""/"","""")"),"PGSG")</f>
        <v>PGSG</v>
      </c>
    </row>
    <row r="133">
      <c r="A133" s="408" t="str">
        <f>IF(Projections!$AB$17,Draft!N11,"")</f>
        <v/>
      </c>
      <c r="B133">
        <f>IFERROR(__xludf.DUMMYFUNCTION("""COMPUTED_VALUE"""),133.0)</f>
        <v>133</v>
      </c>
      <c r="C133">
        <f>IFERROR(__xludf.DUMMYFUNCTION("""COMPUTED_VALUE"""),132.1)</f>
        <v>132.1</v>
      </c>
      <c r="D133" t="str">
        <f>IFERROR(__xludf.DUMMYFUNCTION("""COMPUTED_VALUE"""),"Norman Powell")</f>
        <v>Norman Powell</v>
      </c>
      <c r="E133">
        <f>IFERROR(__xludf.DUMMYFUNCTION("""COMPUTED_VALUE"""),68.0)</f>
        <v>68</v>
      </c>
      <c r="F133" t="str">
        <f>IFERROR(__xludf.DUMMYFUNCTION("""COMPUTED_VALUE"""),"SG,SF")</f>
        <v>SG,SF</v>
      </c>
      <c r="G133" s="26">
        <f>IFERROR(__xludf.DUMMYFUNCTION("""COMPUTED_VALUE"""),-2.6176041125069265)</f>
        <v>-2.617604113</v>
      </c>
      <c r="H133" s="26">
        <f>IFERROR(__xludf.DUMMYFUNCTION("""COMPUTED_VALUE"""),-2.6786235703291217)</f>
        <v>-2.67862357</v>
      </c>
      <c r="I133" s="26">
        <f>IFERROR(__xludf.DUMMYFUNCTION("""COMPUTED_VALUE"""),-0.0610194578221952)</f>
        <v>-0.06101945782</v>
      </c>
      <c r="J133" s="26">
        <f>IFERROR(__xludf.DUMMYFUNCTION("""COMPUTED_VALUE"""),18.81493151)</f>
        <v>18.81493151</v>
      </c>
      <c r="K133" s="26">
        <f>IFERROR(__xludf.DUMMYFUNCTION("""COMPUTED_VALUE"""),2.610410959)</f>
        <v>2.610410959</v>
      </c>
      <c r="L133" s="26">
        <f>IFERROR(__xludf.DUMMYFUNCTION("""COMPUTED_VALUE"""),3.201369863)</f>
        <v>3.201369863</v>
      </c>
      <c r="M133" s="26">
        <f>IFERROR(__xludf.DUMMYFUNCTION("""COMPUTED_VALUE"""),1.763972603)</f>
        <v>1.763972603</v>
      </c>
      <c r="N133" s="26">
        <f>IFERROR(__xludf.DUMMYFUNCTION("""COMPUTED_VALUE"""),0.7839726027)</f>
        <v>0.7839726027</v>
      </c>
      <c r="O133" s="26">
        <f>IFERROR(__xludf.DUMMYFUNCTION("""COMPUTED_VALUE"""),0.3269863014)</f>
        <v>0.3269863014</v>
      </c>
      <c r="P133" s="464">
        <f>IFERROR(__xludf.DUMMYFUNCTION("""COMPUTED_VALUE"""),0.4720350306)</f>
        <v>0.4720350306</v>
      </c>
      <c r="Q133" s="464">
        <f>IFERROR(__xludf.DUMMYFUNCTION("""COMPUTED_VALUE"""),0.8060087769)</f>
        <v>0.8060087769</v>
      </c>
      <c r="R133" s="26">
        <f>IFERROR(__xludf.DUMMYFUNCTION("""COMPUTED_VALUE"""),1.50260274)</f>
        <v>1.50260274</v>
      </c>
      <c r="S133" s="26">
        <f>IFERROR(__xludf.DUMMYFUNCTION("""COMPUTED_VALUE"""),0.23906671647631514)</f>
        <v>0.2390667165</v>
      </c>
      <c r="T133" s="26">
        <f>IFERROR(__xludf.DUMMYFUNCTION("""COMPUTED_VALUE"""),0.8547887569198025)</f>
        <v>0.8547887569</v>
      </c>
      <c r="U133" s="26">
        <f>IFERROR(__xludf.DUMMYFUNCTION("""COMPUTED_VALUE"""),-1.1294616472123837)</f>
        <v>-1.129461647</v>
      </c>
      <c r="V133" s="26">
        <f>IFERROR(__xludf.DUMMYFUNCTION("""COMPUTED_VALUE"""),-0.9851900316626178)</f>
        <v>-0.9851900317</v>
      </c>
      <c r="W133" s="26">
        <f>IFERROR(__xludf.DUMMYFUNCTION("""COMPUTED_VALUE"""),-0.6352868076759799)</f>
        <v>-0.6352868077</v>
      </c>
      <c r="X133" s="26">
        <f>IFERROR(__xludf.DUMMYFUNCTION("""COMPUTED_VALUE"""),-0.7521292658754072)</f>
        <v>-0.7521292659</v>
      </c>
      <c r="Y133" s="26">
        <f>IFERROR(__xludf.DUMMYFUNCTION("""COMPUTED_VALUE"""),-0.41191468104332873)</f>
        <v>-0.411914681</v>
      </c>
      <c r="Z133" s="26">
        <f>IFERROR(__xludf.DUMMYFUNCTION("""COMPUTED_VALUE"""),0.14150338974447815)</f>
        <v>0.1415033897</v>
      </c>
      <c r="AA133" s="26">
        <f>IFERROR(__xludf.DUMMYFUNCTION("""COMPUTED_VALUE"""),0.0)</f>
        <v>0</v>
      </c>
      <c r="AB133" t="str">
        <f>IFERROR(__xludf.DUMMYFUNCTION("SUBSTITUTE(REGEXREPLACE(REGEXREPLACE(REGEXREPLACE(REGEXREPLACE(REGEXREPLACE(REGEXREPLACE(F133,"","",),IF(Projections!$T$17="""",""PG"",),),IF(Projections!$U$17="""",""SG"",),),IF(Projections!$V$17="""",""SF"",),),IF(Projections!$W$17="""",""PF"",),),IF(Pr"&amp;"ojections!$X$17="""",""C"",),),""/"","""")"),"SGSF")</f>
        <v>SGSF</v>
      </c>
    </row>
    <row r="134">
      <c r="A134" s="408" t="str">
        <f>IF(Projections!$AB$17,Draft!N12,"")</f>
        <v/>
      </c>
      <c r="B134">
        <f>IFERROR(__xludf.DUMMYFUNCTION("""COMPUTED_VALUE"""),123.0)</f>
        <v>123</v>
      </c>
      <c r="C134">
        <f>IFERROR(__xludf.DUMMYFUNCTION("""COMPUTED_VALUE"""),138.5)</f>
        <v>138.5</v>
      </c>
      <c r="D134" t="str">
        <f>IFERROR(__xludf.DUMMYFUNCTION("""COMPUTED_VALUE"""),"Ben Simmons")</f>
        <v>Ben Simmons</v>
      </c>
      <c r="E134">
        <f>IFERROR(__xludf.DUMMYFUNCTION("""COMPUTED_VALUE"""),74.0)</f>
        <v>74</v>
      </c>
      <c r="F134" t="str">
        <f>IFERROR(__xludf.DUMMYFUNCTION("""COMPUTED_VALUE"""),"C")</f>
        <v>C</v>
      </c>
      <c r="G134" s="26">
        <f>IFERROR(__xludf.DUMMYFUNCTION("""COMPUTED_VALUE"""),-2.800861395837898)</f>
        <v>-2.800861396</v>
      </c>
      <c r="H134" s="26">
        <f>IFERROR(__xludf.DUMMYFUNCTION("""COMPUTED_VALUE"""),-2.688112185316406)</f>
        <v>-2.688112185</v>
      </c>
      <c r="I134" s="26">
        <f>IFERROR(__xludf.DUMMYFUNCTION("""COMPUTED_VALUE"""),0.11274921052149178)</f>
        <v>0.1127492105</v>
      </c>
      <c r="J134" s="26">
        <f>IFERROR(__xludf.DUMMYFUNCTION("""COMPUTED_VALUE"""),7.074615385)</f>
        <v>7.074615385</v>
      </c>
      <c r="K134" s="26">
        <f>IFERROR(__xludf.DUMMYFUNCTION("""COMPUTED_VALUE"""),0.0)</f>
        <v>0</v>
      </c>
      <c r="L134" s="26">
        <f>IFERROR(__xludf.DUMMYFUNCTION("""COMPUTED_VALUE"""),8.101025641)</f>
        <v>8.101025641</v>
      </c>
      <c r="M134" s="26">
        <f>IFERROR(__xludf.DUMMYFUNCTION("""COMPUTED_VALUE"""),6.47025641)</f>
        <v>6.47025641</v>
      </c>
      <c r="N134" s="26">
        <f>IFERROR(__xludf.DUMMYFUNCTION("""COMPUTED_VALUE"""),1.052051282)</f>
        <v>1.052051282</v>
      </c>
      <c r="O134" s="26">
        <f>IFERROR(__xludf.DUMMYFUNCTION("""COMPUTED_VALUE"""),0.4720512821)</f>
        <v>0.4720512821</v>
      </c>
      <c r="P134" s="464">
        <f>IFERROR(__xludf.DUMMYFUNCTION("""COMPUTED_VALUE"""),0.5859887535)</f>
        <v>0.5859887535</v>
      </c>
      <c r="Q134" s="464">
        <f>IFERROR(__xludf.DUMMYFUNCTION("""COMPUTED_VALUE"""),0.5040031244)</f>
        <v>0.5040031244</v>
      </c>
      <c r="R134" s="26">
        <f>IFERROR(__xludf.DUMMYFUNCTION("""COMPUTED_VALUE"""),2.203333333)</f>
        <v>2.203333333</v>
      </c>
      <c r="S134" s="26">
        <f>IFERROR(__xludf.DUMMYFUNCTION("""COMPUTED_VALUE"""),-1.8771914656703557)</f>
        <v>-1.877191466</v>
      </c>
      <c r="T134" s="26">
        <f>IFERROR(__xludf.DUMMYFUNCTION("""COMPUTED_VALUE"""),-1.7345523719336797)</f>
        <v>-1.734552372</v>
      </c>
      <c r="U134" s="26">
        <f>IFERROR(__xludf.DUMMYFUNCTION("""COMPUTED_VALUE"""),0.7907477318306791)</f>
        <v>0.7907477318</v>
      </c>
      <c r="V134" s="26">
        <f>IFERROR(__xludf.DUMMYFUNCTION("""COMPUTED_VALUE"""),1.1521142110112883)</f>
        <v>1.152114211</v>
      </c>
      <c r="W134" s="26">
        <f>IFERROR(__xludf.DUMMYFUNCTION("""COMPUTED_VALUE"""),0.25160147375202846)</f>
        <v>0.2516014738</v>
      </c>
      <c r="X134" s="26">
        <f>IFERROR(__xludf.DUMMYFUNCTION("""COMPUTED_VALUE"""),-0.493384428730518)</f>
        <v>-0.4933844287</v>
      </c>
      <c r="Y134" s="26">
        <f>IFERROR(__xludf.DUMMYFUNCTION("""COMPUTED_VALUE"""),0.5648062178254908)</f>
        <v>0.5648062178</v>
      </c>
      <c r="Z134" s="26">
        <f>IFERROR(__xludf.DUMMYFUNCTION("""COMPUTED_VALUE"""),-1.3422535534013391)</f>
        <v>-1.342253553</v>
      </c>
      <c r="AA134" s="26">
        <f>IFERROR(__xludf.DUMMYFUNCTION("""COMPUTED_VALUE"""),0.0)</f>
        <v>0</v>
      </c>
      <c r="AB134" t="str">
        <f>IFERROR(__xludf.DUMMYFUNCTION("SUBSTITUTE(REGEXREPLACE(REGEXREPLACE(REGEXREPLACE(REGEXREPLACE(REGEXREPLACE(REGEXREPLACE(F134,"","",),IF(Projections!$T$17="""",""PG"",),),IF(Projections!$U$17="""",""SG"",),),IF(Projections!$V$17="""",""SF"",),),IF(Projections!$W$17="""",""PF"",),),IF(Pr"&amp;"ojections!$X$17="""",""C"",),),""/"","""")"),"C")</f>
        <v>C</v>
      </c>
    </row>
    <row r="135">
      <c r="A135" s="408" t="str">
        <f>IF(Projections!$AB$17,Draft!N13,"")</f>
        <v/>
      </c>
      <c r="B135">
        <f>IFERROR(__xludf.DUMMYFUNCTION("""COMPUTED_VALUE"""),134.0)</f>
        <v>134</v>
      </c>
      <c r="C135">
        <f>IFERROR(__xludf.DUMMYFUNCTION("""COMPUTED_VALUE"""),134.2)</f>
        <v>134.2</v>
      </c>
      <c r="D135" t="str">
        <f>IFERROR(__xludf.DUMMYFUNCTION("""COMPUTED_VALUE"""),"P.J. Washington")</f>
        <v>P.J. Washington</v>
      </c>
      <c r="E135">
        <f>IFERROR(__xludf.DUMMYFUNCTION("""COMPUTED_VALUE"""),72.0)</f>
        <v>72</v>
      </c>
      <c r="F135" t="str">
        <f>IFERROR(__xludf.DUMMYFUNCTION("""COMPUTED_VALUE"""),"PG")</f>
        <v>PG</v>
      </c>
      <c r="G135" s="26">
        <f>IFERROR(__xludf.DUMMYFUNCTION("""COMPUTED_VALUE"""),-2.515603792713411)</f>
        <v>-2.515603793</v>
      </c>
      <c r="H135" s="26">
        <f>IFERROR(__xludf.DUMMYFUNCTION("""COMPUTED_VALUE"""),-2.690423271383483)</f>
        <v>-2.690423271</v>
      </c>
      <c r="I135" s="26">
        <f>IFERROR(__xludf.DUMMYFUNCTION("""COMPUTED_VALUE"""),-0.17481947867007186)</f>
        <v>-0.1748194787</v>
      </c>
      <c r="J135" s="26">
        <f>IFERROR(__xludf.DUMMYFUNCTION("""COMPUTED_VALUE"""),12.21136986)</f>
        <v>12.21136986</v>
      </c>
      <c r="K135" s="26">
        <f>IFERROR(__xludf.DUMMYFUNCTION("""COMPUTED_VALUE"""),2.020821918)</f>
        <v>2.020821918</v>
      </c>
      <c r="L135" s="26">
        <f>IFERROR(__xludf.DUMMYFUNCTION("""COMPUTED_VALUE"""),6.196712329)</f>
        <v>6.196712329</v>
      </c>
      <c r="M135" s="26">
        <f>IFERROR(__xludf.DUMMYFUNCTION("""COMPUTED_VALUE"""),1.749452055)</f>
        <v>1.749452055</v>
      </c>
      <c r="N135" s="26">
        <f>IFERROR(__xludf.DUMMYFUNCTION("""COMPUTED_VALUE"""),1.040821918)</f>
        <v>1.040821918</v>
      </c>
      <c r="O135" s="26">
        <f>IFERROR(__xludf.DUMMYFUNCTION("""COMPUTED_VALUE"""),0.8495890411)</f>
        <v>0.8495890411</v>
      </c>
      <c r="P135" s="464">
        <f>IFERROR(__xludf.DUMMYFUNCTION("""COMPUTED_VALUE"""),0.4325703804)</f>
        <v>0.4325703804</v>
      </c>
      <c r="Q135" s="464">
        <f>IFERROR(__xludf.DUMMYFUNCTION("""COMPUTED_VALUE"""),0.6900311526)</f>
        <v>0.6900311526</v>
      </c>
      <c r="R135" s="26">
        <f>IFERROR(__xludf.DUMMYFUNCTION("""COMPUTED_VALUE"""),1.04369863)</f>
        <v>1.04369863</v>
      </c>
      <c r="S135" s="26">
        <f>IFERROR(__xludf.DUMMYFUNCTION("""COMPUTED_VALUE"""),-0.9512625067176195)</f>
        <v>-0.9512625067</v>
      </c>
      <c r="T135" s="26">
        <f>IFERROR(__xludf.DUMMYFUNCTION("""COMPUTED_VALUE"""),0.2699585608469926)</f>
        <v>0.2699585608</v>
      </c>
      <c r="U135" s="26">
        <f>IFERROR(__xludf.DUMMYFUNCTION("""COMPUTED_VALUE"""),0.04443402163947367)</f>
        <v>0.04443402164</v>
      </c>
      <c r="V135" s="26">
        <f>IFERROR(__xludf.DUMMYFUNCTION("""COMPUTED_VALUE"""),-0.9917843702361203)</f>
        <v>-0.9917843702</v>
      </c>
      <c r="W135" s="26">
        <f>IFERROR(__xludf.DUMMYFUNCTION("""COMPUTED_VALUE"""),0.2144512185900186)</f>
        <v>0.2144512186</v>
      </c>
      <c r="X135" s="26">
        <f>IFERROR(__xludf.DUMMYFUNCTION("""COMPUTED_VALUE"""),0.18000997353752307)</f>
        <v>0.1800099735</v>
      </c>
      <c r="Y135" s="26">
        <f>IFERROR(__xludf.DUMMYFUNCTION("""COMPUTED_VALUE"""),-0.775311795238667)</f>
        <v>-0.7753117952</v>
      </c>
      <c r="Z135" s="26">
        <f>IFERROR(__xludf.DUMMYFUNCTION("""COMPUTED_VALUE"""),-0.6809183738050841)</f>
        <v>-0.6809183738</v>
      </c>
      <c r="AA135" s="26">
        <f>IFERROR(__xludf.DUMMYFUNCTION("""COMPUTED_VALUE"""),0.0)</f>
        <v>0</v>
      </c>
      <c r="AB135" t="str">
        <f>IFERROR(__xludf.DUMMYFUNCTION("SUBSTITUTE(REGEXREPLACE(REGEXREPLACE(REGEXREPLACE(REGEXREPLACE(REGEXREPLACE(REGEXREPLACE(F135,"","",),IF(Projections!$T$17="""",""PG"",),),IF(Projections!$U$17="""",""SG"",),),IF(Projections!$V$17="""",""SF"",),),IF(Projections!$W$17="""",""PF"",),),IF(Pr"&amp;"ojections!$X$17="""",""C"",),),""/"","""")"),"PG")</f>
        <v>PG</v>
      </c>
    </row>
    <row r="136">
      <c r="A136" s="408" t="str">
        <f>IF(Projections!$AB$17,Draft!O3,"")</f>
        <v/>
      </c>
      <c r="B136">
        <f>IFERROR(__xludf.DUMMYFUNCTION("""COMPUTED_VALUE"""),118.0)</f>
        <v>118</v>
      </c>
      <c r="C136">
        <f>IFERROR(__xludf.DUMMYFUNCTION("""COMPUTED_VALUE"""),117.6)</f>
        <v>117.6</v>
      </c>
      <c r="D136" t="str">
        <f>IFERROR(__xludf.DUMMYFUNCTION("""COMPUTED_VALUE"""),"Onyeka Okongwu")</f>
        <v>Onyeka Okongwu</v>
      </c>
      <c r="E136">
        <f>IFERROR(__xludf.DUMMYFUNCTION("""COMPUTED_VALUE"""),73.0)</f>
        <v>73</v>
      </c>
      <c r="F136" t="str">
        <f>IFERROR(__xludf.DUMMYFUNCTION("""COMPUTED_VALUE"""),"SF")</f>
        <v>SF</v>
      </c>
      <c r="G136" s="26">
        <f>IFERROR(__xludf.DUMMYFUNCTION("""COMPUTED_VALUE"""),-2.5886500967604467)</f>
        <v>-2.588650097</v>
      </c>
      <c r="H136" s="26">
        <f>IFERROR(__xludf.DUMMYFUNCTION("""COMPUTED_VALUE"""),-2.7939191874627167)</f>
        <v>-2.793919187</v>
      </c>
      <c r="I136" s="26">
        <f>IFERROR(__xludf.DUMMYFUNCTION("""COMPUTED_VALUE"""),-0.20526909070227006)</f>
        <v>-0.2052690907</v>
      </c>
      <c r="J136" s="26">
        <f>IFERROR(__xludf.DUMMYFUNCTION("""COMPUTED_VALUE"""),11.36606061)</f>
        <v>11.36606061</v>
      </c>
      <c r="K136" s="26">
        <f>IFERROR(__xludf.DUMMYFUNCTION("""COMPUTED_VALUE"""),0.4396969697)</f>
        <v>0.4396969697</v>
      </c>
      <c r="L136" s="26">
        <f>IFERROR(__xludf.DUMMYFUNCTION("""COMPUTED_VALUE"""),6.608333333)</f>
        <v>6.608333333</v>
      </c>
      <c r="M136" s="26">
        <f>IFERROR(__xludf.DUMMYFUNCTION("""COMPUTED_VALUE"""),1.354242424)</f>
        <v>1.354242424</v>
      </c>
      <c r="N136" s="26">
        <f>IFERROR(__xludf.DUMMYFUNCTION("""COMPUTED_VALUE"""),0.65)</f>
        <v>0.65</v>
      </c>
      <c r="O136" s="26">
        <f>IFERROR(__xludf.DUMMYFUNCTION("""COMPUTED_VALUE"""),1.186515152)</f>
        <v>1.186515152</v>
      </c>
      <c r="P136" s="464">
        <f>IFERROR(__xludf.DUMMYFUNCTION("""COMPUTED_VALUE"""),0.6178429834)</f>
        <v>0.6178429834</v>
      </c>
      <c r="Q136" s="464">
        <f>IFERROR(__xludf.DUMMYFUNCTION("""COMPUTED_VALUE"""),0.7700158114)</f>
        <v>0.7700158114</v>
      </c>
      <c r="R136" s="26">
        <f>IFERROR(__xludf.DUMMYFUNCTION("""COMPUTED_VALUE"""),0.9209090909)</f>
        <v>0.9209090909</v>
      </c>
      <c r="S136" s="26">
        <f>IFERROR(__xludf.DUMMYFUNCTION("""COMPUTED_VALUE"""),-1.1036342655110194)</f>
        <v>-1.103634266</v>
      </c>
      <c r="T136" s="26">
        <f>IFERROR(__xludf.DUMMYFUNCTION("""COMPUTED_VALUE"""),-1.2984043991590783)</f>
        <v>-1.298404399</v>
      </c>
      <c r="U136" s="26">
        <f>IFERROR(__xludf.DUMMYFUNCTION("""COMPUTED_VALUE"""),0.20575117294648976)</f>
        <v>0.2057511729</v>
      </c>
      <c r="V136" s="26">
        <f>IFERROR(__xludf.DUMMYFUNCTION("""COMPUTED_VALUE"""),-1.1712642434697595)</f>
        <v>-1.171264243</v>
      </c>
      <c r="W136" s="26">
        <f>IFERROR(__xludf.DUMMYFUNCTION("""COMPUTED_VALUE"""),-1.0785101616454067)</f>
        <v>-1.078510162</v>
      </c>
      <c r="X136" s="26">
        <f>IFERROR(__xludf.DUMMYFUNCTION("""COMPUTED_VALUE"""),0.7809674980483394)</f>
        <v>0.780967498</v>
      </c>
      <c r="Y136" s="26">
        <f>IFERROR(__xludf.DUMMYFUNCTION("""COMPUTED_VALUE"""),1.056064365513516)</f>
        <v>1.056064366</v>
      </c>
      <c r="Z136" s="26">
        <f>IFERROR(__xludf.DUMMYFUNCTION("""COMPUTED_VALUE"""),-0.1848891541857981)</f>
        <v>-0.1848891542</v>
      </c>
      <c r="AA136" s="26">
        <f>IFERROR(__xludf.DUMMYFUNCTION("""COMPUTED_VALUE"""),0.0)</f>
        <v>0</v>
      </c>
      <c r="AB136" t="str">
        <f>IFERROR(__xludf.DUMMYFUNCTION("SUBSTITUTE(REGEXREPLACE(REGEXREPLACE(REGEXREPLACE(REGEXREPLACE(REGEXREPLACE(REGEXREPLACE(F136,"","",),IF(Projections!$T$17="""",""PG"",),),IF(Projections!$U$17="""",""SG"",),),IF(Projections!$V$17="""",""SF"",),),IF(Projections!$W$17="""",""PF"",),),IF(Pr"&amp;"ojections!$X$17="""",""C"",),),""/"","""")"),"SF")</f>
        <v>SF</v>
      </c>
    </row>
    <row r="137">
      <c r="A137" s="408" t="str">
        <f>IF(Projections!$AB$17,Draft!O4,"")</f>
        <v/>
      </c>
      <c r="B137">
        <f>IFERROR(__xludf.DUMMYFUNCTION("""COMPUTED_VALUE"""),135.0)</f>
        <v>135</v>
      </c>
      <c r="C137">
        <f>IFERROR(__xludf.DUMMYFUNCTION("""COMPUTED_VALUE"""),116.6)</f>
        <v>116.6</v>
      </c>
      <c r="D137" t="str">
        <f>IFERROR(__xludf.DUMMYFUNCTION("""COMPUTED_VALUE"""),"Brandin Podziemski")</f>
        <v>Brandin Podziemski</v>
      </c>
      <c r="E137">
        <f>IFERROR(__xludf.DUMMYFUNCTION("""COMPUTED_VALUE"""),43.0)</f>
        <v>43</v>
      </c>
      <c r="F137" t="str">
        <f>IFERROR(__xludf.DUMMYFUNCTION("""COMPUTED_VALUE"""),"PG,SG")</f>
        <v>PG,SG</v>
      </c>
      <c r="G137" s="26">
        <f>IFERROR(__xludf.DUMMYFUNCTION("""COMPUTED_VALUE"""),-2.711205920858377)</f>
        <v>-2.711205921</v>
      </c>
      <c r="H137" s="26">
        <f>IFERROR(__xludf.DUMMYFUNCTION("""COMPUTED_VALUE"""),-2.8382633609026495)</f>
        <v>-2.838263361</v>
      </c>
      <c r="I137" s="26">
        <f>IFERROR(__xludf.DUMMYFUNCTION("""COMPUTED_VALUE"""),-0.12705744004427233)</f>
        <v>-0.12705744</v>
      </c>
      <c r="J137" s="26">
        <f>IFERROR(__xludf.DUMMYFUNCTION("""COMPUTED_VALUE"""),11.81726027)</f>
        <v>11.81726027</v>
      </c>
      <c r="K137" s="26">
        <f>IFERROR(__xludf.DUMMYFUNCTION("""COMPUTED_VALUE"""),1.636575342)</f>
        <v>1.636575342</v>
      </c>
      <c r="L137" s="26">
        <f>IFERROR(__xludf.DUMMYFUNCTION("""COMPUTED_VALUE"""),6.437534247)</f>
        <v>6.437534247</v>
      </c>
      <c r="M137" s="26">
        <f>IFERROR(__xludf.DUMMYFUNCTION("""COMPUTED_VALUE"""),4.312465753)</f>
        <v>4.312465753</v>
      </c>
      <c r="N137" s="26">
        <f>IFERROR(__xludf.DUMMYFUNCTION("""COMPUTED_VALUE"""),0.8923287671)</f>
        <v>0.8923287671</v>
      </c>
      <c r="O137" s="26">
        <f>IFERROR(__xludf.DUMMYFUNCTION("""COMPUTED_VALUE"""),0.2467123288)</f>
        <v>0.2467123288</v>
      </c>
      <c r="P137" s="464">
        <f>IFERROR(__xludf.DUMMYFUNCTION("""COMPUTED_VALUE"""),0.4582322453)</f>
        <v>0.4582322453</v>
      </c>
      <c r="Q137" s="464">
        <f>IFERROR(__xludf.DUMMYFUNCTION("""COMPUTED_VALUE"""),0.7199963242)</f>
        <v>0.7199963242</v>
      </c>
      <c r="R137" s="26">
        <f>IFERROR(__xludf.DUMMYFUNCTION("""COMPUTED_VALUE"""),1.23630137)</f>
        <v>1.23630137</v>
      </c>
      <c r="S137" s="26">
        <f>IFERROR(__xludf.DUMMYFUNCTION("""COMPUTED_VALUE"""),-1.0223029825974772)</f>
        <v>-1.022302983</v>
      </c>
      <c r="T137" s="26">
        <f>IFERROR(__xludf.DUMMYFUNCTION("""COMPUTED_VALUE"""),-0.11118658391560488)</f>
        <v>-0.1111865839</v>
      </c>
      <c r="U137" s="26">
        <f>IFERROR(__xludf.DUMMYFUNCTION("""COMPUTED_VALUE"""),0.13881381617506022)</f>
        <v>0.1388138162</v>
      </c>
      <c r="V137" s="26">
        <f>IFERROR(__xludf.DUMMYFUNCTION("""COMPUTED_VALUE"""),0.17217859404984057)</f>
        <v>0.172178594</v>
      </c>
      <c r="W137" s="26">
        <f>IFERROR(__xludf.DUMMYFUNCTION("""COMPUTED_VALUE"""),-0.2768106592639541)</f>
        <v>-0.2768106593</v>
      </c>
      <c r="X137" s="26">
        <f>IFERROR(__xludf.DUMMYFUNCTION("""COMPUTED_VALUE"""),-0.8953097624165707)</f>
        <v>-0.8953097624</v>
      </c>
      <c r="Y137" s="26">
        <f>IFERROR(__xludf.DUMMYFUNCTION("""COMPUTED_VALUE"""),-0.45096603350311076)</f>
        <v>-0.4509660335</v>
      </c>
      <c r="Z137" s="26">
        <f>IFERROR(__xludf.DUMMYFUNCTION("""COMPUTED_VALUE"""),-0.3926797494308325)</f>
        <v>-0.3926797494</v>
      </c>
      <c r="AA137" s="26">
        <f>IFERROR(__xludf.DUMMYFUNCTION("""COMPUTED_VALUE"""),0.0)</f>
        <v>0</v>
      </c>
      <c r="AB137" t="str">
        <f>IFERROR(__xludf.DUMMYFUNCTION("SUBSTITUTE(REGEXREPLACE(REGEXREPLACE(REGEXREPLACE(REGEXREPLACE(REGEXREPLACE(REGEXREPLACE(F137,"","",),IF(Projections!$T$17="""",""PG"",),),IF(Projections!$U$17="""",""SG"",),),IF(Projections!$V$17="""",""SF"",),),IF(Projections!$W$17="""",""PF"",),),IF(Pr"&amp;"ojections!$X$17="""",""C"",),),""/"","""")"),"PGSG")</f>
        <v>PGSG</v>
      </c>
    </row>
    <row r="138">
      <c r="A138" s="408" t="str">
        <f>IF(Projections!$AB$17,Draft!O5,"")</f>
        <v/>
      </c>
      <c r="B138">
        <f>IFERROR(__xludf.DUMMYFUNCTION("""COMPUTED_VALUE"""),136.0)</f>
        <v>136</v>
      </c>
      <c r="C138">
        <f>IFERROR(__xludf.DUMMYFUNCTION("""COMPUTED_VALUE"""),139.4)</f>
        <v>139.4</v>
      </c>
      <c r="D138" t="str">
        <f>IFERROR(__xludf.DUMMYFUNCTION("""COMPUTED_VALUE"""),"Andrew Wiggins")</f>
        <v>Andrew Wiggins</v>
      </c>
      <c r="E138">
        <f>IFERROR(__xludf.DUMMYFUNCTION("""COMPUTED_VALUE"""),55.0)</f>
        <v>55</v>
      </c>
      <c r="F138" t="str">
        <f>IFERROR(__xludf.DUMMYFUNCTION("""COMPUTED_VALUE"""),"SF,PF")</f>
        <v>SF,PF</v>
      </c>
      <c r="G138" s="26">
        <f>IFERROR(__xludf.DUMMYFUNCTION("""COMPUTED_VALUE"""),-2.7631089759461656)</f>
        <v>-2.763108976</v>
      </c>
      <c r="H138" s="26">
        <f>IFERROR(__xludf.DUMMYFUNCTION("""COMPUTED_VALUE"""),-2.8671346506792004)</f>
        <v>-2.867134651</v>
      </c>
      <c r="I138" s="26">
        <f>IFERROR(__xludf.DUMMYFUNCTION("""COMPUTED_VALUE"""),-0.10402567473303481)</f>
        <v>-0.1040256747</v>
      </c>
      <c r="J138" s="26">
        <f>IFERROR(__xludf.DUMMYFUNCTION("""COMPUTED_VALUE"""),16.31821918)</f>
        <v>16.31821918</v>
      </c>
      <c r="K138" s="26">
        <f>IFERROR(__xludf.DUMMYFUNCTION("""COMPUTED_VALUE"""),1.830273973)</f>
        <v>1.830273973</v>
      </c>
      <c r="L138" s="26">
        <f>IFERROR(__xludf.DUMMYFUNCTION("""COMPUTED_VALUE"""),4.833287671)</f>
        <v>4.833287671</v>
      </c>
      <c r="M138" s="26">
        <f>IFERROR(__xludf.DUMMYFUNCTION("""COMPUTED_VALUE"""),2.018767123)</f>
        <v>2.018767123</v>
      </c>
      <c r="N138" s="26">
        <f>IFERROR(__xludf.DUMMYFUNCTION("""COMPUTED_VALUE"""),0.7994520548)</f>
        <v>0.7994520548</v>
      </c>
      <c r="O138" s="26">
        <f>IFERROR(__xludf.DUMMYFUNCTION("""COMPUTED_VALUE"""),0.7165753425)</f>
        <v>0.7165753425</v>
      </c>
      <c r="P138" s="464">
        <f>IFERROR(__xludf.DUMMYFUNCTION("""COMPUTED_VALUE"""),0.4621657323)</f>
        <v>0.4621657323</v>
      </c>
      <c r="Q138" s="464">
        <f>IFERROR(__xludf.DUMMYFUNCTION("""COMPUTED_VALUE"""),0.7759864039)</f>
        <v>0.7759864039</v>
      </c>
      <c r="R138" s="26">
        <f>IFERROR(__xludf.DUMMYFUNCTION("""COMPUTED_VALUE"""),1.329178082)</f>
        <v>1.329178082</v>
      </c>
      <c r="S138" s="26">
        <f>IFERROR(__xludf.DUMMYFUNCTION("""COMPUTED_VALUE"""),-0.2109797593232436)</f>
        <v>-0.2109797593</v>
      </c>
      <c r="T138" s="26">
        <f>IFERROR(__xludf.DUMMYFUNCTION("""COMPUTED_VALUE"""),0.08094861614616976)</f>
        <v>0.08094861615</v>
      </c>
      <c r="U138" s="26">
        <f>IFERROR(__xludf.DUMMYFUNCTION("""COMPUTED_VALUE"""),-0.4899016408096245)</f>
        <v>-0.4899016408</v>
      </c>
      <c r="V138" s="26">
        <f>IFERROR(__xludf.DUMMYFUNCTION("""COMPUTED_VALUE"""),-0.8694780536055194)</f>
        <v>-0.8694780536</v>
      </c>
      <c r="W138" s="26">
        <f>IFERROR(__xludf.DUMMYFUNCTION("""COMPUTED_VALUE"""),-0.5840759291896199)</f>
        <v>-0.5840759292</v>
      </c>
      <c r="X138" s="26">
        <f>IFERROR(__xludf.DUMMYFUNCTION("""COMPUTED_VALUE"""),-0.05723962051489166)</f>
        <v>-0.05723962051</v>
      </c>
      <c r="Y138" s="26">
        <f>IFERROR(__xludf.DUMMYFUNCTION("""COMPUTED_VALUE"""),-0.5374102992083916)</f>
        <v>-0.5374102992</v>
      </c>
      <c r="Z138" s="26">
        <f>IFERROR(__xludf.DUMMYFUNCTION("""COMPUTED_VALUE"""),-0.19899796417407933)</f>
        <v>-0.1989979642</v>
      </c>
      <c r="AA138" s="26">
        <f>IFERROR(__xludf.DUMMYFUNCTION("""COMPUTED_VALUE"""),0.0)</f>
        <v>0</v>
      </c>
      <c r="AB138" t="str">
        <f>IFERROR(__xludf.DUMMYFUNCTION("SUBSTITUTE(REGEXREPLACE(REGEXREPLACE(REGEXREPLACE(REGEXREPLACE(REGEXREPLACE(REGEXREPLACE(F138,"","",),IF(Projections!$T$17="""",""PG"",),),IF(Projections!$U$17="""",""SG"",),),IF(Projections!$V$17="""",""SF"",),),IF(Projections!$W$17="""",""PF"",),),IF(Pr"&amp;"ojections!$X$17="""",""C"",),),""/"","""")"),"SFPF")</f>
        <v>SFPF</v>
      </c>
    </row>
    <row r="139">
      <c r="A139" s="408" t="str">
        <f>IF(Projections!$AB$17,Draft!O6,"")</f>
        <v/>
      </c>
      <c r="B139">
        <f>IFERROR(__xludf.DUMMYFUNCTION("""COMPUTED_VALUE"""),140.0)</f>
        <v>140</v>
      </c>
      <c r="C139">
        <f>IFERROR(__xludf.DUMMYFUNCTION("""COMPUTED_VALUE"""),140.6)</f>
        <v>140.6</v>
      </c>
      <c r="D139" t="str">
        <f>IFERROR(__xludf.DUMMYFUNCTION("""COMPUTED_VALUE"""),"Shaedon Sharpe")</f>
        <v>Shaedon Sharpe</v>
      </c>
      <c r="E139">
        <f>IFERROR(__xludf.DUMMYFUNCTION("""COMPUTED_VALUE"""),68.0)</f>
        <v>68</v>
      </c>
      <c r="F139" t="str">
        <f>IFERROR(__xludf.DUMMYFUNCTION("""COMPUTED_VALUE"""),"SG,SF")</f>
        <v>SG,SF</v>
      </c>
      <c r="G139" s="26">
        <f>IFERROR(__xludf.DUMMYFUNCTION("""COMPUTED_VALUE"""),-2.9250482508252555)</f>
        <v>-2.925048251</v>
      </c>
      <c r="H139" s="26">
        <f>IFERROR(__xludf.DUMMYFUNCTION("""COMPUTED_VALUE"""),-2.8861150555852957)</f>
        <v>-2.886115056</v>
      </c>
      <c r="I139" s="26">
        <f>IFERROR(__xludf.DUMMYFUNCTION("""COMPUTED_VALUE"""),0.03893319523995986)</f>
        <v>0.03893319524</v>
      </c>
      <c r="J139" s="26">
        <f>IFERROR(__xludf.DUMMYFUNCTION("""COMPUTED_VALUE"""),16.22216667)</f>
        <v>16.22216667</v>
      </c>
      <c r="K139" s="26">
        <f>IFERROR(__xludf.DUMMYFUNCTION("""COMPUTED_VALUE"""),1.953166667)</f>
        <v>1.953166667</v>
      </c>
      <c r="L139" s="26">
        <f>IFERROR(__xludf.DUMMYFUNCTION("""COMPUTED_VALUE"""),4.764333333)</f>
        <v>4.764333333</v>
      </c>
      <c r="M139" s="26">
        <f>IFERROR(__xludf.DUMMYFUNCTION("""COMPUTED_VALUE"""),2.926666667)</f>
        <v>2.926666667</v>
      </c>
      <c r="N139" s="26">
        <f>IFERROR(__xludf.DUMMYFUNCTION("""COMPUTED_VALUE"""),0.8256666667)</f>
        <v>0.8256666667</v>
      </c>
      <c r="O139" s="26">
        <f>IFERROR(__xludf.DUMMYFUNCTION("""COMPUTED_VALUE"""),0.4053333333)</f>
        <v>0.4053333333</v>
      </c>
      <c r="P139" s="464">
        <f>IFERROR(__xludf.DUMMYFUNCTION("""COMPUTED_VALUE"""),0.4255115049)</f>
        <v>0.4255115049</v>
      </c>
      <c r="Q139" s="464">
        <f>IFERROR(__xludf.DUMMYFUNCTION("""COMPUTED_VALUE"""),0.8199972952)</f>
        <v>0.8199972952</v>
      </c>
      <c r="R139" s="26">
        <f>IFERROR(__xludf.DUMMYFUNCTION("""COMPUTED_VALUE"""),1.905666667)</f>
        <v>1.905666667</v>
      </c>
      <c r="S139" s="26">
        <f>IFERROR(__xludf.DUMMYFUNCTION("""COMPUTED_VALUE"""),-0.22829376586608058)</f>
        <v>-0.2282937659</v>
      </c>
      <c r="T139" s="26">
        <f>IFERROR(__xludf.DUMMYFUNCTION("""COMPUTED_VALUE"""),0.20284938656421406)</f>
        <v>0.2028493866</v>
      </c>
      <c r="U139" s="26">
        <f>IFERROR(__xludf.DUMMYFUNCTION("""COMPUTED_VALUE"""),-0.516925328299637)</f>
        <v>-0.5169253283</v>
      </c>
      <c r="V139" s="26">
        <f>IFERROR(__xludf.DUMMYFUNCTION("""COMPUTED_VALUE"""),-0.457165998725463)</f>
        <v>-0.4571659987</v>
      </c>
      <c r="W139" s="26">
        <f>IFERROR(__xludf.DUMMYFUNCTION("""COMPUTED_VALUE"""),-0.49734977790820695)</f>
        <v>-0.4973497779</v>
      </c>
      <c r="X139" s="26">
        <f>IFERROR(__xludf.DUMMYFUNCTION("""COMPUTED_VALUE"""),-0.6123857529205199)</f>
        <v>-0.6123857529</v>
      </c>
      <c r="Y139" s="26">
        <f>IFERROR(__xludf.DUMMYFUNCTION("""COMPUTED_VALUE"""),-1.1017779250598871)</f>
        <v>-1.101777925</v>
      </c>
      <c r="Z139" s="26">
        <f>IFERROR(__xludf.DUMMYFUNCTION("""COMPUTED_VALUE"""),0.32493410663028505)</f>
        <v>0.3249341066</v>
      </c>
      <c r="AA139" s="26">
        <f>IFERROR(__xludf.DUMMYFUNCTION("""COMPUTED_VALUE"""),0.0)</f>
        <v>0</v>
      </c>
      <c r="AB139" t="str">
        <f>IFERROR(__xludf.DUMMYFUNCTION("SUBSTITUTE(REGEXREPLACE(REGEXREPLACE(REGEXREPLACE(REGEXREPLACE(REGEXREPLACE(REGEXREPLACE(F139,"","",),IF(Projections!$T$17="""",""PG"",),),IF(Projections!$U$17="""",""SG"",),),IF(Projections!$V$17="""",""SF"",),),IF(Projections!$W$17="""",""PF"",),),IF(Pr"&amp;"ojections!$X$17="""",""C"",),),""/"","""")"),"SGSF")</f>
        <v>SGSF</v>
      </c>
    </row>
    <row r="140">
      <c r="A140" s="408" t="str">
        <f>IF(Projections!$AB$17,Draft!O7,"")</f>
        <v/>
      </c>
      <c r="B140">
        <f>IFERROR(__xludf.DUMMYFUNCTION("""COMPUTED_VALUE"""),114.0)</f>
        <v>114</v>
      </c>
      <c r="C140">
        <f>IFERROR(__xludf.DUMMYFUNCTION("""COMPUTED_VALUE"""),108.3)</f>
        <v>108.3</v>
      </c>
      <c r="D140" t="str">
        <f>IFERROR(__xludf.DUMMYFUNCTION("""COMPUTED_VALUE"""),"Dereck Lively II")</f>
        <v>Dereck Lively II</v>
      </c>
      <c r="E140">
        <f>IFERROR(__xludf.DUMMYFUNCTION("""COMPUTED_VALUE"""),44.0)</f>
        <v>44</v>
      </c>
      <c r="F140" t="str">
        <f>IFERROR(__xludf.DUMMYFUNCTION("""COMPUTED_VALUE"""),"PG")</f>
        <v>PG</v>
      </c>
      <c r="G140" s="26">
        <f>IFERROR(__xludf.DUMMYFUNCTION("""COMPUTED_VALUE"""),-2.648490969509301)</f>
        <v>-2.64849097</v>
      </c>
      <c r="H140" s="26">
        <f>IFERROR(__xludf.DUMMYFUNCTION("""COMPUTED_VALUE"""),-2.88644198378818)</f>
        <v>-2.886441984</v>
      </c>
      <c r="I140" s="26">
        <f>IFERROR(__xludf.DUMMYFUNCTION("""COMPUTED_VALUE"""),-0.23795101427887877)</f>
        <v>-0.2379510143</v>
      </c>
      <c r="J140" s="26">
        <f>IFERROR(__xludf.DUMMYFUNCTION("""COMPUTED_VALUE"""),10.26867647)</f>
        <v>10.26867647</v>
      </c>
      <c r="K140" s="26">
        <f>IFERROR(__xludf.DUMMYFUNCTION("""COMPUTED_VALUE"""),0.01264705882)</f>
        <v>0.01264705882</v>
      </c>
      <c r="L140" s="26">
        <f>IFERROR(__xludf.DUMMYFUNCTION("""COMPUTED_VALUE"""),7.259411765)</f>
        <v>7.259411765</v>
      </c>
      <c r="M140" s="26">
        <f>IFERROR(__xludf.DUMMYFUNCTION("""COMPUTED_VALUE"""),1.215)</f>
        <v>1.215</v>
      </c>
      <c r="N140" s="26">
        <f>IFERROR(__xludf.DUMMYFUNCTION("""COMPUTED_VALUE"""),0.6970588235)</f>
        <v>0.6970588235</v>
      </c>
      <c r="O140" s="26">
        <f>IFERROR(__xludf.DUMMYFUNCTION("""COMPUTED_VALUE"""),1.507205882)</f>
        <v>1.507205882</v>
      </c>
      <c r="P140" s="464">
        <f>IFERROR(__xludf.DUMMYFUNCTION("""COMPUTED_VALUE"""),0.7474900417)</f>
        <v>0.7474900417</v>
      </c>
      <c r="Q140" s="464">
        <f>IFERROR(__xludf.DUMMYFUNCTION("""COMPUTED_VALUE"""),0.5399922345)</f>
        <v>0.5399922345</v>
      </c>
      <c r="R140" s="26">
        <f>IFERROR(__xludf.DUMMYFUNCTION("""COMPUTED_VALUE"""),0.7891176471)</f>
        <v>0.7891176471</v>
      </c>
      <c r="S140" s="26">
        <f>IFERROR(__xludf.DUMMYFUNCTION("""COMPUTED_VALUE"""),-1.3014439446122272)</f>
        <v>-1.301443945</v>
      </c>
      <c r="T140" s="26">
        <f>IFERROR(__xludf.DUMMYFUNCTION("""COMPUTED_VALUE"""),-1.722007393355211)</f>
        <v>-1.722007393</v>
      </c>
      <c r="U140" s="26">
        <f>IFERROR(__xludf.DUMMYFUNCTION("""COMPUTED_VALUE"""),0.46091336561166024)</f>
        <v>0.4609133656</v>
      </c>
      <c r="V140" s="26">
        <f>IFERROR(__xludf.DUMMYFUNCTION("""COMPUTED_VALUE"""),-1.2344995764373021)</f>
        <v>-1.234499576</v>
      </c>
      <c r="W140" s="26">
        <f>IFERROR(__xludf.DUMMYFUNCTION("""COMPUTED_VALUE"""),-0.9228248262471619)</f>
        <v>-0.9228248262</v>
      </c>
      <c r="X140" s="26">
        <f>IFERROR(__xludf.DUMMYFUNCTION("""COMPUTED_VALUE"""),1.3529668207472165)</f>
        <v>1.352966821</v>
      </c>
      <c r="Y140" s="26">
        <f>IFERROR(__xludf.DUMMYFUNCTION("""COMPUTED_VALUE"""),1.8375724534450568)</f>
        <v>1.837572453</v>
      </c>
      <c r="Z140" s="26">
        <f>IFERROR(__xludf.DUMMYFUNCTION("""COMPUTED_VALUE"""),-1.3571188829402114)</f>
        <v>-1.357118883</v>
      </c>
      <c r="AA140" s="26">
        <f>IFERROR(__xludf.DUMMYFUNCTION("""COMPUTED_VALUE"""),0.0)</f>
        <v>0</v>
      </c>
      <c r="AB140" t="str">
        <f>IFERROR(__xludf.DUMMYFUNCTION("SUBSTITUTE(REGEXREPLACE(REGEXREPLACE(REGEXREPLACE(REGEXREPLACE(REGEXREPLACE(REGEXREPLACE(F140,"","",),IF(Projections!$T$17="""",""PG"",),),IF(Projections!$U$17="""",""SG"",),),IF(Projections!$V$17="""",""SF"",),),IF(Projections!$W$17="""",""PF"",),),IF(Pr"&amp;"ojections!$X$17="""",""C"",),),""/"","""")"),"PG")</f>
        <v>PG</v>
      </c>
    </row>
    <row r="141">
      <c r="A141" s="408" t="str">
        <f>IF(Projections!$AB$17,Draft!O8,"")</f>
        <v/>
      </c>
      <c r="B141">
        <f>IFERROR(__xludf.DUMMYFUNCTION("""COMPUTED_VALUE"""),131.0)</f>
        <v>131</v>
      </c>
      <c r="C141">
        <f>IFERROR(__xludf.DUMMYFUNCTION("""COMPUTED_VALUE"""),107.7)</f>
        <v>107.7</v>
      </c>
      <c r="D141" t="str">
        <f>IFERROR(__xludf.DUMMYFUNCTION("""COMPUTED_VALUE"""),"RJ Barrett")</f>
        <v>RJ Barrett</v>
      </c>
      <c r="E141">
        <f>IFERROR(__xludf.DUMMYFUNCTION("""COMPUTED_VALUE"""),78.0)</f>
        <v>78</v>
      </c>
      <c r="F141" t="str">
        <f>IFERROR(__xludf.DUMMYFUNCTION("""COMPUTED_VALUE"""),"SG,SF")</f>
        <v>SG,SF</v>
      </c>
      <c r="G141" s="26">
        <f>IFERROR(__xludf.DUMMYFUNCTION("""COMPUTED_VALUE"""),-3.055735265680692)</f>
        <v>-3.055735266</v>
      </c>
      <c r="H141" s="26">
        <f>IFERROR(__xludf.DUMMYFUNCTION("""COMPUTED_VALUE"""),-2.891554074117037)</f>
        <v>-2.891554074</v>
      </c>
      <c r="I141" s="26">
        <f>IFERROR(__xludf.DUMMYFUNCTION("""COMPUTED_VALUE"""),0.16418119156365485)</f>
        <v>0.1641811916</v>
      </c>
      <c r="J141" s="26">
        <f>IFERROR(__xludf.DUMMYFUNCTION("""COMPUTED_VALUE"""),21.90529412)</f>
        <v>21.90529412</v>
      </c>
      <c r="K141" s="26">
        <f>IFERROR(__xludf.DUMMYFUNCTION("""COMPUTED_VALUE"""),1.264558824)</f>
        <v>1.264558824</v>
      </c>
      <c r="L141" s="26">
        <f>IFERROR(__xludf.DUMMYFUNCTION("""COMPUTED_VALUE"""),6.186176471)</f>
        <v>6.186176471</v>
      </c>
      <c r="M141" s="26">
        <f>IFERROR(__xludf.DUMMYFUNCTION("""COMPUTED_VALUE"""),4.197794118)</f>
        <v>4.197794118</v>
      </c>
      <c r="N141" s="26">
        <f>IFERROR(__xludf.DUMMYFUNCTION("""COMPUTED_VALUE"""),0.5973529412)</f>
        <v>0.5973529412</v>
      </c>
      <c r="O141" s="26">
        <f>IFERROR(__xludf.DUMMYFUNCTION("""COMPUTED_VALUE"""),0.3647058824)</f>
        <v>0.3647058824</v>
      </c>
      <c r="P141" s="464">
        <f>IFERROR(__xludf.DUMMYFUNCTION("""COMPUTED_VALUE"""),0.5216020917)</f>
        <v>0.5216020917</v>
      </c>
      <c r="Q141" s="464">
        <f>IFERROR(__xludf.DUMMYFUNCTION("""COMPUTED_VALUE"""),0.6889948007)</f>
        <v>0.6889948007</v>
      </c>
      <c r="R141" s="26">
        <f>IFERROR(__xludf.DUMMYFUNCTION("""COMPUTED_VALUE"""),2.410735294)</f>
        <v>2.410735294</v>
      </c>
      <c r="S141" s="26">
        <f>IFERROR(__xludf.DUMMYFUNCTION("""COMPUTED_VALUE"""),0.7961220026867314)</f>
        <v>0.7961220027</v>
      </c>
      <c r="T141" s="26">
        <f>IFERROR(__xludf.DUMMYFUNCTION("""COMPUTED_VALUE"""),-0.48020038511389407)</f>
        <v>-0.4802003851</v>
      </c>
      <c r="U141" s="26">
        <f>IFERROR(__xludf.DUMMYFUNCTION("""COMPUTED_VALUE"""),0.04030494517685622)</f>
        <v>0.04030494518</v>
      </c>
      <c r="V141" s="26">
        <f>IFERROR(__xludf.DUMMYFUNCTION("""COMPUTED_VALUE"""),0.12010180011843437)</f>
        <v>0.1201018001</v>
      </c>
      <c r="W141" s="26">
        <f>IFERROR(__xludf.DUMMYFUNCTION("""COMPUTED_VALUE"""),-1.2526831306532082)</f>
        <v>-1.252683131</v>
      </c>
      <c r="X141" s="26">
        <f>IFERROR(__xludf.DUMMYFUNCTION("""COMPUTED_VALUE"""),-0.6848508173075755)</f>
        <v>-0.6848508173</v>
      </c>
      <c r="Y141" s="26">
        <f>IFERROR(__xludf.DUMMYFUNCTION("""COMPUTED_VALUE"""),0.4652628112668551)</f>
        <v>0.4652628113</v>
      </c>
      <c r="Z141" s="26">
        <f>IFERROR(__xludf.DUMMYFUNCTION("""COMPUTED_VALUE"""),-1.8956113002912363)</f>
        <v>-1.8956113</v>
      </c>
      <c r="AA141" s="26">
        <f>IFERROR(__xludf.DUMMYFUNCTION("""COMPUTED_VALUE"""),0.0)</f>
        <v>0</v>
      </c>
      <c r="AB141" t="str">
        <f>IFERROR(__xludf.DUMMYFUNCTION("SUBSTITUTE(REGEXREPLACE(REGEXREPLACE(REGEXREPLACE(REGEXREPLACE(REGEXREPLACE(REGEXREPLACE(F141,"","",),IF(Projections!$T$17="""",""PG"",),),IF(Projections!$U$17="""",""SG"",),),IF(Projections!$V$17="""",""SF"",),),IF(Projections!$W$17="""",""PF"",),),IF(Pr"&amp;"ojections!$X$17="""",""C"",),),""/"","""")"),"SGSF")</f>
        <v>SGSF</v>
      </c>
    </row>
    <row r="142">
      <c r="A142" s="408" t="str">
        <f>IF(Projections!$AB$17,Draft!O9,"")</f>
        <v/>
      </c>
      <c r="B142">
        <f>IFERROR(__xludf.DUMMYFUNCTION("""COMPUTED_VALUE"""),143.0)</f>
        <v>143</v>
      </c>
      <c r="C142">
        <f>IFERROR(__xludf.DUMMYFUNCTION("""COMPUTED_VALUE"""),143.9)</f>
        <v>143.9</v>
      </c>
      <c r="D142" t="str">
        <f>IFERROR(__xludf.DUMMYFUNCTION("""COMPUTED_VALUE"""),"Gary Trent Jr.")</f>
        <v>Gary Trent Jr.</v>
      </c>
      <c r="E142">
        <f>IFERROR(__xludf.DUMMYFUNCTION("""COMPUTED_VALUE"""),67.0)</f>
        <v>67</v>
      </c>
      <c r="F142" t="str">
        <f>IFERROR(__xludf.DUMMYFUNCTION("""COMPUTED_VALUE"""),"SG,SF")</f>
        <v>SG,SF</v>
      </c>
      <c r="G142" s="26">
        <f>IFERROR(__xludf.DUMMYFUNCTION("""COMPUTED_VALUE"""),-2.67191700154966)</f>
        <v>-2.671917002</v>
      </c>
      <c r="H142" s="26">
        <f>IFERROR(__xludf.DUMMYFUNCTION("""COMPUTED_VALUE"""),-2.926736196265121)</f>
        <v>-2.926736196</v>
      </c>
      <c r="I142" s="26">
        <f>IFERROR(__xludf.DUMMYFUNCTION("""COMPUTED_VALUE"""),-0.254819194715461)</f>
        <v>-0.2548191947</v>
      </c>
      <c r="J142" s="26">
        <f>IFERROR(__xludf.DUMMYFUNCTION("""COMPUTED_VALUE"""),14.87479452)</f>
        <v>14.87479452</v>
      </c>
      <c r="K142" s="26">
        <f>IFERROR(__xludf.DUMMYFUNCTION("""COMPUTED_VALUE"""),2.742054795)</f>
        <v>2.742054795</v>
      </c>
      <c r="L142" s="26">
        <f>IFERROR(__xludf.DUMMYFUNCTION("""COMPUTED_VALUE"""),2.706027397)</f>
        <v>2.706027397</v>
      </c>
      <c r="M142" s="26">
        <f>IFERROR(__xludf.DUMMYFUNCTION("""COMPUTED_VALUE"""),1.583972603)</f>
        <v>1.583972603</v>
      </c>
      <c r="N142" s="26">
        <f>IFERROR(__xludf.DUMMYFUNCTION("""COMPUTED_VALUE"""),1.187945205)</f>
        <v>1.187945205</v>
      </c>
      <c r="O142" s="26">
        <f>IFERROR(__xludf.DUMMYFUNCTION("""COMPUTED_VALUE"""),0.1964383562)</f>
        <v>0.1964383562</v>
      </c>
      <c r="P142" s="464">
        <f>IFERROR(__xludf.DUMMYFUNCTION("""COMPUTED_VALUE"""),0.4240654708)</f>
        <v>0.4240654708</v>
      </c>
      <c r="Q142" s="464">
        <f>IFERROR(__xludf.DUMMYFUNCTION("""COMPUTED_VALUE"""),0.853010989)</f>
        <v>0.853010989</v>
      </c>
      <c r="R142" s="26">
        <f>IFERROR(__xludf.DUMMYFUNCTION("""COMPUTED_VALUE"""),0.7210958904)</f>
        <v>0.7210958904</v>
      </c>
      <c r="S142" s="26">
        <f>IFERROR(__xludf.DUMMYFUNCTION("""COMPUTED_VALUE"""),-0.4711651933877183)</f>
        <v>-0.4711651934</v>
      </c>
      <c r="T142" s="26">
        <f>IFERROR(__xludf.DUMMYFUNCTION("""COMPUTED_VALUE"""),0.9853700348368335)</f>
        <v>0.9853700348</v>
      </c>
      <c r="U142" s="26">
        <f>IFERROR(__xludf.DUMMYFUNCTION("""COMPUTED_VALUE"""),-1.323589825220794)</f>
        <v>-1.323589825</v>
      </c>
      <c r="V142" s="26">
        <f>IFERROR(__xludf.DUMMYFUNCTION("""COMPUTED_VALUE"""),-1.066934945369073)</f>
        <v>-1.066934945</v>
      </c>
      <c r="W142" s="26">
        <f>IFERROR(__xludf.DUMMYFUNCTION("""COMPUTED_VALUE"""),0.7011811573758275)</f>
        <v>0.7011811574</v>
      </c>
      <c r="X142" s="26">
        <f>IFERROR(__xludf.DUMMYFUNCTION("""COMPUTED_VALUE"""),-0.984980824241719)</f>
        <v>-0.9849808242</v>
      </c>
      <c r="Y142" s="26">
        <f>IFERROR(__xludf.DUMMYFUNCTION("""COMPUTED_VALUE"""),-1.0842853067481153)</f>
        <v>-1.084285307</v>
      </c>
      <c r="Z142" s="26">
        <f>IFERROR(__xludf.DUMMYFUNCTION("""COMPUTED_VALUE"""),0.3176687064896379)</f>
        <v>0.3176687065</v>
      </c>
      <c r="AA142" s="26">
        <f>IFERROR(__xludf.DUMMYFUNCTION("""COMPUTED_VALUE"""),0.0)</f>
        <v>0</v>
      </c>
      <c r="AB142" t="str">
        <f>IFERROR(__xludf.DUMMYFUNCTION("SUBSTITUTE(REGEXREPLACE(REGEXREPLACE(REGEXREPLACE(REGEXREPLACE(REGEXREPLACE(REGEXREPLACE(F142,"","",),IF(Projections!$T$17="""",""PG"",),),IF(Projections!$U$17="""",""SG"",),),IF(Projections!$V$17="""",""SF"",),),IF(Projections!$W$17="""",""PF"",),),IF(Pr"&amp;"ojections!$X$17="""",""C"",),),""/"","""")"),"SGSF")</f>
        <v>SGSF</v>
      </c>
    </row>
    <row r="143">
      <c r="A143" s="408" t="str">
        <f>IF(Projections!$AB$17,Draft!O10,"")</f>
        <v/>
      </c>
      <c r="B143">
        <f>IFERROR(__xludf.DUMMYFUNCTION("""COMPUTED_VALUE"""),142.0)</f>
        <v>142</v>
      </c>
      <c r="C143">
        <f>IFERROR(__xludf.DUMMYFUNCTION("""COMPUTED_VALUE"""),132.1)</f>
        <v>132.1</v>
      </c>
      <c r="D143" t="str">
        <f>IFERROR(__xludf.DUMMYFUNCTION("""COMPUTED_VALUE"""),"Jaden Ivey")</f>
        <v>Jaden Ivey</v>
      </c>
      <c r="E143">
        <f>IFERROR(__xludf.DUMMYFUNCTION("""COMPUTED_VALUE"""),60.0)</f>
        <v>60</v>
      </c>
      <c r="F143" t="str">
        <f>IFERROR(__xludf.DUMMYFUNCTION("""COMPUTED_VALUE"""),"PF,C")</f>
        <v>PF,C</v>
      </c>
      <c r="G143" s="26">
        <f>IFERROR(__xludf.DUMMYFUNCTION("""COMPUTED_VALUE"""),-3.1775083361892653)</f>
        <v>-3.177508336</v>
      </c>
      <c r="H143" s="26">
        <f>IFERROR(__xludf.DUMMYFUNCTION("""COMPUTED_VALUE"""),-3.005560467908017)</f>
        <v>-3.005560468</v>
      </c>
      <c r="I143" s="26">
        <f>IFERROR(__xludf.DUMMYFUNCTION("""COMPUTED_VALUE"""),0.17194786828124853)</f>
        <v>0.1719478683</v>
      </c>
      <c r="J143" s="26">
        <f>IFERROR(__xludf.DUMMYFUNCTION("""COMPUTED_VALUE"""),17.90013699)</f>
        <v>17.90013699</v>
      </c>
      <c r="K143" s="26">
        <f>IFERROR(__xludf.DUMMYFUNCTION("""COMPUTED_VALUE"""),2.133424658)</f>
        <v>2.133424658</v>
      </c>
      <c r="L143" s="26">
        <f>IFERROR(__xludf.DUMMYFUNCTION("""COMPUTED_VALUE"""),3.366027397)</f>
        <v>3.366027397</v>
      </c>
      <c r="M143" s="26">
        <f>IFERROR(__xludf.DUMMYFUNCTION("""COMPUTED_VALUE"""),4.62)</f>
        <v>4.62</v>
      </c>
      <c r="N143" s="26">
        <f>IFERROR(__xludf.DUMMYFUNCTION("""COMPUTED_VALUE"""),0.708630137)</f>
        <v>0.708630137</v>
      </c>
      <c r="O143" s="26">
        <f>IFERROR(__xludf.DUMMYFUNCTION("""COMPUTED_VALUE"""),0.4694520548)</f>
        <v>0.4694520548</v>
      </c>
      <c r="P143" s="464">
        <f>IFERROR(__xludf.DUMMYFUNCTION("""COMPUTED_VALUE"""),0.4420107856)</f>
        <v>0.4420107856</v>
      </c>
      <c r="Q143" s="464">
        <f>IFERROR(__xludf.DUMMYFUNCTION("""COMPUTED_VALUE"""),0.7660149531)</f>
        <v>0.7660149531</v>
      </c>
      <c r="R143" s="26">
        <f>IFERROR(__xludf.DUMMYFUNCTION("""COMPUTED_VALUE"""),2.442054795)</f>
        <v>2.442054795</v>
      </c>
      <c r="S143" s="26">
        <f>IFERROR(__xludf.DUMMYFUNCTION("""COMPUTED_VALUE"""),0.07416984595589392)</f>
        <v>0.07416984596</v>
      </c>
      <c r="T143" s="26">
        <f>IFERROR(__xludf.DUMMYFUNCTION("""COMPUTED_VALUE"""),0.38165243222703327)</f>
        <v>0.3816524322</v>
      </c>
      <c r="U143" s="26">
        <f>IFERROR(__xludf.DUMMYFUNCTION("""COMPUTED_VALUE"""),-1.064931207638124)</f>
        <v>-1.064931208</v>
      </c>
      <c r="V143" s="26">
        <f>IFERROR(__xludf.DUMMYFUNCTION("""COMPUTED_VALUE"""),0.31184170784314474)</f>
        <v>0.3118417078</v>
      </c>
      <c r="W143" s="26">
        <f>IFERROR(__xludf.DUMMYFUNCTION("""COMPUTED_VALUE"""),-0.8845432949792642)</f>
        <v>-0.884543295</v>
      </c>
      <c r="X143" s="26">
        <f>IFERROR(__xludf.DUMMYFUNCTION("""COMPUTED_VALUE"""),-0.49802053484789915)</f>
        <v>-0.4980205348</v>
      </c>
      <c r="Y143" s="26">
        <f>IFERROR(__xludf.DUMMYFUNCTION("""COMPUTED_VALUE"""),-0.9286160562044492)</f>
        <v>-0.9286160562</v>
      </c>
      <c r="Z143" s="26">
        <f>IFERROR(__xludf.DUMMYFUNCTION("""COMPUTED_VALUE"""),-0.3971133602643521)</f>
        <v>-0.3971133603</v>
      </c>
      <c r="AA143" s="26">
        <f>IFERROR(__xludf.DUMMYFUNCTION("""COMPUTED_VALUE"""),0.0)</f>
        <v>0</v>
      </c>
      <c r="AB143" t="str">
        <f>IFERROR(__xludf.DUMMYFUNCTION("SUBSTITUTE(REGEXREPLACE(REGEXREPLACE(REGEXREPLACE(REGEXREPLACE(REGEXREPLACE(REGEXREPLACE(F143,"","",),IF(Projections!$T$17="""",""PG"",),),IF(Projections!$U$17="""",""SG"",),),IF(Projections!$V$17="""",""SF"",),),IF(Projections!$W$17="""",""PF"",),),IF(Pr"&amp;"ojections!$X$17="""",""C"",),),""/"","""")"),"PFC")</f>
        <v>PFC</v>
      </c>
    </row>
    <row r="144">
      <c r="A144" s="408" t="str">
        <f>IF(Projections!$AB$17,Draft!O11,"")</f>
        <v/>
      </c>
      <c r="B144">
        <f>IFERROR(__xludf.DUMMYFUNCTION("""COMPUTED_VALUE"""),139.0)</f>
        <v>139</v>
      </c>
      <c r="C144">
        <f>IFERROR(__xludf.DUMMYFUNCTION("""COMPUTED_VALUE"""),144.8)</f>
        <v>144.8</v>
      </c>
      <c r="D144" t="str">
        <f>IFERROR(__xludf.DUMMYFUNCTION("""COMPUTED_VALUE"""),"Max Strus")</f>
        <v>Max Strus</v>
      </c>
      <c r="E144">
        <f>IFERROR(__xludf.DUMMYFUNCTION("""COMPUTED_VALUE"""),70.0)</f>
        <v>70</v>
      </c>
      <c r="F144" t="str">
        <f>IFERROR(__xludf.DUMMYFUNCTION("""COMPUTED_VALUE"""),"SF,PF")</f>
        <v>SF,PF</v>
      </c>
      <c r="G144" s="26">
        <f>IFERROR(__xludf.DUMMYFUNCTION("""COMPUTED_VALUE"""),-2.9921328135584093)</f>
        <v>-2.992132814</v>
      </c>
      <c r="H144" s="26">
        <f>IFERROR(__xludf.DUMMYFUNCTION("""COMPUTED_VALUE"""),-3.014727866128835)</f>
        <v>-3.014727866</v>
      </c>
      <c r="I144" s="26">
        <f>IFERROR(__xludf.DUMMYFUNCTION("""COMPUTED_VALUE"""),-0.02259505257042571)</f>
        <v>-0.02259505257</v>
      </c>
      <c r="J144" s="26">
        <f>IFERROR(__xludf.DUMMYFUNCTION("""COMPUTED_VALUE"""),11.57183673)</f>
        <v>11.57183673</v>
      </c>
      <c r="K144" s="26">
        <f>IFERROR(__xludf.DUMMYFUNCTION("""COMPUTED_VALUE"""),2.281836735)</f>
        <v>2.281836735</v>
      </c>
      <c r="L144" s="26">
        <f>IFERROR(__xludf.DUMMYFUNCTION("""COMPUTED_VALUE"""),4.653673469)</f>
        <v>4.653673469</v>
      </c>
      <c r="M144" s="26">
        <f>IFERROR(__xludf.DUMMYFUNCTION("""COMPUTED_VALUE"""),4.27122449)</f>
        <v>4.27122449</v>
      </c>
      <c r="N144" s="26">
        <f>IFERROR(__xludf.DUMMYFUNCTION("""COMPUTED_VALUE"""),0.7651020408)</f>
        <v>0.7651020408</v>
      </c>
      <c r="O144" s="26">
        <f>IFERROR(__xludf.DUMMYFUNCTION("""COMPUTED_VALUE"""),0.3197959184)</f>
        <v>0.3197959184</v>
      </c>
      <c r="P144" s="464">
        <f>IFERROR(__xludf.DUMMYFUNCTION("""COMPUTED_VALUE"""),0.4321658788)</f>
        <v>0.4321658788</v>
      </c>
      <c r="Q144" s="464">
        <f>IFERROR(__xludf.DUMMYFUNCTION("""COMPUTED_VALUE"""),0.819025522)</f>
        <v>0.819025522</v>
      </c>
      <c r="R144" s="26">
        <f>IFERROR(__xludf.DUMMYFUNCTION("""COMPUTED_VALUE"""),1.65755102)</f>
        <v>1.65755102</v>
      </c>
      <c r="S144" s="26">
        <f>IFERROR(__xludf.DUMMYFUNCTION("""COMPUTED_VALUE"""),-1.0665419595625376)</f>
        <v>-1.06654196</v>
      </c>
      <c r="T144" s="26">
        <f>IFERROR(__xludf.DUMMYFUNCTION("""COMPUTED_VALUE"""),0.5288666069414562)</f>
        <v>0.5288666069</v>
      </c>
      <c r="U144" s="26">
        <f>IFERROR(__xludf.DUMMYFUNCTION("""COMPUTED_VALUE"""),-0.5602937032149796)</f>
        <v>-0.5602937032</v>
      </c>
      <c r="V144" s="26">
        <f>IFERROR(__xludf.DUMMYFUNCTION("""COMPUTED_VALUE"""),0.1534493524660616)</f>
        <v>0.1534493525</v>
      </c>
      <c r="W144" s="26">
        <f>IFERROR(__xludf.DUMMYFUNCTION("""COMPUTED_VALUE"""),-0.6977165400842888)</f>
        <v>-0.6977165401</v>
      </c>
      <c r="X144" s="26">
        <f>IFERROR(__xludf.DUMMYFUNCTION("""COMPUTED_VALUE"""),-0.7649543768661288)</f>
        <v>-0.7649543769</v>
      </c>
      <c r="Y144" s="26">
        <f>IFERROR(__xludf.DUMMYFUNCTION("""COMPUTED_VALUE"""),-0.7189904544583172)</f>
        <v>-0.7189904545</v>
      </c>
      <c r="Z144" s="26">
        <f>IFERROR(__xludf.DUMMYFUNCTION("""COMPUTED_VALUE"""),0.11145320864989895)</f>
        <v>0.1114532086</v>
      </c>
      <c r="AA144" s="26">
        <f>IFERROR(__xludf.DUMMYFUNCTION("""COMPUTED_VALUE"""),0.0)</f>
        <v>0</v>
      </c>
      <c r="AB144" t="str">
        <f>IFERROR(__xludf.DUMMYFUNCTION("SUBSTITUTE(REGEXREPLACE(REGEXREPLACE(REGEXREPLACE(REGEXREPLACE(REGEXREPLACE(REGEXREPLACE(F144,"","",),IF(Projections!$T$17="""",""PG"",),),IF(Projections!$U$17="""",""SG"",),),IF(Projections!$V$17="""",""SF"",),),IF(Projections!$W$17="""",""PF"",),),IF(Pr"&amp;"ojections!$X$17="""",""C"",),),""/"","""")"),"SFPF")</f>
        <v>SFPF</v>
      </c>
    </row>
    <row r="145">
      <c r="A145" s="408" t="str">
        <f>IF(Projections!$AB$17,Draft!O12,"")</f>
        <v/>
      </c>
      <c r="B145">
        <f>IFERROR(__xludf.DUMMYFUNCTION("""COMPUTED_VALUE"""),132.0)</f>
        <v>132</v>
      </c>
      <c r="C145">
        <f>IFERROR(__xludf.DUMMYFUNCTION("""COMPUTED_VALUE"""),106.7)</f>
        <v>106.7</v>
      </c>
      <c r="D145" t="str">
        <f>IFERROR(__xludf.DUMMYFUNCTION("""COMPUTED_VALUE"""),"John Collins")</f>
        <v>John Collins</v>
      </c>
      <c r="E145">
        <f>IFERROR(__xludf.DUMMYFUNCTION("""COMPUTED_VALUE"""),60.0)</f>
        <v>60</v>
      </c>
      <c r="F145" t="str">
        <f>IFERROR(__xludf.DUMMYFUNCTION("""COMPUTED_VALUE"""),"PG,SG")</f>
        <v>PG,SG</v>
      </c>
      <c r="G145" s="26">
        <f>IFERROR(__xludf.DUMMYFUNCTION("""COMPUTED_VALUE"""),-2.8889838124760314)</f>
        <v>-2.888983812</v>
      </c>
      <c r="H145" s="26">
        <f>IFERROR(__xludf.DUMMYFUNCTION("""COMPUTED_VALUE"""),-3.022950994485575)</f>
        <v>-3.022950994</v>
      </c>
      <c r="I145" s="26">
        <f>IFERROR(__xludf.DUMMYFUNCTION("""COMPUTED_VALUE"""),-0.1339671820095436)</f>
        <v>-0.133967182</v>
      </c>
      <c r="J145" s="26">
        <f>IFERROR(__xludf.DUMMYFUNCTION("""COMPUTED_VALUE"""),13.5875)</f>
        <v>13.5875</v>
      </c>
      <c r="K145" s="26">
        <f>IFERROR(__xludf.DUMMYFUNCTION("""COMPUTED_VALUE"""),1.01265625)</f>
        <v>1.01265625</v>
      </c>
      <c r="L145" s="26">
        <f>IFERROR(__xludf.DUMMYFUNCTION("""COMPUTED_VALUE"""),7.7328125)</f>
        <v>7.7328125</v>
      </c>
      <c r="M145" s="26">
        <f>IFERROR(__xludf.DUMMYFUNCTION("""COMPUTED_VALUE"""),1.16375)</f>
        <v>1.16375</v>
      </c>
      <c r="N145" s="26">
        <f>IFERROR(__xludf.DUMMYFUNCTION("""COMPUTED_VALUE"""),0.5271875)</f>
        <v>0.5271875</v>
      </c>
      <c r="O145" s="26">
        <f>IFERROR(__xludf.DUMMYFUNCTION("""COMPUTED_VALUE"""),0.78796875)</f>
        <v>0.78796875</v>
      </c>
      <c r="P145" s="464">
        <f>IFERROR(__xludf.DUMMYFUNCTION("""COMPUTED_VALUE"""),0.5304874154)</f>
        <v>0.5304874154</v>
      </c>
      <c r="Q145" s="464">
        <f>IFERROR(__xludf.DUMMYFUNCTION("""COMPUTED_VALUE"""),0.8010151705)</f>
        <v>0.8010151705</v>
      </c>
      <c r="R145" s="26">
        <f>IFERROR(__xludf.DUMMYFUNCTION("""COMPUTED_VALUE"""),1.2084375)</f>
        <v>1.2084375</v>
      </c>
      <c r="S145" s="26">
        <f>IFERROR(__xludf.DUMMYFUNCTION("""COMPUTED_VALUE"""),-0.7032072893395912)</f>
        <v>-0.7032072893</v>
      </c>
      <c r="T145" s="26">
        <f>IFERROR(__xludf.DUMMYFUNCTION("""COMPUTED_VALUE"""),-0.7300697373219952)</f>
        <v>-0.7300697373</v>
      </c>
      <c r="U145" s="26">
        <f>IFERROR(__xludf.DUMMYFUNCTION("""COMPUTED_VALUE"""),0.6464424257294175)</f>
        <v>0.6464424257</v>
      </c>
      <c r="V145" s="26">
        <f>IFERROR(__xludf.DUMMYFUNCTION("""COMPUTED_VALUE"""),-1.2577741699231677)</f>
        <v>-1.25777417</v>
      </c>
      <c r="W145" s="26">
        <f>IFERROR(__xludf.DUMMYFUNCTION("""COMPUTED_VALUE"""),-1.48481239853828)</f>
        <v>-1.484812399</v>
      </c>
      <c r="X145" s="26">
        <f>IFERROR(__xludf.DUMMYFUNCTION("""COMPUTED_VALUE"""),0.07010107541094603)</f>
        <v>0.07010107541</v>
      </c>
      <c r="Y145" s="26">
        <f>IFERROR(__xludf.DUMMYFUNCTION("""COMPUTED_VALUE"""),0.3782824282230936)</f>
        <v>0.3782824282</v>
      </c>
      <c r="Z145" s="26">
        <f>IFERROR(__xludf.DUMMYFUNCTION("""COMPUTED_VALUE"""),0.05808667127400217)</f>
        <v>0.05808667127</v>
      </c>
      <c r="AA145" s="26">
        <f>IFERROR(__xludf.DUMMYFUNCTION("""COMPUTED_VALUE"""),0.0)</f>
        <v>0</v>
      </c>
      <c r="AB145" t="str">
        <f>IFERROR(__xludf.DUMMYFUNCTION("SUBSTITUTE(REGEXREPLACE(REGEXREPLACE(REGEXREPLACE(REGEXREPLACE(REGEXREPLACE(REGEXREPLACE(F145,"","",),IF(Projections!$T$17="""",""PG"",),),IF(Projections!$U$17="""",""SG"",),),IF(Projections!$V$17="""",""SF"",),),IF(Projections!$W$17="""",""PF"",),),IF(Pr"&amp;"ojections!$X$17="""",""C"",),),""/"","""")"),"PGSG")</f>
        <v>PGSG</v>
      </c>
    </row>
    <row r="146">
      <c r="A146" s="408" t="str">
        <f>IF(Projections!$AB$17,Draft!O13,"")</f>
        <v/>
      </c>
      <c r="B146">
        <f>IFERROR(__xludf.DUMMYFUNCTION("""COMPUTED_VALUE"""),148.0)</f>
        <v>148</v>
      </c>
      <c r="C146">
        <f>IFERROR(__xludf.DUMMYFUNCTION("""COMPUTED_VALUE"""),139.5)</f>
        <v>139.5</v>
      </c>
      <c r="D146" t="str">
        <f>IFERROR(__xludf.DUMMYFUNCTION("""COMPUTED_VALUE"""),"Luguentz Dort")</f>
        <v>Luguentz Dort</v>
      </c>
      <c r="E146">
        <f>IFERROR(__xludf.DUMMYFUNCTION("""COMPUTED_VALUE"""),64.0)</f>
        <v>64</v>
      </c>
      <c r="F146" t="str">
        <f>IFERROR(__xludf.DUMMYFUNCTION("""COMPUTED_VALUE"""),"PG,SG")</f>
        <v>PG,SG</v>
      </c>
      <c r="G146" s="26">
        <f>IFERROR(__xludf.DUMMYFUNCTION("""COMPUTED_VALUE"""),-3.003355593967157)</f>
        <v>-3.003355594</v>
      </c>
      <c r="H146" s="26">
        <f>IFERROR(__xludf.DUMMYFUNCTION("""COMPUTED_VALUE"""),-3.1239247344604144)</f>
        <v>-3.123924734</v>
      </c>
      <c r="I146" s="26">
        <f>IFERROR(__xludf.DUMMYFUNCTION("""COMPUTED_VALUE"""),-0.12056914049325762)</f>
        <v>-0.1205691405</v>
      </c>
      <c r="J146" s="26">
        <f>IFERROR(__xludf.DUMMYFUNCTION("""COMPUTED_VALUE"""),13.75945205)</f>
        <v>13.75945205</v>
      </c>
      <c r="K146" s="26">
        <f>IFERROR(__xludf.DUMMYFUNCTION("""COMPUTED_VALUE"""),2.385205479)</f>
        <v>2.385205479</v>
      </c>
      <c r="L146" s="26">
        <f>IFERROR(__xludf.DUMMYFUNCTION("""COMPUTED_VALUE"""),3.724383562)</f>
        <v>3.724383562</v>
      </c>
      <c r="M146" s="26">
        <f>IFERROR(__xludf.DUMMYFUNCTION("""COMPUTED_VALUE"""),1.830684932)</f>
        <v>1.830684932</v>
      </c>
      <c r="N146" s="26">
        <f>IFERROR(__xludf.DUMMYFUNCTION("""COMPUTED_VALUE"""),1.013561644)</f>
        <v>1.013561644</v>
      </c>
      <c r="O146" s="26">
        <f>IFERROR(__xludf.DUMMYFUNCTION("""COMPUTED_VALUE"""),0.5038356164)</f>
        <v>0.5038356164</v>
      </c>
      <c r="P146" s="464">
        <f>IFERROR(__xludf.DUMMYFUNCTION("""COMPUTED_VALUE"""),0.4070840609)</f>
        <v>0.4070840609</v>
      </c>
      <c r="Q146" s="464">
        <f>IFERROR(__xludf.DUMMYFUNCTION("""COMPUTED_VALUE"""),0.8199916855)</f>
        <v>0.8199916855</v>
      </c>
      <c r="R146" s="26">
        <f>IFERROR(__xludf.DUMMYFUNCTION("""COMPUTED_VALUE"""),1.262465753)</f>
        <v>1.262465753</v>
      </c>
      <c r="S146" s="26">
        <f>IFERROR(__xludf.DUMMYFUNCTION("""COMPUTED_VALUE"""),-0.6722119627338186)</f>
        <v>-0.6722119627</v>
      </c>
      <c r="T146" s="26">
        <f>IFERROR(__xludf.DUMMYFUNCTION("""COMPUTED_VALUE"""),0.6314010141597207)</f>
        <v>0.6314010142</v>
      </c>
      <c r="U146" s="26">
        <f>IFERROR(__xludf.DUMMYFUNCTION("""COMPUTED_VALUE"""),-0.9244889193939919)</f>
        <v>-0.9244889194</v>
      </c>
      <c r="V146" s="26">
        <f>IFERROR(__xludf.DUMMYFUNCTION("""COMPUTED_VALUE"""),-0.9548934006778308)</f>
        <v>-0.9548934007</v>
      </c>
      <c r="W146" s="26">
        <f>IFERROR(__xludf.DUMMYFUNCTION("""COMPUTED_VALUE"""),0.12426568939296882)</f>
        <v>0.1242656894</v>
      </c>
      <c r="X146" s="26">
        <f>IFERROR(__xludf.DUMMYFUNCTION("""COMPUTED_VALUE"""),-0.4366923700232562)</f>
        <v>-0.43669237</v>
      </c>
      <c r="Y146" s="26">
        <f>IFERROR(__xludf.DUMMYFUNCTION("""COMPUTED_VALUE"""),-1.1518864514046407)</f>
        <v>-1.151886451</v>
      </c>
      <c r="Z146" s="26">
        <f>IFERROR(__xludf.DUMMYFUNCTION("""COMPUTED_VALUE"""),0.2605816662204341)</f>
        <v>0.2605816662</v>
      </c>
      <c r="AA146" s="26">
        <f>IFERROR(__xludf.DUMMYFUNCTION("""COMPUTED_VALUE"""),0.0)</f>
        <v>0</v>
      </c>
      <c r="AB146" t="str">
        <f>IFERROR(__xludf.DUMMYFUNCTION("SUBSTITUTE(REGEXREPLACE(REGEXREPLACE(REGEXREPLACE(REGEXREPLACE(REGEXREPLACE(REGEXREPLACE(F146,"","",),IF(Projections!$T$17="""",""PG"",),),IF(Projections!$U$17="""",""SG"",),),IF(Projections!$V$17="""",""SF"",),),IF(Projections!$W$17="""",""PF"",),),IF(Pr"&amp;"ojections!$X$17="""",""C"",),),""/"","""")"),"PGSG")</f>
        <v>PGSG</v>
      </c>
    </row>
    <row r="147">
      <c r="A147" s="408" t="str">
        <f>IF(Projections!$AB$17,Draft!O14,"")</f>
        <v/>
      </c>
      <c r="B147">
        <f>IFERROR(__xludf.DUMMYFUNCTION("""COMPUTED_VALUE"""),144.0)</f>
        <v>144</v>
      </c>
      <c r="C147">
        <f>IFERROR(__xludf.DUMMYFUNCTION("""COMPUTED_VALUE"""),116.1)</f>
        <v>116.1</v>
      </c>
      <c r="D147" t="str">
        <f>IFERROR(__xludf.DUMMYFUNCTION("""COMPUTED_VALUE"""),"Tyus Jones")</f>
        <v>Tyus Jones</v>
      </c>
      <c r="E147">
        <f>IFERROR(__xludf.DUMMYFUNCTION("""COMPUTED_VALUE"""),74.0)</f>
        <v>74</v>
      </c>
      <c r="F147" t="str">
        <f>IFERROR(__xludf.DUMMYFUNCTION("""COMPUTED_VALUE"""),"SG,SF")</f>
        <v>SG,SF</v>
      </c>
      <c r="G147" s="26">
        <f>IFERROR(__xludf.DUMMYFUNCTION("""COMPUTED_VALUE"""),-2.954936744704518)</f>
        <v>-2.954936745</v>
      </c>
      <c r="H147" s="26">
        <f>IFERROR(__xludf.DUMMYFUNCTION("""COMPUTED_VALUE"""),-3.165390916404058)</f>
        <v>-3.165390916</v>
      </c>
      <c r="I147" s="26">
        <f>IFERROR(__xludf.DUMMYFUNCTION("""COMPUTED_VALUE"""),-0.21045417169953984)</f>
        <v>-0.2104541717</v>
      </c>
      <c r="J147" s="26">
        <f>IFERROR(__xludf.DUMMYFUNCTION("""COMPUTED_VALUE"""),9.478630137)</f>
        <v>9.478630137</v>
      </c>
      <c r="K147" s="26">
        <f>IFERROR(__xludf.DUMMYFUNCTION("""COMPUTED_VALUE"""),1.654246575)</f>
        <v>1.654246575</v>
      </c>
      <c r="L147" s="26">
        <f>IFERROR(__xludf.DUMMYFUNCTION("""COMPUTED_VALUE"""),2.30630137)</f>
        <v>2.30630137</v>
      </c>
      <c r="M147" s="26">
        <f>IFERROR(__xludf.DUMMYFUNCTION("""COMPUTED_VALUE"""),5.625068493)</f>
        <v>5.625068493</v>
      </c>
      <c r="N147" s="26">
        <f>IFERROR(__xludf.DUMMYFUNCTION("""COMPUTED_VALUE"""),1.125068493)</f>
        <v>1.125068493</v>
      </c>
      <c r="O147" s="26">
        <f>IFERROR(__xludf.DUMMYFUNCTION("""COMPUTED_VALUE"""),0.2280821918)</f>
        <v>0.2280821918</v>
      </c>
      <c r="P147" s="464">
        <f>IFERROR(__xludf.DUMMYFUNCTION("""COMPUTED_VALUE"""),0.442868117)</f>
        <v>0.442868117</v>
      </c>
      <c r="Q147" s="464">
        <f>IFERROR(__xludf.DUMMYFUNCTION("""COMPUTED_VALUE"""),0.8239932413)</f>
        <v>0.8239932413</v>
      </c>
      <c r="R147" s="26">
        <f>IFERROR(__xludf.DUMMYFUNCTION("""COMPUTED_VALUE"""),0.9)</f>
        <v>0.9</v>
      </c>
      <c r="S147" s="26">
        <f>IFERROR(__xludf.DUMMYFUNCTION("""COMPUTED_VALUE"""),-1.443854251003038)</f>
        <v>-1.443854251</v>
      </c>
      <c r="T147" s="26">
        <f>IFERROR(__xludf.DUMMYFUNCTION("""COMPUTED_VALUE"""),-0.09365798358288892)</f>
        <v>-0.09365798358</v>
      </c>
      <c r="U147" s="26">
        <f>IFERROR(__xludf.DUMMYFUNCTION("""COMPUTED_VALUE"""),-1.480245251820238)</f>
        <v>-1.480245252</v>
      </c>
      <c r="V147" s="26">
        <f>IFERROR(__xludf.DUMMYFUNCTION("""COMPUTED_VALUE"""),0.768281914672934)</f>
        <v>0.7682819147</v>
      </c>
      <c r="W147" s="26">
        <f>IFERROR(__xludf.DUMMYFUNCTION("""COMPUTED_VALUE"""),0.4931652898210674)</f>
        <v>0.4931652898</v>
      </c>
      <c r="X147" s="26">
        <f>IFERROR(__xludf.DUMMYFUNCTION("""COMPUTED_VALUE"""),-0.9285393657349681)</f>
        <v>-0.9285393657</v>
      </c>
      <c r="Y147" s="26">
        <f>IFERROR(__xludf.DUMMYFUNCTION("""COMPUTED_VALUE"""),-0.5301216634272193)</f>
        <v>-0.5301216634</v>
      </c>
      <c r="Z147" s="26">
        <f>IFERROR(__xludf.DUMMYFUNCTION("""COMPUTED_VALUE"""),0.04958039467029265)</f>
        <v>0.04958039467</v>
      </c>
      <c r="AA147" s="26">
        <f>IFERROR(__xludf.DUMMYFUNCTION("""COMPUTED_VALUE"""),0.0)</f>
        <v>0</v>
      </c>
      <c r="AB147" t="str">
        <f>IFERROR(__xludf.DUMMYFUNCTION("SUBSTITUTE(REGEXREPLACE(REGEXREPLACE(REGEXREPLACE(REGEXREPLACE(REGEXREPLACE(REGEXREPLACE(F147,"","",),IF(Projections!$T$17="""",""PG"",),),IF(Projections!$U$17="""",""SG"",),),IF(Projections!$V$17="""",""SF"",),),IF(Projections!$W$17="""",""PF"",),),IF(Pr"&amp;"ojections!$X$17="""",""C"",),),""/"","""")"),"SGSF")</f>
        <v>SGSF</v>
      </c>
    </row>
    <row r="148">
      <c r="A148" s="408" t="str">
        <f>IF(Projections!$AB$17,Draft!O15,"")</f>
        <v/>
      </c>
      <c r="B148">
        <f>IFERROR(__xludf.DUMMYFUNCTION("""COMPUTED_VALUE"""),146.0)</f>
        <v>146</v>
      </c>
      <c r="C148">
        <f>IFERROR(__xludf.DUMMYFUNCTION("""COMPUTED_VALUE"""),140.4)</f>
        <v>140.4</v>
      </c>
      <c r="D148" t="str">
        <f>IFERROR(__xludf.DUMMYFUNCTION("""COMPUTED_VALUE"""),"Kentavious Caldwell-Pope")</f>
        <v>Kentavious Caldwell-Pope</v>
      </c>
      <c r="E148">
        <f>IFERROR(__xludf.DUMMYFUNCTION("""COMPUTED_VALUE"""),78.0)</f>
        <v>78</v>
      </c>
      <c r="F148" t="str">
        <f>IFERROR(__xludf.DUMMYFUNCTION("""COMPUTED_VALUE"""),"SF,PF")</f>
        <v>SF,PF</v>
      </c>
      <c r="G148" s="26">
        <f>IFERROR(__xludf.DUMMYFUNCTION("""COMPUTED_VALUE"""),-3.009656657818715)</f>
        <v>-3.009656658</v>
      </c>
      <c r="H148" s="26">
        <f>IFERROR(__xludf.DUMMYFUNCTION("""COMPUTED_VALUE"""),-3.2102594844380743)</f>
        <v>-3.210259484</v>
      </c>
      <c r="I148" s="26">
        <f>IFERROR(__xludf.DUMMYFUNCTION("""COMPUTED_VALUE"""),-0.20060282661935913)</f>
        <v>-0.2006028266</v>
      </c>
      <c r="J148" s="26">
        <f>IFERROR(__xludf.DUMMYFUNCTION("""COMPUTED_VALUE"""),9.478219178)</f>
        <v>9.478219178</v>
      </c>
      <c r="K148" s="26">
        <f>IFERROR(__xludf.DUMMYFUNCTION("""COMPUTED_VALUE"""),1.793424658)</f>
        <v>1.793424658</v>
      </c>
      <c r="L148" s="26">
        <f>IFERROR(__xludf.DUMMYFUNCTION("""COMPUTED_VALUE"""),2.819041096)</f>
        <v>2.819041096</v>
      </c>
      <c r="M148" s="26">
        <f>IFERROR(__xludf.DUMMYFUNCTION("""COMPUTED_VALUE"""),2.31739726)</f>
        <v>2.31739726</v>
      </c>
      <c r="N148" s="26">
        <f>IFERROR(__xludf.DUMMYFUNCTION("""COMPUTED_VALUE"""),1.252739726)</f>
        <v>1.252739726</v>
      </c>
      <c r="O148" s="26">
        <f>IFERROR(__xludf.DUMMYFUNCTION("""COMPUTED_VALUE"""),0.4384931507)</f>
        <v>0.4384931507</v>
      </c>
      <c r="P148" s="464">
        <f>IFERROR(__xludf.DUMMYFUNCTION("""COMPUTED_VALUE"""),0.4456973508)</f>
        <v>0.4456973508</v>
      </c>
      <c r="Q148" s="464">
        <f>IFERROR(__xludf.DUMMYFUNCTION("""COMPUTED_VALUE"""),0.874015748)</f>
        <v>0.874015748</v>
      </c>
      <c r="R148" s="26">
        <f>IFERROR(__xludf.DUMMYFUNCTION("""COMPUTED_VALUE"""),0.9397260274)</f>
        <v>0.9397260274</v>
      </c>
      <c r="S148" s="26">
        <f>IFERROR(__xludf.DUMMYFUNCTION("""COMPUTED_VALUE"""),-1.44392832868008)</f>
        <v>-1.443928329</v>
      </c>
      <c r="T148" s="26">
        <f>IFERROR(__xludf.DUMMYFUNCTION("""COMPUTED_VALUE"""),0.04439672895361467)</f>
        <v>0.04439672895</v>
      </c>
      <c r="U148" s="26">
        <f>IFERROR(__xludf.DUMMYFUNCTION("""COMPUTED_VALUE"""),-1.2792989659007274)</f>
        <v>-1.279298966</v>
      </c>
      <c r="V148" s="26">
        <f>IFERROR(__xludf.DUMMYFUNCTION("""COMPUTED_VALUE"""),-0.7338586381654532)</f>
        <v>-0.7338586382</v>
      </c>
      <c r="W148" s="26">
        <f>IFERROR(__xludf.DUMMYFUNCTION("""COMPUTED_VALUE"""),0.9155417381041921)</f>
        <v>0.9155417381</v>
      </c>
      <c r="X148" s="26">
        <f>IFERROR(__xludf.DUMMYFUNCTION("""COMPUTED_VALUE"""),-0.5532403167751768)</f>
        <v>-0.5532403168</v>
      </c>
      <c r="Y148" s="26">
        <f>IFERROR(__xludf.DUMMYFUNCTION("""COMPUTED_VALUE"""),-0.4545310211842989)</f>
        <v>-0.4545310212</v>
      </c>
      <c r="Z148" s="26">
        <f>IFERROR(__xludf.DUMMYFUNCTION("""COMPUTED_VALUE"""),0.2946593192098554)</f>
        <v>0.2946593192</v>
      </c>
      <c r="AA148" s="26">
        <f>IFERROR(__xludf.DUMMYFUNCTION("""COMPUTED_VALUE"""),0.0)</f>
        <v>0</v>
      </c>
      <c r="AB148" t="str">
        <f>IFERROR(__xludf.DUMMYFUNCTION("SUBSTITUTE(REGEXREPLACE(REGEXREPLACE(REGEXREPLACE(REGEXREPLACE(REGEXREPLACE(REGEXREPLACE(F148,"","",),IF(Projections!$T$17="""",""PG"",),),IF(Projections!$U$17="""",""SG"",),),IF(Projections!$V$17="""",""SF"",),),IF(Projections!$W$17="""",""PF"",),),IF(Pr"&amp;"ojections!$X$17="""",""C"",),),""/"","""")"),"SFPF")</f>
        <v>SFPF</v>
      </c>
    </row>
    <row r="149">
      <c r="B149">
        <f>IFERROR(__xludf.DUMMYFUNCTION("""COMPUTED_VALUE"""),138.0)</f>
        <v>138</v>
      </c>
      <c r="C149">
        <f>IFERROR(__xludf.DUMMYFUNCTION("""COMPUTED_VALUE"""),143.4)</f>
        <v>143.4</v>
      </c>
      <c r="D149" t="str">
        <f>IFERROR(__xludf.DUMMYFUNCTION("""COMPUTED_VALUE"""),"T.J. McConnell")</f>
        <v>T.J. McConnell</v>
      </c>
      <c r="E149">
        <f>IFERROR(__xludf.DUMMYFUNCTION("""COMPUTED_VALUE"""),68.0)</f>
        <v>68</v>
      </c>
      <c r="F149" t="str">
        <f>IFERROR(__xludf.DUMMYFUNCTION("""COMPUTED_VALUE"""),"PG,SG")</f>
        <v>PG,SG</v>
      </c>
      <c r="G149" s="26">
        <f>IFERROR(__xludf.DUMMYFUNCTION("""COMPUTED_VALUE"""),-3.2594653740851)</f>
        <v>-3.259465374</v>
      </c>
      <c r="H149" s="26">
        <f>IFERROR(__xludf.DUMMYFUNCTION("""COMPUTED_VALUE"""),-3.267321538793093)</f>
        <v>-3.267321539</v>
      </c>
      <c r="I149" s="26">
        <f>IFERROR(__xludf.DUMMYFUNCTION("""COMPUTED_VALUE"""),-0.00785616470799333)</f>
        <v>-0.007856164708</v>
      </c>
      <c r="J149" s="26">
        <f>IFERROR(__xludf.DUMMYFUNCTION("""COMPUTED_VALUE"""),10.5009589)</f>
        <v>10.5009589</v>
      </c>
      <c r="K149" s="26">
        <f>IFERROR(__xludf.DUMMYFUNCTION("""COMPUTED_VALUE"""),0.2819178082)</f>
        <v>0.2819178082</v>
      </c>
      <c r="L149" s="26">
        <f>IFERROR(__xludf.DUMMYFUNCTION("""COMPUTED_VALUE"""),2.961232877)</f>
        <v>2.961232877</v>
      </c>
      <c r="M149" s="26">
        <f>IFERROR(__xludf.DUMMYFUNCTION("""COMPUTED_VALUE"""),5.917260274)</f>
        <v>5.917260274</v>
      </c>
      <c r="N149" s="26">
        <f>IFERROR(__xludf.DUMMYFUNCTION("""COMPUTED_VALUE"""),1.07260274)</f>
        <v>1.07260274</v>
      </c>
      <c r="O149" s="26">
        <f>IFERROR(__xludf.DUMMYFUNCTION("""COMPUTED_VALUE"""),0.1287671233)</f>
        <v>0.1287671233</v>
      </c>
      <c r="P149" s="464">
        <f>IFERROR(__xludf.DUMMYFUNCTION("""COMPUTED_VALUE"""),0.5480603977)</f>
        <v>0.5480603977</v>
      </c>
      <c r="Q149" s="464">
        <f>IFERROR(__xludf.DUMMYFUNCTION("""COMPUTED_VALUE"""),0.8099744246)</f>
        <v>0.8099744246</v>
      </c>
      <c r="R149" s="26">
        <f>IFERROR(__xludf.DUMMYFUNCTION("""COMPUTED_VALUE"""),1.716986301)</f>
        <v>1.716986301</v>
      </c>
      <c r="S149" s="26">
        <f>IFERROR(__xludf.DUMMYFUNCTION("""COMPUTED_VALUE"""),-1.259573726823998)</f>
        <v>-1.259573727</v>
      </c>
      <c r="T149" s="26">
        <f>IFERROR(__xludf.DUMMYFUNCTION("""COMPUTED_VALUE"""),-1.4549100523166452)</f>
        <v>-1.454910052</v>
      </c>
      <c r="U149" s="26">
        <f>IFERROR(__xludf.DUMMYFUNCTION("""COMPUTED_VALUE"""),-1.223573012105155)</f>
        <v>-1.223573012</v>
      </c>
      <c r="V149" s="26">
        <f>IFERROR(__xludf.DUMMYFUNCTION("""COMPUTED_VALUE"""),0.9009774253594927)</f>
        <v>0.9009774254</v>
      </c>
      <c r="W149" s="26">
        <f>IFERROR(__xludf.DUMMYFUNCTION("""COMPUTED_VALUE"""),0.31959213721714724)</f>
        <v>0.3195921372</v>
      </c>
      <c r="X149" s="26">
        <f>IFERROR(__xludf.DUMMYFUNCTION("""COMPUTED_VALUE"""),-1.1056824715422129)</f>
        <v>-1.105682472</v>
      </c>
      <c r="Y149" s="26">
        <f>IFERROR(__xludf.DUMMYFUNCTION("""COMPUTED_VALUE"""),0.5276338393653612)</f>
        <v>0.5276338394</v>
      </c>
      <c r="Z149" s="26">
        <f>IFERROR(__xludf.DUMMYFUNCTION("""COMPUTED_VALUE"""),0.028214322052917355)</f>
        <v>0.02821432205</v>
      </c>
      <c r="AA149" s="26">
        <f>IFERROR(__xludf.DUMMYFUNCTION("""COMPUTED_VALUE"""),0.0)</f>
        <v>0</v>
      </c>
      <c r="AB149" t="str">
        <f>IFERROR(__xludf.DUMMYFUNCTION("SUBSTITUTE(REGEXREPLACE(REGEXREPLACE(REGEXREPLACE(REGEXREPLACE(REGEXREPLACE(REGEXREPLACE(F149,"","",),IF(Projections!$T$17="""",""PG"",),),IF(Projections!$U$17="""",""SG"",),),IF(Projections!$V$17="""",""SF"",),),IF(Projections!$W$17="""",""PF"",),),IF(Pr"&amp;"ojections!$X$17="""",""C"",),),""/"","""")"),"PGSG")</f>
        <v>PGSG</v>
      </c>
    </row>
    <row r="150">
      <c r="B150">
        <f>IFERROR(__xludf.DUMMYFUNCTION("""COMPUTED_VALUE"""),145.0)</f>
        <v>145</v>
      </c>
      <c r="C150">
        <f>IFERROR(__xludf.DUMMYFUNCTION("""COMPUTED_VALUE"""),139.1)</f>
        <v>139.1</v>
      </c>
      <c r="D150" t="str">
        <f>IFERROR(__xludf.DUMMYFUNCTION("""COMPUTED_VALUE"""),"Ayo Dosunmu")</f>
        <v>Ayo Dosunmu</v>
      </c>
      <c r="E150">
        <f>IFERROR(__xludf.DUMMYFUNCTION("""COMPUTED_VALUE"""),64.0)</f>
        <v>64</v>
      </c>
      <c r="F150" t="str">
        <f>IFERROR(__xludf.DUMMYFUNCTION("""COMPUTED_VALUE"""),"SG,SF")</f>
        <v>SG,SF</v>
      </c>
      <c r="G150" s="26">
        <f>IFERROR(__xludf.DUMMYFUNCTION("""COMPUTED_VALUE"""),-3.2814992268111376)</f>
        <v>-3.281499227</v>
      </c>
      <c r="H150" s="26">
        <f>IFERROR(__xludf.DUMMYFUNCTION("""COMPUTED_VALUE"""),-3.3435038192058264)</f>
        <v>-3.343503819</v>
      </c>
      <c r="I150" s="26">
        <f>IFERROR(__xludf.DUMMYFUNCTION("""COMPUTED_VALUE"""),-0.06200459239468881)</f>
        <v>-0.06200459239</v>
      </c>
      <c r="J150" s="26">
        <f>IFERROR(__xludf.DUMMYFUNCTION("""COMPUTED_VALUE"""),12.60123288)</f>
        <v>12.60123288</v>
      </c>
      <c r="K150" s="26">
        <f>IFERROR(__xludf.DUMMYFUNCTION("""COMPUTED_VALUE"""),1.560136986)</f>
        <v>1.560136986</v>
      </c>
      <c r="L150" s="26">
        <f>IFERROR(__xludf.DUMMYFUNCTION("""COMPUTED_VALUE"""),2.817534247)</f>
        <v>2.817534247</v>
      </c>
      <c r="M150" s="26">
        <f>IFERROR(__xludf.DUMMYFUNCTION("""COMPUTED_VALUE"""),3.341369863)</f>
        <v>3.341369863</v>
      </c>
      <c r="N150" s="26">
        <f>IFERROR(__xludf.DUMMYFUNCTION("""COMPUTED_VALUE"""),0.8887671233)</f>
        <v>0.8887671233</v>
      </c>
      <c r="O150" s="26">
        <f>IFERROR(__xludf.DUMMYFUNCTION("""COMPUTED_VALUE"""),0.438630137)</f>
        <v>0.438630137</v>
      </c>
      <c r="P150" s="464">
        <f>IFERROR(__xludf.DUMMYFUNCTION("""COMPUTED_VALUE"""),0.4892553029)</f>
        <v>0.4892553029</v>
      </c>
      <c r="Q150" s="464">
        <f>IFERROR(__xludf.DUMMYFUNCTION("""COMPUTED_VALUE"""),0.8300375878)</f>
        <v>0.8300375878</v>
      </c>
      <c r="R150" s="26">
        <f>IFERROR(__xludf.DUMMYFUNCTION("""COMPUTED_VALUE"""),1.498630137)</f>
        <v>1.498630137</v>
      </c>
      <c r="S150" s="26">
        <f>IFERROR(__xludf.DUMMYFUNCTION("""COMPUTED_VALUE"""),-0.8809874990255747)</f>
        <v>-0.880987499</v>
      </c>
      <c r="T150" s="26">
        <f>IFERROR(__xludf.DUMMYFUNCTION("""COMPUTED_VALUE"""),-0.18700797070926342)</f>
        <v>-0.1870079707</v>
      </c>
      <c r="U150" s="26">
        <f>IFERROR(__xludf.DUMMYFUNCTION("""COMPUTED_VALUE"""),-1.2798895105662513)</f>
        <v>-1.279889511</v>
      </c>
      <c r="V150" s="26">
        <f>IFERROR(__xludf.DUMMYFUNCTION("""COMPUTED_VALUE"""),-0.2688333488876228)</f>
        <v>-0.2688333489</v>
      </c>
      <c r="W150" s="26">
        <f>IFERROR(__xludf.DUMMYFUNCTION("""COMPUTED_VALUE"""),-0.2885936930997252)</f>
        <v>-0.2885936931</v>
      </c>
      <c r="X150" s="26">
        <f>IFERROR(__xludf.DUMMYFUNCTION("""COMPUTED_VALUE"""),-0.5529959814592823)</f>
        <v>-0.5529959815</v>
      </c>
      <c r="Y150" s="26">
        <f>IFERROR(__xludf.DUMMYFUNCTION("""COMPUTED_VALUE"""),-0.09166513970388371)</f>
        <v>-0.0916651397</v>
      </c>
      <c r="Z150" s="26">
        <f>IFERROR(__xludf.DUMMYFUNCTION("""COMPUTED_VALUE"""),0.20646932424577752)</f>
        <v>0.2064693242</v>
      </c>
      <c r="AA150" s="26">
        <f>IFERROR(__xludf.DUMMYFUNCTION("""COMPUTED_VALUE"""),0.0)</f>
        <v>0</v>
      </c>
      <c r="AB150" t="str">
        <f>IFERROR(__xludf.DUMMYFUNCTION("SUBSTITUTE(REGEXREPLACE(REGEXREPLACE(REGEXREPLACE(REGEXREPLACE(REGEXREPLACE(REGEXREPLACE(F150,"","",),IF(Projections!$T$17="""",""PG"",),),IF(Projections!$U$17="""",""SG"",),),IF(Projections!$V$17="""",""SF"",),),IF(Projections!$W$17="""",""PF"",),),IF(Pr"&amp;"ojections!$X$17="""",""C"",),),""/"","""")"),"SGSF")</f>
        <v>SGSF</v>
      </c>
    </row>
    <row r="151">
      <c r="B151">
        <f>IFERROR(__xludf.DUMMYFUNCTION("""COMPUTED_VALUE"""),147.0)</f>
        <v>147</v>
      </c>
      <c r="C151">
        <f>IFERROR(__xludf.DUMMYFUNCTION("""COMPUTED_VALUE"""),123.8)</f>
        <v>123.8</v>
      </c>
      <c r="D151" t="str">
        <f>IFERROR(__xludf.DUMMYFUNCTION("""COMPUTED_VALUE"""),"Deni Avdija")</f>
        <v>Deni Avdija</v>
      </c>
      <c r="E151">
        <f>IFERROR(__xludf.DUMMYFUNCTION("""COMPUTED_VALUE"""),67.0)</f>
        <v>67</v>
      </c>
      <c r="F151" t="str">
        <f>IFERROR(__xludf.DUMMYFUNCTION("""COMPUTED_VALUE"""),"C")</f>
        <v>C</v>
      </c>
      <c r="G151" s="26">
        <f>IFERROR(__xludf.DUMMYFUNCTION("""COMPUTED_VALUE"""),-3.431040136343761)</f>
        <v>-3.431040136</v>
      </c>
      <c r="H151" s="26">
        <f>IFERROR(__xludf.DUMMYFUNCTION("""COMPUTED_VALUE"""),-3.3890336900763294)</f>
        <v>-3.38903369</v>
      </c>
      <c r="I151" s="26">
        <f>IFERROR(__xludf.DUMMYFUNCTION("""COMPUTED_VALUE"""),0.04200644626743166)</f>
        <v>0.04200644627</v>
      </c>
      <c r="J151" s="26">
        <f>IFERROR(__xludf.DUMMYFUNCTION("""COMPUTED_VALUE"""),12.90701493)</f>
        <v>12.90701493</v>
      </c>
      <c r="K151" s="26">
        <f>IFERROR(__xludf.DUMMYFUNCTION("""COMPUTED_VALUE"""),1.275522388)</f>
        <v>1.275522388</v>
      </c>
      <c r="L151" s="26">
        <f>IFERROR(__xludf.DUMMYFUNCTION("""COMPUTED_VALUE"""),6.393731343)</f>
        <v>6.393731343</v>
      </c>
      <c r="M151" s="26">
        <f>IFERROR(__xludf.DUMMYFUNCTION("""COMPUTED_VALUE"""),3.196865672)</f>
        <v>3.196865672</v>
      </c>
      <c r="N151" s="26">
        <f>IFERROR(__xludf.DUMMYFUNCTION("""COMPUTED_VALUE"""),0.8311940299)</f>
        <v>0.8311940299</v>
      </c>
      <c r="O151" s="26">
        <f>IFERROR(__xludf.DUMMYFUNCTION("""COMPUTED_VALUE"""),0.4514925373)</f>
        <v>0.4514925373</v>
      </c>
      <c r="P151" s="464">
        <f>IFERROR(__xludf.DUMMYFUNCTION("""COMPUTED_VALUE"""),0.4801892371)</f>
        <v>0.4801892371</v>
      </c>
      <c r="Q151" s="464">
        <f>IFERROR(__xludf.DUMMYFUNCTION("""COMPUTED_VALUE"""),0.7359894723)</f>
        <v>0.7359894723</v>
      </c>
      <c r="R151" s="26">
        <f>IFERROR(__xludf.DUMMYFUNCTION("""COMPUTED_VALUE"""),1.918059701)</f>
        <v>1.918059701</v>
      </c>
      <c r="S151" s="26">
        <f>IFERROR(__xludf.DUMMYFUNCTION("""COMPUTED_VALUE"""),-0.8258685602869397)</f>
        <v>-0.8258685603</v>
      </c>
      <c r="T151" s="26">
        <f>IFERROR(__xludf.DUMMYFUNCTION("""COMPUTED_VALUE"""),-0.46932531309270853)</f>
        <v>-0.4693253131</v>
      </c>
      <c r="U151" s="26">
        <f>IFERROR(__xludf.DUMMYFUNCTION("""COMPUTED_VALUE"""),0.12164715163756544)</f>
        <v>0.1216471516</v>
      </c>
      <c r="V151" s="26">
        <f>IFERROR(__xludf.DUMMYFUNCTION("""COMPUTED_VALUE"""),-0.3344582523516014)</f>
        <v>-0.3344582524</v>
      </c>
      <c r="W151" s="26">
        <f>IFERROR(__xludf.DUMMYFUNCTION("""COMPUTED_VALUE"""),-0.4790635282815048)</f>
        <v>-0.4790635283</v>
      </c>
      <c r="X151" s="26">
        <f>IFERROR(__xludf.DUMMYFUNCTION("""COMPUTED_VALUE"""),-0.5300539891544788)</f>
        <v>-0.5300539892</v>
      </c>
      <c r="Y151" s="26">
        <f>IFERROR(__xludf.DUMMYFUNCTION("""COMPUTED_VALUE"""),-0.19028563856465452)</f>
        <v>-0.1902856386</v>
      </c>
      <c r="Z151" s="26">
        <f>IFERROR(__xludf.DUMMYFUNCTION("""COMPUTED_VALUE"""),-0.6816255599820072)</f>
        <v>-0.68162556</v>
      </c>
      <c r="AA151" s="26">
        <f>IFERROR(__xludf.DUMMYFUNCTION("""COMPUTED_VALUE"""),0.0)</f>
        <v>0</v>
      </c>
      <c r="AB151" t="str">
        <f>IFERROR(__xludf.DUMMYFUNCTION("SUBSTITUTE(REGEXREPLACE(REGEXREPLACE(REGEXREPLACE(REGEXREPLACE(REGEXREPLACE(REGEXREPLACE(F151,"","",),IF(Projections!$T$17="""",""PG"",),),IF(Projections!$U$17="""",""SG"",),),IF(Projections!$V$17="""",""SF"",),),IF(Projections!$W$17="""",""PF"",),),IF(Pr"&amp;"ojections!$X$17="""",""C"",),),""/"","""")"),"C")</f>
        <v>C</v>
      </c>
    </row>
    <row r="152">
      <c r="B152">
        <f>IFERROR(__xludf.DUMMYFUNCTION("""COMPUTED_VALUE"""),141.0)</f>
        <v>141</v>
      </c>
      <c r="C152">
        <f>IFERROR(__xludf.DUMMYFUNCTION("""COMPUTED_VALUE"""),139.1)</f>
        <v>139.1</v>
      </c>
      <c r="D152" t="str">
        <f>IFERROR(__xludf.DUMMYFUNCTION("""COMPUTED_VALUE"""),"Andre Drummond")</f>
        <v>Andre Drummond</v>
      </c>
      <c r="E152">
        <f>IFERROR(__xludf.DUMMYFUNCTION("""COMPUTED_VALUE"""),68.0)</f>
        <v>68</v>
      </c>
      <c r="F152" t="str">
        <f>IFERROR(__xludf.DUMMYFUNCTION("""COMPUTED_VALUE"""),"SG,SF")</f>
        <v>SG,SF</v>
      </c>
      <c r="G152" s="26">
        <f>IFERROR(__xludf.DUMMYFUNCTION("""COMPUTED_VALUE"""),-3.3471455098764293)</f>
        <v>-3.34714551</v>
      </c>
      <c r="H152" s="26">
        <f>IFERROR(__xludf.DUMMYFUNCTION("""COMPUTED_VALUE"""),-3.39800789124728)</f>
        <v>-3.398007891</v>
      </c>
      <c r="I152" s="26">
        <f>IFERROR(__xludf.DUMMYFUNCTION("""COMPUTED_VALUE"""),-0.05086238137085086)</f>
        <v>-0.05086238137</v>
      </c>
      <c r="J152" s="26">
        <f>IFERROR(__xludf.DUMMYFUNCTION("""COMPUTED_VALUE"""),8.595068493)</f>
        <v>8.595068493</v>
      </c>
      <c r="K152" s="26">
        <f>IFERROR(__xludf.DUMMYFUNCTION("""COMPUTED_VALUE"""),0.0)</f>
        <v>0</v>
      </c>
      <c r="L152" s="26">
        <f>IFERROR(__xludf.DUMMYFUNCTION("""COMPUTED_VALUE"""),11.06178082)</f>
        <v>11.06178082</v>
      </c>
      <c r="M152" s="26">
        <f>IFERROR(__xludf.DUMMYFUNCTION("""COMPUTED_VALUE"""),1.029041096)</f>
        <v>1.029041096</v>
      </c>
      <c r="N152" s="26">
        <f>IFERROR(__xludf.DUMMYFUNCTION("""COMPUTED_VALUE"""),1.098219178)</f>
        <v>1.098219178</v>
      </c>
      <c r="O152" s="26">
        <f>IFERROR(__xludf.DUMMYFUNCTION("""COMPUTED_VALUE"""),0.9004109589)</f>
        <v>0.9004109589</v>
      </c>
      <c r="P152" s="464">
        <f>IFERROR(__xludf.DUMMYFUNCTION("""COMPUTED_VALUE"""),0.5779897937)</f>
        <v>0.5779897937</v>
      </c>
      <c r="Q152" s="464">
        <f>IFERROR(__xludf.DUMMYFUNCTION("""COMPUTED_VALUE"""),0.5760051951)</f>
        <v>0.5760051951</v>
      </c>
      <c r="R152" s="26">
        <f>IFERROR(__xludf.DUMMYFUNCTION("""COMPUTED_VALUE"""),1.543561644)</f>
        <v>1.543561644</v>
      </c>
      <c r="S152" s="26">
        <f>IFERROR(__xludf.DUMMYFUNCTION("""COMPUTED_VALUE"""),-1.6031212195103246)</f>
        <v>-1.60312122</v>
      </c>
      <c r="T152" s="26">
        <f>IFERROR(__xludf.DUMMYFUNCTION("""COMPUTED_VALUE"""),-1.7345523719336797)</f>
        <v>-1.734552372</v>
      </c>
      <c r="U152" s="26">
        <f>IFERROR(__xludf.DUMMYFUNCTION("""COMPUTED_VALUE"""),1.9510884009229075)</f>
        <v>1.951088401</v>
      </c>
      <c r="V152" s="26">
        <f>IFERROR(__xludf.DUMMYFUNCTION("""COMPUTED_VALUE"""),-1.318950657328563)</f>
        <v>-1.318950657</v>
      </c>
      <c r="W152" s="26">
        <f>IFERROR(__xludf.DUMMYFUNCTION("""COMPUTED_VALUE"""),0.40433934178205366)</f>
        <v>0.4043393418</v>
      </c>
      <c r="X152" s="26">
        <f>IFERROR(__xludf.DUMMYFUNCTION("""COMPUTED_VALUE"""),0.2706583766262497)</f>
        <v>0.2706583766</v>
      </c>
      <c r="Y152" s="26">
        <f>IFERROR(__xludf.DUMMYFUNCTION("""COMPUTED_VALUE"""),0.5798428237230918)</f>
        <v>0.5798428237</v>
      </c>
      <c r="Z152" s="26">
        <f>IFERROR(__xludf.DUMMYFUNCTION("""COMPUTED_VALUE"""),-1.9473125855290154)</f>
        <v>-1.947312586</v>
      </c>
      <c r="AA152" s="26">
        <f>IFERROR(__xludf.DUMMYFUNCTION("""COMPUTED_VALUE"""),0.0)</f>
        <v>0</v>
      </c>
      <c r="AB152" t="str">
        <f>IFERROR(__xludf.DUMMYFUNCTION("SUBSTITUTE(REGEXREPLACE(REGEXREPLACE(REGEXREPLACE(REGEXREPLACE(REGEXREPLACE(REGEXREPLACE(F152,"","",),IF(Projections!$T$17="""",""PG"",),),IF(Projections!$U$17="""",""SG"",),),IF(Projections!$V$17="""",""SF"",),),IF(Projections!$W$17="""",""PF"",),),IF(Pr"&amp;"ojections!$X$17="""",""C"",),),""/"","""")"),"SGSF")</f>
        <v>SGSF</v>
      </c>
    </row>
    <row r="153">
      <c r="A153" s="408" t="str">
        <f>Draft!O19</f>
        <v/>
      </c>
      <c r="B153">
        <f>IFERROR(__xludf.DUMMYFUNCTION("""COMPUTED_VALUE"""),150.0)</f>
        <v>150</v>
      </c>
      <c r="C153">
        <f>IFERROR(__xludf.DUMMYFUNCTION("""COMPUTED_VALUE"""),139.1)</f>
        <v>139.1</v>
      </c>
      <c r="D153" t="str">
        <f>IFERROR(__xludf.DUMMYFUNCTION("""COMPUTED_VALUE"""),"Russell Westbrook")</f>
        <v>Russell Westbrook</v>
      </c>
      <c r="E153">
        <f>IFERROR(__xludf.DUMMYFUNCTION("""COMPUTED_VALUE"""),67.0)</f>
        <v>67</v>
      </c>
      <c r="F153" t="str">
        <f>IFERROR(__xludf.DUMMYFUNCTION("""COMPUTED_VALUE"""),"C")</f>
        <v>C</v>
      </c>
      <c r="G153" s="26">
        <f>IFERROR(__xludf.DUMMYFUNCTION("""COMPUTED_VALUE"""),-3.5967112513456825)</f>
        <v>-3.596711251</v>
      </c>
      <c r="H153" s="26">
        <f>IFERROR(__xludf.DUMMYFUNCTION("""COMPUTED_VALUE"""),-3.419803740369237)</f>
        <v>-3.41980374</v>
      </c>
      <c r="I153" s="26">
        <f>IFERROR(__xludf.DUMMYFUNCTION("""COMPUTED_VALUE"""),0.17690751097644553)</f>
        <v>0.176907511</v>
      </c>
      <c r="J153" s="26">
        <f>IFERROR(__xludf.DUMMYFUNCTION("""COMPUTED_VALUE"""),12.70205479)</f>
        <v>12.70205479</v>
      </c>
      <c r="K153" s="26">
        <f>IFERROR(__xludf.DUMMYFUNCTION("""COMPUTED_VALUE"""),0.7453424658)</f>
        <v>0.7453424658</v>
      </c>
      <c r="L153" s="26">
        <f>IFERROR(__xludf.DUMMYFUNCTION("""COMPUTED_VALUE"""),5.361369863)</f>
        <v>5.361369863</v>
      </c>
      <c r="M153" s="26">
        <f>IFERROR(__xludf.DUMMYFUNCTION("""COMPUTED_VALUE"""),5.042876712)</f>
        <v>5.042876712</v>
      </c>
      <c r="N153" s="26">
        <f>IFERROR(__xludf.DUMMYFUNCTION("""COMPUTED_VALUE"""),1.061643836)</f>
        <v>1.061643836</v>
      </c>
      <c r="O153" s="26">
        <f>IFERROR(__xludf.DUMMYFUNCTION("""COMPUTED_VALUE"""),0.4180821918)</f>
        <v>0.4180821918</v>
      </c>
      <c r="P153" s="464">
        <f>IFERROR(__xludf.DUMMYFUNCTION("""COMPUTED_VALUE"""),0.4572066175)</f>
        <v>0.4572066175</v>
      </c>
      <c r="Q153" s="464">
        <f>IFERROR(__xludf.DUMMYFUNCTION("""COMPUTED_VALUE"""),0.6950234367)</f>
        <v>0.6950234367</v>
      </c>
      <c r="R153" s="26">
        <f>IFERROR(__xludf.DUMMYFUNCTION("""COMPUTED_VALUE"""),2.462054795)</f>
        <v>2.462054795</v>
      </c>
      <c r="S153" s="26">
        <f>IFERROR(__xludf.DUMMYFUNCTION("""COMPUTED_VALUE"""),-0.8628137812393208)</f>
        <v>-0.8628137812</v>
      </c>
      <c r="T153" s="26">
        <f>IFERROR(__xludf.DUMMYFUNCTION("""COMPUTED_VALUE"""),-0.9952259087486125)</f>
        <v>-0.9952259087</v>
      </c>
      <c r="U153" s="26">
        <f>IFERROR(__xludf.DUMMYFUNCTION("""COMPUTED_VALUE"""),-0.2829425351236454)</f>
        <v>-0.2829425351</v>
      </c>
      <c r="V153" s="26">
        <f>IFERROR(__xludf.DUMMYFUNCTION("""COMPUTED_VALUE"""),0.5038862652370867)</f>
        <v>0.5038862652</v>
      </c>
      <c r="W153" s="26">
        <f>IFERROR(__xludf.DUMMYFUNCTION("""COMPUTED_VALUE"""),0.2833366484916978)</f>
        <v>0.2833366485</v>
      </c>
      <c r="X153" s="26">
        <f>IFERROR(__xludf.DUMMYFUNCTION("""COMPUTED_VALUE"""),-0.5896462792002043)</f>
        <v>-0.5896462792</v>
      </c>
      <c r="Y153" s="26">
        <f>IFERROR(__xludf.DUMMYFUNCTION("""COMPUTED_VALUE"""),-0.5117356776691171)</f>
        <v>-0.5117356777</v>
      </c>
      <c r="Z153" s="26">
        <f>IFERROR(__xludf.DUMMYFUNCTION("""COMPUTED_VALUE"""),-0.9646624721171216)</f>
        <v>-0.9646624721</v>
      </c>
      <c r="AA153" s="26">
        <f>IFERROR(__xludf.DUMMYFUNCTION("""COMPUTED_VALUE"""),0.0)</f>
        <v>0</v>
      </c>
      <c r="AB153" t="str">
        <f>IFERROR(__xludf.DUMMYFUNCTION("SUBSTITUTE(REGEXREPLACE(REGEXREPLACE(REGEXREPLACE(REGEXREPLACE(REGEXREPLACE(REGEXREPLACE(F153,"","",),IF(Projections!$T$17="""",""PG"",),),IF(Projections!$U$17="""",""SG"",),),IF(Projections!$V$17="""",""SF"",),),IF(Projections!$W$17="""",""PF"",),),IF(Pr"&amp;"ojections!$X$17="""",""C"",),),""/"","""")"),"C")</f>
        <v>C</v>
      </c>
    </row>
    <row r="154">
      <c r="A154" s="408" t="str">
        <f>Draft!O20</f>
        <v/>
      </c>
      <c r="B154">
        <f>IFERROR(__xludf.DUMMYFUNCTION("""COMPUTED_VALUE"""),154.0)</f>
        <v>154</v>
      </c>
      <c r="C154">
        <f>IFERROR(__xludf.DUMMYFUNCTION("""COMPUTED_VALUE"""),142.5)</f>
        <v>142.5</v>
      </c>
      <c r="D154" t="str">
        <f>IFERROR(__xludf.DUMMYFUNCTION("""COMPUTED_VALUE"""),"Kelly Oubre Jr.")</f>
        <v>Kelly Oubre Jr.</v>
      </c>
      <c r="E154">
        <f>IFERROR(__xludf.DUMMYFUNCTION("""COMPUTED_VALUE"""),62.0)</f>
        <v>62</v>
      </c>
      <c r="F154" t="str">
        <f>IFERROR(__xludf.DUMMYFUNCTION("""COMPUTED_VALUE"""),"SF,PF")</f>
        <v>SF,PF</v>
      </c>
      <c r="G154" s="26">
        <f>IFERROR(__xludf.DUMMYFUNCTION("""COMPUTED_VALUE"""),-3.3215609299146767)</f>
        <v>-3.32156093</v>
      </c>
      <c r="H154" s="26">
        <f>IFERROR(__xludf.DUMMYFUNCTION("""COMPUTED_VALUE"""),-3.4311577100356394)</f>
        <v>-3.43115771</v>
      </c>
      <c r="I154" s="26">
        <f>IFERROR(__xludf.DUMMYFUNCTION("""COMPUTED_VALUE"""),-0.10959678012096274)</f>
        <v>-0.1095967801</v>
      </c>
      <c r="J154" s="26">
        <f>IFERROR(__xludf.DUMMYFUNCTION("""COMPUTED_VALUE"""),14.67972603)</f>
        <v>14.67972603</v>
      </c>
      <c r="K154" s="26">
        <f>IFERROR(__xludf.DUMMYFUNCTION("""COMPUTED_VALUE"""),1.59)</f>
        <v>1.59</v>
      </c>
      <c r="L154" s="26">
        <f>IFERROR(__xludf.DUMMYFUNCTION("""COMPUTED_VALUE"""),5.226712329)</f>
        <v>5.226712329</v>
      </c>
      <c r="M154" s="26">
        <f>IFERROR(__xludf.DUMMYFUNCTION("""COMPUTED_VALUE"""),1.43739726)</f>
        <v>1.43739726</v>
      </c>
      <c r="N154" s="26">
        <f>IFERROR(__xludf.DUMMYFUNCTION("""COMPUTED_VALUE"""),1.102739726)</f>
        <v>1.102739726</v>
      </c>
      <c r="O154" s="26">
        <f>IFERROR(__xludf.DUMMYFUNCTION("""COMPUTED_VALUE"""),0.5226027397)</f>
        <v>0.5226027397</v>
      </c>
      <c r="P154" s="464">
        <f>IFERROR(__xludf.DUMMYFUNCTION("""COMPUTED_VALUE"""),0.4298018301)</f>
        <v>0.4298018301</v>
      </c>
      <c r="Q154" s="464">
        <f>IFERROR(__xludf.DUMMYFUNCTION("""COMPUTED_VALUE"""),0.7630009775)</f>
        <v>0.7630009775</v>
      </c>
      <c r="R154" s="26">
        <f>IFERROR(__xludf.DUMMYFUNCTION("""COMPUTED_VALUE"""),1.306712329)</f>
        <v>1.306712329</v>
      </c>
      <c r="S154" s="26">
        <f>IFERROR(__xludf.DUMMYFUNCTION("""COMPUTED_VALUE"""),-0.5063273886511356)</f>
        <v>-0.5063273887</v>
      </c>
      <c r="T154" s="26">
        <f>IFERROR(__xludf.DUMMYFUNCTION("""COMPUTED_VALUE"""),-0.15738599486092827)</f>
        <v>-0.1573859949</v>
      </c>
      <c r="U154" s="26">
        <f>IFERROR(__xludf.DUMMYFUNCTION("""COMPUTED_VALUE"""),-0.3357157648077841)</f>
        <v>-0.3357157648</v>
      </c>
      <c r="V154" s="26">
        <f>IFERROR(__xludf.DUMMYFUNCTION("""COMPUTED_VALUE"""),-1.1335004385081235)</f>
        <v>-1.133500439</v>
      </c>
      <c r="W154" s="26">
        <f>IFERROR(__xludf.DUMMYFUNCTION("""COMPUTED_VALUE"""),0.4192947312121333)</f>
        <v>0.4192947312</v>
      </c>
      <c r="X154" s="26">
        <f>IFERROR(__xludf.DUMMYFUNCTION("""COMPUTED_VALUE"""),-0.40321843138896407)</f>
        <v>-0.4032184314</v>
      </c>
      <c r="Y154" s="26">
        <f>IFERROR(__xludf.DUMMYFUNCTION("""COMPUTED_VALUE"""),-0.9994325474303937)</f>
        <v>-0.9994325474</v>
      </c>
      <c r="Z154" s="26">
        <f>IFERROR(__xludf.DUMMYFUNCTION("""COMPUTED_VALUE"""),-0.3148718756004439)</f>
        <v>-0.3148718756</v>
      </c>
      <c r="AA154" s="26">
        <f>IFERROR(__xludf.DUMMYFUNCTION("""COMPUTED_VALUE"""),0.0)</f>
        <v>0</v>
      </c>
      <c r="AB154" t="str">
        <f>IFERROR(__xludf.DUMMYFUNCTION("SUBSTITUTE(REGEXREPLACE(REGEXREPLACE(REGEXREPLACE(REGEXREPLACE(REGEXREPLACE(REGEXREPLACE(F154,"","",),IF(Projections!$T$17="""",""PG"",),),IF(Projections!$U$17="""",""SG"",),),IF(Projections!$V$17="""",""SF"",),),IF(Projections!$W$17="""",""PF"",),),IF(Pr"&amp;"ojections!$X$17="""",""C"",),),""/"","""")"),"SFPF")</f>
        <v>SFPF</v>
      </c>
    </row>
    <row r="155">
      <c r="A155" s="408" t="str">
        <f>Draft!O21</f>
        <v/>
      </c>
      <c r="B155">
        <f>IFERROR(__xludf.DUMMYFUNCTION("""COMPUTED_VALUE"""),149.0)</f>
        <v>149</v>
      </c>
      <c r="C155">
        <f>IFERROR(__xludf.DUMMYFUNCTION("""COMPUTED_VALUE"""),146.7)</f>
        <v>146.7</v>
      </c>
      <c r="D155" t="str">
        <f>IFERROR(__xludf.DUMMYFUNCTION("""COMPUTED_VALUE"""),"Vince Williams Jr.")</f>
        <v>Vince Williams Jr.</v>
      </c>
      <c r="E155">
        <f>IFERROR(__xludf.DUMMYFUNCTION("""COMPUTED_VALUE"""),80.0)</f>
        <v>80</v>
      </c>
      <c r="F155" t="str">
        <f>IFERROR(__xludf.DUMMYFUNCTION("""COMPUTED_VALUE"""),"SF,PF")</f>
        <v>SF,PF</v>
      </c>
      <c r="G155" s="26">
        <f>IFERROR(__xludf.DUMMYFUNCTION("""COMPUTED_VALUE"""),-3.4409842720015926)</f>
        <v>-3.440984272</v>
      </c>
      <c r="H155" s="26">
        <f>IFERROR(__xludf.DUMMYFUNCTION("""COMPUTED_VALUE"""),-3.52589748797895)</f>
        <v>-3.525897488</v>
      </c>
      <c r="I155" s="26">
        <f>IFERROR(__xludf.DUMMYFUNCTION("""COMPUTED_VALUE"""),-0.08491321597735757)</f>
        <v>-0.08491321598</v>
      </c>
      <c r="J155" s="26">
        <f>IFERROR(__xludf.DUMMYFUNCTION("""COMPUTED_VALUE"""),8.904642857)</f>
        <v>8.904642857</v>
      </c>
      <c r="K155" s="26">
        <f>IFERROR(__xludf.DUMMYFUNCTION("""COMPUTED_VALUE"""),1.300892857)</f>
        <v>1.300892857</v>
      </c>
      <c r="L155" s="26">
        <f>IFERROR(__xludf.DUMMYFUNCTION("""COMPUTED_VALUE"""),5.0625)</f>
        <v>5.0625</v>
      </c>
      <c r="M155" s="26">
        <f>IFERROR(__xludf.DUMMYFUNCTION("""COMPUTED_VALUE"""),2.75625)</f>
        <v>2.75625</v>
      </c>
      <c r="N155" s="26">
        <f>IFERROR(__xludf.DUMMYFUNCTION("""COMPUTED_VALUE"""),0.9403571429)</f>
        <v>0.9403571429</v>
      </c>
      <c r="O155" s="26">
        <f>IFERROR(__xludf.DUMMYFUNCTION("""COMPUTED_VALUE"""),0.6255357143)</f>
        <v>0.6255357143</v>
      </c>
      <c r="P155" s="464">
        <f>IFERROR(__xludf.DUMMYFUNCTION("""COMPUTED_VALUE"""),0.4638133531)</f>
        <v>0.4638133531</v>
      </c>
      <c r="Q155" s="464">
        <f>IFERROR(__xludf.DUMMYFUNCTION("""COMPUTED_VALUE"""),0.795026455)</f>
        <v>0.795026455</v>
      </c>
      <c r="R155" s="26">
        <f>IFERROR(__xludf.DUMMYFUNCTION("""COMPUTED_VALUE"""),1.40625)</f>
        <v>1.40625</v>
      </c>
      <c r="S155" s="26">
        <f>IFERROR(__xludf.DUMMYFUNCTION("""COMPUTED_VALUE"""),-1.5473186947893087)</f>
        <v>-1.547318695</v>
      </c>
      <c r="T155" s="26">
        <f>IFERROR(__xludf.DUMMYFUNCTION("""COMPUTED_VALUE"""),-0.44415962084279237)</f>
        <v>-0.4441596208</v>
      </c>
      <c r="U155" s="26">
        <f>IFERROR(__xludf.DUMMYFUNCTION("""COMPUTED_VALUE"""),-0.4000717254277394)</f>
        <v>-0.4000717254</v>
      </c>
      <c r="V155" s="26">
        <f>IFERROR(__xludf.DUMMYFUNCTION("""COMPUTED_VALUE"""),-0.5345587528257781)</f>
        <v>-0.5345587528</v>
      </c>
      <c r="W155" s="26">
        <f>IFERROR(__xludf.DUMMYFUNCTION("""COMPUTED_VALUE"""),-0.11791774101970712)</f>
        <v>-0.117917741</v>
      </c>
      <c r="X155" s="26">
        <f>IFERROR(__xludf.DUMMYFUNCTION("""COMPUTED_VALUE"""),-0.21962225523949863)</f>
        <v>-0.2196222552</v>
      </c>
      <c r="Y155" s="26">
        <f>IFERROR(__xludf.DUMMYFUNCTION("""COMPUTED_VALUE"""),-0.2625240967100026)</f>
        <v>-0.2625240967</v>
      </c>
      <c r="Z155" s="26">
        <f>IFERROR(__xludf.DUMMYFUNCTION("""COMPUTED_VALUE"""),2.7539887587689054E-4)</f>
        <v>0.0002753988759</v>
      </c>
      <c r="AA155" s="26">
        <f>IFERROR(__xludf.DUMMYFUNCTION("""COMPUTED_VALUE"""),0.0)</f>
        <v>0</v>
      </c>
      <c r="AB155" t="str">
        <f>IFERROR(__xludf.DUMMYFUNCTION("SUBSTITUTE(REGEXREPLACE(REGEXREPLACE(REGEXREPLACE(REGEXREPLACE(REGEXREPLACE(REGEXREPLACE(F155,"","",),IF(Projections!$T$17="""",""PG"",),),IF(Projections!$U$17="""",""SG"",),),IF(Projections!$V$17="""",""SF"",),),IF(Projections!$W$17="""",""PF"",),),IF(Pr"&amp;"ojections!$X$17="""",""C"",),),""/"","""")"),"SFPF")</f>
        <v>SFPF</v>
      </c>
    </row>
    <row r="156">
      <c r="A156" s="408" t="str">
        <f>Draft!O22</f>
        <v/>
      </c>
      <c r="B156">
        <f>IFERROR(__xludf.DUMMYFUNCTION("""COMPUTED_VALUE"""),151.0)</f>
        <v>151</v>
      </c>
      <c r="D156" t="str">
        <f>IFERROR(__xludf.DUMMYFUNCTION("""COMPUTED_VALUE"""),"Caleb Martin")</f>
        <v>Caleb Martin</v>
      </c>
      <c r="E156">
        <f>IFERROR(__xludf.DUMMYFUNCTION("""COMPUTED_VALUE"""),80.0)</f>
        <v>80</v>
      </c>
      <c r="F156" t="str">
        <f>IFERROR(__xludf.DUMMYFUNCTION("""COMPUTED_VALUE"""),"SF,PF")</f>
        <v>SF,PF</v>
      </c>
      <c r="G156" s="26">
        <f>IFERROR(__xludf.DUMMYFUNCTION("""COMPUTED_VALUE"""),-3.385250055070244)</f>
        <v>-3.385250055</v>
      </c>
      <c r="H156" s="26">
        <f>IFERROR(__xludf.DUMMYFUNCTION("""COMPUTED_VALUE"""),-3.5272538639255133)</f>
        <v>-3.527253864</v>
      </c>
      <c r="I156" s="26">
        <f>IFERROR(__xludf.DUMMYFUNCTION("""COMPUTED_VALUE"""),-0.1420038088552693)</f>
        <v>-0.1420038089</v>
      </c>
      <c r="J156" s="26">
        <f>IFERROR(__xludf.DUMMYFUNCTION("""COMPUTED_VALUE"""),9.806029412)</f>
        <v>9.806029412</v>
      </c>
      <c r="K156" s="26">
        <f>IFERROR(__xludf.DUMMYFUNCTION("""COMPUTED_VALUE"""),1.432058824)</f>
        <v>1.432058824</v>
      </c>
      <c r="L156" s="26">
        <f>IFERROR(__xludf.DUMMYFUNCTION("""COMPUTED_VALUE"""),4.965294118)</f>
        <v>4.965294118</v>
      </c>
      <c r="M156" s="26">
        <f>IFERROR(__xludf.DUMMYFUNCTION("""COMPUTED_VALUE"""),2.156029412)</f>
        <v>2.156029412</v>
      </c>
      <c r="N156" s="26">
        <f>IFERROR(__xludf.DUMMYFUNCTION("""COMPUTED_VALUE"""),1.045294118)</f>
        <v>1.045294118</v>
      </c>
      <c r="O156" s="26">
        <f>IFERROR(__xludf.DUMMYFUNCTION("""COMPUTED_VALUE"""),0.5780882353)</f>
        <v>0.5780882353</v>
      </c>
      <c r="P156" s="464">
        <f>IFERROR(__xludf.DUMMYFUNCTION("""COMPUTED_VALUE"""),0.4403147848)</f>
        <v>0.4403147848</v>
      </c>
      <c r="Q156" s="464">
        <f>IFERROR(__xludf.DUMMYFUNCTION("""COMPUTED_VALUE"""),0.8070547177)</f>
        <v>0.8070547177</v>
      </c>
      <c r="R156" s="26">
        <f>IFERROR(__xludf.DUMMYFUNCTION("""COMPUTED_VALUE"""),1.176029412)</f>
        <v>1.176029412</v>
      </c>
      <c r="S156" s="26">
        <f>IFERROR(__xludf.DUMMYFUNCTION("""COMPUTED_VALUE"""),-1.3848386855641954)</f>
        <v>-1.384838686</v>
      </c>
      <c r="T156" s="26">
        <f>IFERROR(__xludf.DUMMYFUNCTION("""COMPUTED_VALUE"""),-0.3140523548247835)</f>
        <v>-0.3140523548</v>
      </c>
      <c r="U156" s="26">
        <f>IFERROR(__xludf.DUMMYFUNCTION("""COMPUTED_VALUE"""),-0.43816739066868504)</f>
        <v>-0.4381673907</v>
      </c>
      <c r="V156" s="26">
        <f>IFERROR(__xludf.DUMMYFUNCTION("""COMPUTED_VALUE"""),-0.8071419759974331)</f>
        <v>-0.807141976</v>
      </c>
      <c r="W156" s="26">
        <f>IFERROR(__xludf.DUMMYFUNCTION("""COMPUTED_VALUE"""),0.22924665768483612)</f>
        <v>0.2292466577</v>
      </c>
      <c r="X156" s="26">
        <f>IFERROR(__xludf.DUMMYFUNCTION("""COMPUTED_VALUE"""),-0.3042518479058323)</f>
        <v>-0.3042518479</v>
      </c>
      <c r="Y156" s="26">
        <f>IFERROR(__xludf.DUMMYFUNCTION("""COMPUTED_VALUE"""),-0.5580967340267711)</f>
        <v>-0.558096734</v>
      </c>
      <c r="Z156" s="26">
        <f>IFERROR(__xludf.DUMMYFUNCTION("""COMPUTED_VALUE"""),0.050048467377351365)</f>
        <v>0.05004846738</v>
      </c>
      <c r="AA156" s="26">
        <f>IFERROR(__xludf.DUMMYFUNCTION("""COMPUTED_VALUE"""),0.0)</f>
        <v>0</v>
      </c>
      <c r="AB156" t="str">
        <f>IFERROR(__xludf.DUMMYFUNCTION("SUBSTITUTE(REGEXREPLACE(REGEXREPLACE(REGEXREPLACE(REGEXREPLACE(REGEXREPLACE(REGEXREPLACE(F156,"","",),IF(Projections!$T$17="""",""PG"",),),IF(Projections!$U$17="""",""SG"",),),IF(Projections!$V$17="""",""SF"",),),IF(Projections!$W$17="""",""PF"",),),IF(Pr"&amp;"ojections!$X$17="""",""C"",),),""/"","""")"),"SFPF")</f>
        <v>SFPF</v>
      </c>
    </row>
    <row r="157">
      <c r="B157">
        <f>IFERROR(__xludf.DUMMYFUNCTION("""COMPUTED_VALUE"""),137.0)</f>
        <v>137</v>
      </c>
      <c r="C157">
        <f>IFERROR(__xludf.DUMMYFUNCTION("""COMPUTED_VALUE"""),125.6)</f>
        <v>125.6</v>
      </c>
      <c r="D157" t="str">
        <f>IFERROR(__xludf.DUMMYFUNCTION("""COMPUTED_VALUE"""),"Trayce Jackson-Davis")</f>
        <v>Trayce Jackson-Davis</v>
      </c>
      <c r="E157">
        <f>IFERROR(__xludf.DUMMYFUNCTION("""COMPUTED_VALUE"""),52.0)</f>
        <v>52</v>
      </c>
      <c r="F157" t="str">
        <f>IFERROR(__xludf.DUMMYFUNCTION("""COMPUTED_VALUE"""),"PF,C")</f>
        <v>PF,C</v>
      </c>
      <c r="G157" s="26">
        <f>IFERROR(__xludf.DUMMYFUNCTION("""COMPUTED_VALUE"""),-3.4091133568749155)</f>
        <v>-3.409113357</v>
      </c>
      <c r="H157" s="26">
        <f>IFERROR(__xludf.DUMMYFUNCTION("""COMPUTED_VALUE"""),-3.6090707505472444)</f>
        <v>-3.609070751</v>
      </c>
      <c r="I157" s="26">
        <f>IFERROR(__xludf.DUMMYFUNCTION("""COMPUTED_VALUE"""),-0.1999573936723289)</f>
        <v>-0.1999573937</v>
      </c>
      <c r="J157" s="26">
        <f>IFERROR(__xludf.DUMMYFUNCTION("""COMPUTED_VALUE"""),11.94)</f>
        <v>11.94</v>
      </c>
      <c r="K157" s="26">
        <f>IFERROR(__xludf.DUMMYFUNCTION("""COMPUTED_VALUE"""),0.0)</f>
        <v>0</v>
      </c>
      <c r="L157" s="26">
        <f>IFERROR(__xludf.DUMMYFUNCTION("""COMPUTED_VALUE"""),6.416712329)</f>
        <v>6.416712329</v>
      </c>
      <c r="M157" s="26">
        <f>IFERROR(__xludf.DUMMYFUNCTION("""COMPUTED_VALUE"""),1.783150685)</f>
        <v>1.783150685</v>
      </c>
      <c r="N157" s="26">
        <f>IFERROR(__xludf.DUMMYFUNCTION("""COMPUTED_VALUE"""),0.6204109589)</f>
        <v>0.6204109589</v>
      </c>
      <c r="O157" s="26">
        <f>IFERROR(__xludf.DUMMYFUNCTION("""COMPUTED_VALUE"""),1.420821918)</f>
        <v>1.420821918</v>
      </c>
      <c r="P157" s="464">
        <f>IFERROR(__xludf.DUMMYFUNCTION("""COMPUTED_VALUE"""),0.7080075188)</f>
        <v>0.7080075188</v>
      </c>
      <c r="Q157" s="464">
        <f>IFERROR(__xludf.DUMMYFUNCTION("""COMPUTED_VALUE"""),0.6009957326)</f>
        <v>0.6009957326</v>
      </c>
      <c r="R157" s="26">
        <f>IFERROR(__xludf.DUMMYFUNCTION("""COMPUTED_VALUE"""),0.9423287671)</f>
        <v>0.9423287671</v>
      </c>
      <c r="S157" s="26">
        <f>IFERROR(__xludf.DUMMYFUNCTION("""COMPUTED_VALUE"""),-1.000178454167288)</f>
        <v>-1.000178454</v>
      </c>
      <c r="T157" s="26">
        <f>IFERROR(__xludf.DUMMYFUNCTION("""COMPUTED_VALUE"""),-1.7345523719336797)</f>
        <v>-1.734552372</v>
      </c>
      <c r="U157" s="26">
        <f>IFERROR(__xludf.DUMMYFUNCTION("""COMPUTED_VALUE"""),0.13065356083369692)</f>
        <v>0.1306535608</v>
      </c>
      <c r="V157" s="26">
        <f>IFERROR(__xludf.DUMMYFUNCTION("""COMPUTED_VALUE"""),-0.976480528006255)</f>
        <v>-0.976480528</v>
      </c>
      <c r="W157" s="26">
        <f>IFERROR(__xludf.DUMMYFUNCTION("""COMPUTED_VALUE"""),-1.1763999821966142)</f>
        <v>-1.176399982</v>
      </c>
      <c r="X157" s="26">
        <f>IFERROR(__xludf.DUMMYFUNCTION("""COMPUTED_VALUE"""),1.1988882513415955)</f>
        <v>1.198888251</v>
      </c>
      <c r="Y157" s="26">
        <f>IFERROR(__xludf.DUMMYFUNCTION("""COMPUTED_VALUE"""),1.7865646716251977)</f>
        <v>1.786564672</v>
      </c>
      <c r="Z157" s="26">
        <f>IFERROR(__xludf.DUMMYFUNCTION("""COMPUTED_VALUE"""),-1.8375658980438982)</f>
        <v>-1.837565898</v>
      </c>
      <c r="AA157" s="26">
        <f>IFERROR(__xludf.DUMMYFUNCTION("""COMPUTED_VALUE"""),0.0)</f>
        <v>0</v>
      </c>
      <c r="AB157" t="str">
        <f>IFERROR(__xludf.DUMMYFUNCTION("SUBSTITUTE(REGEXREPLACE(REGEXREPLACE(REGEXREPLACE(REGEXREPLACE(REGEXREPLACE(REGEXREPLACE(F157,"","",),IF(Projections!$T$17="""",""PG"",),),IF(Projections!$U$17="""",""SG"",),),IF(Projections!$V$17="""",""SF"",),),IF(Projections!$W$17="""",""PF"",),),IF(Pr"&amp;"ojections!$X$17="""",""C"",),),""/"","""")"),"PFC")</f>
        <v>PFC</v>
      </c>
    </row>
    <row r="158">
      <c r="B158">
        <f>IFERROR(__xludf.DUMMYFUNCTION("""COMPUTED_VALUE"""),153.0)</f>
        <v>153</v>
      </c>
      <c r="C158">
        <f>IFERROR(__xludf.DUMMYFUNCTION("""COMPUTED_VALUE"""),138.1)</f>
        <v>138.1</v>
      </c>
      <c r="D158" t="str">
        <f>IFERROR(__xludf.DUMMYFUNCTION("""COMPUTED_VALUE"""),"Ausar Thompson")</f>
        <v>Ausar Thompson</v>
      </c>
      <c r="E158">
        <f>IFERROR(__xludf.DUMMYFUNCTION("""COMPUTED_VALUE"""),74.0)</f>
        <v>74</v>
      </c>
      <c r="F158" t="str">
        <f>IFERROR(__xludf.DUMMYFUNCTION("""COMPUTED_VALUE"""),"PG,SG")</f>
        <v>PG,SG</v>
      </c>
      <c r="G158" s="26">
        <f>IFERROR(__xludf.DUMMYFUNCTION("""COMPUTED_VALUE"""),-3.5730499222155507)</f>
        <v>-3.573049922</v>
      </c>
      <c r="H158" s="26">
        <f>IFERROR(__xludf.DUMMYFUNCTION("""COMPUTED_VALUE"""),-3.6884585274544026)</f>
        <v>-3.688458527</v>
      </c>
      <c r="I158" s="26">
        <f>IFERROR(__xludf.DUMMYFUNCTION("""COMPUTED_VALUE"""),-0.11540860523885188)</f>
        <v>-0.1154086052</v>
      </c>
      <c r="J158" s="26">
        <f>IFERROR(__xludf.DUMMYFUNCTION("""COMPUTED_VALUE"""),9.374310345)</f>
        <v>9.374310345</v>
      </c>
      <c r="K158" s="26">
        <f>IFERROR(__xludf.DUMMYFUNCTION("""COMPUTED_VALUE"""),0.5210344828)</f>
        <v>0.5210344828</v>
      </c>
      <c r="L158" s="26">
        <f>IFERROR(__xludf.DUMMYFUNCTION("""COMPUTED_VALUE"""),5.568793103)</f>
        <v>5.568793103</v>
      </c>
      <c r="M158" s="26">
        <f>IFERROR(__xludf.DUMMYFUNCTION("""COMPUTED_VALUE"""),2.060517241)</f>
        <v>2.060517241</v>
      </c>
      <c r="N158" s="26">
        <f>IFERROR(__xludf.DUMMYFUNCTION("""COMPUTED_VALUE"""),1.336551724)</f>
        <v>1.336551724</v>
      </c>
      <c r="O158" s="26">
        <f>IFERROR(__xludf.DUMMYFUNCTION("""COMPUTED_VALUE"""),0.8910344828)</f>
        <v>0.8910344828</v>
      </c>
      <c r="P158" s="464">
        <f>IFERROR(__xludf.DUMMYFUNCTION("""COMPUTED_VALUE"""),0.5096156019)</f>
        <v>0.5096156019</v>
      </c>
      <c r="Q158" s="464">
        <f>IFERROR(__xludf.DUMMYFUNCTION("""COMPUTED_VALUE"""),0.5679607237)</f>
        <v>0.5679607237</v>
      </c>
      <c r="R158" s="26">
        <f>IFERROR(__xludf.DUMMYFUNCTION("""COMPUTED_VALUE"""),1.283275862)</f>
        <v>1.283275862</v>
      </c>
      <c r="S158" s="26">
        <f>IFERROR(__xludf.DUMMYFUNCTION("""COMPUTED_VALUE"""),-1.4626584817434465)</f>
        <v>-1.462658482</v>
      </c>
      <c r="T158" s="26">
        <f>IFERROR(__xludf.DUMMYFUNCTION("""COMPUTED_VALUE"""),-1.217723398620692)</f>
        <v>-1.217723399</v>
      </c>
      <c r="U158" s="26">
        <f>IFERROR(__xludf.DUMMYFUNCTION("""COMPUTED_VALUE"""),-0.20165191616467823)</f>
        <v>-0.2016519162</v>
      </c>
      <c r="V158" s="26">
        <f>IFERROR(__xludf.DUMMYFUNCTION("""COMPUTED_VALUE"""),-0.8505177214213843)</f>
        <v>-0.8505177214</v>
      </c>
      <c r="W158" s="26">
        <f>IFERROR(__xludf.DUMMYFUNCTION("""COMPUTED_VALUE"""),1.192818092431814)</f>
        <v>1.192818092</v>
      </c>
      <c r="X158" s="26">
        <f>IFERROR(__xludf.DUMMYFUNCTION("""COMPUTED_VALUE"""),0.253934045434942)</f>
        <v>0.2539340454</v>
      </c>
      <c r="Y158" s="26">
        <f>IFERROR(__xludf.DUMMYFUNCTION("""COMPUTED_VALUE"""),0.10976589811870971)</f>
        <v>0.1097658981</v>
      </c>
      <c r="Z158" s="26">
        <f>IFERROR(__xludf.DUMMYFUNCTION("""COMPUTED_VALUE"""),-1.5124250454896666)</f>
        <v>-1.512425045</v>
      </c>
      <c r="AA158" s="26">
        <f>IFERROR(__xludf.DUMMYFUNCTION("""COMPUTED_VALUE"""),0.0)</f>
        <v>0</v>
      </c>
      <c r="AB158" t="str">
        <f>IFERROR(__xludf.DUMMYFUNCTION("SUBSTITUTE(REGEXREPLACE(REGEXREPLACE(REGEXREPLACE(REGEXREPLACE(REGEXREPLACE(REGEXREPLACE(F158,"","",),IF(Projections!$T$17="""",""PG"",),),IF(Projections!$U$17="""",""SG"",),),IF(Projections!$V$17="""",""SF"",),),IF(Projections!$W$17="""",""PF"",),),IF(Pr"&amp;"ojections!$X$17="""",""C"",),),""/"","""")"),"PGSG")</f>
        <v>PGSG</v>
      </c>
    </row>
    <row r="159">
      <c r="B159">
        <f>IFERROR(__xludf.DUMMYFUNCTION("""COMPUTED_VALUE"""),158.0)</f>
        <v>158</v>
      </c>
      <c r="C159">
        <f>IFERROR(__xludf.DUMMYFUNCTION("""COMPUTED_VALUE"""),144.2)</f>
        <v>144.2</v>
      </c>
      <c r="D159" t="str">
        <f>IFERROR(__xludf.DUMMYFUNCTION("""COMPUTED_VALUE"""),"Kevin Porter Jr.")</f>
        <v>Kevin Porter Jr.</v>
      </c>
      <c r="E159">
        <f>IFERROR(__xludf.DUMMYFUNCTION("""COMPUTED_VALUE"""),59.0)</f>
        <v>59</v>
      </c>
      <c r="F159" t="str">
        <f>IFERROR(__xludf.DUMMYFUNCTION("""COMPUTED_VALUE"""),"C")</f>
        <v>C</v>
      </c>
      <c r="G159" s="26">
        <f>IFERROR(__xludf.DUMMYFUNCTION("""COMPUTED_VALUE"""),-3.8101703437625414)</f>
        <v>-3.810170344</v>
      </c>
      <c r="H159" s="26">
        <f>IFERROR(__xludf.DUMMYFUNCTION("""COMPUTED_VALUE"""),-3.7040826140916594)</f>
        <v>-3.704082614</v>
      </c>
      <c r="I159" s="26">
        <f>IFERROR(__xludf.DUMMYFUNCTION("""COMPUTED_VALUE"""),0.10608772967088198)</f>
        <v>0.1060877297</v>
      </c>
      <c r="J159" s="26">
        <f>IFERROR(__xludf.DUMMYFUNCTION("""COMPUTED_VALUE"""),14.79735294)</f>
        <v>14.79735294</v>
      </c>
      <c r="K159" s="26">
        <f>IFERROR(__xludf.DUMMYFUNCTION("""COMPUTED_VALUE"""),1.981323529)</f>
        <v>1.981323529</v>
      </c>
      <c r="L159" s="26">
        <f>IFERROR(__xludf.DUMMYFUNCTION("""COMPUTED_VALUE"""),3.503529412)</f>
        <v>3.503529412</v>
      </c>
      <c r="M159" s="26">
        <f>IFERROR(__xludf.DUMMYFUNCTION("""COMPUTED_VALUE"""),3.397352941)</f>
        <v>3.397352941</v>
      </c>
      <c r="N159" s="26">
        <f>IFERROR(__xludf.DUMMYFUNCTION("""COMPUTED_VALUE"""),0.9176470588)</f>
        <v>0.9176470588</v>
      </c>
      <c r="O159" s="26">
        <f>IFERROR(__xludf.DUMMYFUNCTION("""COMPUTED_VALUE"""),0.2182352941)</f>
        <v>0.2182352941</v>
      </c>
      <c r="P159" s="464">
        <f>IFERROR(__xludf.DUMMYFUNCTION("""COMPUTED_VALUE"""),0.4538563244)</f>
        <v>0.4538563244</v>
      </c>
      <c r="Q159" s="464">
        <f>IFERROR(__xludf.DUMMYFUNCTION("""COMPUTED_VALUE"""),0.75)</f>
        <v>0.75</v>
      </c>
      <c r="R159" s="26">
        <f>IFERROR(__xludf.DUMMYFUNCTION("""COMPUTED_VALUE"""),2.176470588)</f>
        <v>2.176470588</v>
      </c>
      <c r="S159" s="26">
        <f>IFERROR(__xludf.DUMMYFUNCTION("""COMPUTED_VALUE"""),-0.48512447485581983)</f>
        <v>-0.4851244749</v>
      </c>
      <c r="T159" s="26">
        <f>IFERROR(__xludf.DUMMYFUNCTION("""COMPUTED_VALUE"""),0.23077898155180981)</f>
        <v>0.2307789816</v>
      </c>
      <c r="U159" s="26">
        <f>IFERROR(__xludf.DUMMYFUNCTION("""COMPUTED_VALUE"""),-1.0110432059491368)</f>
        <v>-1.011043206</v>
      </c>
      <c r="V159" s="26">
        <f>IFERROR(__xludf.DUMMYFUNCTION("""COMPUTED_VALUE"""),-0.24340928288689093)</f>
        <v>-0.2434092829</v>
      </c>
      <c r="W159" s="26">
        <f>IFERROR(__xludf.DUMMYFUNCTION("""COMPUTED_VALUE"""),-0.19304981609232036)</f>
        <v>-0.1930498161</v>
      </c>
      <c r="X159" s="26">
        <f>IFERROR(__xludf.DUMMYFUNCTION("""COMPUTED_VALUE"""),-0.9461027633894159)</f>
        <v>-0.9461027634</v>
      </c>
      <c r="Y159" s="26">
        <f>IFERROR(__xludf.DUMMYFUNCTION("""COMPUTED_VALUE"""),-0.5894225231597318)</f>
        <v>-0.5894225232</v>
      </c>
      <c r="Z159" s="26">
        <f>IFERROR(__xludf.DUMMYFUNCTION("""COMPUTED_VALUE"""),-0.4667095293101537)</f>
        <v>-0.4667095293</v>
      </c>
      <c r="AA159" s="26">
        <f>IFERROR(__xludf.DUMMYFUNCTION("""COMPUTED_VALUE"""),0.0)</f>
        <v>0</v>
      </c>
      <c r="AB159" t="str">
        <f>IFERROR(__xludf.DUMMYFUNCTION("SUBSTITUTE(REGEXREPLACE(REGEXREPLACE(REGEXREPLACE(REGEXREPLACE(REGEXREPLACE(REGEXREPLACE(F159,"","",),IF(Projections!$T$17="""",""PG"",),),IF(Projections!$U$17="""",""SG"",),),IF(Projections!$V$17="""",""SF"",),),IF(Projections!$W$17="""",""PF"",),),IF(Pr"&amp;"ojections!$X$17="""",""C"",),),""/"","""")"),"C")</f>
        <v>C</v>
      </c>
    </row>
    <row r="160">
      <c r="B160">
        <f>IFERROR(__xludf.DUMMYFUNCTION("""COMPUTED_VALUE"""),163.0)</f>
        <v>163</v>
      </c>
      <c r="C160">
        <f>IFERROR(__xludf.DUMMYFUNCTION("""COMPUTED_VALUE"""),139.0)</f>
        <v>139</v>
      </c>
      <c r="D160" t="str">
        <f>IFERROR(__xludf.DUMMYFUNCTION("""COMPUTED_VALUE"""),"Dennis Schröder")</f>
        <v>Dennis Schröder</v>
      </c>
      <c r="E160">
        <f>IFERROR(__xludf.DUMMYFUNCTION("""COMPUTED_VALUE"""),38.0)</f>
        <v>38</v>
      </c>
      <c r="F160" t="str">
        <f>IFERROR(__xludf.DUMMYFUNCTION("""COMPUTED_VALUE"""),"C")</f>
        <v>C</v>
      </c>
      <c r="G160" s="26">
        <f>IFERROR(__xludf.DUMMYFUNCTION("""COMPUTED_VALUE"""),-3.8728637638393963)</f>
        <v>-3.872863764</v>
      </c>
      <c r="H160" s="26">
        <f>IFERROR(__xludf.DUMMYFUNCTION("""COMPUTED_VALUE"""),-3.8374079801661933)</f>
        <v>-3.83740798</v>
      </c>
      <c r="I160" s="26">
        <f>IFERROR(__xludf.DUMMYFUNCTION("""COMPUTED_VALUE"""),0.03545578367320301)</f>
        <v>0.03545578367</v>
      </c>
      <c r="J160" s="26">
        <f>IFERROR(__xludf.DUMMYFUNCTION("""COMPUTED_VALUE"""),13.64767123)</f>
        <v>13.64767123</v>
      </c>
      <c r="K160" s="26">
        <f>IFERROR(__xludf.DUMMYFUNCTION("""COMPUTED_VALUE"""),1.700410959)</f>
        <v>1.700410959</v>
      </c>
      <c r="L160" s="26">
        <f>IFERROR(__xludf.DUMMYFUNCTION("""COMPUTED_VALUE"""),3.112054795)</f>
        <v>3.112054795</v>
      </c>
      <c r="M160" s="26">
        <f>IFERROR(__xludf.DUMMYFUNCTION("""COMPUTED_VALUE"""),5.735890411)</f>
        <v>5.735890411</v>
      </c>
      <c r="N160" s="26">
        <f>IFERROR(__xludf.DUMMYFUNCTION("""COMPUTED_VALUE"""),0.6102739726)</f>
        <v>0.6102739726</v>
      </c>
      <c r="O160" s="26">
        <f>IFERROR(__xludf.DUMMYFUNCTION("""COMPUTED_VALUE"""),0.2468493151)</f>
        <v>0.2468493151</v>
      </c>
      <c r="P160" s="464">
        <f>IFERROR(__xludf.DUMMYFUNCTION("""COMPUTED_VALUE"""),0.4200946529)</f>
        <v>0.4200946529</v>
      </c>
      <c r="Q160" s="464">
        <f>IFERROR(__xludf.DUMMYFUNCTION("""COMPUTED_VALUE"""),0.8450011571)</f>
        <v>0.8450011571</v>
      </c>
      <c r="R160" s="26">
        <f>IFERROR(__xludf.DUMMYFUNCTION("""COMPUTED_VALUE"""),1.891643836)</f>
        <v>1.891643836</v>
      </c>
      <c r="S160" s="26">
        <f>IFERROR(__xludf.DUMMYFUNCTION("""COMPUTED_VALUE"""),-0.6923610858420401)</f>
        <v>-0.6923610858</v>
      </c>
      <c r="T160" s="26">
        <f>IFERROR(__xludf.DUMMYFUNCTION("""COMPUTED_VALUE"""),-0.04786621360611189)</f>
        <v>-0.04786621361</v>
      </c>
      <c r="U160" s="26">
        <f>IFERROR(__xludf.DUMMYFUNCTION("""COMPUTED_VALUE"""),-1.1644648472399326)</f>
        <v>-1.164464847</v>
      </c>
      <c r="V160" s="26">
        <f>IFERROR(__xludf.DUMMYFUNCTION("""COMPUTED_VALUE"""),0.8186104042490111)</f>
        <v>0.8186104042</v>
      </c>
      <c r="W160" s="26">
        <f>IFERROR(__xludf.DUMMYFUNCTION("""COMPUTED_VALUE"""),-1.209936309598486)</f>
        <v>-1.20993631</v>
      </c>
      <c r="X160" s="26">
        <f>IFERROR(__xludf.DUMMYFUNCTION("""COMPUTED_VALUE"""),-0.8950654271006762)</f>
        <v>-0.8950654271</v>
      </c>
      <c r="Y160" s="26">
        <f>IFERROR(__xludf.DUMMYFUNCTION("""COMPUTED_VALUE"""),-1.0623893714148633)</f>
        <v>-1.062389371</v>
      </c>
      <c r="Z160" s="26">
        <f>IFERROR(__xludf.DUMMYFUNCTION("""COMPUTED_VALUE"""),0.416064870386905)</f>
        <v>0.4160648704</v>
      </c>
      <c r="AA160" s="26">
        <f>IFERROR(__xludf.DUMMYFUNCTION("""COMPUTED_VALUE"""),0.0)</f>
        <v>0</v>
      </c>
      <c r="AB160" t="str">
        <f>IFERROR(__xludf.DUMMYFUNCTION("SUBSTITUTE(REGEXREPLACE(REGEXREPLACE(REGEXREPLACE(REGEXREPLACE(REGEXREPLACE(REGEXREPLACE(F160,"","",),IF(Projections!$T$17="""",""PG"",),),IF(Projections!$U$17="""",""SG"",),),IF(Projections!$V$17="""",""SF"",),),IF(Projections!$W$17="""",""PF"",),),IF(Pr"&amp;"ojections!$X$17="""",""C"",),),""/"","""")"),"C")</f>
        <v>C</v>
      </c>
    </row>
    <row r="161">
      <c r="B161">
        <f>IFERROR(__xludf.DUMMYFUNCTION("""COMPUTED_VALUE"""),152.0)</f>
        <v>152</v>
      </c>
      <c r="C161">
        <f>IFERROR(__xludf.DUMMYFUNCTION("""COMPUTED_VALUE"""),142.1)</f>
        <v>142.1</v>
      </c>
      <c r="D161" t="str">
        <f>IFERROR(__xludf.DUMMYFUNCTION("""COMPUTED_VALUE"""),"Wendell Carter Jr.")</f>
        <v>Wendell Carter Jr.</v>
      </c>
      <c r="E161">
        <f>IFERROR(__xludf.DUMMYFUNCTION("""COMPUTED_VALUE"""),60.0)</f>
        <v>60</v>
      </c>
      <c r="F161" t="str">
        <f>IFERROR(__xludf.DUMMYFUNCTION("""COMPUTED_VALUE"""),"SF,PF")</f>
        <v>SF,PF</v>
      </c>
      <c r="G161" s="26">
        <f>IFERROR(__xludf.DUMMYFUNCTION("""COMPUTED_VALUE"""),-3.7184325939530134)</f>
        <v>-3.718432594</v>
      </c>
      <c r="H161" s="26">
        <f>IFERROR(__xludf.DUMMYFUNCTION("""COMPUTED_VALUE"""),-3.840853107812801)</f>
        <v>-3.840853108</v>
      </c>
      <c r="I161" s="26">
        <f>IFERROR(__xludf.DUMMYFUNCTION("""COMPUTED_VALUE"""),-0.12242051385978758)</f>
        <v>-0.1224205139</v>
      </c>
      <c r="J161" s="26">
        <f>IFERROR(__xludf.DUMMYFUNCTION("""COMPUTED_VALUE"""),11.59955882)</f>
        <v>11.59955882</v>
      </c>
      <c r="K161" s="26">
        <f>IFERROR(__xludf.DUMMYFUNCTION("""COMPUTED_VALUE"""),1.245)</f>
        <v>1.245</v>
      </c>
      <c r="L161" s="26">
        <f>IFERROR(__xludf.DUMMYFUNCTION("""COMPUTED_VALUE"""),7.828676471)</f>
        <v>7.828676471</v>
      </c>
      <c r="M161" s="26">
        <f>IFERROR(__xludf.DUMMYFUNCTION("""COMPUTED_VALUE"""),2.101617647)</f>
        <v>2.101617647</v>
      </c>
      <c r="N161" s="26">
        <f>IFERROR(__xludf.DUMMYFUNCTION("""COMPUTED_VALUE"""),0.6360294118)</f>
        <v>0.6360294118</v>
      </c>
      <c r="O161" s="26">
        <f>IFERROR(__xludf.DUMMYFUNCTION("""COMPUTED_VALUE"""),0.4702941176)</f>
        <v>0.4702941176</v>
      </c>
      <c r="P161" s="464">
        <f>IFERROR(__xludf.DUMMYFUNCTION("""COMPUTED_VALUE"""),0.5240795247)</f>
        <v>0.5240795247</v>
      </c>
      <c r="Q161" s="464">
        <f>IFERROR(__xludf.DUMMYFUNCTION("""COMPUTED_VALUE"""),0.7099793294)</f>
        <v>0.7099793294</v>
      </c>
      <c r="R161" s="26">
        <f>IFERROR(__xludf.DUMMYFUNCTION("""COMPUTED_VALUE"""),1.255)</f>
        <v>1.255</v>
      </c>
      <c r="S161" s="26">
        <f>IFERROR(__xludf.DUMMYFUNCTION("""COMPUTED_VALUE"""),-1.06154489652232)</f>
        <v>-1.061544897</v>
      </c>
      <c r="T161" s="26">
        <f>IFERROR(__xludf.DUMMYFUNCTION("""COMPUTED_VALUE"""),-0.4996013408295441)</f>
        <v>-0.4996013408</v>
      </c>
      <c r="U161" s="26">
        <f>IFERROR(__xludf.DUMMYFUNCTION("""COMPUTED_VALUE"""),0.684012186661001)</f>
        <v>0.6840121867</v>
      </c>
      <c r="V161" s="26">
        <f>IFERROR(__xludf.DUMMYFUNCTION("""COMPUTED_VALUE"""),-0.8318524484115495)</f>
        <v>-0.8318524484</v>
      </c>
      <c r="W161" s="26">
        <f>IFERROR(__xludf.DUMMYFUNCTION("""COMPUTED_VALUE"""),-1.1247292455038833)</f>
        <v>-1.124729246</v>
      </c>
      <c r="X161" s="26">
        <f>IFERROR(__xludf.DUMMYFUNCTION("""COMPUTED_VALUE"""),-0.4965185913671197)</f>
        <v>-0.4965185914</v>
      </c>
      <c r="Y161" s="26">
        <f>IFERROR(__xludf.DUMMYFUNCTION("""COMPUTED_VALUE"""),0.25418104054194884)</f>
        <v>0.2541810405</v>
      </c>
      <c r="Z161" s="26">
        <f>IFERROR(__xludf.DUMMYFUNCTION("""COMPUTED_VALUE"""),-0.7647998123813343)</f>
        <v>-0.7647998124</v>
      </c>
      <c r="AA161" s="26">
        <f>IFERROR(__xludf.DUMMYFUNCTION("""COMPUTED_VALUE"""),0.0)</f>
        <v>0</v>
      </c>
      <c r="AB161" t="str">
        <f>IFERROR(__xludf.DUMMYFUNCTION("SUBSTITUTE(REGEXREPLACE(REGEXREPLACE(REGEXREPLACE(REGEXREPLACE(REGEXREPLACE(REGEXREPLACE(F161,"","",),IF(Projections!$T$17="""",""PG"",),),IF(Projections!$U$17="""",""SG"",),),IF(Projections!$V$17="""",""SF"",),),IF(Projections!$W$17="""",""PF"",),),IF(Pr"&amp;"ojections!$X$17="""",""C"",),),""/"","""")"),"SFPF")</f>
        <v>SFPF</v>
      </c>
    </row>
    <row r="162">
      <c r="B162">
        <f>IFERROR(__xludf.DUMMYFUNCTION("""COMPUTED_VALUE"""),162.0)</f>
        <v>162</v>
      </c>
      <c r="C162">
        <f>IFERROR(__xludf.DUMMYFUNCTION("""COMPUTED_VALUE"""),138.6)</f>
        <v>138.6</v>
      </c>
      <c r="D162" t="str">
        <f>IFERROR(__xludf.DUMMYFUNCTION("""COMPUTED_VALUE"""),"Malcolm Brogdon")</f>
        <v>Malcolm Brogdon</v>
      </c>
      <c r="E162">
        <f>IFERROR(__xludf.DUMMYFUNCTION("""COMPUTED_VALUE"""),76.0)</f>
        <v>76</v>
      </c>
      <c r="F162" t="str">
        <f>IFERROR(__xludf.DUMMYFUNCTION("""COMPUTED_VALUE"""),"SF,PF")</f>
        <v>SF,PF</v>
      </c>
      <c r="G162" s="26">
        <f>IFERROR(__xludf.DUMMYFUNCTION("""COMPUTED_VALUE"""),-3.8428644596289723)</f>
        <v>-3.84286446</v>
      </c>
      <c r="H162" s="26">
        <f>IFERROR(__xludf.DUMMYFUNCTION("""COMPUTED_VALUE"""),-3.8713844211384516)</f>
        <v>-3.871384421</v>
      </c>
      <c r="I162" s="26">
        <f>IFERROR(__xludf.DUMMYFUNCTION("""COMPUTED_VALUE"""),-0.02851996150947933)</f>
        <v>-0.02851996151</v>
      </c>
      <c r="J162" s="26">
        <f>IFERROR(__xludf.DUMMYFUNCTION("""COMPUTED_VALUE"""),12.63585366)</f>
        <v>12.63585366</v>
      </c>
      <c r="K162" s="26">
        <f>IFERROR(__xludf.DUMMYFUNCTION("""COMPUTED_VALUE"""),1.608292683)</f>
        <v>1.608292683</v>
      </c>
      <c r="L162" s="26">
        <f>IFERROR(__xludf.DUMMYFUNCTION("""COMPUTED_VALUE"""),3.436341463)</f>
        <v>3.436341463</v>
      </c>
      <c r="M162" s="26">
        <f>IFERROR(__xludf.DUMMYFUNCTION("""COMPUTED_VALUE"""),5.013658537)</f>
        <v>5.013658537</v>
      </c>
      <c r="N162" s="26">
        <f>IFERROR(__xludf.DUMMYFUNCTION("""COMPUTED_VALUE"""),0.6668292683)</f>
        <v>0.6668292683</v>
      </c>
      <c r="O162" s="26">
        <f>IFERROR(__xludf.DUMMYFUNCTION("""COMPUTED_VALUE"""),0.2273170732)</f>
        <v>0.2273170732</v>
      </c>
      <c r="P162" s="464">
        <f>IFERROR(__xludf.DUMMYFUNCTION("""COMPUTED_VALUE"""),0.4446902134)</f>
        <v>0.4446902134</v>
      </c>
      <c r="Q162" s="464">
        <f>IFERROR(__xludf.DUMMYFUNCTION("""COMPUTED_VALUE"""),0.8310364146)</f>
        <v>0.8310364146</v>
      </c>
      <c r="R162" s="26">
        <f>IFERROR(__xludf.DUMMYFUNCTION("""COMPUTED_VALUE"""),1.633658537)</f>
        <v>1.633658537</v>
      </c>
      <c r="S162" s="26">
        <f>IFERROR(__xludf.DUMMYFUNCTION("""COMPUTED_VALUE"""),-0.874746908212923)</f>
        <v>-0.8747469082</v>
      </c>
      <c r="T162" s="26">
        <f>IFERROR(__xludf.DUMMYFUNCTION("""COMPUTED_VALUE"""),-0.13924096053762633)</f>
        <v>-0.1392409605</v>
      </c>
      <c r="U162" s="26">
        <f>IFERROR(__xludf.DUMMYFUNCTION("""COMPUTED_VALUE"""),-1.0373746332317957)</f>
        <v>-1.037374633</v>
      </c>
      <c r="V162" s="26">
        <f>IFERROR(__xludf.DUMMYFUNCTION("""COMPUTED_VALUE"""),0.4906171697146697)</f>
        <v>0.4906171697</v>
      </c>
      <c r="W162" s="26">
        <f>IFERROR(__xludf.DUMMYFUNCTION("""COMPUTED_VALUE"""),-1.0228336681650172)</f>
        <v>-1.022833668</v>
      </c>
      <c r="X162" s="26">
        <f>IFERROR(__xludf.DUMMYFUNCTION("""COMPUTED_VALUE"""),-0.9299040678608586)</f>
        <v>-0.9299040679</v>
      </c>
      <c r="Y162" s="26">
        <f>IFERROR(__xludf.DUMMYFUNCTION("""COMPUTED_VALUE"""),-0.6336369420927823)</f>
        <v>-0.6336369421</v>
      </c>
      <c r="Z162" s="26">
        <f>IFERROR(__xludf.DUMMYFUNCTION("""COMPUTED_VALUE"""),0.2757355892478821)</f>
        <v>0.2757355892</v>
      </c>
      <c r="AA162" s="26">
        <f>IFERROR(__xludf.DUMMYFUNCTION("""COMPUTED_VALUE"""),0.0)</f>
        <v>0</v>
      </c>
      <c r="AB162" t="str">
        <f>IFERROR(__xludf.DUMMYFUNCTION("SUBSTITUTE(REGEXREPLACE(REGEXREPLACE(REGEXREPLACE(REGEXREPLACE(REGEXREPLACE(REGEXREPLACE(F162,"","",),IF(Projections!$T$17="""",""PG"",),),IF(Projections!$U$17="""",""SG"",),),IF(Projections!$V$17="""",""SF"",),),IF(Projections!$W$17="""",""PF"",),),IF(Pr"&amp;"ojections!$X$17="""",""C"",),),""/"","""")"),"SFPF")</f>
        <v>SFPF</v>
      </c>
    </row>
    <row r="163">
      <c r="B163">
        <f>IFERROR(__xludf.DUMMYFUNCTION("""COMPUTED_VALUE"""),164.0)</f>
        <v>164</v>
      </c>
      <c r="C163">
        <f>IFERROR(__xludf.DUMMYFUNCTION("""COMPUTED_VALUE"""),143.5)</f>
        <v>143.5</v>
      </c>
      <c r="D163" t="str">
        <f>IFERROR(__xludf.DUMMYFUNCTION("""COMPUTED_VALUE"""),"Gradey Dick")</f>
        <v>Gradey Dick</v>
      </c>
      <c r="E163">
        <f>IFERROR(__xludf.DUMMYFUNCTION("""COMPUTED_VALUE"""),74.0)</f>
        <v>74</v>
      </c>
      <c r="F163" t="str">
        <f>IFERROR(__xludf.DUMMYFUNCTION("""COMPUTED_VALUE"""),"PG")</f>
        <v>PG</v>
      </c>
      <c r="G163" s="26">
        <f>IFERROR(__xludf.DUMMYFUNCTION("""COMPUTED_VALUE"""),-3.701901865629903)</f>
        <v>-3.701901866</v>
      </c>
      <c r="H163" s="26">
        <f>IFERROR(__xludf.DUMMYFUNCTION("""COMPUTED_VALUE"""),-3.8928911382548295)</f>
        <v>-3.892891138</v>
      </c>
      <c r="I163" s="26">
        <f>IFERROR(__xludf.DUMMYFUNCTION("""COMPUTED_VALUE"""),-0.19098927262492627)</f>
        <v>-0.1909892726</v>
      </c>
      <c r="J163" s="26">
        <f>IFERROR(__xludf.DUMMYFUNCTION("""COMPUTED_VALUE"""),14.5839726)</f>
        <v>14.5839726</v>
      </c>
      <c r="K163" s="26">
        <f>IFERROR(__xludf.DUMMYFUNCTION("""COMPUTED_VALUE"""),2.41)</f>
        <v>2.41</v>
      </c>
      <c r="L163" s="26">
        <f>IFERROR(__xludf.DUMMYFUNCTION("""COMPUTED_VALUE"""),3.587671233)</f>
        <v>3.587671233</v>
      </c>
      <c r="M163" s="26">
        <f>IFERROR(__xludf.DUMMYFUNCTION("""COMPUTED_VALUE"""),1.435068493)</f>
        <v>1.435068493</v>
      </c>
      <c r="N163" s="26">
        <f>IFERROR(__xludf.DUMMYFUNCTION("""COMPUTED_VALUE"""),0.8878082192)</f>
        <v>0.8878082192</v>
      </c>
      <c r="O163" s="26">
        <f>IFERROR(__xludf.DUMMYFUNCTION("""COMPUTED_VALUE"""),0.06328767123)</f>
        <v>0.06328767123</v>
      </c>
      <c r="P163" s="464">
        <f>IFERROR(__xludf.DUMMYFUNCTION("""COMPUTED_VALUE"""),0.4415175295)</f>
        <v>0.4415175295</v>
      </c>
      <c r="Q163" s="464">
        <f>IFERROR(__xludf.DUMMYFUNCTION("""COMPUTED_VALUE"""),0.86)</f>
        <v>0.86</v>
      </c>
      <c r="R163" s="26">
        <f>IFERROR(__xludf.DUMMYFUNCTION("""COMPUTED_VALUE"""),0.9784931507)</f>
        <v>0.9784931507</v>
      </c>
      <c r="S163" s="26">
        <f>IFERROR(__xludf.DUMMYFUNCTION("""COMPUTED_VALUE"""),-0.5235874843375377)</f>
        <v>-0.5235874843</v>
      </c>
      <c r="T163" s="26">
        <f>IFERROR(__xludf.DUMMYFUNCTION("""COMPUTED_VALUE"""),0.6559954071514341)</f>
        <v>0.6559954072</v>
      </c>
      <c r="U163" s="26">
        <f>IFERROR(__xludf.DUMMYFUNCTION("""COMPUTED_VALUE"""),-0.9780674376146694)</f>
        <v>-0.9780674376</v>
      </c>
      <c r="V163" s="26">
        <f>IFERROR(__xludf.DUMMYFUNCTION("""COMPUTED_VALUE"""),-1.1345580210495538)</f>
        <v>-1.134558021</v>
      </c>
      <c r="W163" s="26">
        <f>IFERROR(__xludf.DUMMYFUNCTION("""COMPUTED_VALUE"""),-0.291766048363202)</f>
        <v>-0.2917660484</v>
      </c>
      <c r="X163" s="26">
        <f>IFERROR(__xludf.DUMMYFUNCTION("""COMPUTED_VALUE"""),-1.2224747537348835)</f>
        <v>-1.222474754</v>
      </c>
      <c r="Y163" s="26">
        <f>IFERROR(__xludf.DUMMYFUNCTION("""COMPUTED_VALUE"""),-0.7864327841482182)</f>
        <v>-0.7864327841</v>
      </c>
      <c r="Z163" s="26">
        <f>IFERROR(__xludf.DUMMYFUNCTION("""COMPUTED_VALUE"""),0.38799998384180073)</f>
        <v>0.3879999838</v>
      </c>
      <c r="AA163" s="26">
        <f>IFERROR(__xludf.DUMMYFUNCTION("""COMPUTED_VALUE"""),0.0)</f>
        <v>0</v>
      </c>
      <c r="AB163" t="str">
        <f>IFERROR(__xludf.DUMMYFUNCTION("SUBSTITUTE(REGEXREPLACE(REGEXREPLACE(REGEXREPLACE(REGEXREPLACE(REGEXREPLACE(REGEXREPLACE(F163,"","",),IF(Projections!$T$17="""",""PG"",),),IF(Projections!$U$17="""",""SG"",),),IF(Projections!$V$17="""",""SF"",),),IF(Projections!$W$17="""",""PF"",),),IF(Pr"&amp;"ojections!$X$17="""",""C"",),),""/"","""")"),"PG")</f>
        <v>PG</v>
      </c>
    </row>
    <row r="164">
      <c r="B164">
        <f>IFERROR(__xludf.DUMMYFUNCTION("""COMPUTED_VALUE"""),160.0)</f>
        <v>160</v>
      </c>
      <c r="C164">
        <f>IFERROR(__xludf.DUMMYFUNCTION("""COMPUTED_VALUE"""),144.0)</f>
        <v>144</v>
      </c>
      <c r="D164" t="str">
        <f>IFERROR(__xludf.DUMMYFUNCTION("""COMPUTED_VALUE"""),"Tari Eason")</f>
        <v>Tari Eason</v>
      </c>
      <c r="E164">
        <f>IFERROR(__xludf.DUMMYFUNCTION("""COMPUTED_VALUE"""),63.0)</f>
        <v>63</v>
      </c>
      <c r="F164" t="str">
        <f>IFERROR(__xludf.DUMMYFUNCTION("""COMPUTED_VALUE"""),"SG,SF")</f>
        <v>SG,SF</v>
      </c>
      <c r="G164" s="26">
        <f>IFERROR(__xludf.DUMMYFUNCTION("""COMPUTED_VALUE"""),-3.69570074162607)</f>
        <v>-3.695700742</v>
      </c>
      <c r="H164" s="26">
        <f>IFERROR(__xludf.DUMMYFUNCTION("""COMPUTED_VALUE"""),-3.8992260007294375)</f>
        <v>-3.899226001</v>
      </c>
      <c r="I164" s="26">
        <f>IFERROR(__xludf.DUMMYFUNCTION("""COMPUTED_VALUE"""),-0.2035252591033676)</f>
        <v>-0.2035252591</v>
      </c>
      <c r="J164" s="26">
        <f>IFERROR(__xludf.DUMMYFUNCTION("""COMPUTED_VALUE"""),8.913970588)</f>
        <v>8.913970588</v>
      </c>
      <c r="K164" s="26">
        <f>IFERROR(__xludf.DUMMYFUNCTION("""COMPUTED_VALUE"""),0.7308823529)</f>
        <v>0.7308823529</v>
      </c>
      <c r="L164" s="26">
        <f>IFERROR(__xludf.DUMMYFUNCTION("""COMPUTED_VALUE"""),5.921176471)</f>
        <v>5.921176471</v>
      </c>
      <c r="M164" s="26">
        <f>IFERROR(__xludf.DUMMYFUNCTION("""COMPUTED_VALUE"""),1.085294118)</f>
        <v>1.085294118</v>
      </c>
      <c r="N164" s="26">
        <f>IFERROR(__xludf.DUMMYFUNCTION("""COMPUTED_VALUE"""),1.237205882)</f>
        <v>1.237205882</v>
      </c>
      <c r="O164" s="26">
        <f>IFERROR(__xludf.DUMMYFUNCTION("""COMPUTED_VALUE"""),0.6213235294)</f>
        <v>0.6213235294</v>
      </c>
      <c r="P164" s="464">
        <f>IFERROR(__xludf.DUMMYFUNCTION("""COMPUTED_VALUE"""),0.4693368128)</f>
        <v>0.4693368128</v>
      </c>
      <c r="Q164" s="464">
        <f>IFERROR(__xludf.DUMMYFUNCTION("""COMPUTED_VALUE"""),0.7099633613)</f>
        <v>0.7099633613</v>
      </c>
      <c r="R164" s="26">
        <f>IFERROR(__xludf.DUMMYFUNCTION("""COMPUTED_VALUE"""),0.9279411765)</f>
        <v>0.9279411765</v>
      </c>
      <c r="S164" s="26">
        <f>IFERROR(__xludf.DUMMYFUNCTION("""COMPUTED_VALUE"""),-1.5456373186798888)</f>
        <v>-1.545637319</v>
      </c>
      <c r="T164" s="26">
        <f>IFERROR(__xludf.DUMMYFUNCTION("""COMPUTED_VALUE"""),-1.009569307411855)</f>
        <v>-1.009569307</v>
      </c>
      <c r="U164" s="26">
        <f>IFERROR(__xludf.DUMMYFUNCTION("""COMPUTED_VALUE"""),-0.06355040885254905)</f>
        <v>-0.06355040885</v>
      </c>
      <c r="V164" s="26">
        <f>IFERROR(__xludf.DUMMYFUNCTION("""COMPUTED_VALUE"""),-1.2934039993890223)</f>
        <v>-1.293403999</v>
      </c>
      <c r="W164" s="26">
        <f>IFERROR(__xludf.DUMMYFUNCTION("""COMPUTED_VALUE"""),0.864150914167338)</f>
        <v>0.8641509142</v>
      </c>
      <c r="X164" s="26">
        <f>IFERROR(__xludf.DUMMYFUNCTION("""COMPUTED_VALUE"""),-0.22713530967010978)</f>
        <v>-0.2271353097</v>
      </c>
      <c r="Y164" s="26">
        <f>IFERROR(__xludf.DUMMYFUNCTION("""COMPUTED_VALUE"""),-0.2524575323545769)</f>
        <v>-0.2524575324</v>
      </c>
      <c r="Z164" s="26">
        <f>IFERROR(__xludf.DUMMYFUNCTION("""COMPUTED_VALUE"""),-0.37162303853877376)</f>
        <v>-0.3716230385</v>
      </c>
      <c r="AA164" s="26">
        <f>IFERROR(__xludf.DUMMYFUNCTION("""COMPUTED_VALUE"""),0.0)</f>
        <v>0</v>
      </c>
      <c r="AB164" t="str">
        <f>IFERROR(__xludf.DUMMYFUNCTION("SUBSTITUTE(REGEXREPLACE(REGEXREPLACE(REGEXREPLACE(REGEXREPLACE(REGEXREPLACE(REGEXREPLACE(F164,"","",),IF(Projections!$T$17="""",""PG"",),),IF(Projections!$U$17="""",""SG"",),),IF(Projections!$V$17="""",""SF"",),),IF(Projections!$W$17="""",""PF"",),),IF(Pr"&amp;"ojections!$X$17="""",""C"",),),""/"","""")"),"SGSF")</f>
        <v>SGSF</v>
      </c>
    </row>
    <row r="165">
      <c r="B165">
        <f>IFERROR(__xludf.DUMMYFUNCTION("""COMPUTED_VALUE"""),155.0)</f>
        <v>155</v>
      </c>
      <c r="C165">
        <f>IFERROR(__xludf.DUMMYFUNCTION("""COMPUTED_VALUE"""),115.9)</f>
        <v>115.9</v>
      </c>
      <c r="D165" t="str">
        <f>IFERROR(__xludf.DUMMYFUNCTION("""COMPUTED_VALUE"""),"Bobby Portis")</f>
        <v>Bobby Portis</v>
      </c>
      <c r="E165">
        <f>IFERROR(__xludf.DUMMYFUNCTION("""COMPUTED_VALUE"""),69.0)</f>
        <v>69</v>
      </c>
      <c r="F165" t="str">
        <f>IFERROR(__xludf.DUMMYFUNCTION("""COMPUTED_VALUE"""),"SG,SF")</f>
        <v>SG,SF</v>
      </c>
      <c r="G165" s="26">
        <f>IFERROR(__xludf.DUMMYFUNCTION("""COMPUTED_VALUE"""),-3.763051549210833)</f>
        <v>-3.763051549</v>
      </c>
      <c r="H165" s="26">
        <f>IFERROR(__xludf.DUMMYFUNCTION("""COMPUTED_VALUE"""),-3.9025892714570194)</f>
        <v>-3.902589271</v>
      </c>
      <c r="I165" s="26">
        <f>IFERROR(__xludf.DUMMYFUNCTION("""COMPUTED_VALUE"""),-0.1395377222461862)</f>
        <v>-0.1395377222</v>
      </c>
      <c r="J165" s="26">
        <f>IFERROR(__xludf.DUMMYFUNCTION("""COMPUTED_VALUE"""),12.80181818)</f>
        <v>12.80181818</v>
      </c>
      <c r="K165" s="26">
        <f>IFERROR(__xludf.DUMMYFUNCTION("""COMPUTED_VALUE"""),1.000909091)</f>
        <v>1.000909091</v>
      </c>
      <c r="L165" s="26">
        <f>IFERROR(__xludf.DUMMYFUNCTION("""COMPUTED_VALUE"""),7.352857143)</f>
        <v>7.352857143</v>
      </c>
      <c r="M165" s="26">
        <f>IFERROR(__xludf.DUMMYFUNCTION("""COMPUTED_VALUE"""),1.375714286)</f>
        <v>1.375714286</v>
      </c>
      <c r="N165" s="26">
        <f>IFERROR(__xludf.DUMMYFUNCTION("""COMPUTED_VALUE"""),0.6641558442)</f>
        <v>0.6641558442</v>
      </c>
      <c r="O165" s="26">
        <f>IFERROR(__xludf.DUMMYFUNCTION("""COMPUTED_VALUE"""),0.3337662338)</f>
        <v>0.3337662338</v>
      </c>
      <c r="P165" s="464">
        <f>IFERROR(__xludf.DUMMYFUNCTION("""COMPUTED_VALUE"""),0.5113625351)</f>
        <v>0.5113625351</v>
      </c>
      <c r="Q165" s="464">
        <f>IFERROR(__xludf.DUMMYFUNCTION("""COMPUTED_VALUE"""),0.7800121139)</f>
        <v>0.7800121139</v>
      </c>
      <c r="R165" s="26">
        <f>IFERROR(__xludf.DUMMYFUNCTION("""COMPUTED_VALUE"""),1.185974026)</f>
        <v>1.185974026</v>
      </c>
      <c r="S165" s="26">
        <f>IFERROR(__xludf.DUMMYFUNCTION("""COMPUTED_VALUE"""),-0.8448308676517884)</f>
        <v>-0.8448308677</v>
      </c>
      <c r="T165" s="26">
        <f>IFERROR(__xludf.DUMMYFUNCTION("""COMPUTED_VALUE"""),-0.7417220795867295)</f>
        <v>-0.7417220796</v>
      </c>
      <c r="U165" s="26">
        <f>IFERROR(__xludf.DUMMYFUNCTION("""COMPUTED_VALUE"""),0.4975352630252509)</f>
        <v>0.497535263</v>
      </c>
      <c r="V165" s="26">
        <f>IFERROR(__xludf.DUMMYFUNCTION("""COMPUTED_VALUE"""),-1.1615130462124987)</f>
        <v>-1.161513046</v>
      </c>
      <c r="W165" s="26">
        <f>IFERROR(__xludf.DUMMYFUNCTION("""COMPUTED_VALUE"""),-1.0316781928835381)</f>
        <v>-1.031678193</v>
      </c>
      <c r="X165" s="26">
        <f>IFERROR(__xludf.DUMMYFUNCTION("""COMPUTED_VALUE"""),-0.7400362542041807)</f>
        <v>-0.7400362542</v>
      </c>
      <c r="Y165" s="26">
        <f>IFERROR(__xludf.DUMMYFUNCTION("""COMPUTED_VALUE"""),0.17602911271904098)</f>
        <v>0.1760291127</v>
      </c>
      <c r="Z165" s="26">
        <f>IFERROR(__xludf.DUMMYFUNCTION("""COMPUTED_VALUE"""),-0.05637320666257555)</f>
        <v>-0.05637320666</v>
      </c>
      <c r="AA165" s="26">
        <f>IFERROR(__xludf.DUMMYFUNCTION("""COMPUTED_VALUE"""),0.0)</f>
        <v>0</v>
      </c>
      <c r="AB165" t="str">
        <f>IFERROR(__xludf.DUMMYFUNCTION("SUBSTITUTE(REGEXREPLACE(REGEXREPLACE(REGEXREPLACE(REGEXREPLACE(REGEXREPLACE(REGEXREPLACE(F165,"","",),IF(Projections!$T$17="""",""PG"",),),IF(Projections!$U$17="""",""SG"",),),IF(Projections!$V$17="""",""SF"",),),IF(Projections!$W$17="""",""PF"",),),IF(Pr"&amp;"ojections!$X$17="""",""C"",),),""/"","""")"),"SGSF")</f>
        <v>SGSF</v>
      </c>
    </row>
    <row r="166">
      <c r="B166">
        <f>IFERROR(__xludf.DUMMYFUNCTION("""COMPUTED_VALUE"""),161.0)</f>
        <v>161</v>
      </c>
      <c r="C166">
        <f>IFERROR(__xludf.DUMMYFUNCTION("""COMPUTED_VALUE"""),137.4)</f>
        <v>137.4</v>
      </c>
      <c r="D166" t="str">
        <f>IFERROR(__xludf.DUMMYFUNCTION("""COMPUTED_VALUE"""),"Aaron Nesmith")</f>
        <v>Aaron Nesmith</v>
      </c>
      <c r="E166">
        <f>IFERROR(__xludf.DUMMYFUNCTION("""COMPUTED_VALUE"""),68.0)</f>
        <v>68</v>
      </c>
      <c r="F166" t="str">
        <f>IFERROR(__xludf.DUMMYFUNCTION("""COMPUTED_VALUE"""),"PF")</f>
        <v>PF</v>
      </c>
      <c r="G166" s="26">
        <f>IFERROR(__xludf.DUMMYFUNCTION("""COMPUTED_VALUE"""),-3.7631699936304055)</f>
        <v>-3.763169994</v>
      </c>
      <c r="H166" s="26">
        <f>IFERROR(__xludf.DUMMYFUNCTION("""COMPUTED_VALUE"""),-3.971857717239591)</f>
        <v>-3.971857717</v>
      </c>
      <c r="I166" s="26">
        <f>IFERROR(__xludf.DUMMYFUNCTION("""COMPUTED_VALUE"""),-0.2086877236091853)</f>
        <v>-0.2086877236</v>
      </c>
      <c r="J166" s="26">
        <f>IFERROR(__xludf.DUMMYFUNCTION("""COMPUTED_VALUE"""),11.86547945)</f>
        <v>11.86547945</v>
      </c>
      <c r="K166" s="26">
        <f>IFERROR(__xludf.DUMMYFUNCTION("""COMPUTED_VALUE"""),1.862876712)</f>
        <v>1.862876712</v>
      </c>
      <c r="L166" s="26">
        <f>IFERROR(__xludf.DUMMYFUNCTION("""COMPUTED_VALUE"""),4.025616438)</f>
        <v>4.025616438</v>
      </c>
      <c r="M166" s="26">
        <f>IFERROR(__xludf.DUMMYFUNCTION("""COMPUTED_VALUE"""),1.634109589)</f>
        <v>1.634109589</v>
      </c>
      <c r="N166" s="26">
        <f>IFERROR(__xludf.DUMMYFUNCTION("""COMPUTED_VALUE"""),0.7209589041)</f>
        <v>0.7209589041</v>
      </c>
      <c r="O166" s="26">
        <f>IFERROR(__xludf.DUMMYFUNCTION("""COMPUTED_VALUE"""),0.5406849315)</f>
        <v>0.5406849315</v>
      </c>
      <c r="P166" s="464">
        <f>IFERROR(__xludf.DUMMYFUNCTION("""COMPUTED_VALUE"""),0.4760066272)</f>
        <v>0.4760066272</v>
      </c>
      <c r="Q166" s="464">
        <f>IFERROR(__xludf.DUMMYFUNCTION("""COMPUTED_VALUE"""),0.83096)</f>
        <v>0.83096</v>
      </c>
      <c r="R166" s="26">
        <f>IFERROR(__xludf.DUMMYFUNCTION("""COMPUTED_VALUE"""),0.9071232877)</f>
        <v>0.9071232877</v>
      </c>
      <c r="S166" s="26">
        <f>IFERROR(__xludf.DUMMYFUNCTION("""COMPUTED_VALUE"""),-1.0136112035069544)</f>
        <v>-1.013611204</v>
      </c>
      <c r="T166" s="26">
        <f>IFERROR(__xludf.DUMMYFUNCTION("""COMPUTED_VALUE"""),0.11328820341112489)</f>
        <v>0.1132882034</v>
      </c>
      <c r="U166" s="26">
        <f>IFERROR(__xludf.DUMMYFUNCTION("""COMPUTED_VALUE"""),-0.8064336477627617)</f>
        <v>-0.8064336478</v>
      </c>
      <c r="V166" s="26">
        <f>IFERROR(__xludf.DUMMYFUNCTION("""COMPUTED_VALUE"""),-1.0441658142908967)</f>
        <v>-1.044165814</v>
      </c>
      <c r="W166" s="26">
        <f>IFERROR(__xludf.DUMMYFUNCTION("""COMPUTED_VALUE"""),-0.8437558698323023)</f>
        <v>-0.8437558698</v>
      </c>
      <c r="X166" s="26">
        <f>IFERROR(__xludf.DUMMYFUNCTION("""COMPUTED_VALUE"""),-0.3709661693341453)</f>
        <v>-0.3709661693</v>
      </c>
      <c r="Y166" s="26">
        <f>IFERROR(__xludf.DUMMYFUNCTION("""COMPUTED_VALUE"""),-0.22265157325152357)</f>
        <v>-0.2226515733</v>
      </c>
      <c r="Z166" s="26">
        <f>IFERROR(__xludf.DUMMYFUNCTION("""COMPUTED_VALUE"""),0.2164383573278684)</f>
        <v>0.2164383573</v>
      </c>
      <c r="AA166" s="26">
        <f>IFERROR(__xludf.DUMMYFUNCTION("""COMPUTED_VALUE"""),0.0)</f>
        <v>0</v>
      </c>
      <c r="AB166" t="str">
        <f>IFERROR(__xludf.DUMMYFUNCTION("SUBSTITUTE(REGEXREPLACE(REGEXREPLACE(REGEXREPLACE(REGEXREPLACE(REGEXREPLACE(REGEXREPLACE(F166,"","",),IF(Projections!$T$17="""",""PG"",),),IF(Projections!$U$17="""",""SG"",),),IF(Projections!$V$17="""",""SF"",),),IF(Projections!$W$17="""",""PF"",),),IF(Pr"&amp;"ojections!$X$17="""",""C"",),),""/"","""")"),"PF")</f>
        <v>PF</v>
      </c>
    </row>
    <row r="167">
      <c r="B167">
        <f>IFERROR(__xludf.DUMMYFUNCTION("""COMPUTED_VALUE"""),156.0)</f>
        <v>156</v>
      </c>
      <c r="C167">
        <f>IFERROR(__xludf.DUMMYFUNCTION("""COMPUTED_VALUE"""),140.4)</f>
        <v>140.4</v>
      </c>
      <c r="D167" t="str">
        <f>IFERROR(__xludf.DUMMYFUNCTION("""COMPUTED_VALUE"""),"Obi Toppin")</f>
        <v>Obi Toppin</v>
      </c>
      <c r="E167">
        <f>IFERROR(__xludf.DUMMYFUNCTION("""COMPUTED_VALUE"""),68.0)</f>
        <v>68</v>
      </c>
      <c r="F167" t="str">
        <f>IFERROR(__xludf.DUMMYFUNCTION("""COMPUTED_VALUE"""),"SG,SF")</f>
        <v>SG,SF</v>
      </c>
      <c r="G167" s="26">
        <f>IFERROR(__xludf.DUMMYFUNCTION("""COMPUTED_VALUE"""),-3.7535664302484335)</f>
        <v>-3.75356643</v>
      </c>
      <c r="H167" s="26">
        <f>IFERROR(__xludf.DUMMYFUNCTION("""COMPUTED_VALUE"""),-3.9756145718963922)</f>
        <v>-3.975614572</v>
      </c>
      <c r="I167" s="26">
        <f>IFERROR(__xludf.DUMMYFUNCTION("""COMPUTED_VALUE"""),-0.22204814164795872)</f>
        <v>-0.2220481416</v>
      </c>
      <c r="J167" s="26">
        <f>IFERROR(__xludf.DUMMYFUNCTION("""COMPUTED_VALUE"""),10.74987013)</f>
        <v>10.74987013</v>
      </c>
      <c r="K167" s="26">
        <f>IFERROR(__xludf.DUMMYFUNCTION("""COMPUTED_VALUE"""),1.365844156)</f>
        <v>1.365844156</v>
      </c>
      <c r="L167" s="26">
        <f>IFERROR(__xludf.DUMMYFUNCTION("""COMPUTED_VALUE"""),4.280909091)</f>
        <v>4.280909091</v>
      </c>
      <c r="M167" s="26">
        <f>IFERROR(__xludf.DUMMYFUNCTION("""COMPUTED_VALUE"""),1.697532468)</f>
        <v>1.697532468</v>
      </c>
      <c r="N167" s="26">
        <f>IFERROR(__xludf.DUMMYFUNCTION("""COMPUTED_VALUE"""),0.7661038961)</f>
        <v>0.7661038961</v>
      </c>
      <c r="O167" s="26">
        <f>IFERROR(__xludf.DUMMYFUNCTION("""COMPUTED_VALUE"""),0.4936363636)</f>
        <v>0.4936363636</v>
      </c>
      <c r="P167" s="464">
        <f>IFERROR(__xludf.DUMMYFUNCTION("""COMPUTED_VALUE"""),0.5431027218)</f>
        <v>0.5431027218</v>
      </c>
      <c r="Q167" s="464">
        <f>IFERROR(__xludf.DUMMYFUNCTION("""COMPUTED_VALUE"""),0.8129751119)</f>
        <v>0.8129751119</v>
      </c>
      <c r="R167" s="26">
        <f>IFERROR(__xludf.DUMMYFUNCTION("""COMPUTED_VALUE"""),0.8532467532)</f>
        <v>0.8532467532</v>
      </c>
      <c r="S167" s="26">
        <f>IFERROR(__xludf.DUMMYFUNCTION("""COMPUTED_VALUE"""),-1.2147060740702533)</f>
        <v>-1.214706074</v>
      </c>
      <c r="T167" s="26">
        <f>IFERROR(__xludf.DUMMYFUNCTION("""COMPUTED_VALUE"""),-0.37973257371700675)</f>
        <v>-0.3797325737</v>
      </c>
      <c r="U167" s="26">
        <f>IFERROR(__xludf.DUMMYFUNCTION("""COMPUTED_VALUE"""),-0.7063826709385311)</f>
        <v>-0.7063826709</v>
      </c>
      <c r="V167" s="26">
        <f>IFERROR(__xludf.DUMMYFUNCTION("""COMPUTED_VALUE"""),-1.0153630488971748)</f>
        <v>-1.015363049</v>
      </c>
      <c r="W167" s="26">
        <f>IFERROR(__xludf.DUMMYFUNCTION("""COMPUTED_VALUE"""),-0.694402088791196)</f>
        <v>-0.6944020888</v>
      </c>
      <c r="X167" s="26">
        <f>IFERROR(__xludf.DUMMYFUNCTION("""COMPUTED_VALUE"""),-0.4548842450850473)</f>
        <v>-0.4548842451</v>
      </c>
      <c r="Y167" s="26">
        <f>IFERROR(__xludf.DUMMYFUNCTION("""COMPUTED_VALUE"""),0.4110143038884677)</f>
        <v>0.4110143039</v>
      </c>
      <c r="Z167" s="26">
        <f>IFERROR(__xludf.DUMMYFUNCTION("""COMPUTED_VALUE"""),0.0788418257143487)</f>
        <v>0.07884182571</v>
      </c>
      <c r="AA167" s="26">
        <f>IFERROR(__xludf.DUMMYFUNCTION("""COMPUTED_VALUE"""),0.0)</f>
        <v>0</v>
      </c>
      <c r="AB167" t="str">
        <f>IFERROR(__xludf.DUMMYFUNCTION("SUBSTITUTE(REGEXREPLACE(REGEXREPLACE(REGEXREPLACE(REGEXREPLACE(REGEXREPLACE(REGEXREPLACE(F167,"","",),IF(Projections!$T$17="""",""PG"",),),IF(Projections!$U$17="""",""SG"",),),IF(Projections!$V$17="""",""SF"",),),IF(Projections!$W$17="""",""PF"",),),IF(Pr"&amp;"ojections!$X$17="""",""C"",),),""/"","""")"),"SGSF")</f>
        <v>SGSF</v>
      </c>
    </row>
    <row r="168">
      <c r="B168">
        <f>IFERROR(__xludf.DUMMYFUNCTION("""COMPUTED_VALUE"""),166.0)</f>
        <v>166</v>
      </c>
      <c r="C168">
        <f>IFERROR(__xludf.DUMMYFUNCTION("""COMPUTED_VALUE"""),126.5)</f>
        <v>126.5</v>
      </c>
      <c r="D168" t="str">
        <f>IFERROR(__xludf.DUMMYFUNCTION("""COMPUTED_VALUE"""),"Buddy Hield")</f>
        <v>Buddy Hield</v>
      </c>
      <c r="E168">
        <f>IFERROR(__xludf.DUMMYFUNCTION("""COMPUTED_VALUE"""),64.0)</f>
        <v>64</v>
      </c>
      <c r="F168" t="str">
        <f>IFERROR(__xludf.DUMMYFUNCTION("""COMPUTED_VALUE"""),"SG,SF")</f>
        <v>SG,SF</v>
      </c>
      <c r="G168" s="26">
        <f>IFERROR(__xludf.DUMMYFUNCTION("""COMPUTED_VALUE"""),-3.8371576927295243)</f>
        <v>-3.837157693</v>
      </c>
      <c r="H168" s="26">
        <f>IFERROR(__xludf.DUMMYFUNCTION("""COMPUTED_VALUE"""),-4.007612668221091)</f>
        <v>-4.007612668</v>
      </c>
      <c r="I168" s="26">
        <f>IFERROR(__xludf.DUMMYFUNCTION("""COMPUTED_VALUE"""),-0.17045497549156652)</f>
        <v>-0.1704549755</v>
      </c>
      <c r="J168" s="26">
        <f>IFERROR(__xludf.DUMMYFUNCTION("""COMPUTED_VALUE"""),12.02805195)</f>
        <v>12.02805195</v>
      </c>
      <c r="K168" s="26">
        <f>IFERROR(__xludf.DUMMYFUNCTION("""COMPUTED_VALUE"""),2.535454545)</f>
        <v>2.535454545</v>
      </c>
      <c r="L168" s="26">
        <f>IFERROR(__xludf.DUMMYFUNCTION("""COMPUTED_VALUE"""),3.018701299)</f>
        <v>3.018701299</v>
      </c>
      <c r="M168" s="26">
        <f>IFERROR(__xludf.DUMMYFUNCTION("""COMPUTED_VALUE"""),2.06038961)</f>
        <v>2.06038961</v>
      </c>
      <c r="N168" s="26">
        <f>IFERROR(__xludf.DUMMYFUNCTION("""COMPUTED_VALUE"""),0.8042857143)</f>
        <v>0.8042857143</v>
      </c>
      <c r="O168" s="26">
        <f>IFERROR(__xludf.DUMMYFUNCTION("""COMPUTED_VALUE"""),0.2875324675)</f>
        <v>0.2875324675</v>
      </c>
      <c r="P168" s="464">
        <f>IFERROR(__xludf.DUMMYFUNCTION("""COMPUTED_VALUE"""),0.4418891989)</f>
        <v>0.4418891989</v>
      </c>
      <c r="Q168" s="464">
        <f>IFERROR(__xludf.DUMMYFUNCTION("""COMPUTED_VALUE"""),0.8729905673)</f>
        <v>0.8729905673</v>
      </c>
      <c r="R168" s="26">
        <f>IFERROR(__xludf.DUMMYFUNCTION("""COMPUTED_VALUE"""),1.061298701)</f>
        <v>1.061298701</v>
      </c>
      <c r="S168" s="26">
        <f>IFERROR(__xludf.DUMMYFUNCTION("""COMPUTED_VALUE"""),-0.9843065936775458)</f>
        <v>-0.9843065937</v>
      </c>
      <c r="T168" s="26">
        <f>IFERROR(__xludf.DUMMYFUNCTION("""COMPUTED_VALUE"""),0.7804373506891449)</f>
        <v>0.7804373507</v>
      </c>
      <c r="U168" s="26">
        <f>IFERROR(__xludf.DUMMYFUNCTION("""COMPUTED_VALUE"""),-1.201050735454886)</f>
        <v>-1.201050735</v>
      </c>
      <c r="V168" s="26">
        <f>IFERROR(__xludf.DUMMYFUNCTION("""COMPUTED_VALUE"""),-0.8505756835607245)</f>
        <v>-0.8505756836</v>
      </c>
      <c r="W168" s="26">
        <f>IFERROR(__xludf.DUMMYFUNCTION("""COMPUTED_VALUE"""),-0.5680846687948844)</f>
        <v>-0.5680846688</v>
      </c>
      <c r="X168" s="26">
        <f>IFERROR(__xludf.DUMMYFUNCTION("""COMPUTED_VALUE"""),-0.8225010108543593)</f>
        <v>-0.8225010109</v>
      </c>
      <c r="Y168" s="26">
        <f>IFERROR(__xludf.DUMMYFUNCTION("""COMPUTED_VALUE"""),-0.6294299884013864)</f>
        <v>-0.6294299884</v>
      </c>
      <c r="Z168" s="26">
        <f>IFERROR(__xludf.DUMMYFUNCTION("""COMPUTED_VALUE"""),0.2678986618335502)</f>
        <v>0.2678986618</v>
      </c>
      <c r="AA168" s="26">
        <f>IFERROR(__xludf.DUMMYFUNCTION("""COMPUTED_VALUE"""),0.0)</f>
        <v>0</v>
      </c>
      <c r="AB168" t="str">
        <f>IFERROR(__xludf.DUMMYFUNCTION("SUBSTITUTE(REGEXREPLACE(REGEXREPLACE(REGEXREPLACE(REGEXREPLACE(REGEXREPLACE(REGEXREPLACE(F168,"","",),IF(Projections!$T$17="""",""PG"",),),IF(Projections!$U$17="""",""SG"",),),IF(Projections!$V$17="""",""SF"",),),IF(Projections!$W$17="""",""PF"",),),IF(Pr"&amp;"ojections!$X$17="""",""C"",),),""/"","""")"),"SGSF")</f>
        <v>SGSF</v>
      </c>
    </row>
    <row r="169">
      <c r="B169">
        <f>IFERROR(__xludf.DUMMYFUNCTION("""COMPUTED_VALUE"""),165.0)</f>
        <v>165</v>
      </c>
      <c r="C169">
        <f>IFERROR(__xludf.DUMMYFUNCTION("""COMPUTED_VALUE"""),138.2)</f>
        <v>138.2</v>
      </c>
      <c r="D169" t="str">
        <f>IFERROR(__xludf.DUMMYFUNCTION("""COMPUTED_VALUE"""),"Grayson Allen")</f>
        <v>Grayson Allen</v>
      </c>
      <c r="E169">
        <f>IFERROR(__xludf.DUMMYFUNCTION("""COMPUTED_VALUE"""),71.0)</f>
        <v>71</v>
      </c>
      <c r="F169" t="str">
        <f>IFERROR(__xludf.DUMMYFUNCTION("""COMPUTED_VALUE"""),"SF,PF")</f>
        <v>SF,PF</v>
      </c>
      <c r="G169" s="26">
        <f>IFERROR(__xludf.DUMMYFUNCTION("""COMPUTED_VALUE"""),-3.8334702253179698)</f>
        <v>-3.833470225</v>
      </c>
      <c r="H169" s="26">
        <f>IFERROR(__xludf.DUMMYFUNCTION("""COMPUTED_VALUE"""),-4.041122520949122)</f>
        <v>-4.041122521</v>
      </c>
      <c r="I169" s="26">
        <f>IFERROR(__xludf.DUMMYFUNCTION("""COMPUTED_VALUE"""),-0.20765229563115195)</f>
        <v>-0.2076522956</v>
      </c>
      <c r="J169" s="26">
        <f>IFERROR(__xludf.DUMMYFUNCTION("""COMPUTED_VALUE"""),11.43285714)</f>
        <v>11.43285714</v>
      </c>
      <c r="K169" s="26">
        <f>IFERROR(__xludf.DUMMYFUNCTION("""COMPUTED_VALUE"""),2.325324675)</f>
        <v>2.325324675</v>
      </c>
      <c r="L169" s="26">
        <f>IFERROR(__xludf.DUMMYFUNCTION("""COMPUTED_VALUE"""),3.037532468)</f>
        <v>3.037532468</v>
      </c>
      <c r="M169" s="26">
        <f>IFERROR(__xludf.DUMMYFUNCTION("""COMPUTED_VALUE"""),1.856233766)</f>
        <v>1.856233766</v>
      </c>
      <c r="N169" s="26">
        <f>IFERROR(__xludf.DUMMYFUNCTION("""COMPUTED_VALUE"""),0.7706493506)</f>
        <v>0.7706493506</v>
      </c>
      <c r="O169" s="26">
        <f>IFERROR(__xludf.DUMMYFUNCTION("""COMPUTED_VALUE"""),0.3375324675)</f>
        <v>0.3375324675</v>
      </c>
      <c r="P169" s="464">
        <f>IFERROR(__xludf.DUMMYFUNCTION("""COMPUTED_VALUE"""),0.4566430099)</f>
        <v>0.4566430099</v>
      </c>
      <c r="Q169" s="464">
        <f>IFERROR(__xludf.DUMMYFUNCTION("""COMPUTED_VALUE"""),0.8669714109)</f>
        <v>0.8669714109</v>
      </c>
      <c r="R169" s="26">
        <f>IFERROR(__xludf.DUMMYFUNCTION("""COMPUTED_VALUE"""),0.9112987013)</f>
        <v>0.9112987013</v>
      </c>
      <c r="S169" s="26">
        <f>IFERROR(__xludf.DUMMYFUNCTION("""COMPUTED_VALUE"""),-1.0915938143301103)</f>
        <v>-1.091593814</v>
      </c>
      <c r="T169" s="26">
        <f>IFERROR(__xludf.DUMMYFUNCTION("""COMPUTED_VALUE"""),0.5720035357314921)</f>
        <v>0.5720035357</v>
      </c>
      <c r="U169" s="26">
        <f>IFERROR(__xludf.DUMMYFUNCTION("""COMPUTED_VALUE"""),-1.1936706685745744)</f>
        <v>-1.193670669</v>
      </c>
      <c r="V169" s="26">
        <f>IFERROR(__xludf.DUMMYFUNCTION("""COMPUTED_VALUE"""),-0.9432906938409944)</f>
        <v>-0.9432906938</v>
      </c>
      <c r="W169" s="26">
        <f>IFERROR(__xludf.DUMMYFUNCTION("""COMPUTED_VALUE"""),-0.6793643008539357)</f>
        <v>-0.6793643009</v>
      </c>
      <c r="X169" s="26">
        <f>IFERROR(__xludf.DUMMYFUNCTION("""COMPUTED_VALUE"""),-0.7333186196610004)</f>
        <v>-0.7333186197</v>
      </c>
      <c r="Y169" s="26">
        <f>IFERROR(__xludf.DUMMYFUNCTION("""COMPUTED_VALUE"""),-0.3958248275967933)</f>
        <v>-0.3958248276</v>
      </c>
      <c r="Z169" s="26">
        <f>IFERROR(__xludf.DUMMYFUNCTION("""COMPUTED_VALUE"""),0.42393686817679443)</f>
        <v>0.4239368682</v>
      </c>
      <c r="AA169" s="26">
        <f>IFERROR(__xludf.DUMMYFUNCTION("""COMPUTED_VALUE"""),0.0)</f>
        <v>0</v>
      </c>
      <c r="AB169" t="str">
        <f>IFERROR(__xludf.DUMMYFUNCTION("SUBSTITUTE(REGEXREPLACE(REGEXREPLACE(REGEXREPLACE(REGEXREPLACE(REGEXREPLACE(REGEXREPLACE(F169,"","",),IF(Projections!$T$17="""",""PG"",),),IF(Projections!$U$17="""",""SG"",),),IF(Projections!$V$17="""",""SF"",),),IF(Projections!$W$17="""",""PF"",),),IF(Pr"&amp;"ojections!$X$17="""",""C"",),),""/"","""")"),"SFPF")</f>
        <v>SFPF</v>
      </c>
    </row>
    <row r="170">
      <c r="B170">
        <f>IFERROR(__xludf.DUMMYFUNCTION("""COMPUTED_VALUE"""),157.0)</f>
        <v>157</v>
      </c>
      <c r="C170">
        <f>IFERROR(__xludf.DUMMYFUNCTION("""COMPUTED_VALUE"""),116.7)</f>
        <v>116.7</v>
      </c>
      <c r="D170" t="str">
        <f>IFERROR(__xludf.DUMMYFUNCTION("""COMPUTED_VALUE"""),"Aaron Gordon")</f>
        <v>Aaron Gordon</v>
      </c>
      <c r="E170">
        <f>IFERROR(__xludf.DUMMYFUNCTION("""COMPUTED_VALUE"""),78.0)</f>
        <v>78</v>
      </c>
      <c r="F170" t="str">
        <f>IFERROR(__xludf.DUMMYFUNCTION("""COMPUTED_VALUE"""),"PG,SG")</f>
        <v>PG,SG</v>
      </c>
      <c r="G170" s="26">
        <f>IFERROR(__xludf.DUMMYFUNCTION("""COMPUTED_VALUE"""),-3.9729528607071254)</f>
        <v>-3.972952861</v>
      </c>
      <c r="H170" s="26">
        <f>IFERROR(__xludf.DUMMYFUNCTION("""COMPUTED_VALUE"""),-4.0451145295531585)</f>
        <v>-4.04511453</v>
      </c>
      <c r="I170" s="26">
        <f>IFERROR(__xludf.DUMMYFUNCTION("""COMPUTED_VALUE"""),-0.07216166884603314)</f>
        <v>-0.07216166885</v>
      </c>
      <c r="J170" s="26">
        <f>IFERROR(__xludf.DUMMYFUNCTION("""COMPUTED_VALUE"""),13.13726027)</f>
        <v>13.13726027</v>
      </c>
      <c r="K170" s="26">
        <f>IFERROR(__xludf.DUMMYFUNCTION("""COMPUTED_VALUE"""),0.5547945205)</f>
        <v>0.5547945205</v>
      </c>
      <c r="L170" s="26">
        <f>IFERROR(__xludf.DUMMYFUNCTION("""COMPUTED_VALUE"""),5.822876712)</f>
        <v>5.822876712</v>
      </c>
      <c r="M170" s="26">
        <f>IFERROR(__xludf.DUMMYFUNCTION("""COMPUTED_VALUE"""),3.291232877)</f>
        <v>3.291232877</v>
      </c>
      <c r="N170" s="26">
        <f>IFERROR(__xludf.DUMMYFUNCTION("""COMPUTED_VALUE"""),0.7576712329)</f>
        <v>0.7576712329</v>
      </c>
      <c r="O170" s="26">
        <f>IFERROR(__xludf.DUMMYFUNCTION("""COMPUTED_VALUE"""),0.6339726027)</f>
        <v>0.6339726027</v>
      </c>
      <c r="P170" s="464">
        <f>IFERROR(__xludf.DUMMYFUNCTION("""COMPUTED_VALUE"""),0.5683235454)</f>
        <v>0.5683235454</v>
      </c>
      <c r="Q170" s="464">
        <f>IFERROR(__xludf.DUMMYFUNCTION("""COMPUTED_VALUE"""),0.6699988004)</f>
        <v>0.6699988004</v>
      </c>
      <c r="R170" s="26">
        <f>IFERROR(__xludf.DUMMYFUNCTION("""COMPUTED_VALUE"""),1.457671233)</f>
        <v>1.457671233</v>
      </c>
      <c r="S170" s="26">
        <f>IFERROR(__xludf.DUMMYFUNCTION("""COMPUTED_VALUE"""),-0.7843655394578355)</f>
        <v>-0.7843655395</v>
      </c>
      <c r="T170" s="26">
        <f>IFERROR(__xludf.DUMMYFUNCTION("""COMPUTED_VALUE"""),-1.1842358537470135)</f>
        <v>-1.184235854</v>
      </c>
      <c r="U170" s="26">
        <f>IFERROR(__xludf.DUMMYFUNCTION("""COMPUTED_VALUE"""),-0.10207477214292714)</f>
        <v>-0.1020747721</v>
      </c>
      <c r="V170" s="26">
        <f>IFERROR(__xludf.DUMMYFUNCTION("""COMPUTED_VALUE"""),-0.29160247996579924)</f>
        <v>-0.29160248</v>
      </c>
      <c r="W170" s="26">
        <f>IFERROR(__xludf.DUMMYFUNCTION("""COMPUTED_VALUE"""),-0.7222999812787212)</f>
        <v>-0.7222999813</v>
      </c>
      <c r="X170" s="26">
        <f>IFERROR(__xludf.DUMMYFUNCTION("""COMPUTED_VALUE"""),-0.2045738176046284)</f>
        <v>-0.2045738176</v>
      </c>
      <c r="Y170" s="26">
        <f>IFERROR(__xludf.DUMMYFUNCTION("""COMPUTED_VALUE"""),0.748232678499067)</f>
        <v>0.7482326785</v>
      </c>
      <c r="Z170" s="26">
        <f>IFERROR(__xludf.DUMMYFUNCTION("""COMPUTED_VALUE"""),-1.5041947638553004)</f>
        <v>-1.504194764</v>
      </c>
      <c r="AA170" s="26">
        <f>IFERROR(__xludf.DUMMYFUNCTION("""COMPUTED_VALUE"""),0.0)</f>
        <v>0</v>
      </c>
      <c r="AB170" t="str">
        <f>IFERROR(__xludf.DUMMYFUNCTION("SUBSTITUTE(REGEXREPLACE(REGEXREPLACE(REGEXREPLACE(REGEXREPLACE(REGEXREPLACE(REGEXREPLACE(F170,"","",),IF(Projections!$T$17="""",""PG"",),),IF(Projections!$U$17="""",""SG"",),),IF(Projections!$V$17="""",""SF"",),),IF(Projections!$W$17="""",""PF"",),),IF(Pr"&amp;"ojections!$X$17="""",""C"",),),""/"","""")"),"PGSG")</f>
        <v>PGSG</v>
      </c>
    </row>
    <row r="171">
      <c r="B171">
        <f>IFERROR(__xludf.DUMMYFUNCTION("""COMPUTED_VALUE"""),169.0)</f>
        <v>169</v>
      </c>
      <c r="D171" t="str">
        <f>IFERROR(__xludf.DUMMYFUNCTION("""COMPUTED_VALUE"""),"Delon Wright")</f>
        <v>Delon Wright</v>
      </c>
      <c r="E171">
        <f>IFERROR(__xludf.DUMMYFUNCTION("""COMPUTED_VALUE"""),67.0)</f>
        <v>67</v>
      </c>
      <c r="F171" t="str">
        <f>IFERROR(__xludf.DUMMYFUNCTION("""COMPUTED_VALUE"""),"C")</f>
        <v>C</v>
      </c>
      <c r="G171" s="26">
        <f>IFERROR(__xludf.DUMMYFUNCTION("""COMPUTED_VALUE"""),-3.835546994662601)</f>
        <v>-3.835546995</v>
      </c>
      <c r="H171" s="26">
        <f>IFERROR(__xludf.DUMMYFUNCTION("""COMPUTED_VALUE"""),-4.108069635962426)</f>
        <v>-4.108069636</v>
      </c>
      <c r="I171" s="26">
        <f>IFERROR(__xludf.DUMMYFUNCTION("""COMPUTED_VALUE"""),-0.2725226412998252)</f>
        <v>-0.2725226413</v>
      </c>
      <c r="J171" s="26">
        <f>IFERROR(__xludf.DUMMYFUNCTION("""COMPUTED_VALUE"""),6.068382353)</f>
        <v>6.068382353</v>
      </c>
      <c r="K171" s="26">
        <f>IFERROR(__xludf.DUMMYFUNCTION("""COMPUTED_VALUE"""),0.7470588235)</f>
        <v>0.7470588235</v>
      </c>
      <c r="L171" s="26">
        <f>IFERROR(__xludf.DUMMYFUNCTION("""COMPUTED_VALUE"""),3.031911765)</f>
        <v>3.031911765</v>
      </c>
      <c r="M171" s="26">
        <f>IFERROR(__xludf.DUMMYFUNCTION("""COMPUTED_VALUE"""),2.988529412)</f>
        <v>2.988529412</v>
      </c>
      <c r="N171" s="26">
        <f>IFERROR(__xludf.DUMMYFUNCTION("""COMPUTED_VALUE"""),1.455441176)</f>
        <v>1.455441176</v>
      </c>
      <c r="O171" s="26">
        <f>IFERROR(__xludf.DUMMYFUNCTION("""COMPUTED_VALUE"""),0.2998529412)</f>
        <v>0.2998529412</v>
      </c>
      <c r="P171" s="464">
        <f>IFERROR(__xludf.DUMMYFUNCTION("""COMPUTED_VALUE"""),0.4372374101)</f>
        <v>0.4372374101</v>
      </c>
      <c r="Q171" s="464">
        <f>IFERROR(__xludf.DUMMYFUNCTION("""COMPUTED_VALUE"""),0.8339807222)</f>
        <v>0.8339807222</v>
      </c>
      <c r="R171" s="26">
        <f>IFERROR(__xludf.DUMMYFUNCTION("""COMPUTED_VALUE"""),0.6497058824)</f>
        <v>0.6497058824</v>
      </c>
      <c r="S171" s="26">
        <f>IFERROR(__xludf.DUMMYFUNCTION("""COMPUTED_VALUE"""),-2.058570643576969)</f>
        <v>-2.058570644</v>
      </c>
      <c r="T171" s="26">
        <f>IFERROR(__xludf.DUMMYFUNCTION("""COMPUTED_VALUE"""),-0.9935234045627822)</f>
        <v>-0.9935234046</v>
      </c>
      <c r="U171" s="26">
        <f>IFERROR(__xludf.DUMMYFUNCTION("""COMPUTED_VALUE"""),-1.1958734614046092)</f>
        <v>-1.195873461</v>
      </c>
      <c r="V171" s="26">
        <f>IFERROR(__xludf.DUMMYFUNCTION("""COMPUTED_VALUE"""),-0.42907175010507714)</f>
        <v>-0.4290717501</v>
      </c>
      <c r="W171" s="26">
        <f>IFERROR(__xludf.DUMMYFUNCTION("""COMPUTED_VALUE"""),1.586141657138728)</f>
        <v>1.586141657</v>
      </c>
      <c r="X171" s="26">
        <f>IFERROR(__xludf.DUMMYFUNCTION("""COMPUTED_VALUE"""),-0.8005256247503415)</f>
        <v>-0.8005256248</v>
      </c>
      <c r="Y171" s="26">
        <f>IFERROR(__xludf.DUMMYFUNCTION("""COMPUTED_VALUE"""),-0.35670086830466585)</f>
        <v>-0.3567008683</v>
      </c>
      <c r="Z171" s="26">
        <f>IFERROR(__xludf.DUMMYFUNCTION("""COMPUTED_VALUE"""),0.14005445960329085)</f>
        <v>0.1400544596</v>
      </c>
      <c r="AA171" s="26">
        <f>IFERROR(__xludf.DUMMYFUNCTION("""COMPUTED_VALUE"""),0.0)</f>
        <v>0</v>
      </c>
      <c r="AB171" t="str">
        <f>IFERROR(__xludf.DUMMYFUNCTION("SUBSTITUTE(REGEXREPLACE(REGEXREPLACE(REGEXREPLACE(REGEXREPLACE(REGEXREPLACE(REGEXREPLACE(F171,"","",),IF(Projections!$T$17="""",""PG"",),),IF(Projections!$U$17="""",""SG"",),),IF(Projections!$V$17="""",""SF"",),),IF(Projections!$W$17="""",""PF"",),),IF(Pr"&amp;"ojections!$X$17="""",""C"",),),""/"","""")"),"C")</f>
        <v>C</v>
      </c>
    </row>
    <row r="172">
      <c r="B172">
        <f>IFERROR(__xludf.DUMMYFUNCTION("""COMPUTED_VALUE"""),167.0)</f>
        <v>167</v>
      </c>
      <c r="C172">
        <f>IFERROR(__xludf.DUMMYFUNCTION("""COMPUTED_VALUE"""),133.6)</f>
        <v>133.6</v>
      </c>
      <c r="D172" t="str">
        <f>IFERROR(__xludf.DUMMYFUNCTION("""COMPUTED_VALUE"""),"Jaime Jaquez Jr.")</f>
        <v>Jaime Jaquez Jr.</v>
      </c>
      <c r="E172">
        <f>IFERROR(__xludf.DUMMYFUNCTION("""COMPUTED_VALUE"""),69.0)</f>
        <v>69</v>
      </c>
      <c r="F172" t="str">
        <f>IFERROR(__xludf.DUMMYFUNCTION("""COMPUTED_VALUE"""),"SF,PF")</f>
        <v>SF,PF</v>
      </c>
      <c r="G172" s="26">
        <f>IFERROR(__xludf.DUMMYFUNCTION("""COMPUTED_VALUE"""),-4.1048378012488955)</f>
        <v>-4.104837801</v>
      </c>
      <c r="H172" s="26">
        <f>IFERROR(__xludf.DUMMYFUNCTION("""COMPUTED_VALUE"""),-4.187428307935917)</f>
        <v>-4.187428308</v>
      </c>
      <c r="I172" s="26">
        <f>IFERROR(__xludf.DUMMYFUNCTION("""COMPUTED_VALUE"""),-0.08259050668702184)</f>
        <v>-0.08259050669</v>
      </c>
      <c r="J172" s="26">
        <f>IFERROR(__xludf.DUMMYFUNCTION("""COMPUTED_VALUE"""),10.93315068)</f>
        <v>10.93315068</v>
      </c>
      <c r="K172" s="26">
        <f>IFERROR(__xludf.DUMMYFUNCTION("""COMPUTED_VALUE"""),0.8743835616)</f>
        <v>0.8743835616</v>
      </c>
      <c r="L172" s="26">
        <f>IFERROR(__xludf.DUMMYFUNCTION("""COMPUTED_VALUE"""),3.904246575)</f>
        <v>3.904246575</v>
      </c>
      <c r="M172" s="26">
        <f>IFERROR(__xludf.DUMMYFUNCTION("""COMPUTED_VALUE"""),2.829178082)</f>
        <v>2.829178082</v>
      </c>
      <c r="N172" s="26">
        <f>IFERROR(__xludf.DUMMYFUNCTION("""COMPUTED_VALUE"""),1.017123288)</f>
        <v>1.017123288</v>
      </c>
      <c r="O172" s="26">
        <f>IFERROR(__xludf.DUMMYFUNCTION("""COMPUTED_VALUE"""),0.2831506849)</f>
        <v>0.2831506849</v>
      </c>
      <c r="P172" s="464">
        <f>IFERROR(__xludf.DUMMYFUNCTION("""COMPUTED_VALUE"""),0.4849727217)</f>
        <v>0.4849727217</v>
      </c>
      <c r="Q172" s="464">
        <f>IFERROR(__xludf.DUMMYFUNCTION("""COMPUTED_VALUE"""),0.7990055116)</f>
        <v>0.7990055116</v>
      </c>
      <c r="R172" s="26">
        <f>IFERROR(__xludf.DUMMYFUNCTION("""COMPUTED_VALUE"""),1.415616438)</f>
        <v>1.415616438</v>
      </c>
      <c r="S172" s="26">
        <f>IFERROR(__xludf.DUMMYFUNCTION("""COMPUTED_VALUE"""),-1.18166872146099)</f>
        <v>-1.181668721</v>
      </c>
      <c r="T172" s="26">
        <f>IFERROR(__xludf.DUMMYFUNCTION("""COMPUTED_VALUE"""),-0.8672263631156666)</f>
        <v>-0.8672263631</v>
      </c>
      <c r="U172" s="26">
        <f>IFERROR(__xludf.DUMMYFUNCTION("""COMPUTED_VALUE"""),-0.8539993462169708)</f>
        <v>-0.8539993462</v>
      </c>
      <c r="V172" s="26">
        <f>IFERROR(__xludf.DUMMYFUNCTION("""COMPUTED_VALUE"""),-0.5014393096598488)</f>
        <v>-0.5014393097</v>
      </c>
      <c r="W172" s="26">
        <f>IFERROR(__xludf.DUMMYFUNCTION("""COMPUTED_VALUE"""),0.13604872389040304)</f>
        <v>0.1360487239</v>
      </c>
      <c r="X172" s="26">
        <f>IFERROR(__xludf.DUMMYFUNCTION("""COMPUTED_VALUE"""),-0.8303165678535084)</f>
        <v>-0.8303165679</v>
      </c>
      <c r="Y172" s="26">
        <f>IFERROR(__xludf.DUMMYFUNCTION("""COMPUTED_VALUE"""),-0.12116318659782258)</f>
        <v>-0.1211631866</v>
      </c>
      <c r="Z172" s="26">
        <f>IFERROR(__xludf.DUMMYFUNCTION("""COMPUTED_VALUE"""),0.03233646307848617)</f>
        <v>0.03233646308</v>
      </c>
      <c r="AA172" s="26">
        <f>IFERROR(__xludf.DUMMYFUNCTION("""COMPUTED_VALUE"""),0.0)</f>
        <v>0</v>
      </c>
      <c r="AB172" t="str">
        <f>IFERROR(__xludf.DUMMYFUNCTION("SUBSTITUTE(REGEXREPLACE(REGEXREPLACE(REGEXREPLACE(REGEXREPLACE(REGEXREPLACE(REGEXREPLACE(F172,"","",),IF(Projections!$T$17="""",""PG"",),),IF(Projections!$U$17="""",""SG"",),),IF(Projections!$V$17="""",""SF"",),),IF(Projections!$W$17="""",""PF"",),),IF(Pr"&amp;"ojections!$X$17="""",""C"",),),""/"","""")"),"SFPF")</f>
        <v>SFPF</v>
      </c>
    </row>
    <row r="173">
      <c r="B173">
        <f>IFERROR(__xludf.DUMMYFUNCTION("""COMPUTED_VALUE"""),159.0)</f>
        <v>159</v>
      </c>
      <c r="C173">
        <f>IFERROR(__xludf.DUMMYFUNCTION("""COMPUTED_VALUE"""),102.7)</f>
        <v>102.7</v>
      </c>
      <c r="D173" t="str">
        <f>IFERROR(__xludf.DUMMYFUNCTION("""COMPUTED_VALUE"""),"Clint Capela")</f>
        <v>Clint Capela</v>
      </c>
      <c r="E173">
        <f>IFERROR(__xludf.DUMMYFUNCTION("""COMPUTED_VALUE"""),70.0)</f>
        <v>70</v>
      </c>
      <c r="F173" t="str">
        <f>IFERROR(__xludf.DUMMYFUNCTION("""COMPUTED_VALUE"""),"SG,SF")</f>
        <v>SG,SF</v>
      </c>
      <c r="G173" s="26">
        <f>IFERROR(__xludf.DUMMYFUNCTION("""COMPUTED_VALUE"""),-4.082952310938625)</f>
        <v>-4.082952311</v>
      </c>
      <c r="H173" s="26">
        <f>IFERROR(__xludf.DUMMYFUNCTION("""COMPUTED_VALUE"""),-4.2438100556861915)</f>
        <v>-4.243810056</v>
      </c>
      <c r="I173" s="26">
        <f>IFERROR(__xludf.DUMMYFUNCTION("""COMPUTED_VALUE"""),-0.16085774474756676)</f>
        <v>-0.1608577447</v>
      </c>
      <c r="J173" s="26">
        <f>IFERROR(__xludf.DUMMYFUNCTION("""COMPUTED_VALUE"""),9.419558824)</f>
        <v>9.419558824</v>
      </c>
      <c r="K173" s="26">
        <f>IFERROR(__xludf.DUMMYFUNCTION("""COMPUTED_VALUE"""),0.0)</f>
        <v>0</v>
      </c>
      <c r="L173" s="26">
        <f>IFERROR(__xludf.DUMMYFUNCTION("""COMPUTED_VALUE"""),9.8)</f>
        <v>9.8</v>
      </c>
      <c r="M173" s="26">
        <f>IFERROR(__xludf.DUMMYFUNCTION("""COMPUTED_VALUE"""),1.25)</f>
        <v>1.25</v>
      </c>
      <c r="N173" s="26">
        <f>IFERROR(__xludf.DUMMYFUNCTION("""COMPUTED_VALUE"""),0.6)</f>
        <v>0.6</v>
      </c>
      <c r="O173" s="26">
        <f>IFERROR(__xludf.DUMMYFUNCTION("""COMPUTED_VALUE"""),1.15)</f>
        <v>1.15</v>
      </c>
      <c r="P173" s="464">
        <f>IFERROR(__xludf.DUMMYFUNCTION("""COMPUTED_VALUE"""),0.569995915)</f>
        <v>0.569995915</v>
      </c>
      <c r="Q173" s="464">
        <f>IFERROR(__xludf.DUMMYFUNCTION("""COMPUTED_VALUE"""),0.600992049)</f>
        <v>0.600992049</v>
      </c>
      <c r="R173" s="26">
        <f>IFERROR(__xludf.DUMMYFUNCTION("""COMPUTED_VALUE"""),1.1)</f>
        <v>1.1</v>
      </c>
      <c r="S173" s="26">
        <f>IFERROR(__xludf.DUMMYFUNCTION("""COMPUTED_VALUE"""),-1.4545021882591909)</f>
        <v>-1.454502188</v>
      </c>
      <c r="T173" s="26">
        <f>IFERROR(__xludf.DUMMYFUNCTION("""COMPUTED_VALUE"""),-1.7345523719336797)</f>
        <v>-1.734552372</v>
      </c>
      <c r="U173" s="26">
        <f>IFERROR(__xludf.DUMMYFUNCTION("""COMPUTED_VALUE"""),1.4565876697205933)</f>
        <v>1.45658767</v>
      </c>
      <c r="V173" s="26">
        <f>IFERROR(__xludf.DUMMYFUNCTION("""COMPUTED_VALUE"""),-1.2186047321054914)</f>
        <v>-1.218604732</v>
      </c>
      <c r="W173" s="26">
        <f>IFERROR(__xludf.DUMMYFUNCTION("""COMPUTED_VALUE"""),-1.2439258306094265)</f>
        <v>-1.243925831</v>
      </c>
      <c r="X173" s="26">
        <f>IFERROR(__xludf.DUMMYFUNCTION("""COMPUTED_VALUE"""),0.7158373266453602)</f>
        <v>0.7158373266</v>
      </c>
      <c r="Y173" s="26">
        <f>IFERROR(__xludf.DUMMYFUNCTION("""COMPUTED_VALUE"""),0.6092577056165875)</f>
        <v>0.6092577056</v>
      </c>
      <c r="Z173" s="26">
        <f>IFERROR(__xludf.DUMMYFUNCTION("""COMPUTED_VALUE"""),-1.373907634760944)</f>
        <v>-1.373907635</v>
      </c>
      <c r="AA173" s="26">
        <f>IFERROR(__xludf.DUMMYFUNCTION("""COMPUTED_VALUE"""),0.0)</f>
        <v>0</v>
      </c>
      <c r="AB173" t="str">
        <f>IFERROR(__xludf.DUMMYFUNCTION("SUBSTITUTE(REGEXREPLACE(REGEXREPLACE(REGEXREPLACE(REGEXREPLACE(REGEXREPLACE(REGEXREPLACE(F173,"","",),IF(Projections!$T$17="""",""PG"",),),IF(Projections!$U$17="""",""SG"",),),IF(Projections!$V$17="""",""SF"",),),IF(Projections!$W$17="""",""PF"",),),IF(Pr"&amp;"ojections!$X$17="""",""C"",),),""/"","""")"),"SGSF")</f>
        <v>SGSF</v>
      </c>
    </row>
    <row r="174">
      <c r="B174">
        <f>IFERROR(__xludf.DUMMYFUNCTION("""COMPUTED_VALUE"""),174.0)</f>
        <v>174</v>
      </c>
      <c r="C174">
        <f>IFERROR(__xludf.DUMMYFUNCTION("""COMPUTED_VALUE"""),144.6)</f>
        <v>144.6</v>
      </c>
      <c r="D174" t="str">
        <f>IFERROR(__xludf.DUMMYFUNCTION("""COMPUTED_VALUE"""),"Bilal Coulibaly")</f>
        <v>Bilal Coulibaly</v>
      </c>
      <c r="E174">
        <f>IFERROR(__xludf.DUMMYFUNCTION("""COMPUTED_VALUE"""),74.0)</f>
        <v>74</v>
      </c>
      <c r="F174" t="str">
        <f>IFERROR(__xludf.DUMMYFUNCTION("""COMPUTED_VALUE"""),"SG")</f>
        <v>SG</v>
      </c>
      <c r="G174" s="26">
        <f>IFERROR(__xludf.DUMMYFUNCTION("""COMPUTED_VALUE"""),-4.215371941133303)</f>
        <v>-4.215371941</v>
      </c>
      <c r="H174" s="26">
        <f>IFERROR(__xludf.DUMMYFUNCTION("""COMPUTED_VALUE"""),-4.315898689865533)</f>
        <v>-4.31589869</v>
      </c>
      <c r="I174" s="26">
        <f>IFERROR(__xludf.DUMMYFUNCTION("""COMPUTED_VALUE"""),-0.10052674873223033)</f>
        <v>-0.1005267487</v>
      </c>
      <c r="J174" s="26">
        <f>IFERROR(__xludf.DUMMYFUNCTION("""COMPUTED_VALUE"""),9.973287671)</f>
        <v>9.973287671</v>
      </c>
      <c r="K174" s="26">
        <f>IFERROR(__xludf.DUMMYFUNCTION("""COMPUTED_VALUE"""),1.186027397)</f>
        <v>1.186027397</v>
      </c>
      <c r="L174" s="26">
        <f>IFERROR(__xludf.DUMMYFUNCTION("""COMPUTED_VALUE"""),4.097123288)</f>
        <v>4.097123288</v>
      </c>
      <c r="M174" s="26">
        <f>IFERROR(__xludf.DUMMYFUNCTION("""COMPUTED_VALUE"""),2.149315068)</f>
        <v>2.149315068</v>
      </c>
      <c r="N174" s="26">
        <f>IFERROR(__xludf.DUMMYFUNCTION("""COMPUTED_VALUE"""),1.141780822)</f>
        <v>1.141780822</v>
      </c>
      <c r="O174" s="26">
        <f>IFERROR(__xludf.DUMMYFUNCTION("""COMPUTED_VALUE"""),0.7387671233)</f>
        <v>0.7387671233</v>
      </c>
      <c r="P174" s="464">
        <f>IFERROR(__xludf.DUMMYFUNCTION("""COMPUTED_VALUE"""),0.4276560668)</f>
        <v>0.4276560668</v>
      </c>
      <c r="Q174" s="464">
        <f>IFERROR(__xludf.DUMMYFUNCTION("""COMPUTED_VALUE"""),0.7199854159)</f>
        <v>0.7199854159</v>
      </c>
      <c r="R174" s="26">
        <f>IFERROR(__xludf.DUMMYFUNCTION("""COMPUTED_VALUE"""),1.343287671)</f>
        <v>1.343287671</v>
      </c>
      <c r="S174" s="26">
        <f>IFERROR(__xludf.DUMMYFUNCTION("""COMPUTED_VALUE"""),-1.35468944125325)</f>
        <v>-1.354689441</v>
      </c>
      <c r="T174" s="26">
        <f>IFERROR(__xludf.DUMMYFUNCTION("""COMPUTED_VALUE"""),-0.5580979487666887)</f>
        <v>-0.5580979488</v>
      </c>
      <c r="U174" s="26">
        <f>IFERROR(__xludf.DUMMYFUNCTION("""COMPUTED_VALUE"""),-0.7784096129617144)</f>
        <v>-0.778409613</v>
      </c>
      <c r="V174" s="26">
        <f>IFERROR(__xludf.DUMMYFUNCTION("""COMPUTED_VALUE"""),-0.8101912175022968)</f>
        <v>-0.8101912175</v>
      </c>
      <c r="W174" s="26">
        <f>IFERROR(__xludf.DUMMYFUNCTION("""COMPUTED_VALUE"""),0.5484549114507038)</f>
        <v>0.5484549115</v>
      </c>
      <c r="X174" s="26">
        <f>IFERROR(__xludf.DUMMYFUNCTION("""COMPUTED_VALUE"""),-0.017657298983234128)</f>
        <v>-0.01765729898</v>
      </c>
      <c r="Y174" s="26">
        <f>IFERROR(__xludf.DUMMYFUNCTION("""COMPUTED_VALUE"""),-0.6524064776983406)</f>
        <v>-0.6524064777</v>
      </c>
      <c r="Z174" s="26">
        <f>IFERROR(__xludf.DUMMYFUNCTION("""COMPUTED_VALUE"""),-0.6929016041507131)</f>
        <v>-0.6929016042</v>
      </c>
      <c r="AA174" s="26">
        <f>IFERROR(__xludf.DUMMYFUNCTION("""COMPUTED_VALUE"""),0.0)</f>
        <v>0</v>
      </c>
      <c r="AB174" t="str">
        <f>IFERROR(__xludf.DUMMYFUNCTION("SUBSTITUTE(REGEXREPLACE(REGEXREPLACE(REGEXREPLACE(REGEXREPLACE(REGEXREPLACE(REGEXREPLACE(F174,"","",),IF(Projections!$T$17="""",""PG"",),),IF(Projections!$U$17="""",""SG"",),),IF(Projections!$V$17="""",""SF"",),),IF(Projections!$W$17="""",""PF"",),),IF(Pr"&amp;"ojections!$X$17="""",""C"",),),""/"","""")"),"SG")</f>
        <v>SG</v>
      </c>
    </row>
    <row r="175">
      <c r="B175">
        <f>IFERROR(__xludf.DUMMYFUNCTION("""COMPUTED_VALUE"""),171.0)</f>
        <v>171</v>
      </c>
      <c r="C175">
        <f>IFERROR(__xludf.DUMMYFUNCTION("""COMPUTED_VALUE"""),138.9)</f>
        <v>138.9</v>
      </c>
      <c r="D175" t="str">
        <f>IFERROR(__xludf.DUMMYFUNCTION("""COMPUTED_VALUE"""),"Jordan Clarkson")</f>
        <v>Jordan Clarkson</v>
      </c>
      <c r="E175">
        <f>IFERROR(__xludf.DUMMYFUNCTION("""COMPUTED_VALUE"""),64.0)</f>
        <v>64</v>
      </c>
      <c r="F175" t="str">
        <f>IFERROR(__xludf.DUMMYFUNCTION("""COMPUTED_VALUE"""),"PF,C")</f>
        <v>PF,C</v>
      </c>
      <c r="G175" s="26">
        <f>IFERROR(__xludf.DUMMYFUNCTION("""COMPUTED_VALUE"""),-4.433225254648967)</f>
        <v>-4.433225255</v>
      </c>
      <c r="H175" s="26">
        <f>IFERROR(__xludf.DUMMYFUNCTION("""COMPUTED_VALUE"""),-4.340880188010993)</f>
        <v>-4.340880188</v>
      </c>
      <c r="I175" s="26">
        <f>IFERROR(__xludf.DUMMYFUNCTION("""COMPUTED_VALUE"""),0.09234506663797415)</f>
        <v>0.09234506664</v>
      </c>
      <c r="J175" s="26">
        <f>IFERROR(__xludf.DUMMYFUNCTION("""COMPUTED_VALUE"""),15.37947368)</f>
        <v>15.37947368</v>
      </c>
      <c r="K175" s="26">
        <f>IFERROR(__xludf.DUMMYFUNCTION("""COMPUTED_VALUE"""),1.58245614)</f>
        <v>1.58245614</v>
      </c>
      <c r="L175" s="26">
        <f>IFERROR(__xludf.DUMMYFUNCTION("""COMPUTED_VALUE"""),3.181578947)</f>
        <v>3.181578947</v>
      </c>
      <c r="M175" s="26">
        <f>IFERROR(__xludf.DUMMYFUNCTION("""COMPUTED_VALUE"""),4.302982456)</f>
        <v>4.302982456</v>
      </c>
      <c r="N175" s="26">
        <f>IFERROR(__xludf.DUMMYFUNCTION("""COMPUTED_VALUE"""),0.5243859649)</f>
        <v>0.5243859649</v>
      </c>
      <c r="O175" s="26">
        <f>IFERROR(__xludf.DUMMYFUNCTION("""COMPUTED_VALUE"""),0.05929824561)</f>
        <v>0.05929824561</v>
      </c>
      <c r="P175" s="464">
        <f>IFERROR(__xludf.DUMMYFUNCTION("""COMPUTED_VALUE"""),0.4368494386)</f>
        <v>0.4368494386</v>
      </c>
      <c r="Q175" s="464">
        <f>IFERROR(__xludf.DUMMYFUNCTION("""COMPUTED_VALUE"""),0.8720156788)</f>
        <v>0.8720156788</v>
      </c>
      <c r="R175" s="26">
        <f>IFERROR(__xludf.DUMMYFUNCTION("""COMPUTED_VALUE"""),2.121052632)</f>
        <v>2.121052632</v>
      </c>
      <c r="S175" s="26">
        <f>IFERROR(__xludf.DUMMYFUNCTION("""COMPUTED_VALUE"""),-0.3801939290420651)</f>
        <v>-0.380193929</v>
      </c>
      <c r="T175" s="26">
        <f>IFERROR(__xludf.DUMMYFUNCTION("""COMPUTED_VALUE"""),-0.16486896488944672)</f>
        <v>-0.1648689649</v>
      </c>
      <c r="U175" s="26">
        <f>IFERROR(__xludf.DUMMYFUNCTION("""COMPUTED_VALUE"""),-1.137217845656709)</f>
        <v>-1.137217846</v>
      </c>
      <c r="V175" s="26">
        <f>IFERROR(__xludf.DUMMYFUNCTION("""COMPUTED_VALUE"""),0.16787186463363118)</f>
        <v>0.1678718646</v>
      </c>
      <c r="W175" s="26">
        <f>IFERROR(__xludf.DUMMYFUNCTION("""COMPUTED_VALUE"""),-1.4940807545921337)</f>
        <v>-1.494080755</v>
      </c>
      <c r="X175" s="26">
        <f>IFERROR(__xludf.DUMMYFUNCTION("""COMPUTED_VALUE"""),-1.2295904840604766)</f>
        <v>-1.229590484</v>
      </c>
      <c r="Y175" s="26">
        <f>IFERROR(__xludf.DUMMYFUNCTION("""COMPUTED_VALUE"""),-0.9022540757814447)</f>
        <v>-0.9022540758</v>
      </c>
      <c r="Z175" s="26">
        <f>IFERROR(__xludf.DUMMYFUNCTION("""COMPUTED_VALUE"""),0.799454001377652)</f>
        <v>0.7994540014</v>
      </c>
      <c r="AA175" s="26">
        <f>IFERROR(__xludf.DUMMYFUNCTION("""COMPUTED_VALUE"""),0.0)</f>
        <v>0</v>
      </c>
      <c r="AB175" t="str">
        <f>IFERROR(__xludf.DUMMYFUNCTION("SUBSTITUTE(REGEXREPLACE(REGEXREPLACE(REGEXREPLACE(REGEXREPLACE(REGEXREPLACE(REGEXREPLACE(F175,"","",),IF(Projections!$T$17="""",""PG"",),),IF(Projections!$U$17="""",""SG"",),),IF(Projections!$V$17="""",""SF"",),),IF(Projections!$W$17="""",""PF"",),),IF(Pr"&amp;"ojections!$X$17="""",""C"",),),""/"","""")"),"PFC")</f>
        <v>PFC</v>
      </c>
    </row>
    <row r="176">
      <c r="B176">
        <f>IFERROR(__xludf.DUMMYFUNCTION("""COMPUTED_VALUE"""),168.0)</f>
        <v>168</v>
      </c>
      <c r="C176">
        <f>IFERROR(__xludf.DUMMYFUNCTION("""COMPUTED_VALUE"""),140.3)</f>
        <v>140.3</v>
      </c>
      <c r="D176" t="str">
        <f>IFERROR(__xludf.DUMMYFUNCTION("""COMPUTED_VALUE"""),"Kelly Olynyk")</f>
        <v>Kelly Olynyk</v>
      </c>
      <c r="E176">
        <f>IFERROR(__xludf.DUMMYFUNCTION("""COMPUTED_VALUE"""),62.0)</f>
        <v>62</v>
      </c>
      <c r="F176" t="str">
        <f>IFERROR(__xludf.DUMMYFUNCTION("""COMPUTED_VALUE"""),"PF,C")</f>
        <v>PF,C</v>
      </c>
      <c r="G176" s="26">
        <f>IFERROR(__xludf.DUMMYFUNCTION("""COMPUTED_VALUE"""),-4.45000141554869)</f>
        <v>-4.450001416</v>
      </c>
      <c r="H176" s="26">
        <f>IFERROR(__xludf.DUMMYFUNCTION("""COMPUTED_VALUE"""),-4.4124734524883635)</f>
        <v>-4.412473452</v>
      </c>
      <c r="I176" s="26">
        <f>IFERROR(__xludf.DUMMYFUNCTION("""COMPUTED_VALUE"""),0.037527963060326464)</f>
        <v>0.03752796306</v>
      </c>
      <c r="J176" s="26">
        <f>IFERROR(__xludf.DUMMYFUNCTION("""COMPUTED_VALUE"""),8.761176471)</f>
        <v>8.761176471</v>
      </c>
      <c r="K176" s="26">
        <f>IFERROR(__xludf.DUMMYFUNCTION("""COMPUTED_VALUE"""),0.5997058824)</f>
        <v>0.5997058824</v>
      </c>
      <c r="L176" s="26">
        <f>IFERROR(__xludf.DUMMYFUNCTION("""COMPUTED_VALUE"""),4.639705882)</f>
        <v>4.639705882</v>
      </c>
      <c r="M176" s="26">
        <f>IFERROR(__xludf.DUMMYFUNCTION("""COMPUTED_VALUE"""),3.606764706)</f>
        <v>3.606764706</v>
      </c>
      <c r="N176" s="26">
        <f>IFERROR(__xludf.DUMMYFUNCTION("""COMPUTED_VALUE"""),0.7070588235)</f>
        <v>0.7070588235</v>
      </c>
      <c r="O176" s="26">
        <f>IFERROR(__xludf.DUMMYFUNCTION("""COMPUTED_VALUE"""),0.3589705882)</f>
        <v>0.3589705882</v>
      </c>
      <c r="P176" s="464">
        <f>IFERROR(__xludf.DUMMYFUNCTION("""COMPUTED_VALUE"""),0.5456924367)</f>
        <v>0.5456924367</v>
      </c>
      <c r="Q176" s="464">
        <f>IFERROR(__xludf.DUMMYFUNCTION("""COMPUTED_VALUE"""),0.8299688927)</f>
        <v>0.8299688927</v>
      </c>
      <c r="R176" s="26">
        <f>IFERROR(__xludf.DUMMYFUNCTION("""COMPUTED_VALUE"""),1.9)</f>
        <v>1.9</v>
      </c>
      <c r="S176" s="26">
        <f>IFERROR(__xludf.DUMMYFUNCTION("""COMPUTED_VALUE"""),-1.573179319835767)</f>
        <v>-1.57317932</v>
      </c>
      <c r="T176" s="26">
        <f>IFERROR(__xludf.DUMMYFUNCTION("""COMPUTED_VALUE"""),-1.1396869921512738)</f>
        <v>-1.139686992</v>
      </c>
      <c r="U176" s="26">
        <f>IFERROR(__xludf.DUMMYFUNCTION("""COMPUTED_VALUE"""),-0.5657676982822306)</f>
        <v>-0.5657676983</v>
      </c>
      <c r="V176" s="26">
        <f>IFERROR(__xludf.DUMMYFUNCTION("""COMPUTED_VALUE"""),-0.148307357003327)</f>
        <v>-0.148307357</v>
      </c>
      <c r="W176" s="26">
        <f>IFERROR(__xludf.DUMMYFUNCTION("""COMPUTED_VALUE"""),-0.889741692454358)</f>
        <v>-0.8897416925</v>
      </c>
      <c r="X176" s="26">
        <f>IFERROR(__xludf.DUMMYFUNCTION("""COMPUTED_VALUE"""),-0.6950805623266435)</f>
        <v>-0.6950805623</v>
      </c>
      <c r="Y176" s="26">
        <f>IFERROR(__xludf.DUMMYFUNCTION("""COMPUTED_VALUE"""),0.32617682268902154)</f>
        <v>0.3261768227</v>
      </c>
      <c r="Z176" s="26">
        <f>IFERROR(__xludf.DUMMYFUNCTION("""COMPUTED_VALUE"""),0.27311334687621525)</f>
        <v>0.2731133469</v>
      </c>
      <c r="AA176" s="26">
        <f>IFERROR(__xludf.DUMMYFUNCTION("""COMPUTED_VALUE"""),0.0)</f>
        <v>0</v>
      </c>
      <c r="AB176" t="str">
        <f>IFERROR(__xludf.DUMMYFUNCTION("SUBSTITUTE(REGEXREPLACE(REGEXREPLACE(REGEXREPLACE(REGEXREPLACE(REGEXREPLACE(REGEXREPLACE(F176,"","",),IF(Projections!$T$17="""",""PG"",),),IF(Projections!$U$17="""",""SG"",),),IF(Projections!$V$17="""",""SF"",),),IF(Projections!$W$17="""",""PF"",),),IF(Pr"&amp;"ojections!$X$17="""",""C"",),),""/"","""")"),"PFC")</f>
        <v>PFC</v>
      </c>
    </row>
    <row r="177">
      <c r="B177">
        <f>IFERROR(__xludf.DUMMYFUNCTION("""COMPUTED_VALUE"""),178.0)</f>
        <v>178</v>
      </c>
      <c r="C177">
        <f>IFERROR(__xludf.DUMMYFUNCTION("""COMPUTED_VALUE"""),139.0)</f>
        <v>139</v>
      </c>
      <c r="D177" t="str">
        <f>IFERROR(__xludf.DUMMYFUNCTION("""COMPUTED_VALUE"""),"Zaccharie Risacher")</f>
        <v>Zaccharie Risacher</v>
      </c>
      <c r="E177">
        <f>IFERROR(__xludf.DUMMYFUNCTION("""COMPUTED_VALUE"""),62.0)</f>
        <v>62</v>
      </c>
      <c r="F177" t="str">
        <f>IFERROR(__xludf.DUMMYFUNCTION("""COMPUTED_VALUE"""),"PG,SG")</f>
        <v>PG,SG</v>
      </c>
      <c r="G177" s="26">
        <f>IFERROR(__xludf.DUMMYFUNCTION("""COMPUTED_VALUE"""),-4.507869854904154)</f>
        <v>-4.507869855</v>
      </c>
      <c r="H177" s="26">
        <f>IFERROR(__xludf.DUMMYFUNCTION("""COMPUTED_VALUE"""),-4.414528926482501)</f>
        <v>-4.414528926</v>
      </c>
      <c r="I177" s="26">
        <f>IFERROR(__xludf.DUMMYFUNCTION("""COMPUTED_VALUE"""),0.09334092842165287)</f>
        <v>0.09334092842</v>
      </c>
      <c r="J177" s="26">
        <f>IFERROR(__xludf.DUMMYFUNCTION("""COMPUTED_VALUE"""),12.11739726)</f>
        <v>12.11739726</v>
      </c>
      <c r="K177" s="26">
        <f>IFERROR(__xludf.DUMMYFUNCTION("""COMPUTED_VALUE"""),1.839863014)</f>
        <v>1.839863014</v>
      </c>
      <c r="L177" s="26">
        <f>IFERROR(__xludf.DUMMYFUNCTION("""COMPUTED_VALUE"""),5.062465753)</f>
        <v>5.062465753</v>
      </c>
      <c r="M177" s="26">
        <f>IFERROR(__xludf.DUMMYFUNCTION("""COMPUTED_VALUE"""),1.624931507)</f>
        <v>1.624931507</v>
      </c>
      <c r="N177" s="26">
        <f>IFERROR(__xludf.DUMMYFUNCTION("""COMPUTED_VALUE"""),0.9375342466)</f>
        <v>0.9375342466</v>
      </c>
      <c r="O177" s="26">
        <f>IFERROR(__xludf.DUMMYFUNCTION("""COMPUTED_VALUE"""),0.4375342466)</f>
        <v>0.4375342466</v>
      </c>
      <c r="P177" s="464">
        <f>IFERROR(__xludf.DUMMYFUNCTION("""COMPUTED_VALUE"""),0.4216554538)</f>
        <v>0.4216554538</v>
      </c>
      <c r="Q177" s="464">
        <f>IFERROR(__xludf.DUMMYFUNCTION("""COMPUTED_VALUE"""),0.7150337838)</f>
        <v>0.7150337838</v>
      </c>
      <c r="R177" s="26">
        <f>IFERROR(__xludf.DUMMYFUNCTION("""COMPUTED_VALUE"""),2.125068493)</f>
        <v>2.125068493</v>
      </c>
      <c r="S177" s="26">
        <f>IFERROR(__xludf.DUMMYFUNCTION("""COMPUTED_VALUE"""),-0.96820159775488)</f>
        <v>-0.9682015978</v>
      </c>
      <c r="T177" s="26">
        <f>IFERROR(__xludf.DUMMYFUNCTION("""COMPUTED_VALUE"""),0.09046025957608943)</f>
        <v>0.09046025958</v>
      </c>
      <c r="U177" s="26">
        <f>IFERROR(__xludf.DUMMYFUNCTION("""COMPUTED_VALUE"""),-0.4000851470666431)</f>
        <v>-0.4000851471</v>
      </c>
      <c r="V177" s="26">
        <f>IFERROR(__xludf.DUMMYFUNCTION("""COMPUTED_VALUE"""),-1.0483339338524564)</f>
        <v>-1.048333934</v>
      </c>
      <c r="W177" s="26">
        <f>IFERROR(__xludf.DUMMYFUNCTION("""COMPUTED_VALUE"""),-0.12725676661731858)</f>
        <v>-0.1272567666</v>
      </c>
      <c r="X177" s="26">
        <f>IFERROR(__xludf.DUMMYFUNCTION("""COMPUTED_VALUE"""),-0.5549506639864392)</f>
        <v>-0.554950664</v>
      </c>
      <c r="Y177" s="26">
        <f>IFERROR(__xludf.DUMMYFUNCTION("""COMPUTED_VALUE"""),-0.9506355980470744)</f>
        <v>-0.950635598</v>
      </c>
      <c r="Z177" s="26">
        <f>IFERROR(__xludf.DUMMYFUNCTION("""COMPUTED_VALUE"""),-0.45552547873377847)</f>
        <v>-0.4555254787</v>
      </c>
      <c r="AA177" s="26">
        <f>IFERROR(__xludf.DUMMYFUNCTION("""COMPUTED_VALUE"""),0.0)</f>
        <v>0</v>
      </c>
      <c r="AB177" t="str">
        <f>IFERROR(__xludf.DUMMYFUNCTION("SUBSTITUTE(REGEXREPLACE(REGEXREPLACE(REGEXREPLACE(REGEXREPLACE(REGEXREPLACE(REGEXREPLACE(F177,"","",),IF(Projections!$T$17="""",""PG"",),),IF(Projections!$U$17="""",""SG"",),),IF(Projections!$V$17="""",""SF"",),),IF(Projections!$W$17="""",""PF"",),),IF(Pr"&amp;"ojections!$X$17="""",""C"",),),""/"","""")"),"PGSG")</f>
        <v>PGSG</v>
      </c>
    </row>
    <row r="178">
      <c r="B178">
        <f>IFERROR(__xludf.DUMMYFUNCTION("""COMPUTED_VALUE"""),175.0)</f>
        <v>175</v>
      </c>
      <c r="C178">
        <f>IFERROR(__xludf.DUMMYFUNCTION("""COMPUTED_VALUE"""),140.9)</f>
        <v>140.9</v>
      </c>
      <c r="D178" t="str">
        <f>IFERROR(__xludf.DUMMYFUNCTION("""COMPUTED_VALUE"""),"Reed Sheppard")</f>
        <v>Reed Sheppard</v>
      </c>
      <c r="E178">
        <f>IFERROR(__xludf.DUMMYFUNCTION("""COMPUTED_VALUE"""),77.0)</f>
        <v>77</v>
      </c>
      <c r="F178" t="str">
        <f>IFERROR(__xludf.DUMMYFUNCTION("""COMPUTED_VALUE"""),"PF,C")</f>
        <v>PF,C</v>
      </c>
      <c r="G178" s="26">
        <f>IFERROR(__xludf.DUMMYFUNCTION("""COMPUTED_VALUE"""),-4.368631898177338)</f>
        <v>-4.368631898</v>
      </c>
      <c r="H178" s="26">
        <f>IFERROR(__xludf.DUMMYFUNCTION("""COMPUTED_VALUE"""),-4.4161312341182155)</f>
        <v>-4.416131234</v>
      </c>
      <c r="I178" s="26">
        <f>IFERROR(__xludf.DUMMYFUNCTION("""COMPUTED_VALUE"""),-0.047499335940877074)</f>
        <v>-0.04749933594</v>
      </c>
      <c r="J178" s="26">
        <f>IFERROR(__xludf.DUMMYFUNCTION("""COMPUTED_VALUE"""),8.668630137)</f>
        <v>8.668630137</v>
      </c>
      <c r="K178" s="26">
        <f>IFERROR(__xludf.DUMMYFUNCTION("""COMPUTED_VALUE"""),1.620684932)</f>
        <v>1.620684932</v>
      </c>
      <c r="L178" s="26">
        <f>IFERROR(__xludf.DUMMYFUNCTION("""COMPUTED_VALUE"""),2.230410959)</f>
        <v>2.230410959</v>
      </c>
      <c r="M178" s="26">
        <f>IFERROR(__xludf.DUMMYFUNCTION("""COMPUTED_VALUE"""),2.819589041)</f>
        <v>2.819589041</v>
      </c>
      <c r="N178" s="26">
        <f>IFERROR(__xludf.DUMMYFUNCTION("""COMPUTED_VALUE"""),1.13630137)</f>
        <v>1.13630137</v>
      </c>
      <c r="O178" s="26">
        <f>IFERROR(__xludf.DUMMYFUNCTION("""COMPUTED_VALUE"""),0.3787671233)</f>
        <v>0.3787671233</v>
      </c>
      <c r="P178" s="464">
        <f>IFERROR(__xludf.DUMMYFUNCTION("""COMPUTED_VALUE"""),0.4223179775)</f>
        <v>0.4223179775</v>
      </c>
      <c r="Q178" s="464">
        <f>IFERROR(__xludf.DUMMYFUNCTION("""COMPUTED_VALUE"""),0.8220230474)</f>
        <v>0.8220230474</v>
      </c>
      <c r="R178" s="26">
        <f>IFERROR(__xludf.DUMMYFUNCTION("""COMPUTED_VALUE"""),1.557123288)</f>
        <v>1.557123288</v>
      </c>
      <c r="S178" s="26">
        <f>IFERROR(__xludf.DUMMYFUNCTION("""COMPUTED_VALUE"""),-1.5898613183841819)</f>
        <v>-1.589861318</v>
      </c>
      <c r="T178" s="26">
        <f>IFERROR(__xludf.DUMMYFUNCTION("""COMPUTED_VALUE"""),-0.1269487350916429)</f>
        <v>-0.1269487351</v>
      </c>
      <c r="U178" s="26">
        <f>IFERROR(__xludf.DUMMYFUNCTION("""COMPUTED_VALUE"""),-1.5099872348460572)</f>
        <v>-1.509987235</v>
      </c>
      <c r="V178" s="26">
        <f>IFERROR(__xludf.DUMMYFUNCTION("""COMPUTED_VALUE"""),-0.5057940614880303)</f>
        <v>-0.5057940615</v>
      </c>
      <c r="W178" s="26">
        <f>IFERROR(__xludf.DUMMYFUNCTION("""COMPUTED_VALUE"""),0.5303271670879787)</f>
        <v>0.5303271671</v>
      </c>
      <c r="X178" s="26">
        <f>IFERROR(__xludf.DUMMYFUNCTION("""COMPUTED_VALUE"""),-0.6597705155754183)</f>
        <v>-0.6597705156</v>
      </c>
      <c r="Y178" s="26">
        <f>IFERROR(__xludf.DUMMYFUNCTION("""COMPUTED_VALUE"""),-0.6455736024721995)</f>
        <v>-0.6455736025</v>
      </c>
      <c r="Z178" s="26">
        <f>IFERROR(__xludf.DUMMYFUNCTION("""COMPUTED_VALUE"""),0.09147706665133598)</f>
        <v>0.09147706665</v>
      </c>
      <c r="AA178" s="26">
        <f>IFERROR(__xludf.DUMMYFUNCTION("""COMPUTED_VALUE"""),0.0)</f>
        <v>0</v>
      </c>
      <c r="AB178" t="str">
        <f>IFERROR(__xludf.DUMMYFUNCTION("SUBSTITUTE(REGEXREPLACE(REGEXREPLACE(REGEXREPLACE(REGEXREPLACE(REGEXREPLACE(REGEXREPLACE(F178,"","",),IF(Projections!$T$17="""",""PG"",),),IF(Projections!$U$17="""",""SG"",),),IF(Projections!$V$17="""",""SF"",),),IF(Projections!$W$17="""",""PF"",),),IF(Pr"&amp;"ojections!$X$17="""",""C"",),),""/"","""")"),"PFC")</f>
        <v>PFC</v>
      </c>
    </row>
    <row r="179">
      <c r="B179">
        <f>IFERROR(__xludf.DUMMYFUNCTION("""COMPUTED_VALUE"""),173.0)</f>
        <v>173</v>
      </c>
      <c r="C179">
        <f>IFERROR(__xludf.DUMMYFUNCTION("""COMPUTED_VALUE"""),143.3)</f>
        <v>143.3</v>
      </c>
      <c r="D179" t="str">
        <f>IFERROR(__xludf.DUMMYFUNCTION("""COMPUTED_VALUE"""),"Keldon Johnson")</f>
        <v>Keldon Johnson</v>
      </c>
      <c r="E179">
        <f>IFERROR(__xludf.DUMMYFUNCTION("""COMPUTED_VALUE"""),60.0)</f>
        <v>60</v>
      </c>
      <c r="F179" t="str">
        <f>IFERROR(__xludf.DUMMYFUNCTION("""COMPUTED_VALUE"""),"PF,C")</f>
        <v>PF,C</v>
      </c>
      <c r="G179" s="26">
        <f>IFERROR(__xludf.DUMMYFUNCTION("""COMPUTED_VALUE"""),-4.330695704354165)</f>
        <v>-4.330695704</v>
      </c>
      <c r="H179" s="26">
        <f>IFERROR(__xludf.DUMMYFUNCTION("""COMPUTED_VALUE"""),-4.443213917863914)</f>
        <v>-4.443213918</v>
      </c>
      <c r="I179" s="26">
        <f>IFERROR(__xludf.DUMMYFUNCTION("""COMPUTED_VALUE"""),-0.11251821350974911)</f>
        <v>-0.1125182135</v>
      </c>
      <c r="J179" s="26">
        <f>IFERROR(__xludf.DUMMYFUNCTION("""COMPUTED_VALUE"""),13.09657534)</f>
        <v>13.09657534</v>
      </c>
      <c r="K179" s="26">
        <f>IFERROR(__xludf.DUMMYFUNCTION("""COMPUTED_VALUE"""),1.703561644)</f>
        <v>1.703561644</v>
      </c>
      <c r="L179" s="26">
        <f>IFERROR(__xludf.DUMMYFUNCTION("""COMPUTED_VALUE"""),4.781232877)</f>
        <v>4.781232877</v>
      </c>
      <c r="M179" s="26">
        <f>IFERROR(__xludf.DUMMYFUNCTION("""COMPUTED_VALUE"""),2.240958904)</f>
        <v>2.240958904</v>
      </c>
      <c r="N179" s="26">
        <f>IFERROR(__xludf.DUMMYFUNCTION("""COMPUTED_VALUE"""),0.6178082192)</f>
        <v>0.6178082192</v>
      </c>
      <c r="O179" s="26">
        <f>IFERROR(__xludf.DUMMYFUNCTION("""COMPUTED_VALUE"""),0.2815068493)</f>
        <v>0.2815068493</v>
      </c>
      <c r="P179" s="464">
        <f>IFERROR(__xludf.DUMMYFUNCTION("""COMPUTED_VALUE"""),0.4582896047)</f>
        <v>0.4582896047</v>
      </c>
      <c r="Q179" s="464">
        <f>IFERROR(__xludf.DUMMYFUNCTION("""COMPUTED_VALUE"""),0.8119907183)</f>
        <v>0.8119907183</v>
      </c>
      <c r="R179" s="26">
        <f>IFERROR(__xludf.DUMMYFUNCTION("""COMPUTED_VALUE"""),1.294931507)</f>
        <v>1.294931507</v>
      </c>
      <c r="S179" s="26">
        <f>IFERROR(__xludf.DUMMYFUNCTION("""COMPUTED_VALUE"""),-0.7916992275021655)</f>
        <v>-0.7916992275</v>
      </c>
      <c r="T179" s="26">
        <f>IFERROR(__xludf.DUMMYFUNCTION("""COMPUTED_VALUE"""),-0.04474095923708828)</f>
        <v>-0.04474095924</v>
      </c>
      <c r="U179" s="26">
        <f>IFERROR(__xludf.DUMMYFUNCTION("""COMPUTED_VALUE"""),-0.5103022787711256)</f>
        <v>-0.5103022788</v>
      </c>
      <c r="V179" s="26">
        <f>IFERROR(__xludf.DUMMYFUNCTION("""COMPUTED_VALUE"""),-0.7685722315825825)</f>
        <v>-0.7685722316</v>
      </c>
      <c r="W179" s="26">
        <f>IFERROR(__xludf.DUMMYFUNCTION("""COMPUTED_VALUE"""),-1.1850106607689086)</f>
        <v>-1.185010661</v>
      </c>
      <c r="X179" s="26">
        <f>IFERROR(__xludf.DUMMYFUNCTION("""COMPUTED_VALUE"""),-0.8332485916442438)</f>
        <v>-0.8332485916</v>
      </c>
      <c r="Y179" s="26">
        <f>IFERROR(__xludf.DUMMYFUNCTION("""COMPUTED_VALUE"""),-0.46133961387360817)</f>
        <v>-0.4613396139</v>
      </c>
      <c r="Z179" s="26">
        <f>IFERROR(__xludf.DUMMYFUNCTION("""COMPUTED_VALUE"""),0.15169964551580883)</f>
        <v>0.1516996455</v>
      </c>
      <c r="AA179" s="26">
        <f>IFERROR(__xludf.DUMMYFUNCTION("""COMPUTED_VALUE"""),0.0)</f>
        <v>0</v>
      </c>
      <c r="AB179" t="str">
        <f>IFERROR(__xludf.DUMMYFUNCTION("SUBSTITUTE(REGEXREPLACE(REGEXREPLACE(REGEXREPLACE(REGEXREPLACE(REGEXREPLACE(REGEXREPLACE(F179,"","",),IF(Projections!$T$17="""",""PG"",),),IF(Projections!$U$17="""",""SG"",),),IF(Projections!$V$17="""",""SF"",),),IF(Projections!$W$17="""",""PF"",),),IF(Pr"&amp;"ojections!$X$17="""",""C"",),),""/"","""")"),"PFC")</f>
        <v>PFC</v>
      </c>
    </row>
    <row r="180">
      <c r="B180">
        <f>IFERROR(__xludf.DUMMYFUNCTION("""COMPUTED_VALUE"""),176.0)</f>
        <v>176</v>
      </c>
      <c r="C180">
        <f>IFERROR(__xludf.DUMMYFUNCTION("""COMPUTED_VALUE"""),144.0)</f>
        <v>144</v>
      </c>
      <c r="D180" t="str">
        <f>IFERROR(__xludf.DUMMYFUNCTION("""COMPUTED_VALUE"""),"Tre Mann")</f>
        <v>Tre Mann</v>
      </c>
      <c r="E180">
        <f>IFERROR(__xludf.DUMMYFUNCTION("""COMPUTED_VALUE"""),62.0)</f>
        <v>62</v>
      </c>
      <c r="F180" t="str">
        <f>IFERROR(__xludf.DUMMYFUNCTION("""COMPUTED_VALUE"""),"PF,C")</f>
        <v>PF,C</v>
      </c>
      <c r="G180" s="26">
        <f>IFERROR(__xludf.DUMMYFUNCTION("""COMPUTED_VALUE"""),-4.375659386037394)</f>
        <v>-4.375659386</v>
      </c>
      <c r="H180" s="26">
        <f>IFERROR(__xludf.DUMMYFUNCTION("""COMPUTED_VALUE"""),-4.490029212216433)</f>
        <v>-4.490029212</v>
      </c>
      <c r="I180" s="26">
        <f>IFERROR(__xludf.DUMMYFUNCTION("""COMPUTED_VALUE"""),-0.1143698261790389)</f>
        <v>-0.1143698262</v>
      </c>
      <c r="J180" s="26">
        <f>IFERROR(__xludf.DUMMYFUNCTION("""COMPUTED_VALUE"""),10.61028169)</f>
        <v>10.61028169</v>
      </c>
      <c r="K180" s="26">
        <f>IFERROR(__xludf.DUMMYFUNCTION("""COMPUTED_VALUE"""),1.353943662)</f>
        <v>1.353943662</v>
      </c>
      <c r="L180" s="26">
        <f>IFERROR(__xludf.DUMMYFUNCTION("""COMPUTED_VALUE"""),3.192957746)</f>
        <v>3.192957746</v>
      </c>
      <c r="M180" s="26">
        <f>IFERROR(__xludf.DUMMYFUNCTION("""COMPUTED_VALUE"""),3.45056338)</f>
        <v>3.45056338</v>
      </c>
      <c r="N180" s="26">
        <f>IFERROR(__xludf.DUMMYFUNCTION("""COMPUTED_VALUE"""),1.03)</f>
        <v>1.03</v>
      </c>
      <c r="O180" s="26">
        <f>IFERROR(__xludf.DUMMYFUNCTION("""COMPUTED_VALUE"""),0.1043661972)</f>
        <v>0.1043661972</v>
      </c>
      <c r="P180" s="464">
        <f>IFERROR(__xludf.DUMMYFUNCTION("""COMPUTED_VALUE"""),0.4500104564)</f>
        <v>0.4500104564</v>
      </c>
      <c r="Q180" s="464">
        <f>IFERROR(__xludf.DUMMYFUNCTION("""COMPUTED_VALUE"""),0.786036036)</f>
        <v>0.786036036</v>
      </c>
      <c r="R180" s="26">
        <f>IFERROR(__xludf.DUMMYFUNCTION("""COMPUTED_VALUE"""),1.287464789)</f>
        <v>1.287464789</v>
      </c>
      <c r="S180" s="26">
        <f>IFERROR(__xludf.DUMMYFUNCTION("""COMPUTED_VALUE"""),-1.2398676774834736)</f>
        <v>-1.239867677</v>
      </c>
      <c r="T180" s="26">
        <f>IFERROR(__xludf.DUMMYFUNCTION("""COMPUTED_VALUE"""),-0.39153701334427476)</f>
        <v>-0.3915370133</v>
      </c>
      <c r="U180" s="26">
        <f>IFERROR(__xludf.DUMMYFUNCTION("""COMPUTED_VALUE"""),-1.1327584147186924)</f>
        <v>-1.132758415</v>
      </c>
      <c r="V180" s="26">
        <f>IFERROR(__xludf.DUMMYFUNCTION("""COMPUTED_VALUE"""),-0.21924437875168185)</f>
        <v>-0.2192443788</v>
      </c>
      <c r="W180" s="26">
        <f>IFERROR(__xludf.DUMMYFUNCTION("""COMPUTED_VALUE"""),0.1786489224811433)</f>
        <v>0.1786489225</v>
      </c>
      <c r="X180" s="26">
        <f>IFERROR(__xludf.DUMMYFUNCTION("""COMPUTED_VALUE"""),-1.1492051302808217)</f>
        <v>-1.14920513</v>
      </c>
      <c r="Y180" s="26">
        <f>IFERROR(__xludf.DUMMYFUNCTION("""COMPUTED_VALUE"""),-0.48104830385124736)</f>
        <v>-0.4810483039</v>
      </c>
      <c r="Z180" s="26">
        <f>IFERROR(__xludf.DUMMYFUNCTION("""COMPUTED_VALUE"""),-0.055017216267384005)</f>
        <v>-0.05501721627</v>
      </c>
      <c r="AA180" s="26">
        <f>IFERROR(__xludf.DUMMYFUNCTION("""COMPUTED_VALUE"""),0.0)</f>
        <v>0</v>
      </c>
      <c r="AB180" t="str">
        <f>IFERROR(__xludf.DUMMYFUNCTION("SUBSTITUTE(REGEXREPLACE(REGEXREPLACE(REGEXREPLACE(REGEXREPLACE(REGEXREPLACE(REGEXREPLACE(F180,"","",),IF(Projections!$T$17="""",""PG"",),),IF(Projections!$U$17="""",""SG"",),),IF(Projections!$V$17="""",""SF"",),),IF(Projections!$W$17="""",""PF"",),),IF(Pr"&amp;"ojections!$X$17="""",""C"",),),""/"","""")"),"PFC")</f>
        <v>PFC</v>
      </c>
    </row>
    <row r="181">
      <c r="B181">
        <f>IFERROR(__xludf.DUMMYFUNCTION("""COMPUTED_VALUE"""),170.0)</f>
        <v>170</v>
      </c>
      <c r="C181">
        <f>IFERROR(__xludf.DUMMYFUNCTION("""COMPUTED_VALUE"""),144.2)</f>
        <v>144.2</v>
      </c>
      <c r="D181" t="str">
        <f>IFERROR(__xludf.DUMMYFUNCTION("""COMPUTED_VALUE"""),"Noah Clowney")</f>
        <v>Noah Clowney</v>
      </c>
      <c r="E181">
        <f>IFERROR(__xludf.DUMMYFUNCTION("""COMPUTED_VALUE"""),62.0)</f>
        <v>62</v>
      </c>
      <c r="F181" t="str">
        <f>IFERROR(__xludf.DUMMYFUNCTION("""COMPUTED_VALUE"""),"SF,PF")</f>
        <v>SF,PF</v>
      </c>
      <c r="G181" s="26">
        <f>IFERROR(__xludf.DUMMYFUNCTION("""COMPUTED_VALUE"""),-4.4334662306575385)</f>
        <v>-4.433466231</v>
      </c>
      <c r="H181" s="26">
        <f>IFERROR(__xludf.DUMMYFUNCTION("""COMPUTED_VALUE"""),-4.609542605041765)</f>
        <v>-4.609542605</v>
      </c>
      <c r="I181" s="26">
        <f>IFERROR(__xludf.DUMMYFUNCTION("""COMPUTED_VALUE"""),-0.17607637438422685)</f>
        <v>-0.1760763744</v>
      </c>
      <c r="J181" s="26">
        <f>IFERROR(__xludf.DUMMYFUNCTION("""COMPUTED_VALUE"""),10.57438356)</f>
        <v>10.57438356</v>
      </c>
      <c r="K181" s="26">
        <f>IFERROR(__xludf.DUMMYFUNCTION("""COMPUTED_VALUE"""),0.8934246575)</f>
        <v>0.8934246575</v>
      </c>
      <c r="L181" s="26">
        <f>IFERROR(__xludf.DUMMYFUNCTION("""COMPUTED_VALUE"""),5.733835616)</f>
        <v>5.733835616</v>
      </c>
      <c r="M181" s="26">
        <f>IFERROR(__xludf.DUMMYFUNCTION("""COMPUTED_VALUE"""),1.367671233)</f>
        <v>1.367671233</v>
      </c>
      <c r="N181" s="26">
        <f>IFERROR(__xludf.DUMMYFUNCTION("""COMPUTED_VALUE"""),0.5936986301)</f>
        <v>0.5936986301</v>
      </c>
      <c r="O181" s="26">
        <f>IFERROR(__xludf.DUMMYFUNCTION("""COMPUTED_VALUE"""),1.104657534)</f>
        <v>1.104657534</v>
      </c>
      <c r="P181" s="464">
        <f>IFERROR(__xludf.DUMMYFUNCTION("""COMPUTED_VALUE"""),0.5183383369)</f>
        <v>0.5183383369</v>
      </c>
      <c r="Q181" s="464">
        <f>IFERROR(__xludf.DUMMYFUNCTION("""COMPUTED_VALUE"""),0.7100154247)</f>
        <v>0.7100154247</v>
      </c>
      <c r="R181" s="26">
        <f>IFERROR(__xludf.DUMMYFUNCTION("""COMPUTED_VALUE"""),1.038630137)</f>
        <v>1.038630137</v>
      </c>
      <c r="S181" s="26">
        <f>IFERROR(__xludf.DUMMYFUNCTION("""COMPUTED_VALUE"""),-1.2463385178362727)</f>
        <v>-1.246338518</v>
      </c>
      <c r="T181" s="26">
        <f>IFERROR(__xludf.DUMMYFUNCTION("""COMPUTED_VALUE"""),-0.8483389566778692)</f>
        <v>-0.8483389567</v>
      </c>
      <c r="U181" s="26">
        <f>IFERROR(__xludf.DUMMYFUNCTION("""COMPUTED_VALUE"""),-0.1369706006268753)</f>
        <v>-0.1369706006</v>
      </c>
      <c r="V181" s="26">
        <f>IFERROR(__xludf.DUMMYFUNCTION("""COMPUTED_VALUE"""),-1.1651657055092846)</f>
        <v>-1.165165706</v>
      </c>
      <c r="W181" s="26">
        <f>IFERROR(__xludf.DUMMYFUNCTION("""COMPUTED_VALUE"""),-1.2647727369573911)</f>
        <v>-1.264772737</v>
      </c>
      <c r="X181" s="26">
        <f>IFERROR(__xludf.DUMMYFUNCTION("""COMPUTED_VALUE"""),0.6349623358356888)</f>
        <v>0.6349623358</v>
      </c>
      <c r="Y181" s="26">
        <f>IFERROR(__xludf.DUMMYFUNCTION("""COMPUTED_VALUE"""),0.18582585701860077)</f>
        <v>0.185825857</v>
      </c>
      <c r="Z181" s="26">
        <f>IFERROR(__xludf.DUMMYFUNCTION("""COMPUTED_VALUE"""),-0.7687442802883631)</f>
        <v>-0.7687442803</v>
      </c>
      <c r="AA181" s="26">
        <f>IFERROR(__xludf.DUMMYFUNCTION("""COMPUTED_VALUE"""),0.0)</f>
        <v>0</v>
      </c>
      <c r="AB181" t="str">
        <f>IFERROR(__xludf.DUMMYFUNCTION("SUBSTITUTE(REGEXREPLACE(REGEXREPLACE(REGEXREPLACE(REGEXREPLACE(REGEXREPLACE(REGEXREPLACE(F181,"","",),IF(Projections!$T$17="""",""PG"",),),IF(Projections!$U$17="""",""SG"",),),IF(Projections!$V$17="""",""SF"",),),IF(Projections!$W$17="""",""PF"",),),IF(Pr"&amp;"ojections!$X$17="""",""C"",),),""/"","""")"),"SFPF")</f>
        <v>SFPF</v>
      </c>
    </row>
    <row r="182">
      <c r="B182">
        <f>IFERROR(__xludf.DUMMYFUNCTION("""COMPUTED_VALUE"""),172.0)</f>
        <v>172</v>
      </c>
      <c r="C182">
        <f>IFERROR(__xludf.DUMMYFUNCTION("""COMPUTED_VALUE"""),136.5)</f>
        <v>136.5</v>
      </c>
      <c r="D182" t="str">
        <f>IFERROR(__xludf.DUMMYFUNCTION("""COMPUTED_VALUE"""),"Rui Hachimura")</f>
        <v>Rui Hachimura</v>
      </c>
      <c r="E182">
        <f>IFERROR(__xludf.DUMMYFUNCTION("""COMPUTED_VALUE"""),64.0)</f>
        <v>64</v>
      </c>
      <c r="F182" t="str">
        <f>IFERROR(__xludf.DUMMYFUNCTION("""COMPUTED_VALUE"""),"SG")</f>
        <v>SG</v>
      </c>
      <c r="G182" s="26">
        <f>IFERROR(__xludf.DUMMYFUNCTION("""COMPUTED_VALUE"""),-4.4075055048239475)</f>
        <v>-4.407505505</v>
      </c>
      <c r="H182" s="26">
        <f>IFERROR(__xludf.DUMMYFUNCTION("""COMPUTED_VALUE"""),-4.666638909287576)</f>
        <v>-4.666638909</v>
      </c>
      <c r="I182" s="26">
        <f>IFERROR(__xludf.DUMMYFUNCTION("""COMPUTED_VALUE"""),-0.2591334044636282)</f>
        <v>-0.2591334045</v>
      </c>
      <c r="J182" s="26">
        <f>IFERROR(__xludf.DUMMYFUNCTION("""COMPUTED_VALUE"""),14.13136986)</f>
        <v>14.13136986</v>
      </c>
      <c r="K182" s="26">
        <f>IFERROR(__xludf.DUMMYFUNCTION("""COMPUTED_VALUE"""),1.405890411)</f>
        <v>1.405890411</v>
      </c>
      <c r="L182" s="26">
        <f>IFERROR(__xludf.DUMMYFUNCTION("""COMPUTED_VALUE"""),5.227534247)</f>
        <v>5.227534247</v>
      </c>
      <c r="M182" s="26">
        <f>IFERROR(__xludf.DUMMYFUNCTION("""COMPUTED_VALUE"""),1.255342466)</f>
        <v>1.255342466</v>
      </c>
      <c r="N182" s="26">
        <f>IFERROR(__xludf.DUMMYFUNCTION("""COMPUTED_VALUE"""),0.5068493151)</f>
        <v>0.5068493151</v>
      </c>
      <c r="O182" s="26">
        <f>IFERROR(__xludf.DUMMYFUNCTION("""COMPUTED_VALUE"""),0.4480821918)</f>
        <v>0.4480821918</v>
      </c>
      <c r="P182" s="464">
        <f>IFERROR(__xludf.DUMMYFUNCTION("""COMPUTED_VALUE"""),0.5170341683)</f>
        <v>0.5170341683</v>
      </c>
      <c r="Q182" s="464">
        <f>IFERROR(__xludf.DUMMYFUNCTION("""COMPUTED_VALUE"""),0.7439741329)</f>
        <v>0.7439741329</v>
      </c>
      <c r="R182" s="26">
        <f>IFERROR(__xludf.DUMMYFUNCTION("""COMPUTED_VALUE"""),0.7036986301)</f>
        <v>0.7036986301</v>
      </c>
      <c r="S182" s="26">
        <f>IFERROR(__xludf.DUMMYFUNCTION("""COMPUTED_VALUE"""),-0.6051716803326861)</f>
        <v>-0.6051716803</v>
      </c>
      <c r="T182" s="26">
        <f>IFERROR(__xludf.DUMMYFUNCTION("""COMPUTED_VALUE"""),-0.340009550500855)</f>
        <v>-0.3400095505</v>
      </c>
      <c r="U182" s="26">
        <f>IFERROR(__xludf.DUMMYFUNCTION("""COMPUTED_VALUE"""),-0.3353936493931682)</f>
        <v>-0.3353936494</v>
      </c>
      <c r="V182" s="26">
        <f>IFERROR(__xludf.DUMMYFUNCTION("""COMPUTED_VALUE"""),-1.2161785130935485)</f>
        <v>-1.216178513</v>
      </c>
      <c r="W182" s="26">
        <f>IFERROR(__xludf.DUMMYFUNCTION("""COMPUTED_VALUE"""),-1.5520974877532288)</f>
        <v>-1.552097488</v>
      </c>
      <c r="X182" s="26">
        <f>IFERROR(__xludf.DUMMYFUNCTION("""COMPUTED_VALUE"""),-0.536136844484189)</f>
        <v>-0.5361368445</v>
      </c>
      <c r="Y182" s="26">
        <f>IFERROR(__xludf.DUMMYFUNCTION("""COMPUTED_VALUE"""),0.25237267803650054)</f>
        <v>0.252372678</v>
      </c>
      <c r="Z182" s="26">
        <f>IFERROR(__xludf.DUMMYFUNCTION("""COMPUTED_VALUE"""),-0.3340238617664004)</f>
        <v>-0.3340238618</v>
      </c>
      <c r="AA182" s="26">
        <f>IFERROR(__xludf.DUMMYFUNCTION("""COMPUTED_VALUE"""),0.0)</f>
        <v>0</v>
      </c>
      <c r="AB182" t="str">
        <f>IFERROR(__xludf.DUMMYFUNCTION("SUBSTITUTE(REGEXREPLACE(REGEXREPLACE(REGEXREPLACE(REGEXREPLACE(REGEXREPLACE(REGEXREPLACE(F182,"","",),IF(Projections!$T$17="""",""PG"",),),IF(Projections!$U$17="""",""SG"",),),IF(Projections!$V$17="""",""SF"",),),IF(Projections!$W$17="""",""PF"",),),IF(Pr"&amp;"ojections!$X$17="""",""C"",),),""/"","""")"),"SG")</f>
        <v>SG</v>
      </c>
    </row>
    <row r="183">
      <c r="B183">
        <f>IFERROR(__xludf.DUMMYFUNCTION("""COMPUTED_VALUE"""),183.0)</f>
        <v>183</v>
      </c>
      <c r="D183" t="str">
        <f>IFERROR(__xludf.DUMMYFUNCTION("""COMPUTED_VALUE"""),"Royce O'Neale")</f>
        <v>Royce O'Neale</v>
      </c>
      <c r="E183">
        <f>IFERROR(__xludf.DUMMYFUNCTION("""COMPUTED_VALUE"""),58.0)</f>
        <v>58</v>
      </c>
      <c r="F183" t="str">
        <f>IFERROR(__xludf.DUMMYFUNCTION("""COMPUTED_VALUE"""),"SG,SF")</f>
        <v>SG,SF</v>
      </c>
      <c r="G183" s="26">
        <f>IFERROR(__xludf.DUMMYFUNCTION("""COMPUTED_VALUE"""),-4.520532671326453)</f>
        <v>-4.520532671</v>
      </c>
      <c r="H183" s="26">
        <f>IFERROR(__xludf.DUMMYFUNCTION("""COMPUTED_VALUE"""),-4.768184163239973)</f>
        <v>-4.768184163</v>
      </c>
      <c r="I183" s="26">
        <f>IFERROR(__xludf.DUMMYFUNCTION("""COMPUTED_VALUE"""),-0.24765149191351998)</f>
        <v>-0.2476514919</v>
      </c>
      <c r="J183" s="26">
        <f>IFERROR(__xludf.DUMMYFUNCTION("""COMPUTED_VALUE"""),8.216027397)</f>
        <v>8.216027397</v>
      </c>
      <c r="K183" s="26">
        <f>IFERROR(__xludf.DUMMYFUNCTION("""COMPUTED_VALUE"""),2.054520548)</f>
        <v>2.054520548</v>
      </c>
      <c r="L183" s="26">
        <f>IFERROR(__xludf.DUMMYFUNCTION("""COMPUTED_VALUE"""),4.8)</f>
        <v>4.8</v>
      </c>
      <c r="M183" s="26">
        <f>IFERROR(__xludf.DUMMYFUNCTION("""COMPUTED_VALUE"""),2.4)</f>
        <v>2.4</v>
      </c>
      <c r="N183" s="26">
        <f>IFERROR(__xludf.DUMMYFUNCTION("""COMPUTED_VALUE"""),0.7076712329)</f>
        <v>0.7076712329</v>
      </c>
      <c r="O183" s="26">
        <f>IFERROR(__xludf.DUMMYFUNCTION("""COMPUTED_VALUE"""),0.4965753425)</f>
        <v>0.4965753425</v>
      </c>
      <c r="P183" s="464">
        <f>IFERROR(__xludf.DUMMYFUNCTION("""COMPUTED_VALUE"""),0.408165628)</f>
        <v>0.408165628</v>
      </c>
      <c r="Q183" s="464">
        <f>IFERROR(__xludf.DUMMYFUNCTION("""COMPUTED_VALUE"""),0.7230644288)</f>
        <v>0.7230644288</v>
      </c>
      <c r="R183" s="26">
        <f>IFERROR(__xludf.DUMMYFUNCTION("""COMPUTED_VALUE"""),0.75)</f>
        <v>0.75</v>
      </c>
      <c r="S183" s="26">
        <f>IFERROR(__xludf.DUMMYFUNCTION("""COMPUTED_VALUE"""),-1.6714455143793303)</f>
        <v>-1.671445514</v>
      </c>
      <c r="T183" s="26">
        <f>IFERROR(__xludf.DUMMYFUNCTION("""COMPUTED_VALUE"""),0.3033851936705241)</f>
        <v>0.3033851937</v>
      </c>
      <c r="U183" s="26">
        <f>IFERROR(__xludf.DUMMYFUNCTION("""COMPUTED_VALUE"""),-0.5029473119663014)</f>
        <v>-0.502947312</v>
      </c>
      <c r="V183" s="26">
        <f>IFERROR(__xludf.DUMMYFUNCTION("""COMPUTED_VALUE"""),-0.6963455612031377)</f>
        <v>-0.6963455612</v>
      </c>
      <c r="W183" s="26">
        <f>IFERROR(__xludf.DUMMYFUNCTION("""COMPUTED_VALUE"""),-0.887715650242741)</f>
        <v>-0.8877156502</v>
      </c>
      <c r="X183" s="26">
        <f>IFERROR(__xludf.DUMMYFUNCTION("""COMPUTED_VALUE"""),-0.4496421417656708)</f>
        <v>-0.4496421418</v>
      </c>
      <c r="Y183" s="26">
        <f>IFERROR(__xludf.DUMMYFUNCTION("""COMPUTED_VALUE"""),-0.735628431965171)</f>
        <v>-0.735628432</v>
      </c>
      <c r="Z183" s="26">
        <f>IFERROR(__xludf.DUMMYFUNCTION("""COMPUTED_VALUE"""),-0.12784474538814566)</f>
        <v>-0.1278447454</v>
      </c>
      <c r="AA183" s="26">
        <f>IFERROR(__xludf.DUMMYFUNCTION("""COMPUTED_VALUE"""),0.0)</f>
        <v>0</v>
      </c>
      <c r="AB183" t="str">
        <f>IFERROR(__xludf.DUMMYFUNCTION("SUBSTITUTE(REGEXREPLACE(REGEXREPLACE(REGEXREPLACE(REGEXREPLACE(REGEXREPLACE(REGEXREPLACE(F183,"","",),IF(Projections!$T$17="""",""PG"",),),IF(Projections!$U$17="""",""SG"",),),IF(Projections!$V$17="""",""SF"",),),IF(Projections!$W$17="""",""PF"",),),IF(Pr"&amp;"ojections!$X$17="""",""C"",),),""/"","""")"),"SGSF")</f>
        <v>SGSF</v>
      </c>
    </row>
    <row r="184">
      <c r="B184">
        <f>IFERROR(__xludf.DUMMYFUNCTION("""COMPUTED_VALUE"""),182.0)</f>
        <v>182</v>
      </c>
      <c r="D184" t="str">
        <f>IFERROR(__xludf.DUMMYFUNCTION("""COMPUTED_VALUE"""),"Scotty Pippen Jr.")</f>
        <v>Scotty Pippen Jr.</v>
      </c>
      <c r="E184">
        <f>IFERROR(__xludf.DUMMYFUNCTION("""COMPUTED_VALUE"""),64.0)</f>
        <v>64</v>
      </c>
      <c r="F184" t="str">
        <f>IFERROR(__xludf.DUMMYFUNCTION("""COMPUTED_VALUE"""),"SF,PF")</f>
        <v>SF,PF</v>
      </c>
      <c r="G184" s="26">
        <f>IFERROR(__xludf.DUMMYFUNCTION("""COMPUTED_VALUE"""),-4.822903252510841)</f>
        <v>-4.822903253</v>
      </c>
      <c r="H184" s="26">
        <f>IFERROR(__xludf.DUMMYFUNCTION("""COMPUTED_VALUE"""),-4.801307292270024)</f>
        <v>-4.801307292</v>
      </c>
      <c r="I184" s="26">
        <f>IFERROR(__xludf.DUMMYFUNCTION("""COMPUTED_VALUE"""),0.021595960240817114)</f>
        <v>0.02159596024</v>
      </c>
      <c r="J184" s="26">
        <f>IFERROR(__xludf.DUMMYFUNCTION("""COMPUTED_VALUE"""),7.461369863)</f>
        <v>7.461369863</v>
      </c>
      <c r="K184" s="26">
        <f>IFERROR(__xludf.DUMMYFUNCTION("""COMPUTED_VALUE"""),0.7536986301)</f>
        <v>0.7536986301</v>
      </c>
      <c r="L184" s="26">
        <f>IFERROR(__xludf.DUMMYFUNCTION("""COMPUTED_VALUE"""),2.273013699)</f>
        <v>2.273013699</v>
      </c>
      <c r="M184" s="26">
        <f>IFERROR(__xludf.DUMMYFUNCTION("""COMPUTED_VALUE"""),3.364520548)</f>
        <v>3.364520548</v>
      </c>
      <c r="N184" s="26">
        <f>IFERROR(__xludf.DUMMYFUNCTION("""COMPUTED_VALUE"""),1.227123288)</f>
        <v>1.227123288</v>
      </c>
      <c r="O184" s="26">
        <f>IFERROR(__xludf.DUMMYFUNCTION("""COMPUTED_VALUE"""),0.3269863014)</f>
        <v>0.3269863014</v>
      </c>
      <c r="P184" s="464">
        <f>IFERROR(__xludf.DUMMYFUNCTION("""COMPUTED_VALUE"""),0.4687966428)</f>
        <v>0.4687966428</v>
      </c>
      <c r="Q184" s="464">
        <f>IFERROR(__xludf.DUMMYFUNCTION("""COMPUTED_VALUE"""),0.7600378532)</f>
        <v>0.7600378532</v>
      </c>
      <c r="R184" s="26">
        <f>IFERROR(__xludf.DUMMYFUNCTION("""COMPUTED_VALUE"""),1.835753425)</f>
        <v>1.835753425</v>
      </c>
      <c r="S184" s="26">
        <f>IFERROR(__xludf.DUMMYFUNCTION("""COMPUTED_VALUE"""),-1.807476790202078)</f>
        <v>-1.80747679</v>
      </c>
      <c r="T184" s="26">
        <f>IFERROR(__xludf.DUMMYFUNCTION("""COMPUTED_VALUE"""),-0.9869371909025395)</f>
        <v>-0.9869371909</v>
      </c>
      <c r="U184" s="26">
        <f>IFERROR(__xludf.DUMMYFUNCTION("""COMPUTED_VALUE"""),-1.493290922976915)</f>
        <v>-1.493290923</v>
      </c>
      <c r="V184" s="26">
        <f>IFERROR(__xludf.DUMMYFUNCTION("""COMPUTED_VALUE"""),-0.25831973362334315)</f>
        <v>-0.2583197336</v>
      </c>
      <c r="W184" s="26">
        <f>IFERROR(__xludf.DUMMYFUNCTION("""COMPUTED_VALUE"""),0.8307945335392858)</f>
        <v>0.8307945335</v>
      </c>
      <c r="X184" s="26">
        <f>IFERROR(__xludf.DUMMYFUNCTION("""COMPUTED_VALUE"""),-0.7521292658754072)</f>
        <v>-0.7521292659</v>
      </c>
      <c r="Y184" s="26">
        <f>IFERROR(__xludf.DUMMYFUNCTION("""COMPUTED_VALUE"""),-0.20956285084520213)</f>
        <v>-0.2095628508</v>
      </c>
      <c r="Z184" s="26">
        <f>IFERROR(__xludf.DUMMYFUNCTION("""COMPUTED_VALUE"""),-0.12438507138382325)</f>
        <v>-0.1243850714</v>
      </c>
      <c r="AA184" s="26">
        <f>IFERROR(__xludf.DUMMYFUNCTION("""COMPUTED_VALUE"""),0.0)</f>
        <v>0</v>
      </c>
      <c r="AB184" t="str">
        <f>IFERROR(__xludf.DUMMYFUNCTION("SUBSTITUTE(REGEXREPLACE(REGEXREPLACE(REGEXREPLACE(REGEXREPLACE(REGEXREPLACE(REGEXREPLACE(F184,"","",),IF(Projections!$T$17="""",""PG"",),),IF(Projections!$U$17="""",""SG"",),),IF(Projections!$V$17="""",""SF"",),),IF(Projections!$W$17="""",""PF"",),),IF(Pr"&amp;"ojections!$X$17="""",""C"",),),""/"","""")"),"SFPF")</f>
        <v>SFPF</v>
      </c>
    </row>
    <row r="185">
      <c r="B185">
        <f>IFERROR(__xludf.DUMMYFUNCTION("""COMPUTED_VALUE"""),181.0)</f>
        <v>181</v>
      </c>
      <c r="D185" t="str">
        <f>IFERROR(__xludf.DUMMYFUNCTION("""COMPUTED_VALUE"""),"Toumani Camara")</f>
        <v>Toumani Camara</v>
      </c>
      <c r="E185">
        <f>IFERROR(__xludf.DUMMYFUNCTION("""COMPUTED_VALUE"""),68.0)</f>
        <v>68</v>
      </c>
      <c r="F185" t="str">
        <f>IFERROR(__xludf.DUMMYFUNCTION("""COMPUTED_VALUE"""),"SF,PF,C")</f>
        <v>SF,PF,C</v>
      </c>
      <c r="G185" s="26">
        <f>IFERROR(__xludf.DUMMYFUNCTION("""COMPUTED_VALUE"""),-4.715107165118792)</f>
        <v>-4.715107165</v>
      </c>
      <c r="H185" s="26">
        <f>IFERROR(__xludf.DUMMYFUNCTION("""COMPUTED_VALUE"""),-4.820219884666457)</f>
        <v>-4.820219885</v>
      </c>
      <c r="I185" s="26">
        <f>IFERROR(__xludf.DUMMYFUNCTION("""COMPUTED_VALUE"""),-0.1051127195476651)</f>
        <v>-0.1051127195</v>
      </c>
      <c r="J185" s="26">
        <f>IFERROR(__xludf.DUMMYFUNCTION("""COMPUTED_VALUE"""),9.245342466)</f>
        <v>9.245342466</v>
      </c>
      <c r="K185" s="26">
        <f>IFERROR(__xludf.DUMMYFUNCTION("""COMPUTED_VALUE"""),1.032876712)</f>
        <v>1.032876712</v>
      </c>
      <c r="L185" s="26">
        <f>IFERROR(__xludf.DUMMYFUNCTION("""COMPUTED_VALUE"""),4.29)</f>
        <v>4.29</v>
      </c>
      <c r="M185" s="26">
        <f>IFERROR(__xludf.DUMMYFUNCTION("""COMPUTED_VALUE"""),1.608767123)</f>
        <v>1.608767123</v>
      </c>
      <c r="N185" s="26">
        <f>IFERROR(__xludf.DUMMYFUNCTION("""COMPUTED_VALUE"""),0.9130136986)</f>
        <v>0.9130136986</v>
      </c>
      <c r="O185" s="26">
        <f>IFERROR(__xludf.DUMMYFUNCTION("""COMPUTED_VALUE"""),0.4993150685)</f>
        <v>0.4993150685</v>
      </c>
      <c r="P185" s="464">
        <f>IFERROR(__xludf.DUMMYFUNCTION("""COMPUTED_VALUE"""),0.4808047284)</f>
        <v>0.4808047284</v>
      </c>
      <c r="Q185" s="464">
        <f>IFERROR(__xludf.DUMMYFUNCTION("""COMPUTED_VALUE"""),0.7809994406)</f>
        <v>0.7809994406</v>
      </c>
      <c r="R185" s="26">
        <f>IFERROR(__xludf.DUMMYFUNCTION("""COMPUTED_VALUE"""),1.324794521)</f>
        <v>1.324794521</v>
      </c>
      <c r="S185" s="26">
        <f>IFERROR(__xludf.DUMMYFUNCTION("""COMPUTED_VALUE"""),-1.485905669149812)</f>
        <v>-1.485905669</v>
      </c>
      <c r="T185" s="26">
        <f>IFERROR(__xludf.DUMMYFUNCTION("""COMPUTED_VALUE"""),-0.7100124839916322)</f>
        <v>-0.710012484</v>
      </c>
      <c r="U185" s="26">
        <f>IFERROR(__xludf.DUMMYFUNCTION("""COMPUTED_VALUE"""),-0.7028198800983646)</f>
        <v>-0.7028198801</v>
      </c>
      <c r="V185" s="26">
        <f>IFERROR(__xludf.DUMMYFUNCTION("""COMPUTED_VALUE"""),-1.0556748014924455)</f>
        <v>-1.055674801</v>
      </c>
      <c r="W185" s="26">
        <f>IFERROR(__xludf.DUMMYFUNCTION("""COMPUTED_VALUE"""),-0.20837842363300543)</f>
        <v>-0.2083784236</v>
      </c>
      <c r="X185" s="26">
        <f>IFERROR(__xludf.DUMMYFUNCTION("""COMPUTED_VALUE"""),-0.44475543544777846)</f>
        <v>-0.4447554354</v>
      </c>
      <c r="Y185" s="26">
        <f>IFERROR(__xludf.DUMMYFUNCTION("""COMPUTED_VALUE"""),-0.14050839311716665)</f>
        <v>-0.1405083931</v>
      </c>
      <c r="Z185" s="26">
        <f>IFERROR(__xludf.DUMMYFUNCTION("""COMPUTED_VALUE"""),-0.07216479773625196)</f>
        <v>-0.07216479774</v>
      </c>
      <c r="AA185" s="26">
        <f>IFERROR(__xludf.DUMMYFUNCTION("""COMPUTED_VALUE"""),0.0)</f>
        <v>0</v>
      </c>
      <c r="AB185" t="str">
        <f>IFERROR(__xludf.DUMMYFUNCTION("SUBSTITUTE(REGEXREPLACE(REGEXREPLACE(REGEXREPLACE(REGEXREPLACE(REGEXREPLACE(REGEXREPLACE(F185,"","",),IF(Projections!$T$17="""",""PG"",),),IF(Projections!$U$17="""",""SG"",),),IF(Projections!$V$17="""",""SF"",),),IF(Projections!$W$17="""",""PF"",),),IF(Pr"&amp;"ojections!$X$17="""",""C"",),),""/"","""")"),"SFPFC")</f>
        <v>SFPFC</v>
      </c>
    </row>
    <row r="186">
      <c r="B186">
        <f>IFERROR(__xludf.DUMMYFUNCTION("""COMPUTED_VALUE"""),188.0)</f>
        <v>188</v>
      </c>
      <c r="D186" t="str">
        <f>IFERROR(__xludf.DUMMYFUNCTION("""COMPUTED_VALUE"""),"Miles McBride")</f>
        <v>Miles McBride</v>
      </c>
      <c r="E186">
        <f>IFERROR(__xludf.DUMMYFUNCTION("""COMPUTED_VALUE"""),52.0)</f>
        <v>52</v>
      </c>
      <c r="F186" t="str">
        <f>IFERROR(__xludf.DUMMYFUNCTION("""COMPUTED_VALUE"""),"PF,C")</f>
        <v>PF,C</v>
      </c>
      <c r="G186" s="26">
        <f>IFERROR(__xludf.DUMMYFUNCTION("""COMPUTED_VALUE"""),-4.55693869525432)</f>
        <v>-4.556938695</v>
      </c>
      <c r="H186" s="26">
        <f>IFERROR(__xludf.DUMMYFUNCTION("""COMPUTED_VALUE"""),-4.848343747391837)</f>
        <v>-4.848343747</v>
      </c>
      <c r="I186" s="26">
        <f>IFERROR(__xludf.DUMMYFUNCTION("""COMPUTED_VALUE"""),-0.29140505213751755)</f>
        <v>-0.2914050521</v>
      </c>
      <c r="J186" s="26">
        <f>IFERROR(__xludf.DUMMYFUNCTION("""COMPUTED_VALUE"""),10.69945205)</f>
        <v>10.69945205</v>
      </c>
      <c r="K186" s="26">
        <f>IFERROR(__xludf.DUMMYFUNCTION("""COMPUTED_VALUE"""),2.144383562)</f>
        <v>2.144383562</v>
      </c>
      <c r="L186" s="26">
        <f>IFERROR(__xludf.DUMMYFUNCTION("""COMPUTED_VALUE"""),1.976027397)</f>
        <v>1.976027397</v>
      </c>
      <c r="M186" s="26">
        <f>IFERROR(__xludf.DUMMYFUNCTION("""COMPUTED_VALUE"""),2.258767123)</f>
        <v>2.258767123</v>
      </c>
      <c r="N186" s="26">
        <f>IFERROR(__xludf.DUMMYFUNCTION("""COMPUTED_VALUE"""),0.9830136986)</f>
        <v>0.9830136986</v>
      </c>
      <c r="O186" s="26">
        <f>IFERROR(__xludf.DUMMYFUNCTION("""COMPUTED_VALUE"""),0.1564383562)</f>
        <v>0.1564383562</v>
      </c>
      <c r="P186" s="464">
        <f>IFERROR(__xludf.DUMMYFUNCTION("""COMPUTED_VALUE"""),0.4227665662)</f>
        <v>0.4227665662</v>
      </c>
      <c r="Q186" s="464">
        <f>IFERROR(__xludf.DUMMYFUNCTION("""COMPUTED_VALUE"""),0.8399491094)</f>
        <v>0.8399491094</v>
      </c>
      <c r="R186" s="26">
        <f>IFERROR(__xludf.DUMMYFUNCTION("""COMPUTED_VALUE"""),0.5735616438)</f>
        <v>0.5735616438</v>
      </c>
      <c r="S186" s="26">
        <f>IFERROR(__xludf.DUMMYFUNCTION("""COMPUTED_VALUE"""),-1.2237942172848062)</f>
        <v>-1.223794217</v>
      </c>
      <c r="T186" s="26">
        <f>IFERROR(__xludf.DUMMYFUNCTION("""COMPUTED_VALUE"""),0.3925228818612268)</f>
        <v>0.3925228819</v>
      </c>
      <c r="U186" s="26">
        <f>IFERROR(__xludf.DUMMYFUNCTION("""COMPUTED_VALUE"""),-1.6096819325470806)</f>
        <v>-1.609681933</v>
      </c>
      <c r="V186" s="26">
        <f>IFERROR(__xludf.DUMMYFUNCTION("""COMPUTED_VALUE"""),-0.7604848353302456)</f>
        <v>-0.7604848353</v>
      </c>
      <c r="W186" s="26">
        <f>IFERROR(__xludf.DUMMYFUNCTION("""COMPUTED_VALUE"""),0.02320351291662203)</f>
        <v>0.02320351292</v>
      </c>
      <c r="X186" s="26">
        <f>IFERROR(__xludf.DUMMYFUNCTION("""COMPUTED_VALUE"""),-1.056326737196406)</f>
        <v>-1.056326737</v>
      </c>
      <c r="Y186" s="26">
        <f>IFERROR(__xludf.DUMMYFUNCTION("""COMPUTED_VALUE"""),-0.7838806871833653)</f>
        <v>-0.7838806872</v>
      </c>
      <c r="Z186" s="26">
        <f>IFERROR(__xludf.DUMMYFUNCTION("""COMPUTED_VALUE"""),0.17009826737221811)</f>
        <v>0.1700982674</v>
      </c>
      <c r="AA186" s="26">
        <f>IFERROR(__xludf.DUMMYFUNCTION("""COMPUTED_VALUE"""),0.0)</f>
        <v>0</v>
      </c>
      <c r="AB186" t="str">
        <f>IFERROR(__xludf.DUMMYFUNCTION("SUBSTITUTE(REGEXREPLACE(REGEXREPLACE(REGEXREPLACE(REGEXREPLACE(REGEXREPLACE(REGEXREPLACE(F186,"","",),IF(Projections!$T$17="""",""PG"",),),IF(Projections!$U$17="""",""SG"",),),IF(Projections!$V$17="""",""SF"",),),IF(Projections!$W$17="""",""PF"",),),IF(Pr"&amp;"ojections!$X$17="""",""C"",),),""/"","""")"),"PFC")</f>
        <v>PFC</v>
      </c>
    </row>
    <row r="187">
      <c r="B187">
        <f>IFERROR(__xludf.DUMMYFUNCTION("""COMPUTED_VALUE"""),185.0)</f>
        <v>185</v>
      </c>
      <c r="C187">
        <f>IFERROR(__xludf.DUMMYFUNCTION("""COMPUTED_VALUE"""),146.0)</f>
        <v>146</v>
      </c>
      <c r="D187" t="str">
        <f>IFERROR(__xludf.DUMMYFUNCTION("""COMPUTED_VALUE"""),"Sam Hauser")</f>
        <v>Sam Hauser</v>
      </c>
      <c r="E187">
        <f>IFERROR(__xludf.DUMMYFUNCTION("""COMPUTED_VALUE"""),58.0)</f>
        <v>58</v>
      </c>
      <c r="F187" t="str">
        <f>IFERROR(__xludf.DUMMYFUNCTION("""COMPUTED_VALUE"""),"C")</f>
        <v>C</v>
      </c>
      <c r="G187" s="26">
        <f>IFERROR(__xludf.DUMMYFUNCTION("""COMPUTED_VALUE"""),-4.612416584852124)</f>
        <v>-4.612416585</v>
      </c>
      <c r="H187" s="26">
        <f>IFERROR(__xludf.DUMMYFUNCTION("""COMPUTED_VALUE"""),-4.937232387797352)</f>
        <v>-4.937232388</v>
      </c>
      <c r="I187" s="26">
        <f>IFERROR(__xludf.DUMMYFUNCTION("""COMPUTED_VALUE"""),-0.3248158029452286)</f>
        <v>-0.3248158029</v>
      </c>
      <c r="J187" s="26">
        <f>IFERROR(__xludf.DUMMYFUNCTION("""COMPUTED_VALUE"""),10.31064935)</f>
        <v>10.31064935</v>
      </c>
      <c r="K187" s="26">
        <f>IFERROR(__xludf.DUMMYFUNCTION("""COMPUTED_VALUE"""),2.681428571)</f>
        <v>2.681428571</v>
      </c>
      <c r="L187" s="26">
        <f>IFERROR(__xludf.DUMMYFUNCTION("""COMPUTED_VALUE"""),3.871038961)</f>
        <v>3.871038961</v>
      </c>
      <c r="M187" s="26">
        <f>IFERROR(__xludf.DUMMYFUNCTION("""COMPUTED_VALUE"""),1.322987013)</f>
        <v>1.322987013</v>
      </c>
      <c r="N187" s="26">
        <f>IFERROR(__xludf.DUMMYFUNCTION("""COMPUTED_VALUE"""),0.544025974)</f>
        <v>0.544025974</v>
      </c>
      <c r="O187" s="26">
        <f>IFERROR(__xludf.DUMMYFUNCTION("""COMPUTED_VALUE"""),0.3897402597)</f>
        <v>0.3897402597</v>
      </c>
      <c r="P187" s="464">
        <f>IFERROR(__xludf.DUMMYFUNCTION("""COMPUTED_VALUE"""),0.4414773256)</f>
        <v>0.4414773256</v>
      </c>
      <c r="Q187" s="464">
        <f>IFERROR(__xludf.DUMMYFUNCTION("""COMPUTED_VALUE"""),0.9028484232)</f>
        <v>0.9028484232</v>
      </c>
      <c r="R187" s="26">
        <f>IFERROR(__xludf.DUMMYFUNCTION("""COMPUTED_VALUE"""),0.4388311688)</f>
        <v>0.4388311688</v>
      </c>
      <c r="S187" s="26">
        <f>IFERROR(__xludf.DUMMYFUNCTION("""COMPUTED_VALUE"""),-1.2938780963179797)</f>
        <v>-1.293878096</v>
      </c>
      <c r="T187" s="26">
        <f>IFERROR(__xludf.DUMMYFUNCTION("""COMPUTED_VALUE"""),0.9252331530370341)</f>
        <v>0.925233153</v>
      </c>
      <c r="U187" s="26">
        <f>IFERROR(__xludf.DUMMYFUNCTION("""COMPUTED_VALUE"""),-0.867013642475242)</f>
        <v>-0.8670136425</v>
      </c>
      <c r="V187" s="26">
        <f>IFERROR(__xludf.DUMMYFUNCTION("""COMPUTED_VALUE"""),-1.1854585261089527)</f>
        <v>-1.185458526</v>
      </c>
      <c r="W187" s="26">
        <f>IFERROR(__xludf.DUMMYFUNCTION("""COMPUTED_VALUE"""),-1.4291054497174152)</f>
        <v>-1.42910545</v>
      </c>
      <c r="X187" s="26">
        <f>IFERROR(__xludf.DUMMYFUNCTION("""COMPUTED_VALUE"""),-0.6401983047145606)</f>
        <v>-0.6401983047</v>
      </c>
      <c r="Y187" s="26">
        <f>IFERROR(__xludf.DUMMYFUNCTION("""COMPUTED_VALUE"""),-0.5435664365426867)</f>
        <v>-0.5435664365</v>
      </c>
      <c r="Z187" s="26">
        <f>IFERROR(__xludf.DUMMYFUNCTION("""COMPUTED_VALUE"""),0.09675491504245062)</f>
        <v>0.09675491504</v>
      </c>
      <c r="AA187" s="26">
        <f>IFERROR(__xludf.DUMMYFUNCTION("""COMPUTED_VALUE"""),0.0)</f>
        <v>0</v>
      </c>
      <c r="AB187" t="str">
        <f>IFERROR(__xludf.DUMMYFUNCTION("SUBSTITUTE(REGEXREPLACE(REGEXREPLACE(REGEXREPLACE(REGEXREPLACE(REGEXREPLACE(REGEXREPLACE(F187,"","",),IF(Projections!$T$17="""",""PG"",),),IF(Projections!$U$17="""",""SG"",),),IF(Projections!$V$17="""",""SF"",),),IF(Projections!$W$17="""",""PF"",),),IF(Pr"&amp;"ojections!$X$17="""",""C"",),),""/"","""")"),"C")</f>
        <v>C</v>
      </c>
    </row>
    <row r="188">
      <c r="B188">
        <f>IFERROR(__xludf.DUMMYFUNCTION("""COMPUTED_VALUE"""),186.0)</f>
        <v>186</v>
      </c>
      <c r="C188">
        <f>IFERROR(__xludf.DUMMYFUNCTION("""COMPUTED_VALUE"""),140.2)</f>
        <v>140.2</v>
      </c>
      <c r="D188" t="str">
        <f>IFERROR(__xludf.DUMMYFUNCTION("""COMPUTED_VALUE"""),"Kyle Lowry")</f>
        <v>Kyle Lowry</v>
      </c>
      <c r="E188">
        <f>IFERROR(__xludf.DUMMYFUNCTION("""COMPUTED_VALUE"""),65.0)</f>
        <v>65</v>
      </c>
      <c r="F188" t="str">
        <f>IFERROR(__xludf.DUMMYFUNCTION("""COMPUTED_VALUE"""),"PF,C")</f>
        <v>PF,C</v>
      </c>
      <c r="G188" s="26">
        <f>IFERROR(__xludf.DUMMYFUNCTION("""COMPUTED_VALUE"""),-4.878045469839464)</f>
        <v>-4.87804547</v>
      </c>
      <c r="H188" s="26">
        <f>IFERROR(__xludf.DUMMYFUNCTION("""COMPUTED_VALUE"""),-4.968702389746328)</f>
        <v>-4.96870239</v>
      </c>
      <c r="I188" s="26">
        <f>IFERROR(__xludf.DUMMYFUNCTION("""COMPUTED_VALUE"""),-0.09065691990686364)</f>
        <v>-0.09065691991</v>
      </c>
      <c r="J188" s="26">
        <f>IFERROR(__xludf.DUMMYFUNCTION("""COMPUTED_VALUE"""),6.032794118)</f>
        <v>6.032794118</v>
      </c>
      <c r="K188" s="26">
        <f>IFERROR(__xludf.DUMMYFUNCTION("""COMPUTED_VALUE"""),1.206617647)</f>
        <v>1.206617647</v>
      </c>
      <c r="L188" s="26">
        <f>IFERROR(__xludf.DUMMYFUNCTION("""COMPUTED_VALUE"""),3.252352941)</f>
        <v>3.252352941</v>
      </c>
      <c r="M188" s="26">
        <f>IFERROR(__xludf.DUMMYFUNCTION("""COMPUTED_VALUE"""),4.1225)</f>
        <v>4.1225</v>
      </c>
      <c r="N188" s="26">
        <f>IFERROR(__xludf.DUMMYFUNCTION("""COMPUTED_VALUE"""),0.8763235294)</f>
        <v>0.8763235294</v>
      </c>
      <c r="O188" s="26">
        <f>IFERROR(__xludf.DUMMYFUNCTION("""COMPUTED_VALUE"""),0.3322058824)</f>
        <v>0.3322058824</v>
      </c>
      <c r="P188" s="464">
        <f>IFERROR(__xludf.DUMMYFUNCTION("""COMPUTED_VALUE"""),0.4196100074)</f>
        <v>0.4196100074</v>
      </c>
      <c r="Q188" s="464">
        <f>IFERROR(__xludf.DUMMYFUNCTION("""COMPUTED_VALUE"""),0.8439485511)</f>
        <v>0.8439485511</v>
      </c>
      <c r="R188" s="26">
        <f>IFERROR(__xludf.DUMMYFUNCTION("""COMPUTED_VALUE"""),1.383088235)</f>
        <v>1.383088235</v>
      </c>
      <c r="S188" s="26">
        <f>IFERROR(__xludf.DUMMYFUNCTION("""COMPUTED_VALUE"""),-2.0649856236086)</f>
        <v>-2.064985624</v>
      </c>
      <c r="T188" s="26">
        <f>IFERROR(__xludf.DUMMYFUNCTION("""COMPUTED_VALUE"""),-0.5376738921657312)</f>
        <v>-0.5376738922</v>
      </c>
      <c r="U188" s="26">
        <f>IFERROR(__xludf.DUMMYFUNCTION("""COMPUTED_VALUE"""),-1.1094810222493696)</f>
        <v>-1.109481022</v>
      </c>
      <c r="V188" s="26">
        <f>IFERROR(__xludf.DUMMYFUNCTION("""COMPUTED_VALUE"""),0.08590784912669161)</f>
        <v>0.08590784913</v>
      </c>
      <c r="W188" s="26">
        <f>IFERROR(__xludf.DUMMYFUNCTION("""COMPUTED_VALUE"""),-0.3297610012854269)</f>
        <v>-0.3297610013</v>
      </c>
      <c r="X188" s="26">
        <f>IFERROR(__xludf.DUMMYFUNCTION("""COMPUTED_VALUE"""),-0.7428193715832588)</f>
        <v>-0.7428193716</v>
      </c>
      <c r="Y188" s="26">
        <f>IFERROR(__xludf.DUMMYFUNCTION("""COMPUTED_VALUE"""),-0.43314035564095615)</f>
        <v>-0.4331403556</v>
      </c>
      <c r="Z188" s="26">
        <f>IFERROR(__xludf.DUMMYFUNCTION("""COMPUTED_VALUE"""),0.1632510276603235)</f>
        <v>0.1632510277</v>
      </c>
      <c r="AA188" s="26">
        <f>IFERROR(__xludf.DUMMYFUNCTION("""COMPUTED_VALUE"""),0.0)</f>
        <v>0</v>
      </c>
      <c r="AB188" t="str">
        <f>IFERROR(__xludf.DUMMYFUNCTION("SUBSTITUTE(REGEXREPLACE(REGEXREPLACE(REGEXREPLACE(REGEXREPLACE(REGEXREPLACE(REGEXREPLACE(F188,"","",),IF(Projections!$T$17="""",""PG"",),),IF(Projections!$U$17="""",""SG"",),),IF(Projections!$V$17="""",""SF"",),),IF(Projections!$W$17="""",""PF"",),),IF(Pr"&amp;"ojections!$X$17="""",""C"",),),""/"","""")"),"PFC")</f>
        <v>PFC</v>
      </c>
    </row>
    <row r="189">
      <c r="B189">
        <f>IFERROR(__xludf.DUMMYFUNCTION("""COMPUTED_VALUE"""),177.0)</f>
        <v>177</v>
      </c>
      <c r="C189">
        <f>IFERROR(__xludf.DUMMYFUNCTION("""COMPUTED_VALUE"""),103.5)</f>
        <v>103.5</v>
      </c>
      <c r="D189" t="str">
        <f>IFERROR(__xludf.DUMMYFUNCTION("""COMPUTED_VALUE"""),"Zach Edey")</f>
        <v>Zach Edey</v>
      </c>
      <c r="E189">
        <f>IFERROR(__xludf.DUMMYFUNCTION("""COMPUTED_VALUE"""),64.0)</f>
        <v>64</v>
      </c>
      <c r="F189" t="str">
        <f>IFERROR(__xludf.DUMMYFUNCTION("""COMPUTED_VALUE"""),"C")</f>
        <v>C</v>
      </c>
      <c r="G189" s="26">
        <f>IFERROR(__xludf.DUMMYFUNCTION("""COMPUTED_VALUE"""),-4.939189595675138)</f>
        <v>-4.939189596</v>
      </c>
      <c r="H189" s="26">
        <f>IFERROR(__xludf.DUMMYFUNCTION("""COMPUTED_VALUE"""),-4.980724171947906)</f>
        <v>-4.980724172</v>
      </c>
      <c r="I189" s="26">
        <f>IFERROR(__xludf.DUMMYFUNCTION("""COMPUTED_VALUE"""),-0.04153457627276769)</f>
        <v>-0.04153457627</v>
      </c>
      <c r="J189" s="26">
        <f>IFERROR(__xludf.DUMMYFUNCTION("""COMPUTED_VALUE"""),11.82176471)</f>
        <v>11.82176471</v>
      </c>
      <c r="K189" s="26">
        <f>IFERROR(__xludf.DUMMYFUNCTION("""COMPUTED_VALUE"""),0.05029411765)</f>
        <v>0.05029411765</v>
      </c>
      <c r="L189" s="26">
        <f>IFERROR(__xludf.DUMMYFUNCTION("""COMPUTED_VALUE"""),8.145882353)</f>
        <v>8.145882353</v>
      </c>
      <c r="M189" s="26">
        <f>IFERROR(__xludf.DUMMYFUNCTION("""COMPUTED_VALUE"""),0.9583823529)</f>
        <v>0.9583823529</v>
      </c>
      <c r="N189" s="26">
        <f>IFERROR(__xludf.DUMMYFUNCTION("""COMPUTED_VALUE"""),0.2875)</f>
        <v>0.2875</v>
      </c>
      <c r="O189" s="26">
        <f>IFERROR(__xludf.DUMMYFUNCTION("""COMPUTED_VALUE"""),1.245882353)</f>
        <v>1.245882353</v>
      </c>
      <c r="P189" s="464">
        <f>IFERROR(__xludf.DUMMYFUNCTION("""COMPUTED_VALUE"""),0.5588993529)</f>
        <v>0.5588993529</v>
      </c>
      <c r="Q189" s="464">
        <f>IFERROR(__xludf.DUMMYFUNCTION("""COMPUTED_VALUE"""),0.7150122764)</f>
        <v>0.7150122764</v>
      </c>
      <c r="R189" s="26">
        <f>IFERROR(__xludf.DUMMYFUNCTION("""COMPUTED_VALUE"""),1.581176471)</f>
        <v>1.581176471</v>
      </c>
      <c r="S189" s="26">
        <f>IFERROR(__xludf.DUMMYFUNCTION("""COMPUTED_VALUE"""),-1.0214910318881016)</f>
        <v>-1.021491032</v>
      </c>
      <c r="T189" s="26">
        <f>IFERROR(__xludf.DUMMYFUNCTION("""COMPUTED_VALUE"""),-1.6846642012908362)</f>
        <v>-1.684664201</v>
      </c>
      <c r="U189" s="26">
        <f>IFERROR(__xludf.DUMMYFUNCTION("""COMPUTED_VALUE"""),0.8083273910961699)</f>
        <v>0.8083273911</v>
      </c>
      <c r="V189" s="26">
        <f>IFERROR(__xludf.DUMMYFUNCTION("""COMPUTED_VALUE"""),-1.3510395065358747)</f>
        <v>-1.351039507</v>
      </c>
      <c r="W189" s="26">
        <f>IFERROR(__xludf.DUMMYFUNCTION("""COMPUTED_VALUE"""),-2.27777376163455)</f>
        <v>-2.277773762</v>
      </c>
      <c r="X189" s="26">
        <f>IFERROR(__xludf.DUMMYFUNCTION("""COMPUTED_VALUE"""),0.886857676921075)</f>
        <v>0.8868576769</v>
      </c>
      <c r="Y189" s="26">
        <f>IFERROR(__xludf.DUMMYFUNCTION("""COMPUTED_VALUE"""),0.6013370244031545)</f>
        <v>0.6013370244</v>
      </c>
      <c r="Z189" s="26">
        <f>IFERROR(__xludf.DUMMYFUNCTION("""COMPUTED_VALUE"""),-0.9422777630189418)</f>
        <v>-0.942277763</v>
      </c>
      <c r="AA189" s="26">
        <f>IFERROR(__xludf.DUMMYFUNCTION("""COMPUTED_VALUE"""),0.0)</f>
        <v>0</v>
      </c>
      <c r="AB189" t="str">
        <f>IFERROR(__xludf.DUMMYFUNCTION("SUBSTITUTE(REGEXREPLACE(REGEXREPLACE(REGEXREPLACE(REGEXREPLACE(REGEXREPLACE(REGEXREPLACE(F189,"","",),IF(Projections!$T$17="""",""PG"",),),IF(Projections!$U$17="""",""SG"",),),IF(Projections!$V$17="""",""SF"",),),IF(Projections!$W$17="""",""PF"",),),IF(Pr"&amp;"ojections!$X$17="""",""C"",),),""/"","""")"),"C")</f>
        <v>C</v>
      </c>
    </row>
    <row r="190">
      <c r="B190">
        <f>IFERROR(__xludf.DUMMYFUNCTION("""COMPUTED_VALUE"""),179.0)</f>
        <v>179</v>
      </c>
      <c r="D190" t="str">
        <f>IFERROR(__xludf.DUMMYFUNCTION("""COMPUTED_VALUE"""),"Brandon Clarke")</f>
        <v>Brandon Clarke</v>
      </c>
      <c r="E190">
        <f>IFERROR(__xludf.DUMMYFUNCTION("""COMPUTED_VALUE"""),68.0)</f>
        <v>68</v>
      </c>
      <c r="F190" t="str">
        <f>IFERROR(__xludf.DUMMYFUNCTION("""COMPUTED_VALUE"""),"PG")</f>
        <v>PG</v>
      </c>
      <c r="G190" s="26">
        <f>IFERROR(__xludf.DUMMYFUNCTION("""COMPUTED_VALUE"""),-4.814792646198352)</f>
        <v>-4.814792646</v>
      </c>
      <c r="H190" s="26">
        <f>IFERROR(__xludf.DUMMYFUNCTION("""COMPUTED_VALUE"""),-5.044428965386623)</f>
        <v>-5.044428965</v>
      </c>
      <c r="I190" s="26">
        <f>IFERROR(__xludf.DUMMYFUNCTION("""COMPUTED_VALUE"""),-0.22963631918827065)</f>
        <v>-0.2296363192</v>
      </c>
      <c r="J190" s="26">
        <f>IFERROR(__xludf.DUMMYFUNCTION("""COMPUTED_VALUE"""),8.978529412)</f>
        <v>8.978529412</v>
      </c>
      <c r="K190" s="26">
        <f>IFERROR(__xludf.DUMMYFUNCTION("""COMPUTED_VALUE"""),0.06470588235)</f>
        <v>0.06470588235</v>
      </c>
      <c r="L190" s="26">
        <f>IFERROR(__xludf.DUMMYFUNCTION("""COMPUTED_VALUE"""),5.3375)</f>
        <v>5.3375</v>
      </c>
      <c r="M190" s="26">
        <f>IFERROR(__xludf.DUMMYFUNCTION("""COMPUTED_VALUE"""),1.428529412)</f>
        <v>1.428529412</v>
      </c>
      <c r="N190" s="26">
        <f>IFERROR(__xludf.DUMMYFUNCTION("""COMPUTED_VALUE"""),0.7139705882)</f>
        <v>0.7139705882</v>
      </c>
      <c r="O190" s="26">
        <f>IFERROR(__xludf.DUMMYFUNCTION("""COMPUTED_VALUE"""),0.8311764706)</f>
        <v>0.8311764706</v>
      </c>
      <c r="P190" s="464">
        <f>IFERROR(__xludf.DUMMYFUNCTION("""COMPUTED_VALUE"""),0.6084892805)</f>
        <v>0.6084892805</v>
      </c>
      <c r="Q190" s="464">
        <f>IFERROR(__xludf.DUMMYFUNCTION("""COMPUTED_VALUE"""),0.6939863731)</f>
        <v>0.6939863731</v>
      </c>
      <c r="R190" s="26">
        <f>IFERROR(__xludf.DUMMYFUNCTION("""COMPUTED_VALUE"""),0.8226470588)</f>
        <v>0.8226470588</v>
      </c>
      <c r="S190" s="26">
        <f>IFERROR(__xludf.DUMMYFUNCTION("""COMPUTED_VALUE"""),-1.5340002266233266)</f>
        <v>-1.534000227</v>
      </c>
      <c r="T190" s="26">
        <f>IFERROR(__xludf.DUMMYFUNCTION("""COMPUTED_VALUE"""),-1.6703687605869846)</f>
        <v>-1.670368761</v>
      </c>
      <c r="U190" s="26">
        <f>IFERROR(__xludf.DUMMYFUNCTION("""COMPUTED_VALUE"""),-0.2922973014349601)</f>
        <v>-0.2922973014</v>
      </c>
      <c r="V190" s="26">
        <f>IFERROR(__xludf.DUMMYFUNCTION("""COMPUTED_VALUE"""),-1.1375276688943567)</f>
        <v>-1.137527669</v>
      </c>
      <c r="W190" s="26">
        <f>IFERROR(__xludf.DUMMYFUNCTION("""COMPUTED_VALUE"""),-0.86687540882291)</f>
        <v>-0.8668754088</v>
      </c>
      <c r="X190" s="26">
        <f>IFERROR(__xludf.DUMMYFUNCTION("""COMPUTED_VALUE"""),0.14716843223339707)</f>
        <v>0.1471684322</v>
      </c>
      <c r="Y190" s="26">
        <f>IFERROR(__xludf.DUMMYFUNCTION("""COMPUTED_VALUE"""),0.837858554468087)</f>
        <v>0.8378585545</v>
      </c>
      <c r="Z190" s="26">
        <f>IFERROR(__xludf.DUMMYFUNCTION("""COMPUTED_VALUE"""),-0.5283865857255696)</f>
        <v>-0.5283865857</v>
      </c>
      <c r="AA190" s="26">
        <f>IFERROR(__xludf.DUMMYFUNCTION("""COMPUTED_VALUE"""),0.0)</f>
        <v>0</v>
      </c>
      <c r="AB190" t="str">
        <f>IFERROR(__xludf.DUMMYFUNCTION("SUBSTITUTE(REGEXREPLACE(REGEXREPLACE(REGEXREPLACE(REGEXREPLACE(REGEXREPLACE(REGEXREPLACE(F190,"","",),IF(Projections!$T$17="""",""PG"",),),IF(Projections!$U$17="""",""SG"",),),IF(Projections!$V$17="""",""SF"",),),IF(Projections!$W$17="""",""PF"",),),IF(Pr"&amp;"ojections!$X$17="""",""C"",),),""/"","""")"),"PG")</f>
        <v>PG</v>
      </c>
    </row>
    <row r="191">
      <c r="B191">
        <f>IFERROR(__xludf.DUMMYFUNCTION("""COMPUTED_VALUE"""),180.0)</f>
        <v>180</v>
      </c>
      <c r="D191" t="str">
        <f>IFERROR(__xludf.DUMMYFUNCTION("""COMPUTED_VALUE"""),"Isaiah Jackson")</f>
        <v>Isaiah Jackson</v>
      </c>
      <c r="E191">
        <f>IFERROR(__xludf.DUMMYFUNCTION("""COMPUTED_VALUE"""),68.0)</f>
        <v>68</v>
      </c>
      <c r="F191" t="str">
        <f>IFERROR(__xludf.DUMMYFUNCTION("""COMPUTED_VALUE"""),"SG,SF")</f>
        <v>SG,SF</v>
      </c>
      <c r="G191" s="26">
        <f>IFERROR(__xludf.DUMMYFUNCTION("""COMPUTED_VALUE"""),-4.811990600779328)</f>
        <v>-4.811990601</v>
      </c>
      <c r="H191" s="26">
        <f>IFERROR(__xludf.DUMMYFUNCTION("""COMPUTED_VALUE"""),-5.044471420916386)</f>
        <v>-5.044471421</v>
      </c>
      <c r="I191" s="26">
        <f>IFERROR(__xludf.DUMMYFUNCTION("""COMPUTED_VALUE"""),-0.23248082013705762)</f>
        <v>-0.2324808201</v>
      </c>
      <c r="J191" s="26">
        <f>IFERROR(__xludf.DUMMYFUNCTION("""COMPUTED_VALUE"""),7.695588235)</f>
        <v>7.695588235</v>
      </c>
      <c r="K191" s="26">
        <f>IFERROR(__xludf.DUMMYFUNCTION("""COMPUTED_VALUE"""),0.0)</f>
        <v>0</v>
      </c>
      <c r="L191" s="26">
        <f>IFERROR(__xludf.DUMMYFUNCTION("""COMPUTED_VALUE"""),5.252941176)</f>
        <v>5.252941176</v>
      </c>
      <c r="M191" s="26">
        <f>IFERROR(__xludf.DUMMYFUNCTION("""COMPUTED_VALUE"""),0.9675)</f>
        <v>0.9675</v>
      </c>
      <c r="N191" s="26">
        <f>IFERROR(__xludf.DUMMYFUNCTION("""COMPUTED_VALUE"""),0.6566176471)</f>
        <v>0.6566176471</v>
      </c>
      <c r="O191" s="26">
        <f>IFERROR(__xludf.DUMMYFUNCTION("""COMPUTED_VALUE"""),1.441617647)</f>
        <v>1.441617647</v>
      </c>
      <c r="P191" s="464">
        <f>IFERROR(__xludf.DUMMYFUNCTION("""COMPUTED_VALUE"""),0.630990041)</f>
        <v>0.630990041</v>
      </c>
      <c r="Q191" s="464">
        <f>IFERROR(__xludf.DUMMYFUNCTION("""COMPUTED_VALUE"""),0.6769658808)</f>
        <v>0.6769658808</v>
      </c>
      <c r="R191" s="26">
        <f>IFERROR(__xludf.DUMMYFUNCTION("""COMPUTED_VALUE"""),0.8111764706)</f>
        <v>0.8111764706</v>
      </c>
      <c r="S191" s="26">
        <f>IFERROR(__xludf.DUMMYFUNCTION("""COMPUTED_VALUE"""),-1.7652576079520712)</f>
        <v>-1.765257608</v>
      </c>
      <c r="T191" s="26">
        <f>IFERROR(__xludf.DUMMYFUNCTION("""COMPUTED_VALUE"""),-1.7345523719336797)</f>
        <v>-1.734552372</v>
      </c>
      <c r="U191" s="26">
        <f>IFERROR(__xludf.DUMMYFUNCTION("""COMPUTED_VALUE"""),-0.3254364961626212)</f>
        <v>-0.3254364962</v>
      </c>
      <c r="V191" s="26">
        <f>IFERROR(__xludf.DUMMYFUNCTION("""COMPUTED_VALUE"""),-1.346898832783678)</f>
        <v>-1.346898833</v>
      </c>
      <c r="W191" s="26">
        <f>IFERROR(__xludf.DUMMYFUNCTION("""COMPUTED_VALUE"""),-1.0566169112051205)</f>
        <v>-1.056616911</v>
      </c>
      <c r="X191" s="26">
        <f>IFERROR(__xludf.DUMMYFUNCTION("""COMPUTED_VALUE"""),1.2359805081181772)</f>
        <v>1.235980508</v>
      </c>
      <c r="Y191" s="26">
        <f>IFERROR(__xludf.DUMMYFUNCTION("""COMPUTED_VALUE"""),0.7810285401687446)</f>
        <v>0.7810285402</v>
      </c>
      <c r="Z191" s="26">
        <f>IFERROR(__xludf.DUMMYFUNCTION("""COMPUTED_VALUE"""),-0.8327182491661373)</f>
        <v>-0.8327182492</v>
      </c>
      <c r="AA191" s="26">
        <f>IFERROR(__xludf.DUMMYFUNCTION("""COMPUTED_VALUE"""),0.0)</f>
        <v>0</v>
      </c>
      <c r="AB191" t="str">
        <f>IFERROR(__xludf.DUMMYFUNCTION("SUBSTITUTE(REGEXREPLACE(REGEXREPLACE(REGEXREPLACE(REGEXREPLACE(REGEXREPLACE(REGEXREPLACE(F191,"","",),IF(Projections!$T$17="""",""PG"",),),IF(Projections!$U$17="""",""SG"",),),IF(Projections!$V$17="""",""SF"",),),IF(Projections!$W$17="""",""PF"",),),IF(Pr"&amp;"ojections!$X$17="""",""C"",),),""/"","""")"),"SGSF")</f>
        <v>SGSF</v>
      </c>
    </row>
    <row r="192">
      <c r="B192">
        <f>IFERROR(__xludf.DUMMYFUNCTION("""COMPUTED_VALUE"""),184.0)</f>
        <v>184</v>
      </c>
      <c r="C192">
        <f>IFERROR(__xludf.DUMMYFUNCTION("""COMPUTED_VALUE"""),143.0)</f>
        <v>143</v>
      </c>
      <c r="D192" t="str">
        <f>IFERROR(__xludf.DUMMYFUNCTION("""COMPUTED_VALUE"""),"Payton Pritchard")</f>
        <v>Payton Pritchard</v>
      </c>
      <c r="E192">
        <f>IFERROR(__xludf.DUMMYFUNCTION("""COMPUTED_VALUE"""),64.0)</f>
        <v>64</v>
      </c>
      <c r="F192" t="str">
        <f>IFERROR(__xludf.DUMMYFUNCTION("""COMPUTED_VALUE"""),"PF,C")</f>
        <v>PF,C</v>
      </c>
      <c r="G192" s="26">
        <f>IFERROR(__xludf.DUMMYFUNCTION("""COMPUTED_VALUE"""),-4.859216190696542)</f>
        <v>-4.859216191</v>
      </c>
      <c r="H192" s="26">
        <f>IFERROR(__xludf.DUMMYFUNCTION("""COMPUTED_VALUE"""),-5.071602690720819)</f>
        <v>-5.071602691</v>
      </c>
      <c r="I192" s="26">
        <f>IFERROR(__xludf.DUMMYFUNCTION("""COMPUTED_VALUE"""),-0.21238650002427661)</f>
        <v>-0.2123865</v>
      </c>
      <c r="J192" s="26">
        <f>IFERROR(__xludf.DUMMYFUNCTION("""COMPUTED_VALUE"""),11.11766234)</f>
        <v>11.11766234</v>
      </c>
      <c r="K192" s="26">
        <f>IFERROR(__xludf.DUMMYFUNCTION("""COMPUTED_VALUE"""),1.834415584)</f>
        <v>1.834415584</v>
      </c>
      <c r="L192" s="26">
        <f>IFERROR(__xludf.DUMMYFUNCTION("""COMPUTED_VALUE"""),3.099220779)</f>
        <v>3.099220779</v>
      </c>
      <c r="M192" s="26">
        <f>IFERROR(__xludf.DUMMYFUNCTION("""COMPUTED_VALUE"""),3.662727273)</f>
        <v>3.662727273</v>
      </c>
      <c r="N192" s="26">
        <f>IFERROR(__xludf.DUMMYFUNCTION("""COMPUTED_VALUE"""),0.5123376623)</f>
        <v>0.5123376623</v>
      </c>
      <c r="O192" s="26">
        <f>IFERROR(__xludf.DUMMYFUNCTION("""COMPUTED_VALUE"""),0.04714285714)</f>
        <v>0.04714285714</v>
      </c>
      <c r="P192" s="464">
        <f>IFERROR(__xludf.DUMMYFUNCTION("""COMPUTED_VALUE"""),0.4891643132)</f>
        <v>0.4891643132</v>
      </c>
      <c r="Q192" s="464">
        <f>IFERROR(__xludf.DUMMYFUNCTION("""COMPUTED_VALUE"""),0.8570634038)</f>
        <v>0.8570634038</v>
      </c>
      <c r="R192" s="26">
        <f>IFERROR(__xludf.DUMMYFUNCTION("""COMPUTED_VALUE"""),0.8922077922)</f>
        <v>0.8922077922</v>
      </c>
      <c r="S192" s="26">
        <f>IFERROR(__xludf.DUMMYFUNCTION("""COMPUTED_VALUE"""),-1.1484094543323151)</f>
        <v>-1.148409454</v>
      </c>
      <c r="T192" s="26">
        <f>IFERROR(__xludf.DUMMYFUNCTION("""COMPUTED_VALUE"""),0.08505679829466964)</f>
        <v>0.08505679829</v>
      </c>
      <c r="U192" s="26">
        <f>IFERROR(__xludf.DUMMYFUNCTION("""COMPUTED_VALUE"""),-1.1694945879014385)</f>
        <v>-1.169494588</v>
      </c>
      <c r="V192" s="26">
        <f>IFERROR(__xludf.DUMMYFUNCTION("""COMPUTED_VALUE"""),-0.12289260583551191)</f>
        <v>-0.1228926058</v>
      </c>
      <c r="W192" s="26">
        <f>IFERROR(__xludf.DUMMYFUNCTION("""COMPUTED_VALUE"""),-1.5339403152813325)</f>
        <v>-1.533940315</v>
      </c>
      <c r="X192" s="26">
        <f>IFERROR(__xludf.DUMMYFUNCTION("""COMPUTED_VALUE"""),-1.2512714162532521)</f>
        <v>-1.251271416</v>
      </c>
      <c r="Y192" s="26">
        <f>IFERROR(__xludf.DUMMYFUNCTION("""COMPUTED_VALUE"""),-0.08343643846781577)</f>
        <v>-0.08343643847</v>
      </c>
      <c r="Z192" s="26">
        <f>IFERROR(__xludf.DUMMYFUNCTION("""COMPUTED_VALUE"""),0.15278532905617712)</f>
        <v>0.1527853291</v>
      </c>
      <c r="AA192" s="26">
        <f>IFERROR(__xludf.DUMMYFUNCTION("""COMPUTED_VALUE"""),0.0)</f>
        <v>0</v>
      </c>
      <c r="AB192" t="str">
        <f>IFERROR(__xludf.DUMMYFUNCTION("SUBSTITUTE(REGEXREPLACE(REGEXREPLACE(REGEXREPLACE(REGEXREPLACE(REGEXREPLACE(REGEXREPLACE(F192,"","",),IF(Projections!$T$17="""",""PG"",),),IF(Projections!$U$17="""",""SG"",),),IF(Projections!$V$17="""",""SF"",),),IF(Projections!$W$17="""",""PF"",),),IF(Pr"&amp;"ojections!$X$17="""",""C"",),),""/"","""")"),"PFC")</f>
        <v>PFC</v>
      </c>
    </row>
    <row r="193">
      <c r="B193">
        <f>IFERROR(__xludf.DUMMYFUNCTION("""COMPUTED_VALUE"""),190.0)</f>
        <v>190</v>
      </c>
      <c r="D193" t="str">
        <f>IFERROR(__xludf.DUMMYFUNCTION("""COMPUTED_VALUE"""),"Kris Dunn")</f>
        <v>Kris Dunn</v>
      </c>
      <c r="E193">
        <f>IFERROR(__xludf.DUMMYFUNCTION("""COMPUTED_VALUE"""),54.0)</f>
        <v>54</v>
      </c>
      <c r="F193" t="str">
        <f>IFERROR(__xludf.DUMMYFUNCTION("""COMPUTED_VALUE"""),"PF,C")</f>
        <v>PF,C</v>
      </c>
      <c r="G193" s="26">
        <f>IFERROR(__xludf.DUMMYFUNCTION("""COMPUTED_VALUE"""),-4.903488301514703)</f>
        <v>-4.903488302</v>
      </c>
      <c r="H193" s="26">
        <f>IFERROR(__xludf.DUMMYFUNCTION("""COMPUTED_VALUE"""),-5.092572248068785)</f>
        <v>-5.092572248</v>
      </c>
      <c r="I193" s="26">
        <f>IFERROR(__xludf.DUMMYFUNCTION("""COMPUTED_VALUE"""),-0.18908394655408145)</f>
        <v>-0.1890839466</v>
      </c>
      <c r="J193" s="26">
        <f>IFERROR(__xludf.DUMMYFUNCTION("""COMPUTED_VALUE"""),6.855)</f>
        <v>6.855</v>
      </c>
      <c r="K193" s="26">
        <f>IFERROR(__xludf.DUMMYFUNCTION("""COMPUTED_VALUE"""),0.5558823529)</f>
        <v>0.5558823529</v>
      </c>
      <c r="L193" s="26">
        <f>IFERROR(__xludf.DUMMYFUNCTION("""COMPUTED_VALUE"""),3.087058824)</f>
        <v>3.087058824</v>
      </c>
      <c r="M193" s="26">
        <f>IFERROR(__xludf.DUMMYFUNCTION("""COMPUTED_VALUE"""),3.172794118)</f>
        <v>3.172794118</v>
      </c>
      <c r="N193" s="26">
        <f>IFERROR(__xludf.DUMMYFUNCTION("""COMPUTED_VALUE"""),1.134705882)</f>
        <v>1.134705882</v>
      </c>
      <c r="O193" s="26">
        <f>IFERROR(__xludf.DUMMYFUNCTION("""COMPUTED_VALUE"""),0.3429411765)</f>
        <v>0.3429411765</v>
      </c>
      <c r="P193" s="464">
        <f>IFERROR(__xludf.DUMMYFUNCTION("""COMPUTED_VALUE"""),0.4780382646)</f>
        <v>0.4780382646</v>
      </c>
      <c r="Q193" s="464">
        <f>IFERROR(__xludf.DUMMYFUNCTION("""COMPUTED_VALUE"""),0.7420549815)</f>
        <v>0.7420549815</v>
      </c>
      <c r="R193" s="26">
        <f>IFERROR(__xludf.DUMMYFUNCTION("""COMPUTED_VALUE"""),0.9861764706)</f>
        <v>0.9861764706</v>
      </c>
      <c r="S193" s="26">
        <f>IFERROR(__xludf.DUMMYFUNCTION("""COMPUTED_VALUE"""),-1.9167783771711346)</f>
        <v>-1.916778377</v>
      </c>
      <c r="T193" s="26">
        <f>IFERROR(__xludf.DUMMYFUNCTION("""COMPUTED_VALUE"""),-1.1831568017437617)</f>
        <v>-1.183156802</v>
      </c>
      <c r="U193" s="26">
        <f>IFERROR(__xludf.DUMMYFUNCTION("""COMPUTED_VALUE"""),-1.1742609431550788)</f>
        <v>-1.174260943</v>
      </c>
      <c r="V193" s="26">
        <f>IFERROR(__xludf.DUMMYFUNCTION("""COMPUTED_VALUE"""),-0.3453900695988807)</f>
        <v>-0.3453900696</v>
      </c>
      <c r="W193" s="26">
        <f>IFERROR(__xludf.DUMMYFUNCTION("""COMPUTED_VALUE"""),0.5250487927910974)</f>
        <v>0.5250487928</v>
      </c>
      <c r="X193" s="26">
        <f>IFERROR(__xludf.DUMMYFUNCTION("""COMPUTED_VALUE"""),-0.7236713876232196)</f>
        <v>-0.7236713876</v>
      </c>
      <c r="Y193" s="26">
        <f>IFERROR(__xludf.DUMMYFUNCTION("""COMPUTED_VALUE"""),-0.13412384290150858)</f>
        <v>-0.1341238429</v>
      </c>
      <c r="Z193" s="26">
        <f>IFERROR(__xludf.DUMMYFUNCTION("""COMPUTED_VALUE"""),-0.14023961866629914)</f>
        <v>-0.1402396187</v>
      </c>
      <c r="AA193" s="26">
        <f>IFERROR(__xludf.DUMMYFUNCTION("""COMPUTED_VALUE"""),0.0)</f>
        <v>0</v>
      </c>
      <c r="AB193" t="str">
        <f>IFERROR(__xludf.DUMMYFUNCTION("SUBSTITUTE(REGEXREPLACE(REGEXREPLACE(REGEXREPLACE(REGEXREPLACE(REGEXREPLACE(REGEXREPLACE(F193,"","",),IF(Projections!$T$17="""",""PG"",),),IF(Projections!$U$17="""",""SG"",),),IF(Projections!$V$17="""",""SF"",),),IF(Projections!$W$17="""",""PF"",),),IF(Pr"&amp;"ojections!$X$17="""",""C"",),),""/"","""")"),"PFC")</f>
        <v>PFC</v>
      </c>
    </row>
    <row r="194">
      <c r="B194">
        <f>IFERROR(__xludf.DUMMYFUNCTION("""COMPUTED_VALUE"""),195.0)</f>
        <v>195</v>
      </c>
      <c r="C194">
        <f>IFERROR(__xludf.DUMMYFUNCTION("""COMPUTED_VALUE"""),144.4)</f>
        <v>144.4</v>
      </c>
      <c r="D194" t="str">
        <f>IFERROR(__xludf.DUMMYFUNCTION("""COMPUTED_VALUE"""),"Bojan Bogdanovic")</f>
        <v>Bojan Bogdanovic</v>
      </c>
      <c r="E194">
        <f>IFERROR(__xludf.DUMMYFUNCTION("""COMPUTED_VALUE"""),68.0)</f>
        <v>68</v>
      </c>
      <c r="F194" t="str">
        <f>IFERROR(__xludf.DUMMYFUNCTION("""COMPUTED_VALUE"""),"PG")</f>
        <v>PG</v>
      </c>
      <c r="G194" s="26">
        <f>IFERROR(__xludf.DUMMYFUNCTION("""COMPUTED_VALUE"""),-5.073694246340089)</f>
        <v>-5.073694246</v>
      </c>
      <c r="H194" s="26">
        <f>IFERROR(__xludf.DUMMYFUNCTION("""COMPUTED_VALUE"""),-5.127451782432906)</f>
        <v>-5.127451782</v>
      </c>
      <c r="I194" s="26">
        <f>IFERROR(__xludf.DUMMYFUNCTION("""COMPUTED_VALUE"""),-0.053757536092816416)</f>
        <v>-0.05375753609</v>
      </c>
      <c r="J194" s="26">
        <f>IFERROR(__xludf.DUMMYFUNCTION("""COMPUTED_VALUE"""),15.81622642)</f>
        <v>15.81622642</v>
      </c>
      <c r="K194" s="26">
        <f>IFERROR(__xludf.DUMMYFUNCTION("""COMPUTED_VALUE"""),2.423018868)</f>
        <v>2.423018868</v>
      </c>
      <c r="L194" s="26">
        <f>IFERROR(__xludf.DUMMYFUNCTION("""COMPUTED_VALUE"""),2.954339623)</f>
        <v>2.954339623</v>
      </c>
      <c r="M194" s="26">
        <f>IFERROR(__xludf.DUMMYFUNCTION("""COMPUTED_VALUE"""),1.477169811)</f>
        <v>1.477169811</v>
      </c>
      <c r="N194" s="26">
        <f>IFERROR(__xludf.DUMMYFUNCTION("""COMPUTED_VALUE"""),0.5077358491)</f>
        <v>0.5077358491</v>
      </c>
      <c r="O194" s="26">
        <f>IFERROR(__xludf.DUMMYFUNCTION("""COMPUTED_VALUE"""),0.1073584906)</f>
        <v>0.1073584906</v>
      </c>
      <c r="P194" s="464">
        <f>IFERROR(__xludf.DUMMYFUNCTION("""COMPUTED_VALUE"""),0.4501109645)</f>
        <v>0.4501109645</v>
      </c>
      <c r="Q194" s="464">
        <f>IFERROR(__xludf.DUMMYFUNCTION("""COMPUTED_VALUE"""),0.8209626631)</f>
        <v>0.8209626631</v>
      </c>
      <c r="R194" s="26">
        <f>IFERROR(__xludf.DUMMYFUNCTION("""COMPUTED_VALUE"""),1.531886792)</f>
        <v>1.531886792</v>
      </c>
      <c r="S194" s="26">
        <f>IFERROR(__xludf.DUMMYFUNCTION("""COMPUTED_VALUE"""),-0.30146678492097984)</f>
        <v>-0.3014667849</v>
      </c>
      <c r="T194" s="26">
        <f>IFERROR(__xludf.DUMMYFUNCTION("""COMPUTED_VALUE"""),0.6689091938666218)</f>
        <v>0.6689091939</v>
      </c>
      <c r="U194" s="26">
        <f>IFERROR(__xludf.DUMMYFUNCTION("""COMPUTED_VALUE"""),-1.2262745265752857)</f>
        <v>-1.226274527</v>
      </c>
      <c r="V194" s="26">
        <f>IFERROR(__xludf.DUMMYFUNCTION("""COMPUTED_VALUE"""),-1.1154381954560093)</f>
        <v>-1.115438195</v>
      </c>
      <c r="W194" s="26">
        <f>IFERROR(__xludf.DUMMYFUNCTION("""COMPUTED_VALUE"""),-1.5491645554598417)</f>
        <v>-1.549164555</v>
      </c>
      <c r="X194" s="26">
        <f>IFERROR(__xludf.DUMMYFUNCTION("""COMPUTED_VALUE"""),-1.1438679326695396)</f>
        <v>-1.143867933</v>
      </c>
      <c r="Y194" s="26">
        <f>IFERROR(__xludf.DUMMYFUNCTION("""COMPUTED_VALUE"""),-0.6898613726089479)</f>
        <v>-0.6898613726</v>
      </c>
      <c r="Z194" s="26">
        <f>IFERROR(__xludf.DUMMYFUNCTION("""COMPUTED_VALUE"""),0.22971239139107635)</f>
        <v>0.2297123914</v>
      </c>
      <c r="AA194" s="26">
        <f>IFERROR(__xludf.DUMMYFUNCTION("""COMPUTED_VALUE"""),0.0)</f>
        <v>0</v>
      </c>
      <c r="AB194" t="str">
        <f>IFERROR(__xludf.DUMMYFUNCTION("SUBSTITUTE(REGEXREPLACE(REGEXREPLACE(REGEXREPLACE(REGEXREPLACE(REGEXREPLACE(REGEXREPLACE(F194,"","",),IF(Projections!$T$17="""",""PG"",),),IF(Projections!$U$17="""",""SG"",),),IF(Projections!$V$17="""",""SF"",),),IF(Projections!$W$17="""",""PF"",),),IF(Pr"&amp;"ojections!$X$17="""",""C"",),),""/"","""")"),"PG")</f>
        <v>PG</v>
      </c>
    </row>
    <row r="195">
      <c r="B195">
        <f>IFERROR(__xludf.DUMMYFUNCTION("""COMPUTED_VALUE"""),187.0)</f>
        <v>187</v>
      </c>
      <c r="C195">
        <f>IFERROR(__xludf.DUMMYFUNCTION("""COMPUTED_VALUE"""),144.9)</f>
        <v>144.9</v>
      </c>
      <c r="D195" t="str">
        <f>IFERROR(__xludf.DUMMYFUNCTION("""COMPUTED_VALUE"""),"Terance Mann")</f>
        <v>Terance Mann</v>
      </c>
      <c r="E195">
        <f>IFERROR(__xludf.DUMMYFUNCTION("""COMPUTED_VALUE"""),67.0)</f>
        <v>67</v>
      </c>
      <c r="F195" t="str">
        <f>IFERROR(__xludf.DUMMYFUNCTION("""COMPUTED_VALUE"""),"SF")</f>
        <v>SF</v>
      </c>
      <c r="G195" s="26">
        <f>IFERROR(__xludf.DUMMYFUNCTION("""COMPUTED_VALUE"""),-5.030230199726902)</f>
        <v>-5.0302302</v>
      </c>
      <c r="H195" s="26">
        <f>IFERROR(__xludf.DUMMYFUNCTION("""COMPUTED_VALUE"""),-5.1945189300658665)</f>
        <v>-5.19451893</v>
      </c>
      <c r="I195" s="26">
        <f>IFERROR(__xludf.DUMMYFUNCTION("""COMPUTED_VALUE"""),-0.1642887303389644)</f>
        <v>-0.1642887303</v>
      </c>
      <c r="J195" s="26">
        <f>IFERROR(__xludf.DUMMYFUNCTION("""COMPUTED_VALUE"""),11.33246575)</f>
        <v>11.33246575</v>
      </c>
      <c r="K195" s="26">
        <f>IFERROR(__xludf.DUMMYFUNCTION("""COMPUTED_VALUE"""),1.172191781)</f>
        <v>1.172191781</v>
      </c>
      <c r="L195" s="26">
        <f>IFERROR(__xludf.DUMMYFUNCTION("""COMPUTED_VALUE"""),4.230273973)</f>
        <v>4.230273973</v>
      </c>
      <c r="M195" s="26">
        <f>IFERROR(__xludf.DUMMYFUNCTION("""COMPUTED_VALUE"""),2.286712329)</f>
        <v>2.286712329</v>
      </c>
      <c r="N195" s="26">
        <f>IFERROR(__xludf.DUMMYFUNCTION("""COMPUTED_VALUE"""),0.5839726027)</f>
        <v>0.5839726027</v>
      </c>
      <c r="O195" s="26">
        <f>IFERROR(__xludf.DUMMYFUNCTION("""COMPUTED_VALUE"""),0.1691780822)</f>
        <v>0.1691780822</v>
      </c>
      <c r="P195" s="464">
        <f>IFERROR(__xludf.DUMMYFUNCTION("""COMPUTED_VALUE"""),0.5102572821)</f>
        <v>0.5102572821</v>
      </c>
      <c r="Q195" s="464">
        <f>IFERROR(__xludf.DUMMYFUNCTION("""COMPUTED_VALUE"""),0.8199882249)</f>
        <v>0.8199882249</v>
      </c>
      <c r="R195" s="26">
        <f>IFERROR(__xludf.DUMMYFUNCTION("""COMPUTED_VALUE"""),1.086164384)</f>
        <v>1.086164384</v>
      </c>
      <c r="S195" s="26">
        <f>IFERROR(__xludf.DUMMYFUNCTION("""COMPUTED_VALUE"""),-1.1096899284587725)</f>
        <v>-1.109689928</v>
      </c>
      <c r="T195" s="26">
        <f>IFERROR(__xludf.DUMMYFUNCTION("""COMPUTED_VALUE"""),-0.5718218911322798)</f>
        <v>-0.5718218911</v>
      </c>
      <c r="U195" s="26">
        <f>IFERROR(__xludf.DUMMYFUNCTION("""COMPUTED_VALUE"""),-0.7262269279430997)</f>
        <v>-0.7262269279</v>
      </c>
      <c r="V195" s="26">
        <f>IFERROR(__xludf.DUMMYFUNCTION("""COMPUTED_VALUE"""),-0.747793843924806)</f>
        <v>-0.7477938439</v>
      </c>
      <c r="W195" s="26">
        <f>IFERROR(__xludf.DUMMYFUNCTION("""COMPUTED_VALUE"""),-1.296949483532059)</f>
        <v>-1.296949484</v>
      </c>
      <c r="X195" s="26">
        <f>IFERROR(__xludf.DUMMYFUNCTION("""COMPUTED_VALUE"""),-1.033603552639842)</f>
        <v>-1.033603553</v>
      </c>
      <c r="Y195" s="26">
        <f>IFERROR(__xludf.DUMMYFUNCTION("""COMPUTED_VALUE"""),0.12803518199607758)</f>
        <v>0.128035182</v>
      </c>
      <c r="Z195" s="26">
        <f>IFERROR(__xludf.DUMMYFUNCTION("""COMPUTED_VALUE"""),0.16353151556891543)</f>
        <v>0.1635315156</v>
      </c>
      <c r="AA195" s="26">
        <f>IFERROR(__xludf.DUMMYFUNCTION("""COMPUTED_VALUE"""),0.0)</f>
        <v>0</v>
      </c>
      <c r="AB195" t="str">
        <f>IFERROR(__xludf.DUMMYFUNCTION("SUBSTITUTE(REGEXREPLACE(REGEXREPLACE(REGEXREPLACE(REGEXREPLACE(REGEXREPLACE(REGEXREPLACE(F195,"","",),IF(Projections!$T$17="""",""PG"",),),IF(Projections!$U$17="""",""SG"",),),IF(Projections!$V$17="""",""SF"",),),IF(Projections!$W$17="""",""PF"",),),IF(Pr"&amp;"ojections!$X$17="""",""C"",),),""/"","""")"),"SF")</f>
        <v>SF</v>
      </c>
    </row>
    <row r="196">
      <c r="B196">
        <f>IFERROR(__xludf.DUMMYFUNCTION("""COMPUTED_VALUE"""),194.0)</f>
        <v>194</v>
      </c>
      <c r="C196">
        <f>IFERROR(__xludf.DUMMYFUNCTION("""COMPUTED_VALUE"""),142.6)</f>
        <v>142.6</v>
      </c>
      <c r="D196" t="str">
        <f>IFERROR(__xludf.DUMMYFUNCTION("""COMPUTED_VALUE"""),"Nikola Jovic")</f>
        <v>Nikola Jovic</v>
      </c>
      <c r="E196">
        <f>IFERROR(__xludf.DUMMYFUNCTION("""COMPUTED_VALUE"""),60.0)</f>
        <v>60</v>
      </c>
      <c r="F196" t="str">
        <f>IFERROR(__xludf.DUMMYFUNCTION("""COMPUTED_VALUE"""),"SF,PF")</f>
        <v>SF,PF</v>
      </c>
      <c r="G196" s="26">
        <f>IFERROR(__xludf.DUMMYFUNCTION("""COMPUTED_VALUE"""),-5.007398999000863)</f>
        <v>-5.007398999</v>
      </c>
      <c r="H196" s="26">
        <f>IFERROR(__xludf.DUMMYFUNCTION("""COMPUTED_VALUE"""),-5.210515617122927)</f>
        <v>-5.210515617</v>
      </c>
      <c r="I196" s="26">
        <f>IFERROR(__xludf.DUMMYFUNCTION("""COMPUTED_VALUE"""),-0.20311661812206427)</f>
        <v>-0.2031166181</v>
      </c>
      <c r="J196" s="26">
        <f>IFERROR(__xludf.DUMMYFUNCTION("""COMPUTED_VALUE"""),9.088630137)</f>
        <v>9.088630137</v>
      </c>
      <c r="K196" s="26">
        <f>IFERROR(__xludf.DUMMYFUNCTION("""COMPUTED_VALUE"""),1.663972603)</f>
        <v>1.663972603</v>
      </c>
      <c r="L196" s="26">
        <f>IFERROR(__xludf.DUMMYFUNCTION("""COMPUTED_VALUE"""),4.694383562)</f>
        <v>4.694383562</v>
      </c>
      <c r="M196" s="26">
        <f>IFERROR(__xludf.DUMMYFUNCTION("""COMPUTED_VALUE"""),2.249589041)</f>
        <v>2.249589041</v>
      </c>
      <c r="N196" s="26">
        <f>IFERROR(__xludf.DUMMYFUNCTION("""COMPUTED_VALUE"""),0.6689041096)</f>
        <v>0.6689041096</v>
      </c>
      <c r="O196" s="26">
        <f>IFERROR(__xludf.DUMMYFUNCTION("""COMPUTED_VALUE"""),0.32)</f>
        <v>0.32</v>
      </c>
      <c r="P196" s="464">
        <f>IFERROR(__xludf.DUMMYFUNCTION("""COMPUTED_VALUE"""),0.445809156)</f>
        <v>0.445809156</v>
      </c>
      <c r="Q196" s="464">
        <f>IFERROR(__xludf.DUMMYFUNCTION("""COMPUTED_VALUE"""),0.773021684)</f>
        <v>0.773021684</v>
      </c>
      <c r="R196" s="26">
        <f>IFERROR(__xludf.DUMMYFUNCTION("""COMPUTED_VALUE"""),0.9295890411)</f>
        <v>0.9295890411</v>
      </c>
      <c r="S196" s="26">
        <f>IFERROR(__xludf.DUMMYFUNCTION("""COMPUTED_VALUE"""),-1.5141539501124774)</f>
        <v>-1.51415395</v>
      </c>
      <c r="T196" s="26">
        <f>IFERROR(__xludf.DUMMYFUNCTION("""COMPUTED_VALUE"""),-0.08401045883819197)</f>
        <v>-0.08401045884</v>
      </c>
      <c r="U196" s="26">
        <f>IFERROR(__xludf.DUMMYFUNCTION("""COMPUTED_VALUE"""),-0.5443391329467345)</f>
        <v>-0.5443391329</v>
      </c>
      <c r="V196" s="26">
        <f>IFERROR(__xludf.DUMMYFUNCTION("""COMPUTED_VALUE"""),-0.7646529548918054)</f>
        <v>-0.7646529549</v>
      </c>
      <c r="W196" s="26">
        <f>IFERROR(__xludf.DUMMYFUNCTION("""COMPUTED_VALUE"""),-1.0159694429323436)</f>
        <v>-1.015969443</v>
      </c>
      <c r="X196" s="26">
        <f>IFERROR(__xludf.DUMMYFUNCTION("""COMPUTED_VALUE"""),-0.7645903671643974)</f>
        <v>-0.7645903672</v>
      </c>
      <c r="Y196" s="26">
        <f>IFERROR(__xludf.DUMMYFUNCTION("""COMPUTED_VALUE"""),-0.44775068246004096)</f>
        <v>-0.4477506825</v>
      </c>
      <c r="Z196" s="26">
        <f>IFERROR(__xludf.DUMMYFUNCTION("""COMPUTED_VALUE"""),-0.07504862777693636)</f>
        <v>-0.07504862778</v>
      </c>
      <c r="AA196" s="26">
        <f>IFERROR(__xludf.DUMMYFUNCTION("""COMPUTED_VALUE"""),0.0)</f>
        <v>0</v>
      </c>
      <c r="AB196" t="str">
        <f>IFERROR(__xludf.DUMMYFUNCTION("SUBSTITUTE(REGEXREPLACE(REGEXREPLACE(REGEXREPLACE(REGEXREPLACE(REGEXREPLACE(REGEXREPLACE(F196,"","",),IF(Projections!$T$17="""",""PG"",),),IF(Projections!$U$17="""",""SG"",),),IF(Projections!$V$17="""",""SF"",),),IF(Projections!$W$17="""",""PF"",),),IF(Pr"&amp;"ojections!$X$17="""",""C"",),),""/"","""")"),"SFPF")</f>
        <v>SFPF</v>
      </c>
    </row>
    <row r="197">
      <c r="B197">
        <f>IFERROR(__xludf.DUMMYFUNCTION("""COMPUTED_VALUE"""),198.0)</f>
        <v>198</v>
      </c>
      <c r="C197">
        <f>IFERROR(__xludf.DUMMYFUNCTION("""COMPUTED_VALUE"""),146.5)</f>
        <v>146.5</v>
      </c>
      <c r="D197" t="str">
        <f>IFERROR(__xludf.DUMMYFUNCTION("""COMPUTED_VALUE"""),"De'Andre Hunter")</f>
        <v>De'Andre Hunter</v>
      </c>
      <c r="E197">
        <f>IFERROR(__xludf.DUMMYFUNCTION("""COMPUTED_VALUE"""),71.0)</f>
        <v>71</v>
      </c>
      <c r="F197" t="str">
        <f>IFERROR(__xludf.DUMMYFUNCTION("""COMPUTED_VALUE"""),"PG,SG")</f>
        <v>PG,SG</v>
      </c>
      <c r="G197" s="26">
        <f>IFERROR(__xludf.DUMMYFUNCTION("""COMPUTED_VALUE"""),-5.1014743429753215)</f>
        <v>-5.101474343</v>
      </c>
      <c r="H197" s="26">
        <f>IFERROR(__xludf.DUMMYFUNCTION("""COMPUTED_VALUE"""),-5.2105810617935004)</f>
        <v>-5.210581062</v>
      </c>
      <c r="I197" s="26">
        <f>IFERROR(__xludf.DUMMYFUNCTION("""COMPUTED_VALUE"""),-0.1091067188181789)</f>
        <v>-0.1091067188</v>
      </c>
      <c r="J197" s="26">
        <f>IFERROR(__xludf.DUMMYFUNCTION("""COMPUTED_VALUE"""),13.77540984)</f>
        <v>13.77540984</v>
      </c>
      <c r="K197" s="26">
        <f>IFERROR(__xludf.DUMMYFUNCTION("""COMPUTED_VALUE"""),1.90852459)</f>
        <v>1.90852459</v>
      </c>
      <c r="L197" s="26">
        <f>IFERROR(__xludf.DUMMYFUNCTION("""COMPUTED_VALUE"""),3.487540984)</f>
        <v>3.487540984</v>
      </c>
      <c r="M197" s="26">
        <f>IFERROR(__xludf.DUMMYFUNCTION("""COMPUTED_VALUE"""),1.518688525)</f>
        <v>1.518688525</v>
      </c>
      <c r="N197" s="26">
        <f>IFERROR(__xludf.DUMMYFUNCTION("""COMPUTED_VALUE"""),0.551147541)</f>
        <v>0.551147541</v>
      </c>
      <c r="O197" s="26">
        <f>IFERROR(__xludf.DUMMYFUNCTION("""COMPUTED_VALUE"""),0.2280327869)</f>
        <v>0.2280327869</v>
      </c>
      <c r="P197" s="464">
        <f>IFERROR(__xludf.DUMMYFUNCTION("""COMPUTED_VALUE"""),0.4539943879)</f>
        <v>0.4539943879</v>
      </c>
      <c r="Q197" s="464">
        <f>IFERROR(__xludf.DUMMYFUNCTION("""COMPUTED_VALUE"""),0.8239923682)</f>
        <v>0.8239923682</v>
      </c>
      <c r="R197" s="26">
        <f>IFERROR(__xludf.DUMMYFUNCTION("""COMPUTED_VALUE"""),1.308688525)</f>
        <v>1.308688525</v>
      </c>
      <c r="S197" s="26">
        <f>IFERROR(__xludf.DUMMYFUNCTION("""COMPUTED_VALUE"""),-0.6693354811044555)</f>
        <v>-0.6693354811</v>
      </c>
      <c r="T197" s="26">
        <f>IFERROR(__xludf.DUMMYFUNCTION("""COMPUTED_VALUE"""),0.1585676363459167)</f>
        <v>0.1585676363</v>
      </c>
      <c r="U197" s="26">
        <f>IFERROR(__xludf.DUMMYFUNCTION("""COMPUTED_VALUE"""),-1.0173091827427734)</f>
        <v>-1.017309183</v>
      </c>
      <c r="V197" s="26">
        <f>IFERROR(__xludf.DUMMYFUNCTION("""COMPUTED_VALUE"""),-1.0965829527163815)</f>
        <v>-1.096582953</v>
      </c>
      <c r="W197" s="26">
        <f>IFERROR(__xludf.DUMMYFUNCTION("""COMPUTED_VALUE"""),-1.4055450743298734)</f>
        <v>-1.405545074</v>
      </c>
      <c r="X197" s="26">
        <f>IFERROR(__xludf.DUMMYFUNCTION("""COMPUTED_VALUE"""),-0.9286274866773416)</f>
        <v>-0.9286274867</v>
      </c>
      <c r="Y197" s="26">
        <f>IFERROR(__xludf.DUMMYFUNCTION("""COMPUTED_VALUE"""),-0.5319846439514486)</f>
        <v>-0.531984644</v>
      </c>
      <c r="Z197" s="26">
        <f>IFERROR(__xludf.DUMMYFUNCTION("""COMPUTED_VALUE"""),0.2802361233828571)</f>
        <v>0.2802361234</v>
      </c>
      <c r="AA197" s="26">
        <f>IFERROR(__xludf.DUMMYFUNCTION("""COMPUTED_VALUE"""),0.0)</f>
        <v>0</v>
      </c>
      <c r="AB197" t="str">
        <f>IFERROR(__xludf.DUMMYFUNCTION("SUBSTITUTE(REGEXREPLACE(REGEXREPLACE(REGEXREPLACE(REGEXREPLACE(REGEXREPLACE(REGEXREPLACE(F197,"","",),IF(Projections!$T$17="""",""PG"",),),IF(Projections!$U$17="""",""SG"",),),IF(Projections!$V$17="""",""SF"",),),IF(Projections!$W$17="""",""PF"",),),IF(Pr"&amp;"ojections!$X$17="""",""C"",),),""/"","""")"),"PGSG")</f>
        <v>PGSG</v>
      </c>
    </row>
    <row r="198">
      <c r="B198">
        <f>IFERROR(__xludf.DUMMYFUNCTION("""COMPUTED_VALUE"""),191.0)</f>
        <v>191</v>
      </c>
      <c r="C198">
        <f>IFERROR(__xludf.DUMMYFUNCTION("""COMPUTED_VALUE"""),145.4)</f>
        <v>145.4</v>
      </c>
      <c r="D198" t="str">
        <f>IFERROR(__xludf.DUMMYFUNCTION("""COMPUTED_VALUE"""),"Corey Kispert")</f>
        <v>Corey Kispert</v>
      </c>
      <c r="E198">
        <f>IFERROR(__xludf.DUMMYFUNCTION("""COMPUTED_VALUE"""),64.0)</f>
        <v>64</v>
      </c>
      <c r="F198" t="str">
        <f>IFERROR(__xludf.DUMMYFUNCTION("""COMPUTED_VALUE"""),"SF,PF")</f>
        <v>SF,PF</v>
      </c>
      <c r="G198" s="26">
        <f>IFERROR(__xludf.DUMMYFUNCTION("""COMPUTED_VALUE"""),-5.088929320497779)</f>
        <v>-5.08892932</v>
      </c>
      <c r="H198" s="26">
        <f>IFERROR(__xludf.DUMMYFUNCTION("""COMPUTED_VALUE"""),-5.214232224199145)</f>
        <v>-5.214232224</v>
      </c>
      <c r="I198" s="26">
        <f>IFERROR(__xludf.DUMMYFUNCTION("""COMPUTED_VALUE"""),-0.12530290370136576)</f>
        <v>-0.1253029037</v>
      </c>
      <c r="J198" s="26">
        <f>IFERROR(__xludf.DUMMYFUNCTION("""COMPUTED_VALUE"""),12.64012987)</f>
        <v>12.64012987</v>
      </c>
      <c r="K198" s="26">
        <f>IFERROR(__xludf.DUMMYFUNCTION("""COMPUTED_VALUE"""),2.248311688)</f>
        <v>2.248311688</v>
      </c>
      <c r="L198" s="26">
        <f>IFERROR(__xludf.DUMMYFUNCTION("""COMPUTED_VALUE"""),2.983506494)</f>
        <v>2.983506494</v>
      </c>
      <c r="M198" s="26">
        <f>IFERROR(__xludf.DUMMYFUNCTION("""COMPUTED_VALUE"""),1.942857143)</f>
        <v>1.942857143</v>
      </c>
      <c r="N198" s="26">
        <f>IFERROR(__xludf.DUMMYFUNCTION("""COMPUTED_VALUE"""),0.5153246753)</f>
        <v>0.5153246753</v>
      </c>
      <c r="O198" s="26">
        <f>IFERROR(__xludf.DUMMYFUNCTION("""COMPUTED_VALUE"""),0.1780519481)</f>
        <v>0.1780519481</v>
      </c>
      <c r="P198" s="464">
        <f>IFERROR(__xludf.DUMMYFUNCTION("""COMPUTED_VALUE"""),0.4888235212)</f>
        <v>0.4888235212</v>
      </c>
      <c r="Q198" s="464">
        <f>IFERROR(__xludf.DUMMYFUNCTION("""COMPUTED_VALUE"""),0.7800359125)</f>
        <v>0.7800359125</v>
      </c>
      <c r="R198" s="26">
        <f>IFERROR(__xludf.DUMMYFUNCTION("""COMPUTED_VALUE"""),1.243376623)</f>
        <v>1.243376623</v>
      </c>
      <c r="S198" s="26">
        <f>IFERROR(__xludf.DUMMYFUNCTION("""COMPUTED_VALUE"""),-0.8739760972479774)</f>
        <v>-0.8739760972</v>
      </c>
      <c r="T198" s="26">
        <f>IFERROR(__xludf.DUMMYFUNCTION("""COMPUTED_VALUE"""),0.49561215604951636)</f>
        <v>0.495612156</v>
      </c>
      <c r="U198" s="26">
        <f>IFERROR(__xludf.DUMMYFUNCTION("""COMPUTED_VALUE"""),-1.2148438257691159)</f>
        <v>-1.214843826</v>
      </c>
      <c r="V198" s="26">
        <f>IFERROR(__xludf.DUMMYFUNCTION("""COMPUTED_VALUE"""),-0.9039516911864014)</f>
        <v>-0.9039516912</v>
      </c>
      <c r="W198" s="26">
        <f>IFERROR(__xludf.DUMMYFUNCTION("""COMPUTED_VALUE"""),-1.524058340209348)</f>
        <v>-1.52405834</v>
      </c>
      <c r="X198" s="26">
        <f>IFERROR(__xludf.DUMMYFUNCTION("""COMPUTED_VALUE"""),-1.0177757010380177)</f>
        <v>-1.017775701</v>
      </c>
      <c r="Y198" s="26">
        <f>IFERROR(__xludf.DUMMYFUNCTION("""COMPUTED_VALUE"""),-0.0917031275542431)</f>
        <v>-0.09170312755</v>
      </c>
      <c r="Z198" s="26">
        <f>IFERROR(__xludf.DUMMYFUNCTION("""COMPUTED_VALUE"""),-0.08353559724355669)</f>
        <v>-0.08353559724</v>
      </c>
      <c r="AA198" s="26">
        <f>IFERROR(__xludf.DUMMYFUNCTION("""COMPUTED_VALUE"""),0.0)</f>
        <v>0</v>
      </c>
      <c r="AB198" t="str">
        <f>IFERROR(__xludf.DUMMYFUNCTION("SUBSTITUTE(REGEXREPLACE(REGEXREPLACE(REGEXREPLACE(REGEXREPLACE(REGEXREPLACE(REGEXREPLACE(F198,"","",),IF(Projections!$T$17="""",""PG"",),),IF(Projections!$U$17="""",""SG"",),),IF(Projections!$V$17="""",""SF"",),),IF(Projections!$W$17="""",""PF"",),),IF(Pr"&amp;"ojections!$X$17="""",""C"",),),""/"","""")"),"SFPF")</f>
        <v>SFPF</v>
      </c>
    </row>
    <row r="199">
      <c r="B199">
        <f>IFERROR(__xludf.DUMMYFUNCTION("""COMPUTED_VALUE"""),199.0)</f>
        <v>199</v>
      </c>
      <c r="D199" t="str">
        <f>IFERROR(__xludf.DUMMYFUNCTION("""COMPUTED_VALUE"""),"Taurean Prince")</f>
        <v>Taurean Prince</v>
      </c>
      <c r="E199">
        <f>IFERROR(__xludf.DUMMYFUNCTION("""COMPUTED_VALUE"""),60.0)</f>
        <v>60</v>
      </c>
      <c r="F199" t="str">
        <f>IFERROR(__xludf.DUMMYFUNCTION("""COMPUTED_VALUE"""),"C")</f>
        <v>C</v>
      </c>
      <c r="G199" s="26">
        <f>IFERROR(__xludf.DUMMYFUNCTION("""COMPUTED_VALUE"""),-5.063838730705735)</f>
        <v>-5.063838731</v>
      </c>
      <c r="H199" s="26">
        <f>IFERROR(__xludf.DUMMYFUNCTION("""COMPUTED_VALUE"""),-5.225375878555439)</f>
        <v>-5.225375879</v>
      </c>
      <c r="I199" s="26">
        <f>IFERROR(__xludf.DUMMYFUNCTION("""COMPUTED_VALUE"""),-0.16153714784970408)</f>
        <v>-0.1615371478</v>
      </c>
      <c r="J199" s="26">
        <f>IFERROR(__xludf.DUMMYFUNCTION("""COMPUTED_VALUE"""),9.083561644)</f>
        <v>9.083561644</v>
      </c>
      <c r="K199" s="26">
        <f>IFERROR(__xludf.DUMMYFUNCTION("""COMPUTED_VALUE"""),1.741643836)</f>
        <v>1.741643836</v>
      </c>
      <c r="L199" s="26">
        <f>IFERROR(__xludf.DUMMYFUNCTION("""COMPUTED_VALUE"""),3.580547945)</f>
        <v>3.580547945</v>
      </c>
      <c r="M199" s="26">
        <f>IFERROR(__xludf.DUMMYFUNCTION("""COMPUTED_VALUE"""),1.591506849)</f>
        <v>1.591506849</v>
      </c>
      <c r="N199" s="26">
        <f>IFERROR(__xludf.DUMMYFUNCTION("""COMPUTED_VALUE"""),0.8084931507)</f>
        <v>0.8084931507</v>
      </c>
      <c r="O199" s="26">
        <f>IFERROR(__xludf.DUMMYFUNCTION("""COMPUTED_VALUE"""),0.4552054795)</f>
        <v>0.4552054795</v>
      </c>
      <c r="P199" s="464">
        <f>IFERROR(__xludf.DUMMYFUNCTION("""COMPUTED_VALUE"""),0.4406308493)</f>
        <v>0.4406308493</v>
      </c>
      <c r="Q199" s="464">
        <f>IFERROR(__xludf.DUMMYFUNCTION("""COMPUTED_VALUE"""),0.7699363057)</f>
        <v>0.7699363057</v>
      </c>
      <c r="R199" s="26">
        <f>IFERROR(__xludf.DUMMYFUNCTION("""COMPUTED_VALUE"""),1.097260274)</f>
        <v>1.097260274</v>
      </c>
      <c r="S199" s="26">
        <f>IFERROR(__xludf.DUMMYFUNCTION("""COMPUTED_VALUE"""),-1.5150675745556528)</f>
        <v>-1.515067575</v>
      </c>
      <c r="T199" s="26">
        <f>IFERROR(__xludf.DUMMYFUNCTION("""COMPUTED_VALUE"""),-0.006966146163107987)</f>
        <v>-0.006966146163</v>
      </c>
      <c r="U199" s="26">
        <f>IFERROR(__xludf.DUMMYFUNCTION("""COMPUTED_VALUE"""),-0.9808591040187954)</f>
        <v>-0.980859104</v>
      </c>
      <c r="V199" s="26">
        <f>IFERROR(__xludf.DUMMYFUNCTION("""COMPUTED_VALUE"""),-1.0635133548739997)</f>
        <v>-1.063513355</v>
      </c>
      <c r="W199" s="26">
        <f>IFERROR(__xludf.DUMMYFUNCTION("""COMPUTED_VALUE"""),-0.5541651506602927)</f>
        <v>-0.5541651507</v>
      </c>
      <c r="X199" s="26">
        <f>IFERROR(__xludf.DUMMYFUNCTION("""COMPUTED_VALUE"""),-0.5234314078793041)</f>
        <v>-0.5234314079</v>
      </c>
      <c r="Y199" s="26">
        <f>IFERROR(__xludf.DUMMYFUNCTION("""COMPUTED_VALUE"""),-0.48676443323326096)</f>
        <v>-0.4867644332</v>
      </c>
      <c r="Z199" s="26">
        <f>IFERROR(__xludf.DUMMYFUNCTION("""COMPUTED_VALUE"""),-0.09460870717102561)</f>
        <v>-0.09460870717</v>
      </c>
      <c r="AA199" s="26">
        <f>IFERROR(__xludf.DUMMYFUNCTION("""COMPUTED_VALUE"""),0.0)</f>
        <v>0</v>
      </c>
      <c r="AB199" t="str">
        <f>IFERROR(__xludf.DUMMYFUNCTION("SUBSTITUTE(REGEXREPLACE(REGEXREPLACE(REGEXREPLACE(REGEXREPLACE(REGEXREPLACE(REGEXREPLACE(F199,"","",),IF(Projections!$T$17="""",""PG"",),),IF(Projections!$U$17="""",""SG"",),),IF(Projections!$V$17="""",""SF"",),),IF(Projections!$W$17="""",""PF"",),),IF(Pr"&amp;"ojections!$X$17="""",""C"",),),""/"","""")"),"C")</f>
        <v>C</v>
      </c>
    </row>
    <row r="200">
      <c r="B200">
        <f>IFERROR(__xludf.DUMMYFUNCTION("""COMPUTED_VALUE"""),196.0)</f>
        <v>196</v>
      </c>
      <c r="C200">
        <f>IFERROR(__xludf.DUMMYFUNCTION("""COMPUTED_VALUE"""),141.2)</f>
        <v>141.2</v>
      </c>
      <c r="D200" t="str">
        <f>IFERROR(__xludf.DUMMYFUNCTION("""COMPUTED_VALUE"""),"Jaden McDaniels")</f>
        <v>Jaden McDaniels</v>
      </c>
      <c r="E200">
        <f>IFERROR(__xludf.DUMMYFUNCTION("""COMPUTED_VALUE"""),34.0)</f>
        <v>34</v>
      </c>
      <c r="F200" t="str">
        <f>IFERROR(__xludf.DUMMYFUNCTION("""COMPUTED_VALUE"""),"PG,SG")</f>
        <v>PG,SG</v>
      </c>
      <c r="G200" s="26">
        <f>IFERROR(__xludf.DUMMYFUNCTION("""COMPUTED_VALUE"""),-5.1798492548132336)</f>
        <v>-5.179849255</v>
      </c>
      <c r="H200" s="26">
        <f>IFERROR(__xludf.DUMMYFUNCTION("""COMPUTED_VALUE"""),-5.3052081871021635)</f>
        <v>-5.305208187</v>
      </c>
      <c r="I200" s="26">
        <f>IFERROR(__xludf.DUMMYFUNCTION("""COMPUTED_VALUE"""),-0.12535893228892991)</f>
        <v>-0.1253589323</v>
      </c>
      <c r="J200" s="26">
        <f>IFERROR(__xludf.DUMMYFUNCTION("""COMPUTED_VALUE"""),9.067123288)</f>
        <v>9.067123288</v>
      </c>
      <c r="K200" s="26">
        <f>IFERROR(__xludf.DUMMYFUNCTION("""COMPUTED_VALUE"""),1.049863014)</f>
        <v>1.049863014</v>
      </c>
      <c r="L200" s="26">
        <f>IFERROR(__xludf.DUMMYFUNCTION("""COMPUTED_VALUE"""),3.315616438)</f>
        <v>3.315616438</v>
      </c>
      <c r="M200" s="26">
        <f>IFERROR(__xludf.DUMMYFUNCTION("""COMPUTED_VALUE"""),1.422328767)</f>
        <v>1.422328767</v>
      </c>
      <c r="N200" s="26">
        <f>IFERROR(__xludf.DUMMYFUNCTION("""COMPUTED_VALUE"""),0.8291780822)</f>
        <v>0.8291780822</v>
      </c>
      <c r="O200" s="26">
        <f>IFERROR(__xludf.DUMMYFUNCTION("""COMPUTED_VALUE"""),0.7697260274)</f>
        <v>0.7697260274</v>
      </c>
      <c r="P200" s="464">
        <f>IFERROR(__xludf.DUMMYFUNCTION("""COMPUTED_VALUE"""),0.4829948083)</f>
        <v>0.4829948083</v>
      </c>
      <c r="Q200" s="464">
        <f>IFERROR(__xludf.DUMMYFUNCTION("""COMPUTED_VALUE"""),0.7149544863)</f>
        <v>0.7149544863</v>
      </c>
      <c r="R200" s="26">
        <f>IFERROR(__xludf.DUMMYFUNCTION("""COMPUTED_VALUE"""),1.243150685)</f>
        <v>1.243150685</v>
      </c>
      <c r="S200" s="26">
        <f>IFERROR(__xludf.DUMMYFUNCTION("""COMPUTED_VALUE"""),-1.5180306809163038)</f>
        <v>-1.518030681</v>
      </c>
      <c r="T200" s="26">
        <f>IFERROR(__xludf.DUMMYFUNCTION("""COMPUTED_VALUE"""),-0.6931632862650889)</f>
        <v>-0.6931632863</v>
      </c>
      <c r="U200" s="26">
        <f>IFERROR(__xludf.DUMMYFUNCTION("""COMPUTED_VALUE"""),-1.0846876151623006)</f>
        <v>-1.084687615</v>
      </c>
      <c r="V200" s="26">
        <f>IFERROR(__xludf.DUMMYFUNCTION("""COMPUTED_VALUE"""),-1.1403436199524088)</f>
        <v>-1.14034362</v>
      </c>
      <c r="W200" s="26">
        <f>IFERROR(__xludf.DUMMYFUNCTION("""COMPUTED_VALUE"""),-0.4857329150293444)</f>
        <v>-0.485732915</v>
      </c>
      <c r="X200" s="26">
        <f>IFERROR(__xludf.DUMMYFUNCTION("""COMPUTED_VALUE"""),0.037562482944043366)</f>
        <v>0.03756248294</v>
      </c>
      <c r="Y200" s="26">
        <f>IFERROR(__xludf.DUMMYFUNCTION("""COMPUTED_VALUE"""),-0.12465837200104284)</f>
        <v>-0.124658372</v>
      </c>
      <c r="Z200" s="26">
        <f>IFERROR(__xludf.DUMMYFUNCTION("""COMPUTED_VALUE"""),-0.29615418071971833)</f>
        <v>-0.2961541807</v>
      </c>
      <c r="AA200" s="26">
        <f>IFERROR(__xludf.DUMMYFUNCTION("""COMPUTED_VALUE"""),0.0)</f>
        <v>0</v>
      </c>
      <c r="AB200" t="str">
        <f>IFERROR(__xludf.DUMMYFUNCTION("SUBSTITUTE(REGEXREPLACE(REGEXREPLACE(REGEXREPLACE(REGEXREPLACE(REGEXREPLACE(REGEXREPLACE(F200,"","",),IF(Projections!$T$17="""",""PG"",),),IF(Projections!$U$17="""",""SG"",),),IF(Projections!$V$17="""",""SF"",),),IF(Projections!$W$17="""",""PF"",),),IF(Pr"&amp;"ojections!$X$17="""",""C"",),),""/"","""")"),"PGSG")</f>
        <v>PGSG</v>
      </c>
    </row>
    <row r="201">
      <c r="B201">
        <f>IFERROR(__xludf.DUMMYFUNCTION("""COMPUTED_VALUE"""),203.0)</f>
        <v>203</v>
      </c>
      <c r="D201" t="str">
        <f>IFERROR(__xludf.DUMMYFUNCTION("""COMPUTED_VALUE"""),"Isaiah Joe")</f>
        <v>Isaiah Joe</v>
      </c>
      <c r="E201">
        <f>IFERROR(__xludf.DUMMYFUNCTION("""COMPUTED_VALUE"""),50.0)</f>
        <v>50</v>
      </c>
      <c r="F201" t="str">
        <f>IFERROR(__xludf.DUMMYFUNCTION("""COMPUTED_VALUE"""),"PF")</f>
        <v>PF</v>
      </c>
      <c r="G201" s="26">
        <f>IFERROR(__xludf.DUMMYFUNCTION("""COMPUTED_VALUE"""),-5.065756071592842)</f>
        <v>-5.065756072</v>
      </c>
      <c r="H201" s="26">
        <f>IFERROR(__xludf.DUMMYFUNCTION("""COMPUTED_VALUE"""),-5.321424520185975)</f>
        <v>-5.32142452</v>
      </c>
      <c r="I201" s="26">
        <f>IFERROR(__xludf.DUMMYFUNCTION("""COMPUTED_VALUE"""),-0.2556684485931324)</f>
        <v>-0.2556684486</v>
      </c>
      <c r="J201" s="26">
        <f>IFERROR(__xludf.DUMMYFUNCTION("""COMPUTED_VALUE"""),9.541917808)</f>
        <v>9.541917808</v>
      </c>
      <c r="K201" s="26">
        <f>IFERROR(__xludf.DUMMYFUNCTION("""COMPUTED_VALUE"""),2.118493151)</f>
        <v>2.118493151</v>
      </c>
      <c r="L201" s="26">
        <f>IFERROR(__xludf.DUMMYFUNCTION("""COMPUTED_VALUE"""),2.855342466)</f>
        <v>2.855342466</v>
      </c>
      <c r="M201" s="26">
        <f>IFERROR(__xludf.DUMMYFUNCTION("""COMPUTED_VALUE"""),1.643150685)</f>
        <v>1.643150685</v>
      </c>
      <c r="N201" s="26">
        <f>IFERROR(__xludf.DUMMYFUNCTION("""COMPUTED_VALUE"""),0.6928767123)</f>
        <v>0.6928767123</v>
      </c>
      <c r="O201" s="26">
        <f>IFERROR(__xludf.DUMMYFUNCTION("""COMPUTED_VALUE"""),0.2864383562)</f>
        <v>0.2864383562</v>
      </c>
      <c r="P201" s="464">
        <f>IFERROR(__xludf.DUMMYFUNCTION("""COMPUTED_VALUE"""),0.4481205772)</f>
        <v>0.4481205772</v>
      </c>
      <c r="Q201" s="464">
        <f>IFERROR(__xludf.DUMMYFUNCTION("""COMPUTED_VALUE"""),0.8739942066)</f>
        <v>0.8739942066</v>
      </c>
      <c r="R201" s="26">
        <f>IFERROR(__xludf.DUMMYFUNCTION("""COMPUTED_VALUE"""),0.7176712329)</f>
        <v>0.7176712329</v>
      </c>
      <c r="S201" s="26">
        <f>IFERROR(__xludf.DUMMYFUNCTION("""COMPUTED_VALUE"""),-1.4324462914424299)</f>
        <v>-1.432446291</v>
      </c>
      <c r="T201" s="26">
        <f>IFERROR(__xludf.DUMMYFUNCTION("""COMPUTED_VALUE"""),0.3668414443028657)</f>
        <v>0.3668414443</v>
      </c>
      <c r="U201" s="26">
        <f>IFERROR(__xludf.DUMMYFUNCTION("""COMPUTED_VALUE"""),-1.2650722050210954)</f>
        <v>-1.265072205</v>
      </c>
      <c r="V201" s="26">
        <f>IFERROR(__xludf.DUMMYFUNCTION("""COMPUTED_VALUE"""),-1.0400599053334978)</f>
        <v>-1.040059905</v>
      </c>
      <c r="W201" s="26">
        <f>IFERROR(__xludf.DUMMYFUNCTION("""COMPUTED_VALUE"""),-0.9366605606837604)</f>
        <v>-0.9366605607</v>
      </c>
      <c r="X201" s="26">
        <f>IFERROR(__xludf.DUMMYFUNCTION("""COMPUTED_VALUE"""),-0.8244525200936728)</f>
        <v>-0.8244525201</v>
      </c>
      <c r="Y201" s="26">
        <f>IFERROR(__xludf.DUMMYFUNCTION("""COMPUTED_VALUE"""),-0.4258612976699984)</f>
        <v>-0.4258612977</v>
      </c>
      <c r="Z201" s="26">
        <f>IFERROR(__xludf.DUMMYFUNCTION("""COMPUTED_VALUE"""),0.23628681575561394)</f>
        <v>0.2362868158</v>
      </c>
      <c r="AA201" s="26">
        <f>IFERROR(__xludf.DUMMYFUNCTION("""COMPUTED_VALUE"""),0.0)</f>
        <v>0</v>
      </c>
      <c r="AB201" t="str">
        <f>IFERROR(__xludf.DUMMYFUNCTION("SUBSTITUTE(REGEXREPLACE(REGEXREPLACE(REGEXREPLACE(REGEXREPLACE(REGEXREPLACE(REGEXREPLACE(F201,"","",),IF(Projections!$T$17="""",""PG"",),),IF(Projections!$U$17="""",""SG"",),),IF(Projections!$V$17="""",""SF"",),),IF(Projections!$W$17="""",""PF"",),),IF(Pr"&amp;"ojections!$X$17="""",""C"",),),""/"","""")"),"PF")</f>
        <v>PF</v>
      </c>
    </row>
    <row r="202">
      <c r="B202">
        <f>IFERROR(__xludf.DUMMYFUNCTION("""COMPUTED_VALUE"""),204.0)</f>
        <v>204</v>
      </c>
      <c r="D202" t="str">
        <f>IFERROR(__xludf.DUMMYFUNCTION("""COMPUTED_VALUE"""),"Kevin Huerter")</f>
        <v>Kevin Huerter</v>
      </c>
      <c r="E202">
        <f>IFERROR(__xludf.DUMMYFUNCTION("""COMPUTED_VALUE"""),60.0)</f>
        <v>60</v>
      </c>
      <c r="F202" t="str">
        <f>IFERROR(__xludf.DUMMYFUNCTION("""COMPUTED_VALUE"""),"PG")</f>
        <v>PG</v>
      </c>
      <c r="G202" s="26">
        <f>IFERROR(__xludf.DUMMYFUNCTION("""COMPUTED_VALUE"""),-5.1051217352037055)</f>
        <v>-5.105121735</v>
      </c>
      <c r="H202" s="26">
        <f>IFERROR(__xludf.DUMMYFUNCTION("""COMPUTED_VALUE"""),-5.325458724338481)</f>
        <v>-5.325458724</v>
      </c>
      <c r="I202" s="26">
        <f>IFERROR(__xludf.DUMMYFUNCTION("""COMPUTED_VALUE"""),-0.2203369891347755)</f>
        <v>-0.2203369891</v>
      </c>
      <c r="J202" s="26">
        <f>IFERROR(__xludf.DUMMYFUNCTION("""COMPUTED_VALUE"""),9.715147059)</f>
        <v>9.715147059</v>
      </c>
      <c r="K202" s="26">
        <f>IFERROR(__xludf.DUMMYFUNCTION("""COMPUTED_VALUE"""),1.897058824)</f>
        <v>1.897058824</v>
      </c>
      <c r="L202" s="26">
        <f>IFERROR(__xludf.DUMMYFUNCTION("""COMPUTED_VALUE"""),3.03)</f>
        <v>3.03</v>
      </c>
      <c r="M202" s="26">
        <f>IFERROR(__xludf.DUMMYFUNCTION("""COMPUTED_VALUE"""),2.171470588)</f>
        <v>2.171470588</v>
      </c>
      <c r="N202" s="26">
        <f>IFERROR(__xludf.DUMMYFUNCTION("""COMPUTED_VALUE"""),0.7547058824)</f>
        <v>0.7547058824</v>
      </c>
      <c r="O202" s="26">
        <f>IFERROR(__xludf.DUMMYFUNCTION("""COMPUTED_VALUE"""),0.3542647059)</f>
        <v>0.3542647059</v>
      </c>
      <c r="P202" s="464">
        <f>IFERROR(__xludf.DUMMYFUNCTION("""COMPUTED_VALUE"""),0.4446801244)</f>
        <v>0.4446801244</v>
      </c>
      <c r="Q202" s="464">
        <f>IFERROR(__xludf.DUMMYFUNCTION("""COMPUTED_VALUE"""),0.7409565916)</f>
        <v>0.7409565916</v>
      </c>
      <c r="R202" s="26">
        <f>IFERROR(__xludf.DUMMYFUNCTION("""COMPUTED_VALUE"""),0.8601470588)</f>
        <v>0.8601470588</v>
      </c>
      <c r="S202" s="26">
        <f>IFERROR(__xludf.DUMMYFUNCTION("""COMPUTED_VALUE"""),-1.4012207421546001)</f>
        <v>-1.401220742</v>
      </c>
      <c r="T202" s="26">
        <f>IFERROR(__xludf.DUMMYFUNCTION("""COMPUTED_VALUE"""),0.14719441582856818)</f>
        <v>0.1471944158</v>
      </c>
      <c r="U202" s="26">
        <f>IFERROR(__xludf.DUMMYFUNCTION("""COMPUTED_VALUE"""),-1.196622695483462)</f>
        <v>-1.196622695</v>
      </c>
      <c r="V202" s="26">
        <f>IFERROR(__xludf.DUMMYFUNCTION("""COMPUTED_VALUE"""),-0.8001295448882876)</f>
        <v>-0.8001295449</v>
      </c>
      <c r="W202" s="26">
        <f>IFERROR(__xludf.DUMMYFUNCTION("""COMPUTED_VALUE"""),-0.732110290012127)</f>
        <v>-0.73211029</v>
      </c>
      <c r="X202" s="26">
        <f>IFERROR(__xludf.DUMMYFUNCTION("""COMPUTED_VALUE"""),-0.7034741990504136)</f>
        <v>-0.7034741991</v>
      </c>
      <c r="Y202" s="26">
        <f>IFERROR(__xludf.DUMMYFUNCTION("""COMPUTED_VALUE"""),-0.5002157807197085)</f>
        <v>-0.5002157807</v>
      </c>
      <c r="Z202" s="26">
        <f>IFERROR(__xludf.DUMMYFUNCTION("""COMPUTED_VALUE"""),-0.13887988785845057)</f>
        <v>-0.1388798879</v>
      </c>
      <c r="AA202" s="26">
        <f>IFERROR(__xludf.DUMMYFUNCTION("""COMPUTED_VALUE"""),0.0)</f>
        <v>0</v>
      </c>
      <c r="AB202" t="str">
        <f>IFERROR(__xludf.DUMMYFUNCTION("SUBSTITUTE(REGEXREPLACE(REGEXREPLACE(REGEXREPLACE(REGEXREPLACE(REGEXREPLACE(REGEXREPLACE(F202,"","",),IF(Projections!$T$17="""",""PG"",),),IF(Projections!$U$17="""",""SG"",),),IF(Projections!$V$17="""",""SF"",),),IF(Projections!$W$17="""",""PF"",),),IF(Pr"&amp;"ojections!$X$17="""",""C"",),),""/"","""")"),"PG")</f>
        <v>PG</v>
      </c>
    </row>
    <row r="203">
      <c r="B203">
        <f>IFERROR(__xludf.DUMMYFUNCTION("""COMPUTED_VALUE"""),193.0)</f>
        <v>193</v>
      </c>
      <c r="C203">
        <f>IFERROR(__xludf.DUMMYFUNCTION("""COMPUTED_VALUE"""),141.5)</f>
        <v>141.5</v>
      </c>
      <c r="D203" t="str">
        <f>IFERROR(__xludf.DUMMYFUNCTION("""COMPUTED_VALUE"""),"Tre Jones")</f>
        <v>Tre Jones</v>
      </c>
      <c r="E203">
        <f>IFERROR(__xludf.DUMMYFUNCTION("""COMPUTED_VALUE"""),78.0)</f>
        <v>78</v>
      </c>
      <c r="F203" t="str">
        <f>IFERROR(__xludf.DUMMYFUNCTION("""COMPUTED_VALUE"""),"SF,PF")</f>
        <v>SF,PF</v>
      </c>
      <c r="G203" s="26">
        <f>IFERROR(__xludf.DUMMYFUNCTION("""COMPUTED_VALUE"""),-5.197567106437892)</f>
        <v>-5.197567106</v>
      </c>
      <c r="H203" s="26">
        <f>IFERROR(__xludf.DUMMYFUNCTION("""COMPUTED_VALUE"""),-5.338779513291699)</f>
        <v>-5.338779513</v>
      </c>
      <c r="I203" s="26">
        <f>IFERROR(__xludf.DUMMYFUNCTION("""COMPUTED_VALUE"""),-0.14121240685380698)</f>
        <v>-0.1412124069</v>
      </c>
      <c r="J203" s="26">
        <f>IFERROR(__xludf.DUMMYFUNCTION("""COMPUTED_VALUE"""),7.865584416)</f>
        <v>7.865584416</v>
      </c>
      <c r="K203" s="26">
        <f>IFERROR(__xludf.DUMMYFUNCTION("""COMPUTED_VALUE"""),0.7527272727)</f>
        <v>0.7527272727</v>
      </c>
      <c r="L203" s="26">
        <f>IFERROR(__xludf.DUMMYFUNCTION("""COMPUTED_VALUE"""),3.162467532)</f>
        <v>3.162467532</v>
      </c>
      <c r="M203" s="26">
        <f>IFERROR(__xludf.DUMMYFUNCTION("""COMPUTED_VALUE"""),4.674935065)</f>
        <v>4.674935065</v>
      </c>
      <c r="N203" s="26">
        <f>IFERROR(__xludf.DUMMYFUNCTION("""COMPUTED_VALUE"""),0.7392207792)</f>
        <v>0.7392207792</v>
      </c>
      <c r="O203" s="26">
        <f>IFERROR(__xludf.DUMMYFUNCTION("""COMPUTED_VALUE"""),0.09480519481)</f>
        <v>0.09480519481</v>
      </c>
      <c r="P203" s="464">
        <f>IFERROR(__xludf.DUMMYFUNCTION("""COMPUTED_VALUE"""),0.4952052404)</f>
        <v>0.4952052404</v>
      </c>
      <c r="Q203" s="464">
        <f>IFERROR(__xludf.DUMMYFUNCTION("""COMPUTED_VALUE"""),0.8389373717)</f>
        <v>0.8389373717</v>
      </c>
      <c r="R203" s="26">
        <f>IFERROR(__xludf.DUMMYFUNCTION("""COMPUTED_VALUE"""),1.179220779)</f>
        <v>1.179220779</v>
      </c>
      <c r="S203" s="26">
        <f>IFERROR(__xludf.DUMMYFUNCTION("""COMPUTED_VALUE"""),-1.7346148377621893)</f>
        <v>-1.734614838</v>
      </c>
      <c r="T203" s="26">
        <f>IFERROR(__xludf.DUMMYFUNCTION("""COMPUTED_VALUE"""),-0.9879007080292068)</f>
        <v>-0.987900708</v>
      </c>
      <c r="U203" s="26">
        <f>IFERROR(__xludf.DUMMYFUNCTION("""COMPUTED_VALUE"""),-1.1447077429051162)</f>
        <v>-1.144707743</v>
      </c>
      <c r="V203" s="26">
        <f>IFERROR(__xludf.DUMMYFUNCTION("""COMPUTED_VALUE"""),0.33678983088694187)</f>
        <v>0.3367898309</v>
      </c>
      <c r="W203" s="26">
        <f>IFERROR(__xludf.DUMMYFUNCTION("""COMPUTED_VALUE"""),-0.7833398641082249)</f>
        <v>-0.7833398641</v>
      </c>
      <c r="X203" s="26">
        <f>IFERROR(__xludf.DUMMYFUNCTION("""COMPUTED_VALUE"""),-1.166258591387734)</f>
        <v>-1.166258591</v>
      </c>
      <c r="Y203" s="26">
        <f>IFERROR(__xludf.DUMMYFUNCTION("""COMPUTED_VALUE"""),-0.015017686723647861)</f>
        <v>-0.01501768672</v>
      </c>
      <c r="Z203" s="26">
        <f>IFERROR(__xludf.DUMMYFUNCTION("""COMPUTED_VALUE"""),0.1562700867374788)</f>
        <v>0.1562700867</v>
      </c>
      <c r="AA203" s="26">
        <f>IFERROR(__xludf.DUMMYFUNCTION("""COMPUTED_VALUE"""),0.0)</f>
        <v>0</v>
      </c>
      <c r="AB203" t="str">
        <f>IFERROR(__xludf.DUMMYFUNCTION("SUBSTITUTE(REGEXREPLACE(REGEXREPLACE(REGEXREPLACE(REGEXREPLACE(REGEXREPLACE(REGEXREPLACE(F203,"","",),IF(Projections!$T$17="""",""PG"",),),IF(Projections!$U$17="""",""SG"",),),IF(Projections!$V$17="""",""SF"",),),IF(Projections!$W$17="""",""PF"",),),IF(Pr"&amp;"ojections!$X$17="""",""C"",),),""/"","""")"),"SFPF")</f>
        <v>SFPF</v>
      </c>
    </row>
    <row r="204">
      <c r="B204">
        <f>IFERROR(__xludf.DUMMYFUNCTION("""COMPUTED_VALUE"""),202.0)</f>
        <v>202</v>
      </c>
      <c r="C204">
        <f>IFERROR(__xludf.DUMMYFUNCTION("""COMPUTED_VALUE"""),147.0)</f>
        <v>147</v>
      </c>
      <c r="D204" t="str">
        <f>IFERROR(__xludf.DUMMYFUNCTION("""COMPUTED_VALUE"""),"Patrick Williams")</f>
        <v>Patrick Williams</v>
      </c>
      <c r="E204">
        <f>IFERROR(__xludf.DUMMYFUNCTION("""COMPUTED_VALUE"""),62.0)</f>
        <v>62</v>
      </c>
      <c r="F204" t="str">
        <f>IFERROR(__xludf.DUMMYFUNCTION("""COMPUTED_VALUE"""),"PF,C")</f>
        <v>PF,C</v>
      </c>
      <c r="G204" s="26">
        <f>IFERROR(__xludf.DUMMYFUNCTION("""COMPUTED_VALUE"""),-5.17962515955662)</f>
        <v>-5.17962516</v>
      </c>
      <c r="H204" s="26">
        <f>IFERROR(__xludf.DUMMYFUNCTION("""COMPUTED_VALUE"""),-5.370240760475371)</f>
        <v>-5.37024076</v>
      </c>
      <c r="I204" s="26">
        <f>IFERROR(__xludf.DUMMYFUNCTION("""COMPUTED_VALUE"""),-0.19061560091875052)</f>
        <v>-0.1906156009</v>
      </c>
      <c r="J204" s="26">
        <f>IFERROR(__xludf.DUMMYFUNCTION("""COMPUTED_VALUE"""),9.007580645)</f>
        <v>9.007580645</v>
      </c>
      <c r="K204" s="26">
        <f>IFERROR(__xludf.DUMMYFUNCTION("""COMPUTED_VALUE"""),1.133225806)</f>
        <v>1.133225806</v>
      </c>
      <c r="L204" s="26">
        <f>IFERROR(__xludf.DUMMYFUNCTION("""COMPUTED_VALUE"""),3.724032258)</f>
        <v>3.724032258</v>
      </c>
      <c r="M204" s="26">
        <f>IFERROR(__xludf.DUMMYFUNCTION("""COMPUTED_VALUE"""),1.078064516)</f>
        <v>1.078064516</v>
      </c>
      <c r="N204" s="26">
        <f>IFERROR(__xludf.DUMMYFUNCTION("""COMPUTED_VALUE"""),0.7738709677)</f>
        <v>0.7738709677</v>
      </c>
      <c r="O204" s="26">
        <f>IFERROR(__xludf.DUMMYFUNCTION("""COMPUTED_VALUE"""),0.6917741935)</f>
        <v>0.6917741935</v>
      </c>
      <c r="P204" s="464">
        <f>IFERROR(__xludf.DUMMYFUNCTION("""COMPUTED_VALUE"""),0.4618176899)</f>
        <v>0.4618176899</v>
      </c>
      <c r="Q204" s="464">
        <f>IFERROR(__xludf.DUMMYFUNCTION("""COMPUTED_VALUE"""),0.8049805288)</f>
        <v>0.8049805288</v>
      </c>
      <c r="R204" s="26">
        <f>IFERROR(__xludf.DUMMYFUNCTION("""COMPUTED_VALUE"""),0.98)</f>
        <v>0.98</v>
      </c>
      <c r="S204" s="26">
        <f>IFERROR(__xludf.DUMMYFUNCTION("""COMPUTED_VALUE"""),-1.5287635780626645)</f>
        <v>-1.528763578</v>
      </c>
      <c r="T204" s="26">
        <f>IFERROR(__xludf.DUMMYFUNCTION("""COMPUTED_VALUE"""),-0.6104733537862781)</f>
        <v>-0.6104733538</v>
      </c>
      <c r="U204" s="26">
        <f>IFERROR(__xludf.DUMMYFUNCTION("""COMPUTED_VALUE"""),-0.9246265978894332)</f>
        <v>-0.9246265979</v>
      </c>
      <c r="V204" s="26">
        <f>IFERROR(__xludf.DUMMYFUNCTION("""COMPUTED_VALUE"""),-1.2966872393424782)</f>
        <v>-1.296687239</v>
      </c>
      <c r="W204" s="26">
        <f>IFERROR(__xludf.DUMMYFUNCTION("""COMPUTED_VALUE"""),-0.6687061818990871)</f>
        <v>-0.6687061819</v>
      </c>
      <c r="X204" s="26">
        <f>IFERROR(__xludf.DUMMYFUNCTION("""COMPUTED_VALUE"""),-0.10147613595814724)</f>
        <v>-0.101476136</v>
      </c>
      <c r="Y204" s="26">
        <f>IFERROR(__xludf.DUMMYFUNCTION("""COMPUTED_VALUE"""),-0.29480167332686147)</f>
        <v>-0.2948016733</v>
      </c>
      <c r="Z204" s="26">
        <f>IFERROR(__xludf.DUMMYFUNCTION("""COMPUTED_VALUE"""),0.055293999789579225)</f>
        <v>0.05529399979</v>
      </c>
      <c r="AA204" s="26">
        <f>IFERROR(__xludf.DUMMYFUNCTION("""COMPUTED_VALUE"""),0.0)</f>
        <v>0</v>
      </c>
      <c r="AB204" t="str">
        <f>IFERROR(__xludf.DUMMYFUNCTION("SUBSTITUTE(REGEXREPLACE(REGEXREPLACE(REGEXREPLACE(REGEXREPLACE(REGEXREPLACE(REGEXREPLACE(F204,"","",),IF(Projections!$T$17="""",""PG"",),),IF(Projections!$U$17="""",""SG"",),),IF(Projections!$V$17="""",""SF"",),),IF(Projections!$W$17="""",""PF"",),),IF(Pr"&amp;"ojections!$X$17="""",""C"",),),""/"","""")"),"PFC")</f>
        <v>PFC</v>
      </c>
    </row>
    <row r="205">
      <c r="B205">
        <f>IFERROR(__xludf.DUMMYFUNCTION("""COMPUTED_VALUE"""),192.0)</f>
        <v>192</v>
      </c>
      <c r="C205">
        <f>IFERROR(__xludf.DUMMYFUNCTION("""COMPUTED_VALUE"""),144.3)</f>
        <v>144.3</v>
      </c>
      <c r="D205" t="str">
        <f>IFERROR(__xludf.DUMMYFUNCTION("""COMPUTED_VALUE"""),"Jalen Smith")</f>
        <v>Jalen Smith</v>
      </c>
      <c r="E205">
        <f>IFERROR(__xludf.DUMMYFUNCTION("""COMPUTED_VALUE"""),75.0)</f>
        <v>75</v>
      </c>
      <c r="F205" t="str">
        <f>IFERROR(__xludf.DUMMYFUNCTION("""COMPUTED_VALUE"""),"PG,SG")</f>
        <v>PG,SG</v>
      </c>
      <c r="G205" s="26">
        <f>IFERROR(__xludf.DUMMYFUNCTION("""COMPUTED_VALUE"""),-5.17042112784244)</f>
        <v>-5.170421128</v>
      </c>
      <c r="H205" s="26">
        <f>IFERROR(__xludf.DUMMYFUNCTION("""COMPUTED_VALUE"""),-5.384303287872507)</f>
        <v>-5.384303288</v>
      </c>
      <c r="I205" s="26">
        <f>IFERROR(__xludf.DUMMYFUNCTION("""COMPUTED_VALUE"""),-0.21388216003006733)</f>
        <v>-0.21388216</v>
      </c>
      <c r="J205" s="26">
        <f>IFERROR(__xludf.DUMMYFUNCTION("""COMPUTED_VALUE"""),10.86161765)</f>
        <v>10.86161765</v>
      </c>
      <c r="K205" s="26">
        <f>IFERROR(__xludf.DUMMYFUNCTION("""COMPUTED_VALUE"""),1.010588235)</f>
        <v>1.010588235</v>
      </c>
      <c r="L205" s="26">
        <f>IFERROR(__xludf.DUMMYFUNCTION("""COMPUTED_VALUE"""),6.302647059)</f>
        <v>6.302647059</v>
      </c>
      <c r="M205" s="26">
        <f>IFERROR(__xludf.DUMMYFUNCTION("""COMPUTED_VALUE"""),0.9432352941)</f>
        <v>0.9432352941</v>
      </c>
      <c r="N205" s="26">
        <f>IFERROR(__xludf.DUMMYFUNCTION("""COMPUTED_VALUE"""),0.3538235294)</f>
        <v>0.3538235294</v>
      </c>
      <c r="O205" s="26">
        <f>IFERROR(__xludf.DUMMYFUNCTION("""COMPUTED_VALUE"""),0.8145588235)</f>
        <v>0.8145588235</v>
      </c>
      <c r="P205" s="464">
        <f>IFERROR(__xludf.DUMMYFUNCTION("""COMPUTED_VALUE"""),0.5243456864)</f>
        <v>0.5243456864</v>
      </c>
      <c r="Q205" s="464">
        <f>IFERROR(__xludf.DUMMYFUNCTION("""COMPUTED_VALUE"""),0.73)</f>
        <v>0.73</v>
      </c>
      <c r="R205" s="26">
        <f>IFERROR(__xludf.DUMMYFUNCTION("""COMPUTED_VALUE"""),0.8861764706)</f>
        <v>0.8861764706</v>
      </c>
      <c r="S205" s="26">
        <f>IFERROR(__xludf.DUMMYFUNCTION("""COMPUTED_VALUE"""),-1.1945629534748017)</f>
        <v>-1.194562953</v>
      </c>
      <c r="T205" s="26">
        <f>IFERROR(__xludf.DUMMYFUNCTION("""COMPUTED_VALUE"""),-0.732121060419657)</f>
        <v>-0.7321210604</v>
      </c>
      <c r="U205" s="26">
        <f>IFERROR(__xludf.DUMMYFUNCTION("""COMPUTED_VALUE"""),0.08595058348158471)</f>
        <v>0.08595058348</v>
      </c>
      <c r="V205" s="26">
        <f>IFERROR(__xludf.DUMMYFUNCTION("""COMPUTED_VALUE"""),-1.3579183677276117)</f>
        <v>-1.357918368</v>
      </c>
      <c r="W205" s="26">
        <f>IFERROR(__xludf.DUMMYFUNCTION("""COMPUTED_VALUE"""),-2.0583547419594335)</f>
        <v>-2.058354742</v>
      </c>
      <c r="X205" s="26">
        <f>IFERROR(__xludf.DUMMYFUNCTION("""COMPUTED_VALUE"""),0.1175284021456893)</f>
        <v>0.1175284021</v>
      </c>
      <c r="Y205" s="26">
        <f>IFERROR(__xludf.DUMMYFUNCTION("""COMPUTED_VALUE"""),0.2486599523619967)</f>
        <v>0.2486599524</v>
      </c>
      <c r="Z205" s="26">
        <f>IFERROR(__xludf.DUMMYFUNCTION("""COMPUTED_VALUE"""),-0.4934851022802739)</f>
        <v>-0.4934851023</v>
      </c>
      <c r="AA205" s="26">
        <f>IFERROR(__xludf.DUMMYFUNCTION("""COMPUTED_VALUE"""),0.0)</f>
        <v>0</v>
      </c>
      <c r="AB205" t="str">
        <f>IFERROR(__xludf.DUMMYFUNCTION("SUBSTITUTE(REGEXREPLACE(REGEXREPLACE(REGEXREPLACE(REGEXREPLACE(REGEXREPLACE(REGEXREPLACE(F205,"","",),IF(Projections!$T$17="""",""PG"",),),IF(Projections!$U$17="""",""SG"",),),IF(Projections!$V$17="""",""SF"",),),IF(Projections!$W$17="""",""PF"",),),IF(Pr"&amp;"ojections!$X$17="""",""C"",),),""/"","""")"),"PGSG")</f>
        <v>PGSG</v>
      </c>
    </row>
    <row r="206">
      <c r="B206">
        <f>IFERROR(__xludf.DUMMYFUNCTION("""COMPUTED_VALUE"""),197.0)</f>
        <v>197</v>
      </c>
      <c r="C206">
        <f>IFERROR(__xludf.DUMMYFUNCTION("""COMPUTED_VALUE"""),143.9)</f>
        <v>143.9</v>
      </c>
      <c r="D206" t="str">
        <f>IFERROR(__xludf.DUMMYFUNCTION("""COMPUTED_VALUE"""),"Precious Achiuwa")</f>
        <v>Precious Achiuwa</v>
      </c>
      <c r="E206">
        <f>IFERROR(__xludf.DUMMYFUNCTION("""COMPUTED_VALUE"""),68.0)</f>
        <v>68</v>
      </c>
      <c r="F206" t="str">
        <f>IFERROR(__xludf.DUMMYFUNCTION("""COMPUTED_VALUE"""),"PG")</f>
        <v>PG</v>
      </c>
      <c r="G206" s="26">
        <f>IFERROR(__xludf.DUMMYFUNCTION("""COMPUTED_VALUE"""),-5.301046625251226)</f>
        <v>-5.301046625</v>
      </c>
      <c r="H206" s="26">
        <f>IFERROR(__xludf.DUMMYFUNCTION("""COMPUTED_VALUE"""),-5.4613268773867745)</f>
        <v>-5.461326877</v>
      </c>
      <c r="I206" s="26">
        <f>IFERROR(__xludf.DUMMYFUNCTION("""COMPUTED_VALUE"""),-0.1602802521355482)</f>
        <v>-0.1602802521</v>
      </c>
      <c r="J206" s="26">
        <f>IFERROR(__xludf.DUMMYFUNCTION("""COMPUTED_VALUE"""),7.831643836)</f>
        <v>7.831643836</v>
      </c>
      <c r="K206" s="26">
        <f>IFERROR(__xludf.DUMMYFUNCTION("""COMPUTED_VALUE"""),0.2912328767)</f>
        <v>0.2912328767</v>
      </c>
      <c r="L206" s="26">
        <f>IFERROR(__xludf.DUMMYFUNCTION("""COMPUTED_VALUE"""),7.083972603)</f>
        <v>7.083972603</v>
      </c>
      <c r="M206" s="26">
        <f>IFERROR(__xludf.DUMMYFUNCTION("""COMPUTED_VALUE"""),1.012054795)</f>
        <v>1.012054795</v>
      </c>
      <c r="N206" s="26">
        <f>IFERROR(__xludf.DUMMYFUNCTION("""COMPUTED_VALUE"""),0.5997260274)</f>
        <v>0.5997260274</v>
      </c>
      <c r="O206" s="26">
        <f>IFERROR(__xludf.DUMMYFUNCTION("""COMPUTED_VALUE"""),1.012054795)</f>
        <v>1.012054795</v>
      </c>
      <c r="P206" s="464">
        <f>IFERROR(__xludf.DUMMYFUNCTION("""COMPUTED_VALUE"""),0.518197982)</f>
        <v>0.518197982</v>
      </c>
      <c r="Q206" s="464">
        <f>IFERROR(__xludf.DUMMYFUNCTION("""COMPUTED_VALUE"""),0.6490408024)</f>
        <v>0.6490408024</v>
      </c>
      <c r="R206" s="26">
        <f>IFERROR(__xludf.DUMMYFUNCTION("""COMPUTED_VALUE"""),1.102328767)</f>
        <v>1.102328767</v>
      </c>
      <c r="S206" s="26">
        <f>IFERROR(__xludf.DUMMYFUNCTION("""COMPUTED_VALUE"""),-1.7407328186893685)</f>
        <v>-1.740732819</v>
      </c>
      <c r="T206" s="26">
        <f>IFERROR(__xludf.DUMMYFUNCTION("""COMPUTED_VALUE"""),-1.4456701700283876)</f>
        <v>-1.44567017</v>
      </c>
      <c r="U206" s="26">
        <f>IFERROR(__xludf.DUMMYFUNCTION("""COMPUTED_VALUE"""),0.3921575305922934)</f>
        <v>0.3921575306</v>
      </c>
      <c r="V206" s="26">
        <f>IFERROR(__xludf.DUMMYFUNCTION("""COMPUTED_VALUE"""),-1.3266647890476568)</f>
        <v>-1.326664789</v>
      </c>
      <c r="W206" s="26">
        <f>IFERROR(__xludf.DUMMYFUNCTION("""COMPUTED_VALUE"""),-1.2448322178275626)</f>
        <v>-1.244832218</v>
      </c>
      <c r="X206" s="26">
        <f>IFERROR(__xludf.DUMMYFUNCTION("""COMPUTED_VALUE"""),0.4697916619341987)</f>
        <v>0.4697916619</v>
      </c>
      <c r="Y206" s="26">
        <f>IFERROR(__xludf.DUMMYFUNCTION("""COMPUTED_VALUE"""),0.15583629271317373)</f>
        <v>0.1558362927</v>
      </c>
      <c r="Z206" s="26">
        <f>IFERROR(__xludf.DUMMYFUNCTION("""COMPUTED_VALUE"""),-0.7212123670334641)</f>
        <v>-0.721212367</v>
      </c>
      <c r="AA206" s="26">
        <f>IFERROR(__xludf.DUMMYFUNCTION("""COMPUTED_VALUE"""),0.0)</f>
        <v>0</v>
      </c>
      <c r="AB206" t="str">
        <f>IFERROR(__xludf.DUMMYFUNCTION("SUBSTITUTE(REGEXREPLACE(REGEXREPLACE(REGEXREPLACE(REGEXREPLACE(REGEXREPLACE(REGEXREPLACE(F206,"","",),IF(Projections!$T$17="""",""PG"",),),IF(Projections!$U$17="""",""SG"",),),IF(Projections!$V$17="""",""SF"",),),IF(Projections!$W$17="""",""PF"",),),IF(Pr"&amp;"ojections!$X$17="""",""C"",),),""/"","""")"),"PG")</f>
        <v>PG</v>
      </c>
    </row>
    <row r="207">
      <c r="B207">
        <f>IFERROR(__xludf.DUMMYFUNCTION("""COMPUTED_VALUE"""),207.0)</f>
        <v>207</v>
      </c>
      <c r="C207">
        <f>IFERROR(__xludf.DUMMYFUNCTION("""COMPUTED_VALUE"""),142.3)</f>
        <v>142.3</v>
      </c>
      <c r="D207" t="str">
        <f>IFERROR(__xludf.DUMMYFUNCTION("""COMPUTED_VALUE"""),"Simone Fontecchio")</f>
        <v>Simone Fontecchio</v>
      </c>
      <c r="E207">
        <f>IFERROR(__xludf.DUMMYFUNCTION("""COMPUTED_VALUE"""),68.0)</f>
        <v>68</v>
      </c>
      <c r="F207" t="str">
        <f>IFERROR(__xludf.DUMMYFUNCTION("""COMPUTED_VALUE"""),"SG,SF")</f>
        <v>SG,SF</v>
      </c>
      <c r="G207" s="26">
        <f>IFERROR(__xludf.DUMMYFUNCTION("""COMPUTED_VALUE"""),-5.339129068651419)</f>
        <v>-5.339129069</v>
      </c>
      <c r="H207" s="26">
        <f>IFERROR(__xludf.DUMMYFUNCTION("""COMPUTED_VALUE"""),-5.519106595315084)</f>
        <v>-5.519106595</v>
      </c>
      <c r="I207" s="26">
        <f>IFERROR(__xludf.DUMMYFUNCTION("""COMPUTED_VALUE"""),-0.17997752666366562)</f>
        <v>-0.1799775267</v>
      </c>
      <c r="J207" s="26">
        <f>IFERROR(__xludf.DUMMYFUNCTION("""COMPUTED_VALUE"""),10.11057971)</f>
        <v>10.11057971</v>
      </c>
      <c r="K207" s="26">
        <f>IFERROR(__xludf.DUMMYFUNCTION("""COMPUTED_VALUE"""),1.834347826)</f>
        <v>1.834347826</v>
      </c>
      <c r="L207" s="26">
        <f>IFERROR(__xludf.DUMMYFUNCTION("""COMPUTED_VALUE"""),3.700144928)</f>
        <v>3.700144928</v>
      </c>
      <c r="M207" s="26">
        <f>IFERROR(__xludf.DUMMYFUNCTION("""COMPUTED_VALUE"""),1.527826087)</f>
        <v>1.527826087</v>
      </c>
      <c r="N207" s="26">
        <f>IFERROR(__xludf.DUMMYFUNCTION("""COMPUTED_VALUE"""),0.6389855072)</f>
        <v>0.6389855072</v>
      </c>
      <c r="O207" s="26">
        <f>IFERROR(__xludf.DUMMYFUNCTION("""COMPUTED_VALUE"""),0.2694202899)</f>
        <v>0.2694202899</v>
      </c>
      <c r="P207" s="464">
        <f>IFERROR(__xludf.DUMMYFUNCTION("""COMPUTED_VALUE"""),0.4488975818)</f>
        <v>0.4488975818</v>
      </c>
      <c r="Q207" s="464">
        <f>IFERROR(__xludf.DUMMYFUNCTION("""COMPUTED_VALUE"""),0.83997968)</f>
        <v>0.83997968</v>
      </c>
      <c r="R207" s="26">
        <f>IFERROR(__xludf.DUMMYFUNCTION("""COMPUTED_VALUE"""),1.022898551)</f>
        <v>1.022898551</v>
      </c>
      <c r="S207" s="26">
        <f>IFERROR(__xludf.DUMMYFUNCTION("""COMPUTED_VALUE"""),-1.3299417770690924)</f>
        <v>-1.329941777</v>
      </c>
      <c r="T207" s="26">
        <f>IFERROR(__xludf.DUMMYFUNCTION("""COMPUTED_VALUE"""),0.08498958720072126)</f>
        <v>0.0849895872</v>
      </c>
      <c r="U207" s="26">
        <f>IFERROR(__xludf.DUMMYFUNCTION("""COMPUTED_VALUE"""),-0.933988209640253)</f>
        <v>-0.9339882096</v>
      </c>
      <c r="V207" s="26">
        <f>IFERROR(__xludf.DUMMYFUNCTION("""COMPUTED_VALUE"""),-1.0924332348431736)</f>
        <v>-1.092433235</v>
      </c>
      <c r="W207" s="26">
        <f>IFERROR(__xludf.DUMMYFUNCTION("""COMPUTED_VALUE"""),-1.1149495555416342)</f>
        <v>-1.114949556</v>
      </c>
      <c r="X207" s="26">
        <f>IFERROR(__xludf.DUMMYFUNCTION("""COMPUTED_VALUE"""),-0.8548067570160952)</f>
        <v>-0.854806757</v>
      </c>
      <c r="Y207" s="26">
        <f>IFERROR(__xludf.DUMMYFUNCTION("""COMPUTED_VALUE"""),-0.4583787789976478)</f>
        <v>-0.458378779</v>
      </c>
      <c r="Z207" s="26">
        <f>IFERROR(__xludf.DUMMYFUNCTION("""COMPUTED_VALUE"""),0.1804021305920896)</f>
        <v>0.1804021306</v>
      </c>
      <c r="AA207" s="26">
        <f>IFERROR(__xludf.DUMMYFUNCTION("""COMPUTED_VALUE"""),0.0)</f>
        <v>0</v>
      </c>
      <c r="AB207" t="str">
        <f>IFERROR(__xludf.DUMMYFUNCTION("SUBSTITUTE(REGEXREPLACE(REGEXREPLACE(REGEXREPLACE(REGEXREPLACE(REGEXREPLACE(REGEXREPLACE(F207,"","",),IF(Projections!$T$17="""",""PG"",),),IF(Projections!$U$17="""",""SG"",),),IF(Projections!$V$17="""",""SF"",),),IF(Projections!$W$17="""",""PF"",),),IF(Pr"&amp;"ojections!$X$17="""",""C"",),),""/"","""")"),"SGSF")</f>
        <v>SGSF</v>
      </c>
    </row>
    <row r="208">
      <c r="B208">
        <f>IFERROR(__xludf.DUMMYFUNCTION("""COMPUTED_VALUE"""),208.0)</f>
        <v>208</v>
      </c>
      <c r="D208" t="str">
        <f>IFERROR(__xludf.DUMMYFUNCTION("""COMPUTED_VALUE"""),"Cason Wallace")</f>
        <v>Cason Wallace</v>
      </c>
      <c r="E208">
        <f>IFERROR(__xludf.DUMMYFUNCTION("""COMPUTED_VALUE"""),60.0)</f>
        <v>60</v>
      </c>
      <c r="F208" t="str">
        <f>IFERROR(__xludf.DUMMYFUNCTION("""COMPUTED_VALUE"""),"SF,PF")</f>
        <v>SF,PF</v>
      </c>
      <c r="G208" s="26">
        <f>IFERROR(__xludf.DUMMYFUNCTION("""COMPUTED_VALUE"""),-5.274218292745289)</f>
        <v>-5.274218293</v>
      </c>
      <c r="H208" s="26">
        <f>IFERROR(__xludf.DUMMYFUNCTION("""COMPUTED_VALUE"""),-5.532536413461554)</f>
        <v>-5.532536413</v>
      </c>
      <c r="I208" s="26">
        <f>IFERROR(__xludf.DUMMYFUNCTION("""COMPUTED_VALUE"""),-0.2583181207162655)</f>
        <v>-0.2583181207</v>
      </c>
      <c r="J208" s="26">
        <f>IFERROR(__xludf.DUMMYFUNCTION("""COMPUTED_VALUE"""),6.747260274)</f>
        <v>6.747260274</v>
      </c>
      <c r="K208" s="26">
        <f>IFERROR(__xludf.DUMMYFUNCTION("""COMPUTED_VALUE"""),1.130547945)</f>
        <v>1.130547945</v>
      </c>
      <c r="L208" s="26">
        <f>IFERROR(__xludf.DUMMYFUNCTION("""COMPUTED_VALUE"""),2.386164384)</f>
        <v>2.386164384</v>
      </c>
      <c r="M208" s="26">
        <f>IFERROR(__xludf.DUMMYFUNCTION("""COMPUTED_VALUE"""),1.944246575)</f>
        <v>1.944246575</v>
      </c>
      <c r="N208" s="26">
        <f>IFERROR(__xludf.DUMMYFUNCTION("""COMPUTED_VALUE"""),1.060547945)</f>
        <v>1.060547945</v>
      </c>
      <c r="O208" s="26">
        <f>IFERROR(__xludf.DUMMYFUNCTION("""COMPUTED_VALUE"""),0.3976712329)</f>
        <v>0.3976712329</v>
      </c>
      <c r="P208" s="464">
        <f>IFERROR(__xludf.DUMMYFUNCTION("""COMPUTED_VALUE"""),0.4621243561)</f>
        <v>0.4621243561</v>
      </c>
      <c r="Q208" s="464">
        <f>IFERROR(__xludf.DUMMYFUNCTION("""COMPUTED_VALUE"""),0.7669026117)</f>
        <v>0.7669026117</v>
      </c>
      <c r="R208" s="26">
        <f>IFERROR(__xludf.DUMMYFUNCTION("""COMPUTED_VALUE"""),0.7069863014)</f>
        <v>0.7069863014</v>
      </c>
      <c r="S208" s="26">
        <f>IFERROR(__xludf.DUMMYFUNCTION("""COMPUTED_VALUE"""),-1.9361990702991692)</f>
        <v>-1.93619907</v>
      </c>
      <c r="T208" s="26">
        <f>IFERROR(__xludf.DUMMYFUNCTION("""COMPUTED_VALUE"""),-0.6131296005357588)</f>
        <v>-0.6131296005</v>
      </c>
      <c r="U208" s="26">
        <f>IFERROR(__xludf.DUMMYFUNCTION("""COMPUTED_VALUE"""),-1.448946377885048)</f>
        <v>-1.448946378</v>
      </c>
      <c r="V208" s="26">
        <f>IFERROR(__xludf.DUMMYFUNCTION("""COMPUTED_VALUE"""),-0.9033206967478403)</f>
        <v>-0.9033206967</v>
      </c>
      <c r="W208" s="26">
        <f>IFERROR(__xludf.DUMMYFUNCTION("""COMPUTED_VALUE"""),0.27971109763416463)</f>
        <v>0.2797110976</v>
      </c>
      <c r="X208" s="26">
        <f>IFERROR(__xludf.DUMMYFUNCTION("""COMPUTED_VALUE"""),-0.6260522416252317)</f>
        <v>-0.6260522416</v>
      </c>
      <c r="Y208" s="26">
        <f>IFERROR(__xludf.DUMMYFUNCTION("""COMPUTED_VALUE"""),-0.22924084358722666)</f>
        <v>-0.2292408436</v>
      </c>
      <c r="Z208" s="26">
        <f>IFERROR(__xludf.DUMMYFUNCTION("""COMPUTED_VALUE"""),-0.0553586804154437)</f>
        <v>-0.05535868042</v>
      </c>
      <c r="AA208" s="26">
        <f>IFERROR(__xludf.DUMMYFUNCTION("""COMPUTED_VALUE"""),0.0)</f>
        <v>0</v>
      </c>
      <c r="AB208" t="str">
        <f>IFERROR(__xludf.DUMMYFUNCTION("SUBSTITUTE(REGEXREPLACE(REGEXREPLACE(REGEXREPLACE(REGEXREPLACE(REGEXREPLACE(REGEXREPLACE(F208,"","",),IF(Projections!$T$17="""",""PG"",),),IF(Projections!$U$17="""",""SG"",),),IF(Projections!$V$17="""",""SF"",),),IF(Projections!$W$17="""",""PF"",),),IF(Pr"&amp;"ojections!$X$17="""",""C"",),),""/"","""")"),"SFPF")</f>
        <v>SFPF</v>
      </c>
    </row>
    <row r="209">
      <c r="B209">
        <f>IFERROR(__xludf.DUMMYFUNCTION("""COMPUTED_VALUE"""),189.0)</f>
        <v>189</v>
      </c>
      <c r="D209" t="str">
        <f>IFERROR(__xludf.DUMMYFUNCTION("""COMPUTED_VALUE"""),"Luke Kornet")</f>
        <v>Luke Kornet</v>
      </c>
      <c r="E209">
        <f>IFERROR(__xludf.DUMMYFUNCTION("""COMPUTED_VALUE"""),66.0)</f>
        <v>66</v>
      </c>
      <c r="F209" t="str">
        <f>IFERROR(__xludf.DUMMYFUNCTION("""COMPUTED_VALUE"""),"PG,SG")</f>
        <v>PG,SG</v>
      </c>
      <c r="G209" s="26">
        <f>IFERROR(__xludf.DUMMYFUNCTION("""COMPUTED_VALUE"""),-5.2206675578865696)</f>
        <v>-5.220667558</v>
      </c>
      <c r="H209" s="26">
        <f>IFERROR(__xludf.DUMMYFUNCTION("""COMPUTED_VALUE"""),-5.549897878535135)</f>
        <v>-5.549897879</v>
      </c>
      <c r="I209" s="26">
        <f>IFERROR(__xludf.DUMMYFUNCTION("""COMPUTED_VALUE"""),-0.3292303206485654)</f>
        <v>-0.3292303206</v>
      </c>
      <c r="J209" s="26">
        <f>IFERROR(__xludf.DUMMYFUNCTION("""COMPUTED_VALUE"""),6.690735294)</f>
        <v>6.690735294</v>
      </c>
      <c r="K209" s="26">
        <f>IFERROR(__xludf.DUMMYFUNCTION("""COMPUTED_VALUE"""),0.02191176471)</f>
        <v>0.02191176471</v>
      </c>
      <c r="L209" s="26">
        <f>IFERROR(__xludf.DUMMYFUNCTION("""COMPUTED_VALUE"""),4.732647059)</f>
        <v>4.732647059</v>
      </c>
      <c r="M209" s="26">
        <f>IFERROR(__xludf.DUMMYFUNCTION("""COMPUTED_VALUE"""),1.377647059)</f>
        <v>1.377647059</v>
      </c>
      <c r="N209" s="26">
        <f>IFERROR(__xludf.DUMMYFUNCTION("""COMPUTED_VALUE"""),0.4267647059)</f>
        <v>0.4267647059</v>
      </c>
      <c r="O209" s="26">
        <f>IFERROR(__xludf.DUMMYFUNCTION("""COMPUTED_VALUE"""),1.047352941)</f>
        <v>1.047352941</v>
      </c>
      <c r="P209" s="464">
        <f>IFERROR(__xludf.DUMMYFUNCTION("""COMPUTED_VALUE"""),0.6737864735)</f>
        <v>0.6737864735</v>
      </c>
      <c r="Q209" s="464">
        <f>IFERROR(__xludf.DUMMYFUNCTION("""COMPUTED_VALUE"""),0.852)</f>
        <v>0.852</v>
      </c>
      <c r="R209" s="26">
        <f>IFERROR(__xludf.DUMMYFUNCTION("""COMPUTED_VALUE"""),0.4210294118)</f>
        <v>0.4210294118</v>
      </c>
      <c r="S209" s="26">
        <f>IFERROR(__xludf.DUMMYFUNCTION("""COMPUTED_VALUE"""),-1.9463880166739569)</f>
        <v>-1.946388017</v>
      </c>
      <c r="T209" s="26">
        <f>IFERROR(__xludf.DUMMYFUNCTION("""COMPUTED_VALUE"""),-1.7128174671771128)</f>
        <v>-1.712817467</v>
      </c>
      <c r="U209" s="26">
        <f>IFERROR(__xludf.DUMMYFUNCTION("""COMPUTED_VALUE"""),-0.5293434007681002)</f>
        <v>-0.5293434008</v>
      </c>
      <c r="V209" s="26">
        <f>IFERROR(__xludf.DUMMYFUNCTION("""COMPUTED_VALUE"""),-1.1606352997563922)</f>
        <v>-1.1606353</v>
      </c>
      <c r="W209" s="26">
        <f>IFERROR(__xludf.DUMMYFUNCTION("""COMPUTED_VALUE"""),-1.8170424718440303)</f>
        <v>-1.817042472</v>
      </c>
      <c r="X209" s="26">
        <f>IFERROR(__xludf.DUMMYFUNCTION("""COMPUTED_VALUE"""),0.5327511232336445)</f>
        <v>0.5327511232</v>
      </c>
      <c r="Y209" s="26">
        <f>IFERROR(__xludf.DUMMYFUNCTION("""COMPUTED_VALUE"""),0.8921002313187272)</f>
        <v>0.8921002313</v>
      </c>
      <c r="Z209" s="26">
        <f>IFERROR(__xludf.DUMMYFUNCTION("""COMPUTED_VALUE"""),0.1914774231320858)</f>
        <v>0.1914774231</v>
      </c>
      <c r="AA209" s="26">
        <f>IFERROR(__xludf.DUMMYFUNCTION("""COMPUTED_VALUE"""),0.0)</f>
        <v>0</v>
      </c>
      <c r="AB209" t="str">
        <f>IFERROR(__xludf.DUMMYFUNCTION("SUBSTITUTE(REGEXREPLACE(REGEXREPLACE(REGEXREPLACE(REGEXREPLACE(REGEXREPLACE(REGEXREPLACE(F209,"","",),IF(Projections!$T$17="""",""PG"",),),IF(Projections!$U$17="""",""SG"",),),IF(Projections!$V$17="""",""SF"",),),IF(Projections!$W$17="""",""PF"",),),IF(Pr"&amp;"ojections!$X$17="""",""C"",),),""/"","""")"),"PGSG")</f>
        <v>PGSG</v>
      </c>
    </row>
    <row r="210">
      <c r="B210">
        <f>IFERROR(__xludf.DUMMYFUNCTION("""COMPUTED_VALUE"""),209.0)</f>
        <v>209</v>
      </c>
      <c r="C210">
        <f>IFERROR(__xludf.DUMMYFUNCTION("""COMPUTED_VALUE"""),142.5)</f>
        <v>142.5</v>
      </c>
      <c r="D210" t="str">
        <f>IFERROR(__xludf.DUMMYFUNCTION("""COMPUTED_VALUE"""),"Christian Braun")</f>
        <v>Christian Braun</v>
      </c>
      <c r="E210">
        <f>IFERROR(__xludf.DUMMYFUNCTION("""COMPUTED_VALUE"""),68.0)</f>
        <v>68</v>
      </c>
      <c r="F210" t="str">
        <f>IFERROR(__xludf.DUMMYFUNCTION("""COMPUTED_VALUE"""),"PF")</f>
        <v>PF</v>
      </c>
      <c r="G210" s="26">
        <f>IFERROR(__xludf.DUMMYFUNCTION("""COMPUTED_VALUE"""),-5.346154180839148)</f>
        <v>-5.346154181</v>
      </c>
      <c r="H210" s="26">
        <f>IFERROR(__xludf.DUMMYFUNCTION("""COMPUTED_VALUE"""),-5.5605052146528005)</f>
        <v>-5.560505215</v>
      </c>
      <c r="I210" s="26">
        <f>IFERROR(__xludf.DUMMYFUNCTION("""COMPUTED_VALUE"""),-0.21435103381365206)</f>
        <v>-0.2143510338</v>
      </c>
      <c r="J210" s="26">
        <f>IFERROR(__xludf.DUMMYFUNCTION("""COMPUTED_VALUE"""),8.766883117)</f>
        <v>8.766883117</v>
      </c>
      <c r="K210" s="26">
        <f>IFERROR(__xludf.DUMMYFUNCTION("""COMPUTED_VALUE"""),1.088831169)</f>
        <v>1.088831169</v>
      </c>
      <c r="L210" s="26">
        <f>IFERROR(__xludf.DUMMYFUNCTION("""COMPUTED_VALUE"""),4.23038961)</f>
        <v>4.23038961</v>
      </c>
      <c r="M210" s="26">
        <f>IFERROR(__xludf.DUMMYFUNCTION("""COMPUTED_VALUE"""),1.829350649)</f>
        <v>1.829350649</v>
      </c>
      <c r="N210" s="26">
        <f>IFERROR(__xludf.DUMMYFUNCTION("""COMPUTED_VALUE"""),0.8515584416)</f>
        <v>0.8515584416</v>
      </c>
      <c r="O210" s="26">
        <f>IFERROR(__xludf.DUMMYFUNCTION("""COMPUTED_VALUE"""),0.5493506494)</f>
        <v>0.5493506494</v>
      </c>
      <c r="P210" s="464">
        <f>IFERROR(__xludf.DUMMYFUNCTION("""COMPUTED_VALUE"""),0.4662510904)</f>
        <v>0.4662510904</v>
      </c>
      <c r="Q210" s="464">
        <f>IFERROR(__xludf.DUMMYFUNCTION("""COMPUTED_VALUE"""),0.6759844223)</f>
        <v>0.6759844223</v>
      </c>
      <c r="R210" s="26">
        <f>IFERROR(__xludf.DUMMYFUNCTION("""COMPUTED_VALUE"""),0.8842857143)</f>
        <v>0.8842857143</v>
      </c>
      <c r="S210" s="26">
        <f>IFERROR(__xludf.DUMMYFUNCTION("""COMPUTED_VALUE"""),-1.5721506647159615)</f>
        <v>-1.572150665</v>
      </c>
      <c r="T210" s="26">
        <f>IFERROR(__xludf.DUMMYFUNCTION("""COMPUTED_VALUE"""),-0.6545096612068754)</f>
        <v>-0.6545096612</v>
      </c>
      <c r="U210" s="26">
        <f>IFERROR(__xludf.DUMMYFUNCTION("""COMPUTED_VALUE"""),-0.7261816089937645)</f>
        <v>-0.726181609</v>
      </c>
      <c r="V210" s="26">
        <f>IFERROR(__xludf.DUMMYFUNCTION("""COMPUTED_VALUE"""),-0.9554993498372473)</f>
        <v>-0.9554993498</v>
      </c>
      <c r="W210" s="26">
        <f>IFERROR(__xludf.DUMMYFUNCTION("""COMPUTED_VALUE"""),-0.4116916725932205)</f>
        <v>-0.4116916726</v>
      </c>
      <c r="X210" s="26">
        <f>IFERROR(__xludf.DUMMYFUNCTION("""COMPUTED_VALUE"""),-0.3555095804595633)</f>
        <v>-0.3555095805</v>
      </c>
      <c r="Y210" s="26">
        <f>IFERROR(__xludf.DUMMYFUNCTION("""COMPUTED_VALUE"""),-0.25763281108998703)</f>
        <v>-0.2576328111</v>
      </c>
      <c r="Z210" s="26">
        <f>IFERROR(__xludf.DUMMYFUNCTION("""COMPUTED_VALUE"""),-0.6273298657561807)</f>
        <v>-0.6273298658</v>
      </c>
      <c r="AA210" s="26">
        <f>IFERROR(__xludf.DUMMYFUNCTION("""COMPUTED_VALUE"""),0.0)</f>
        <v>0</v>
      </c>
      <c r="AB210" t="str">
        <f>IFERROR(__xludf.DUMMYFUNCTION("SUBSTITUTE(REGEXREPLACE(REGEXREPLACE(REGEXREPLACE(REGEXREPLACE(REGEXREPLACE(REGEXREPLACE(F210,"","",),IF(Projections!$T$17="""",""PG"",),),IF(Projections!$U$17="""",""SG"",),),IF(Projections!$V$17="""",""SF"",),),IF(Projections!$W$17="""",""PF"",),),IF(Pr"&amp;"ojections!$X$17="""",""C"",),),""/"","""")"),"PF")</f>
        <v>PF</v>
      </c>
    </row>
    <row r="211">
      <c r="B211">
        <f>IFERROR(__xludf.DUMMYFUNCTION("""COMPUTED_VALUE"""),200.0)</f>
        <v>200</v>
      </c>
      <c r="C211">
        <f>IFERROR(__xludf.DUMMYFUNCTION("""COMPUTED_VALUE"""),143.3)</f>
        <v>143.3</v>
      </c>
      <c r="D211" t="str">
        <f>IFERROR(__xludf.DUMMYFUNCTION("""COMPUTED_VALUE"""),"Donovan Clingan")</f>
        <v>Donovan Clingan</v>
      </c>
      <c r="E211">
        <f>IFERROR(__xludf.DUMMYFUNCTION("""COMPUTED_VALUE"""),46.0)</f>
        <v>46</v>
      </c>
      <c r="F211" t="str">
        <f>IFERROR(__xludf.DUMMYFUNCTION("""COMPUTED_VALUE"""),"PG,SG")</f>
        <v>PG,SG</v>
      </c>
      <c r="G211" s="26">
        <f>IFERROR(__xludf.DUMMYFUNCTION("""COMPUTED_VALUE"""),-5.437727100815008)</f>
        <v>-5.437727101</v>
      </c>
      <c r="H211" s="26">
        <f>IFERROR(__xludf.DUMMYFUNCTION("""COMPUTED_VALUE"""),-5.595156857331239)</f>
        <v>-5.595156857</v>
      </c>
      <c r="I211" s="26">
        <f>IFERROR(__xludf.DUMMYFUNCTION("""COMPUTED_VALUE"""),-0.15742975651623148)</f>
        <v>-0.1574297565</v>
      </c>
      <c r="J211" s="26">
        <f>IFERROR(__xludf.DUMMYFUNCTION("""COMPUTED_VALUE"""),7.622205882)</f>
        <v>7.622205882</v>
      </c>
      <c r="K211" s="26">
        <f>IFERROR(__xludf.DUMMYFUNCTION("""COMPUTED_VALUE"""),0.09955882353)</f>
        <v>0.09955882353</v>
      </c>
      <c r="L211" s="26">
        <f>IFERROR(__xludf.DUMMYFUNCTION("""COMPUTED_VALUE"""),7.0125)</f>
        <v>7.0125</v>
      </c>
      <c r="M211" s="26">
        <f>IFERROR(__xludf.DUMMYFUNCTION("""COMPUTED_VALUE"""),0.9486764706)</f>
        <v>0.9486764706</v>
      </c>
      <c r="N211" s="26">
        <f>IFERROR(__xludf.DUMMYFUNCTION("""COMPUTED_VALUE"""),0.4125)</f>
        <v>0.4125</v>
      </c>
      <c r="O211" s="26">
        <f>IFERROR(__xludf.DUMMYFUNCTION("""COMPUTED_VALUE"""),1.65)</f>
        <v>1.65</v>
      </c>
      <c r="P211" s="464">
        <f>IFERROR(__xludf.DUMMYFUNCTION("""COMPUTED_VALUE"""),0.5475498694)</f>
        <v>0.5475498694</v>
      </c>
      <c r="Q211" s="464">
        <f>IFERROR(__xludf.DUMMYFUNCTION("""COMPUTED_VALUE"""),0.5699556842)</f>
        <v>0.5699556842</v>
      </c>
      <c r="R211" s="26">
        <f>IFERROR(__xludf.DUMMYFUNCTION("""COMPUTED_VALUE"""),1.113823529)</f>
        <v>1.113823529</v>
      </c>
      <c r="S211" s="26">
        <f>IFERROR(__xludf.DUMMYFUNCTION("""COMPUTED_VALUE"""),-1.7784851908644883)</f>
        <v>-1.778485191</v>
      </c>
      <c r="T211" s="26">
        <f>IFERROR(__xludf.DUMMYFUNCTION("""COMPUTED_VALUE"""),-1.6357971335610788)</f>
        <v>-1.635797134</v>
      </c>
      <c r="U211" s="26">
        <f>IFERROR(__xludf.DUMMYFUNCTION("""COMPUTED_VALUE"""),0.36414691743014943)</f>
        <v>0.3641469174</v>
      </c>
      <c r="V211" s="26">
        <f>IFERROR(__xludf.DUMMYFUNCTION("""COMPUTED_VALUE"""),-1.3554473204861999)</f>
        <v>-1.35544732</v>
      </c>
      <c r="W211" s="26">
        <f>IFERROR(__xludf.DUMMYFUNCTION("""COMPUTED_VALUE"""),-1.8642345892245005)</f>
        <v>-1.864234589</v>
      </c>
      <c r="X211" s="26">
        <f>IFERROR(__xludf.DUMMYFUNCTION("""COMPUTED_VALUE"""),1.6076612385789493)</f>
        <v>1.607661239</v>
      </c>
      <c r="Y211" s="26">
        <f>IFERROR(__xludf.DUMMYFUNCTION("""COMPUTED_VALUE"""),0.3524154064118895)</f>
        <v>0.3524154064</v>
      </c>
      <c r="Z211" s="26">
        <f>IFERROR(__xludf.DUMMYFUNCTION("""COMPUTED_VALUE"""),-1.2854161856159585)</f>
        <v>-1.285416186</v>
      </c>
      <c r="AA211" s="26">
        <f>IFERROR(__xludf.DUMMYFUNCTION("""COMPUTED_VALUE"""),0.0)</f>
        <v>0</v>
      </c>
      <c r="AB211" t="str">
        <f>IFERROR(__xludf.DUMMYFUNCTION("SUBSTITUTE(REGEXREPLACE(REGEXREPLACE(REGEXREPLACE(REGEXREPLACE(REGEXREPLACE(REGEXREPLACE(F211,"","",),IF(Projections!$T$17="""",""PG"",),),IF(Projections!$U$17="""",""SG"",),),IF(Projections!$V$17="""",""SF"",),),IF(Projections!$W$17="""",""PF"",),),IF(Pr"&amp;"ojections!$X$17="""",""C"",),),""/"","""")"),"PGSG")</f>
        <v>PGSG</v>
      </c>
    </row>
    <row r="212">
      <c r="B212">
        <f>IFERROR(__xludf.DUMMYFUNCTION("""COMPUTED_VALUE"""),205.0)</f>
        <v>205</v>
      </c>
      <c r="D212" t="str">
        <f>IFERROR(__xludf.DUMMYFUNCTION("""COMPUTED_VALUE"""),"Paul Reed")</f>
        <v>Paul Reed</v>
      </c>
      <c r="E212">
        <f>IFERROR(__xludf.DUMMYFUNCTION("""COMPUTED_VALUE"""),40.0)</f>
        <v>40</v>
      </c>
      <c r="F212" t="str">
        <f>IFERROR(__xludf.DUMMYFUNCTION("""COMPUTED_VALUE"""),"PG,SG")</f>
        <v>PG,SG</v>
      </c>
      <c r="G212" s="26">
        <f>IFERROR(__xludf.DUMMYFUNCTION("""COMPUTED_VALUE"""),-5.356688828653065)</f>
        <v>-5.356688829</v>
      </c>
      <c r="H212" s="26">
        <f>IFERROR(__xludf.DUMMYFUNCTION("""COMPUTED_VALUE"""),-5.618459303407693)</f>
        <v>-5.618459303</v>
      </c>
      <c r="I212" s="26">
        <f>IFERROR(__xludf.DUMMYFUNCTION("""COMPUTED_VALUE"""),-0.2617704747546279)</f>
        <v>-0.2617704748</v>
      </c>
      <c r="J212" s="26">
        <f>IFERROR(__xludf.DUMMYFUNCTION("""COMPUTED_VALUE"""),6.011774194)</f>
        <v>6.011774194</v>
      </c>
      <c r="K212" s="26">
        <f>IFERROR(__xludf.DUMMYFUNCTION("""COMPUTED_VALUE"""),0.1793548387)</f>
        <v>0.1793548387</v>
      </c>
      <c r="L212" s="26">
        <f>IFERROR(__xludf.DUMMYFUNCTION("""COMPUTED_VALUE"""),5.148064516)</f>
        <v>5.148064516</v>
      </c>
      <c r="M212" s="26">
        <f>IFERROR(__xludf.DUMMYFUNCTION("""COMPUTED_VALUE"""),1.055967742)</f>
        <v>1.055967742</v>
      </c>
      <c r="N212" s="26">
        <f>IFERROR(__xludf.DUMMYFUNCTION("""COMPUTED_VALUE"""),0.7919354839)</f>
        <v>0.7919354839</v>
      </c>
      <c r="O212" s="26">
        <f>IFERROR(__xludf.DUMMYFUNCTION("""COMPUTED_VALUE"""),0.9569354839)</f>
        <v>0.9569354839</v>
      </c>
      <c r="P212" s="464">
        <f>IFERROR(__xludf.DUMMYFUNCTION("""COMPUTED_VALUE"""),0.5500412996)</f>
        <v>0.5500412996</v>
      </c>
      <c r="Q212" s="464">
        <f>IFERROR(__xludf.DUMMYFUNCTION("""COMPUTED_VALUE"""),0.6879200131)</f>
        <v>0.6879200131</v>
      </c>
      <c r="R212" s="26">
        <f>IFERROR(__xludf.DUMMYFUNCTION("""COMPUTED_VALUE"""),0.6930645161)</f>
        <v>0.6930645161</v>
      </c>
      <c r="S212" s="26">
        <f>IFERROR(__xludf.DUMMYFUNCTION("""COMPUTED_VALUE"""),-2.0687745834355313)</f>
        <v>-2.068774583</v>
      </c>
      <c r="T212" s="26">
        <f>IFERROR(__xludf.DUMMYFUNCTION("""COMPUTED_VALUE"""),-1.5566451888123296)</f>
        <v>-1.556645189</v>
      </c>
      <c r="U212" s="26">
        <f>IFERROR(__xludf.DUMMYFUNCTION("""COMPUTED_VALUE"""),-0.3665383929691179)</f>
        <v>-0.366538393</v>
      </c>
      <c r="V212" s="26">
        <f>IFERROR(__xludf.DUMMYFUNCTION("""COMPUTED_VALUE"""),-1.3067222331414838)</f>
        <v>-1.306722233</v>
      </c>
      <c r="W212" s="26">
        <f>IFERROR(__xludf.DUMMYFUNCTION("""COMPUTED_VALUE"""),-0.6089431012643997)</f>
        <v>-0.6089431013</v>
      </c>
      <c r="X212" s="26">
        <f>IFERROR(__xludf.DUMMYFUNCTION("""COMPUTED_VALUE"""),0.37147822263762564)</f>
        <v>0.3714782226</v>
      </c>
      <c r="Y212" s="26">
        <f>IFERROR(__xludf.DUMMYFUNCTION("""COMPUTED_VALUE"""),0.2877888315024457)</f>
        <v>0.2877888315</v>
      </c>
      <c r="Z212" s="26">
        <f>IFERROR(__xludf.DUMMYFUNCTION("""COMPUTED_VALUE"""),-0.3701028579249022)</f>
        <v>-0.3701028579</v>
      </c>
      <c r="AA212" s="26">
        <f>IFERROR(__xludf.DUMMYFUNCTION("""COMPUTED_VALUE"""),0.0)</f>
        <v>0</v>
      </c>
      <c r="AB212" t="str">
        <f>IFERROR(__xludf.DUMMYFUNCTION("SUBSTITUTE(REGEXREPLACE(REGEXREPLACE(REGEXREPLACE(REGEXREPLACE(REGEXREPLACE(REGEXREPLACE(F212,"","",),IF(Projections!$T$17="""",""PG"",),),IF(Projections!$U$17="""",""SG"",),),IF(Projections!$V$17="""",""SF"",),),IF(Projections!$W$17="""",""PF"",),),IF(Pr"&amp;"ojections!$X$17="""",""C"",),),""/"","""")"),"PGSG")</f>
        <v>PGSG</v>
      </c>
    </row>
    <row r="213">
      <c r="B213">
        <f>IFERROR(__xludf.DUMMYFUNCTION("""COMPUTED_VALUE"""),214.0)</f>
        <v>214</v>
      </c>
      <c r="D213" t="str">
        <f>IFERROR(__xludf.DUMMYFUNCTION("""COMPUTED_VALUE"""),"Lonzo Ball")</f>
        <v>Lonzo Ball</v>
      </c>
      <c r="E213">
        <f>IFERROR(__xludf.DUMMYFUNCTION("""COMPUTED_VALUE"""),58.0)</f>
        <v>58</v>
      </c>
      <c r="F213" t="str">
        <f>IFERROR(__xludf.DUMMYFUNCTION("""COMPUTED_VALUE"""),"SF,PF")</f>
        <v>SF,PF</v>
      </c>
      <c r="G213" s="26">
        <f>IFERROR(__xludf.DUMMYFUNCTION("""COMPUTED_VALUE"""),-5.573166456919127)</f>
        <v>-5.573166457</v>
      </c>
      <c r="H213" s="26">
        <f>IFERROR(__xludf.DUMMYFUNCTION("""COMPUTED_VALUE"""),-5.6827342382572335)</f>
        <v>-5.682734238</v>
      </c>
      <c r="I213" s="26">
        <f>IFERROR(__xludf.DUMMYFUNCTION("""COMPUTED_VALUE"""),-0.10956778133810641)</f>
        <v>-0.1095677813</v>
      </c>
      <c r="J213" s="26">
        <f>IFERROR(__xludf.DUMMYFUNCTION("""COMPUTED_VALUE"""),6.824390244)</f>
        <v>6.824390244</v>
      </c>
      <c r="K213" s="26">
        <f>IFERROR(__xludf.DUMMYFUNCTION("""COMPUTED_VALUE"""),1.583658537)</f>
        <v>1.583658537</v>
      </c>
      <c r="L213" s="26">
        <f>IFERROR(__xludf.DUMMYFUNCTION("""COMPUTED_VALUE"""),2.909268293)</f>
        <v>2.909268293</v>
      </c>
      <c r="M213" s="26">
        <f>IFERROR(__xludf.DUMMYFUNCTION("""COMPUTED_VALUE"""),2.715365854)</f>
        <v>2.715365854</v>
      </c>
      <c r="N213" s="26">
        <f>IFERROR(__xludf.DUMMYFUNCTION("""COMPUTED_VALUE"""),0.8475609756)</f>
        <v>0.8475609756</v>
      </c>
      <c r="O213" s="26">
        <f>IFERROR(__xludf.DUMMYFUNCTION("""COMPUTED_VALUE"""),0.3490243902)</f>
        <v>0.3490243902</v>
      </c>
      <c r="P213" s="464">
        <f>IFERROR(__xludf.DUMMYFUNCTION("""COMPUTED_VALUE"""),0.4132103201)</f>
        <v>0.4132103201</v>
      </c>
      <c r="Q213" s="464">
        <f>IFERROR(__xludf.DUMMYFUNCTION("""COMPUTED_VALUE"""),0.7407628129)</f>
        <v>0.7407628129</v>
      </c>
      <c r="R213" s="26">
        <f>IFERROR(__xludf.DUMMYFUNCTION("""COMPUTED_VALUE"""),1.306829268)</f>
        <v>1.306829268</v>
      </c>
      <c r="S213" s="26">
        <f>IFERROR(__xludf.DUMMYFUNCTION("""COMPUTED_VALUE"""),-1.9222959582906562)</f>
        <v>-1.922295958</v>
      </c>
      <c r="T213" s="26">
        <f>IFERROR(__xludf.DUMMYFUNCTION("""COMPUTED_VALUE"""),-0.16367627298989115)</f>
        <v>-0.163676273</v>
      </c>
      <c r="U213" s="26">
        <f>IFERROR(__xludf.DUMMYFUNCTION("""COMPUTED_VALUE"""),-1.2439382961365164)</f>
        <v>-1.243938296</v>
      </c>
      <c r="V213" s="26">
        <f>IFERROR(__xludf.DUMMYFUNCTION("""COMPUTED_VALUE"""),-0.5531258138631789)</f>
        <v>-0.5531258139</v>
      </c>
      <c r="W213" s="26">
        <f>IFERROR(__xludf.DUMMYFUNCTION("""COMPUTED_VALUE"""),-0.4249165428442392)</f>
        <v>-0.4249165428</v>
      </c>
      <c r="X213" s="26">
        <f>IFERROR(__xludf.DUMMYFUNCTION("""COMPUTED_VALUE"""),-0.7128210767450956)</f>
        <v>-0.7128210767</v>
      </c>
      <c r="Y213" s="26">
        <f>IFERROR(__xludf.DUMMYFUNCTION("""COMPUTED_VALUE"""),-0.5840076067082528)</f>
        <v>-0.5840076067</v>
      </c>
      <c r="Z213" s="26">
        <f>IFERROR(__xludf.DUMMYFUNCTION("""COMPUTED_VALUE"""),-0.07795267067940212)</f>
        <v>-0.07795267068</v>
      </c>
      <c r="AA213" s="26">
        <f>IFERROR(__xludf.DUMMYFUNCTION("""COMPUTED_VALUE"""),0.0)</f>
        <v>0</v>
      </c>
      <c r="AB213" t="str">
        <f>IFERROR(__xludf.DUMMYFUNCTION("SUBSTITUTE(REGEXREPLACE(REGEXREPLACE(REGEXREPLACE(REGEXREPLACE(REGEXREPLACE(REGEXREPLACE(F213,"","",),IF(Projections!$T$17="""",""PG"",),),IF(Projections!$U$17="""",""SG"",),),IF(Projections!$V$17="""",""SF"",),),IF(Projections!$W$17="""",""PF"",),),IF(Pr"&amp;"ojections!$X$17="""",""C"",),),""/"","""")"),"SFPF")</f>
        <v>SFPF</v>
      </c>
    </row>
    <row r="214">
      <c r="B214">
        <f>IFERROR(__xludf.DUMMYFUNCTION("""COMPUTED_VALUE"""),211.0)</f>
        <v>211</v>
      </c>
      <c r="C214">
        <f>IFERROR(__xludf.DUMMYFUNCTION("""COMPUTED_VALUE"""),142.2)</f>
        <v>142.2</v>
      </c>
      <c r="D214" t="str">
        <f>IFERROR(__xludf.DUMMYFUNCTION("""COMPUTED_VALUE"""),"Kyle Anderson")</f>
        <v>Kyle Anderson</v>
      </c>
      <c r="E214">
        <f>IFERROR(__xludf.DUMMYFUNCTION("""COMPUTED_VALUE"""),60.0)</f>
        <v>60</v>
      </c>
      <c r="F214" t="str">
        <f>IFERROR(__xludf.DUMMYFUNCTION("""COMPUTED_VALUE"""),"SG,SF")</f>
        <v>SG,SF</v>
      </c>
      <c r="G214" s="26">
        <f>IFERROR(__xludf.DUMMYFUNCTION("""COMPUTED_VALUE"""),-5.502659399918344)</f>
        <v>-5.5026594</v>
      </c>
      <c r="H214" s="26">
        <f>IFERROR(__xludf.DUMMYFUNCTION("""COMPUTED_VALUE"""),-5.698438464462933)</f>
        <v>-5.698438464</v>
      </c>
      <c r="I214" s="26">
        <f>IFERROR(__xludf.DUMMYFUNCTION("""COMPUTED_VALUE"""),-0.19577906454458915)</f>
        <v>-0.1957790645</v>
      </c>
      <c r="J214" s="26">
        <f>IFERROR(__xludf.DUMMYFUNCTION("""COMPUTED_VALUE"""),6.162328767)</f>
        <v>6.162328767</v>
      </c>
      <c r="K214" s="26">
        <f>IFERROR(__xludf.DUMMYFUNCTION("""COMPUTED_VALUE"""),0.2063013699)</f>
        <v>0.2063013699</v>
      </c>
      <c r="L214" s="26">
        <f>IFERROR(__xludf.DUMMYFUNCTION("""COMPUTED_VALUE"""),3.718767123)</f>
        <v>3.718767123</v>
      </c>
      <c r="M214" s="26">
        <f>IFERROR(__xludf.DUMMYFUNCTION("""COMPUTED_VALUE"""),3.5)</f>
        <v>3.5</v>
      </c>
      <c r="N214" s="26">
        <f>IFERROR(__xludf.DUMMYFUNCTION("""COMPUTED_VALUE"""),0.9246575342)</f>
        <v>0.9246575342</v>
      </c>
      <c r="O214" s="26">
        <f>IFERROR(__xludf.DUMMYFUNCTION("""COMPUTED_VALUE"""),0.5228767123)</f>
        <v>0.5228767123</v>
      </c>
      <c r="P214" s="464">
        <f>IFERROR(__xludf.DUMMYFUNCTION("""COMPUTED_VALUE"""),0.4789795185)</f>
        <v>0.4789795185</v>
      </c>
      <c r="Q214" s="464">
        <f>IFERROR(__xludf.DUMMYFUNCTION("""COMPUTED_VALUE"""),0.7180354643)</f>
        <v>0.7180354643</v>
      </c>
      <c r="R214" s="26">
        <f>IFERROR(__xludf.DUMMYFUNCTION("""COMPUTED_VALUE"""),0.9591780822)</f>
        <v>0.9591780822</v>
      </c>
      <c r="S214" s="26">
        <f>IFERROR(__xludf.DUMMYFUNCTION("""COMPUTED_VALUE"""),-2.0416362727138644)</f>
        <v>-2.041636273</v>
      </c>
      <c r="T214" s="26">
        <f>IFERROR(__xludf.DUMMYFUNCTION("""COMPUTED_VALUE"""),-1.529916155486932)</f>
        <v>-1.529916155</v>
      </c>
      <c r="U214" s="26">
        <f>IFERROR(__xludf.DUMMYFUNCTION("""COMPUTED_VALUE"""),-0.9266900411325939)</f>
        <v>-0.9266900411</v>
      </c>
      <c r="V214" s="26">
        <f>IFERROR(__xludf.DUMMYFUNCTION("""COMPUTED_VALUE"""),-0.19679331077479958)</f>
        <v>-0.1967933108</v>
      </c>
      <c r="W214" s="26">
        <f>IFERROR(__xludf.DUMMYFUNCTION("""COMPUTED_VALUE"""),-0.1698569665313843)</f>
        <v>-0.1698569665</v>
      </c>
      <c r="X214" s="26">
        <f>IFERROR(__xludf.DUMMYFUNCTION("""COMPUTED_VALUE"""),-0.4027297607571749)</f>
        <v>-0.4027297608</v>
      </c>
      <c r="Y214" s="26">
        <f>IFERROR(__xludf.DUMMYFUNCTION("""COMPUTED_VALUE"""),-0.1134042046602595)</f>
        <v>-0.1134042047</v>
      </c>
      <c r="Z214" s="26">
        <f>IFERROR(__xludf.DUMMYFUNCTION("""COMPUTED_VALUE"""),-0.3174117524059257)</f>
        <v>-0.3174117524</v>
      </c>
      <c r="AA214" s="26">
        <f>IFERROR(__xludf.DUMMYFUNCTION("""COMPUTED_VALUE"""),0.0)</f>
        <v>0</v>
      </c>
      <c r="AB214" t="str">
        <f>IFERROR(__xludf.DUMMYFUNCTION("SUBSTITUTE(REGEXREPLACE(REGEXREPLACE(REGEXREPLACE(REGEXREPLACE(REGEXREPLACE(REGEXREPLACE(F214,"","",),IF(Projections!$T$17="""",""PG"",),),IF(Projections!$U$17="""",""SG"",),),IF(Projections!$V$17="""",""SF"",),),IF(Projections!$W$17="""",""PF"",),),IF(Pr"&amp;"ojections!$X$17="""",""C"",),),""/"","""")"),"SGSF")</f>
        <v>SGSF</v>
      </c>
    </row>
    <row r="215">
      <c r="B215">
        <f>IFERROR(__xludf.DUMMYFUNCTION("""COMPUTED_VALUE"""),221.0)</f>
        <v>221</v>
      </c>
      <c r="D215" t="str">
        <f>IFERROR(__xludf.DUMMYFUNCTION("""COMPUTED_VALUE"""),"Bub Carrington")</f>
        <v>Bub Carrington</v>
      </c>
      <c r="E215">
        <f>IFERROR(__xludf.DUMMYFUNCTION("""COMPUTED_VALUE"""),40.0)</f>
        <v>40</v>
      </c>
      <c r="F215" t="str">
        <f>IFERROR(__xludf.DUMMYFUNCTION("""COMPUTED_VALUE"""),"SG,SF")</f>
        <v>SG,SF</v>
      </c>
      <c r="G215" s="26">
        <f>IFERROR(__xludf.DUMMYFUNCTION("""COMPUTED_VALUE"""),-5.802942957483912)</f>
        <v>-5.802942957</v>
      </c>
      <c r="H215" s="26">
        <f>IFERROR(__xludf.DUMMYFUNCTION("""COMPUTED_VALUE"""),-5.69927510171139)</f>
        <v>-5.699275102</v>
      </c>
      <c r="I215" s="26">
        <f>IFERROR(__xludf.DUMMYFUNCTION("""COMPUTED_VALUE"""),0.1036678557725228)</f>
        <v>0.1036678558</v>
      </c>
      <c r="J215" s="26">
        <f>IFERROR(__xludf.DUMMYFUNCTION("""COMPUTED_VALUE"""),9.654520548)</f>
        <v>9.654520548</v>
      </c>
      <c r="K215" s="26">
        <f>IFERROR(__xludf.DUMMYFUNCTION("""COMPUTED_VALUE"""),1.670273973)</f>
        <v>1.670273973</v>
      </c>
      <c r="L215" s="26">
        <f>IFERROR(__xludf.DUMMYFUNCTION("""COMPUTED_VALUE"""),3.737534247)</f>
        <v>3.737534247</v>
      </c>
      <c r="M215" s="26">
        <f>IFERROR(__xludf.DUMMYFUNCTION("""COMPUTED_VALUE"""),4.170821918)</f>
        <v>4.170821918</v>
      </c>
      <c r="N215" s="26">
        <f>IFERROR(__xludf.DUMMYFUNCTION("""COMPUTED_VALUE"""),0.65)</f>
        <v>0.65</v>
      </c>
      <c r="O215" s="26">
        <f>IFERROR(__xludf.DUMMYFUNCTION("""COMPUTED_VALUE"""),0.2167123288)</f>
        <v>0.2167123288</v>
      </c>
      <c r="P215" s="464">
        <f>IFERROR(__xludf.DUMMYFUNCTION("""COMPUTED_VALUE"""),0.3813473843)</f>
        <v>0.3813473843</v>
      </c>
      <c r="Q215" s="464">
        <f>IFERROR(__xludf.DUMMYFUNCTION("""COMPUTED_VALUE"""),0.764977421)</f>
        <v>0.764977421</v>
      </c>
      <c r="R215" s="26">
        <f>IFERROR(__xludf.DUMMYFUNCTION("""COMPUTED_VALUE"""),2.166712329)</f>
        <v>2.166712329</v>
      </c>
      <c r="S215" s="26">
        <f>IFERROR(__xludf.DUMMYFUNCTION("""COMPUTED_VALUE"""),-1.412149012619613)</f>
        <v>-1.412149013</v>
      </c>
      <c r="T215" s="26">
        <f>IFERROR(__xludf.DUMMYFUNCTION("""COMPUTED_VALUE"""),-0.07775995010014476)</f>
        <v>-0.0777599501</v>
      </c>
      <c r="U215" s="26">
        <f>IFERROR(__xludf.DUMMYFUNCTION("""COMPUTED_VALUE"""),-0.9193350739358628)</f>
        <v>-0.9193350739</v>
      </c>
      <c r="V215" s="26">
        <f>IFERROR(__xludf.DUMMYFUNCTION("""COMPUTED_VALUE"""),0.10785268811024948)</f>
        <v>0.1078526881</v>
      </c>
      <c r="W215" s="26">
        <f>IFERROR(__xludf.DUMMYFUNCTION("""COMPUTED_VALUE"""),-1.0785101616454067)</f>
        <v>-1.078510162</v>
      </c>
      <c r="X215" s="26">
        <f>IFERROR(__xludf.DUMMYFUNCTION("""COMPUTED_VALUE"""),-0.948819197132586)</f>
        <v>-0.9488191971</v>
      </c>
      <c r="Y215" s="26">
        <f>IFERROR(__xludf.DUMMYFUNCTION("""COMPUTED_VALUE"""),-1.22667488504037)</f>
        <v>-1.226674885</v>
      </c>
      <c r="Z215" s="26">
        <f>IFERROR(__xludf.DUMMYFUNCTION("""COMPUTED_VALUE"""),-0.14387950934765573)</f>
        <v>-0.1438795093</v>
      </c>
      <c r="AA215" s="26">
        <f>IFERROR(__xludf.DUMMYFUNCTION("""COMPUTED_VALUE"""),0.0)</f>
        <v>0</v>
      </c>
      <c r="AB215" t="str">
        <f>IFERROR(__xludf.DUMMYFUNCTION("SUBSTITUTE(REGEXREPLACE(REGEXREPLACE(REGEXREPLACE(REGEXREPLACE(REGEXREPLACE(REGEXREPLACE(F215,"","",),IF(Projections!$T$17="""",""PG"",),),IF(Projections!$U$17="""",""SG"",),),IF(Projections!$V$17="""",""SF"",),),IF(Projections!$W$17="""",""PF"",),),IF(Pr"&amp;"ojections!$X$17="""",""C"",),),""/"","""")"),"SGSF")</f>
        <v>SGSF</v>
      </c>
    </row>
    <row r="216">
      <c r="B216">
        <f>IFERROR(__xludf.DUMMYFUNCTION("""COMPUTED_VALUE"""),213.0)</f>
        <v>213</v>
      </c>
      <c r="C216">
        <f>IFERROR(__xludf.DUMMYFUNCTION("""COMPUTED_VALUE"""),141.7)</f>
        <v>141.7</v>
      </c>
      <c r="D216" t="str">
        <f>IFERROR(__xludf.DUMMYFUNCTION("""COMPUTED_VALUE"""),"Cole Anthony")</f>
        <v>Cole Anthony</v>
      </c>
      <c r="E216">
        <f>IFERROR(__xludf.DUMMYFUNCTION("""COMPUTED_VALUE"""),42.0)</f>
        <v>42</v>
      </c>
      <c r="F216" t="str">
        <f>IFERROR(__xludf.DUMMYFUNCTION("""COMPUTED_VALUE"""),"SG,SF")</f>
        <v>SG,SF</v>
      </c>
      <c r="G216" s="26">
        <f>IFERROR(__xludf.DUMMYFUNCTION("""COMPUTED_VALUE"""),-5.604506675421424)</f>
        <v>-5.604506675</v>
      </c>
      <c r="H216" s="26">
        <f>IFERROR(__xludf.DUMMYFUNCTION("""COMPUTED_VALUE"""),-5.705494447740387)</f>
        <v>-5.705494448</v>
      </c>
      <c r="I216" s="26">
        <f>IFERROR(__xludf.DUMMYFUNCTION("""COMPUTED_VALUE"""),-0.1009877723189625)</f>
        <v>-0.1009877723</v>
      </c>
      <c r="J216" s="26">
        <f>IFERROR(__xludf.DUMMYFUNCTION("""COMPUTED_VALUE"""),10.04402597)</f>
        <v>10.04402597</v>
      </c>
      <c r="K216" s="26">
        <f>IFERROR(__xludf.DUMMYFUNCTION("""COMPUTED_VALUE"""),1.251948052)</f>
        <v>1.251948052</v>
      </c>
      <c r="L216" s="26">
        <f>IFERROR(__xludf.DUMMYFUNCTION("""COMPUTED_VALUE"""),3.394935065)</f>
        <v>3.394935065</v>
      </c>
      <c r="M216" s="26">
        <f>IFERROR(__xludf.DUMMYFUNCTION("""COMPUTED_VALUE"""),2.748311688)</f>
        <v>2.748311688</v>
      </c>
      <c r="N216" s="26">
        <f>IFERROR(__xludf.DUMMYFUNCTION("""COMPUTED_VALUE"""),0.6062337662)</f>
        <v>0.6062337662</v>
      </c>
      <c r="O216" s="26">
        <f>IFERROR(__xludf.DUMMYFUNCTION("""COMPUTED_VALUE"""),0.4068831169)</f>
        <v>0.4068831169</v>
      </c>
      <c r="P216" s="464">
        <f>IFERROR(__xludf.DUMMYFUNCTION("""COMPUTED_VALUE"""),0.4364700333)</f>
        <v>0.4364700333</v>
      </c>
      <c r="Q216" s="464">
        <f>IFERROR(__xludf.DUMMYFUNCTION("""COMPUTED_VALUE"""),0.833038522)</f>
        <v>0.833038522</v>
      </c>
      <c r="R216" s="26">
        <f>IFERROR(__xludf.DUMMYFUNCTION("""COMPUTED_VALUE"""),1.341428571)</f>
        <v>1.341428571</v>
      </c>
      <c r="S216" s="26">
        <f>IFERROR(__xludf.DUMMYFUNCTION("""COMPUTED_VALUE"""),-1.3419384639834715)</f>
        <v>-1.341938464</v>
      </c>
      <c r="T216" s="26">
        <f>IFERROR(__xludf.DUMMYFUNCTION("""COMPUTED_VALUE"""),-0.49270936976001406)</f>
        <v>-0.4927093698</v>
      </c>
      <c r="U216" s="26">
        <f>IFERROR(__xludf.DUMMYFUNCTION("""COMPUTED_VALUE"""),-1.0536020903011258)</f>
        <v>-1.05360209</v>
      </c>
      <c r="V216" s="26">
        <f>IFERROR(__xludf.DUMMYFUNCTION("""COMPUTED_VALUE"""),-0.5381638452114167)</f>
        <v>-0.5381638452</v>
      </c>
      <c r="W216" s="26">
        <f>IFERROR(__xludf.DUMMYFUNCTION("""COMPUTED_VALUE"""),-1.2233025784866605)</f>
        <v>-1.223302578</v>
      </c>
      <c r="X216" s="26">
        <f>IFERROR(__xludf.DUMMYFUNCTION("""COMPUTED_VALUE"""),-0.6096214847749148)</f>
        <v>-0.6096214848</v>
      </c>
      <c r="Y216" s="26">
        <f>IFERROR(__xludf.DUMMYFUNCTION("""COMPUTED_VALUE"""),-0.622851594377331)</f>
        <v>-0.6228515944</v>
      </c>
      <c r="Z216" s="26">
        <f>IFERROR(__xludf.DUMMYFUNCTION("""COMPUTED_VALUE"""),0.17669497915454765)</f>
        <v>0.1766949792</v>
      </c>
      <c r="AA216" s="26">
        <f>IFERROR(__xludf.DUMMYFUNCTION("""COMPUTED_VALUE"""),0.0)</f>
        <v>0</v>
      </c>
      <c r="AB216" t="str">
        <f>IFERROR(__xludf.DUMMYFUNCTION("SUBSTITUTE(REGEXREPLACE(REGEXREPLACE(REGEXREPLACE(REGEXREPLACE(REGEXREPLACE(REGEXREPLACE(F216,"","",),IF(Projections!$T$17="""",""PG"",),),IF(Projections!$U$17="""",""SG"",),),IF(Projections!$V$17="""",""SF"",),),IF(Projections!$W$17="""",""PF"",),),IF(Pr"&amp;"ojections!$X$17="""",""C"",),),""/"","""")"),"SGSF")</f>
        <v>SGSF</v>
      </c>
    </row>
    <row r="217">
      <c r="B217">
        <f>IFERROR(__xludf.DUMMYFUNCTION("""COMPUTED_VALUE"""),210.0)</f>
        <v>210</v>
      </c>
      <c r="C217">
        <f>IFERROR(__xludf.DUMMYFUNCTION("""COMPUTED_VALUE"""),143.1)</f>
        <v>143.1</v>
      </c>
      <c r="D217" t="str">
        <f>IFERROR(__xludf.DUMMYFUNCTION("""COMPUTED_VALUE"""),"Grant Williams")</f>
        <v>Grant Williams</v>
      </c>
      <c r="E217">
        <f>IFERROR(__xludf.DUMMYFUNCTION("""COMPUTED_VALUE"""),45.0)</f>
        <v>45</v>
      </c>
      <c r="F217" t="str">
        <f>IFERROR(__xludf.DUMMYFUNCTION("""COMPUTED_VALUE"""),"SF,PF")</f>
        <v>SF,PF</v>
      </c>
      <c r="G217" s="26">
        <f>IFERROR(__xludf.DUMMYFUNCTION("""COMPUTED_VALUE"""),-5.572617122658961)</f>
        <v>-5.572617123</v>
      </c>
      <c r="H217" s="26">
        <f>IFERROR(__xludf.DUMMYFUNCTION("""COMPUTED_VALUE"""),-5.713570167973809)</f>
        <v>-5.713570168</v>
      </c>
      <c r="I217" s="26">
        <f>IFERROR(__xludf.DUMMYFUNCTION("""COMPUTED_VALUE"""),-0.14095304531484754)</f>
        <v>-0.1409530453</v>
      </c>
      <c r="J217" s="26">
        <f>IFERROR(__xludf.DUMMYFUNCTION("""COMPUTED_VALUE"""),9.609866667)</f>
        <v>9.609866667</v>
      </c>
      <c r="K217" s="26">
        <f>IFERROR(__xludf.DUMMYFUNCTION("""COMPUTED_VALUE"""),1.282)</f>
        <v>1.282</v>
      </c>
      <c r="L217" s="26">
        <f>IFERROR(__xludf.DUMMYFUNCTION("""COMPUTED_VALUE"""),4.345333333)</f>
        <v>4.345333333</v>
      </c>
      <c r="M217" s="26">
        <f>IFERROR(__xludf.DUMMYFUNCTION("""COMPUTED_VALUE"""),2.038533333)</f>
        <v>2.038533333</v>
      </c>
      <c r="N217" s="26">
        <f>IFERROR(__xludf.DUMMYFUNCTION("""COMPUTED_VALUE"""),0.5184)</f>
        <v>0.5184</v>
      </c>
      <c r="O217" s="26">
        <f>IFERROR(__xludf.DUMMYFUNCTION("""COMPUTED_VALUE"""),0.4388)</f>
        <v>0.4388</v>
      </c>
      <c r="P217" s="464">
        <f>IFERROR(__xludf.DUMMYFUNCTION("""COMPUTED_VALUE"""),0.4856819137)</f>
        <v>0.4856819137</v>
      </c>
      <c r="Q217" s="464">
        <f>IFERROR(__xludf.DUMMYFUNCTION("""COMPUTED_VALUE"""),0.7729689317)</f>
        <v>0.7729689317</v>
      </c>
      <c r="R217" s="26">
        <f>IFERROR(__xludf.DUMMYFUNCTION("""COMPUTED_VALUE"""),1.180266667)</f>
        <v>1.180266667</v>
      </c>
      <c r="S217" s="26">
        <f>IFERROR(__xludf.DUMMYFUNCTION("""COMPUTED_VALUE"""),-1.4201981264615842)</f>
        <v>-1.420198126</v>
      </c>
      <c r="T217" s="26">
        <f>IFERROR(__xludf.DUMMYFUNCTION("""COMPUTED_VALUE"""),-0.46289998488508394)</f>
        <v>-0.4628999849</v>
      </c>
      <c r="U217" s="26">
        <f>IFERROR(__xludf.DUMMYFUNCTION("""COMPUTED_VALUE"""),-0.6811343597649986)</f>
        <v>-0.6811343598</v>
      </c>
      <c r="V217" s="26">
        <f>IFERROR(__xludf.DUMMYFUNCTION("""COMPUTED_VALUE"""),-0.8605014584346656)</f>
        <v>-0.8605014584</v>
      </c>
      <c r="W217" s="26">
        <f>IFERROR(__xludf.DUMMYFUNCTION("""COMPUTED_VALUE"""),-1.5138842023587067)</f>
        <v>-1.513884202</v>
      </c>
      <c r="X217" s="26">
        <f>IFERROR(__xludf.DUMMYFUNCTION("""COMPUTED_VALUE"""),-0.5526930056889766)</f>
        <v>-0.5526930057</v>
      </c>
      <c r="Y217" s="26">
        <f>IFERROR(__xludf.DUMMYFUNCTION("""COMPUTED_VALUE"""),-0.0981452184468508)</f>
        <v>-0.09814521845</v>
      </c>
      <c r="Z217" s="26">
        <f>IFERROR(__xludf.DUMMYFUNCTION("""COMPUTED_VALUE"""),-0.12411381193294298)</f>
        <v>-0.1241138119</v>
      </c>
      <c r="AA217" s="26">
        <f>IFERROR(__xludf.DUMMYFUNCTION("""COMPUTED_VALUE"""),0.0)</f>
        <v>0</v>
      </c>
      <c r="AB217" t="str">
        <f>IFERROR(__xludf.DUMMYFUNCTION("SUBSTITUTE(REGEXREPLACE(REGEXREPLACE(REGEXREPLACE(REGEXREPLACE(REGEXREPLACE(REGEXREPLACE(F217,"","",),IF(Projections!$T$17="""",""PG"",),),IF(Projections!$U$17="""",""SG"",),),IF(Projections!$V$17="""",""SF"",),),IF(Projections!$W$17="""",""PF"",),),IF(Pr"&amp;"ojections!$X$17="""",""C"",),),""/"","""")"),"SFPF")</f>
        <v>SFPF</v>
      </c>
    </row>
    <row r="218">
      <c r="B218">
        <f>IFERROR(__xludf.DUMMYFUNCTION("""COMPUTED_VALUE"""),216.0)</f>
        <v>216</v>
      </c>
      <c r="C218">
        <f>IFERROR(__xludf.DUMMYFUNCTION("""COMPUTED_VALUE"""),143.0)</f>
        <v>143</v>
      </c>
      <c r="D218" t="str">
        <f>IFERROR(__xludf.DUMMYFUNCTION("""COMPUTED_VALUE"""),"Bennedict Mathurin")</f>
        <v>Bennedict Mathurin</v>
      </c>
      <c r="E218">
        <f>IFERROR(__xludf.DUMMYFUNCTION("""COMPUTED_VALUE"""),60.0)</f>
        <v>60</v>
      </c>
      <c r="F218" t="str">
        <f>IFERROR(__xludf.DUMMYFUNCTION("""COMPUTED_VALUE"""),"PG,SG")</f>
        <v>PG,SG</v>
      </c>
      <c r="G218" s="26">
        <f>IFERROR(__xludf.DUMMYFUNCTION("""COMPUTED_VALUE"""),-5.642490812792013)</f>
        <v>-5.642490813</v>
      </c>
      <c r="H218" s="26">
        <f>IFERROR(__xludf.DUMMYFUNCTION("""COMPUTED_VALUE"""),-5.730230295790174)</f>
        <v>-5.730230296</v>
      </c>
      <c r="I218" s="26">
        <f>IFERROR(__xludf.DUMMYFUNCTION("""COMPUTED_VALUE"""),-0.08773948299816148)</f>
        <v>-0.087739483</v>
      </c>
      <c r="J218" s="26">
        <f>IFERROR(__xludf.DUMMYFUNCTION("""COMPUTED_VALUE"""),14.355)</f>
        <v>14.355</v>
      </c>
      <c r="K218" s="26">
        <f>IFERROR(__xludf.DUMMYFUNCTION("""COMPUTED_VALUE"""),1.233676471)</f>
        <v>1.233676471</v>
      </c>
      <c r="L218" s="26">
        <f>IFERROR(__xludf.DUMMYFUNCTION("""COMPUTED_VALUE"""),3.755147059)</f>
        <v>3.755147059</v>
      </c>
      <c r="M218" s="26">
        <f>IFERROR(__xludf.DUMMYFUNCTION("""COMPUTED_VALUE"""),1.663088235)</f>
        <v>1.663088235</v>
      </c>
      <c r="N218" s="26">
        <f>IFERROR(__xludf.DUMMYFUNCTION("""COMPUTED_VALUE"""),0.5335294118)</f>
        <v>0.5335294118</v>
      </c>
      <c r="O218" s="26">
        <f>IFERROR(__xludf.DUMMYFUNCTION("""COMPUTED_VALUE"""),0.2152941176)</f>
        <v>0.2152941176</v>
      </c>
      <c r="P218" s="464">
        <f>IFERROR(__xludf.DUMMYFUNCTION("""COMPUTED_VALUE"""),0.4521189258)</f>
        <v>0.4521189258</v>
      </c>
      <c r="Q218" s="464">
        <f>IFERROR(__xludf.DUMMYFUNCTION("""COMPUTED_VALUE"""),0.814018018)</f>
        <v>0.814018018</v>
      </c>
      <c r="R218" s="26">
        <f>IFERROR(__xludf.DUMMYFUNCTION("""COMPUTED_VALUE"""),1.394852941)</f>
        <v>1.394852941</v>
      </c>
      <c r="S218" s="26">
        <f>IFERROR(__xludf.DUMMYFUNCTION("""COMPUTED_VALUE"""),-0.5648610866049889)</f>
        <v>-0.5648610866</v>
      </c>
      <c r="T218" s="26">
        <f>IFERROR(__xludf.DUMMYFUNCTION("""COMPUTED_VALUE"""),-0.5108334724072852)</f>
        <v>-0.5108334724</v>
      </c>
      <c r="U218" s="26">
        <f>IFERROR(__xludf.DUMMYFUNCTION("""COMPUTED_VALUE"""),-0.9124324896878879)</f>
        <v>-0.9124324897</v>
      </c>
      <c r="V218" s="26">
        <f>IFERROR(__xludf.DUMMYFUNCTION("""COMPUTED_VALUE"""),-1.0310054980875638)</f>
        <v>-1.031005498</v>
      </c>
      <c r="W218" s="26">
        <f>IFERROR(__xludf.DUMMYFUNCTION("""COMPUTED_VALUE"""),-1.463831366880124)</f>
        <v>-1.463831367</v>
      </c>
      <c r="X218" s="26">
        <f>IFERROR(__xludf.DUMMYFUNCTION("""COMPUTED_VALUE"""),-0.9513487864532502)</f>
        <v>-0.9513487865</v>
      </c>
      <c r="Y218" s="26">
        <f>IFERROR(__xludf.DUMMYFUNCTION("""COMPUTED_VALUE"""),-0.5688541629676578)</f>
        <v>-0.568854163</v>
      </c>
      <c r="Z218" s="26">
        <f>IFERROR(__xludf.DUMMYFUNCTION("""COMPUTED_VALUE"""),0.27293656729858484)</f>
        <v>0.2729365673</v>
      </c>
      <c r="AA218" s="26">
        <f>IFERROR(__xludf.DUMMYFUNCTION("""COMPUTED_VALUE"""),0.0)</f>
        <v>0</v>
      </c>
      <c r="AB218" t="str">
        <f>IFERROR(__xludf.DUMMYFUNCTION("SUBSTITUTE(REGEXREPLACE(REGEXREPLACE(REGEXREPLACE(REGEXREPLACE(REGEXREPLACE(REGEXREPLACE(F218,"","",),IF(Projections!$T$17="""",""PG"",),),IF(Projections!$U$17="""",""SG"",),),IF(Projections!$V$17="""",""SF"",),),IF(Projections!$W$17="""",""PF"",),),IF(Pr"&amp;"ojections!$X$17="""",""C"",),),""/"","""")"),"PGSG")</f>
        <v>PGSG</v>
      </c>
    </row>
    <row r="219">
      <c r="B219">
        <f>IFERROR(__xludf.DUMMYFUNCTION("""COMPUTED_VALUE"""),206.0)</f>
        <v>206</v>
      </c>
      <c r="D219" t="str">
        <f>IFERROR(__xludf.DUMMYFUNCTION("""COMPUTED_VALUE"""),"Day'Ron Sharpe")</f>
        <v>Day'Ron Sharpe</v>
      </c>
      <c r="E219">
        <f>IFERROR(__xludf.DUMMYFUNCTION("""COMPUTED_VALUE"""),70.0)</f>
        <v>70</v>
      </c>
      <c r="F219" t="str">
        <f>IFERROR(__xludf.DUMMYFUNCTION("""COMPUTED_VALUE"""),"C")</f>
        <v>C</v>
      </c>
      <c r="G219" s="26">
        <f>IFERROR(__xludf.DUMMYFUNCTION("""COMPUTED_VALUE"""),-5.709235842467187)</f>
        <v>-5.709235842</v>
      </c>
      <c r="H219" s="26">
        <f>IFERROR(__xludf.DUMMYFUNCTION("""COMPUTED_VALUE"""),-5.8086671928585965)</f>
        <v>-5.808667193</v>
      </c>
      <c r="I219" s="26">
        <f>IFERROR(__xludf.DUMMYFUNCTION("""COMPUTED_VALUE"""),-0.09943135039140927)</f>
        <v>-0.09943135039</v>
      </c>
      <c r="J219" s="26">
        <f>IFERROR(__xludf.DUMMYFUNCTION("""COMPUTED_VALUE"""),7.909016393)</f>
        <v>7.909016393</v>
      </c>
      <c r="K219" s="26">
        <f>IFERROR(__xludf.DUMMYFUNCTION("""COMPUTED_VALUE"""),0.09409836066)</f>
        <v>0.09409836066</v>
      </c>
      <c r="L219" s="26">
        <f>IFERROR(__xludf.DUMMYFUNCTION("""COMPUTED_VALUE"""),7.53704918)</f>
        <v>7.53704918</v>
      </c>
      <c r="M219" s="26">
        <f>IFERROR(__xludf.DUMMYFUNCTION("""COMPUTED_VALUE"""),1.590819672)</f>
        <v>1.590819672</v>
      </c>
      <c r="N219" s="26">
        <f>IFERROR(__xludf.DUMMYFUNCTION("""COMPUTED_VALUE"""),0.5040983607)</f>
        <v>0.5040983607</v>
      </c>
      <c r="O219" s="26">
        <f>IFERROR(__xludf.DUMMYFUNCTION("""COMPUTED_VALUE"""),0.896557377)</f>
        <v>0.896557377</v>
      </c>
      <c r="P219" s="464">
        <f>IFERROR(__xludf.DUMMYFUNCTION("""COMPUTED_VALUE"""),0.5707138842)</f>
        <v>0.5707138842</v>
      </c>
      <c r="Q219" s="464">
        <f>IFERROR(__xludf.DUMMYFUNCTION("""COMPUTED_VALUE"""),0.6199718953)</f>
        <v>0.6199718953</v>
      </c>
      <c r="R219" s="26">
        <f>IFERROR(__xludf.DUMMYFUNCTION("""COMPUTED_VALUE"""),1.347704918)</f>
        <v>1.347704918</v>
      </c>
      <c r="S219" s="26">
        <f>IFERROR(__xludf.DUMMYFUNCTION("""COMPUTED_VALUE"""),-1.7267859790062199)</f>
        <v>-1.726785979</v>
      </c>
      <c r="T219" s="26">
        <f>IFERROR(__xludf.DUMMYFUNCTION("""COMPUTED_VALUE"""),-1.641213522518197)</f>
        <v>-1.641213523</v>
      </c>
      <c r="U219" s="26">
        <f>IFERROR(__xludf.DUMMYFUNCTION("""COMPUTED_VALUE"""),0.5697214109951846)</f>
        <v>0.569721411</v>
      </c>
      <c r="V219" s="26">
        <f>IFERROR(__xludf.DUMMYFUNCTION("""COMPUTED_VALUE"""),-1.063825428343811)</f>
        <v>-1.063825428</v>
      </c>
      <c r="W219" s="26">
        <f>IFERROR(__xludf.DUMMYFUNCTION("""COMPUTED_VALUE"""),-1.5611985070005387)</f>
        <v>-1.561198507</v>
      </c>
      <c r="X219" s="26">
        <f>IFERROR(__xludf.DUMMYFUNCTION("""COMPUTED_VALUE"""),0.2637849436562208)</f>
        <v>0.2637849437</v>
      </c>
      <c r="Y219" s="26">
        <f>IFERROR(__xludf.DUMMYFUNCTION("""COMPUTED_VALUE"""),0.4984363698801891)</f>
        <v>0.4984363699</v>
      </c>
      <c r="Z219" s="26">
        <f>IFERROR(__xludf.DUMMYFUNCTION("""COMPUTED_VALUE"""),-1.1475864805214246)</f>
        <v>-1.147586481</v>
      </c>
      <c r="AA219" s="26">
        <f>IFERROR(__xludf.DUMMYFUNCTION("""COMPUTED_VALUE"""),0.0)</f>
        <v>0</v>
      </c>
      <c r="AB219" t="str">
        <f>IFERROR(__xludf.DUMMYFUNCTION("SUBSTITUTE(REGEXREPLACE(REGEXREPLACE(REGEXREPLACE(REGEXREPLACE(REGEXREPLACE(REGEXREPLACE(F219,"","",),IF(Projections!$T$17="""",""PG"",),),IF(Projections!$U$17="""",""SG"",),),IF(Projections!$V$17="""",""SF"",),),IF(Projections!$W$17="""",""PF"",),),IF(Pr"&amp;"ojections!$X$17="""",""C"",),),""/"","""")"),"C")</f>
        <v>C</v>
      </c>
    </row>
    <row r="220">
      <c r="B220">
        <f>IFERROR(__xludf.DUMMYFUNCTION("""COMPUTED_VALUE"""),219.0)</f>
        <v>219</v>
      </c>
      <c r="D220" t="str">
        <f>IFERROR(__xludf.DUMMYFUNCTION("""COMPUTED_VALUE"""),"Dean Wade")</f>
        <v>Dean Wade</v>
      </c>
      <c r="E220">
        <f>IFERROR(__xludf.DUMMYFUNCTION("""COMPUTED_VALUE"""),60.0)</f>
        <v>60</v>
      </c>
      <c r="F220" t="str">
        <f>IFERROR(__xludf.DUMMYFUNCTION("""COMPUTED_VALUE"""),"SG,SF")</f>
        <v>SG,SF</v>
      </c>
      <c r="G220" s="26">
        <f>IFERROR(__xludf.DUMMYFUNCTION("""COMPUTED_VALUE"""),-5.500915256381538)</f>
        <v>-5.500915256</v>
      </c>
      <c r="H220" s="26">
        <f>IFERROR(__xludf.DUMMYFUNCTION("""COMPUTED_VALUE"""),-5.826134101317835)</f>
        <v>-5.826134101</v>
      </c>
      <c r="I220" s="26">
        <f>IFERROR(__xludf.DUMMYFUNCTION("""COMPUTED_VALUE"""),-0.3252188449362965)</f>
        <v>-0.3252188449</v>
      </c>
      <c r="J220" s="26">
        <f>IFERROR(__xludf.DUMMYFUNCTION("""COMPUTED_VALUE"""),6.077794118)</f>
        <v>6.077794118</v>
      </c>
      <c r="K220" s="26">
        <f>IFERROR(__xludf.DUMMYFUNCTION("""COMPUTED_VALUE"""),1.624852941)</f>
        <v>1.624852941</v>
      </c>
      <c r="L220" s="26">
        <f>IFERROR(__xludf.DUMMYFUNCTION("""COMPUTED_VALUE"""),4.301029412)</f>
        <v>4.301029412</v>
      </c>
      <c r="M220" s="26">
        <f>IFERROR(__xludf.DUMMYFUNCTION("""COMPUTED_VALUE"""),1.008970588)</f>
        <v>1.008970588</v>
      </c>
      <c r="N220" s="26">
        <f>IFERROR(__xludf.DUMMYFUNCTION("""COMPUTED_VALUE"""),0.8408823529)</f>
        <v>0.8408823529</v>
      </c>
      <c r="O220" s="26">
        <f>IFERROR(__xludf.DUMMYFUNCTION("""COMPUTED_VALUE"""),0.4851470588)</f>
        <v>0.4851470588</v>
      </c>
      <c r="P220" s="464">
        <f>IFERROR(__xludf.DUMMYFUNCTION("""COMPUTED_VALUE"""),0.3968508997)</f>
        <v>0.3968508997</v>
      </c>
      <c r="Q220" s="464">
        <f>IFERROR(__xludf.DUMMYFUNCTION("""COMPUTED_VALUE"""),0.741889313)</f>
        <v>0.741889313</v>
      </c>
      <c r="R220" s="26">
        <f>IFERROR(__xludf.DUMMYFUNCTION("""COMPUTED_VALUE"""),0.4372058824)</f>
        <v>0.4372058824</v>
      </c>
      <c r="S220" s="26">
        <f>IFERROR(__xludf.DUMMYFUNCTION("""COMPUTED_VALUE"""),-2.056874119865203)</f>
        <v>-2.05687412</v>
      </c>
      <c r="T220" s="26">
        <f>IFERROR(__xludf.DUMMYFUNCTION("""COMPUTED_VALUE"""),-0.12281436801356953)</f>
        <v>-0.122814368</v>
      </c>
      <c r="U220" s="26">
        <f>IFERROR(__xludf.DUMMYFUNCTION("""COMPUTED_VALUE"""),-0.6984973763700771)</f>
        <v>-0.6984973764</v>
      </c>
      <c r="V220" s="26">
        <f>IFERROR(__xludf.DUMMYFUNCTION("""COMPUTED_VALUE"""),-1.328065445909145)</f>
        <v>-1.328065446</v>
      </c>
      <c r="W220" s="26">
        <f>IFERROR(__xludf.DUMMYFUNCTION("""COMPUTED_VALUE"""),-0.44701151967781483)</f>
        <v>-0.4470115197</v>
      </c>
      <c r="X220" s="26">
        <f>IFERROR(__xludf.DUMMYFUNCTION("""COMPUTED_VALUE"""),-0.4700261751177126)</f>
        <v>-0.4700261751</v>
      </c>
      <c r="Y220" s="26">
        <f>IFERROR(__xludf.DUMMYFUNCTION("""COMPUTED_VALUE"""),-0.5878666002900996)</f>
        <v>-0.5878666003</v>
      </c>
      <c r="Z220" s="26">
        <f>IFERROR(__xludf.DUMMYFUNCTION("""COMPUTED_VALUE"""),-0.1149784960742136)</f>
        <v>-0.1149784961</v>
      </c>
      <c r="AA220" s="26">
        <f>IFERROR(__xludf.DUMMYFUNCTION("""COMPUTED_VALUE"""),0.0)</f>
        <v>0</v>
      </c>
      <c r="AB220" t="str">
        <f>IFERROR(__xludf.DUMMYFUNCTION("SUBSTITUTE(REGEXREPLACE(REGEXREPLACE(REGEXREPLACE(REGEXREPLACE(REGEXREPLACE(REGEXREPLACE(F220,"","",),IF(Projections!$T$17="""",""PG"",),),IF(Projections!$U$17="""",""SG"",),),IF(Projections!$V$17="""",""SF"",),),IF(Projections!$W$17="""",""PF"",),),IF(Pr"&amp;"ojections!$X$17="""",""C"",),),""/"","""")"),"SGSF")</f>
        <v>SGSF</v>
      </c>
    </row>
    <row r="221">
      <c r="B221">
        <f>IFERROR(__xludf.DUMMYFUNCTION("""COMPUTED_VALUE"""),212.0)</f>
        <v>212</v>
      </c>
      <c r="D221" t="str">
        <f>IFERROR(__xludf.DUMMYFUNCTION("""COMPUTED_VALUE"""),"Aaron Wiggins")</f>
        <v>Aaron Wiggins</v>
      </c>
      <c r="E221">
        <f>IFERROR(__xludf.DUMMYFUNCTION("""COMPUTED_VALUE"""),68.0)</f>
        <v>68</v>
      </c>
      <c r="F221" t="str">
        <f>IFERROR(__xludf.DUMMYFUNCTION("""COMPUTED_VALUE"""),"PG")</f>
        <v>PG</v>
      </c>
      <c r="G221" s="26">
        <f>IFERROR(__xludf.DUMMYFUNCTION("""COMPUTED_VALUE"""),-5.642349358039102)</f>
        <v>-5.642349358</v>
      </c>
      <c r="H221" s="26">
        <f>IFERROR(__xludf.DUMMYFUNCTION("""COMPUTED_VALUE"""),-5.836463884958657)</f>
        <v>-5.836463885</v>
      </c>
      <c r="I221" s="26">
        <f>IFERROR(__xludf.DUMMYFUNCTION("""COMPUTED_VALUE"""),-0.194114526919555)</f>
        <v>-0.1941145269</v>
      </c>
      <c r="J221" s="26">
        <f>IFERROR(__xludf.DUMMYFUNCTION("""COMPUTED_VALUE"""),9.215753425)</f>
        <v>9.215753425</v>
      </c>
      <c r="K221" s="26">
        <f>IFERROR(__xludf.DUMMYFUNCTION("""COMPUTED_VALUE"""),0.8015068493)</f>
        <v>0.8015068493</v>
      </c>
      <c r="L221" s="26">
        <f>IFERROR(__xludf.DUMMYFUNCTION("""COMPUTED_VALUE"""),2.916438356)</f>
        <v>2.916438356</v>
      </c>
      <c r="M221" s="26">
        <f>IFERROR(__xludf.DUMMYFUNCTION("""COMPUTED_VALUE"""),1.58109589)</f>
        <v>1.58109589</v>
      </c>
      <c r="N221" s="26">
        <f>IFERROR(__xludf.DUMMYFUNCTION("""COMPUTED_VALUE"""),0.8332876712)</f>
        <v>0.8332876712</v>
      </c>
      <c r="O221" s="26">
        <f>IFERROR(__xludf.DUMMYFUNCTION("""COMPUTED_VALUE"""),0.3216438356)</f>
        <v>0.3216438356</v>
      </c>
      <c r="P221" s="464">
        <f>IFERROR(__xludf.DUMMYFUNCTION("""COMPUTED_VALUE"""),0.5176979247)</f>
        <v>0.5176979247</v>
      </c>
      <c r="Q221" s="464">
        <f>IFERROR(__xludf.DUMMYFUNCTION("""COMPUTED_VALUE"""),0.7880054331)</f>
        <v>0.7880054331</v>
      </c>
      <c r="R221" s="26">
        <f>IFERROR(__xludf.DUMMYFUNCTION("""COMPUTED_VALUE"""),0.965890411)</f>
        <v>0.965890411</v>
      </c>
      <c r="S221" s="26">
        <f>IFERROR(__xludf.DUMMYFUNCTION("""COMPUTED_VALUE"""),-1.4912392606350349)</f>
        <v>-1.491239261</v>
      </c>
      <c r="T221" s="26">
        <f>IFERROR(__xludf.DUMMYFUNCTION("""COMPUTED_VALUE"""),-0.939514853877405)</f>
        <v>-0.9395148539</v>
      </c>
      <c r="U221" s="26">
        <f>IFERROR(__xludf.DUMMYFUNCTION("""COMPUTED_VALUE"""),-1.2411282982826366)</f>
        <v>-1.241128298</v>
      </c>
      <c r="V221" s="26">
        <f>IFERROR(__xludf.DUMMYFUNCTION("""COMPUTED_VALUE"""),-1.0682413712354244)</f>
        <v>-1.068241371</v>
      </c>
      <c r="W221" s="26">
        <f>IFERROR(__xludf.DUMMYFUNCTION("""COMPUTED_VALUE"""),-0.47213710675730075)</f>
        <v>-0.4721371068</v>
      </c>
      <c r="X221" s="26">
        <f>IFERROR(__xludf.DUMMYFUNCTION("""COMPUTED_VALUE"""),-0.7616583433736621)</f>
        <v>-0.7616583434</v>
      </c>
      <c r="Y221" s="26">
        <f>IFERROR(__xludf.DUMMYFUNCTION("""COMPUTED_VALUE"""),0.1695799409852547)</f>
        <v>0.169579941</v>
      </c>
      <c r="Z221" s="26">
        <f>IFERROR(__xludf.DUMMYFUNCTION("""COMPUTED_VALUE"""),-0.03212459178244764)</f>
        <v>-0.03212459178</v>
      </c>
      <c r="AA221" s="26">
        <f>IFERROR(__xludf.DUMMYFUNCTION("""COMPUTED_VALUE"""),0.0)</f>
        <v>0</v>
      </c>
      <c r="AB221" t="str">
        <f>IFERROR(__xludf.DUMMYFUNCTION("SUBSTITUTE(REGEXREPLACE(REGEXREPLACE(REGEXREPLACE(REGEXREPLACE(REGEXREPLACE(REGEXREPLACE(F221,"","",),IF(Projections!$T$17="""",""PG"",),),IF(Projections!$U$17="""",""SG"",),),IF(Projections!$V$17="""",""SF"",),),IF(Projections!$W$17="""",""PF"",),),IF(Pr"&amp;"ojections!$X$17="""",""C"",),),""/"","""")"),"PG")</f>
        <v>PG</v>
      </c>
    </row>
    <row r="222">
      <c r="B222">
        <f>IFERROR(__xludf.DUMMYFUNCTION("""COMPUTED_VALUE"""),222.0)</f>
        <v>222</v>
      </c>
      <c r="D222" t="str">
        <f>IFERROR(__xludf.DUMMYFUNCTION("""COMPUTED_VALUE"""),"Ryan Dunn")</f>
        <v>Ryan Dunn</v>
      </c>
      <c r="E222">
        <f>IFERROR(__xludf.DUMMYFUNCTION("""COMPUTED_VALUE"""),48.0)</f>
        <v>48</v>
      </c>
      <c r="F222" t="str">
        <f>IFERROR(__xludf.DUMMYFUNCTION("""COMPUTED_VALUE"""),"PF,C")</f>
        <v>PF,C</v>
      </c>
      <c r="G222" s="26">
        <f>IFERROR(__xludf.DUMMYFUNCTION("""COMPUTED_VALUE"""),-5.592119482217143)</f>
        <v>-5.592119482</v>
      </c>
      <c r="H222" s="26">
        <f>IFERROR(__xludf.DUMMYFUNCTION("""COMPUTED_VALUE"""),-5.863006560446936)</f>
        <v>-5.86300656</v>
      </c>
      <c r="I222" s="26">
        <f>IFERROR(__xludf.DUMMYFUNCTION("""COMPUTED_VALUE"""),-0.2708870782297934)</f>
        <v>-0.2708870782</v>
      </c>
      <c r="J222" s="26">
        <f>IFERROR(__xludf.DUMMYFUNCTION("""COMPUTED_VALUE"""),6.812191781)</f>
        <v>6.812191781</v>
      </c>
      <c r="K222" s="26">
        <f>IFERROR(__xludf.DUMMYFUNCTION("""COMPUTED_VALUE"""),1.06109589)</f>
        <v>1.06109589</v>
      </c>
      <c r="L222" s="26">
        <f>IFERROR(__xludf.DUMMYFUNCTION("""COMPUTED_VALUE"""),4.418767123)</f>
        <v>4.418767123</v>
      </c>
      <c r="M222" s="26">
        <f>IFERROR(__xludf.DUMMYFUNCTION("""COMPUTED_VALUE"""),0.6563013699)</f>
        <v>0.6563013699</v>
      </c>
      <c r="N222" s="26">
        <f>IFERROR(__xludf.DUMMYFUNCTION("""COMPUTED_VALUE"""),0.8750684932)</f>
        <v>0.8750684932</v>
      </c>
      <c r="O222" s="26">
        <f>IFERROR(__xludf.DUMMYFUNCTION("""COMPUTED_VALUE"""),1.312465753)</f>
        <v>1.312465753</v>
      </c>
      <c r="P222" s="464">
        <f>IFERROR(__xludf.DUMMYFUNCTION("""COMPUTED_VALUE"""),0.4184782609)</f>
        <v>0.4184782609</v>
      </c>
      <c r="Q222" s="464">
        <f>IFERROR(__xludf.DUMMYFUNCTION("""COMPUTED_VALUE"""),0.5100078274)</f>
        <v>0.5100078274</v>
      </c>
      <c r="R222" s="26">
        <f>IFERROR(__xludf.DUMMYFUNCTION("""COMPUTED_VALUE"""),0.6563013699)</f>
        <v>0.6563013699</v>
      </c>
      <c r="S222" s="26">
        <f>IFERROR(__xludf.DUMMYFUNCTION("""COMPUTED_VALUE"""),-1.9244948000303939)</f>
        <v>-1.9244948</v>
      </c>
      <c r="T222" s="26">
        <f>IFERROR(__xludf.DUMMYFUNCTION("""COMPUTED_VALUE"""),-0.6820210759851975)</f>
        <v>-0.682021076</v>
      </c>
      <c r="U222" s="26">
        <f>IFERROR(__xludf.DUMMYFUNCTION("""COMPUTED_VALUE"""),-0.6523551436964287)</f>
        <v>-0.6523551437</v>
      </c>
      <c r="V222" s="26">
        <f>IFERROR(__xludf.DUMMYFUNCTION("""COMPUTED_VALUE"""),-1.4882260836897427)</f>
        <v>-1.488226084</v>
      </c>
      <c r="W222" s="26">
        <f>IFERROR(__xludf.DUMMYFUNCTION("""COMPUTED_VALUE"""),-0.3339130543373681)</f>
        <v>-0.3339130543</v>
      </c>
      <c r="X222" s="26">
        <f>IFERROR(__xludf.DUMMYFUNCTION("""COMPUTED_VALUE"""),1.0056190134367526)</f>
        <v>1.005619013</v>
      </c>
      <c r="Y222" s="26">
        <f>IFERROR(__xludf.DUMMYFUNCTION("""COMPUTED_VALUE"""),-0.5611685401943509)</f>
        <v>-0.5611685402</v>
      </c>
      <c r="Z222" s="26">
        <f>IFERROR(__xludf.DUMMYFUNCTION("""COMPUTED_VALUE"""),-1.226446875950207)</f>
        <v>-1.226446876</v>
      </c>
      <c r="AA222" s="26">
        <f>IFERROR(__xludf.DUMMYFUNCTION("""COMPUTED_VALUE"""),0.0)</f>
        <v>0</v>
      </c>
      <c r="AB222" t="str">
        <f>IFERROR(__xludf.DUMMYFUNCTION("SUBSTITUTE(REGEXREPLACE(REGEXREPLACE(REGEXREPLACE(REGEXREPLACE(REGEXREPLACE(REGEXREPLACE(F222,"","",),IF(Projections!$T$17="""",""PG"",),),IF(Projections!$U$17="""",""SG"",),),IF(Projections!$V$17="""",""SF"",),),IF(Projections!$W$17="""",""PF"",),),IF(Pr"&amp;"ojections!$X$17="""",""C"",),),""/"","""")"),"PFC")</f>
        <v>PFC</v>
      </c>
    </row>
    <row r="223">
      <c r="B223">
        <f>IFERROR(__xludf.DUMMYFUNCTION("""COMPUTED_VALUE"""),227.0)</f>
        <v>227</v>
      </c>
      <c r="D223" t="str">
        <f>IFERROR(__xludf.DUMMYFUNCTION("""COMPUTED_VALUE"""),"Julian Strawther")</f>
        <v>Julian Strawther</v>
      </c>
      <c r="E223">
        <f>IFERROR(__xludf.DUMMYFUNCTION("""COMPUTED_VALUE"""),42.0)</f>
        <v>42</v>
      </c>
      <c r="F223" t="str">
        <f>IFERROR(__xludf.DUMMYFUNCTION("""COMPUTED_VALUE"""),"C")</f>
        <v>C</v>
      </c>
      <c r="G223" s="26">
        <f>IFERROR(__xludf.DUMMYFUNCTION("""COMPUTED_VALUE"""),-5.673263934802633)</f>
        <v>-5.673263935</v>
      </c>
      <c r="H223" s="26">
        <f>IFERROR(__xludf.DUMMYFUNCTION("""COMPUTED_VALUE"""),-5.867854543478493)</f>
        <v>-5.867854543</v>
      </c>
      <c r="I223" s="26">
        <f>IFERROR(__xludf.DUMMYFUNCTION("""COMPUTED_VALUE"""),-0.19459060867585976)</f>
        <v>-0.1945906087</v>
      </c>
      <c r="J223" s="26">
        <f>IFERROR(__xludf.DUMMYFUNCTION("""COMPUTED_VALUE"""),10.68279412)</f>
        <v>10.68279412</v>
      </c>
      <c r="K223" s="26">
        <f>IFERROR(__xludf.DUMMYFUNCTION("""COMPUTED_VALUE"""),1.9625)</f>
        <v>1.9625</v>
      </c>
      <c r="L223" s="26">
        <f>IFERROR(__xludf.DUMMYFUNCTION("""COMPUTED_VALUE"""),2.858382353)</f>
        <v>2.858382353</v>
      </c>
      <c r="M223" s="26">
        <f>IFERROR(__xludf.DUMMYFUNCTION("""COMPUTED_VALUE"""),2.222794118)</f>
        <v>2.222794118</v>
      </c>
      <c r="N223" s="26">
        <f>IFERROR(__xludf.DUMMYFUNCTION("""COMPUTED_VALUE"""),0.7561764706)</f>
        <v>0.7561764706</v>
      </c>
      <c r="O223" s="26">
        <f>IFERROR(__xludf.DUMMYFUNCTION("""COMPUTED_VALUE"""),0.2822058824)</f>
        <v>0.2822058824</v>
      </c>
      <c r="P223" s="464">
        <f>IFERROR(__xludf.DUMMYFUNCTION("""COMPUTED_VALUE"""),0.4183946001)</f>
        <v>0.4183946001</v>
      </c>
      <c r="Q223" s="464">
        <f>IFERROR(__xludf.DUMMYFUNCTION("""COMPUTED_VALUE"""),0.7181861124)</f>
        <v>0.7181861124</v>
      </c>
      <c r="R223" s="26">
        <f>IFERROR(__xludf.DUMMYFUNCTION("""COMPUTED_VALUE"""),0.9639705882)</f>
        <v>0.9639705882</v>
      </c>
      <c r="S223" s="26">
        <f>IFERROR(__xludf.DUMMYFUNCTION("""COMPUTED_VALUE"""),-1.226796903097078)</f>
        <v>-1.226796903</v>
      </c>
      <c r="T223" s="26">
        <f>IFERROR(__xludf.DUMMYFUNCTION("""COMPUTED_VALUE"""),0.21210738593127273)</f>
        <v>0.2121073859</v>
      </c>
      <c r="U223" s="26">
        <f>IFERROR(__xludf.DUMMYFUNCTION("""COMPUTED_VALUE"""),-1.2638808520377205)</f>
        <v>-1.263880852</v>
      </c>
      <c r="V223" s="26">
        <f>IFERROR(__xludf.DUMMYFUNCTION("""COMPUTED_VALUE"""),-0.7768215586051728)</f>
        <v>-0.7768215586</v>
      </c>
      <c r="W223" s="26">
        <f>IFERROR(__xludf.DUMMYFUNCTION("""COMPUTED_VALUE"""),-0.7272451233946551)</f>
        <v>-0.7272451234</v>
      </c>
      <c r="X223" s="26">
        <f>IFERROR(__xludf.DUMMYFUNCTION("""COMPUTED_VALUE"""),-0.8320017627766176)</f>
        <v>-0.8320017628</v>
      </c>
      <c r="Y223" s="26">
        <f>IFERROR(__xludf.DUMMYFUNCTION("""COMPUTED_VALUE"""),-0.8332686931264826)</f>
        <v>-0.8332686931</v>
      </c>
      <c r="Z223" s="26">
        <f>IFERROR(__xludf.DUMMYFUNCTION("""COMPUTED_VALUE"""),-0.41994703637203856)</f>
        <v>-0.4199470364</v>
      </c>
      <c r="AA223" s="26">
        <f>IFERROR(__xludf.DUMMYFUNCTION("""COMPUTED_VALUE"""),0.0)</f>
        <v>0</v>
      </c>
      <c r="AB223" t="str">
        <f>IFERROR(__xludf.DUMMYFUNCTION("SUBSTITUTE(REGEXREPLACE(REGEXREPLACE(REGEXREPLACE(REGEXREPLACE(REGEXREPLACE(REGEXREPLACE(F223,"","",),IF(Projections!$T$17="""",""PG"",),),IF(Projections!$U$17="""",""SG"",),),IF(Projections!$V$17="""",""SF"",),),IF(Projections!$W$17="""",""PF"",),),IF(Pr"&amp;"ojections!$X$17="""",""C"",),),""/"","""")"),"C")</f>
        <v>C</v>
      </c>
    </row>
    <row r="224">
      <c r="B224">
        <f>IFERROR(__xludf.DUMMYFUNCTION("""COMPUTED_VALUE"""),201.0)</f>
        <v>201</v>
      </c>
      <c r="C224">
        <f>IFERROR(__xludf.DUMMYFUNCTION("""COMPUTED_VALUE"""),145.5)</f>
        <v>145.5</v>
      </c>
      <c r="D224" t="str">
        <f>IFERROR(__xludf.DUMMYFUNCTION("""COMPUTED_VALUE"""),"Nick Richards")</f>
        <v>Nick Richards</v>
      </c>
      <c r="E224">
        <f>IFERROR(__xludf.DUMMYFUNCTION("""COMPUTED_VALUE"""),36.0)</f>
        <v>36</v>
      </c>
      <c r="F224" t="str">
        <f>IFERROR(__xludf.DUMMYFUNCTION("""COMPUTED_VALUE"""),"C")</f>
        <v>C</v>
      </c>
      <c r="G224" s="26">
        <f>IFERROR(__xludf.DUMMYFUNCTION("""COMPUTED_VALUE"""),-5.692171464384031)</f>
        <v>-5.692171464</v>
      </c>
      <c r="H224" s="26">
        <f>IFERROR(__xludf.DUMMYFUNCTION("""COMPUTED_VALUE"""),-5.874872019138086)</f>
        <v>-5.874872019</v>
      </c>
      <c r="I224" s="26">
        <f>IFERROR(__xludf.DUMMYFUNCTION("""COMPUTED_VALUE"""),-0.18270055475405478)</f>
        <v>-0.1827005548</v>
      </c>
      <c r="J224" s="26">
        <f>IFERROR(__xludf.DUMMYFUNCTION("""COMPUTED_VALUE"""),9.052739726)</f>
        <v>9.052739726</v>
      </c>
      <c r="K224" s="26">
        <f>IFERROR(__xludf.DUMMYFUNCTION("""COMPUTED_VALUE"""),0.0)</f>
        <v>0</v>
      </c>
      <c r="L224" s="26">
        <f>IFERROR(__xludf.DUMMYFUNCTION("""COMPUTED_VALUE"""),7.175616438)</f>
        <v>7.175616438</v>
      </c>
      <c r="M224" s="26">
        <f>IFERROR(__xludf.DUMMYFUNCTION("""COMPUTED_VALUE"""),0.5990410959)</f>
        <v>0.5990410959</v>
      </c>
      <c r="N224" s="26">
        <f>IFERROR(__xludf.DUMMYFUNCTION("""COMPUTED_VALUE"""),0.2726027397)</f>
        <v>0.2726027397</v>
      </c>
      <c r="O224" s="26">
        <f>IFERROR(__xludf.DUMMYFUNCTION("""COMPUTED_VALUE"""),0.8026027397)</f>
        <v>0.8026027397</v>
      </c>
      <c r="P224" s="464">
        <f>IFERROR(__xludf.DUMMYFUNCTION("""COMPUTED_VALUE"""),0.6760096735)</f>
        <v>0.6760096735</v>
      </c>
      <c r="Q224" s="464">
        <f>IFERROR(__xludf.DUMMYFUNCTION("""COMPUTED_VALUE"""),0.7239687055)</f>
        <v>0.7239687055</v>
      </c>
      <c r="R224" s="26">
        <f>IFERROR(__xludf.DUMMYFUNCTION("""COMPUTED_VALUE"""),1.011917808)</f>
        <v>1.011917808</v>
      </c>
      <c r="S224" s="26">
        <f>IFERROR(__xludf.DUMMYFUNCTION("""COMPUTED_VALUE"""),-1.5206233990720008)</f>
        <v>-1.520623399</v>
      </c>
      <c r="T224" s="26">
        <f>IFERROR(__xludf.DUMMYFUNCTION("""COMPUTED_VALUE"""),-1.7345523719336797)</f>
        <v>-1.734552372</v>
      </c>
      <c r="U224" s="26">
        <f>IFERROR(__xludf.DUMMYFUNCTION("""COMPUTED_VALUE"""),0.42807339069998146)</f>
        <v>0.4280733907</v>
      </c>
      <c r="V224" s="26">
        <f>IFERROR(__xludf.DUMMYFUNCTION("""COMPUTED_VALUE"""),-1.5142301734505093)</f>
        <v>-1.514230173</v>
      </c>
      <c r="W224" s="26">
        <f>IFERROR(__xludf.DUMMYFUNCTION("""COMPUTED_VALUE"""),-2.3270585671996624)</f>
        <v>-2.327058567</v>
      </c>
      <c r="X224" s="26">
        <f>IFERROR(__xludf.DUMMYFUNCTION("""COMPUTED_VALUE"""),0.09620295929384565)</f>
        <v>0.09620295929</v>
      </c>
      <c r="Y224" s="26">
        <f>IFERROR(__xludf.DUMMYFUNCTION("""COMPUTED_VALUE"""),1.1777966875570223)</f>
        <v>1.177796688</v>
      </c>
      <c r="Z224" s="26">
        <f>IFERROR(__xludf.DUMMYFUNCTION("""COMPUTED_VALUE"""),-0.4804805450330826)</f>
        <v>-0.480480545</v>
      </c>
      <c r="AA224" s="26">
        <f>IFERROR(__xludf.DUMMYFUNCTION("""COMPUTED_VALUE"""),0.0)</f>
        <v>0</v>
      </c>
      <c r="AB224" t="str">
        <f>IFERROR(__xludf.DUMMYFUNCTION("SUBSTITUTE(REGEXREPLACE(REGEXREPLACE(REGEXREPLACE(REGEXREPLACE(REGEXREPLACE(REGEXREPLACE(F224,"","",),IF(Projections!$T$17="""",""PG"",),),IF(Projections!$U$17="""",""SG"",),),IF(Projections!$V$17="""",""SF"",),),IF(Projections!$W$17="""",""PF"",),),IF(Pr"&amp;"ojections!$X$17="""",""C"",),),""/"","""")"),"C")</f>
        <v>C</v>
      </c>
    </row>
    <row r="225">
      <c r="B225">
        <f>IFERROR(__xludf.DUMMYFUNCTION("""COMPUTED_VALUE"""),226.0)</f>
        <v>226</v>
      </c>
      <c r="D225" t="str">
        <f>IFERROR(__xludf.DUMMYFUNCTION("""COMPUTED_VALUE"""),"Ron Holland")</f>
        <v>Ron Holland</v>
      </c>
      <c r="E225">
        <f>IFERROR(__xludf.DUMMYFUNCTION("""COMPUTED_VALUE"""),45.0)</f>
        <v>45</v>
      </c>
      <c r="F225" t="str">
        <f>IFERROR(__xludf.DUMMYFUNCTION("""COMPUTED_VALUE"""),"SG,SF")</f>
        <v>SG,SF</v>
      </c>
      <c r="G225" s="26">
        <f>IFERROR(__xludf.DUMMYFUNCTION("""COMPUTED_VALUE"""),-5.9142500035176475)</f>
        <v>-5.914250004</v>
      </c>
      <c r="H225" s="26">
        <f>IFERROR(__xludf.DUMMYFUNCTION("""COMPUTED_VALUE"""),-5.877341995794221)</f>
        <v>-5.877341996</v>
      </c>
      <c r="I225" s="26">
        <f>IFERROR(__xludf.DUMMYFUNCTION("""COMPUTED_VALUE"""),0.03690800772342673)</f>
        <v>0.03690800772</v>
      </c>
      <c r="J225" s="26">
        <f>IFERROR(__xludf.DUMMYFUNCTION("""COMPUTED_VALUE"""),8.642794118)</f>
        <v>8.642794118</v>
      </c>
      <c r="K225" s="26">
        <f>IFERROR(__xludf.DUMMYFUNCTION("""COMPUTED_VALUE"""),0.5645588235)</f>
        <v>0.5645588235</v>
      </c>
      <c r="L225" s="26">
        <f>IFERROR(__xludf.DUMMYFUNCTION("""COMPUTED_VALUE"""),3.984705882)</f>
        <v>3.984705882</v>
      </c>
      <c r="M225" s="26">
        <f>IFERROR(__xludf.DUMMYFUNCTION("""COMPUTED_VALUE"""),1.755147059)</f>
        <v>1.755147059</v>
      </c>
      <c r="N225" s="26">
        <f>IFERROR(__xludf.DUMMYFUNCTION("""COMPUTED_VALUE"""),1.138529412)</f>
        <v>1.138529412</v>
      </c>
      <c r="O225" s="26">
        <f>IFERROR(__xludf.DUMMYFUNCTION("""COMPUTED_VALUE"""),0.2845588235)</f>
        <v>0.2845588235</v>
      </c>
      <c r="P225" s="464">
        <f>IFERROR(__xludf.DUMMYFUNCTION("""COMPUTED_VALUE"""),0.4254963096)</f>
        <v>0.4254963096</v>
      </c>
      <c r="Q225" s="464">
        <f>IFERROR(__xludf.DUMMYFUNCTION("""COMPUTED_VALUE"""),0.7289740203)</f>
        <v>0.7289740203</v>
      </c>
      <c r="R225" s="26">
        <f>IFERROR(__xludf.DUMMYFUNCTION("""COMPUTED_VALUE"""),1.8975)</f>
        <v>1.8975</v>
      </c>
      <c r="S225" s="26">
        <f>IFERROR(__xludf.DUMMYFUNCTION("""COMPUTED_VALUE"""),-1.5945184064915812)</f>
        <v>-1.594518406</v>
      </c>
      <c r="T225" s="26">
        <f>IFERROR(__xludf.DUMMYFUNCTION("""COMPUTED_VALUE"""),-1.1745503629374847)</f>
        <v>-1.174550363</v>
      </c>
      <c r="U225" s="26">
        <f>IFERROR(__xludf.DUMMYFUNCTION("""COMPUTED_VALUE"""),-0.8224667808832138)</f>
        <v>-0.8224667809</v>
      </c>
      <c r="V225" s="26">
        <f>IFERROR(__xludf.DUMMYFUNCTION("""COMPUTED_VALUE"""),-0.9891980501775762)</f>
        <v>-0.9891980502</v>
      </c>
      <c r="W225" s="26">
        <f>IFERROR(__xludf.DUMMYFUNCTION("""COMPUTED_VALUE"""),0.5376982282461774)</f>
        <v>0.5376982282</v>
      </c>
      <c r="X225" s="26">
        <f>IFERROR(__xludf.DUMMYFUNCTION("""COMPUTED_VALUE"""),-0.8278049445039151)</f>
        <v>-0.8278049445</v>
      </c>
      <c r="Y225" s="26">
        <f>IFERROR(__xludf.DUMMYFUNCTION("""COMPUTED_VALUE"""),-0.6967330657116546)</f>
        <v>-0.6967330657</v>
      </c>
      <c r="Z225" s="26">
        <f>IFERROR(__xludf.DUMMYFUNCTION("""COMPUTED_VALUE"""),-0.309768613334973)</f>
        <v>-0.3097686133</v>
      </c>
      <c r="AA225" s="26">
        <f>IFERROR(__xludf.DUMMYFUNCTION("""COMPUTED_VALUE"""),0.0)</f>
        <v>0</v>
      </c>
      <c r="AB225" t="str">
        <f>IFERROR(__xludf.DUMMYFUNCTION("SUBSTITUTE(REGEXREPLACE(REGEXREPLACE(REGEXREPLACE(REGEXREPLACE(REGEXREPLACE(REGEXREPLACE(F225,"","",),IF(Projections!$T$17="""",""PG"",),),IF(Projections!$U$17="""",""SG"",),),IF(Projections!$V$17="""",""SF"",),),IF(Projections!$W$17="""",""PF"",),),IF(Pr"&amp;"ojections!$X$17="""",""C"",),),""/"","""")"),"SGSF")</f>
        <v>SGSF</v>
      </c>
    </row>
    <row r="226">
      <c r="B226">
        <f>IFERROR(__xludf.DUMMYFUNCTION("""COMPUTED_VALUE"""),218.0)</f>
        <v>218</v>
      </c>
      <c r="D226" t="str">
        <f>IFERROR(__xludf.DUMMYFUNCTION("""COMPUTED_VALUE"""),"Naji Marshall")</f>
        <v>Naji Marshall</v>
      </c>
      <c r="E226">
        <f>IFERROR(__xludf.DUMMYFUNCTION("""COMPUTED_VALUE"""),65.0)</f>
        <v>65</v>
      </c>
      <c r="F226" t="str">
        <f>IFERROR(__xludf.DUMMYFUNCTION("""COMPUTED_VALUE"""),"C")</f>
        <v>C</v>
      </c>
      <c r="G226" s="26">
        <f>IFERROR(__xludf.DUMMYFUNCTION("""COMPUTED_VALUE"""),-5.709495011580472)</f>
        <v>-5.709495012</v>
      </c>
      <c r="H226" s="26">
        <f>IFERROR(__xludf.DUMMYFUNCTION("""COMPUTED_VALUE"""),-5.892671148456427)</f>
        <v>-5.892671148</v>
      </c>
      <c r="I226" s="26">
        <f>IFERROR(__xludf.DUMMYFUNCTION("""COMPUTED_VALUE"""),-0.18317613687595458)</f>
        <v>-0.1831761369</v>
      </c>
      <c r="J226" s="26">
        <f>IFERROR(__xludf.DUMMYFUNCTION("""COMPUTED_VALUE"""),7.849863014)</f>
        <v>7.849863014</v>
      </c>
      <c r="K226" s="26">
        <f>IFERROR(__xludf.DUMMYFUNCTION("""COMPUTED_VALUE"""),0.9264383562)</f>
        <v>0.9264383562</v>
      </c>
      <c r="L226" s="26">
        <f>IFERROR(__xludf.DUMMYFUNCTION("""COMPUTED_VALUE"""),4.242054795)</f>
        <v>4.242054795</v>
      </c>
      <c r="M226" s="26">
        <f>IFERROR(__xludf.DUMMYFUNCTION("""COMPUTED_VALUE"""),2.171506849)</f>
        <v>2.171506849</v>
      </c>
      <c r="N226" s="26">
        <f>IFERROR(__xludf.DUMMYFUNCTION("""COMPUTED_VALUE"""),0.8584931507)</f>
        <v>0.8584931507</v>
      </c>
      <c r="O226" s="26">
        <f>IFERROR(__xludf.DUMMYFUNCTION("""COMPUTED_VALUE"""),0.1960273973)</f>
        <v>0.1960273973</v>
      </c>
      <c r="P226" s="464">
        <f>IFERROR(__xludf.DUMMYFUNCTION("""COMPUTED_VALUE"""),0.4497436818)</f>
        <v>0.4497436818</v>
      </c>
      <c r="Q226" s="464">
        <f>IFERROR(__xludf.DUMMYFUNCTION("""COMPUTED_VALUE"""),0.7760364724)</f>
        <v>0.7760364724</v>
      </c>
      <c r="R226" s="26">
        <f>IFERROR(__xludf.DUMMYFUNCTION("""COMPUTED_VALUE"""),1.01)</f>
        <v>1.01</v>
      </c>
      <c r="S226" s="26">
        <f>IFERROR(__xludf.DUMMYFUNCTION("""COMPUTED_VALUE"""),-1.7374487091216215)</f>
        <v>-1.737448709</v>
      </c>
      <c r="T226" s="26">
        <f>IFERROR(__xludf.DUMMYFUNCTION("""COMPUTED_VALUE"""),-0.815591726758089)</f>
        <v>-0.8155917268</v>
      </c>
      <c r="U226" s="26">
        <f>IFERROR(__xludf.DUMMYFUNCTION("""COMPUTED_VALUE"""),-0.7216099413786946)</f>
        <v>-0.7216099414</v>
      </c>
      <c r="V226" s="26">
        <f>IFERROR(__xludf.DUMMYFUNCTION("""COMPUTED_VALUE"""),-0.8001130773754215)</f>
        <v>-0.8001130774</v>
      </c>
      <c r="W226" s="26">
        <f>IFERROR(__xludf.DUMMYFUNCTION("""COMPUTED_VALUE"""),-0.3887494816962732)</f>
        <v>-0.3887494817</v>
      </c>
      <c r="X226" s="26">
        <f>IFERROR(__xludf.DUMMYFUNCTION("""COMPUTED_VALUE"""),-0.9857138301894027)</f>
        <v>-0.9857138302</v>
      </c>
      <c r="Y226" s="26">
        <f>IFERROR(__xludf.DUMMYFUNCTION("""COMPUTED_VALUE"""),-0.37945629080693327)</f>
        <v>-0.3794562908</v>
      </c>
      <c r="Z226" s="26">
        <f>IFERROR(__xludf.DUMMYFUNCTION("""COMPUTED_VALUE"""),-0.06398809112999082)</f>
        <v>-0.06398809113</v>
      </c>
      <c r="AA226" s="26">
        <f>IFERROR(__xludf.DUMMYFUNCTION("""COMPUTED_VALUE"""),0.0)</f>
        <v>0</v>
      </c>
      <c r="AB226" t="str">
        <f>IFERROR(__xludf.DUMMYFUNCTION("SUBSTITUTE(REGEXREPLACE(REGEXREPLACE(REGEXREPLACE(REGEXREPLACE(REGEXREPLACE(REGEXREPLACE(F226,"","",),IF(Projections!$T$17="""",""PG"",),),IF(Projections!$U$17="""",""SG"",),),IF(Projections!$V$17="""",""SF"",),),IF(Projections!$W$17="""",""PF"",),),IF(Pr"&amp;"ojections!$X$17="""",""C"",),),""/"","""")"),"C")</f>
        <v>C</v>
      </c>
    </row>
    <row r="227">
      <c r="B227">
        <f>IFERROR(__xludf.DUMMYFUNCTION("""COMPUTED_VALUE"""),215.0)</f>
        <v>215</v>
      </c>
      <c r="D227" t="str">
        <f>IFERROR(__xludf.DUMMYFUNCTION("""COMPUTED_VALUE"""),"Gary Payton II")</f>
        <v>Gary Payton II</v>
      </c>
      <c r="E227">
        <f>IFERROR(__xludf.DUMMYFUNCTION("""COMPUTED_VALUE"""),60.0)</f>
        <v>60</v>
      </c>
      <c r="F227" t="str">
        <f>IFERROR(__xludf.DUMMYFUNCTION("""COMPUTED_VALUE"""),"SF")</f>
        <v>SF</v>
      </c>
      <c r="G227" s="26">
        <f>IFERROR(__xludf.DUMMYFUNCTION("""COMPUTED_VALUE"""),-5.636803177989359)</f>
        <v>-5.636803178</v>
      </c>
      <c r="H227" s="26">
        <f>IFERROR(__xludf.DUMMYFUNCTION("""COMPUTED_VALUE"""),-5.902943926119593)</f>
        <v>-5.902943926</v>
      </c>
      <c r="I227" s="26">
        <f>IFERROR(__xludf.DUMMYFUNCTION("""COMPUTED_VALUE"""),-0.26614074813023425)</f>
        <v>-0.2661407481</v>
      </c>
      <c r="J227" s="26">
        <f>IFERROR(__xludf.DUMMYFUNCTION("""COMPUTED_VALUE"""),5.900735294)</f>
        <v>5.900735294</v>
      </c>
      <c r="K227" s="26">
        <f>IFERROR(__xludf.DUMMYFUNCTION("""COMPUTED_VALUE"""),0.5298529412)</f>
        <v>0.5298529412</v>
      </c>
      <c r="L227" s="26">
        <f>IFERROR(__xludf.DUMMYFUNCTION("""COMPUTED_VALUE"""),3.225)</f>
        <v>3.225</v>
      </c>
      <c r="M227" s="26">
        <f>IFERROR(__xludf.DUMMYFUNCTION("""COMPUTED_VALUE"""),1.195294118)</f>
        <v>1.195294118</v>
      </c>
      <c r="N227" s="26">
        <f>IFERROR(__xludf.DUMMYFUNCTION("""COMPUTED_VALUE"""),1.123382353)</f>
        <v>1.123382353</v>
      </c>
      <c r="O227" s="26">
        <f>IFERROR(__xludf.DUMMYFUNCTION("""COMPUTED_VALUE"""),0.3752941176)</f>
        <v>0.3752941176</v>
      </c>
      <c r="P227" s="464">
        <f>IFERROR(__xludf.DUMMYFUNCTION("""COMPUTED_VALUE"""),0.5452675558)</f>
        <v>0.5452675558</v>
      </c>
      <c r="Q227" s="464">
        <f>IFERROR(__xludf.DUMMYFUNCTION("""COMPUTED_VALUE"""),0.6420426376)</f>
        <v>0.6420426376</v>
      </c>
      <c r="R227" s="26">
        <f>IFERROR(__xludf.DUMMYFUNCTION("""COMPUTED_VALUE"""),0.6754411765)</f>
        <v>0.6754411765</v>
      </c>
      <c r="S227" s="26">
        <f>IFERROR(__xludf.DUMMYFUNCTION("""COMPUTED_VALUE"""),-2.0887899712802573)</f>
        <v>-2.088789971</v>
      </c>
      <c r="T227" s="26">
        <f>IFERROR(__xludf.DUMMYFUNCTION("""COMPUTED_VALUE"""),-1.2089761180633993)</f>
        <v>-1.208976118</v>
      </c>
      <c r="U227" s="26">
        <f>IFERROR(__xludf.DUMMYFUNCTION("""COMPUTED_VALUE"""),-1.120200831197673)</f>
        <v>-1.120200831</v>
      </c>
      <c r="V227" s="26">
        <f>IFERROR(__xludf.DUMMYFUNCTION("""COMPUTED_VALUE"""),-1.2434487743461886)</f>
        <v>-1.243448774</v>
      </c>
      <c r="W227" s="26">
        <f>IFERROR(__xludf.DUMMYFUNCTION("""COMPUTED_VALUE"""),0.4875870102997279)</f>
        <v>0.4875870103</v>
      </c>
      <c r="X227" s="26">
        <f>IFERROR(__xludf.DUMMYFUNCTION("""COMPUTED_VALUE"""),-0.6659651346345017)</f>
        <v>-0.6659651346</v>
      </c>
      <c r="Y227" s="26">
        <f>IFERROR(__xludf.DUMMYFUNCTION("""COMPUTED_VALUE"""),0.25558249970026237)</f>
        <v>0.2555824997</v>
      </c>
      <c r="Z227" s="26">
        <f>IFERROR(__xludf.DUMMYFUNCTION("""COMPUTED_VALUE"""),-0.3187326065975625)</f>
        <v>-0.3187326066</v>
      </c>
      <c r="AA227" s="26">
        <f>IFERROR(__xludf.DUMMYFUNCTION("""COMPUTED_VALUE"""),0.0)</f>
        <v>0</v>
      </c>
      <c r="AB227" t="str">
        <f>IFERROR(__xludf.DUMMYFUNCTION("SUBSTITUTE(REGEXREPLACE(REGEXREPLACE(REGEXREPLACE(REGEXREPLACE(REGEXREPLACE(REGEXREPLACE(F227,"","",),IF(Projections!$T$17="""",""PG"",),),IF(Projections!$U$17="""",""SG"",),),IF(Projections!$V$17="""",""SF"",),),IF(Projections!$W$17="""",""PF"",),),IF(Pr"&amp;"ojections!$X$17="""",""C"",),),""/"","""")"),"SF")</f>
        <v>SF</v>
      </c>
    </row>
    <row r="228">
      <c r="B228">
        <f>IFERROR(__xludf.DUMMYFUNCTION("""COMPUTED_VALUE"""),224.0)</f>
        <v>224</v>
      </c>
      <c r="D228" t="str">
        <f>IFERROR(__xludf.DUMMYFUNCTION("""COMPUTED_VALUE"""),"Kobe Bufkin")</f>
        <v>Kobe Bufkin</v>
      </c>
      <c r="E228">
        <f>IFERROR(__xludf.DUMMYFUNCTION("""COMPUTED_VALUE"""),70.0)</f>
        <v>70</v>
      </c>
      <c r="F228" t="str">
        <f>IFERROR(__xludf.DUMMYFUNCTION("""COMPUTED_VALUE"""),"SG,SF")</f>
        <v>SG,SF</v>
      </c>
      <c r="G228" s="26">
        <f>IFERROR(__xludf.DUMMYFUNCTION("""COMPUTED_VALUE"""),-5.7896806582098295)</f>
        <v>-5.789680658</v>
      </c>
      <c r="H228" s="26">
        <f>IFERROR(__xludf.DUMMYFUNCTION("""COMPUTED_VALUE"""),-5.9443388495884)</f>
        <v>-5.94433885</v>
      </c>
      <c r="I228" s="26">
        <f>IFERROR(__xludf.DUMMYFUNCTION("""COMPUTED_VALUE"""),-0.1546581913785703)</f>
        <v>-0.1546581914</v>
      </c>
      <c r="J228" s="26">
        <f>IFERROR(__xludf.DUMMYFUNCTION("""COMPUTED_VALUE"""),9.903970588)</f>
        <v>9.903970588</v>
      </c>
      <c r="K228" s="26">
        <f>IFERROR(__xludf.DUMMYFUNCTION("""COMPUTED_VALUE"""),1.357941176)</f>
        <v>1.357941176</v>
      </c>
      <c r="L228" s="26">
        <f>IFERROR(__xludf.DUMMYFUNCTION("""COMPUTED_VALUE"""),2.656176471)</f>
        <v>2.656176471</v>
      </c>
      <c r="M228" s="26">
        <f>IFERROR(__xludf.DUMMYFUNCTION("""COMPUTED_VALUE"""),3.166617647)</f>
        <v>3.166617647</v>
      </c>
      <c r="N228" s="26">
        <f>IFERROR(__xludf.DUMMYFUNCTION("""COMPUTED_VALUE"""),0.6467647059)</f>
        <v>0.6467647059</v>
      </c>
      <c r="O228" s="26">
        <f>IFERROR(__xludf.DUMMYFUNCTION("""COMPUTED_VALUE"""),0.3461764706)</f>
        <v>0.3461764706</v>
      </c>
      <c r="P228" s="464">
        <f>IFERROR(__xludf.DUMMYFUNCTION("""COMPUTED_VALUE"""),0.4354228587)</f>
        <v>0.4354228587</v>
      </c>
      <c r="Q228" s="464">
        <f>IFERROR(__xludf.DUMMYFUNCTION("""COMPUTED_VALUE"""),0.7800023835)</f>
        <v>0.7800023835</v>
      </c>
      <c r="R228" s="26">
        <f>IFERROR(__xludf.DUMMYFUNCTION("""COMPUTED_VALUE"""),1.125)</f>
        <v>1.125</v>
      </c>
      <c r="S228" s="26">
        <f>IFERROR(__xludf.DUMMYFUNCTION("""COMPUTED_VALUE"""),-1.3671842363251576)</f>
        <v>-1.367184236</v>
      </c>
      <c r="T228" s="26">
        <f>IFERROR(__xludf.DUMMYFUNCTION("""COMPUTED_VALUE"""),-0.387571765122465)</f>
        <v>-0.3875717651</v>
      </c>
      <c r="U228" s="26">
        <f>IFERROR(__xludf.DUMMYFUNCTION("""COMPUTED_VALUE"""),-1.3431267518940908)</f>
        <v>-1.343126752</v>
      </c>
      <c r="V228" s="26">
        <f>IFERROR(__xludf.DUMMYFUNCTION("""COMPUTED_VALUE"""),-0.3481950423150221)</f>
        <v>-0.3481950423</v>
      </c>
      <c r="W228" s="26">
        <f>IFERROR(__xludf.DUMMYFUNCTION("""COMPUTED_VALUE"""),-1.0892135284023436)</f>
        <v>-1.089213528</v>
      </c>
      <c r="X228" s="26">
        <f>IFERROR(__xludf.DUMMYFUNCTION("""COMPUTED_VALUE"""),-0.7179007623421843)</f>
        <v>-0.7179007623</v>
      </c>
      <c r="Y228" s="26">
        <f>IFERROR(__xludf.DUMMYFUNCTION("""COMPUTED_VALUE"""),-0.6262185528986662)</f>
        <v>-0.6262185529</v>
      </c>
      <c r="Z228" s="26">
        <f>IFERROR(__xludf.DUMMYFUNCTION("""COMPUTED_VALUE"""),-0.06492821028847062)</f>
        <v>-0.06492821029</v>
      </c>
      <c r="AA228" s="26">
        <f>IFERROR(__xludf.DUMMYFUNCTION("""COMPUTED_VALUE"""),0.0)</f>
        <v>0</v>
      </c>
      <c r="AB228" t="str">
        <f>IFERROR(__xludf.DUMMYFUNCTION("SUBSTITUTE(REGEXREPLACE(REGEXREPLACE(REGEXREPLACE(REGEXREPLACE(REGEXREPLACE(REGEXREPLACE(F228,"","",),IF(Projections!$T$17="""",""PG"",),),IF(Projections!$U$17="""",""SG"",),),IF(Projections!$V$17="""",""SF"",),),IF(Projections!$W$17="""",""PF"",),),IF(Pr"&amp;"ojections!$X$17="""",""C"",),),""/"","""")"),"SGSF")</f>
        <v>SGSF</v>
      </c>
    </row>
    <row r="229">
      <c r="B229">
        <f>IFERROR(__xludf.DUMMYFUNCTION("""COMPUTED_VALUE"""),220.0)</f>
        <v>220</v>
      </c>
      <c r="D229" t="str">
        <f>IFERROR(__xludf.DUMMYFUNCTION("""COMPUTED_VALUE"""),"Derrick Jones")</f>
        <v>Derrick Jones</v>
      </c>
      <c r="E229">
        <f>IFERROR(__xludf.DUMMYFUNCTION("""COMPUTED_VALUE"""),60.0)</f>
        <v>60</v>
      </c>
      <c r="F229" t="str">
        <f>IFERROR(__xludf.DUMMYFUNCTION("""COMPUTED_VALUE"""),"SF")</f>
        <v>SF</v>
      </c>
      <c r="G229" s="26">
        <f>IFERROR(__xludf.DUMMYFUNCTION("""COMPUTED_VALUE"""),-5.737586944285988)</f>
        <v>-5.737586944</v>
      </c>
      <c r="H229" s="26">
        <f>IFERROR(__xludf.DUMMYFUNCTION("""COMPUTED_VALUE"""),-5.968694970488882)</f>
        <v>-5.96869497</v>
      </c>
      <c r="I229" s="26">
        <f>IFERROR(__xludf.DUMMYFUNCTION("""COMPUTED_VALUE"""),-0.23110802620289395)</f>
        <v>-0.2311080262</v>
      </c>
      <c r="J229" s="26">
        <f>IFERROR(__xludf.DUMMYFUNCTION("""COMPUTED_VALUE"""),9.105205479)</f>
        <v>9.105205479</v>
      </c>
      <c r="K229" s="26">
        <f>IFERROR(__xludf.DUMMYFUNCTION("""COMPUTED_VALUE"""),0.964109589)</f>
        <v>0.964109589</v>
      </c>
      <c r="L229" s="26">
        <f>IFERROR(__xludf.DUMMYFUNCTION("""COMPUTED_VALUE"""),3.828082192)</f>
        <v>3.828082192</v>
      </c>
      <c r="M229" s="26">
        <f>IFERROR(__xludf.DUMMYFUNCTION("""COMPUTED_VALUE"""),0.9187671233)</f>
        <v>0.9187671233</v>
      </c>
      <c r="N229" s="26">
        <f>IFERROR(__xludf.DUMMYFUNCTION("""COMPUTED_VALUE"""),0.7275342466)</f>
        <v>0.7275342466</v>
      </c>
      <c r="O229" s="26">
        <f>IFERROR(__xludf.DUMMYFUNCTION("""COMPUTED_VALUE"""),0.8167123288)</f>
        <v>0.8167123288</v>
      </c>
      <c r="P229" s="464">
        <f>IFERROR(__xludf.DUMMYFUNCTION("""COMPUTED_VALUE"""),0.4751481172)</f>
        <v>0.4751481172</v>
      </c>
      <c r="Q229" s="464">
        <f>IFERROR(__xludf.DUMMYFUNCTION("""COMPUTED_VALUE"""),0.7240134445)</f>
        <v>0.7240134445</v>
      </c>
      <c r="R229" s="26">
        <f>IFERROR(__xludf.DUMMYFUNCTION("""COMPUTED_VALUE"""),0.8167123288)</f>
        <v>0.8167123288</v>
      </c>
      <c r="S229" s="26">
        <f>IFERROR(__xludf.DUMMYFUNCTION("""COMPUTED_VALUE"""),-1.5111661512528978)</f>
        <v>-1.511166151</v>
      </c>
      <c r="T229" s="26">
        <f>IFERROR(__xludf.DUMMYFUNCTION("""COMPUTED_VALUE"""),-0.7782245558429695)</f>
        <v>-0.7782245558</v>
      </c>
      <c r="U229" s="26">
        <f>IFERROR(__xludf.DUMMYFUNCTION("""COMPUTED_VALUE"""),-0.8838487007863906)</f>
        <v>-0.8838487008</v>
      </c>
      <c r="V229" s="26">
        <f>IFERROR(__xludf.DUMMYFUNCTION("""COMPUTED_VALUE"""),-1.3690303038976162)</f>
        <v>-1.369030304</v>
      </c>
      <c r="W229" s="26">
        <f>IFERROR(__xludf.DUMMYFUNCTION("""COMPUTED_VALUE"""),-0.8220025762662013)</f>
        <v>-0.8220025763</v>
      </c>
      <c r="X229" s="26">
        <f>IFERROR(__xludf.DUMMYFUNCTION("""COMPUTED_VALUE"""),0.12136949718772078)</f>
        <v>0.1213694972</v>
      </c>
      <c r="Y229" s="26">
        <f>IFERROR(__xludf.DUMMYFUNCTION("""COMPUTED_VALUE"""),-0.1771053367366896)</f>
        <v>-0.1771053367</v>
      </c>
      <c r="Z229" s="26">
        <f>IFERROR(__xludf.DUMMYFUNCTION("""COMPUTED_VALUE"""),-0.5486868428938386)</f>
        <v>-0.5486868429</v>
      </c>
      <c r="AA229" s="26">
        <f>IFERROR(__xludf.DUMMYFUNCTION("""COMPUTED_VALUE"""),0.0)</f>
        <v>0</v>
      </c>
      <c r="AB229" t="str">
        <f>IFERROR(__xludf.DUMMYFUNCTION("SUBSTITUTE(REGEXREPLACE(REGEXREPLACE(REGEXREPLACE(REGEXREPLACE(REGEXREPLACE(REGEXREPLACE(F229,"","",),IF(Projections!$T$17="""",""PG"",),),IF(Projections!$U$17="""",""SG"",),),IF(Projections!$V$17="""",""SF"",),),IF(Projections!$W$17="""",""PF"",),),IF(Pr"&amp;"ojections!$X$17="""",""C"",),),""/"","""")"),"SF")</f>
        <v>SF</v>
      </c>
    </row>
    <row r="230">
      <c r="B230">
        <f>IFERROR(__xludf.DUMMYFUNCTION("""COMPUTED_VALUE"""),217.0)</f>
        <v>217</v>
      </c>
      <c r="C230">
        <f>IFERROR(__xludf.DUMMYFUNCTION("""COMPUTED_VALUE"""),143.2)</f>
        <v>143.2</v>
      </c>
      <c r="D230" t="str">
        <f>IFERROR(__xludf.DUMMYFUNCTION("""COMPUTED_VALUE"""),"Zach Collins")</f>
        <v>Zach Collins</v>
      </c>
      <c r="E230">
        <f>IFERROR(__xludf.DUMMYFUNCTION("""COMPUTED_VALUE"""),10.0)</f>
        <v>10</v>
      </c>
      <c r="F230" t="str">
        <f>IFERROR(__xludf.DUMMYFUNCTION("""COMPUTED_VALUE"""),"SF,PF")</f>
        <v>SF,PF</v>
      </c>
      <c r="G230" s="26">
        <f>IFERROR(__xludf.DUMMYFUNCTION("""COMPUTED_VALUE"""),-5.90150333757797)</f>
        <v>-5.901503338</v>
      </c>
      <c r="H230" s="26">
        <f>IFERROR(__xludf.DUMMYFUNCTION("""COMPUTED_VALUE"""),-6.00036554863557)</f>
        <v>-6.000365549</v>
      </c>
      <c r="I230" s="26">
        <f>IFERROR(__xludf.DUMMYFUNCTION("""COMPUTED_VALUE"""),-0.09886221105760029)</f>
        <v>-0.09886221106</v>
      </c>
      <c r="J230" s="26">
        <f>IFERROR(__xludf.DUMMYFUNCTION("""COMPUTED_VALUE"""),9.335147059)</f>
        <v>9.335147059</v>
      </c>
      <c r="K230" s="26">
        <f>IFERROR(__xludf.DUMMYFUNCTION("""COMPUTED_VALUE"""),0.6720588235)</f>
        <v>0.6720588235</v>
      </c>
      <c r="L230" s="26">
        <f>IFERROR(__xludf.DUMMYFUNCTION("""COMPUTED_VALUE"""),4.725)</f>
        <v>4.725</v>
      </c>
      <c r="M230" s="26">
        <f>IFERROR(__xludf.DUMMYFUNCTION("""COMPUTED_VALUE"""),2.0625)</f>
        <v>2.0625</v>
      </c>
      <c r="N230" s="26">
        <f>IFERROR(__xludf.DUMMYFUNCTION("""COMPUTED_VALUE"""),0.4125)</f>
        <v>0.4125</v>
      </c>
      <c r="O230" s="26">
        <f>IFERROR(__xludf.DUMMYFUNCTION("""COMPUTED_VALUE"""),0.75)</f>
        <v>0.75</v>
      </c>
      <c r="P230" s="464">
        <f>IFERROR(__xludf.DUMMYFUNCTION("""COMPUTED_VALUE"""),0.4972486243)</f>
        <v>0.4972486243</v>
      </c>
      <c r="Q230" s="464">
        <f>IFERROR(__xludf.DUMMYFUNCTION("""COMPUTED_VALUE"""),0.7600066023)</f>
        <v>0.7600066023</v>
      </c>
      <c r="R230" s="26">
        <f>IFERROR(__xludf.DUMMYFUNCTION("""COMPUTED_VALUE"""),1.35)</f>
        <v>1.35</v>
      </c>
      <c r="S230" s="26">
        <f>IFERROR(__xludf.DUMMYFUNCTION("""COMPUTED_VALUE"""),-1.469717884876618)</f>
        <v>-1.469717885</v>
      </c>
      <c r="T230" s="26">
        <f>IFERROR(__xludf.DUMMYFUNCTION("""COMPUTED_VALUE"""),-1.0679180449907422)</f>
        <v>-1.067918045</v>
      </c>
      <c r="U230" s="26">
        <f>IFERROR(__xludf.DUMMYFUNCTION("""COMPUTED_VALUE"""),-0.5323403366916049)</f>
        <v>-0.5323403367</v>
      </c>
      <c r="V230" s="26">
        <f>IFERROR(__xludf.DUMMYFUNCTION("""COMPUTED_VALUE"""),-0.8496172744027415)</f>
        <v>-0.8496172744</v>
      </c>
      <c r="W230" s="26">
        <f>IFERROR(__xludf.DUMMYFUNCTION("""COMPUTED_VALUE"""),-1.8642345892245005)</f>
        <v>-1.864234589</v>
      </c>
      <c r="X230" s="26">
        <f>IFERROR(__xludf.DUMMYFUNCTION("""COMPUTED_VALUE"""),0.002378197098489111)</f>
        <v>0.002378197098</v>
      </c>
      <c r="Y230" s="26">
        <f>IFERROR(__xludf.DUMMYFUNCTION("""COMPUTED_VALUE"""),1.6734597267921152E-5)</f>
        <v>0.00001673459727</v>
      </c>
      <c r="Z230" s="26">
        <f>IFERROR(__xludf.DUMMYFUNCTION("""COMPUTED_VALUE"""),-0.2189323501451206)</f>
        <v>-0.2189323501</v>
      </c>
      <c r="AA230" s="26">
        <f>IFERROR(__xludf.DUMMYFUNCTION("""COMPUTED_VALUE"""),0.0)</f>
        <v>0</v>
      </c>
      <c r="AB230" t="str">
        <f>IFERROR(__xludf.DUMMYFUNCTION("SUBSTITUTE(REGEXREPLACE(REGEXREPLACE(REGEXREPLACE(REGEXREPLACE(REGEXREPLACE(REGEXREPLACE(F230,"","",),IF(Projections!$T$17="""",""PG"",),),IF(Projections!$U$17="""",""SG"",),),IF(Projections!$V$17="""",""SF"",),),IF(Projections!$W$17="""",""PF"",),),IF(Pr"&amp;"ojections!$X$17="""",""C"",),),""/"","""")"),"SFPF")</f>
        <v>SFPF</v>
      </c>
    </row>
    <row r="231">
      <c r="B231">
        <f>IFERROR(__xludf.DUMMYFUNCTION("""COMPUTED_VALUE"""),228.0)</f>
        <v>228</v>
      </c>
      <c r="C231">
        <f>IFERROR(__xludf.DUMMYFUNCTION("""COMPUTED_VALUE"""),145.3)</f>
        <v>145.3</v>
      </c>
      <c r="D231" t="str">
        <f>IFERROR(__xludf.DUMMYFUNCTION("""COMPUTED_VALUE"""),"Matas Buzelis")</f>
        <v>Matas Buzelis</v>
      </c>
      <c r="E231">
        <f>IFERROR(__xludf.DUMMYFUNCTION("""COMPUTED_VALUE"""),42.0)</f>
        <v>42</v>
      </c>
      <c r="F231" t="str">
        <f>IFERROR(__xludf.DUMMYFUNCTION("""COMPUTED_VALUE"""),"PF")</f>
        <v>PF</v>
      </c>
      <c r="G231" s="26">
        <f>IFERROR(__xludf.DUMMYFUNCTION("""COMPUTED_VALUE"""),-5.965924614521536)</f>
        <v>-5.965924615</v>
      </c>
      <c r="H231" s="26">
        <f>IFERROR(__xludf.DUMMYFUNCTION("""COMPUTED_VALUE"""),-6.083640261787432)</f>
        <v>-6.083640262</v>
      </c>
      <c r="I231" s="26">
        <f>IFERROR(__xludf.DUMMYFUNCTION("""COMPUTED_VALUE"""),-0.11771564726589556)</f>
        <v>-0.1177156473</v>
      </c>
      <c r="J231" s="26">
        <f>IFERROR(__xludf.DUMMYFUNCTION("""COMPUTED_VALUE"""),8.508767123)</f>
        <v>8.508767123</v>
      </c>
      <c r="K231" s="26">
        <f>IFERROR(__xludf.DUMMYFUNCTION("""COMPUTED_VALUE"""),0.78)</f>
        <v>0.78</v>
      </c>
      <c r="L231" s="26">
        <f>IFERROR(__xludf.DUMMYFUNCTION("""COMPUTED_VALUE"""),4.41)</f>
        <v>4.41</v>
      </c>
      <c r="M231" s="26">
        <f>IFERROR(__xludf.DUMMYFUNCTION("""COMPUTED_VALUE"""),1.126986301)</f>
        <v>1.126986301</v>
      </c>
      <c r="N231" s="26">
        <f>IFERROR(__xludf.DUMMYFUNCTION("""COMPUTED_VALUE"""),0.6369863014)</f>
        <v>0.6369863014</v>
      </c>
      <c r="O231" s="26">
        <f>IFERROR(__xludf.DUMMYFUNCTION("""COMPUTED_VALUE"""),1.029041096)</f>
        <v>1.029041096</v>
      </c>
      <c r="P231" s="464">
        <f>IFERROR(__xludf.DUMMYFUNCTION("""COMPUTED_VALUE"""),0.4412859191)</f>
        <v>0.4412859191</v>
      </c>
      <c r="Q231" s="464">
        <f>IFERROR(__xludf.DUMMYFUNCTION("""COMPUTED_VALUE"""),0.7079967323)</f>
        <v>0.7079967323</v>
      </c>
      <c r="R231" s="26">
        <f>IFERROR(__xludf.DUMMYFUNCTION("""COMPUTED_VALUE"""),1.273972603)</f>
        <v>1.273972603</v>
      </c>
      <c r="S231" s="26">
        <f>IFERROR(__xludf.DUMMYFUNCTION("""COMPUTED_VALUE"""),-1.6186775280839973)</f>
        <v>-1.618677528</v>
      </c>
      <c r="T231" s="26">
        <f>IFERROR(__xludf.DUMMYFUNCTION("""COMPUTED_VALUE"""),-0.960848111482896)</f>
        <v>-0.9608481115</v>
      </c>
      <c r="U231" s="26">
        <f>IFERROR(__xludf.DUMMYFUNCTION("""COMPUTED_VALUE"""),-0.6557910405378791)</f>
        <v>-0.6557910405</v>
      </c>
      <c r="V231" s="26">
        <f>IFERROR(__xludf.DUMMYFUNCTION("""COMPUTED_VALUE"""),-1.2744699777136406)</f>
        <v>-1.274469978</v>
      </c>
      <c r="W231" s="26">
        <f>IFERROR(__xludf.DUMMYFUNCTION("""COMPUTED_VALUE"""),-1.1215635548377092)</f>
        <v>-1.121563555</v>
      </c>
      <c r="X231" s="26">
        <f>IFERROR(__xludf.DUMMYFUNCTION("""COMPUTED_VALUE"""),0.5000892407484016)</f>
        <v>0.5000892407</v>
      </c>
      <c r="Y231" s="26">
        <f>IFERROR(__xludf.DUMMYFUNCTION("""COMPUTED_VALUE"""),-0.4912081457121821)</f>
        <v>-0.4912081457</v>
      </c>
      <c r="Z231" s="26">
        <f>IFERROR(__xludf.DUMMYFUNCTION("""COMPUTED_VALUE"""),-0.4611711441675291)</f>
        <v>-0.4611711442</v>
      </c>
      <c r="AA231" s="26">
        <f>IFERROR(__xludf.DUMMYFUNCTION("""COMPUTED_VALUE"""),0.0)</f>
        <v>0</v>
      </c>
      <c r="AB231" t="str">
        <f>IFERROR(__xludf.DUMMYFUNCTION("SUBSTITUTE(REGEXREPLACE(REGEXREPLACE(REGEXREPLACE(REGEXREPLACE(REGEXREPLACE(REGEXREPLACE(F231,"","",),IF(Projections!$T$17="""",""PG"",),),IF(Projections!$U$17="""",""SG"",),),IF(Projections!$V$17="""",""SF"",),),IF(Projections!$W$17="""",""PF"",),),IF(Pr"&amp;"ojections!$X$17="""",""C"",),),""/"","""")"),"PF")</f>
        <v>PF</v>
      </c>
    </row>
    <row r="232">
      <c r="B232">
        <f>IFERROR(__xludf.DUMMYFUNCTION("""COMPUTED_VALUE"""),223.0)</f>
        <v>223</v>
      </c>
      <c r="D232" t="str">
        <f>IFERROR(__xludf.DUMMYFUNCTION("""COMPUTED_VALUE"""),"Peyton Watson")</f>
        <v>Peyton Watson</v>
      </c>
      <c r="E232">
        <f>IFERROR(__xludf.DUMMYFUNCTION("""COMPUTED_VALUE"""),44.0)</f>
        <v>44</v>
      </c>
      <c r="F232" t="str">
        <f>IFERROR(__xludf.DUMMYFUNCTION("""COMPUTED_VALUE"""),"SF,PF")</f>
        <v>SF,PF</v>
      </c>
      <c r="G232" s="26">
        <f>IFERROR(__xludf.DUMMYFUNCTION("""COMPUTED_VALUE"""),-5.88173431395668)</f>
        <v>-5.881734314</v>
      </c>
      <c r="H232" s="26">
        <f>IFERROR(__xludf.DUMMYFUNCTION("""COMPUTED_VALUE"""),-6.126022760489823)</f>
        <v>-6.12602276</v>
      </c>
      <c r="I232" s="26">
        <f>IFERROR(__xludf.DUMMYFUNCTION("""COMPUTED_VALUE"""),-0.24428844653314297)</f>
        <v>-0.2442884465</v>
      </c>
      <c r="J232" s="26">
        <f>IFERROR(__xludf.DUMMYFUNCTION("""COMPUTED_VALUE"""),7.881369863)</f>
        <v>7.881369863</v>
      </c>
      <c r="K232" s="26">
        <f>IFERROR(__xludf.DUMMYFUNCTION("""COMPUTED_VALUE"""),0.495890411)</f>
        <v>0.495890411</v>
      </c>
      <c r="L232" s="26">
        <f>IFERROR(__xludf.DUMMYFUNCTION("""COMPUTED_VALUE"""),3.95260274)</f>
        <v>3.95260274</v>
      </c>
      <c r="M232" s="26">
        <f>IFERROR(__xludf.DUMMYFUNCTION("""COMPUTED_VALUE"""),1.359315068)</f>
        <v>1.359315068</v>
      </c>
      <c r="N232" s="26">
        <f>IFERROR(__xludf.DUMMYFUNCTION("""COMPUTED_VALUE"""),0.5390410959)</f>
        <v>0.5390410959</v>
      </c>
      <c r="O232" s="26">
        <f>IFERROR(__xludf.DUMMYFUNCTION("""COMPUTED_VALUE"""),1.279589041)</f>
        <v>1.279589041</v>
      </c>
      <c r="P232" s="464">
        <f>IFERROR(__xludf.DUMMYFUNCTION("""COMPUTED_VALUE"""),0.4973371129)</f>
        <v>0.4973371129</v>
      </c>
      <c r="Q232" s="464">
        <f>IFERROR(__xludf.DUMMYFUNCTION("""COMPUTED_VALUE"""),0.6750199947)</f>
        <v>0.6750199947</v>
      </c>
      <c r="R232" s="26">
        <f>IFERROR(__xludf.DUMMYFUNCTION("""COMPUTED_VALUE"""),0.7635616438)</f>
        <v>0.7635616438</v>
      </c>
      <c r="S232" s="26">
        <f>IFERROR(__xludf.DUMMYFUNCTION("""COMPUTED_VALUE"""),-1.731769421930374)</f>
        <v>-1.731769422</v>
      </c>
      <c r="T232" s="26">
        <f>IFERROR(__xludf.DUMMYFUNCTION("""COMPUTED_VALUE"""),-1.2426645210267693)</f>
        <v>-1.242664521</v>
      </c>
      <c r="U232" s="26">
        <f>IFERROR(__xludf.DUMMYFUNCTION("""COMPUTED_VALUE"""),-0.8350482268374262)</f>
        <v>-0.8350482268</v>
      </c>
      <c r="V232" s="26">
        <f>IFERROR(__xludf.DUMMYFUNCTION("""COMPUTED_VALUE"""),-1.1689605609917397)</f>
        <v>-1.168960561</v>
      </c>
      <c r="W232" s="26">
        <f>IFERROR(__xludf.DUMMYFUNCTION("""COMPUTED_VALUE"""),-1.4455969886297269)</f>
        <v>-1.445596989</v>
      </c>
      <c r="X232" s="26">
        <f>IFERROR(__xludf.DUMMYFUNCTION("""COMPUTED_VALUE"""),0.9469785376220448)</f>
        <v>0.9469785376</v>
      </c>
      <c r="Y232" s="26">
        <f>IFERROR(__xludf.DUMMYFUNCTION("""COMPUTED_VALUE"""),6.710835337480158E-4)</f>
        <v>0.0006710835337</v>
      </c>
      <c r="Z232" s="26">
        <f>IFERROR(__xludf.DUMMYFUNCTION("""COMPUTED_VALUE"""),-0.6496326622295814)</f>
        <v>-0.6496326622</v>
      </c>
      <c r="AA232" s="26">
        <f>IFERROR(__xludf.DUMMYFUNCTION("""COMPUTED_VALUE"""),0.0)</f>
        <v>0</v>
      </c>
      <c r="AB232" t="str">
        <f>IFERROR(__xludf.DUMMYFUNCTION("SUBSTITUTE(REGEXREPLACE(REGEXREPLACE(REGEXREPLACE(REGEXREPLACE(REGEXREPLACE(REGEXREPLACE(F232,"","",),IF(Projections!$T$17="""",""PG"",),),IF(Projections!$U$17="""",""SG"",),),IF(Projections!$V$17="""",""SF"",),),IF(Projections!$W$17="""",""PF"",),),IF(Pr"&amp;"ojections!$X$17="""",""C"",),),""/"","""")"),"SFPF")</f>
        <v>SFPF</v>
      </c>
    </row>
    <row r="233">
      <c r="B233">
        <f>IFERROR(__xludf.DUMMYFUNCTION("""COMPUTED_VALUE"""),232.0)</f>
        <v>232</v>
      </c>
      <c r="D233" t="str">
        <f>IFERROR(__xludf.DUMMYFUNCTION("""COMPUTED_VALUE"""),"Brice Sensabaugh")</f>
        <v>Brice Sensabaugh</v>
      </c>
      <c r="E233">
        <f>IFERROR(__xludf.DUMMYFUNCTION("""COMPUTED_VALUE"""),20.0)</f>
        <v>20</v>
      </c>
      <c r="F233" t="str">
        <f>IFERROR(__xludf.DUMMYFUNCTION("""COMPUTED_VALUE"""),"PG,SG")</f>
        <v>PG,SG</v>
      </c>
      <c r="G233" s="26">
        <f>IFERROR(__xludf.DUMMYFUNCTION("""COMPUTED_VALUE"""),-6.105050827236925)</f>
        <v>-6.105050827</v>
      </c>
      <c r="H233" s="26">
        <f>IFERROR(__xludf.DUMMYFUNCTION("""COMPUTED_VALUE"""),-6.188049475320441)</f>
        <v>-6.188049475</v>
      </c>
      <c r="I233" s="26">
        <f>IFERROR(__xludf.DUMMYFUNCTION("""COMPUTED_VALUE"""),-0.08299864808351654)</f>
        <v>-0.08299864808</v>
      </c>
      <c r="J233" s="26">
        <f>IFERROR(__xludf.DUMMYFUNCTION("""COMPUTED_VALUE"""),10.30985294)</f>
        <v>10.30985294</v>
      </c>
      <c r="K233" s="26">
        <f>IFERROR(__xludf.DUMMYFUNCTION("""COMPUTED_VALUE"""),1.525)</f>
        <v>1.525</v>
      </c>
      <c r="L233" s="26">
        <f>IFERROR(__xludf.DUMMYFUNCTION("""COMPUTED_VALUE"""),3.535)</f>
        <v>3.535</v>
      </c>
      <c r="M233" s="26">
        <f>IFERROR(__xludf.DUMMYFUNCTION("""COMPUTED_VALUE"""),1.858970588)</f>
        <v>1.858970588</v>
      </c>
      <c r="N233" s="26">
        <f>IFERROR(__xludf.DUMMYFUNCTION("""COMPUTED_VALUE"""),0.4927941176)</f>
        <v>0.4927941176</v>
      </c>
      <c r="O233" s="26">
        <f>IFERROR(__xludf.DUMMYFUNCTION("""COMPUTED_VALUE"""),0.2288235294)</f>
        <v>0.2288235294</v>
      </c>
      <c r="P233" s="464">
        <f>IFERROR(__xludf.DUMMYFUNCTION("""COMPUTED_VALUE"""),0.4211694143)</f>
        <v>0.4211694143</v>
      </c>
      <c r="Q233" s="464">
        <f>IFERROR(__xludf.DUMMYFUNCTION("""COMPUTED_VALUE"""),0.8781121967)</f>
        <v>0.8781121967</v>
      </c>
      <c r="R233" s="26">
        <f>IFERROR(__xludf.DUMMYFUNCTION("""COMPUTED_VALUE"""),1.413970588)</f>
        <v>1.413970588</v>
      </c>
      <c r="S233" s="26">
        <f>IFERROR(__xludf.DUMMYFUNCTION("""COMPUTED_VALUE"""),-1.2940216537112301)</f>
        <v>-1.294021654</v>
      </c>
      <c r="T233" s="26">
        <f>IFERROR(__xludf.DUMMYFUNCTION("""COMPUTED_VALUE"""),-0.22186134989849374)</f>
        <v>-0.2218613499</v>
      </c>
      <c r="U233" s="26">
        <f>IFERROR(__xludf.DUMMYFUNCTION("""COMPUTED_VALUE"""),-0.9987096623330856)</f>
        <v>-0.9987096623</v>
      </c>
      <c r="V233" s="26">
        <f>IFERROR(__xludf.DUMMYFUNCTION("""COMPUTED_VALUE"""),-0.9420477978508837)</f>
        <v>-0.9420477979</v>
      </c>
      <c r="W233" s="26">
        <f>IFERROR(__xludf.DUMMYFUNCTION("""COMPUTED_VALUE"""),-1.598596485690907)</f>
        <v>-1.598596486</v>
      </c>
      <c r="X233" s="26">
        <f>IFERROR(__xludf.DUMMYFUNCTION("""COMPUTED_VALUE"""),-0.9272170805379772)</f>
        <v>-0.9272170805</v>
      </c>
      <c r="Y233" s="26">
        <f>IFERROR(__xludf.DUMMYFUNCTION("""COMPUTED_VALUE"""),-0.7506956241185544)</f>
        <v>-0.7506956241</v>
      </c>
      <c r="Z233" s="26">
        <f>IFERROR(__xludf.DUMMYFUNCTION("""COMPUTED_VALUE"""),0.5451001788206907)</f>
        <v>0.5451001788</v>
      </c>
      <c r="AA233" s="26">
        <f>IFERROR(__xludf.DUMMYFUNCTION("""COMPUTED_VALUE"""),0.0)</f>
        <v>0</v>
      </c>
      <c r="AB233" t="str">
        <f>IFERROR(__xludf.DUMMYFUNCTION("SUBSTITUTE(REGEXREPLACE(REGEXREPLACE(REGEXREPLACE(REGEXREPLACE(REGEXREPLACE(REGEXREPLACE(F233,"","",),IF(Projections!$T$17="""",""PG"",),),IF(Projections!$U$17="""",""SG"",),),IF(Projections!$V$17="""",""SF"",),),IF(Projections!$W$17="""",""PF"",),),IF(Pr"&amp;"ojections!$X$17="""",""C"",),),""/"","""")"),"PGSG")</f>
        <v>PGSG</v>
      </c>
    </row>
    <row r="234">
      <c r="B234">
        <f>IFERROR(__xludf.DUMMYFUNCTION("""COMPUTED_VALUE"""),238.0)</f>
        <v>238</v>
      </c>
      <c r="D234" t="str">
        <f>IFERROR(__xludf.DUMMYFUNCTION("""COMPUTED_VALUE"""),"Quentin Grimes")</f>
        <v>Quentin Grimes</v>
      </c>
      <c r="E234">
        <f>IFERROR(__xludf.DUMMYFUNCTION("""COMPUTED_VALUE"""),40.0)</f>
        <v>40</v>
      </c>
      <c r="F234" t="str">
        <f>IFERROR(__xludf.DUMMYFUNCTION("""COMPUTED_VALUE"""),"C")</f>
        <v>C</v>
      </c>
      <c r="G234" s="26">
        <f>IFERROR(__xludf.DUMMYFUNCTION("""COMPUTED_VALUE"""),-5.93668207285234)</f>
        <v>-5.936682073</v>
      </c>
      <c r="H234" s="26">
        <f>IFERROR(__xludf.DUMMYFUNCTION("""COMPUTED_VALUE"""),-6.214771371955708)</f>
        <v>-6.214771372</v>
      </c>
      <c r="I234" s="26">
        <f>IFERROR(__xludf.DUMMYFUNCTION("""COMPUTED_VALUE"""),-0.27808929910336744)</f>
        <v>-0.2780892991</v>
      </c>
      <c r="J234" s="26">
        <f>IFERROR(__xludf.DUMMYFUNCTION("""COMPUTED_VALUE"""),8.60483871)</f>
        <v>8.60483871</v>
      </c>
      <c r="K234" s="26">
        <f>IFERROR(__xludf.DUMMYFUNCTION("""COMPUTED_VALUE"""),1.889516129)</f>
        <v>1.889516129</v>
      </c>
      <c r="L234" s="26">
        <f>IFERROR(__xludf.DUMMYFUNCTION("""COMPUTED_VALUE"""),2.758548387)</f>
        <v>2.758548387</v>
      </c>
      <c r="M234" s="26">
        <f>IFERROR(__xludf.DUMMYFUNCTION("""COMPUTED_VALUE"""),1.451935484)</f>
        <v>1.451935484</v>
      </c>
      <c r="N234" s="26">
        <f>IFERROR(__xludf.DUMMYFUNCTION("""COMPUTED_VALUE"""),0.8227419355)</f>
        <v>0.8227419355</v>
      </c>
      <c r="O234" s="26">
        <f>IFERROR(__xludf.DUMMYFUNCTION("""COMPUTED_VALUE"""),0.1929032258)</f>
        <v>0.1929032258</v>
      </c>
      <c r="P234" s="464">
        <f>IFERROR(__xludf.DUMMYFUNCTION("""COMPUTED_VALUE"""),0.4076559063)</f>
        <v>0.4076559063</v>
      </c>
      <c r="Q234" s="464">
        <f>IFERROR(__xludf.DUMMYFUNCTION("""COMPUTED_VALUE"""),0.7760138321)</f>
        <v>0.7760138321</v>
      </c>
      <c r="R234" s="26">
        <f>IFERROR(__xludf.DUMMYFUNCTION("""COMPUTED_VALUE"""),0.6272580645)</f>
        <v>0.6272580645</v>
      </c>
      <c r="S234" s="26">
        <f>IFERROR(__xludf.DUMMYFUNCTION("""COMPUTED_VALUE"""),-1.6013600828043404)</f>
        <v>-1.601360083</v>
      </c>
      <c r="T234" s="26">
        <f>IFERROR(__xludf.DUMMYFUNCTION("""COMPUTED_VALUE"""),0.13971260139679795)</f>
        <v>0.1397126014</v>
      </c>
      <c r="U234" s="26">
        <f>IFERROR(__xludf.DUMMYFUNCTION("""COMPUTED_VALUE"""),-1.3030064817852285)</f>
        <v>-1.303006482</v>
      </c>
      <c r="V234" s="26">
        <f>IFERROR(__xludf.DUMMYFUNCTION("""COMPUTED_VALUE"""),-1.1268980725840954)</f>
        <v>-1.126898073</v>
      </c>
      <c r="W234" s="26">
        <f>IFERROR(__xludf.DUMMYFUNCTION("""COMPUTED_VALUE"""),-0.5070257052679659)</f>
        <v>-0.5070257053</v>
      </c>
      <c r="X234" s="26">
        <f>IFERROR(__xludf.DUMMYFUNCTION("""COMPUTED_VALUE"""),-0.9912862518867657)</f>
        <v>-0.9912862519</v>
      </c>
      <c r="Y234" s="26">
        <f>IFERROR(__xludf.DUMMYFUNCTION("""COMPUTED_VALUE"""),-0.7565370793684945)</f>
        <v>-0.7565370794</v>
      </c>
      <c r="Z234" s="26">
        <f>IFERROR(__xludf.DUMMYFUNCTION("""COMPUTED_VALUE"""),-0.0683702996556156)</f>
        <v>-0.06837029966</v>
      </c>
      <c r="AA234" s="26">
        <f>IFERROR(__xludf.DUMMYFUNCTION("""COMPUTED_VALUE"""),0.0)</f>
        <v>0</v>
      </c>
      <c r="AB234" t="str">
        <f>IFERROR(__xludf.DUMMYFUNCTION("SUBSTITUTE(REGEXREPLACE(REGEXREPLACE(REGEXREPLACE(REGEXREPLACE(REGEXREPLACE(REGEXREPLACE(F234,"","",),IF(Projections!$T$17="""",""PG"",),),IF(Projections!$U$17="""",""SG"",),),IF(Projections!$V$17="""",""SF"",),),IF(Projections!$W$17="""",""PF"",),),IF(Pr"&amp;"ojections!$X$17="""",""C"",),),""/"","""")"),"C")</f>
        <v>C</v>
      </c>
    </row>
    <row r="235">
      <c r="B235">
        <f>IFERROR(__xludf.DUMMYFUNCTION("""COMPUTED_VALUE"""),231.0)</f>
        <v>231</v>
      </c>
      <c r="C235">
        <f>IFERROR(__xludf.DUMMYFUNCTION("""COMPUTED_VALUE"""),142.2)</f>
        <v>142.2</v>
      </c>
      <c r="D235" t="str">
        <f>IFERROR(__xludf.DUMMYFUNCTION("""COMPUTED_VALUE"""),"Harrison Barnes")</f>
        <v>Harrison Barnes</v>
      </c>
      <c r="E235">
        <f>IFERROR(__xludf.DUMMYFUNCTION("""COMPUTED_VALUE"""),60.0)</f>
        <v>60</v>
      </c>
      <c r="F235" t="str">
        <f>IFERROR(__xludf.DUMMYFUNCTION("""COMPUTED_VALUE"""),"SG")</f>
        <v>SG</v>
      </c>
      <c r="G235" s="26">
        <f>IFERROR(__xludf.DUMMYFUNCTION("""COMPUTED_VALUE"""),-5.957974357068238)</f>
        <v>-5.957974357</v>
      </c>
      <c r="H235" s="26">
        <f>IFERROR(__xludf.DUMMYFUNCTION("""COMPUTED_VALUE"""),-6.217831722882318)</f>
        <v>-6.217831723</v>
      </c>
      <c r="I235" s="26">
        <f>IFERROR(__xludf.DUMMYFUNCTION("""COMPUTED_VALUE"""),-0.2598573658140797)</f>
        <v>-0.2598573658</v>
      </c>
      <c r="J235" s="26">
        <f>IFERROR(__xludf.DUMMYFUNCTION("""COMPUTED_VALUE"""),11.44194805)</f>
        <v>11.44194805</v>
      </c>
      <c r="K235" s="26">
        <f>IFERROR(__xludf.DUMMYFUNCTION("""COMPUTED_VALUE"""),1.558181818)</f>
        <v>1.558181818</v>
      </c>
      <c r="L235" s="26">
        <f>IFERROR(__xludf.DUMMYFUNCTION("""COMPUTED_VALUE"""),3.441688312)</f>
        <v>3.441688312</v>
      </c>
      <c r="M235" s="26">
        <f>IFERROR(__xludf.DUMMYFUNCTION("""COMPUTED_VALUE"""),1.160909091)</f>
        <v>1.160909091</v>
      </c>
      <c r="N235" s="26">
        <f>IFERROR(__xludf.DUMMYFUNCTION("""COMPUTED_VALUE"""),0.5822077922)</f>
        <v>0.5822077922</v>
      </c>
      <c r="O235" s="26">
        <f>IFERROR(__xludf.DUMMYFUNCTION("""COMPUTED_VALUE"""),0.1168831169)</f>
        <v>0.1168831169</v>
      </c>
      <c r="P235" s="464">
        <f>IFERROR(__xludf.DUMMYFUNCTION("""COMPUTED_VALUE"""),0.4588898783)</f>
        <v>0.4588898783</v>
      </c>
      <c r="Q235" s="464">
        <f>IFERROR(__xludf.DUMMYFUNCTION("""COMPUTED_VALUE"""),0.8170103093)</f>
        <v>0.8170103093</v>
      </c>
      <c r="R235" s="26">
        <f>IFERROR(__xludf.DUMMYFUNCTION("""COMPUTED_VALUE"""),0.7007792208)</f>
        <v>0.7007792208</v>
      </c>
      <c r="S235" s="26">
        <f>IFERROR(__xludf.DUMMYFUNCTION("""COMPUTED_VALUE"""),-1.0899551265413125)</f>
        <v>-1.089955127</v>
      </c>
      <c r="T235" s="26">
        <f>IFERROR(__xludf.DUMMYFUNCTION("""COMPUTED_VALUE"""),-0.1889473576470802)</f>
        <v>-0.1889473576</v>
      </c>
      <c r="U235" s="26">
        <f>IFERROR(__xludf.DUMMYFUNCTION("""COMPUTED_VALUE"""),-1.0352791657003362)</f>
        <v>-1.035279166</v>
      </c>
      <c r="V235" s="26">
        <f>IFERROR(__xludf.DUMMYFUNCTION("""COMPUTED_VALUE"""),-1.259064335817906)</f>
        <v>-1.259064336</v>
      </c>
      <c r="W235" s="26">
        <f>IFERROR(__xludf.DUMMYFUNCTION("""COMPUTED_VALUE"""),-1.3027880297211034)</f>
        <v>-1.30278803</v>
      </c>
      <c r="X235" s="26">
        <f>IFERROR(__xludf.DUMMYFUNCTION("""COMPUTED_VALUE"""),-1.1268793536963966)</f>
        <v>-1.126879354</v>
      </c>
      <c r="Y235" s="26">
        <f>IFERROR(__xludf.DUMMYFUNCTION("""COMPUTED_VALUE"""),-0.3904114458896855)</f>
        <v>-0.3904114459</v>
      </c>
      <c r="Z235" s="26">
        <f>IFERROR(__xludf.DUMMYFUNCTION("""COMPUTED_VALUE"""),0.17549309213150233)</f>
        <v>0.1754930921</v>
      </c>
      <c r="AA235" s="26">
        <f>IFERROR(__xludf.DUMMYFUNCTION("""COMPUTED_VALUE"""),0.0)</f>
        <v>0</v>
      </c>
      <c r="AB235" t="str">
        <f>IFERROR(__xludf.DUMMYFUNCTION("SUBSTITUTE(REGEXREPLACE(REGEXREPLACE(REGEXREPLACE(REGEXREPLACE(REGEXREPLACE(REGEXREPLACE(F235,"","",),IF(Projections!$T$17="""",""PG"",),),IF(Projections!$U$17="""",""SG"",),),IF(Projections!$V$17="""",""SF"",),),IF(Projections!$W$17="""",""PF"",),),IF(Pr"&amp;"ojections!$X$17="""",""C"",),),""/"","""")"),"SG")</f>
        <v>SG</v>
      </c>
    </row>
    <row r="236">
      <c r="B236">
        <f>IFERROR(__xludf.DUMMYFUNCTION("""COMPUTED_VALUE"""),229.0)</f>
        <v>229</v>
      </c>
      <c r="D236" t="str">
        <f>IFERROR(__xludf.DUMMYFUNCTION("""COMPUTED_VALUE"""),"Josh Green")</f>
        <v>Josh Green</v>
      </c>
      <c r="E236">
        <f>IFERROR(__xludf.DUMMYFUNCTION("""COMPUTED_VALUE"""),22.0)</f>
        <v>22</v>
      </c>
      <c r="F236" t="str">
        <f>IFERROR(__xludf.DUMMYFUNCTION("""COMPUTED_VALUE"""),"C")</f>
        <v>C</v>
      </c>
      <c r="G236" s="26">
        <f>IFERROR(__xludf.DUMMYFUNCTION("""COMPUTED_VALUE"""),-6.0449657380423885)</f>
        <v>-6.044965738</v>
      </c>
      <c r="H236" s="26">
        <f>IFERROR(__xludf.DUMMYFUNCTION("""COMPUTED_VALUE"""),-6.224495078906457)</f>
        <v>-6.224495079</v>
      </c>
      <c r="I236" s="26">
        <f>IFERROR(__xludf.DUMMYFUNCTION("""COMPUTED_VALUE"""),-0.17952934086406813)</f>
        <v>-0.1795293409</v>
      </c>
      <c r="J236" s="26">
        <f>IFERROR(__xludf.DUMMYFUNCTION("""COMPUTED_VALUE"""),8.996176471)</f>
        <v>8.996176471</v>
      </c>
      <c r="K236" s="26">
        <f>IFERROR(__xludf.DUMMYFUNCTION("""COMPUTED_VALUE"""),1.280147059)</f>
        <v>1.280147059</v>
      </c>
      <c r="L236" s="26">
        <f>IFERROR(__xludf.DUMMYFUNCTION("""COMPUTED_VALUE"""),3.038529412)</f>
        <v>3.038529412</v>
      </c>
      <c r="M236" s="26">
        <f>IFERROR(__xludf.DUMMYFUNCTION("""COMPUTED_VALUE"""),2.055588235)</f>
        <v>2.055588235</v>
      </c>
      <c r="N236" s="26">
        <f>IFERROR(__xludf.DUMMYFUNCTION("""COMPUTED_VALUE"""),0.7277941176)</f>
        <v>0.7277941176</v>
      </c>
      <c r="O236" s="26">
        <f>IFERROR(__xludf.DUMMYFUNCTION("""COMPUTED_VALUE"""),0.1023529412)</f>
        <v>0.1023529412</v>
      </c>
      <c r="P236" s="464">
        <f>IFERROR(__xludf.DUMMYFUNCTION("""COMPUTED_VALUE"""),0.5038781163)</f>
        <v>0.5038781163</v>
      </c>
      <c r="Q236" s="464">
        <f>IFERROR(__xludf.DUMMYFUNCTION("""COMPUTED_VALUE"""),0.7239787353)</f>
        <v>0.7239787353</v>
      </c>
      <c r="R236" s="26">
        <f>IFERROR(__xludf.DUMMYFUNCTION("""COMPUTED_VALUE"""),1.024705882)</f>
        <v>1.024705882</v>
      </c>
      <c r="S236" s="26">
        <f>IFERROR(__xludf.DUMMYFUNCTION("""COMPUTED_VALUE"""),-1.530819244731361)</f>
        <v>-1.530819245</v>
      </c>
      <c r="T236" s="26">
        <f>IFERROR(__xludf.DUMMYFUNCTION("""COMPUTED_VALUE"""),-0.46473796994414035)</f>
        <v>-0.4647379699</v>
      </c>
      <c r="U236" s="26">
        <f>IFERROR(__xludf.DUMMYFUNCTION("""COMPUTED_VALUE"""),-1.193279959246018)</f>
        <v>-1.193279959</v>
      </c>
      <c r="V236" s="26">
        <f>IFERROR(__xludf.DUMMYFUNCTION("""COMPUTED_VALUE"""),-0.8527561723665431)</f>
        <v>-0.8527561724</v>
      </c>
      <c r="W236" s="26">
        <f>IFERROR(__xludf.DUMMYFUNCTION("""COMPUTED_VALUE"""),-0.8211428415600143)</f>
        <v>-0.8211428416</v>
      </c>
      <c r="X236" s="26">
        <f>IFERROR(__xludf.DUMMYFUNCTION("""COMPUTED_VALUE"""),-1.152796069964109)</f>
        <v>-1.15279607</v>
      </c>
      <c r="Y236" s="26">
        <f>IFERROR(__xludf.DUMMYFUNCTION("""COMPUTED_VALUE"""),0.05323412753792595)</f>
        <v>0.05323412754</v>
      </c>
      <c r="Z236" s="26">
        <f>IFERROR(__xludf.DUMMYFUNCTION("""COMPUTED_VALUE"""),-0.2621969486321965)</f>
        <v>-0.2621969486</v>
      </c>
      <c r="AA236" s="26">
        <f>IFERROR(__xludf.DUMMYFUNCTION("""COMPUTED_VALUE"""),0.0)</f>
        <v>0</v>
      </c>
      <c r="AB236" t="str">
        <f>IFERROR(__xludf.DUMMYFUNCTION("SUBSTITUTE(REGEXREPLACE(REGEXREPLACE(REGEXREPLACE(REGEXREPLACE(REGEXREPLACE(REGEXREPLACE(F236,"","",),IF(Projections!$T$17="""",""PG"",),),IF(Projections!$U$17="""",""SG"",),),IF(Projections!$V$17="""",""SF"",),),IF(Projections!$W$17="""",""PF"",),),IF(Pr"&amp;"ojections!$X$17="""",""C"",),),""/"","""")"),"C")</f>
        <v>C</v>
      </c>
    </row>
    <row r="237">
      <c r="B237">
        <f>IFERROR(__xludf.DUMMYFUNCTION("""COMPUTED_VALUE"""),225.0)</f>
        <v>225</v>
      </c>
      <c r="D237" t="str">
        <f>IFERROR(__xludf.DUMMYFUNCTION("""COMPUTED_VALUE"""),"Daniel Theis")</f>
        <v>Daniel Theis</v>
      </c>
      <c r="E237">
        <f>IFERROR(__xludf.DUMMYFUNCTION("""COMPUTED_VALUE"""),74.0)</f>
        <v>74</v>
      </c>
      <c r="F237" t="str">
        <f>IFERROR(__xludf.DUMMYFUNCTION("""COMPUTED_VALUE"""),"SG,SF")</f>
        <v>SG,SF</v>
      </c>
      <c r="G237" s="26">
        <f>IFERROR(__xludf.DUMMYFUNCTION("""COMPUTED_VALUE"""),-6.022529245688929)</f>
        <v>-6.022529246</v>
      </c>
      <c r="H237" s="26">
        <f>IFERROR(__xludf.DUMMYFUNCTION("""COMPUTED_VALUE"""),-6.262777741514812)</f>
        <v>-6.262777742</v>
      </c>
      <c r="I237" s="26">
        <f>IFERROR(__xludf.DUMMYFUNCTION("""COMPUTED_VALUE"""),-0.2402484958258828)</f>
        <v>-0.2402484958</v>
      </c>
      <c r="J237" s="26">
        <f>IFERROR(__xludf.DUMMYFUNCTION("""COMPUTED_VALUE"""),6.345294118)</f>
        <v>6.345294118</v>
      </c>
      <c r="K237" s="26">
        <f>IFERROR(__xludf.DUMMYFUNCTION("""COMPUTED_VALUE"""),0.5413235294)</f>
        <v>0.5413235294</v>
      </c>
      <c r="L237" s="26">
        <f>IFERROR(__xludf.DUMMYFUNCTION("""COMPUTED_VALUE"""),5.094411765)</f>
        <v>5.094411765</v>
      </c>
      <c r="M237" s="26">
        <f>IFERROR(__xludf.DUMMYFUNCTION("""COMPUTED_VALUE"""),1.127352941)</f>
        <v>1.127352941</v>
      </c>
      <c r="N237" s="26">
        <f>IFERROR(__xludf.DUMMYFUNCTION("""COMPUTED_VALUE"""),0.4354411765)</f>
        <v>0.4354411765</v>
      </c>
      <c r="O237" s="26">
        <f>IFERROR(__xludf.DUMMYFUNCTION("""COMPUTED_VALUE"""),0.9404411765)</f>
        <v>0.9404411765</v>
      </c>
      <c r="P237" s="464">
        <f>IFERROR(__xludf.DUMMYFUNCTION("""COMPUTED_VALUE"""),0.5256895147)</f>
        <v>0.5256895147</v>
      </c>
      <c r="Q237" s="464">
        <f>IFERROR(__xludf.DUMMYFUNCTION("""COMPUTED_VALUE"""),0.7449093757)</f>
        <v>0.7449093757</v>
      </c>
      <c r="R237" s="26">
        <f>IFERROR(__xludf.DUMMYFUNCTION("""COMPUTED_VALUE"""),0.7798529412)</f>
        <v>0.7798529412</v>
      </c>
      <c r="S237" s="26">
        <f>IFERROR(__xludf.DUMMYFUNCTION("""COMPUTED_VALUE"""),-2.008655736501677)</f>
        <v>-2.008655737</v>
      </c>
      <c r="T237" s="26">
        <f>IFERROR(__xludf.DUMMYFUNCTION("""COMPUTED_VALUE"""),-1.1975981142682501)</f>
        <v>-1.197598114</v>
      </c>
      <c r="U237" s="26">
        <f>IFERROR(__xludf.DUMMYFUNCTION("""COMPUTED_VALUE"""),-0.387565281458765)</f>
        <v>-0.3875652815</v>
      </c>
      <c r="V237" s="26">
        <f>IFERROR(__xludf.DUMMYFUNCTION("""COMPUTED_VALUE"""),-1.2743034724071887)</f>
        <v>-1.274303472</v>
      </c>
      <c r="W237" s="26">
        <f>IFERROR(__xludf.DUMMYFUNCTION("""COMPUTED_VALUE"""),-1.7883379880731174)</f>
        <v>-1.788337988</v>
      </c>
      <c r="X237" s="26">
        <f>IFERROR(__xludf.DUMMYFUNCTION("""COMPUTED_VALUE"""),0.3420581871374193)</f>
        <v>0.3420581871</v>
      </c>
      <c r="Y237" s="26">
        <f>IFERROR(__xludf.DUMMYFUNCTION("""COMPUTED_VALUE"""),0.16722799974851954)</f>
        <v>0.1672279997</v>
      </c>
      <c r="Z237" s="26">
        <f>IFERROR(__xludf.DUMMYFUNCTION("""COMPUTED_VALUE"""),-0.11560333569175395)</f>
        <v>-0.1156033357</v>
      </c>
      <c r="AA237" s="26">
        <f>IFERROR(__xludf.DUMMYFUNCTION("""COMPUTED_VALUE"""),0.0)</f>
        <v>0</v>
      </c>
      <c r="AB237" t="str">
        <f>IFERROR(__xludf.DUMMYFUNCTION("SUBSTITUTE(REGEXREPLACE(REGEXREPLACE(REGEXREPLACE(REGEXREPLACE(REGEXREPLACE(REGEXREPLACE(F237,"","",),IF(Projections!$T$17="""",""PG"",),),IF(Projections!$U$17="""",""SG"",),),IF(Projections!$V$17="""",""SF"",),),IF(Projections!$W$17="""",""PF"",),),IF(Pr"&amp;"ojections!$X$17="""",""C"",),),""/"","""")"),"SGSF")</f>
        <v>SGSF</v>
      </c>
    </row>
    <row r="238">
      <c r="B238">
        <f>IFERROR(__xludf.DUMMYFUNCTION("""COMPUTED_VALUE"""),242.0)</f>
        <v>242</v>
      </c>
      <c r="C238">
        <f>IFERROR(__xludf.DUMMYFUNCTION("""COMPUTED_VALUE"""),138.6)</f>
        <v>138.6</v>
      </c>
      <c r="D238" t="str">
        <f>IFERROR(__xludf.DUMMYFUNCTION("""COMPUTED_VALUE"""),"Dillon Brooks")</f>
        <v>Dillon Brooks</v>
      </c>
      <c r="E238">
        <f>IFERROR(__xludf.DUMMYFUNCTION("""COMPUTED_VALUE"""),44.0)</f>
        <v>44</v>
      </c>
      <c r="F238" t="str">
        <f>IFERROR(__xludf.DUMMYFUNCTION("""COMPUTED_VALUE"""),"PF")</f>
        <v>PF</v>
      </c>
      <c r="G238" s="26">
        <f>IFERROR(__xludf.DUMMYFUNCTION("""COMPUTED_VALUE"""),-6.05022817362166)</f>
        <v>-6.050228174</v>
      </c>
      <c r="H238" s="26">
        <f>IFERROR(__xludf.DUMMYFUNCTION("""COMPUTED_VALUE"""),-6.264724793828512)</f>
        <v>-6.264724794</v>
      </c>
      <c r="I238" s="26">
        <f>IFERROR(__xludf.DUMMYFUNCTION("""COMPUTED_VALUE"""),-0.21449662020685256)</f>
        <v>-0.2144966202</v>
      </c>
      <c r="J238" s="26">
        <f>IFERROR(__xludf.DUMMYFUNCTION("""COMPUTED_VALUE"""),10.7169863)</f>
        <v>10.7169863</v>
      </c>
      <c r="K238" s="26">
        <f>IFERROR(__xludf.DUMMYFUNCTION("""COMPUTED_VALUE"""),1.703561644)</f>
        <v>1.703561644</v>
      </c>
      <c r="L238" s="26">
        <f>IFERROR(__xludf.DUMMYFUNCTION("""COMPUTED_VALUE"""),2.945890411)</f>
        <v>2.945890411</v>
      </c>
      <c r="M238" s="26">
        <f>IFERROR(__xludf.DUMMYFUNCTION("""COMPUTED_VALUE"""),1.413972603)</f>
        <v>1.413972603</v>
      </c>
      <c r="N238" s="26">
        <f>IFERROR(__xludf.DUMMYFUNCTION("""COMPUTED_VALUE"""),0.754109589)</f>
        <v>0.754109589</v>
      </c>
      <c r="O238" s="26">
        <f>IFERROR(__xludf.DUMMYFUNCTION("""COMPUTED_VALUE"""),0.178630137)</f>
        <v>0.178630137</v>
      </c>
      <c r="P238" s="464">
        <f>IFERROR(__xludf.DUMMYFUNCTION("""COMPUTED_VALUE"""),0.4008342493)</f>
        <v>0.4008342493</v>
      </c>
      <c r="Q238" s="464">
        <f>IFERROR(__xludf.DUMMYFUNCTION("""COMPUTED_VALUE"""),0.837012682)</f>
        <v>0.837012682</v>
      </c>
      <c r="R238" s="26">
        <f>IFERROR(__xludf.DUMMYFUNCTION("""COMPUTED_VALUE"""),0.8836986301)</f>
        <v>0.8836986301</v>
      </c>
      <c r="S238" s="26">
        <f>IFERROR(__xludf.DUMMYFUNCTION("""COMPUTED_VALUE"""),-1.2206335698511914)</f>
        <v>-1.22063357</v>
      </c>
      <c r="T238" s="26">
        <f>IFERROR(__xludf.DUMMYFUNCTION("""COMPUTED_VALUE"""),-0.04474095923708828)</f>
        <v>-0.04474095924</v>
      </c>
      <c r="U238" s="26">
        <f>IFERROR(__xludf.DUMMYFUNCTION("""COMPUTED_VALUE"""),-1.2295858318716233)</f>
        <v>-1.229585832</v>
      </c>
      <c r="V238" s="26">
        <f>IFERROR(__xludf.DUMMYFUNCTION("""COMPUTED_VALUE"""),-1.1441384749807253)</f>
        <v>-1.144138475</v>
      </c>
      <c r="W238" s="26">
        <f>IFERROR(__xludf.DUMMYFUNCTION("""COMPUTED_VALUE"""),-0.7340830154453236)</f>
        <v>-0.7340830154</v>
      </c>
      <c r="X238" s="26">
        <f>IFERROR(__xludf.DUMMYFUNCTION("""COMPUTED_VALUE"""),-1.0167444156647487)</f>
        <v>-1.016744416</v>
      </c>
      <c r="Y238" s="26">
        <f>IFERROR(__xludf.DUMMYFUNCTION("""COMPUTED_VALUE"""),-1.0901242056214735)</f>
        <v>-1.090124206</v>
      </c>
      <c r="Z238" s="26">
        <f>IFERROR(__xludf.DUMMYFUNCTION("""COMPUTED_VALUE"""),0.21532567884366166)</f>
        <v>0.2153256788</v>
      </c>
      <c r="AA238" s="26">
        <f>IFERROR(__xludf.DUMMYFUNCTION("""COMPUTED_VALUE"""),0.0)</f>
        <v>0</v>
      </c>
      <c r="AB238" t="str">
        <f>IFERROR(__xludf.DUMMYFUNCTION("SUBSTITUTE(REGEXREPLACE(REGEXREPLACE(REGEXREPLACE(REGEXREPLACE(REGEXREPLACE(REGEXREPLACE(F238,"","",),IF(Projections!$T$17="""",""PG"",),),IF(Projections!$U$17="""",""SG"",),),IF(Projections!$V$17="""",""SF"",),),IF(Projections!$W$17="""",""PF"",),),IF(Pr"&amp;"ojections!$X$17="""",""C"",),),""/"","""")"),"PF")</f>
        <v>PF</v>
      </c>
    </row>
    <row r="239">
      <c r="B239">
        <f>IFERROR(__xludf.DUMMYFUNCTION("""COMPUTED_VALUE"""),234.0)</f>
        <v>234</v>
      </c>
      <c r="D239" t="str">
        <f>IFERROR(__xludf.DUMMYFUNCTION("""COMPUTED_VALUE"""),"Jarace Walker")</f>
        <v>Jarace Walker</v>
      </c>
      <c r="E239">
        <f>IFERROR(__xludf.DUMMYFUNCTION("""COMPUTED_VALUE"""),64.0)</f>
        <v>64</v>
      </c>
      <c r="F239" t="str">
        <f>IFERROR(__xludf.DUMMYFUNCTION("""COMPUTED_VALUE"""),"SG,SF")</f>
        <v>SG,SF</v>
      </c>
      <c r="G239" s="26">
        <f>IFERROR(__xludf.DUMMYFUNCTION("""COMPUTED_VALUE"""),-6.073112265892354)</f>
        <v>-6.073112266</v>
      </c>
      <c r="H239" s="26">
        <f>IFERROR(__xludf.DUMMYFUNCTION("""COMPUTED_VALUE"""),-6.300049955952474)</f>
        <v>-6.300049956</v>
      </c>
      <c r="I239" s="26">
        <f>IFERROR(__xludf.DUMMYFUNCTION("""COMPUTED_VALUE"""),-0.22693769006011966)</f>
        <v>-0.2269376901</v>
      </c>
      <c r="J239" s="26">
        <f>IFERROR(__xludf.DUMMYFUNCTION("""COMPUTED_VALUE"""),7.0025)</f>
        <v>7.0025</v>
      </c>
      <c r="K239" s="26">
        <f>IFERROR(__xludf.DUMMYFUNCTION("""COMPUTED_VALUE"""),1.174558824)</f>
        <v>1.174558824</v>
      </c>
      <c r="L239" s="26">
        <f>IFERROR(__xludf.DUMMYFUNCTION("""COMPUTED_VALUE"""),3.514852941)</f>
        <v>3.514852941</v>
      </c>
      <c r="M239" s="26">
        <f>IFERROR(__xludf.DUMMYFUNCTION("""COMPUTED_VALUE"""),1.832352941)</f>
        <v>1.832352941</v>
      </c>
      <c r="N239" s="26">
        <f>IFERROR(__xludf.DUMMYFUNCTION("""COMPUTED_VALUE"""),0.6880882353)</f>
        <v>0.6880882353</v>
      </c>
      <c r="O239" s="26">
        <f>IFERROR(__xludf.DUMMYFUNCTION("""COMPUTED_VALUE"""),0.5486764706)</f>
        <v>0.5486764706</v>
      </c>
      <c r="P239" s="464">
        <f>IFERROR(__xludf.DUMMYFUNCTION("""COMPUTED_VALUE"""),0.416664708)</f>
        <v>0.416664708</v>
      </c>
      <c r="Q239" s="464">
        <f>IFERROR(__xludf.DUMMYFUNCTION("""COMPUTED_VALUE"""),0.8009205984)</f>
        <v>0.8009205984</v>
      </c>
      <c r="R239" s="26">
        <f>IFERROR(__xludf.DUMMYFUNCTION("""COMPUTED_VALUE"""),0.8335294118)</f>
        <v>0.8335294118</v>
      </c>
      <c r="S239" s="26">
        <f>IFERROR(__xludf.DUMMYFUNCTION("""COMPUTED_VALUE"""),-1.890190670456667)</f>
        <v>-1.89019067</v>
      </c>
      <c r="T239" s="26">
        <f>IFERROR(__xludf.DUMMYFUNCTION("""COMPUTED_VALUE"""),-0.5694739536274461)</f>
        <v>-0.5694739536</v>
      </c>
      <c r="U239" s="26">
        <f>IFERROR(__xludf.DUMMYFUNCTION("""COMPUTED_VALUE"""),-1.0066054357108076)</f>
        <v>-1.006605436</v>
      </c>
      <c r="V239" s="26">
        <f>IFERROR(__xludf.DUMMYFUNCTION("""COMPUTED_VALUE"""),-0.954135893723572)</f>
        <v>-0.9541358937</v>
      </c>
      <c r="W239" s="26">
        <f>IFERROR(__xludf.DUMMYFUNCTION("""COMPUTED_VALUE"""),-0.952502343209237)</f>
        <v>-0.9525023432</v>
      </c>
      <c r="X239" s="26">
        <f>IFERROR(__xludf.DUMMYFUNCTION("""COMPUTED_VALUE"""),-0.3567120780090807)</f>
        <v>-0.356712078</v>
      </c>
      <c r="Y239" s="26">
        <f>IFERROR(__xludf.DUMMYFUNCTION("""COMPUTED_VALUE"""),-0.5864317271002197)</f>
        <v>-0.5864317271</v>
      </c>
      <c r="Z239" s="26">
        <f>IFERROR(__xludf.DUMMYFUNCTION("""COMPUTED_VALUE"""),0.016002145884556104)</f>
        <v>0.01600214588</v>
      </c>
      <c r="AA239" s="26">
        <f>IFERROR(__xludf.DUMMYFUNCTION("""COMPUTED_VALUE"""),0.0)</f>
        <v>0</v>
      </c>
      <c r="AB239" t="str">
        <f>IFERROR(__xludf.DUMMYFUNCTION("SUBSTITUTE(REGEXREPLACE(REGEXREPLACE(REGEXREPLACE(REGEXREPLACE(REGEXREPLACE(REGEXREPLACE(F239,"","",),IF(Projections!$T$17="""",""PG"",),),IF(Projections!$U$17="""",""SG"",),),IF(Projections!$V$17="""",""SF"",),),IF(Projections!$W$17="""",""PF"",),),IF(Pr"&amp;"ojections!$X$17="""",""C"",),),""/"","""")"),"SGSF")</f>
        <v>SGSF</v>
      </c>
    </row>
    <row r="240">
      <c r="B240">
        <f>IFERROR(__xludf.DUMMYFUNCTION("""COMPUTED_VALUE"""),237.0)</f>
        <v>237</v>
      </c>
      <c r="D240" t="str">
        <f>IFERROR(__xludf.DUMMYFUNCTION("""COMPUTED_VALUE"""),"Isaac Okoro")</f>
        <v>Isaac Okoro</v>
      </c>
      <c r="E240">
        <f>IFERROR(__xludf.DUMMYFUNCTION("""COMPUTED_VALUE"""),50.0)</f>
        <v>50</v>
      </c>
      <c r="F240" t="str">
        <f>IFERROR(__xludf.DUMMYFUNCTION("""COMPUTED_VALUE"""),"PG,SG")</f>
        <v>PG,SG</v>
      </c>
      <c r="G240" s="26">
        <f>IFERROR(__xludf.DUMMYFUNCTION("""COMPUTED_VALUE"""),-6.121848576976538)</f>
        <v>-6.121848577</v>
      </c>
      <c r="H240" s="26">
        <f>IFERROR(__xludf.DUMMYFUNCTION("""COMPUTED_VALUE"""),-6.3832240117020165)</f>
        <v>-6.383224012</v>
      </c>
      <c r="I240" s="26">
        <f>IFERROR(__xludf.DUMMYFUNCTION("""COMPUTED_VALUE"""),-0.26137543472547886)</f>
        <v>-0.2613754347</v>
      </c>
      <c r="J240" s="26">
        <f>IFERROR(__xludf.DUMMYFUNCTION("""COMPUTED_VALUE"""),9.274109589)</f>
        <v>9.274109589</v>
      </c>
      <c r="K240" s="26">
        <f>IFERROR(__xludf.DUMMYFUNCTION("""COMPUTED_VALUE"""),1.243150685)</f>
        <v>1.243150685</v>
      </c>
      <c r="L240" s="26">
        <f>IFERROR(__xludf.DUMMYFUNCTION("""COMPUTED_VALUE"""),2.753972603)</f>
        <v>2.753972603</v>
      </c>
      <c r="M240" s="26">
        <f>IFERROR(__xludf.DUMMYFUNCTION("""COMPUTED_VALUE"""),1.763287671)</f>
        <v>1.763287671</v>
      </c>
      <c r="N240" s="26">
        <f>IFERROR(__xludf.DUMMYFUNCTION("""COMPUTED_VALUE"""),0.8032876712)</f>
        <v>0.8032876712</v>
      </c>
      <c r="O240" s="26">
        <f>IFERROR(__xludf.DUMMYFUNCTION("""COMPUTED_VALUE"""),0.3442465753)</f>
        <v>0.3442465753</v>
      </c>
      <c r="P240" s="464">
        <f>IFERROR(__xludf.DUMMYFUNCTION("""COMPUTED_VALUE"""),0.4824420072)</f>
        <v>0.4824420072</v>
      </c>
      <c r="Q240" s="464">
        <f>IFERROR(__xludf.DUMMYFUNCTION("""COMPUTED_VALUE"""),0.683996626)</f>
        <v>0.683996626</v>
      </c>
      <c r="R240" s="26">
        <f>IFERROR(__xludf.DUMMYFUNCTION("""COMPUTED_VALUE"""),0.6946575342)</f>
        <v>0.6946575342</v>
      </c>
      <c r="S240" s="26">
        <f>IFERROR(__xludf.DUMMYFUNCTION("""COMPUTED_VALUE"""),-1.480720233018673)</f>
        <v>-1.480720233</v>
      </c>
      <c r="T240" s="26">
        <f>IFERROR(__xludf.DUMMYFUNCTION("""COMPUTED_VALUE"""),-0.501435729155718)</f>
        <v>-0.5014357292</v>
      </c>
      <c r="U240" s="26">
        <f>IFERROR(__xludf.DUMMYFUNCTION("""COMPUTED_VALUE"""),-1.3047997635485573)</f>
        <v>-1.304799764</v>
      </c>
      <c r="V240" s="26">
        <f>IFERROR(__xludf.DUMMYFUNCTION("""COMPUTED_VALUE"""),-0.9855010855916999)</f>
        <v>-0.9855010856</v>
      </c>
      <c r="W240" s="26">
        <f>IFERROR(__xludf.DUMMYFUNCTION("""COMPUTED_VALUE"""),-0.5713865081357127)</f>
        <v>-0.5713865081</v>
      </c>
      <c r="X240" s="26">
        <f>IFERROR(__xludf.DUMMYFUNCTION("""COMPUTED_VALUE"""),-0.7213430158943207)</f>
        <v>-0.7213430159</v>
      </c>
      <c r="Y240" s="26">
        <f>IFERROR(__xludf.DUMMYFUNCTION("""COMPUTED_VALUE"""),-0.12152042790887801)</f>
        <v>-0.1215204279</v>
      </c>
      <c r="Z240" s="26">
        <f>IFERROR(__xludf.DUMMYFUNCTION("""COMPUTED_VALUE"""),-0.6965172484484563)</f>
        <v>-0.6965172484</v>
      </c>
      <c r="AA240" s="26">
        <f>IFERROR(__xludf.DUMMYFUNCTION("""COMPUTED_VALUE"""),0.0)</f>
        <v>0</v>
      </c>
      <c r="AB240" t="str">
        <f>IFERROR(__xludf.DUMMYFUNCTION("SUBSTITUTE(REGEXREPLACE(REGEXREPLACE(REGEXREPLACE(REGEXREPLACE(REGEXREPLACE(REGEXREPLACE(F240,"","",),IF(Projections!$T$17="""",""PG"",),),IF(Projections!$U$17="""",""SG"",),),IF(Projections!$V$17="""",""SF"",),),IF(Projections!$W$17="""",""PF"",),),IF(Pr"&amp;"ojections!$X$17="""",""C"",),),""/"","""")"),"PGSG")</f>
        <v>PGSG</v>
      </c>
    </row>
    <row r="241">
      <c r="B241">
        <f>IFERROR(__xludf.DUMMYFUNCTION("""COMPUTED_VALUE"""),241.0)</f>
        <v>241</v>
      </c>
      <c r="C241">
        <f>IFERROR(__xludf.DUMMYFUNCTION("""COMPUTED_VALUE"""),144.6)</f>
        <v>144.6</v>
      </c>
      <c r="D241" t="str">
        <f>IFERROR(__xludf.DUMMYFUNCTION("""COMPUTED_VALUE"""),"Duncan Robinson")</f>
        <v>Duncan Robinson</v>
      </c>
      <c r="E241">
        <f>IFERROR(__xludf.DUMMYFUNCTION("""COMPUTED_VALUE"""),62.0)</f>
        <v>62</v>
      </c>
      <c r="F241" t="str">
        <f>IFERROR(__xludf.DUMMYFUNCTION("""COMPUTED_VALUE"""),"SG,SF")</f>
        <v>SG,SF</v>
      </c>
      <c r="G241" s="26">
        <f>IFERROR(__xludf.DUMMYFUNCTION("""COMPUTED_VALUE"""),-6.227845515699002)</f>
        <v>-6.227845516</v>
      </c>
      <c r="H241" s="26">
        <f>IFERROR(__xludf.DUMMYFUNCTION("""COMPUTED_VALUE"""),-6.407896398205933)</f>
        <v>-6.407896398</v>
      </c>
      <c r="I241" s="26">
        <f>IFERROR(__xludf.DUMMYFUNCTION("""COMPUTED_VALUE"""),-0.18005088250693113)</f>
        <v>-0.1800508825</v>
      </c>
      <c r="J241" s="26">
        <f>IFERROR(__xludf.DUMMYFUNCTION("""COMPUTED_VALUE"""),8.728493151)</f>
        <v>8.728493151</v>
      </c>
      <c r="K241" s="26">
        <f>IFERROR(__xludf.DUMMYFUNCTION("""COMPUTED_VALUE"""),2.018219178)</f>
        <v>2.018219178</v>
      </c>
      <c r="L241" s="26">
        <f>IFERROR(__xludf.DUMMYFUNCTION("""COMPUTED_VALUE"""),1.998630137)</f>
        <v>1.998630137</v>
      </c>
      <c r="M241" s="26">
        <f>IFERROR(__xludf.DUMMYFUNCTION("""COMPUTED_VALUE"""),1.905616438)</f>
        <v>1.905616438</v>
      </c>
      <c r="N241" s="26">
        <f>IFERROR(__xludf.DUMMYFUNCTION("""COMPUTED_VALUE"""),0.5805479452)</f>
        <v>0.5805479452</v>
      </c>
      <c r="O241" s="26">
        <f>IFERROR(__xludf.DUMMYFUNCTION("""COMPUTED_VALUE"""),0.1906849315)</f>
        <v>0.1906849315</v>
      </c>
      <c r="P241" s="464">
        <f>IFERROR(__xludf.DUMMYFUNCTION("""COMPUTED_VALUE"""),0.4190727347)</f>
        <v>0.4190727347</v>
      </c>
      <c r="Q241" s="464">
        <f>IFERROR(__xludf.DUMMYFUNCTION("""COMPUTED_VALUE"""),0.9179413639)</f>
        <v>0.9179413639</v>
      </c>
      <c r="R241" s="26">
        <f>IFERROR(__xludf.DUMMYFUNCTION("""COMPUTED_VALUE"""),1.02260274)</f>
        <v>1.02260274</v>
      </c>
      <c r="S241" s="26">
        <f>IFERROR(__xludf.DUMMYFUNCTION("""COMPUTED_VALUE"""),-1.5790706725585812)</f>
        <v>-1.579070673</v>
      </c>
      <c r="T241" s="26">
        <f>IFERROR(__xludf.DUMMYFUNCTION("""COMPUTED_VALUE"""),0.26737682876129265)</f>
        <v>0.2673768288</v>
      </c>
      <c r="U241" s="26">
        <f>IFERROR(__xludf.DUMMYFUNCTION("""COMPUTED_VALUE"""),-1.6008237606046858)</f>
        <v>-1.600823761</v>
      </c>
      <c r="V241" s="26">
        <f>IFERROR(__xludf.DUMMYFUNCTION("""COMPUTED_VALUE"""),-0.9208641257230267)</f>
        <v>-0.9208641257</v>
      </c>
      <c r="W241" s="26">
        <f>IFERROR(__xludf.DUMMYFUNCTION("""COMPUTED_VALUE"""),-1.308279323758762)</f>
        <v>-1.308279324</v>
      </c>
      <c r="X241" s="26">
        <f>IFERROR(__xludf.DUMMYFUNCTION("""COMPUTED_VALUE"""),-0.9952429076876576)</f>
        <v>-0.9952429077</v>
      </c>
      <c r="Y241" s="26">
        <f>IFERROR(__xludf.DUMMYFUNCTION("""COMPUTED_VALUE"""),-0.6423691460659666)</f>
        <v>-0.6423691461</v>
      </c>
      <c r="Z241" s="26">
        <f>IFERROR(__xludf.DUMMYFUNCTION("""COMPUTED_VALUE"""),0.37137670943145357)</f>
        <v>0.3713767094</v>
      </c>
      <c r="AA241" s="26">
        <f>IFERROR(__xludf.DUMMYFUNCTION("""COMPUTED_VALUE"""),0.0)</f>
        <v>0</v>
      </c>
      <c r="AB241" t="str">
        <f>IFERROR(__xludf.DUMMYFUNCTION("SUBSTITUTE(REGEXREPLACE(REGEXREPLACE(REGEXREPLACE(REGEXREPLACE(REGEXREPLACE(REGEXREPLACE(F241,"","",),IF(Projections!$T$17="""",""PG"",),),IF(Projections!$U$17="""",""SG"",),),IF(Projections!$V$17="""",""SF"",),),IF(Projections!$W$17="""",""PF"",),),IF(Pr"&amp;"ojections!$X$17="""",""C"",),),""/"","""")"),"SGSF")</f>
        <v>SGSF</v>
      </c>
    </row>
    <row r="242">
      <c r="B242">
        <f>IFERROR(__xludf.DUMMYFUNCTION("""COMPUTED_VALUE"""),233.0)</f>
        <v>233</v>
      </c>
      <c r="C242">
        <f>IFERROR(__xludf.DUMMYFUNCTION("""COMPUTED_VALUE"""),149.5)</f>
        <v>149.5</v>
      </c>
      <c r="D242" t="str">
        <f>IFERROR(__xludf.DUMMYFUNCTION("""COMPUTED_VALUE"""),"Bruce Brown")</f>
        <v>Bruce Brown</v>
      </c>
      <c r="E242">
        <f>IFERROR(__xludf.DUMMYFUNCTION("""COMPUTED_VALUE"""),54.0)</f>
        <v>54</v>
      </c>
      <c r="F242" t="str">
        <f>IFERROR(__xludf.DUMMYFUNCTION("""COMPUTED_VALUE"""),"SF,PF")</f>
        <v>SF,PF</v>
      </c>
      <c r="G242" s="26">
        <f>IFERROR(__xludf.DUMMYFUNCTION("""COMPUTED_VALUE"""),-6.296442607700372)</f>
        <v>-6.296442608</v>
      </c>
      <c r="H242" s="26">
        <f>IFERROR(__xludf.DUMMYFUNCTION("""COMPUTED_VALUE"""),-6.4525563463377535)</f>
        <v>-6.452556346</v>
      </c>
      <c r="I242" s="26">
        <f>IFERROR(__xludf.DUMMYFUNCTION("""COMPUTED_VALUE"""),-0.15611373863738187)</f>
        <v>-0.1561137386</v>
      </c>
      <c r="J242" s="26">
        <f>IFERROR(__xludf.DUMMYFUNCTION("""COMPUTED_VALUE"""),8.543478261)</f>
        <v>8.543478261</v>
      </c>
      <c r="K242" s="26">
        <f>IFERROR(__xludf.DUMMYFUNCTION("""COMPUTED_VALUE"""),0.5657971014)</f>
        <v>0.5657971014</v>
      </c>
      <c r="L242" s="26">
        <f>IFERROR(__xludf.DUMMYFUNCTION("""COMPUTED_VALUE"""),2.903768116)</f>
        <v>2.903768116</v>
      </c>
      <c r="M242" s="26">
        <f>IFERROR(__xludf.DUMMYFUNCTION("""COMPUTED_VALUE"""),2.177826087)</f>
        <v>2.177826087</v>
      </c>
      <c r="N242" s="26">
        <f>IFERROR(__xludf.DUMMYFUNCTION("""COMPUTED_VALUE"""),0.7188405797)</f>
        <v>0.7188405797</v>
      </c>
      <c r="O242" s="26">
        <f>IFERROR(__xludf.DUMMYFUNCTION("""COMPUTED_VALUE"""),0.292173913)</f>
        <v>0.292173913</v>
      </c>
      <c r="P242" s="464">
        <f>IFERROR(__xludf.DUMMYFUNCTION("""COMPUTED_VALUE"""),0.4988607513)</f>
        <v>0.4988607513</v>
      </c>
      <c r="Q242" s="464">
        <f>IFERROR(__xludf.DUMMYFUNCTION("""COMPUTED_VALUE"""),0.8)</f>
        <v>0.8</v>
      </c>
      <c r="R242" s="26">
        <f>IFERROR(__xludf.DUMMYFUNCTION("""COMPUTED_VALUE"""),1.119130435)</f>
        <v>1.119130435</v>
      </c>
      <c r="S242" s="26">
        <f>IFERROR(__xludf.DUMMYFUNCTION("""COMPUTED_VALUE"""),-1.6124206497323403)</f>
        <v>-1.61242065</v>
      </c>
      <c r="T242" s="26">
        <f>IFERROR(__xludf.DUMMYFUNCTION("""COMPUTED_VALUE"""),-1.1733220797492132)</f>
        <v>-1.17332208</v>
      </c>
      <c r="U242" s="26">
        <f>IFERROR(__xludf.DUMMYFUNCTION("""COMPUTED_VALUE"""),-1.2460938539839104)</f>
        <v>-1.246093854</v>
      </c>
      <c r="V242" s="26">
        <f>IFERROR(__xludf.DUMMYFUNCTION("""COMPUTED_VALUE"""),-0.7972432686809738)</f>
        <v>-0.7972432687</v>
      </c>
      <c r="W242" s="26">
        <f>IFERROR(__xludf.DUMMYFUNCTION("""COMPUTED_VALUE"""),-0.8507639507864783)</f>
        <v>-0.8507639508</v>
      </c>
      <c r="X242" s="26">
        <f>IFERROR(__xludf.DUMMYFUNCTION("""COMPUTED_VALUE"""),-0.8142223066886862)</f>
        <v>-0.8142223067</v>
      </c>
      <c r="Y242" s="26">
        <f>IFERROR(__xludf.DUMMYFUNCTION("""COMPUTED_VALUE"""),0.012538857876025957)</f>
        <v>0.01253885788</v>
      </c>
      <c r="Z242" s="26">
        <f>IFERROR(__xludf.DUMMYFUNCTION("""COMPUTED_VALUE"""),0.028970905407821972)</f>
        <v>0.02897090541</v>
      </c>
      <c r="AA242" s="26">
        <f>IFERROR(__xludf.DUMMYFUNCTION("""COMPUTED_VALUE"""),0.0)</f>
        <v>0</v>
      </c>
      <c r="AB242" t="str">
        <f>IFERROR(__xludf.DUMMYFUNCTION("SUBSTITUTE(REGEXREPLACE(REGEXREPLACE(REGEXREPLACE(REGEXREPLACE(REGEXREPLACE(REGEXREPLACE(F242,"","",),IF(Projections!$T$17="""",""PG"",),),IF(Projections!$U$17="""",""SG"",),),IF(Projections!$V$17="""",""SF"",),),IF(Projections!$W$17="""",""PF"",),),IF(Pr"&amp;"ojections!$X$17="""",""C"",),),""/"","""")"),"SFPF")</f>
        <v>SFPF</v>
      </c>
    </row>
    <row r="243">
      <c r="B243">
        <f>IFERROR(__xludf.DUMMYFUNCTION("""COMPUTED_VALUE"""),239.0)</f>
        <v>239</v>
      </c>
      <c r="D243" t="str">
        <f>IFERROR(__xludf.DUMMYFUNCTION("""COMPUTED_VALUE"""),"Josh Minott")</f>
        <v>Josh Minott</v>
      </c>
      <c r="E243">
        <f>IFERROR(__xludf.DUMMYFUNCTION("""COMPUTED_VALUE"""),69.0)</f>
        <v>69</v>
      </c>
      <c r="F243" t="str">
        <f>IFERROR(__xludf.DUMMYFUNCTION("""COMPUTED_VALUE"""),"PF,C")</f>
        <v>PF,C</v>
      </c>
      <c r="G243" s="26">
        <f>IFERROR(__xludf.DUMMYFUNCTION("""COMPUTED_VALUE"""),-6.170271921221014)</f>
        <v>-6.170271921</v>
      </c>
      <c r="H243" s="26">
        <f>IFERROR(__xludf.DUMMYFUNCTION("""COMPUTED_VALUE"""),-6.458110107022716)</f>
        <v>-6.458110107</v>
      </c>
      <c r="I243" s="26">
        <f>IFERROR(__xludf.DUMMYFUNCTION("""COMPUTED_VALUE"""),-0.28783818580170184)</f>
        <v>-0.2878381858</v>
      </c>
      <c r="J243" s="26">
        <f>IFERROR(__xludf.DUMMYFUNCTION("""COMPUTED_VALUE"""),6.522054795)</f>
        <v>6.522054795</v>
      </c>
      <c r="K243" s="26">
        <f>IFERROR(__xludf.DUMMYFUNCTION("""COMPUTED_VALUE"""),0.4575342466)</f>
        <v>0.4575342466</v>
      </c>
      <c r="L243" s="26">
        <f>IFERROR(__xludf.DUMMYFUNCTION("""COMPUTED_VALUE"""),2.743972603)</f>
        <v>2.743972603</v>
      </c>
      <c r="M243" s="26">
        <f>IFERROR(__xludf.DUMMYFUNCTION("""COMPUTED_VALUE"""),1.47)</f>
        <v>1.47</v>
      </c>
      <c r="N243" s="26">
        <f>IFERROR(__xludf.DUMMYFUNCTION("""COMPUTED_VALUE"""),0.8167123288)</f>
        <v>0.8167123288</v>
      </c>
      <c r="O243" s="26">
        <f>IFERROR(__xludf.DUMMYFUNCTION("""COMPUTED_VALUE"""),0.718630137)</f>
        <v>0.718630137</v>
      </c>
      <c r="P243" s="464">
        <f>IFERROR(__xludf.DUMMYFUNCTION("""COMPUTED_VALUE"""),0.4726937456)</f>
        <v>0.4726937456</v>
      </c>
      <c r="Q243" s="464">
        <f>IFERROR(__xludf.DUMMYFUNCTION("""COMPUTED_VALUE"""),0.7859685383)</f>
        <v>0.7859685383</v>
      </c>
      <c r="R243" s="26">
        <f>IFERROR(__xludf.DUMMYFUNCTION("""COMPUTED_VALUE"""),0.5879452055)</f>
        <v>0.5879452055</v>
      </c>
      <c r="S243" s="26">
        <f>IFERROR(__xludf.DUMMYFUNCTION("""COMPUTED_VALUE"""),-1.976793627764547)</f>
        <v>-1.976793628</v>
      </c>
      <c r="T243" s="26">
        <f>IFERROR(__xludf.DUMMYFUNCTION("""COMPUTED_VALUE"""),-1.2807110951432188)</f>
        <v>-1.280711095</v>
      </c>
      <c r="U243" s="26">
        <f>IFERROR(__xludf.DUMMYFUNCTION("""COMPUTED_VALUE"""),-1.3087188335119309)</f>
        <v>-1.308718834</v>
      </c>
      <c r="V243" s="26">
        <f>IFERROR(__xludf.DUMMYFUNCTION("""COMPUTED_VALUE"""),-1.1186942820198238)</f>
        <v>-1.118694282</v>
      </c>
      <c r="W243" s="26">
        <f>IFERROR(__xludf.DUMMYFUNCTION("""COMPUTED_VALUE"""),-0.5269735337853745)</f>
        <v>-0.5269735338</v>
      </c>
      <c r="X243" s="26">
        <f>IFERROR(__xludf.DUMMYFUNCTION("""COMPUTED_VALUE"""),-0.05357459077647239)</f>
        <v>-0.05357459078</v>
      </c>
      <c r="Y243" s="26">
        <f>IFERROR(__xludf.DUMMYFUNCTION("""COMPUTED_VALUE"""),-0.15487591776855492)</f>
        <v>-0.1548759178</v>
      </c>
      <c r="Z243" s="26">
        <f>IFERROR(__xludf.DUMMYFUNCTION("""COMPUTED_VALUE"""),-0.037768226252792254)</f>
        <v>-0.03776822625</v>
      </c>
      <c r="AA243" s="26">
        <f>IFERROR(__xludf.DUMMYFUNCTION("""COMPUTED_VALUE"""),0.0)</f>
        <v>0</v>
      </c>
      <c r="AB243" t="str">
        <f>IFERROR(__xludf.DUMMYFUNCTION("SUBSTITUTE(REGEXREPLACE(REGEXREPLACE(REGEXREPLACE(REGEXREPLACE(REGEXREPLACE(REGEXREPLACE(F243,"","",),IF(Projections!$T$17="""",""PG"",),),IF(Projections!$U$17="""",""SG"",),),IF(Projections!$V$17="""",""SF"",),),IF(Projections!$W$17="""",""PF"",),),IF(Pr"&amp;"ojections!$X$17="""",""C"",),),""/"","""")"),"PFC")</f>
        <v>PFC</v>
      </c>
    </row>
    <row r="244">
      <c r="B244">
        <f>IFERROR(__xludf.DUMMYFUNCTION("""COMPUTED_VALUE"""),236.0)</f>
        <v>236</v>
      </c>
      <c r="D244" t="str">
        <f>IFERROR(__xludf.DUMMYFUNCTION("""COMPUTED_VALUE"""),"Jarred Vanderbilt")</f>
        <v>Jarred Vanderbilt</v>
      </c>
      <c r="E244">
        <f>IFERROR(__xludf.DUMMYFUNCTION("""COMPUTED_VALUE"""),64.0)</f>
        <v>64</v>
      </c>
      <c r="F244" t="str">
        <f>IFERROR(__xludf.DUMMYFUNCTION("""COMPUTED_VALUE"""),"SG")</f>
        <v>SG</v>
      </c>
      <c r="G244" s="26">
        <f>IFERROR(__xludf.DUMMYFUNCTION("""COMPUTED_VALUE"""),-6.235181959819908)</f>
        <v>-6.23518196</v>
      </c>
      <c r="H244" s="26">
        <f>IFERROR(__xludf.DUMMYFUNCTION("""COMPUTED_VALUE"""),-6.461215878692317)</f>
        <v>-6.461215879</v>
      </c>
      <c r="I244" s="26">
        <f>IFERROR(__xludf.DUMMYFUNCTION("""COMPUTED_VALUE"""),-0.22603391887240942)</f>
        <v>-0.2260339189</v>
      </c>
      <c r="J244" s="26">
        <f>IFERROR(__xludf.DUMMYFUNCTION("""COMPUTED_VALUE"""),5.075869565)</f>
        <v>5.075869565</v>
      </c>
      <c r="K244" s="26">
        <f>IFERROR(__xludf.DUMMYFUNCTION("""COMPUTED_VALUE"""),0.2439130435)</f>
        <v>0.2439130435</v>
      </c>
      <c r="L244" s="26">
        <f>IFERROR(__xludf.DUMMYFUNCTION("""COMPUTED_VALUE"""),4.743043478)</f>
        <v>4.743043478</v>
      </c>
      <c r="M244" s="26">
        <f>IFERROR(__xludf.DUMMYFUNCTION("""COMPUTED_VALUE"""),1.373695652)</f>
        <v>1.373695652</v>
      </c>
      <c r="N244" s="26">
        <f>IFERROR(__xludf.DUMMYFUNCTION("""COMPUTED_VALUE"""),1.032826087)</f>
        <v>1.032826087</v>
      </c>
      <c r="O244" s="26">
        <f>IFERROR(__xludf.DUMMYFUNCTION("""COMPUTED_VALUE"""),0.19)</f>
        <v>0.19</v>
      </c>
      <c r="P244" s="464">
        <f>IFERROR(__xludf.DUMMYFUNCTION("""COMPUTED_VALUE"""),0.5336433574)</f>
        <v>0.5336433574</v>
      </c>
      <c r="Q244" s="464">
        <f>IFERROR(__xludf.DUMMYFUNCTION("""COMPUTED_VALUE"""),0.6959433601)</f>
        <v>0.6959433601</v>
      </c>
      <c r="R244" s="26">
        <f>IFERROR(__xludf.DUMMYFUNCTION("""COMPUTED_VALUE"""),0.837173913)</f>
        <v>0.837173913</v>
      </c>
      <c r="S244" s="26">
        <f>IFERROR(__xludf.DUMMYFUNCTION("""COMPUTED_VALUE"""),-2.237476670137664)</f>
        <v>-2.23747667</v>
      </c>
      <c r="T244" s="26">
        <f>IFERROR(__xludf.DUMMYFUNCTION("""COMPUTED_VALUE"""),-1.4926080630420548)</f>
        <v>-1.492608063</v>
      </c>
      <c r="U244" s="26">
        <f>IFERROR(__xludf.DUMMYFUNCTION("""COMPUTED_VALUE"""),-0.5252689714251453)</f>
        <v>-0.5252689714</v>
      </c>
      <c r="V244" s="26">
        <f>IFERROR(__xludf.DUMMYFUNCTION("""COMPUTED_VALUE"""),-1.1624297854465815)</f>
        <v>-1.162429785</v>
      </c>
      <c r="W244" s="26">
        <f>IFERROR(__xludf.DUMMYFUNCTION("""COMPUTED_VALUE"""),0.18799850391425324)</f>
        <v>0.1879985039</v>
      </c>
      <c r="X244" s="26">
        <f>IFERROR(__xludf.DUMMYFUNCTION("""COMPUTED_VALUE"""),-0.9964645842671305)</f>
        <v>-0.9964645843</v>
      </c>
      <c r="Y244" s="26">
        <f>IFERROR(__xludf.DUMMYFUNCTION("""COMPUTED_VALUE"""),0.1603032682325476)</f>
        <v>0.1603032682</v>
      </c>
      <c r="Z244" s="26">
        <f>IFERROR(__xludf.DUMMYFUNCTION("""COMPUTED_VALUE"""),-0.39526957652054134)</f>
        <v>-0.3952695765</v>
      </c>
      <c r="AA244" s="26">
        <f>IFERROR(__xludf.DUMMYFUNCTION("""COMPUTED_VALUE"""),0.0)</f>
        <v>0</v>
      </c>
      <c r="AB244" t="str">
        <f>IFERROR(__xludf.DUMMYFUNCTION("SUBSTITUTE(REGEXREPLACE(REGEXREPLACE(REGEXREPLACE(REGEXREPLACE(REGEXREPLACE(REGEXREPLACE(F244,"","",),IF(Projections!$T$17="""",""PG"",),),IF(Projections!$U$17="""",""SG"",),),IF(Projections!$V$17="""",""SF"",),),IF(Projections!$W$17="""",""PF"",),),IF(Pr"&amp;"ojections!$X$17="""",""C"",),),""/"","""")"),"SG")</f>
        <v>SG</v>
      </c>
    </row>
    <row r="245">
      <c r="B245">
        <f>IFERROR(__xludf.DUMMYFUNCTION("""COMPUTED_VALUE"""),244.0)</f>
        <v>244</v>
      </c>
      <c r="C245">
        <f>IFERROR(__xludf.DUMMYFUNCTION("""COMPUTED_VALUE"""),142.6)</f>
        <v>142.6</v>
      </c>
      <c r="D245" t="str">
        <f>IFERROR(__xludf.DUMMYFUNCTION("""COMPUTED_VALUE"""),"Cam Whitmore")</f>
        <v>Cam Whitmore</v>
      </c>
      <c r="E245">
        <f>IFERROR(__xludf.DUMMYFUNCTION("""COMPUTED_VALUE"""),67.0)</f>
        <v>67</v>
      </c>
      <c r="F245" t="str">
        <f>IFERROR(__xludf.DUMMYFUNCTION("""COMPUTED_VALUE"""),"SG,SF")</f>
        <v>SG,SF</v>
      </c>
      <c r="G245" s="26">
        <f>IFERROR(__xludf.DUMMYFUNCTION("""COMPUTED_VALUE"""),-6.299028423797052)</f>
        <v>-6.299028424</v>
      </c>
      <c r="H245" s="26">
        <f>IFERROR(__xludf.DUMMYFUNCTION("""COMPUTED_VALUE"""),-6.473051102390553)</f>
        <v>-6.473051102</v>
      </c>
      <c r="I245" s="26">
        <f>IFERROR(__xludf.DUMMYFUNCTION("""COMPUTED_VALUE"""),-0.1740226785935004)</f>
        <v>-0.1740226786</v>
      </c>
      <c r="J245" s="26">
        <f>IFERROR(__xludf.DUMMYFUNCTION("""COMPUTED_VALUE"""),12.60455882)</f>
        <v>12.60455882</v>
      </c>
      <c r="K245" s="26">
        <f>IFERROR(__xludf.DUMMYFUNCTION("""COMPUTED_VALUE"""),1.704264706)</f>
        <v>1.704264706</v>
      </c>
      <c r="L245" s="26">
        <f>IFERROR(__xludf.DUMMYFUNCTION("""COMPUTED_VALUE"""),3.198382353)</f>
        <v>3.198382353</v>
      </c>
      <c r="M245" s="26">
        <f>IFERROR(__xludf.DUMMYFUNCTION("""COMPUTED_VALUE"""),0.8416176471)</f>
        <v>0.8416176471</v>
      </c>
      <c r="N245" s="26">
        <f>IFERROR(__xludf.DUMMYFUNCTION("""COMPUTED_VALUE"""),0.6798529412)</f>
        <v>0.6798529412</v>
      </c>
      <c r="O245" s="26">
        <f>IFERROR(__xludf.DUMMYFUNCTION("""COMPUTED_VALUE"""),0.3766176471)</f>
        <v>0.3766176471</v>
      </c>
      <c r="P245" s="464">
        <f>IFERROR(__xludf.DUMMYFUNCTION("""COMPUTED_VALUE"""),0.4587010602)</f>
        <v>0.4587010602</v>
      </c>
      <c r="Q245" s="464">
        <f>IFERROR(__xludf.DUMMYFUNCTION("""COMPUTED_VALUE"""),0.69297796)</f>
        <v>0.69297796</v>
      </c>
      <c r="R245" s="26">
        <f>IFERROR(__xludf.DUMMYFUNCTION("""COMPUTED_VALUE"""),1.046911765)</f>
        <v>1.046911765</v>
      </c>
      <c r="S245" s="26">
        <f>IFERROR(__xludf.DUMMYFUNCTION("""COMPUTED_VALUE"""),-0.8803879795864566)</f>
        <v>-0.8803879796</v>
      </c>
      <c r="T245" s="26">
        <f>IFERROR(__xludf.DUMMYFUNCTION("""COMPUTED_VALUE"""),-0.044043571974574196)</f>
        <v>-0.04404357197</v>
      </c>
      <c r="U245" s="26">
        <f>IFERROR(__xludf.DUMMYFUNCTION("""COMPUTED_VALUE"""),-1.1306324732830118)</f>
        <v>-1.130632473</v>
      </c>
      <c r="V245" s="26">
        <f>IFERROR(__xludf.DUMMYFUNCTION("""COMPUTED_VALUE"""),-1.404066844311323)</f>
        <v>-1.404066844</v>
      </c>
      <c r="W245" s="26">
        <f>IFERROR(__xludf.DUMMYFUNCTION("""COMPUTED_VALUE"""),-0.9797472768625759)</f>
        <v>-0.9797472769</v>
      </c>
      <c r="X245" s="26">
        <f>IFERROR(__xludf.DUMMYFUNCTION("""COMPUTED_VALUE"""),-0.6636044241220026)</f>
        <v>-0.6636044241</v>
      </c>
      <c r="Y245" s="26">
        <f>IFERROR(__xludf.DUMMYFUNCTION("""COMPUTED_VALUE"""),-0.44526197265935524)</f>
        <v>-0.4452619727</v>
      </c>
      <c r="Z245" s="26">
        <f>IFERROR(__xludf.DUMMYFUNCTION("""COMPUTED_VALUE"""),-0.9253065595912531)</f>
        <v>-0.9253065596</v>
      </c>
      <c r="AA245" s="26">
        <f>IFERROR(__xludf.DUMMYFUNCTION("""COMPUTED_VALUE"""),0.0)</f>
        <v>0</v>
      </c>
      <c r="AB245" t="str">
        <f>IFERROR(__xludf.DUMMYFUNCTION("SUBSTITUTE(REGEXREPLACE(REGEXREPLACE(REGEXREPLACE(REGEXREPLACE(REGEXREPLACE(REGEXREPLACE(F245,"","",),IF(Projections!$T$17="""",""PG"",),),IF(Projections!$U$17="""",""SG"",),),IF(Projections!$V$17="""",""SF"",),),IF(Projections!$W$17="""",""PF"",),),IF(Pr"&amp;"ojections!$X$17="""",""C"",),),""/"","""")"),"SGSF")</f>
        <v>SGSF</v>
      </c>
    </row>
    <row r="246">
      <c r="B246">
        <f>IFERROR(__xludf.DUMMYFUNCTION("""COMPUTED_VALUE"""),243.0)</f>
        <v>243</v>
      </c>
      <c r="D246" t="str">
        <f>IFERROR(__xludf.DUMMYFUNCTION("""COMPUTED_VALUE"""),"Dario Saric")</f>
        <v>Dario Saric</v>
      </c>
      <c r="E246">
        <f>IFERROR(__xludf.DUMMYFUNCTION("""COMPUTED_VALUE"""),30.0)</f>
        <v>30</v>
      </c>
      <c r="F246" t="str">
        <f>IFERROR(__xludf.DUMMYFUNCTION("""COMPUTED_VALUE"""),"PG")</f>
        <v>PG</v>
      </c>
      <c r="G246" s="26">
        <f>IFERROR(__xludf.DUMMYFUNCTION("""COMPUTED_VALUE"""),-6.445776789819544)</f>
        <v>-6.44577679</v>
      </c>
      <c r="H246" s="26">
        <f>IFERROR(__xludf.DUMMYFUNCTION("""COMPUTED_VALUE"""),-6.565528343381766)</f>
        <v>-6.565528343</v>
      </c>
      <c r="I246" s="26">
        <f>IFERROR(__xludf.DUMMYFUNCTION("""COMPUTED_VALUE"""),-0.11975155356222178)</f>
        <v>-0.1197515536</v>
      </c>
      <c r="J246" s="26">
        <f>IFERROR(__xludf.DUMMYFUNCTION("""COMPUTED_VALUE"""),7.574915254)</f>
        <v>7.574915254</v>
      </c>
      <c r="K246" s="26">
        <f>IFERROR(__xludf.DUMMYFUNCTION("""COMPUTED_VALUE"""),1.094237288)</f>
        <v>1.094237288</v>
      </c>
      <c r="L246" s="26">
        <f>IFERROR(__xludf.DUMMYFUNCTION("""COMPUTED_VALUE"""),4.042542373)</f>
        <v>4.042542373</v>
      </c>
      <c r="M246" s="26">
        <f>IFERROR(__xludf.DUMMYFUNCTION("""COMPUTED_VALUE"""),2.368305085)</f>
        <v>2.368305085</v>
      </c>
      <c r="N246" s="26">
        <f>IFERROR(__xludf.DUMMYFUNCTION("""COMPUTED_VALUE"""),0.5455932203)</f>
        <v>0.5455932203</v>
      </c>
      <c r="O246" s="26">
        <f>IFERROR(__xludf.DUMMYFUNCTION("""COMPUTED_VALUE"""),0.1606779661)</f>
        <v>0.1606779661</v>
      </c>
      <c r="P246" s="464">
        <f>IFERROR(__xludf.DUMMYFUNCTION("""COMPUTED_VALUE"""),0.4542930195)</f>
        <v>0.4542930195</v>
      </c>
      <c r="Q246" s="464">
        <f>IFERROR(__xludf.DUMMYFUNCTION("""COMPUTED_VALUE"""),0.8389391979)</f>
        <v>0.8389391979</v>
      </c>
      <c r="R246" s="26">
        <f>IFERROR(__xludf.DUMMYFUNCTION("""COMPUTED_VALUE"""),1.265762712)</f>
        <v>1.265762712</v>
      </c>
      <c r="S246" s="26">
        <f>IFERROR(__xludf.DUMMYFUNCTION("""COMPUTED_VALUE"""),-1.7870095932211456)</f>
        <v>-1.787009593</v>
      </c>
      <c r="T246" s="26">
        <f>IFERROR(__xludf.DUMMYFUNCTION("""COMPUTED_VALUE"""),-0.649147177485332)</f>
        <v>-0.6491471775</v>
      </c>
      <c r="U246" s="26">
        <f>IFERROR(__xludf.DUMMYFUNCTION("""COMPUTED_VALUE"""),-0.7998002554167101)</f>
        <v>-0.7998002554</v>
      </c>
      <c r="V246" s="26">
        <f>IFERROR(__xludf.DUMMYFUNCTION("""COMPUTED_VALUE"""),-0.7107394394898514)</f>
        <v>-0.7107394395</v>
      </c>
      <c r="W246" s="26">
        <f>IFERROR(__xludf.DUMMYFUNCTION("""COMPUTED_VALUE"""),-1.4239205078144974)</f>
        <v>-1.423920508</v>
      </c>
      <c r="X246" s="26">
        <f>IFERROR(__xludf.DUMMYFUNCTION("""COMPUTED_VALUE"""),-1.0487647662242252)</f>
        <v>-1.048764766</v>
      </c>
      <c r="Y246" s="26">
        <f>IFERROR(__xludf.DUMMYFUNCTION("""COMPUTED_VALUE"""),-0.30801167617326747)</f>
        <v>-0.3080116762</v>
      </c>
      <c r="Z246" s="26">
        <f>IFERROR(__xludf.DUMMYFUNCTION("""COMPUTED_VALUE"""),0.1618650724432624)</f>
        <v>0.1618650724</v>
      </c>
      <c r="AA246" s="26">
        <f>IFERROR(__xludf.DUMMYFUNCTION("""COMPUTED_VALUE"""),0.0)</f>
        <v>0</v>
      </c>
      <c r="AB246" t="str">
        <f>IFERROR(__xludf.DUMMYFUNCTION("SUBSTITUTE(REGEXREPLACE(REGEXREPLACE(REGEXREPLACE(REGEXREPLACE(REGEXREPLACE(REGEXREPLACE(F246,"","",),IF(Projections!$T$17="""",""PG"",),),IF(Projections!$U$17="""",""SG"",),),IF(Projections!$V$17="""",""SF"",),),IF(Projections!$W$17="""",""PF"",),),IF(Pr"&amp;"ojections!$X$17="""",""C"",),),""/"","""")"),"PG")</f>
        <v>PG</v>
      </c>
    </row>
    <row r="247">
      <c r="B247">
        <f>IFERROR(__xludf.DUMMYFUNCTION("""COMPUTED_VALUE"""),251.0)</f>
        <v>251</v>
      </c>
      <c r="D247" t="str">
        <f>IFERROR(__xludf.DUMMYFUNCTION("""COMPUTED_VALUE"""),"Ziaire Williams")</f>
        <v>Ziaire Williams</v>
      </c>
      <c r="E247">
        <f>IFERROR(__xludf.DUMMYFUNCTION("""COMPUTED_VALUE"""),50.0)</f>
        <v>50</v>
      </c>
      <c r="F247" t="str">
        <f>IFERROR(__xludf.DUMMYFUNCTION("""COMPUTED_VALUE"""),"PG,SG")</f>
        <v>PG,SG</v>
      </c>
      <c r="G247" s="26">
        <f>IFERROR(__xludf.DUMMYFUNCTION("""COMPUTED_VALUE"""),-6.473815773206951)</f>
        <v>-6.473815773</v>
      </c>
      <c r="H247" s="26">
        <f>IFERROR(__xludf.DUMMYFUNCTION("""COMPUTED_VALUE"""),-6.600466570658751)</f>
        <v>-6.600466571</v>
      </c>
      <c r="I247" s="26">
        <f>IFERROR(__xludf.DUMMYFUNCTION("""COMPUTED_VALUE"""),-0.1266507974518003)</f>
        <v>-0.1266507975</v>
      </c>
      <c r="J247" s="26">
        <f>IFERROR(__xludf.DUMMYFUNCTION("""COMPUTED_VALUE"""),9.384411765)</f>
        <v>9.384411765</v>
      </c>
      <c r="K247" s="26">
        <f>IFERROR(__xludf.DUMMYFUNCTION("""COMPUTED_VALUE"""),1.28)</f>
        <v>1.28</v>
      </c>
      <c r="L247" s="26">
        <f>IFERROR(__xludf.DUMMYFUNCTION("""COMPUTED_VALUE"""),3.240441176)</f>
        <v>3.240441176</v>
      </c>
      <c r="M247" s="26">
        <f>IFERROR(__xludf.DUMMYFUNCTION("""COMPUTED_VALUE"""),1.851617647)</f>
        <v>1.851617647</v>
      </c>
      <c r="N247" s="26">
        <f>IFERROR(__xludf.DUMMYFUNCTION("""COMPUTED_VALUE"""),0.6944117647)</f>
        <v>0.6944117647</v>
      </c>
      <c r="O247" s="26">
        <f>IFERROR(__xludf.DUMMYFUNCTION("""COMPUTED_VALUE"""),0.1830882353)</f>
        <v>0.1830882353</v>
      </c>
      <c r="P247" s="464">
        <f>IFERROR(__xludf.DUMMYFUNCTION("""COMPUTED_VALUE"""),0.4161729012)</f>
        <v>0.4161729012</v>
      </c>
      <c r="Q247" s="464">
        <f>IFERROR(__xludf.DUMMYFUNCTION("""COMPUTED_VALUE"""),0.813989239)</f>
        <v>0.813989239</v>
      </c>
      <c r="R247" s="26">
        <f>IFERROR(__xludf.DUMMYFUNCTION("""COMPUTED_VALUE"""),1.237941176)</f>
        <v>1.237941176</v>
      </c>
      <c r="S247" s="26">
        <f>IFERROR(__xludf.DUMMYFUNCTION("""COMPUTED_VALUE"""),-1.460837643829144)</f>
        <v>-1.460837644</v>
      </c>
      <c r="T247" s="26">
        <f>IFERROR(__xludf.DUMMYFUNCTION("""COMPUTED_VALUE"""),-0.46488384196316285)</f>
        <v>-0.464883842</v>
      </c>
      <c r="U247" s="26">
        <f>IFERROR(__xludf.DUMMYFUNCTION("""COMPUTED_VALUE"""),-1.1141493262915962)</f>
        <v>-1.114149326</v>
      </c>
      <c r="V247" s="26">
        <f>IFERROR(__xludf.DUMMYFUNCTION("""COMPUTED_VALUE"""),-0.9453870507816261)</f>
        <v>-0.9453870508</v>
      </c>
      <c r="W247" s="26">
        <f>IFERROR(__xludf.DUMMYFUNCTION("""COMPUTED_VALUE"""),-0.931582126290944)</f>
        <v>-0.9315821263</v>
      </c>
      <c r="X247" s="26">
        <f>IFERROR(__xludf.DUMMYFUNCTION("""COMPUTED_VALUE"""),-1.0087927383333677)</f>
        <v>-1.008792738</v>
      </c>
      <c r="Y247" s="26">
        <f>IFERROR(__xludf.DUMMYFUNCTION("""COMPUTED_VALUE"""),-0.777047521902786)</f>
        <v>-0.7770475219</v>
      </c>
      <c r="Z247" s="26">
        <f>IFERROR(__xludf.DUMMYFUNCTION("""COMPUTED_VALUE"""),0.10221367873387537)</f>
        <v>0.1022136787</v>
      </c>
      <c r="AA247" s="26">
        <f>IFERROR(__xludf.DUMMYFUNCTION("""COMPUTED_VALUE"""),0.0)</f>
        <v>0</v>
      </c>
      <c r="AB247" t="str">
        <f>IFERROR(__xludf.DUMMYFUNCTION("SUBSTITUTE(REGEXREPLACE(REGEXREPLACE(REGEXREPLACE(REGEXREPLACE(REGEXREPLACE(REGEXREPLACE(F247,"","",),IF(Projections!$T$17="""",""PG"",),),IF(Projections!$U$17="""",""SG"",),),IF(Projections!$V$17="""",""SF"",),),IF(Projections!$W$17="""",""PF"",),),IF(Pr"&amp;"ojections!$X$17="""",""C"",),),""/"","""")"),"PGSG")</f>
        <v>PGSG</v>
      </c>
    </row>
    <row r="248">
      <c r="B248">
        <f>IFERROR(__xludf.DUMMYFUNCTION("""COMPUTED_VALUE"""),246.0)</f>
        <v>246</v>
      </c>
      <c r="D248" t="str">
        <f>IFERROR(__xludf.DUMMYFUNCTION("""COMPUTED_VALUE"""),"Eric Gordon")</f>
        <v>Eric Gordon</v>
      </c>
      <c r="E248">
        <f>IFERROR(__xludf.DUMMYFUNCTION("""COMPUTED_VALUE"""),62.0)</f>
        <v>62</v>
      </c>
      <c r="F248" t="str">
        <f>IFERROR(__xludf.DUMMYFUNCTION("""COMPUTED_VALUE"""),"PG,SG")</f>
        <v>PG,SG</v>
      </c>
      <c r="G248" s="26">
        <f>IFERROR(__xludf.DUMMYFUNCTION("""COMPUTED_VALUE"""),-6.456777954322348)</f>
        <v>-6.456777954</v>
      </c>
      <c r="H248" s="26">
        <f>IFERROR(__xludf.DUMMYFUNCTION("""COMPUTED_VALUE"""),-6.613988903058028)</f>
        <v>-6.613988903</v>
      </c>
      <c r="I248" s="26">
        <f>IFERROR(__xludf.DUMMYFUNCTION("""COMPUTED_VALUE"""),-0.1572109487356803)</f>
        <v>-0.1572109487</v>
      </c>
      <c r="J248" s="26">
        <f>IFERROR(__xludf.DUMMYFUNCTION("""COMPUTED_VALUE"""),8.140441176)</f>
        <v>8.140441176</v>
      </c>
      <c r="K248" s="26">
        <f>IFERROR(__xludf.DUMMYFUNCTION("""COMPUTED_VALUE"""),1.685882353)</f>
        <v>1.685882353</v>
      </c>
      <c r="L248" s="26">
        <f>IFERROR(__xludf.DUMMYFUNCTION("""COMPUTED_VALUE"""),1.645588235)</f>
        <v>1.645588235</v>
      </c>
      <c r="M248" s="26">
        <f>IFERROR(__xludf.DUMMYFUNCTION("""COMPUTED_VALUE"""),2.123382353)</f>
        <v>2.123382353</v>
      </c>
      <c r="N248" s="26">
        <f>IFERROR(__xludf.DUMMYFUNCTION("""COMPUTED_VALUE"""),0.6370588235)</f>
        <v>0.6370588235</v>
      </c>
      <c r="O248" s="26">
        <f>IFERROR(__xludf.DUMMYFUNCTION("""COMPUTED_VALUE"""),0.3701470588)</f>
        <v>0.3701470588</v>
      </c>
      <c r="P248" s="464">
        <f>IFERROR(__xludf.DUMMYFUNCTION("""COMPUTED_VALUE"""),0.4312099996)</f>
        <v>0.4312099996</v>
      </c>
      <c r="Q248" s="464">
        <f>IFERROR(__xludf.DUMMYFUNCTION("""COMPUTED_VALUE"""),0.8020184668)</f>
        <v>0.8020184668</v>
      </c>
      <c r="R248" s="26">
        <f>IFERROR(__xludf.DUMMYFUNCTION("""COMPUTED_VALUE"""),1.114705882)</f>
        <v>1.114705882</v>
      </c>
      <c r="S248" s="26">
        <f>IFERROR(__xludf.DUMMYFUNCTION("""COMPUTED_VALUE"""),-1.6850703569257908)</f>
        <v>-1.685070357</v>
      </c>
      <c r="T248" s="26">
        <f>IFERROR(__xludf.DUMMYFUNCTION("""COMPUTED_VALUE"""),-0.06227755252997197)</f>
        <v>-0.06227755253</v>
      </c>
      <c r="U248" s="26">
        <f>IFERROR(__xludf.DUMMYFUNCTION("""COMPUTED_VALUE"""),-1.7391833519987412)</f>
        <v>-1.739183352</v>
      </c>
      <c r="V248" s="26">
        <f>IFERROR(__xludf.DUMMYFUNCTION("""COMPUTED_VALUE"""),-0.821968259445903)</f>
        <v>-0.8219682594</v>
      </c>
      <c r="W248" s="26">
        <f>IFERROR(__xludf.DUMMYFUNCTION("""COMPUTED_VALUE"""),-1.1213236290039859)</f>
        <v>-1.121323629</v>
      </c>
      <c r="X248" s="26">
        <f>IFERROR(__xludf.DUMMYFUNCTION("""COMPUTED_VALUE"""),-0.675145674862438)</f>
        <v>-0.6751456749</v>
      </c>
      <c r="Y248" s="26">
        <f>IFERROR(__xludf.DUMMYFUNCTION("""COMPUTED_VALUE"""),-0.5259541466645805)</f>
        <v>-0.5259541467</v>
      </c>
      <c r="Z248" s="26">
        <f>IFERROR(__xludf.DUMMYFUNCTION("""COMPUTED_VALUE"""),0.016934068373382953)</f>
        <v>0.01693406837</v>
      </c>
      <c r="AA248" s="26">
        <f>IFERROR(__xludf.DUMMYFUNCTION("""COMPUTED_VALUE"""),0.0)</f>
        <v>0</v>
      </c>
      <c r="AB248" t="str">
        <f>IFERROR(__xludf.DUMMYFUNCTION("SUBSTITUTE(REGEXREPLACE(REGEXREPLACE(REGEXREPLACE(REGEXREPLACE(REGEXREPLACE(REGEXREPLACE(F248,"","",),IF(Projections!$T$17="""",""PG"",),),IF(Projections!$U$17="""",""SG"",),),IF(Projections!$V$17="""",""SF"",),),IF(Projections!$W$17="""",""PF"",),),IF(Pr"&amp;"ojections!$X$17="""",""C"",),),""/"","""")"),"PGSG")</f>
        <v>PGSG</v>
      </c>
    </row>
    <row r="249">
      <c r="B249">
        <f>IFERROR(__xludf.DUMMYFUNCTION("""COMPUTED_VALUE"""),230.0)</f>
        <v>230</v>
      </c>
      <c r="D249" t="str">
        <f>IFERROR(__xludf.DUMMYFUNCTION("""COMPUTED_VALUE"""),"Robert Williams")</f>
        <v>Robert Williams</v>
      </c>
      <c r="E249">
        <f>IFERROR(__xludf.DUMMYFUNCTION("""COMPUTED_VALUE"""),48.0)</f>
        <v>48</v>
      </c>
      <c r="F249" t="str">
        <f>IFERROR(__xludf.DUMMYFUNCTION("""COMPUTED_VALUE"""),"SF")</f>
        <v>SF</v>
      </c>
      <c r="G249" s="26">
        <f>IFERROR(__xludf.DUMMYFUNCTION("""COMPUTED_VALUE"""),-6.36227007282983)</f>
        <v>-6.362270073</v>
      </c>
      <c r="H249" s="26">
        <f>IFERROR(__xludf.DUMMYFUNCTION("""COMPUTED_VALUE"""),-6.615845582409813)</f>
        <v>-6.615845582</v>
      </c>
      <c r="I249" s="26">
        <f>IFERROR(__xludf.DUMMYFUNCTION("""COMPUTED_VALUE"""),-0.2535755095799832)</f>
        <v>-0.2535755096</v>
      </c>
      <c r="J249" s="26">
        <f>IFERROR(__xludf.DUMMYFUNCTION("""COMPUTED_VALUE"""),4.931666667)</f>
        <v>4.931666667</v>
      </c>
      <c r="K249" s="26">
        <f>IFERROR(__xludf.DUMMYFUNCTION("""COMPUTED_VALUE"""),0.0)</f>
        <v>0</v>
      </c>
      <c r="L249" s="26">
        <f>IFERROR(__xludf.DUMMYFUNCTION("""COMPUTED_VALUE"""),5.28)</f>
        <v>5.28</v>
      </c>
      <c r="M249" s="26">
        <f>IFERROR(__xludf.DUMMYFUNCTION("""COMPUTED_VALUE"""),0.8911111111)</f>
        <v>0.8911111111</v>
      </c>
      <c r="N249" s="26">
        <f>IFERROR(__xludf.DUMMYFUNCTION("""COMPUTED_VALUE"""),0.4747222222)</f>
        <v>0.4747222222</v>
      </c>
      <c r="O249" s="26">
        <f>IFERROR(__xludf.DUMMYFUNCTION("""COMPUTED_VALUE"""),0.9238888889)</f>
        <v>0.9238888889</v>
      </c>
      <c r="P249" s="464">
        <f>IFERROR(__xludf.DUMMYFUNCTION("""COMPUTED_VALUE"""),0.7)</f>
        <v>0.7</v>
      </c>
      <c r="Q249" s="464">
        <f>IFERROR(__xludf.DUMMYFUNCTION("""COMPUTED_VALUE"""),0.6580331849)</f>
        <v>0.6580331849</v>
      </c>
      <c r="R249" s="26">
        <f>IFERROR(__xludf.DUMMYFUNCTION("""COMPUTED_VALUE"""),0.7261111111)</f>
        <v>0.7261111111</v>
      </c>
      <c r="S249" s="26">
        <f>IFERROR(__xludf.DUMMYFUNCTION("""COMPUTED_VALUE"""),-2.2634700556251235)</f>
        <v>-2.263470056</v>
      </c>
      <c r="T249" s="26">
        <f>IFERROR(__xludf.DUMMYFUNCTION("""COMPUTED_VALUE"""),-1.7345523719336797)</f>
        <v>-1.734552372</v>
      </c>
      <c r="U249" s="26">
        <f>IFERROR(__xludf.DUMMYFUNCTION("""COMPUTED_VALUE"""),-0.3148319537243594)</f>
        <v>-0.3148319537</v>
      </c>
      <c r="V249" s="26">
        <f>IFERROR(__xludf.DUMMYFUNCTION("""COMPUTED_VALUE"""),-1.3815899612906921)</f>
        <v>-1.381589961</v>
      </c>
      <c r="W249" s="26">
        <f>IFERROR(__xludf.DUMMYFUNCTION("""COMPUTED_VALUE"""),-1.658383979031683)</f>
        <v>-1.658383979</v>
      </c>
      <c r="X249" s="26">
        <f>IFERROR(__xludf.DUMMYFUNCTION("""COMPUTED_VALUE"""),0.3125347353796556)</f>
        <v>0.3125347354</v>
      </c>
      <c r="Y249" s="26">
        <f>IFERROR(__xludf.DUMMYFUNCTION("""COMPUTED_VALUE"""),0.7546715968606038)</f>
        <v>0.7546715969</v>
      </c>
      <c r="Z249" s="26">
        <f>IFERROR(__xludf.DUMMYFUNCTION("""COMPUTED_VALUE"""),-0.330223593044534)</f>
        <v>-0.330223593</v>
      </c>
      <c r="AA249" s="26">
        <f>IFERROR(__xludf.DUMMYFUNCTION("""COMPUTED_VALUE"""),0.0)</f>
        <v>0</v>
      </c>
      <c r="AB249" t="str">
        <f>IFERROR(__xludf.DUMMYFUNCTION("SUBSTITUTE(REGEXREPLACE(REGEXREPLACE(REGEXREPLACE(REGEXREPLACE(REGEXREPLACE(REGEXREPLACE(F249,"","",),IF(Projections!$T$17="""",""PG"",),),IF(Projections!$U$17="""",""SG"",),),IF(Projections!$V$17="""",""SF"",),),IF(Projections!$W$17="""",""PF"",),),IF(Pr"&amp;"ojections!$X$17="""",""C"",),),""/"","""")"),"SF")</f>
        <v>SF</v>
      </c>
    </row>
    <row r="250">
      <c r="B250">
        <f>IFERROR(__xludf.DUMMYFUNCTION("""COMPUTED_VALUE"""),249.0)</f>
        <v>249</v>
      </c>
      <c r="C250">
        <f>IFERROR(__xludf.DUMMYFUNCTION("""COMPUTED_VALUE"""),140.3)</f>
        <v>140.3</v>
      </c>
      <c r="D250" t="str">
        <f>IFERROR(__xludf.DUMMYFUNCTION("""COMPUTED_VALUE"""),"Dorian Finney-Smith")</f>
        <v>Dorian Finney-Smith</v>
      </c>
      <c r="E250">
        <f>IFERROR(__xludf.DUMMYFUNCTION("""COMPUTED_VALUE"""),38.0)</f>
        <v>38</v>
      </c>
      <c r="F250" t="str">
        <f>IFERROR(__xludf.DUMMYFUNCTION("""COMPUTED_VALUE"""),"C")</f>
        <v>C</v>
      </c>
      <c r="G250" s="26">
        <f>IFERROR(__xludf.DUMMYFUNCTION("""COMPUTED_VALUE"""),-6.43555457245708)</f>
        <v>-6.435554572</v>
      </c>
      <c r="H250" s="26">
        <f>IFERROR(__xludf.DUMMYFUNCTION("""COMPUTED_VALUE"""),-6.675418555219426)</f>
        <v>-6.675418555</v>
      </c>
      <c r="I250" s="26">
        <f>IFERROR(__xludf.DUMMYFUNCTION("""COMPUTED_VALUE"""),-0.23986398276234588)</f>
        <v>-0.2398639828</v>
      </c>
      <c r="J250" s="26">
        <f>IFERROR(__xludf.DUMMYFUNCTION("""COMPUTED_VALUE"""),6.371754386)</f>
        <v>6.371754386</v>
      </c>
      <c r="K250" s="26">
        <f>IFERROR(__xludf.DUMMYFUNCTION("""COMPUTED_VALUE"""),1.106140351)</f>
        <v>1.106140351</v>
      </c>
      <c r="L250" s="26">
        <f>IFERROR(__xludf.DUMMYFUNCTION("""COMPUTED_VALUE"""),3.823333333)</f>
        <v>3.823333333</v>
      </c>
      <c r="M250" s="26">
        <f>IFERROR(__xludf.DUMMYFUNCTION("""COMPUTED_VALUE"""),1.393684211)</f>
        <v>1.393684211</v>
      </c>
      <c r="N250" s="26">
        <f>IFERROR(__xludf.DUMMYFUNCTION("""COMPUTED_VALUE"""),0.7140350877)</f>
        <v>0.7140350877</v>
      </c>
      <c r="O250" s="26">
        <f>IFERROR(__xludf.DUMMYFUNCTION("""COMPUTED_VALUE"""),0.489122807)</f>
        <v>0.489122807</v>
      </c>
      <c r="P250" s="464">
        <f>IFERROR(__xludf.DUMMYFUNCTION("""COMPUTED_VALUE"""),0.4216694272)</f>
        <v>0.4216694272</v>
      </c>
      <c r="Q250" s="464">
        <f>IFERROR(__xludf.DUMMYFUNCTION("""COMPUTED_VALUE"""),0.7278846154)</f>
        <v>0.7278846154</v>
      </c>
      <c r="R250" s="26">
        <f>IFERROR(__xludf.DUMMYFUNCTION("""COMPUTED_VALUE"""),0.7814035088)</f>
        <v>0.7814035088</v>
      </c>
      <c r="S250" s="26">
        <f>IFERROR(__xludf.DUMMYFUNCTION("""COMPUTED_VALUE"""),-2.0038861239920487)</f>
        <v>-2.003886124</v>
      </c>
      <c r="T250" s="26">
        <f>IFERROR(__xludf.DUMMYFUNCTION("""COMPUTED_VALUE"""),-0.6373401895936472)</f>
        <v>-0.6373401896</v>
      </c>
      <c r="U250" s="26">
        <f>IFERROR(__xludf.DUMMYFUNCTION("""COMPUTED_VALUE"""),-0.8857098118531104)</f>
        <v>-0.8857098119</v>
      </c>
      <c r="V250" s="26">
        <f>IFERROR(__xludf.DUMMYFUNCTION("""COMPUTED_VALUE"""),-1.1533522130545184)</f>
        <v>-1.153352213</v>
      </c>
      <c r="W250" s="26">
        <f>IFERROR(__xludf.DUMMYFUNCTION("""COMPUTED_VALUE"""),-0.8666620242641032)</f>
        <v>-0.8666620243</v>
      </c>
      <c r="X250" s="26">
        <f>IFERROR(__xludf.DUMMYFUNCTION("""COMPUTED_VALUE"""),-0.46293484049253875)</f>
        <v>-0.4629348405</v>
      </c>
      <c r="Y250" s="26">
        <f>IFERROR(__xludf.DUMMYFUNCTION("""COMPUTED_VALUE"""),-0.49350618432304066)</f>
        <v>-0.4935061843</v>
      </c>
      <c r="Z250" s="26">
        <f>IFERROR(__xludf.DUMMYFUNCTION("""COMPUTED_VALUE"""),-0.1720271676464184)</f>
        <v>-0.1720271676</v>
      </c>
      <c r="AA250" s="26">
        <f>IFERROR(__xludf.DUMMYFUNCTION("""COMPUTED_VALUE"""),0.0)</f>
        <v>0</v>
      </c>
      <c r="AB250" t="str">
        <f>IFERROR(__xludf.DUMMYFUNCTION("SUBSTITUTE(REGEXREPLACE(REGEXREPLACE(REGEXREPLACE(REGEXREPLACE(REGEXREPLACE(REGEXREPLACE(F250,"","",),IF(Projections!$T$17="""",""PG"",),),IF(Projections!$U$17="""",""SG"",),),IF(Projections!$V$17="""",""SF"",),),IF(Projections!$W$17="""",""PF"",),),IF(Pr"&amp;"ojections!$X$17="""",""C"",),),""/"","""")"),"C")</f>
        <v>C</v>
      </c>
    </row>
    <row r="251">
      <c r="B251">
        <f>IFERROR(__xludf.DUMMYFUNCTION("""COMPUTED_VALUE"""),245.0)</f>
        <v>245</v>
      </c>
      <c r="D251" t="str">
        <f>IFERROR(__xludf.DUMMYFUNCTION("""COMPUTED_VALUE"""),"Xavier Tillman")</f>
        <v>Xavier Tillman</v>
      </c>
      <c r="E251">
        <f>IFERROR(__xludf.DUMMYFUNCTION("""COMPUTED_VALUE"""),70.0)</f>
        <v>70</v>
      </c>
      <c r="F251" t="str">
        <f>IFERROR(__xludf.DUMMYFUNCTION("""COMPUTED_VALUE"""),"PG,SG")</f>
        <v>PG,SG</v>
      </c>
      <c r="G251" s="26">
        <f>IFERROR(__xludf.DUMMYFUNCTION("""COMPUTED_VALUE"""),-6.402638616738283)</f>
        <v>-6.402638617</v>
      </c>
      <c r="H251" s="26">
        <f>IFERROR(__xludf.DUMMYFUNCTION("""COMPUTED_VALUE"""),-6.691972988069516)</f>
        <v>-6.691972988</v>
      </c>
      <c r="I251" s="26">
        <f>IFERROR(__xludf.DUMMYFUNCTION("""COMPUTED_VALUE"""),-0.28933437133123263)</f>
        <v>-0.2893343713</v>
      </c>
      <c r="J251" s="26">
        <f>IFERROR(__xludf.DUMMYFUNCTION("""COMPUTED_VALUE"""),5.938970588)</f>
        <v>5.938970588</v>
      </c>
      <c r="K251" s="26">
        <f>IFERROR(__xludf.DUMMYFUNCTION("""COMPUTED_VALUE"""),0.4273529412)</f>
        <v>0.4273529412</v>
      </c>
      <c r="L251" s="26">
        <f>IFERROR(__xludf.DUMMYFUNCTION("""COMPUTED_VALUE"""),3.879117647)</f>
        <v>3.879117647</v>
      </c>
      <c r="M251" s="26">
        <f>IFERROR(__xludf.DUMMYFUNCTION("""COMPUTED_VALUE"""),1.512941176)</f>
        <v>1.512941176</v>
      </c>
      <c r="N251" s="26">
        <f>IFERROR(__xludf.DUMMYFUNCTION("""COMPUTED_VALUE"""),0.7758823529)</f>
        <v>0.7758823529</v>
      </c>
      <c r="O251" s="26">
        <f>IFERROR(__xludf.DUMMYFUNCTION("""COMPUTED_VALUE"""),0.6927941176)</f>
        <v>0.6927941176</v>
      </c>
      <c r="P251" s="464">
        <f>IFERROR(__xludf.DUMMYFUNCTION("""COMPUTED_VALUE"""),0.4988223805)</f>
        <v>0.4988223805</v>
      </c>
      <c r="Q251" s="464">
        <f>IFERROR(__xludf.DUMMYFUNCTION("""COMPUTED_VALUE"""),0.5630769231)</f>
        <v>0.5630769231</v>
      </c>
      <c r="R251" s="26">
        <f>IFERROR(__xludf.DUMMYFUNCTION("""COMPUTED_VALUE"""),0.5819117647)</f>
        <v>0.5819117647</v>
      </c>
      <c r="S251" s="26">
        <f>IFERROR(__xludf.DUMMYFUNCTION("""COMPUTED_VALUE"""),-2.0818978439377935)</f>
        <v>-2.081897844</v>
      </c>
      <c r="T251" s="26">
        <f>IFERROR(__xludf.DUMMYFUNCTION("""COMPUTED_VALUE"""),-1.3106487933149447)</f>
        <v>-1.310648793</v>
      </c>
      <c r="U251" s="26">
        <f>IFERROR(__xludf.DUMMYFUNCTION("""COMPUTED_VALUE"""),-0.8638475489106291)</f>
        <v>-0.8638475489</v>
      </c>
      <c r="V251" s="26">
        <f>IFERROR(__xludf.DUMMYFUNCTION("""COMPUTED_VALUE"""),-1.0991930446499696)</f>
        <v>-1.099193045</v>
      </c>
      <c r="W251" s="26">
        <f>IFERROR(__xludf.DUMMYFUNCTION("""COMPUTED_VALUE"""),-0.6620518893310406)</f>
        <v>-0.6620518893</v>
      </c>
      <c r="X251" s="26">
        <f>IFERROR(__xludf.DUMMYFUNCTION("""COMPUTED_VALUE"""),-0.09965695055667262)</f>
        <v>-0.09965695056</v>
      </c>
      <c r="Y251" s="26">
        <f>IFERROR(__xludf.DUMMYFUNCTION("""COMPUTED_VALUE"""),0.009383985596661332)</f>
        <v>0.009383985597</v>
      </c>
      <c r="Z251" s="26">
        <f>IFERROR(__xludf.DUMMYFUNCTION("""COMPUTED_VALUE"""),-0.5840609029651275)</f>
        <v>-0.584060903</v>
      </c>
      <c r="AA251" s="26">
        <f>IFERROR(__xludf.DUMMYFUNCTION("""COMPUTED_VALUE"""),0.0)</f>
        <v>0</v>
      </c>
      <c r="AB251" t="str">
        <f>IFERROR(__xludf.DUMMYFUNCTION("SUBSTITUTE(REGEXREPLACE(REGEXREPLACE(REGEXREPLACE(REGEXREPLACE(REGEXREPLACE(REGEXREPLACE(F251,"","",),IF(Projections!$T$17="""",""PG"",),),IF(Projections!$U$17="""",""SG"",),),IF(Projections!$V$17="""",""SF"",),),IF(Projections!$W$17="""",""PF"",),),IF(Pr"&amp;"ojections!$X$17="""",""C"",),),""/"","""")"),"PGSG")</f>
        <v>PGSG</v>
      </c>
    </row>
    <row r="252">
      <c r="B252">
        <f>IFERROR(__xludf.DUMMYFUNCTION("""COMPUTED_VALUE"""),247.0)</f>
        <v>247</v>
      </c>
      <c r="D252" t="str">
        <f>IFERROR(__xludf.DUMMYFUNCTION("""COMPUTED_VALUE"""),"Santi Aldama")</f>
        <v>Santi Aldama</v>
      </c>
      <c r="E252">
        <f>IFERROR(__xludf.DUMMYFUNCTION("""COMPUTED_VALUE"""),50.0)</f>
        <v>50</v>
      </c>
      <c r="F252" t="str">
        <f>IFERROR(__xludf.DUMMYFUNCTION("""COMPUTED_VALUE"""),"SG,SF")</f>
        <v>SG,SF</v>
      </c>
      <c r="G252" s="26">
        <f>IFERROR(__xludf.DUMMYFUNCTION("""COMPUTED_VALUE"""),-6.489791328257794)</f>
        <v>-6.489791328</v>
      </c>
      <c r="H252" s="26">
        <f>IFERROR(__xludf.DUMMYFUNCTION("""COMPUTED_VALUE"""),-6.7064289505816115)</f>
        <v>-6.706428951</v>
      </c>
      <c r="I252" s="26">
        <f>IFERROR(__xludf.DUMMYFUNCTION("""COMPUTED_VALUE"""),-0.21663762232381778)</f>
        <v>-0.2166376223</v>
      </c>
      <c r="J252" s="26">
        <f>IFERROR(__xludf.DUMMYFUNCTION("""COMPUTED_VALUE"""),7.151688312)</f>
        <v>7.151688312</v>
      </c>
      <c r="K252" s="26">
        <f>IFERROR(__xludf.DUMMYFUNCTION("""COMPUTED_VALUE"""),1.213376623)</f>
        <v>1.213376623</v>
      </c>
      <c r="L252" s="26">
        <f>IFERROR(__xludf.DUMMYFUNCTION("""COMPUTED_VALUE"""),4.55)</f>
        <v>4.55</v>
      </c>
      <c r="M252" s="26">
        <f>IFERROR(__xludf.DUMMYFUNCTION("""COMPUTED_VALUE"""),1.312467532)</f>
        <v>1.312467532</v>
      </c>
      <c r="N252" s="26">
        <f>IFERROR(__xludf.DUMMYFUNCTION("""COMPUTED_VALUE"""),0.5457142857)</f>
        <v>0.5457142857</v>
      </c>
      <c r="O252" s="26">
        <f>IFERROR(__xludf.DUMMYFUNCTION("""COMPUTED_VALUE"""),0.6124675325)</f>
        <v>0.6124675325</v>
      </c>
      <c r="P252" s="464">
        <f>IFERROR(__xludf.DUMMYFUNCTION("""COMPUTED_VALUE"""),0.4389374106)</f>
        <v>0.4389374106</v>
      </c>
      <c r="Q252" s="464">
        <f>IFERROR(__xludf.DUMMYFUNCTION("""COMPUTED_VALUE"""),0.6570330296)</f>
        <v>0.6570330296</v>
      </c>
      <c r="R252" s="26">
        <f>IFERROR(__xludf.DUMMYFUNCTION("""COMPUTED_VALUE"""),0.8750649351)</f>
        <v>0.8750649351</v>
      </c>
      <c r="S252" s="26">
        <f>IFERROR(__xludf.DUMMYFUNCTION("""COMPUTED_VALUE"""),-1.8632986359842434)</f>
        <v>-1.863298636</v>
      </c>
      <c r="T252" s="26">
        <f>IFERROR(__xludf.DUMMYFUNCTION("""COMPUTED_VALUE"""),-0.5309694709766484)</f>
        <v>-0.530969471</v>
      </c>
      <c r="U252" s="26">
        <f>IFERROR(__xludf.DUMMYFUNCTION("""COMPUTED_VALUE"""),-0.6009240610506461)</f>
        <v>-0.6009240611</v>
      </c>
      <c r="V252" s="26">
        <f>IFERROR(__xludf.DUMMYFUNCTION("""COMPUTED_VALUE"""),-1.1902358264788508)</f>
        <v>-1.190235826</v>
      </c>
      <c r="W252" s="26">
        <f>IFERROR(__xludf.DUMMYFUNCTION("""COMPUTED_VALUE"""),-1.4235199855319094)</f>
        <v>-1.423519986</v>
      </c>
      <c r="X252" s="26">
        <f>IFERROR(__xludf.DUMMYFUNCTION("""COMPUTED_VALUE"""),-0.24293128926896934)</f>
        <v>-0.2429312893</v>
      </c>
      <c r="Y252" s="26">
        <f>IFERROR(__xludf.DUMMYFUNCTION("""COMPUTED_VALUE"""),-0.41247884826815223)</f>
        <v>-0.4124788483</v>
      </c>
      <c r="Z252" s="26">
        <f>IFERROR(__xludf.DUMMYFUNCTION("""COMPUTED_VALUE"""),-0.4420708330221922)</f>
        <v>-0.442070833</v>
      </c>
      <c r="AA252" s="26">
        <f>IFERROR(__xludf.DUMMYFUNCTION("""COMPUTED_VALUE"""),0.0)</f>
        <v>0</v>
      </c>
      <c r="AB252" t="str">
        <f>IFERROR(__xludf.DUMMYFUNCTION("SUBSTITUTE(REGEXREPLACE(REGEXREPLACE(REGEXREPLACE(REGEXREPLACE(REGEXREPLACE(REGEXREPLACE(F252,"","",),IF(Projections!$T$17="""",""PG"",),),IF(Projections!$U$17="""",""SG"",),),IF(Projections!$V$17="""",""SF"",),),IF(Projections!$W$17="""",""PF"",),),IF(Pr"&amp;"ojections!$X$17="""",""C"",),),""/"","""")"),"SGSF")</f>
        <v>SGSF</v>
      </c>
    </row>
    <row r="253">
      <c r="B253">
        <f>IFERROR(__xludf.DUMMYFUNCTION("""COMPUTED_VALUE"""),257.0)</f>
        <v>257</v>
      </c>
      <c r="D253" t="str">
        <f>IFERROR(__xludf.DUMMYFUNCTION("""COMPUTED_VALUE"""),"Ben Sheppard")</f>
        <v>Ben Sheppard</v>
      </c>
      <c r="E253">
        <f>IFERROR(__xludf.DUMMYFUNCTION("""COMPUTED_VALUE"""),65.0)</f>
        <v>65</v>
      </c>
      <c r="F253" t="str">
        <f>IFERROR(__xludf.DUMMYFUNCTION("""COMPUTED_VALUE"""),"SG,SF")</f>
        <v>SG,SF</v>
      </c>
      <c r="G253" s="26">
        <f>IFERROR(__xludf.DUMMYFUNCTION("""COMPUTED_VALUE"""),-6.437848619213151)</f>
        <v>-6.437848619</v>
      </c>
      <c r="H253" s="26">
        <f>IFERROR(__xludf.DUMMYFUNCTION("""COMPUTED_VALUE"""),-6.726230327496562)</f>
        <v>-6.726230327</v>
      </c>
      <c r="I253" s="26">
        <f>IFERROR(__xludf.DUMMYFUNCTION("""COMPUTED_VALUE"""),-0.2883817082834108)</f>
        <v>-0.2883817083</v>
      </c>
      <c r="J253" s="26">
        <f>IFERROR(__xludf.DUMMYFUNCTION("""COMPUTED_VALUE"""),7.377808219)</f>
        <v>7.377808219</v>
      </c>
      <c r="K253" s="26">
        <f>IFERROR(__xludf.DUMMYFUNCTION("""COMPUTED_VALUE"""),1.523150685)</f>
        <v>1.523150685</v>
      </c>
      <c r="L253" s="26">
        <f>IFERROR(__xludf.DUMMYFUNCTION("""COMPUTED_VALUE"""),2.298219178)</f>
        <v>2.298219178</v>
      </c>
      <c r="M253" s="26">
        <f>IFERROR(__xludf.DUMMYFUNCTION("""COMPUTED_VALUE"""),1.470273973)</f>
        <v>1.470273973</v>
      </c>
      <c r="N253" s="26">
        <f>IFERROR(__xludf.DUMMYFUNCTION("""COMPUTED_VALUE"""),0.8828767123)</f>
        <v>0.8828767123</v>
      </c>
      <c r="O253" s="26">
        <f>IFERROR(__xludf.DUMMYFUNCTION("""COMPUTED_VALUE"""),0.04424657534)</f>
        <v>0.04424657534</v>
      </c>
      <c r="P253" s="464">
        <f>IFERROR(__xludf.DUMMYFUNCTION("""COMPUTED_VALUE"""),0.4119904284)</f>
        <v>0.4119904284</v>
      </c>
      <c r="Q253" s="464">
        <f>IFERROR(__xludf.DUMMYFUNCTION("""COMPUTED_VALUE"""),0.8400595127)</f>
        <v>0.8400595127</v>
      </c>
      <c r="R253" s="26">
        <f>IFERROR(__xludf.DUMMYFUNCTION("""COMPUTED_VALUE"""),0.5857534247)</f>
        <v>0.5857534247</v>
      </c>
      <c r="S253" s="26">
        <f>IFERROR(__xludf.DUMMYFUNCTION("""COMPUTED_VALUE"""),-1.8225392477156424)</f>
        <v>-1.822539248</v>
      </c>
      <c r="T253" s="26">
        <f>IFERROR(__xludf.DUMMYFUNCTION("""COMPUTED_VALUE"""),-0.22369573822466737)</f>
        <v>-0.2236957382</v>
      </c>
      <c r="U253" s="26">
        <f>IFERROR(__xludf.DUMMYFUNCTION("""COMPUTED_VALUE"""),-1.48341271941078)</f>
        <v>-1.483412719</v>
      </c>
      <c r="V253" s="26">
        <f>IFERROR(__xludf.DUMMYFUNCTION("""COMPUTED_VALUE"""),-1.118569860357363)</f>
        <v>-1.11856986</v>
      </c>
      <c r="W253" s="26">
        <f>IFERROR(__xludf.DUMMYFUNCTION("""COMPUTED_VALUE"""),-0.30808101862048554)</f>
        <v>-0.3080810186</v>
      </c>
      <c r="X253" s="26">
        <f>IFERROR(__xludf.DUMMYFUNCTION("""COMPUTED_VALUE"""),-1.2564373629831282)</f>
        <v>-1.256437363</v>
      </c>
      <c r="Y253" s="26">
        <f>IFERROR(__xludf.DUMMYFUNCTION("""COMPUTED_VALUE"""),-0.6301437257018704)</f>
        <v>-0.6301437257</v>
      </c>
      <c r="Z253" s="26">
        <f>IFERROR(__xludf.DUMMYFUNCTION("""COMPUTED_VALUE"""),0.11664934551737523)</f>
        <v>0.1166493455</v>
      </c>
      <c r="AA253" s="26">
        <f>IFERROR(__xludf.DUMMYFUNCTION("""COMPUTED_VALUE"""),0.0)</f>
        <v>0</v>
      </c>
      <c r="AB253" t="str">
        <f>IFERROR(__xludf.DUMMYFUNCTION("SUBSTITUTE(REGEXREPLACE(REGEXREPLACE(REGEXREPLACE(REGEXREPLACE(REGEXREPLACE(REGEXREPLACE(F253,"","",),IF(Projections!$T$17="""",""PG"",),),IF(Projections!$U$17="""",""SG"",),),IF(Projections!$V$17="""",""SF"",),),IF(Projections!$W$17="""",""PF"",),),IF(Pr"&amp;"ojections!$X$17="""",""C"",),),""/"","""")"),"SGSF")</f>
        <v>SGSF</v>
      </c>
    </row>
    <row r="254">
      <c r="B254">
        <f>IFERROR(__xludf.DUMMYFUNCTION("""COMPUTED_VALUE"""),250.0)</f>
        <v>250</v>
      </c>
      <c r="D254" t="str">
        <f>IFERROR(__xludf.DUMMYFUNCTION("""COMPUTED_VALUE"""),"Nickeil Alexander-Walker")</f>
        <v>Nickeil Alexander-Walker</v>
      </c>
      <c r="E254">
        <f>IFERROR(__xludf.DUMMYFUNCTION("""COMPUTED_VALUE"""),40.0)</f>
        <v>40</v>
      </c>
      <c r="F254" t="str">
        <f>IFERROR(__xludf.DUMMYFUNCTION("""COMPUTED_VALUE"""),"SG")</f>
        <v>SG</v>
      </c>
      <c r="G254" s="26">
        <f>IFERROR(__xludf.DUMMYFUNCTION("""COMPUTED_VALUE"""),-6.546228074692052)</f>
        <v>-6.546228075</v>
      </c>
      <c r="H254" s="26">
        <f>IFERROR(__xludf.DUMMYFUNCTION("""COMPUTED_VALUE"""),-6.726731157333378)</f>
        <v>-6.726731157</v>
      </c>
      <c r="I254" s="26">
        <f>IFERROR(__xludf.DUMMYFUNCTION("""COMPUTED_VALUE"""),-0.18050308264132653)</f>
        <v>-0.1805030826</v>
      </c>
      <c r="J254" s="26">
        <f>IFERROR(__xludf.DUMMYFUNCTION("""COMPUTED_VALUE"""),6.888831169)</f>
        <v>6.888831169</v>
      </c>
      <c r="K254" s="26">
        <f>IFERROR(__xludf.DUMMYFUNCTION("""COMPUTED_VALUE"""),1.327142857)</f>
        <v>1.327142857</v>
      </c>
      <c r="L254" s="26">
        <f>IFERROR(__xludf.DUMMYFUNCTION("""COMPUTED_VALUE"""),1.796623377)</f>
        <v>1.796623377</v>
      </c>
      <c r="M254" s="26">
        <f>IFERROR(__xludf.DUMMYFUNCTION("""COMPUTED_VALUE"""),2.45)</f>
        <v>2.45</v>
      </c>
      <c r="N254" s="26">
        <f>IFERROR(__xludf.DUMMYFUNCTION("""COMPUTED_VALUE"""),0.6122077922)</f>
        <v>0.6122077922</v>
      </c>
      <c r="O254" s="26">
        <f>IFERROR(__xludf.DUMMYFUNCTION("""COMPUTED_VALUE"""),0.4084415584)</f>
        <v>0.4084415584</v>
      </c>
      <c r="P254" s="464">
        <f>IFERROR(__xludf.DUMMYFUNCTION("""COMPUTED_VALUE"""),0.4420018709)</f>
        <v>0.4420018709</v>
      </c>
      <c r="Q254" s="464">
        <f>IFERROR(__xludf.DUMMYFUNCTION("""COMPUTED_VALUE"""),0.8400200602)</f>
        <v>0.8400200602</v>
      </c>
      <c r="R254" s="26">
        <f>IFERROR(__xludf.DUMMYFUNCTION("""COMPUTED_VALUE"""),1.020779221)</f>
        <v>1.020779221</v>
      </c>
      <c r="S254" s="26">
        <f>IFERROR(__xludf.DUMMYFUNCTION("""COMPUTED_VALUE"""),-1.9106801181936461)</f>
        <v>-1.910680118</v>
      </c>
      <c r="T254" s="26">
        <f>IFERROR(__xludf.DUMMYFUNCTION("""COMPUTED_VALUE"""),-0.4181214966930065)</f>
        <v>-0.4181214967</v>
      </c>
      <c r="U254" s="26">
        <f>IFERROR(__xludf.DUMMYFUNCTION("""COMPUTED_VALUE"""),-1.6799916231561314)</f>
        <v>-1.679991623</v>
      </c>
      <c r="V254" s="26">
        <f>IFERROR(__xludf.DUMMYFUNCTION("""COMPUTED_VALUE"""),-0.6736386407291223)</f>
        <v>-0.6736386407</v>
      </c>
      <c r="W254" s="26">
        <f>IFERROR(__xludf.DUMMYFUNCTION("""COMPUTED_VALUE"""),-1.2035386283426917)</f>
        <v>-1.203538628</v>
      </c>
      <c r="X254" s="26">
        <f>IFERROR(__xludf.DUMMYFUNCTION("""COMPUTED_VALUE"""),-0.6068417739848155)</f>
        <v>-0.606841774</v>
      </c>
      <c r="Y254" s="26">
        <f>IFERROR(__xludf.DUMMYFUNCTION("""COMPUTED_VALUE"""),-0.35684397422121383)</f>
        <v>-0.3568439742</v>
      </c>
      <c r="Z254" s="26">
        <f>IFERROR(__xludf.DUMMYFUNCTION("""COMPUTED_VALUE"""),0.1229250979872502)</f>
        <v>0.122925098</v>
      </c>
      <c r="AA254" s="26">
        <f>IFERROR(__xludf.DUMMYFUNCTION("""COMPUTED_VALUE"""),0.0)</f>
        <v>0</v>
      </c>
      <c r="AB254" t="str">
        <f>IFERROR(__xludf.DUMMYFUNCTION("SUBSTITUTE(REGEXREPLACE(REGEXREPLACE(REGEXREPLACE(REGEXREPLACE(REGEXREPLACE(REGEXREPLACE(F254,"","",),IF(Projections!$T$17="""",""PG"",),),IF(Projections!$U$17="""",""SG"",),),IF(Projections!$V$17="""",""SF"",),),IF(Projections!$W$17="""",""PF"",),),IF(Pr"&amp;"ojections!$X$17="""",""C"",),),""/"","""")"),"SG")</f>
        <v>SG</v>
      </c>
    </row>
    <row r="255">
      <c r="B255">
        <f>IFERROR(__xludf.DUMMYFUNCTION("""COMPUTED_VALUE"""),235.0)</f>
        <v>235</v>
      </c>
      <c r="D255" t="str">
        <f>IFERROR(__xludf.DUMMYFUNCTION("""COMPUTED_VALUE"""),"Neemias Queta")</f>
        <v>Neemias Queta</v>
      </c>
      <c r="E255">
        <f>IFERROR(__xludf.DUMMYFUNCTION("""COMPUTED_VALUE"""),50.0)</f>
        <v>50</v>
      </c>
      <c r="F255" t="str">
        <f>IFERROR(__xludf.DUMMYFUNCTION("""COMPUTED_VALUE"""),"C")</f>
        <v>C</v>
      </c>
      <c r="G255" s="26">
        <f>IFERROR(__xludf.DUMMYFUNCTION("""COMPUTED_VALUE"""),-6.441352034274366)</f>
        <v>-6.441352034</v>
      </c>
      <c r="H255" s="26">
        <f>IFERROR(__xludf.DUMMYFUNCTION("""COMPUTED_VALUE"""),-6.74739204701989)</f>
        <v>-6.747392047</v>
      </c>
      <c r="I255" s="26">
        <f>IFERROR(__xludf.DUMMYFUNCTION("""COMPUTED_VALUE"""),-0.30604001274552406)</f>
        <v>-0.3060400127</v>
      </c>
      <c r="J255" s="26">
        <f>IFERROR(__xludf.DUMMYFUNCTION("""COMPUTED_VALUE"""),6.373181818)</f>
        <v>6.373181818</v>
      </c>
      <c r="K255" s="26">
        <f>IFERROR(__xludf.DUMMYFUNCTION("""COMPUTED_VALUE"""),0.0)</f>
        <v>0</v>
      </c>
      <c r="L255" s="26">
        <f>IFERROR(__xludf.DUMMYFUNCTION("""COMPUTED_VALUE"""),4.859090909)</f>
        <v>4.859090909</v>
      </c>
      <c r="M255" s="26">
        <f>IFERROR(__xludf.DUMMYFUNCTION("""COMPUTED_VALUE"""),0.8922727273)</f>
        <v>0.8922727273</v>
      </c>
      <c r="N255" s="26">
        <f>IFERROR(__xludf.DUMMYFUNCTION("""COMPUTED_VALUE"""),0.4572727273)</f>
        <v>0.4572727273</v>
      </c>
      <c r="O255" s="26">
        <f>IFERROR(__xludf.DUMMYFUNCTION("""COMPUTED_VALUE"""),0.9147727273)</f>
        <v>0.9147727273</v>
      </c>
      <c r="P255" s="464">
        <f>IFERROR(__xludf.DUMMYFUNCTION("""COMPUTED_VALUE"""),0.6439855447)</f>
        <v>0.6439855447</v>
      </c>
      <c r="Q255" s="464">
        <f>IFERROR(__xludf.DUMMYFUNCTION("""COMPUTED_VALUE"""),0.6656626506)</f>
        <v>0.6656626506</v>
      </c>
      <c r="R255" s="26">
        <f>IFERROR(__xludf.DUMMYFUNCTION("""COMPUTED_VALUE"""),0.5145454545)</f>
        <v>0.5145454545</v>
      </c>
      <c r="S255" s="26">
        <f>IFERROR(__xludf.DUMMYFUNCTION("""COMPUTED_VALUE"""),-2.003628821325128)</f>
        <v>-2.003628821</v>
      </c>
      <c r="T255" s="26">
        <f>IFERROR(__xludf.DUMMYFUNCTION("""COMPUTED_VALUE"""),-1.7345523719336797)</f>
        <v>-1.734552372</v>
      </c>
      <c r="U255" s="26">
        <f>IFERROR(__xludf.DUMMYFUNCTION("""COMPUTED_VALUE"""),-0.479789171309266)</f>
        <v>-0.4797891713</v>
      </c>
      <c r="V255" s="26">
        <f>IFERROR(__xludf.DUMMYFUNCTION("""COMPUTED_VALUE"""),-1.3810624267571974)</f>
        <v>-1.381062427</v>
      </c>
      <c r="W255" s="26">
        <f>IFERROR(__xludf.DUMMYFUNCTION("""COMPUTED_VALUE"""),-1.7161123764710378)</f>
        <v>-1.716112376</v>
      </c>
      <c r="X255" s="26">
        <f>IFERROR(__xludf.DUMMYFUNCTION("""COMPUTED_VALUE"""),0.2962747135797941)</f>
        <v>0.2962747136</v>
      </c>
      <c r="Y255" s="26">
        <f>IFERROR(__xludf.DUMMYFUNCTION("""COMPUTED_VALUE"""),0.7513843792337543)</f>
        <v>0.7513843792</v>
      </c>
      <c r="Z255" s="26">
        <f>IFERROR(__xludf.DUMMYFUNCTION("""COMPUTED_VALUE"""),-0.47990597203712887)</f>
        <v>-0.479905972</v>
      </c>
      <c r="AA255" s="26">
        <f>IFERROR(__xludf.DUMMYFUNCTION("""COMPUTED_VALUE"""),0.0)</f>
        <v>0</v>
      </c>
      <c r="AB255" t="str">
        <f>IFERROR(__xludf.DUMMYFUNCTION("SUBSTITUTE(REGEXREPLACE(REGEXREPLACE(REGEXREPLACE(REGEXREPLACE(REGEXREPLACE(REGEXREPLACE(F255,"","",),IF(Projections!$T$17="""",""PG"",),),IF(Projections!$U$17="""",""SG"",),),IF(Projections!$V$17="""",""SF"",),),IF(Projections!$W$17="""",""PF"",),),IF(Pr"&amp;"ojections!$X$17="""",""C"",),),""/"","""")"),"C")</f>
        <v>C</v>
      </c>
    </row>
    <row r="256">
      <c r="B256">
        <f>IFERROR(__xludf.DUMMYFUNCTION("""COMPUTED_VALUE"""),252.0)</f>
        <v>252</v>
      </c>
      <c r="D256" t="str">
        <f>IFERROR(__xludf.DUMMYFUNCTION("""COMPUTED_VALUE"""),"Josh Richardson")</f>
        <v>Josh Richardson</v>
      </c>
      <c r="E256">
        <f>IFERROR(__xludf.DUMMYFUNCTION("""COMPUTED_VALUE"""),70.0)</f>
        <v>70</v>
      </c>
      <c r="F256" t="str">
        <f>IFERROR(__xludf.DUMMYFUNCTION("""COMPUTED_VALUE"""),"PG,SG")</f>
        <v>PG,SG</v>
      </c>
      <c r="G256" s="26">
        <f>IFERROR(__xludf.DUMMYFUNCTION("""COMPUTED_VALUE"""),-6.549392121518693)</f>
        <v>-6.549392122</v>
      </c>
      <c r="H256" s="26">
        <f>IFERROR(__xludf.DUMMYFUNCTION("""COMPUTED_VALUE"""),-6.771661912574486)</f>
        <v>-6.771661913</v>
      </c>
      <c r="I256" s="26">
        <f>IFERROR(__xludf.DUMMYFUNCTION("""COMPUTED_VALUE"""),-0.22226979105579314)</f>
        <v>-0.2222697911</v>
      </c>
      <c r="J256" s="26">
        <f>IFERROR(__xludf.DUMMYFUNCTION("""COMPUTED_VALUE"""),7.872352941)</f>
        <v>7.872352941</v>
      </c>
      <c r="K256" s="26">
        <f>IFERROR(__xludf.DUMMYFUNCTION("""COMPUTED_VALUE"""),1.335735294)</f>
        <v>1.335735294</v>
      </c>
      <c r="L256" s="26">
        <f>IFERROR(__xludf.DUMMYFUNCTION("""COMPUTED_VALUE"""),2.400735294)</f>
        <v>2.400735294</v>
      </c>
      <c r="M256" s="26">
        <f>IFERROR(__xludf.DUMMYFUNCTION("""COMPUTED_VALUE"""),2.0425)</f>
        <v>2.0425</v>
      </c>
      <c r="N256" s="26">
        <f>IFERROR(__xludf.DUMMYFUNCTION("""COMPUTED_VALUE"""),0.6119117647)</f>
        <v>0.6119117647</v>
      </c>
      <c r="O256" s="26">
        <f>IFERROR(__xludf.DUMMYFUNCTION("""COMPUTED_VALUE"""),0.2695588235)</f>
        <v>0.2695588235</v>
      </c>
      <c r="P256" s="464">
        <f>IFERROR(__xludf.DUMMYFUNCTION("""COMPUTED_VALUE"""),0.4353020543)</f>
        <v>0.4353020543</v>
      </c>
      <c r="Q256" s="464">
        <f>IFERROR(__xludf.DUMMYFUNCTION("""COMPUTED_VALUE"""),0.8789317507)</f>
        <v>0.8789317507</v>
      </c>
      <c r="R256" s="26">
        <f>IFERROR(__xludf.DUMMYFUNCTION("""COMPUTED_VALUE"""),0.8523529412)</f>
        <v>0.8523529412</v>
      </c>
      <c r="S256" s="26">
        <f>IFERROR(__xludf.DUMMYFUNCTION("""COMPUTED_VALUE"""),-1.7333947729649724)</f>
        <v>-1.733394773</v>
      </c>
      <c r="T256" s="26">
        <f>IFERROR(__xludf.DUMMYFUNCTION("""COMPUTED_VALUE"""),-0.40959841321280777)</f>
        <v>-0.4095984132</v>
      </c>
      <c r="U256" s="26">
        <f>IFERROR(__xludf.DUMMYFUNCTION("""COMPUTED_VALUE"""),-1.4432359363130458)</f>
        <v>-1.443235936</v>
      </c>
      <c r="V256" s="26">
        <f>IFERROR(__xludf.DUMMYFUNCTION("""COMPUTED_VALUE"""),-0.8587000425923477)</f>
        <v>-0.8587000426</v>
      </c>
      <c r="W256" s="26">
        <f>IFERROR(__xludf.DUMMYFUNCTION("""COMPUTED_VALUE"""),-1.2045179800815766)</f>
        <v>-1.20451798</v>
      </c>
      <c r="X256" s="26">
        <f>IFERROR(__xludf.DUMMYFUNCTION("""COMPUTED_VALUE"""),-0.8545596618619227)</f>
        <v>-0.8545596619</v>
      </c>
      <c r="Y256" s="26">
        <f>IFERROR(__xludf.DUMMYFUNCTION("""COMPUTED_VALUE"""),-0.4868992088997974)</f>
        <v>-0.4868992089</v>
      </c>
      <c r="Z256" s="26">
        <f>IFERROR(__xludf.DUMMYFUNCTION("""COMPUTED_VALUE"""),0.2192441033519848)</f>
        <v>0.2192441034</v>
      </c>
      <c r="AA256" s="26">
        <f>IFERROR(__xludf.DUMMYFUNCTION("""COMPUTED_VALUE"""),0.0)</f>
        <v>0</v>
      </c>
      <c r="AB256" t="str">
        <f>IFERROR(__xludf.DUMMYFUNCTION("SUBSTITUTE(REGEXREPLACE(REGEXREPLACE(REGEXREPLACE(REGEXREPLACE(REGEXREPLACE(REGEXREPLACE(F256,"","",),IF(Projections!$T$17="""",""PG"",),),IF(Projections!$U$17="""",""SG"",),),IF(Projections!$V$17="""",""SF"",),),IF(Projections!$W$17="""",""PF"",),),IF(Pr"&amp;"ojections!$X$17="""",""C"",),),""/"","""")"),"PGSG")</f>
        <v>PGSG</v>
      </c>
    </row>
    <row r="257">
      <c r="B257">
        <f>IFERROR(__xludf.DUMMYFUNCTION("""COMPUTED_VALUE"""),254.0)</f>
        <v>254</v>
      </c>
      <c r="D257" t="str">
        <f>IFERROR(__xludf.DUMMYFUNCTION("""COMPUTED_VALUE"""),"Julian Champagnie")</f>
        <v>Julian Champagnie</v>
      </c>
      <c r="E257">
        <f>IFERROR(__xludf.DUMMYFUNCTION("""COMPUTED_VALUE"""),60.0)</f>
        <v>60</v>
      </c>
      <c r="F257" t="str">
        <f>IFERROR(__xludf.DUMMYFUNCTION("""COMPUTED_VALUE"""),"323.00")</f>
        <v>323.00</v>
      </c>
      <c r="G257" s="26">
        <f>IFERROR(__xludf.DUMMYFUNCTION("""COMPUTED_VALUE"""),-6.544671360514195)</f>
        <v>-6.544671361</v>
      </c>
      <c r="H257" s="26">
        <f>IFERROR(__xludf.DUMMYFUNCTION("""COMPUTED_VALUE"""),-6.771668997924361)</f>
        <v>-6.771668998</v>
      </c>
      <c r="I257" s="26">
        <f>IFERROR(__xludf.DUMMYFUNCTION("""COMPUTED_VALUE"""),-0.22699763741016632)</f>
        <v>-0.2269976374</v>
      </c>
      <c r="J257" s="26">
        <f>IFERROR(__xludf.DUMMYFUNCTION("""COMPUTED_VALUE"""),7.77260274)</f>
        <v>7.77260274</v>
      </c>
      <c r="K257" s="26">
        <f>IFERROR(__xludf.DUMMYFUNCTION("""COMPUTED_VALUE"""),1.368356164)</f>
        <v>1.368356164</v>
      </c>
      <c r="L257" s="26">
        <f>IFERROR(__xludf.DUMMYFUNCTION("""COMPUTED_VALUE"""),2.666712329)</f>
        <v>2.666712329</v>
      </c>
      <c r="M257" s="26">
        <f>IFERROR(__xludf.DUMMYFUNCTION("""COMPUTED_VALUE"""),1.416712329)</f>
        <v>1.416712329</v>
      </c>
      <c r="N257" s="26">
        <f>IFERROR(__xludf.DUMMYFUNCTION("""COMPUTED_VALUE"""),0.561369863)</f>
        <v>0.561369863</v>
      </c>
      <c r="O257" s="26">
        <f>IFERROR(__xludf.DUMMYFUNCTION("""COMPUTED_VALUE"""),0.5116438356)</f>
        <v>0.5116438356</v>
      </c>
      <c r="P257" s="464">
        <f>IFERROR(__xludf.DUMMYFUNCTION("""COMPUTED_VALUE"""),0.4226782942)</f>
        <v>0.4226782942</v>
      </c>
      <c r="Q257" s="464">
        <f>IFERROR(__xludf.DUMMYFUNCTION("""COMPUTED_VALUE"""),0.8220023677)</f>
        <v>0.8220023677</v>
      </c>
      <c r="R257" s="26">
        <f>IFERROR(__xludf.DUMMYFUNCTION("""COMPUTED_VALUE"""),0.8332876712)</f>
        <v>0.8332876712</v>
      </c>
      <c r="S257" s="26">
        <f>IFERROR(__xludf.DUMMYFUNCTION("""COMPUTED_VALUE"""),-1.7513753091608852)</f>
        <v>-1.751375309</v>
      </c>
      <c r="T257" s="26">
        <f>IFERROR(__xludf.DUMMYFUNCTION("""COMPUTED_VALUE"""),-0.3772408412915115)</f>
        <v>-0.3772408413</v>
      </c>
      <c r="U257" s="26">
        <f>IFERROR(__xludf.DUMMYFUNCTION("""COMPUTED_VALUE"""),-1.3389976754314739)</f>
        <v>-1.338997675</v>
      </c>
      <c r="V257" s="26">
        <f>IFERROR(__xludf.DUMMYFUNCTION("""COMPUTED_VALUE"""),-1.1428942601726735)</f>
        <v>-1.14289426</v>
      </c>
      <c r="W257" s="26">
        <f>IFERROR(__xludf.DUMMYFUNCTION("""COMPUTED_VALUE"""),-1.371726429689961)</f>
        <v>-1.37172643</v>
      </c>
      <c r="X257" s="26">
        <f>IFERROR(__xludf.DUMMYFUNCTION("""COMPUTED_VALUE"""),-0.42276525683889815)</f>
        <v>-0.4227652568</v>
      </c>
      <c r="Y257" s="26">
        <f>IFERROR(__xludf.DUMMYFUNCTION("""COMPUTED_VALUE"""),-0.5204578918019063)</f>
        <v>-0.5204578918</v>
      </c>
      <c r="Z257" s="26">
        <f>IFERROR(__xludf.DUMMYFUNCTION("""COMPUTED_VALUE"""),0.1537886664629482)</f>
        <v>0.1537886665</v>
      </c>
      <c r="AA257" s="26">
        <f>IFERROR(__xludf.DUMMYFUNCTION("""COMPUTED_VALUE"""),0.0)</f>
        <v>0</v>
      </c>
      <c r="AB257" t="str">
        <f>IFERROR(__xludf.DUMMYFUNCTION("SUBSTITUTE(REGEXREPLACE(REGEXREPLACE(REGEXREPLACE(REGEXREPLACE(REGEXREPLACE(REGEXREPLACE(F257,"","",),IF(Projections!$T$17="""",""PG"",),),IF(Projections!$U$17="""",""SG"",),),IF(Projections!$V$17="""",""SF"",),),IF(Projections!$W$17="""",""PF"",),),IF(Pr"&amp;"ojections!$X$17="""",""C"",),),""/"","""")"),"323.00")</f>
        <v>323.00</v>
      </c>
    </row>
    <row r="258">
      <c r="B258">
        <f>IFERROR(__xludf.DUMMYFUNCTION("""COMPUTED_VALUE"""),240.0)</f>
        <v>240</v>
      </c>
      <c r="C258">
        <f>IFERROR(__xludf.DUMMYFUNCTION("""COMPUTED_VALUE"""),140.0)</f>
        <v>140</v>
      </c>
      <c r="D258" t="str">
        <f>IFERROR(__xludf.DUMMYFUNCTION("""COMPUTED_VALUE"""),"Moritz Wagner")</f>
        <v>Moritz Wagner</v>
      </c>
      <c r="E258">
        <f>IFERROR(__xludf.DUMMYFUNCTION("""COMPUTED_VALUE"""),58.0)</f>
        <v>58</v>
      </c>
      <c r="F258" t="str">
        <f>IFERROR(__xludf.DUMMYFUNCTION("""COMPUTED_VALUE"""),"C")</f>
        <v>C</v>
      </c>
      <c r="G258" s="26">
        <f>IFERROR(__xludf.DUMMYFUNCTION("""COMPUTED_VALUE"""),-6.628357987107484)</f>
        <v>-6.628357987</v>
      </c>
      <c r="H258" s="26">
        <f>IFERROR(__xludf.DUMMYFUNCTION("""COMPUTED_VALUE"""),-6.806200809656461)</f>
        <v>-6.80620081</v>
      </c>
      <c r="I258" s="26">
        <f>IFERROR(__xludf.DUMMYFUNCTION("""COMPUTED_VALUE"""),-0.17784282254897654)</f>
        <v>-0.1778428225</v>
      </c>
      <c r="J258" s="26">
        <f>IFERROR(__xludf.DUMMYFUNCTION("""COMPUTED_VALUE"""),9.274109589)</f>
        <v>9.274109589</v>
      </c>
      <c r="K258" s="26">
        <f>IFERROR(__xludf.DUMMYFUNCTION("""COMPUTED_VALUE"""),0.4224657534)</f>
        <v>0.4224657534</v>
      </c>
      <c r="L258" s="26">
        <f>IFERROR(__xludf.DUMMYFUNCTION("""COMPUTED_VALUE"""),3.976986301)</f>
        <v>3.976986301</v>
      </c>
      <c r="M258" s="26">
        <f>IFERROR(__xludf.DUMMYFUNCTION("""COMPUTED_VALUE"""),1.084794521)</f>
        <v>1.084794521</v>
      </c>
      <c r="N258" s="26">
        <f>IFERROR(__xludf.DUMMYFUNCTION("""COMPUTED_VALUE"""),0.4553424658)</f>
        <v>0.4553424658</v>
      </c>
      <c r="O258" s="26">
        <f>IFERROR(__xludf.DUMMYFUNCTION("""COMPUTED_VALUE"""),0.1932876712)</f>
        <v>0.1932876712</v>
      </c>
      <c r="P258" s="464">
        <f>IFERROR(__xludf.DUMMYFUNCTION("""COMPUTED_VALUE"""),0.5902420725)</f>
        <v>0.5902420725</v>
      </c>
      <c r="Q258" s="464">
        <f>IFERROR(__xludf.DUMMYFUNCTION("""COMPUTED_VALUE"""),0.8180213314)</f>
        <v>0.8180213314</v>
      </c>
      <c r="R258" s="26">
        <f>IFERROR(__xludf.DUMMYFUNCTION("""COMPUTED_VALUE"""),1.031506849)</f>
        <v>1.031506849</v>
      </c>
      <c r="S258" s="26">
        <f>IFERROR(__xludf.DUMMYFUNCTION("""COMPUTED_VALUE"""),-1.480720233018673)</f>
        <v>-1.480720233</v>
      </c>
      <c r="T258" s="26">
        <f>IFERROR(__xludf.DUMMYFUNCTION("""COMPUTED_VALUE"""),-1.3154965343694103)</f>
        <v>-1.315496534</v>
      </c>
      <c r="U258" s="26">
        <f>IFERROR(__xludf.DUMMYFUNCTION("""COMPUTED_VALUE"""),-0.8254921386859069)</f>
        <v>-0.8254921387</v>
      </c>
      <c r="V258" s="26">
        <f>IFERROR(__xludf.DUMMYFUNCTION("""COMPUTED_VALUE"""),-1.2936308855759835)</f>
        <v>-1.293630886</v>
      </c>
      <c r="W258" s="26">
        <f>IFERROR(__xludf.DUMMYFUNCTION("""COMPUTED_VALUE"""),-1.722498286416998)</f>
        <v>-1.722498286</v>
      </c>
      <c r="X258" s="26">
        <f>IFERROR(__xludf.DUMMYFUNCTION("""COMPUTED_VALUE"""),-0.9906005366856598)</f>
        <v>-0.9906005367</v>
      </c>
      <c r="Y258" s="26">
        <f>IFERROR(__xludf.DUMMYFUNCTION("""COMPUTED_VALUE"""),0.6714904019670191)</f>
        <v>0.671490402</v>
      </c>
      <c r="Z258" s="26">
        <f>IFERROR(__xludf.DUMMYFUNCTION("""COMPUTED_VALUE"""),0.1507474031291526)</f>
        <v>0.1507474031</v>
      </c>
      <c r="AA258" s="26">
        <f>IFERROR(__xludf.DUMMYFUNCTION("""COMPUTED_VALUE"""),0.0)</f>
        <v>0</v>
      </c>
      <c r="AB258" t="str">
        <f>IFERROR(__xludf.DUMMYFUNCTION("SUBSTITUTE(REGEXREPLACE(REGEXREPLACE(REGEXREPLACE(REGEXREPLACE(REGEXREPLACE(REGEXREPLACE(F258,"","",),IF(Projections!$T$17="""",""PG"",),),IF(Projections!$U$17="""",""SG"",),),IF(Projections!$V$17="""",""SF"",),),IF(Projections!$W$17="""",""PF"",),),IF(Pr"&amp;"ojections!$X$17="""",""C"",),),""/"","""")"),"C")</f>
        <v>C</v>
      </c>
    </row>
    <row r="259">
      <c r="B259">
        <f>IFERROR(__xludf.DUMMYFUNCTION("""COMPUTED_VALUE"""),259.0)</f>
        <v>259</v>
      </c>
      <c r="D259" t="str">
        <f>IFERROR(__xludf.DUMMYFUNCTION("""COMPUTED_VALUE"""),"Matisse Thybulle")</f>
        <v>Matisse Thybulle</v>
      </c>
      <c r="E259">
        <f>IFERROR(__xludf.DUMMYFUNCTION("""COMPUTED_VALUE"""),34.0)</f>
        <v>34</v>
      </c>
      <c r="F259" t="str">
        <f>IFERROR(__xludf.DUMMYFUNCTION("""COMPUTED_VALUE"""),"PF,C")</f>
        <v>PF,C</v>
      </c>
      <c r="G259" s="26">
        <f>IFERROR(__xludf.DUMMYFUNCTION("""COMPUTED_VALUE"""),-6.490103589047123)</f>
        <v>-6.490103589</v>
      </c>
      <c r="H259" s="26">
        <f>IFERROR(__xludf.DUMMYFUNCTION("""COMPUTED_VALUE"""),-6.824466167423275)</f>
        <v>-6.824466167</v>
      </c>
      <c r="I259" s="26">
        <f>IFERROR(__xludf.DUMMYFUNCTION("""COMPUTED_VALUE"""),-0.3343625783761528)</f>
        <v>-0.3343625784</v>
      </c>
      <c r="J259" s="26">
        <f>IFERROR(__xludf.DUMMYFUNCTION("""COMPUTED_VALUE"""),3.458666667)</f>
        <v>3.458666667</v>
      </c>
      <c r="K259" s="26">
        <f>IFERROR(__xludf.DUMMYFUNCTION("""COMPUTED_VALUE"""),0.7516666667)</f>
        <v>0.7516666667</v>
      </c>
      <c r="L259" s="26">
        <f>IFERROR(__xludf.DUMMYFUNCTION("""COMPUTED_VALUE"""),1.617)</f>
        <v>1.617</v>
      </c>
      <c r="M259" s="26">
        <f>IFERROR(__xludf.DUMMYFUNCTION("""COMPUTED_VALUE"""),0.9056666667)</f>
        <v>0.9056666667</v>
      </c>
      <c r="N259" s="26">
        <f>IFERROR(__xludf.DUMMYFUNCTION("""COMPUTED_VALUE"""),1.1955)</f>
        <v>1.1955</v>
      </c>
      <c r="O259" s="26">
        <f>IFERROR(__xludf.DUMMYFUNCTION("""COMPUTED_VALUE"""),0.5015)</f>
        <v>0.5015</v>
      </c>
      <c r="P259" s="464">
        <f>IFERROR(__xludf.DUMMYFUNCTION("""COMPUTED_VALUE"""),0.387022861)</f>
        <v>0.387022861</v>
      </c>
      <c r="Q259" s="464">
        <f>IFERROR(__xludf.DUMMYFUNCTION("""COMPUTED_VALUE"""),0.7432578209)</f>
        <v>0.7432578209</v>
      </c>
      <c r="R259" s="26">
        <f>IFERROR(__xludf.DUMMYFUNCTION("""COMPUTED_VALUE"""),0.4003333333)</f>
        <v>0.4003333333</v>
      </c>
      <c r="S259" s="26">
        <f>IFERROR(__xludf.DUMMYFUNCTION("""COMPUTED_VALUE"""),-2.5289866114923147)</f>
        <v>-2.528986611</v>
      </c>
      <c r="T259" s="26">
        <f>IFERROR(__xludf.DUMMYFUNCTION("""COMPUTED_VALUE"""),-0.9889527533892832)</f>
        <v>-0.9889527534</v>
      </c>
      <c r="U259" s="26">
        <f>IFERROR(__xludf.DUMMYFUNCTION("""COMPUTED_VALUE"""),-1.7503872813081782)</f>
        <v>-1.750387281</v>
      </c>
      <c r="V259" s="26">
        <f>IFERROR(__xludf.DUMMYFUNCTION("""COMPUTED_VALUE"""),-1.3749797244214057)</f>
        <v>-1.374979724</v>
      </c>
      <c r="W259" s="26">
        <f>IFERROR(__xludf.DUMMYFUNCTION("""COMPUTED_VALUE"""),0.7261747867520485)</f>
        <v>0.7261747868</v>
      </c>
      <c r="X259" s="26">
        <f>IFERROR(__xludf.DUMMYFUNCTION("""COMPUTED_VALUE"""),-0.44085828713250474)</f>
        <v>-0.4408582871</v>
      </c>
      <c r="Y259" s="26">
        <f>IFERROR(__xludf.DUMMYFUNCTION("""COMPUTED_VALUE"""),-0.410329987553898)</f>
        <v>-0.4103299876</v>
      </c>
      <c r="Z259" s="26">
        <f>IFERROR(__xludf.DUMMYFUNCTION("""COMPUTED_VALUE"""),-0.05614630887773911)</f>
        <v>-0.05614630888</v>
      </c>
      <c r="AA259" s="26">
        <f>IFERROR(__xludf.DUMMYFUNCTION("""COMPUTED_VALUE"""),0.0)</f>
        <v>0</v>
      </c>
      <c r="AB259" t="str">
        <f>IFERROR(__xludf.DUMMYFUNCTION("SUBSTITUTE(REGEXREPLACE(REGEXREPLACE(REGEXREPLACE(REGEXREPLACE(REGEXREPLACE(REGEXREPLACE(F259,"","",),IF(Projections!$T$17="""",""PG"",),),IF(Projections!$U$17="""",""SG"",),),IF(Projections!$V$17="""",""SF"",),),IF(Projections!$W$17="""",""PF"",),),IF(Pr"&amp;"ojections!$X$17="""",""C"",),),""/"","""")"),"PFC")</f>
        <v>PFC</v>
      </c>
    </row>
    <row r="260">
      <c r="B260">
        <f>IFERROR(__xludf.DUMMYFUNCTION("""COMPUTED_VALUE"""),248.0)</f>
        <v>248</v>
      </c>
      <c r="D260" t="str">
        <f>IFERROR(__xludf.DUMMYFUNCTION("""COMPUTED_VALUE"""),"Larry Nance Jr.")</f>
        <v>Larry Nance Jr.</v>
      </c>
      <c r="E260">
        <f>IFERROR(__xludf.DUMMYFUNCTION("""COMPUTED_VALUE"""),60.0)</f>
        <v>60</v>
      </c>
      <c r="F260" t="str">
        <f>IFERROR(__xludf.DUMMYFUNCTION("""COMPUTED_VALUE"""),"C")</f>
        <v>C</v>
      </c>
      <c r="G260" s="26">
        <f>IFERROR(__xludf.DUMMYFUNCTION("""COMPUTED_VALUE"""),-6.604765579035284)</f>
        <v>-6.604765579</v>
      </c>
      <c r="H260" s="26">
        <f>IFERROR(__xludf.DUMMYFUNCTION("""COMPUTED_VALUE"""),-6.89788046231318)</f>
        <v>-6.897880462</v>
      </c>
      <c r="I260" s="26">
        <f>IFERROR(__xludf.DUMMYFUNCTION("""COMPUTED_VALUE"""),-0.29311488327789625)</f>
        <v>-0.2931148833</v>
      </c>
      <c r="J260" s="26">
        <f>IFERROR(__xludf.DUMMYFUNCTION("""COMPUTED_VALUE"""),4.757368421)</f>
        <v>4.757368421</v>
      </c>
      <c r="K260" s="26">
        <f>IFERROR(__xludf.DUMMYFUNCTION("""COMPUTED_VALUE"""),0.2954385965)</f>
        <v>0.2954385965</v>
      </c>
      <c r="L260" s="26">
        <f>IFERROR(__xludf.DUMMYFUNCTION("""COMPUTED_VALUE"""),3.895789474)</f>
        <v>3.895789474</v>
      </c>
      <c r="M260" s="26">
        <f>IFERROR(__xludf.DUMMYFUNCTION("""COMPUTED_VALUE"""),1.558421053)</f>
        <v>1.558421053</v>
      </c>
      <c r="N260" s="26">
        <f>IFERROR(__xludf.DUMMYFUNCTION("""COMPUTED_VALUE"""),0.779122807)</f>
        <v>0.779122807</v>
      </c>
      <c r="O260" s="26">
        <f>IFERROR(__xludf.DUMMYFUNCTION("""COMPUTED_VALUE"""),0.3233333333)</f>
        <v>0.3233333333</v>
      </c>
      <c r="P260" s="464">
        <f>IFERROR(__xludf.DUMMYFUNCTION("""COMPUTED_VALUE"""),0.569119928)</f>
        <v>0.569119928</v>
      </c>
      <c r="Q260" s="464">
        <f>IFERROR(__xludf.DUMMYFUNCTION("""COMPUTED_VALUE"""),0.7458993606)</f>
        <v>0.7458993606</v>
      </c>
      <c r="R260" s="26">
        <f>IFERROR(__xludf.DUMMYFUNCTION("""COMPUTED_VALUE"""),0.5666666667)</f>
        <v>0.5666666667</v>
      </c>
      <c r="S260" s="26">
        <f>IFERROR(__xludf.DUMMYFUNCTION("""COMPUTED_VALUE"""),-2.2948882972894906)</f>
        <v>-2.294888297</v>
      </c>
      <c r="T260" s="26">
        <f>IFERROR(__xludf.DUMMYFUNCTION("""COMPUTED_VALUE"""),-1.4414983965315644)</f>
        <v>-1.441498397</v>
      </c>
      <c r="U260" s="26">
        <f>IFERROR(__xludf.DUMMYFUNCTION("""COMPUTED_VALUE"""),-0.8573137432676028)</f>
        <v>-0.8573137433</v>
      </c>
      <c r="V260" s="26">
        <f>IFERROR(__xludf.DUMMYFUNCTION("""COMPUTED_VALUE"""),-1.0785388856458296)</f>
        <v>-1.078538886</v>
      </c>
      <c r="W260" s="26">
        <f>IFERROR(__xludf.DUMMYFUNCTION("""COMPUTED_VALUE"""),-0.6513314516770664)</f>
        <v>-0.6513314517</v>
      </c>
      <c r="X260" s="26">
        <f>IFERROR(__xludf.DUMMYFUNCTION("""COMPUTED_VALUE"""),-0.7586448744776284)</f>
        <v>-0.7586448745</v>
      </c>
      <c r="Y260" s="26">
        <f>IFERROR(__xludf.DUMMYFUNCTION("""COMPUTED_VALUE"""),0.2931434079876193)</f>
        <v>0.293143408</v>
      </c>
      <c r="Z260" s="26">
        <f>IFERROR(__xludf.DUMMYFUNCTION("""COMPUTED_VALUE"""),-0.1088082214116173)</f>
        <v>-0.1088082214</v>
      </c>
      <c r="AA260" s="26">
        <f>IFERROR(__xludf.DUMMYFUNCTION("""COMPUTED_VALUE"""),0.0)</f>
        <v>0</v>
      </c>
      <c r="AB260" t="str">
        <f>IFERROR(__xludf.DUMMYFUNCTION("SUBSTITUTE(REGEXREPLACE(REGEXREPLACE(REGEXREPLACE(REGEXREPLACE(REGEXREPLACE(REGEXREPLACE(F260,"","",),IF(Projections!$T$17="""",""PG"",),),IF(Projections!$U$17="""",""SG"",),),IF(Projections!$V$17="""",""SF"",),),IF(Projections!$W$17="""",""PF"",),),IF(Pr"&amp;"ojections!$X$17="""",""C"",),),""/"","""")"),"C")</f>
        <v>C</v>
      </c>
    </row>
    <row r="261">
      <c r="B261">
        <f>IFERROR(__xludf.DUMMYFUNCTION("""COMPUTED_VALUE"""),261.0)</f>
        <v>261</v>
      </c>
      <c r="D261" t="str">
        <f>IFERROR(__xludf.DUMMYFUNCTION("""COMPUTED_VALUE"""),"Jose Alvarado")</f>
        <v>Jose Alvarado</v>
      </c>
      <c r="E261">
        <f>IFERROR(__xludf.DUMMYFUNCTION("""COMPUTED_VALUE"""),40.0)</f>
        <v>40</v>
      </c>
      <c r="F261" t="str">
        <f>IFERROR(__xludf.DUMMYFUNCTION("""COMPUTED_VALUE"""),"SG,SF")</f>
        <v>SG,SF</v>
      </c>
      <c r="G261" s="26">
        <f>IFERROR(__xludf.DUMMYFUNCTION("""COMPUTED_VALUE"""),-6.61598307572947)</f>
        <v>-6.615983076</v>
      </c>
      <c r="H261" s="26">
        <f>IFERROR(__xludf.DUMMYFUNCTION("""COMPUTED_VALUE"""),-6.901816522795058)</f>
        <v>-6.901816523</v>
      </c>
      <c r="I261" s="26">
        <f>IFERROR(__xludf.DUMMYFUNCTION("""COMPUTED_VALUE"""),-0.28583344706558833)</f>
        <v>-0.2858334471</v>
      </c>
      <c r="J261" s="26">
        <f>IFERROR(__xludf.DUMMYFUNCTION("""COMPUTED_VALUE"""),5.638970588)</f>
        <v>5.638970588</v>
      </c>
      <c r="K261" s="26">
        <f>IFERROR(__xludf.DUMMYFUNCTION("""COMPUTED_VALUE"""),1.127647059)</f>
        <v>1.127647059</v>
      </c>
      <c r="L261" s="26">
        <f>IFERROR(__xludf.DUMMYFUNCTION("""COMPUTED_VALUE"""),2.208970588)</f>
        <v>2.208970588</v>
      </c>
      <c r="M261" s="26">
        <f>IFERROR(__xludf.DUMMYFUNCTION("""COMPUTED_VALUE"""),1.858382353)</f>
        <v>1.858382353</v>
      </c>
      <c r="N261" s="26">
        <f>IFERROR(__xludf.DUMMYFUNCTION("""COMPUTED_VALUE"""),0.9666176471)</f>
        <v>0.9666176471</v>
      </c>
      <c r="O261" s="26">
        <f>IFERROR(__xludf.DUMMYFUNCTION("""COMPUTED_VALUE"""),0.2123529412)</f>
        <v>0.2123529412</v>
      </c>
      <c r="P261" s="464">
        <f>IFERROR(__xludf.DUMMYFUNCTION("""COMPUTED_VALUE"""),0.4024933998)</f>
        <v>0.4024933998</v>
      </c>
      <c r="Q261" s="464">
        <f>IFERROR(__xludf.DUMMYFUNCTION("""COMPUTED_VALUE"""),0.7299187726)</f>
        <v>0.7299187726</v>
      </c>
      <c r="R261" s="26">
        <f>IFERROR(__xludf.DUMMYFUNCTION("""COMPUTED_VALUE"""),0.5960294118)</f>
        <v>0.5960294118</v>
      </c>
      <c r="S261" s="26">
        <f>IFERROR(__xludf.DUMMYFUNCTION("""COMPUTED_VALUE"""),-2.135974535560439)</f>
        <v>-2.135974536</v>
      </c>
      <c r="T261" s="26">
        <f>IFERROR(__xludf.DUMMYFUNCTION("""COMPUTED_VALUE"""),-0.6160070721476588)</f>
        <v>-0.6160070721</v>
      </c>
      <c r="U261" s="26">
        <f>IFERROR(__xludf.DUMMYFUNCTION("""COMPUTED_VALUE"""),-1.5183898662450261)</f>
        <v>-1.518389866</v>
      </c>
      <c r="V261" s="26">
        <f>IFERROR(__xludf.DUMMYFUNCTION("""COMPUTED_VALUE"""),-0.9423149379581843)</f>
        <v>-0.942314938</v>
      </c>
      <c r="W261" s="26">
        <f>IFERROR(__xludf.DUMMYFUNCTION("""COMPUTED_VALUE"""),-0.031039763628198377)</f>
        <v>-0.03103976363</v>
      </c>
      <c r="X261" s="26">
        <f>IFERROR(__xludf.DUMMYFUNCTION("""COMPUTED_VALUE"""),-0.9565948093387195)</f>
        <v>-0.9565948093</v>
      </c>
      <c r="Y261" s="26">
        <f>IFERROR(__xludf.DUMMYFUNCTION("""COMPUTED_VALUE"""),-0.5525254725091305)</f>
        <v>-0.5525254725</v>
      </c>
      <c r="Z261" s="26">
        <f>IFERROR(__xludf.DUMMYFUNCTION("""COMPUTED_VALUE"""),-0.1489700654077005)</f>
        <v>-0.1489700654</v>
      </c>
      <c r="AA261" s="26">
        <f>IFERROR(__xludf.DUMMYFUNCTION("""COMPUTED_VALUE"""),0.0)</f>
        <v>0</v>
      </c>
      <c r="AB261" t="str">
        <f>IFERROR(__xludf.DUMMYFUNCTION("SUBSTITUTE(REGEXREPLACE(REGEXREPLACE(REGEXREPLACE(REGEXREPLACE(REGEXREPLACE(REGEXREPLACE(F261,"","",),IF(Projections!$T$17="""",""PG"",),),IF(Projections!$U$17="""",""SG"",),),IF(Projections!$V$17="""",""SF"",),),IF(Projections!$W$17="""",""PF"",),),IF(Pr"&amp;"ojections!$X$17="""",""C"",),),""/"","""")"),"SGSF")</f>
        <v>SGSF</v>
      </c>
    </row>
    <row r="262">
      <c r="B262">
        <f>IFERROR(__xludf.DUMMYFUNCTION("""COMPUTED_VALUE"""),253.0)</f>
        <v>253</v>
      </c>
      <c r="D262" t="str">
        <f>IFERROR(__xludf.DUMMYFUNCTION("""COMPUTED_VALUE"""),"Javonte Green")</f>
        <v>Javonte Green</v>
      </c>
      <c r="E262">
        <f>IFERROR(__xludf.DUMMYFUNCTION("""COMPUTED_VALUE"""),65.0)</f>
        <v>65</v>
      </c>
      <c r="F262" t="str">
        <f>IFERROR(__xludf.DUMMYFUNCTION("""COMPUTED_VALUE"""),"PF,C")</f>
        <v>PF,C</v>
      </c>
      <c r="G262" s="26">
        <f>IFERROR(__xludf.DUMMYFUNCTION("""COMPUTED_VALUE"""),-6.6100416412758625)</f>
        <v>-6.610041641</v>
      </c>
      <c r="H262" s="26">
        <f>IFERROR(__xludf.DUMMYFUNCTION("""COMPUTED_VALUE"""),-6.914778620611104)</f>
        <v>-6.914778621</v>
      </c>
      <c r="I262" s="26">
        <f>IFERROR(__xludf.DUMMYFUNCTION("""COMPUTED_VALUE"""),-0.30473697933524146)</f>
        <v>-0.3047369793</v>
      </c>
      <c r="J262" s="26">
        <f>IFERROR(__xludf.DUMMYFUNCTION("""COMPUTED_VALUE"""),5.3758)</f>
        <v>5.3758</v>
      </c>
      <c r="K262" s="26">
        <f>IFERROR(__xludf.DUMMYFUNCTION("""COMPUTED_VALUE"""),0.4928)</f>
        <v>0.4928</v>
      </c>
      <c r="L262" s="26">
        <f>IFERROR(__xludf.DUMMYFUNCTION("""COMPUTED_VALUE"""),3.1556)</f>
        <v>3.1556</v>
      </c>
      <c r="M262" s="26">
        <f>IFERROR(__xludf.DUMMYFUNCTION("""COMPUTED_VALUE"""),0.6682)</f>
        <v>0.6682</v>
      </c>
      <c r="N262" s="26">
        <f>IFERROR(__xludf.DUMMYFUNCTION("""COMPUTED_VALUE"""),0.891)</f>
        <v>0.891</v>
      </c>
      <c r="O262" s="26">
        <f>IFERROR(__xludf.DUMMYFUNCTION("""COMPUTED_VALUE"""),0.4084)</f>
        <v>0.4084</v>
      </c>
      <c r="P262" s="464">
        <f>IFERROR(__xludf.DUMMYFUNCTION("""COMPUTED_VALUE"""),0.5261300782)</f>
        <v>0.5261300782</v>
      </c>
      <c r="Q262" s="464">
        <f>IFERROR(__xludf.DUMMYFUNCTION("""COMPUTED_VALUE"""),0.7460267006)</f>
        <v>0.7460267006</v>
      </c>
      <c r="R262" s="26">
        <f>IFERROR(__xludf.DUMMYFUNCTION("""COMPUTED_VALUE"""),0.5198)</f>
        <v>0.5198</v>
      </c>
      <c r="S262" s="26">
        <f>IFERROR(__xludf.DUMMYFUNCTION("""COMPUTED_VALUE"""),-2.1834125179985273)</f>
        <v>-2.183412518</v>
      </c>
      <c r="T262" s="26">
        <f>IFERROR(__xludf.DUMMYFUNCTION("""COMPUTED_VALUE"""),-1.2457299878950308)</f>
        <v>-1.245729988</v>
      </c>
      <c r="U262" s="26">
        <f>IFERROR(__xludf.DUMMYFUNCTION("""COMPUTED_VALUE"""),-1.147399176743487)</f>
        <v>-1.147399177</v>
      </c>
      <c r="V262" s="26">
        <f>IFERROR(__xludf.DUMMYFUNCTION("""COMPUTED_VALUE"""),-1.482822458741134)</f>
        <v>-1.482822459</v>
      </c>
      <c r="W262" s="26">
        <f>IFERROR(__xludf.DUMMYFUNCTION("""COMPUTED_VALUE"""),-0.28120663723883155)</f>
        <v>-0.2812066372</v>
      </c>
      <c r="X262" s="26">
        <f>IFERROR(__xludf.DUMMYFUNCTION("""COMPUTED_VALUE"""),-0.606915899534539)</f>
        <v>-0.6069158995</v>
      </c>
      <c r="Y262" s="26">
        <f>IFERROR(__xludf.DUMMYFUNCTION("""COMPUTED_VALUE"""),0.14091536719565784)</f>
        <v>0.1409153672</v>
      </c>
      <c r="Z262" s="26">
        <f>IFERROR(__xludf.DUMMYFUNCTION("""COMPUTED_VALUE"""),-0.10820730965521193)</f>
        <v>-0.1082073097</v>
      </c>
      <c r="AA262" s="26">
        <f>IFERROR(__xludf.DUMMYFUNCTION("""COMPUTED_VALUE"""),0.0)</f>
        <v>0</v>
      </c>
      <c r="AB262" t="str">
        <f>IFERROR(__xludf.DUMMYFUNCTION("SUBSTITUTE(REGEXREPLACE(REGEXREPLACE(REGEXREPLACE(REGEXREPLACE(REGEXREPLACE(REGEXREPLACE(F262,"","",),IF(Projections!$T$17="""",""PG"",),),IF(Projections!$U$17="""",""SG"",),),IF(Projections!$V$17="""",""SF"",),),IF(Projections!$W$17="""",""PF"",),),IF(Pr"&amp;"ojections!$X$17="""",""C"",),),""/"","""")"),"PFC")</f>
        <v>PFC</v>
      </c>
    </row>
    <row r="263">
      <c r="B263">
        <f>IFERROR(__xludf.DUMMYFUNCTION("""COMPUTED_VALUE"""),260.0)</f>
        <v>260</v>
      </c>
      <c r="D263" t="str">
        <f>IFERROR(__xludf.DUMMYFUNCTION("""COMPUTED_VALUE"""),"Georges Niang")</f>
        <v>Georges Niang</v>
      </c>
      <c r="E263">
        <f>IFERROR(__xludf.DUMMYFUNCTION("""COMPUTED_VALUE"""),54.0)</f>
        <v>54</v>
      </c>
      <c r="F263" t="str">
        <f>IFERROR(__xludf.DUMMYFUNCTION("""COMPUTED_VALUE"""),"PF")</f>
        <v>PF</v>
      </c>
      <c r="G263" s="26">
        <f>IFERROR(__xludf.DUMMYFUNCTION("""COMPUTED_VALUE"""),-6.760537380295516)</f>
        <v>-6.76053738</v>
      </c>
      <c r="H263" s="26">
        <f>IFERROR(__xludf.DUMMYFUNCTION("""COMPUTED_VALUE"""),-6.983390658733049)</f>
        <v>-6.983390659</v>
      </c>
      <c r="I263" s="26">
        <f>IFERROR(__xludf.DUMMYFUNCTION("""COMPUTED_VALUE"""),-0.22285327843753322)</f>
        <v>-0.2228532784</v>
      </c>
      <c r="J263" s="26">
        <f>IFERROR(__xludf.DUMMYFUNCTION("""COMPUTED_VALUE"""),9.572467532)</f>
        <v>9.572467532</v>
      </c>
      <c r="K263" s="26">
        <f>IFERROR(__xludf.DUMMYFUNCTION("""COMPUTED_VALUE"""),2.019350649)</f>
        <v>2.019350649</v>
      </c>
      <c r="L263" s="26">
        <f>IFERROR(__xludf.DUMMYFUNCTION("""COMPUTED_VALUE"""),2.55)</f>
        <v>2.55</v>
      </c>
      <c r="M263" s="26">
        <f>IFERROR(__xludf.DUMMYFUNCTION("""COMPUTED_VALUE"""),1.051428571)</f>
        <v>1.051428571</v>
      </c>
      <c r="N263" s="26">
        <f>IFERROR(__xludf.DUMMYFUNCTION("""COMPUTED_VALUE"""),0.3753246753)</f>
        <v>0.3753246753</v>
      </c>
      <c r="O263" s="26">
        <f>IFERROR(__xludf.DUMMYFUNCTION("""COMPUTED_VALUE"""),0.2149350649)</f>
        <v>0.2149350649</v>
      </c>
      <c r="P263" s="464">
        <f>IFERROR(__xludf.DUMMYFUNCTION("""COMPUTED_VALUE"""),0.460039934)</f>
        <v>0.460039934</v>
      </c>
      <c r="Q263" s="464">
        <f>IFERROR(__xludf.DUMMYFUNCTION("""COMPUTED_VALUE"""),0.8419423171)</f>
        <v>0.8419423171</v>
      </c>
      <c r="R263" s="26">
        <f>IFERROR(__xludf.DUMMYFUNCTION("""COMPUTED_VALUE"""),0.85)</f>
        <v>0.85</v>
      </c>
      <c r="S263" s="26">
        <f>IFERROR(__xludf.DUMMYFUNCTION("""COMPUTED_VALUE"""),-1.4269395314294133)</f>
        <v>-1.426939531</v>
      </c>
      <c r="T263" s="26">
        <f>IFERROR(__xludf.DUMMYFUNCTION("""COMPUTED_VALUE"""),0.2684991671372885)</f>
        <v>0.2684991671</v>
      </c>
      <c r="U263" s="26">
        <f>IFERROR(__xludf.DUMMYFUNCTION("""COMPUTED_VALUE"""),-1.384738053725404)</f>
        <v>-1.384738054</v>
      </c>
      <c r="V263" s="26">
        <f>IFERROR(__xludf.DUMMYFUNCTION("""COMPUTED_VALUE"""),-1.3087836450397832)</f>
        <v>-1.308783645</v>
      </c>
      <c r="W263" s="26">
        <f>IFERROR(__xludf.DUMMYFUNCTION("""COMPUTED_VALUE"""),-1.9872222133086033)</f>
        <v>-1.987222213</v>
      </c>
      <c r="X263" s="26">
        <f>IFERROR(__xludf.DUMMYFUNCTION("""COMPUTED_VALUE"""),-0.9519892100202587)</f>
        <v>-0.95198921</v>
      </c>
      <c r="Y263" s="26">
        <f>IFERROR(__xludf.DUMMYFUNCTION("""COMPUTED_VALUE"""),-0.32370962681023835)</f>
        <v>-0.3237096268</v>
      </c>
      <c r="Z263" s="26">
        <f>IFERROR(__xludf.DUMMYFUNCTION("""COMPUTED_VALUE"""),0.13149245446336164)</f>
        <v>0.1314924545</v>
      </c>
      <c r="AA263" s="26">
        <f>IFERROR(__xludf.DUMMYFUNCTION("""COMPUTED_VALUE"""),0.0)</f>
        <v>0</v>
      </c>
      <c r="AB263" t="str">
        <f>IFERROR(__xludf.DUMMYFUNCTION("SUBSTITUTE(REGEXREPLACE(REGEXREPLACE(REGEXREPLACE(REGEXREPLACE(REGEXREPLACE(REGEXREPLACE(F263,"","",),IF(Projections!$T$17="""",""PG"",),),IF(Projections!$U$17="""",""SG"",),),IF(Projections!$V$17="""",""SF"",),),IF(Projections!$W$17="""",""PF"",),),IF(Pr"&amp;"ojections!$X$17="""",""C"",),),""/"","""")"),"PF")</f>
        <v>PF</v>
      </c>
    </row>
    <row r="264">
      <c r="B264">
        <f>IFERROR(__xludf.DUMMYFUNCTION("""COMPUTED_VALUE"""),265.0)</f>
        <v>265</v>
      </c>
      <c r="D264" t="str">
        <f>IFERROR(__xludf.DUMMYFUNCTION("""COMPUTED_VALUE"""),"Tidjane Salaun")</f>
        <v>Tidjane Salaun</v>
      </c>
      <c r="E264">
        <f>IFERROR(__xludf.DUMMYFUNCTION("""COMPUTED_VALUE"""),60.0)</f>
        <v>60</v>
      </c>
      <c r="F264" t="str">
        <f>IFERROR(__xludf.DUMMYFUNCTION("""COMPUTED_VALUE"""),"PG,SG")</f>
        <v>PG,SG</v>
      </c>
      <c r="G264" s="26">
        <f>IFERROR(__xludf.DUMMYFUNCTION("""COMPUTED_VALUE"""),-6.8918378286939666)</f>
        <v>-6.891837829</v>
      </c>
      <c r="H264" s="26">
        <f>IFERROR(__xludf.DUMMYFUNCTION("""COMPUTED_VALUE"""),-7.001400638734217)</f>
        <v>-7.001400639</v>
      </c>
      <c r="I264" s="26">
        <f>IFERROR(__xludf.DUMMYFUNCTION("""COMPUTED_VALUE"""),-0.10956281004025037)</f>
        <v>-0.10956281</v>
      </c>
      <c r="J264" s="26">
        <f>IFERROR(__xludf.DUMMYFUNCTION("""COMPUTED_VALUE"""),8.039726027)</f>
        <v>8.039726027</v>
      </c>
      <c r="K264" s="26">
        <f>IFERROR(__xludf.DUMMYFUNCTION("""COMPUTED_VALUE"""),1.169726027)</f>
        <v>1.169726027</v>
      </c>
      <c r="L264" s="26">
        <f>IFERROR(__xludf.DUMMYFUNCTION("""COMPUTED_VALUE"""),3.965479452)</f>
        <v>3.965479452</v>
      </c>
      <c r="M264" s="26">
        <f>IFERROR(__xludf.DUMMYFUNCTION("""COMPUTED_VALUE"""),0.9012328767)</f>
        <v>0.9012328767</v>
      </c>
      <c r="N264" s="26">
        <f>IFERROR(__xludf.DUMMYFUNCTION("""COMPUTED_VALUE"""),0.7660273973)</f>
        <v>0.7660273973</v>
      </c>
      <c r="O264" s="26">
        <f>IFERROR(__xludf.DUMMYFUNCTION("""COMPUTED_VALUE"""),0.1802739726)</f>
        <v>0.1802739726</v>
      </c>
      <c r="P264" s="464">
        <f>IFERROR(__xludf.DUMMYFUNCTION("""COMPUTED_VALUE"""),0.4255870603)</f>
        <v>0.4255870603</v>
      </c>
      <c r="Q264" s="464">
        <f>IFERROR(__xludf.DUMMYFUNCTION("""COMPUTED_VALUE"""),0.7419761577)</f>
        <v>0.7419761577</v>
      </c>
      <c r="R264" s="26">
        <f>IFERROR(__xludf.DUMMYFUNCTION("""COMPUTED_VALUE"""),1.306849315)</f>
        <v>1.306849315</v>
      </c>
      <c r="S264" s="26">
        <f>IFERROR(__xludf.DUMMYFUNCTION("""COMPUTED_VALUE"""),-1.7032248304397968)</f>
        <v>-1.70322483</v>
      </c>
      <c r="T264" s="26">
        <f>IFERROR(__xludf.DUMMYFUNCTION("""COMPUTED_VALUE"""),-0.5742677428951304)</f>
        <v>-0.5742677429</v>
      </c>
      <c r="U264" s="26">
        <f>IFERROR(__xludf.DUMMYFUNCTION("""COMPUTED_VALUE"""),-0.8300017533148049)</f>
        <v>-0.8300017533</v>
      </c>
      <c r="V264" s="26">
        <f>IFERROR(__xludf.DUMMYFUNCTION("""COMPUTED_VALUE"""),-1.3769932787599755)</f>
        <v>-1.376993279</v>
      </c>
      <c r="W264" s="26">
        <f>IFERROR(__xludf.DUMMYFUNCTION("""COMPUTED_VALUE"""),-0.6946551707947347)</f>
        <v>-0.6946551708</v>
      </c>
      <c r="X264" s="26">
        <f>IFERROR(__xludf.DUMMYFUNCTION("""COMPUTED_VALUE"""),-1.0138123918740132)</f>
        <v>-1.013812392</v>
      </c>
      <c r="Y264" s="26">
        <f>IFERROR(__xludf.DUMMYFUNCTION("""COMPUTED_VALUE"""),-0.5859167520088121)</f>
        <v>-0.585916752</v>
      </c>
      <c r="Z264" s="26">
        <f>IFERROR(__xludf.DUMMYFUNCTION("""COMPUTED_VALUE"""),-0.22252871864694998)</f>
        <v>-0.2225287186</v>
      </c>
      <c r="AA264" s="26">
        <f>IFERROR(__xludf.DUMMYFUNCTION("""COMPUTED_VALUE"""),0.0)</f>
        <v>0</v>
      </c>
      <c r="AB264" t="str">
        <f>IFERROR(__xludf.DUMMYFUNCTION("SUBSTITUTE(REGEXREPLACE(REGEXREPLACE(REGEXREPLACE(REGEXREPLACE(REGEXREPLACE(REGEXREPLACE(F264,"","",),IF(Projections!$T$17="""",""PG"",),),IF(Projections!$U$17="""",""SG"",),),IF(Projections!$V$17="""",""SF"",),),IF(Projections!$W$17="""",""PF"",),),IF(Pr"&amp;"ojections!$X$17="""",""C"",),),""/"","""")"),"PGSG")</f>
        <v>PGSG</v>
      </c>
    </row>
    <row r="265">
      <c r="B265">
        <f>IFERROR(__xludf.DUMMYFUNCTION("""COMPUTED_VALUE"""),258.0)</f>
        <v>258</v>
      </c>
      <c r="D265" t="str">
        <f>IFERROR(__xludf.DUMMYFUNCTION("""COMPUTED_VALUE"""),"Mo Bamba")</f>
        <v>Mo Bamba</v>
      </c>
      <c r="E265">
        <f>IFERROR(__xludf.DUMMYFUNCTION("""COMPUTED_VALUE"""),68.0)</f>
        <v>68</v>
      </c>
      <c r="F265" t="str">
        <f>IFERROR(__xludf.DUMMYFUNCTION("""COMPUTED_VALUE"""),"SG,SF")</f>
        <v>SG,SF</v>
      </c>
      <c r="G265" s="26">
        <f>IFERROR(__xludf.DUMMYFUNCTION("""COMPUTED_VALUE"""),-6.755959407977107)</f>
        <v>-6.755959408</v>
      </c>
      <c r="H265" s="26">
        <f>IFERROR(__xludf.DUMMYFUNCTION("""COMPUTED_VALUE"""),-7.030123107531877)</f>
        <v>-7.030123108</v>
      </c>
      <c r="I265" s="26">
        <f>IFERROR(__xludf.DUMMYFUNCTION("""COMPUTED_VALUE"""),-0.27416369955477027)</f>
        <v>-0.2741636996</v>
      </c>
      <c r="J265" s="26">
        <f>IFERROR(__xludf.DUMMYFUNCTION("""COMPUTED_VALUE"""),6.155735294)</f>
        <v>6.155735294</v>
      </c>
      <c r="K265" s="26">
        <f>IFERROR(__xludf.DUMMYFUNCTION("""COMPUTED_VALUE"""),0.7216176471)</f>
        <v>0.7216176471</v>
      </c>
      <c r="L265" s="26">
        <f>IFERROR(__xludf.DUMMYFUNCTION("""COMPUTED_VALUE"""),4.624411765)</f>
        <v>4.624411765</v>
      </c>
      <c r="M265" s="26">
        <f>IFERROR(__xludf.DUMMYFUNCTION("""COMPUTED_VALUE"""),0.875)</f>
        <v>0.875</v>
      </c>
      <c r="N265" s="26">
        <f>IFERROR(__xludf.DUMMYFUNCTION("""COMPUTED_VALUE"""),0.3369117647)</f>
        <v>0.3369117647</v>
      </c>
      <c r="O265" s="26">
        <f>IFERROR(__xludf.DUMMYFUNCTION("""COMPUTED_VALUE"""),1.041323529)</f>
        <v>1.041323529</v>
      </c>
      <c r="P265" s="464">
        <f>IFERROR(__xludf.DUMMYFUNCTION("""COMPUTED_VALUE"""),0.4910166656)</f>
        <v>0.4910166656</v>
      </c>
      <c r="Q265" s="464">
        <f>IFERROR(__xludf.DUMMYFUNCTION("""COMPUTED_VALUE"""),0.6970260223)</f>
        <v>0.6970260223</v>
      </c>
      <c r="R265" s="26">
        <f>IFERROR(__xludf.DUMMYFUNCTION("""COMPUTED_VALUE"""),0.6430882353)</f>
        <v>0.6430882353</v>
      </c>
      <c r="S265" s="26">
        <f>IFERROR(__xludf.DUMMYFUNCTION("""COMPUTED_VALUE"""),-2.0428247834010085)</f>
        <v>-2.042824783</v>
      </c>
      <c r="T265" s="26">
        <f>IFERROR(__xludf.DUMMYFUNCTION("""COMPUTED_VALUE"""),-1.0187592335006797)</f>
        <v>-1.018759234</v>
      </c>
      <c r="U265" s="26">
        <f>IFERROR(__xludf.DUMMYFUNCTION("""COMPUTED_VALUE"""),-0.5717615697373333)</f>
        <v>-0.5717615697</v>
      </c>
      <c r="V265" s="26">
        <f>IFERROR(__xludf.DUMMYFUNCTION("""COMPUTED_VALUE"""),-1.3889066356606066)</f>
        <v>-1.388906636</v>
      </c>
      <c r="W265" s="26">
        <f>IFERROR(__xludf.DUMMYFUNCTION("""COMPUTED_VALUE"""),-2.1143041593836847)</f>
        <v>-2.114304159</v>
      </c>
      <c r="X265" s="26">
        <f>IFERROR(__xludf.DUMMYFUNCTION("""COMPUTED_VALUE"""),0.521996775640646)</f>
        <v>0.5219967756</v>
      </c>
      <c r="Y265" s="26">
        <f>IFERROR(__xludf.DUMMYFUNCTION("""COMPUTED_VALUE"""),-0.034401681068219475)</f>
        <v>-0.03440168107</v>
      </c>
      <c r="Z265" s="26">
        <f>IFERROR(__xludf.DUMMYFUNCTION("""COMPUTED_VALUE"""),-0.38116182042099145)</f>
        <v>-0.3811618204</v>
      </c>
      <c r="AA265" s="26">
        <f>IFERROR(__xludf.DUMMYFUNCTION("""COMPUTED_VALUE"""),0.0)</f>
        <v>0</v>
      </c>
      <c r="AB265" t="str">
        <f>IFERROR(__xludf.DUMMYFUNCTION("SUBSTITUTE(REGEXREPLACE(REGEXREPLACE(REGEXREPLACE(REGEXREPLACE(REGEXREPLACE(REGEXREPLACE(F265,"","",),IF(Projections!$T$17="""",""PG"",),),IF(Projections!$U$17="""",""SG"",),),IF(Projections!$V$17="""",""SF"",),),IF(Projections!$W$17="""",""PF"",),),IF(Pr"&amp;"ojections!$X$17="""",""C"",),),""/"","""")"),"SGSF")</f>
        <v>SGSF</v>
      </c>
    </row>
    <row r="266">
      <c r="B266">
        <f>IFERROR(__xludf.DUMMYFUNCTION("""COMPUTED_VALUE"""),267.0)</f>
        <v>267</v>
      </c>
      <c r="C266">
        <f>IFERROR(__xludf.DUMMYFUNCTION("""COMPUTED_VALUE"""),143.8)</f>
        <v>143.8</v>
      </c>
      <c r="D266" t="str">
        <f>IFERROR(__xludf.DUMMYFUNCTION("""COMPUTED_VALUE"""),"Malik Beasley")</f>
        <v>Malik Beasley</v>
      </c>
      <c r="E266">
        <f>IFERROR(__xludf.DUMMYFUNCTION("""COMPUTED_VALUE"""),58.0)</f>
        <v>58</v>
      </c>
      <c r="F266" t="str">
        <f>IFERROR(__xludf.DUMMYFUNCTION("""COMPUTED_VALUE"""),"PF")</f>
        <v>PF</v>
      </c>
      <c r="G266" s="26">
        <f>IFERROR(__xludf.DUMMYFUNCTION("""COMPUTED_VALUE"""),-6.741844049882331)</f>
        <v>-6.74184405</v>
      </c>
      <c r="H266" s="26">
        <f>IFERROR(__xludf.DUMMYFUNCTION("""COMPUTED_VALUE"""),-7.0343255588900595)</f>
        <v>-7.034325559</v>
      </c>
      <c r="I266" s="26">
        <f>IFERROR(__xludf.DUMMYFUNCTION("""COMPUTED_VALUE"""),-0.29248150900772885)</f>
        <v>-0.292481509</v>
      </c>
      <c r="J266" s="26">
        <f>IFERROR(__xludf.DUMMYFUNCTION("""COMPUTED_VALUE"""),8.724675325)</f>
        <v>8.724675325</v>
      </c>
      <c r="K266" s="26">
        <f>IFERROR(__xludf.DUMMYFUNCTION("""COMPUTED_VALUE"""),2.101298701)</f>
        <v>2.101298701</v>
      </c>
      <c r="L266" s="26">
        <f>IFERROR(__xludf.DUMMYFUNCTION("""COMPUTED_VALUE"""),2.656493506)</f>
        <v>2.656493506</v>
      </c>
      <c r="M266" s="26">
        <f>IFERROR(__xludf.DUMMYFUNCTION("""COMPUTED_VALUE"""),1.185974026)</f>
        <v>1.185974026</v>
      </c>
      <c r="N266" s="26">
        <f>IFERROR(__xludf.DUMMYFUNCTION("""COMPUTED_VALUE"""),0.6022077922)</f>
        <v>0.6022077922</v>
      </c>
      <c r="O266" s="26">
        <f>IFERROR(__xludf.DUMMYFUNCTION("""COMPUTED_VALUE"""),0.09636363636)</f>
        <v>0.09636363636</v>
      </c>
      <c r="P266" s="464">
        <f>IFERROR(__xludf.DUMMYFUNCTION("""COMPUTED_VALUE"""),0.4064440735)</f>
        <v>0.4064440735</v>
      </c>
      <c r="Q266" s="464">
        <f>IFERROR(__xludf.DUMMYFUNCTION("""COMPUTED_VALUE"""),0.8011107254)</f>
        <v>0.8011107254</v>
      </c>
      <c r="R266" s="26">
        <f>IFERROR(__xludf.DUMMYFUNCTION("""COMPUTED_VALUE"""),0.5692207792)</f>
        <v>0.5692207792</v>
      </c>
      <c r="S266" s="26">
        <f>IFERROR(__xludf.DUMMYFUNCTION("""COMPUTED_VALUE"""),-1.5797588572228178)</f>
        <v>-1.579758857</v>
      </c>
      <c r="T266" s="26">
        <f>IFERROR(__xludf.DUMMYFUNCTION("""COMPUTED_VALUE"""),0.34978577863477867)</f>
        <v>0.3497857786</v>
      </c>
      <c r="U266" s="26">
        <f>IFERROR(__xludf.DUMMYFUNCTION("""COMPUTED_VALUE"""),-1.3430025036595072)</f>
        <v>-1.343002504</v>
      </c>
      <c r="V266" s="26">
        <f>IFERROR(__xludf.DUMMYFUNCTION("""COMPUTED_VALUE"""),-1.2476813861032787)</f>
        <v>-1.247681386</v>
      </c>
      <c r="W266" s="26">
        <f>IFERROR(__xludf.DUMMYFUNCTION("""COMPUTED_VALUE"""),-1.2366217621354956)</f>
        <v>-1.236621762</v>
      </c>
      <c r="X266" s="26">
        <f>IFERROR(__xludf.DUMMYFUNCTION("""COMPUTED_VALUE"""),-1.1634788805084524)</f>
        <v>-1.163478881</v>
      </c>
      <c r="Y266" s="26">
        <f>IFERROR(__xludf.DUMMYFUNCTION("""COMPUTED_VALUE"""),-0.8216263756110058)</f>
        <v>-0.8216263756</v>
      </c>
      <c r="Z266" s="26">
        <f>IFERROR(__xludf.DUMMYFUNCTION("""COMPUTED_VALUE"""),0.00805842771571855)</f>
        <v>0.008058427716</v>
      </c>
      <c r="AA266" s="26">
        <f>IFERROR(__xludf.DUMMYFUNCTION("""COMPUTED_VALUE"""),0.0)</f>
        <v>0</v>
      </c>
      <c r="AB266" t="str">
        <f>IFERROR(__xludf.DUMMYFUNCTION("SUBSTITUTE(REGEXREPLACE(REGEXREPLACE(REGEXREPLACE(REGEXREPLACE(REGEXREPLACE(REGEXREPLACE(F266,"","",),IF(Projections!$T$17="""",""PG"",),),IF(Projections!$U$17="""",""SG"",),),IF(Projections!$V$17="""",""SF"",),),IF(Projections!$W$17="""",""PF"",),),IF(Pr"&amp;"ojections!$X$17="""",""C"",),),""/"","""")"),"PF")</f>
        <v>PF</v>
      </c>
    </row>
    <row r="267">
      <c r="B267">
        <f>IFERROR(__xludf.DUMMYFUNCTION("""COMPUTED_VALUE"""),266.0)</f>
        <v>266</v>
      </c>
      <c r="D267" t="str">
        <f>IFERROR(__xludf.DUMMYFUNCTION("""COMPUTED_VALUE"""),"Cody Martin")</f>
        <v>Cody Martin</v>
      </c>
      <c r="E267">
        <f>IFERROR(__xludf.DUMMYFUNCTION("""COMPUTED_VALUE"""),65.0)</f>
        <v>65</v>
      </c>
      <c r="F267" t="str">
        <f>IFERROR(__xludf.DUMMYFUNCTION("""COMPUTED_VALUE"""),"PG,SG")</f>
        <v>PG,SG</v>
      </c>
      <c r="G267" s="26">
        <f>IFERROR(__xludf.DUMMYFUNCTION("""COMPUTED_VALUE"""),-6.80240107229697)</f>
        <v>-6.802401072</v>
      </c>
      <c r="H267" s="26">
        <f>IFERROR(__xludf.DUMMYFUNCTION("""COMPUTED_VALUE"""),-7.043923194472493)</f>
        <v>-7.043923194</v>
      </c>
      <c r="I267" s="26">
        <f>IFERROR(__xludf.DUMMYFUNCTION("""COMPUTED_VALUE"""),-0.24152212217552282)</f>
        <v>-0.2415221222</v>
      </c>
      <c r="J267" s="26">
        <f>IFERROR(__xludf.DUMMYFUNCTION("""COMPUTED_VALUE"""),6.427169811)</f>
        <v>6.427169811</v>
      </c>
      <c r="K267" s="26">
        <f>IFERROR(__xludf.DUMMYFUNCTION("""COMPUTED_VALUE"""),0.7503773585)</f>
        <v>0.7503773585</v>
      </c>
      <c r="L267" s="26">
        <f>IFERROR(__xludf.DUMMYFUNCTION("""COMPUTED_VALUE"""),2.77245283)</f>
        <v>2.77245283</v>
      </c>
      <c r="M267" s="26">
        <f>IFERROR(__xludf.DUMMYFUNCTION("""COMPUTED_VALUE"""),1.916226415)</f>
        <v>1.916226415</v>
      </c>
      <c r="N267" s="26">
        <f>IFERROR(__xludf.DUMMYFUNCTION("""COMPUTED_VALUE"""),0.8741509434)</f>
        <v>0.8741509434</v>
      </c>
      <c r="O267" s="26">
        <f>IFERROR(__xludf.DUMMYFUNCTION("""COMPUTED_VALUE"""),0.3730188679)</f>
        <v>0.3730188679</v>
      </c>
      <c r="P267" s="464">
        <f>IFERROR(__xludf.DUMMYFUNCTION("""COMPUTED_VALUE"""),0.4355778009)</f>
        <v>0.4355778009</v>
      </c>
      <c r="Q267" s="464">
        <f>IFERROR(__xludf.DUMMYFUNCTION("""COMPUTED_VALUE"""),0.6330010493)</f>
        <v>0.6330010493</v>
      </c>
      <c r="R267" s="26">
        <f>IFERROR(__xludf.DUMMYFUNCTION("""COMPUTED_VALUE"""),0.7747169811)</f>
        <v>0.7747169811</v>
      </c>
      <c r="S267" s="26">
        <f>IFERROR(__xludf.DUMMYFUNCTION("""COMPUTED_VALUE"""),-1.993897181162506)</f>
        <v>-1.993897181</v>
      </c>
      <c r="T267" s="26">
        <f>IFERROR(__xludf.DUMMYFUNCTION("""COMPUTED_VALUE"""),-0.9902316549884809)</f>
        <v>-0.990231655</v>
      </c>
      <c r="U267" s="26">
        <f>IFERROR(__xludf.DUMMYFUNCTION("""COMPUTED_VALUE"""),-1.297557233293354)</f>
        <v>-1.297557233</v>
      </c>
      <c r="V267" s="26">
        <f>IFERROR(__xludf.DUMMYFUNCTION("""COMPUTED_VALUE"""),-0.9160457276436241)</f>
        <v>-0.9160457276</v>
      </c>
      <c r="W267" s="26">
        <f>IFERROR(__xludf.DUMMYFUNCTION("""COMPUTED_VALUE"""),-0.33694859661686427)</f>
        <v>-0.3369485966</v>
      </c>
      <c r="X267" s="26">
        <f>IFERROR(__xludf.DUMMYFUNCTION("""COMPUTED_VALUE"""),-0.6700233788106611)</f>
        <v>-0.6700233788</v>
      </c>
      <c r="Y267" s="26">
        <f>IFERROR(__xludf.DUMMYFUNCTION("""COMPUTED_VALUE"""),-0.4299384813098496)</f>
        <v>-0.4299384813</v>
      </c>
      <c r="Z267" s="26">
        <f>IFERROR(__xludf.DUMMYFUNCTION("""COMPUTED_VALUE"""),-0.40928094064715265)</f>
        <v>-0.4092809406</v>
      </c>
      <c r="AA267" s="26">
        <f>IFERROR(__xludf.DUMMYFUNCTION("""COMPUTED_VALUE"""),0.0)</f>
        <v>0</v>
      </c>
      <c r="AB267" t="str">
        <f>IFERROR(__xludf.DUMMYFUNCTION("SUBSTITUTE(REGEXREPLACE(REGEXREPLACE(REGEXREPLACE(REGEXREPLACE(REGEXREPLACE(REGEXREPLACE(F267,"","",),IF(Projections!$T$17="""",""PG"",),),IF(Projections!$U$17="""",""SG"",),),IF(Projections!$V$17="""",""SF"",),),IF(Projections!$W$17="""",""PF"",),),IF(Pr"&amp;"ojections!$X$17="""",""C"",),),""/"","""")"),"PGSG")</f>
        <v>PGSG</v>
      </c>
    </row>
    <row r="268">
      <c r="B268">
        <f>IFERROR(__xludf.DUMMYFUNCTION("""COMPUTED_VALUE"""),256.0)</f>
        <v>256</v>
      </c>
      <c r="D268" t="str">
        <f>IFERROR(__xludf.DUMMYFUNCTION("""COMPUTED_VALUE"""),"Drew Eubanks")</f>
        <v>Drew Eubanks</v>
      </c>
      <c r="E268">
        <f>IFERROR(__xludf.DUMMYFUNCTION("""COMPUTED_VALUE"""),60.0)</f>
        <v>60</v>
      </c>
      <c r="F268" t="str">
        <f>IFERROR(__xludf.DUMMYFUNCTION("""COMPUTED_VALUE"""),"SF,PF")</f>
        <v>SF,PF</v>
      </c>
      <c r="G268" s="26">
        <f>IFERROR(__xludf.DUMMYFUNCTION("""COMPUTED_VALUE"""),-6.8551144026028)</f>
        <v>-6.855114403</v>
      </c>
      <c r="H268" s="26">
        <f>IFERROR(__xludf.DUMMYFUNCTION("""COMPUTED_VALUE"""),-7.111326373677643)</f>
        <v>-7.111326374</v>
      </c>
      <c r="I268" s="26">
        <f>IFERROR(__xludf.DUMMYFUNCTION("""COMPUTED_VALUE"""),-0.2562119710748423)</f>
        <v>-0.2562119711</v>
      </c>
      <c r="J268" s="26">
        <f>IFERROR(__xludf.DUMMYFUNCTION("""COMPUTED_VALUE"""),4.770821918)</f>
        <v>4.770821918</v>
      </c>
      <c r="K268" s="26">
        <f>IFERROR(__xludf.DUMMYFUNCTION("""COMPUTED_VALUE"""),0.004931506849)</f>
        <v>0.004931506849</v>
      </c>
      <c r="L268" s="26">
        <f>IFERROR(__xludf.DUMMYFUNCTION("""COMPUTED_VALUE"""),5.22260274)</f>
        <v>5.22260274</v>
      </c>
      <c r="M268" s="26">
        <f>IFERROR(__xludf.DUMMYFUNCTION("""COMPUTED_VALUE"""),0.977260274)</f>
        <v>0.977260274</v>
      </c>
      <c r="N268" s="26">
        <f>IFERROR(__xludf.DUMMYFUNCTION("""COMPUTED_VALUE"""),0.4310958904)</f>
        <v>0.4310958904</v>
      </c>
      <c r="O268" s="26">
        <f>IFERROR(__xludf.DUMMYFUNCTION("""COMPUTED_VALUE"""),0.8920547945)</f>
        <v>0.8920547945</v>
      </c>
      <c r="P268" s="464">
        <f>IFERROR(__xludf.DUMMYFUNCTION("""COMPUTED_VALUE"""),0.5785358069)</f>
        <v>0.5785358069</v>
      </c>
      <c r="Q268" s="464">
        <f>IFERROR(__xludf.DUMMYFUNCTION("""COMPUTED_VALUE"""),0.74494917)</f>
        <v>0.74494917</v>
      </c>
      <c r="R268" s="26">
        <f>IFERROR(__xludf.DUMMYFUNCTION("""COMPUTED_VALUE"""),0.7154794521)</f>
        <v>0.7154794521</v>
      </c>
      <c r="S268" s="26">
        <f>IFERROR(__xludf.DUMMYFUNCTION("""COMPUTED_VALUE"""),-2.29246322859444)</f>
        <v>-2.292463229</v>
      </c>
      <c r="T268" s="26">
        <f>IFERROR(__xludf.DUMMYFUNCTION("""COMPUTED_VALUE"""),-1.7296606695496881)</f>
        <v>-1.72966067</v>
      </c>
      <c r="U268" s="26">
        <f>IFERROR(__xludf.DUMMYFUNCTION("""COMPUTED_VALUE"""),-0.337326341488955)</f>
        <v>-0.3373263415</v>
      </c>
      <c r="V268" s="26">
        <f>IFERROR(__xludf.DUMMYFUNCTION("""COMPUTED_VALUE"""),-1.342466317473226)</f>
        <v>-1.342466317</v>
      </c>
      <c r="W268" s="26">
        <f>IFERROR(__xludf.DUMMYFUNCTION("""COMPUTED_VALUE"""),-1.8027135562145482)</f>
        <v>-1.802713556</v>
      </c>
      <c r="X268" s="26">
        <f>IFERROR(__xludf.DUMMYFUNCTION("""COMPUTED_VALUE"""),0.25575392217831333)</f>
        <v>0.2557539222</v>
      </c>
      <c r="Y268" s="26">
        <f>IFERROR(__xludf.DUMMYFUNCTION("""COMPUTED_VALUE"""),0.32465149180982683)</f>
        <v>0.3246514918</v>
      </c>
      <c r="Z268" s="26">
        <f>IFERROR(__xludf.DUMMYFUNCTION("""COMPUTED_VALUE"""),-0.1871016743449248)</f>
        <v>-0.1871016743</v>
      </c>
      <c r="AA268" s="26">
        <f>IFERROR(__xludf.DUMMYFUNCTION("""COMPUTED_VALUE"""),0.0)</f>
        <v>0</v>
      </c>
      <c r="AB268" t="str">
        <f>IFERROR(__xludf.DUMMYFUNCTION("SUBSTITUTE(REGEXREPLACE(REGEXREPLACE(REGEXREPLACE(REGEXREPLACE(REGEXREPLACE(REGEXREPLACE(F268,"","",),IF(Projections!$T$17="""",""PG"",),),IF(Projections!$U$17="""",""SG"",),),IF(Projections!$V$17="""",""SF"",),),IF(Projections!$W$17="""",""PF"",),),IF(Pr"&amp;"ojections!$X$17="""",""C"",),),""/"","""")"),"SFPF")</f>
        <v>SFPF</v>
      </c>
    </row>
    <row r="269">
      <c r="B269">
        <f>IFERROR(__xludf.DUMMYFUNCTION("""COMPUTED_VALUE"""),255.0)</f>
        <v>255</v>
      </c>
      <c r="C269">
        <f>IFERROR(__xludf.DUMMYFUNCTION("""COMPUTED_VALUE"""),143.1)</f>
        <v>143.1</v>
      </c>
      <c r="D269" t="str">
        <f>IFERROR(__xludf.DUMMYFUNCTION("""COMPUTED_VALUE"""),"Marvin Bagley III")</f>
        <v>Marvin Bagley III</v>
      </c>
      <c r="E269">
        <f>IFERROR(__xludf.DUMMYFUNCTION("""COMPUTED_VALUE"""),58.0)</f>
        <v>58</v>
      </c>
      <c r="F269" t="str">
        <f>IFERROR(__xludf.DUMMYFUNCTION("""COMPUTED_VALUE"""),"SG")</f>
        <v>SG</v>
      </c>
      <c r="G269" s="26">
        <f>IFERROR(__xludf.DUMMYFUNCTION("""COMPUTED_VALUE"""),-6.9005054188309)</f>
        <v>-6.900505419</v>
      </c>
      <c r="H269" s="26">
        <f>IFERROR(__xludf.DUMMYFUNCTION("""COMPUTED_VALUE"""),-7.142322036976612)</f>
        <v>-7.142322037</v>
      </c>
      <c r="I269" s="26">
        <f>IFERROR(__xludf.DUMMYFUNCTION("""COMPUTED_VALUE"""),-0.24181661814571243)</f>
        <v>-0.2418166181</v>
      </c>
      <c r="J269" s="26">
        <f>IFERROR(__xludf.DUMMYFUNCTION("""COMPUTED_VALUE"""),8.063676471)</f>
        <v>8.063676471</v>
      </c>
      <c r="K269" s="26">
        <f>IFERROR(__xludf.DUMMYFUNCTION("""COMPUTED_VALUE"""),0.1485294118)</f>
        <v>0.1485294118</v>
      </c>
      <c r="L269" s="26">
        <f>IFERROR(__xludf.DUMMYFUNCTION("""COMPUTED_VALUE"""),5.414558824)</f>
        <v>5.414558824</v>
      </c>
      <c r="M269" s="26">
        <f>IFERROR(__xludf.DUMMYFUNCTION("""COMPUTED_VALUE"""),0.7366176471)</f>
        <v>0.7366176471</v>
      </c>
      <c r="N269" s="26">
        <f>IFERROR(__xludf.DUMMYFUNCTION("""COMPUTED_VALUE"""),0.325)</f>
        <v>0.325</v>
      </c>
      <c r="O269" s="26">
        <f>IFERROR(__xludf.DUMMYFUNCTION("""COMPUTED_VALUE"""),0.5892647059)</f>
        <v>0.5892647059</v>
      </c>
      <c r="P269" s="464">
        <f>IFERROR(__xludf.DUMMYFUNCTION("""COMPUTED_VALUE"""),0.5689190538)</f>
        <v>0.5689190538</v>
      </c>
      <c r="Q269" s="464">
        <f>IFERROR(__xludf.DUMMYFUNCTION("""COMPUTED_VALUE"""),0.7599815157)</f>
        <v>0.7599815157</v>
      </c>
      <c r="R269" s="26">
        <f>IFERROR(__xludf.DUMMYFUNCTION("""COMPUTED_VALUE"""),0.7735294118)</f>
        <v>0.7735294118</v>
      </c>
      <c r="S269" s="26">
        <f>IFERROR(__xludf.DUMMYFUNCTION("""COMPUTED_VALUE"""),-1.6989076278584185)</f>
        <v>-1.698907628</v>
      </c>
      <c r="T269" s="26">
        <f>IFERROR(__xludf.DUMMYFUNCTION("""COMPUTED_VALUE"""),-1.5872218094825143)</f>
        <v>-1.587221809</v>
      </c>
      <c r="U269" s="26">
        <f>IFERROR(__xludf.DUMMYFUNCTION("""COMPUTED_VALUE"""),-0.26209740917982943)</f>
        <v>-0.2620974092</v>
      </c>
      <c r="V269" s="26">
        <f>IFERROR(__xludf.DUMMYFUNCTION("""COMPUTED_VALUE"""),-1.4517513773067552)</f>
        <v>-1.451751377</v>
      </c>
      <c r="W269" s="26">
        <f>IFERROR(__xludf.DUMMYFUNCTION("""COMPUTED_VALUE"""),-2.1537120099115348)</f>
        <v>-2.15371201</v>
      </c>
      <c r="X269" s="26">
        <f>IFERROR(__xludf.DUMMYFUNCTION("""COMPUTED_VALUE"""),-0.28431696044162674)</f>
        <v>-0.2843169604</v>
      </c>
      <c r="Y269" s="26">
        <f>IFERROR(__xludf.DUMMYFUNCTION("""COMPUTED_VALUE"""),0.49132328675751447)</f>
        <v>0.4913232868</v>
      </c>
      <c r="Z269" s="26">
        <f>IFERROR(__xludf.DUMMYFUNCTION("""COMPUTED_VALUE"""),-0.19563812955344684)</f>
        <v>-0.1956381296</v>
      </c>
      <c r="AA269" s="26">
        <f>IFERROR(__xludf.DUMMYFUNCTION("""COMPUTED_VALUE"""),0.0)</f>
        <v>0</v>
      </c>
      <c r="AB269" t="str">
        <f>IFERROR(__xludf.DUMMYFUNCTION("SUBSTITUTE(REGEXREPLACE(REGEXREPLACE(REGEXREPLACE(REGEXREPLACE(REGEXREPLACE(REGEXREPLACE(F269,"","",),IF(Projections!$T$17="""",""PG"",),),IF(Projections!$U$17="""",""SG"",),),IF(Projections!$V$17="""",""SF"",),),IF(Projections!$W$17="""",""PF"",),),IF(Pr"&amp;"ojections!$X$17="""",""C"",),),""/"","""")"),"SG")</f>
        <v>SG</v>
      </c>
    </row>
    <row r="270">
      <c r="B270">
        <f>IFERROR(__xludf.DUMMYFUNCTION("""COMPUTED_VALUE"""),268.0)</f>
        <v>268</v>
      </c>
      <c r="D270" t="str">
        <f>IFERROR(__xludf.DUMMYFUNCTION("""COMPUTED_VALUE"""),"Cam Payne")</f>
        <v>Cam Payne</v>
      </c>
      <c r="E270">
        <f>IFERROR(__xludf.DUMMYFUNCTION("""COMPUTED_VALUE"""),65.0)</f>
        <v>65</v>
      </c>
      <c r="F270" t="str">
        <f>IFERROR(__xludf.DUMMYFUNCTION("""COMPUTED_VALUE"""),"SF,PF")</f>
        <v>SF,PF</v>
      </c>
      <c r="G270" s="26">
        <f>IFERROR(__xludf.DUMMYFUNCTION("""COMPUTED_VALUE"""),-7.008399387719552)</f>
        <v>-7.008399388</v>
      </c>
      <c r="H270" s="26">
        <f>IFERROR(__xludf.DUMMYFUNCTION("""COMPUTED_VALUE"""),-7.190624360351708)</f>
        <v>-7.19062436</v>
      </c>
      <c r="I270" s="26">
        <f>IFERROR(__xludf.DUMMYFUNCTION("""COMPUTED_VALUE"""),-0.18222497263215587)</f>
        <v>-0.1822249726</v>
      </c>
      <c r="J270" s="26">
        <f>IFERROR(__xludf.DUMMYFUNCTION("""COMPUTED_VALUE"""),7.257945205)</f>
        <v>7.257945205</v>
      </c>
      <c r="K270" s="26">
        <f>IFERROR(__xludf.DUMMYFUNCTION("""COMPUTED_VALUE"""),1.418493151)</f>
        <v>1.418493151</v>
      </c>
      <c r="L270" s="26">
        <f>IFERROR(__xludf.DUMMYFUNCTION("""COMPUTED_VALUE"""),1.8)</f>
        <v>1.8</v>
      </c>
      <c r="M270" s="26">
        <f>IFERROR(__xludf.DUMMYFUNCTION("""COMPUTED_VALUE"""),2.929452055)</f>
        <v>2.929452055</v>
      </c>
      <c r="N270" s="26">
        <f>IFERROR(__xludf.DUMMYFUNCTION("""COMPUTED_VALUE"""),0.5694520548)</f>
        <v>0.5694520548</v>
      </c>
      <c r="O270" s="26">
        <f>IFERROR(__xludf.DUMMYFUNCTION("""COMPUTED_VALUE"""),0.1449315068)</f>
        <v>0.1449315068</v>
      </c>
      <c r="P270" s="464">
        <f>IFERROR(__xludf.DUMMYFUNCTION("""COMPUTED_VALUE"""),0.4184613389)</f>
        <v>0.4184613389</v>
      </c>
      <c r="Q270" s="464">
        <f>IFERROR(__xludf.DUMMYFUNCTION("""COMPUTED_VALUE"""),0.848)</f>
        <v>0.848</v>
      </c>
      <c r="R270" s="26">
        <f>IFERROR(__xludf.DUMMYFUNCTION("""COMPUTED_VALUE"""),1.013835616)</f>
        <v>1.013835616</v>
      </c>
      <c r="S270" s="26">
        <f>IFERROR(__xludf.DUMMYFUNCTION("""COMPUTED_VALUE"""),-1.844145231865772)</f>
        <v>-1.844145232</v>
      </c>
      <c r="T270" s="26">
        <f>IFERROR(__xludf.DUMMYFUNCTION("""COMPUTED_VALUE"""),-0.32750853302476063)</f>
        <v>-0.327508533</v>
      </c>
      <c r="U270" s="26">
        <f>IFERROR(__xludf.DUMMYFUNCTION("""COMPUTED_VALUE"""),-1.678668300978438)</f>
        <v>-1.678668301</v>
      </c>
      <c r="V270" s="26">
        <f>IFERROR(__xludf.DUMMYFUNCTION("""COMPUTED_VALUE"""),-0.45590104704935747)</f>
        <v>-0.455901047</v>
      </c>
      <c r="W270" s="26">
        <f>IFERROR(__xludf.DUMMYFUNCTION("""COMPUTED_VALUE"""),-1.3449880064241106)</f>
        <v>-1.344988006</v>
      </c>
      <c r="X270" s="26">
        <f>IFERROR(__xludf.DUMMYFUNCTION("""COMPUTED_VALUE"""),-1.0768509040882832)</f>
        <v>-1.076850904</v>
      </c>
      <c r="Y270" s="26">
        <f>IFERROR(__xludf.DUMMYFUNCTION("""COMPUTED_VALUE"""),-0.5805711704704789)</f>
        <v>-0.5805711705</v>
      </c>
      <c r="Z270" s="26">
        <f>IFERROR(__xludf.DUMMYFUNCTION("""COMPUTED_VALUE"""),0.11800883354949207)</f>
        <v>0.1180088335</v>
      </c>
      <c r="AA270" s="26">
        <f>IFERROR(__xludf.DUMMYFUNCTION("""COMPUTED_VALUE"""),0.0)</f>
        <v>0</v>
      </c>
      <c r="AB270" t="str">
        <f>IFERROR(__xludf.DUMMYFUNCTION("SUBSTITUTE(REGEXREPLACE(REGEXREPLACE(REGEXREPLACE(REGEXREPLACE(REGEXREPLACE(REGEXREPLACE(F270,"","",),IF(Projections!$T$17="""",""PG"",),),IF(Projections!$U$17="""",""SG"",),),IF(Projections!$V$17="""",""SF"",),),IF(Projections!$W$17="""",""PF"",),),IF(Pr"&amp;"ojections!$X$17="""",""C"",),),""/"","""")"),"SFPF")</f>
        <v>SFPF</v>
      </c>
    </row>
    <row r="271">
      <c r="B271">
        <f>IFERROR(__xludf.DUMMYFUNCTION("""COMPUTED_VALUE"""),264.0)</f>
        <v>264</v>
      </c>
      <c r="C271">
        <f>IFERROR(__xludf.DUMMYFUNCTION("""COMPUTED_VALUE"""),145.1)</f>
        <v>145.1</v>
      </c>
      <c r="D271" t="str">
        <f>IFERROR(__xludf.DUMMYFUNCTION("""COMPUTED_VALUE"""),"Isaiah Stewart")</f>
        <v>Isaiah Stewart</v>
      </c>
      <c r="E271">
        <f>IFERROR(__xludf.DUMMYFUNCTION("""COMPUTED_VALUE"""),54.0)</f>
        <v>54</v>
      </c>
      <c r="F271" t="str">
        <f>IFERROR(__xludf.DUMMYFUNCTION("""COMPUTED_VALUE"""),"C")</f>
        <v>C</v>
      </c>
      <c r="G271" s="26">
        <f>IFERROR(__xludf.DUMMYFUNCTION("""COMPUTED_VALUE"""),-7.058448021277797)</f>
        <v>-7.058448021</v>
      </c>
      <c r="H271" s="26">
        <f>IFERROR(__xludf.DUMMYFUNCTION("""COMPUTED_VALUE"""),-7.28954305889562)</f>
        <v>-7.289543059</v>
      </c>
      <c r="I271" s="26">
        <f>IFERROR(__xludf.DUMMYFUNCTION("""COMPUTED_VALUE"""),-0.23109503761782335)</f>
        <v>-0.2310950376</v>
      </c>
      <c r="J271" s="26">
        <f>IFERROR(__xludf.DUMMYFUNCTION("""COMPUTED_VALUE"""),6.189411765)</f>
        <v>6.189411765</v>
      </c>
      <c r="K271" s="26">
        <f>IFERROR(__xludf.DUMMYFUNCTION("""COMPUTED_VALUE"""),0.8367647059)</f>
        <v>0.8367647059</v>
      </c>
      <c r="L271" s="26">
        <f>IFERROR(__xludf.DUMMYFUNCTION("""COMPUTED_VALUE"""),5.445)</f>
        <v>5.445</v>
      </c>
      <c r="M271" s="26">
        <f>IFERROR(__xludf.DUMMYFUNCTION("""COMPUTED_VALUE"""),0.9529411765)</f>
        <v>0.9529411765</v>
      </c>
      <c r="N271" s="26">
        <f>IFERROR(__xludf.DUMMYFUNCTION("""COMPUTED_VALUE"""),0.2594117647)</f>
        <v>0.2594117647</v>
      </c>
      <c r="O271" s="26">
        <f>IFERROR(__xludf.DUMMYFUNCTION("""COMPUTED_VALUE"""),0.6085294118)</f>
        <v>0.6085294118</v>
      </c>
      <c r="P271" s="464">
        <f>IFERROR(__xludf.DUMMYFUNCTION("""COMPUTED_VALUE"""),0.4967752084)</f>
        <v>0.4967752084</v>
      </c>
      <c r="Q271" s="464">
        <f>IFERROR(__xludf.DUMMYFUNCTION("""COMPUTED_VALUE"""),0.7580239144)</f>
        <v>0.7580239144</v>
      </c>
      <c r="R271" s="26">
        <f>IFERROR(__xludf.DUMMYFUNCTION("""COMPUTED_VALUE"""),0.8167647059)</f>
        <v>0.8167647059</v>
      </c>
      <c r="S271" s="26">
        <f>IFERROR(__xludf.DUMMYFUNCTION("""COMPUTED_VALUE"""),-2.036754409610322)</f>
        <v>-2.03675441</v>
      </c>
      <c r="T271" s="26">
        <f>IFERROR(__xludf.DUMMYFUNCTION("""COMPUTED_VALUE"""),-0.9045415796905041)</f>
        <v>-0.9045415797</v>
      </c>
      <c r="U271" s="26">
        <f>IFERROR(__xludf.DUMMYFUNCTION("""COMPUTED_VALUE"""),-0.25016729932869186)</f>
        <v>-0.2501672993</v>
      </c>
      <c r="V271" s="26">
        <f>IFERROR(__xludf.DUMMYFUNCTION("""COMPUTED_VALUE"""),-1.3535105537318726)</f>
        <v>-1.353510554</v>
      </c>
      <c r="W271" s="26">
        <f>IFERROR(__xludf.DUMMYFUNCTION("""COMPUTED_VALUE"""),-2.370698446277916)</f>
        <v>-2.370698446</v>
      </c>
      <c r="X271" s="26">
        <f>IFERROR(__xludf.DUMMYFUNCTION("""COMPUTED_VALUE"""),-0.2499555096856506)</f>
        <v>-0.2499555097</v>
      </c>
      <c r="Y271" s="26">
        <f>IFERROR(__xludf.DUMMYFUNCTION("""COMPUTED_VALUE"""),-0.002563283146363266)</f>
        <v>-0.002563283146</v>
      </c>
      <c r="Z271" s="26">
        <f>IFERROR(__xludf.DUMMYFUNCTION("""COMPUTED_VALUE"""),-0.12135197742429964)</f>
        <v>-0.1213519774</v>
      </c>
      <c r="AA271" s="26">
        <f>IFERROR(__xludf.DUMMYFUNCTION("""COMPUTED_VALUE"""),0.0)</f>
        <v>0</v>
      </c>
      <c r="AB271" t="str">
        <f>IFERROR(__xludf.DUMMYFUNCTION("SUBSTITUTE(REGEXREPLACE(REGEXREPLACE(REGEXREPLACE(REGEXREPLACE(REGEXREPLACE(REGEXREPLACE(F271,"","",),IF(Projections!$T$17="""",""PG"",),),IF(Projections!$U$17="""",""SG"",),),IF(Projections!$V$17="""",""SF"",),),IF(Projections!$W$17="""",""PF"",),),IF(Pr"&amp;"ojections!$X$17="""",""C"",),),""/"","""")"),"C")</f>
        <v>C</v>
      </c>
    </row>
    <row r="272">
      <c r="B272">
        <f>IFERROR(__xludf.DUMMYFUNCTION("""COMPUTED_VALUE"""),262.0)</f>
        <v>262</v>
      </c>
      <c r="D272" t="str">
        <f>IFERROR(__xludf.DUMMYFUNCTION("""COMPUTED_VALUE"""),"Mason Plumlee")</f>
        <v>Mason Plumlee</v>
      </c>
      <c r="E272">
        <f>IFERROR(__xludf.DUMMYFUNCTION("""COMPUTED_VALUE"""),70.0)</f>
        <v>70</v>
      </c>
      <c r="F272" t="str">
        <f>IFERROR(__xludf.DUMMYFUNCTION("""COMPUTED_VALUE"""),"PF,C")</f>
        <v>PF,C</v>
      </c>
      <c r="G272" s="26">
        <f>IFERROR(__xludf.DUMMYFUNCTION("""COMPUTED_VALUE"""),-7.114953912544366)</f>
        <v>-7.114953913</v>
      </c>
      <c r="H272" s="26">
        <f>IFERROR(__xludf.DUMMYFUNCTION("""COMPUTED_VALUE"""),-7.298299900319846)</f>
        <v>-7.2982999</v>
      </c>
      <c r="I272" s="26">
        <f>IFERROR(__xludf.DUMMYFUNCTION("""COMPUTED_VALUE"""),-0.18334598777548017)</f>
        <v>-0.1833459878</v>
      </c>
      <c r="J272" s="26">
        <f>IFERROR(__xludf.DUMMYFUNCTION("""COMPUTED_VALUE"""),6.822465753)</f>
        <v>6.822465753</v>
      </c>
      <c r="K272" s="26">
        <f>IFERROR(__xludf.DUMMYFUNCTION("""COMPUTED_VALUE"""),0.04465753425)</f>
        <v>0.04465753425</v>
      </c>
      <c r="L272" s="26">
        <f>IFERROR(__xludf.DUMMYFUNCTION("""COMPUTED_VALUE"""),6.15)</f>
        <v>6.15</v>
      </c>
      <c r="M272" s="26">
        <f>IFERROR(__xludf.DUMMYFUNCTION("""COMPUTED_VALUE"""),1.640821918)</f>
        <v>1.640821918</v>
      </c>
      <c r="N272" s="26">
        <f>IFERROR(__xludf.DUMMYFUNCTION("""COMPUTED_VALUE"""),0.3773972603)</f>
        <v>0.3773972603</v>
      </c>
      <c r="O272" s="26">
        <f>IFERROR(__xludf.DUMMYFUNCTION("""COMPUTED_VALUE"""),0.4483561644)</f>
        <v>0.4483561644</v>
      </c>
      <c r="P272" s="464">
        <f>IFERROR(__xludf.DUMMYFUNCTION("""COMPUTED_VALUE"""),0.5695693545)</f>
        <v>0.5695693545</v>
      </c>
      <c r="Q272" s="464">
        <f>IFERROR(__xludf.DUMMYFUNCTION("""COMPUTED_VALUE"""),0.7299881936)</f>
        <v>0.7299881936</v>
      </c>
      <c r="R272" s="26">
        <f>IFERROR(__xludf.DUMMYFUNCTION("""COMPUTED_VALUE"""),1.009315068)</f>
        <v>1.009315068</v>
      </c>
      <c r="S272" s="26">
        <f>IFERROR(__xludf.DUMMYFUNCTION("""COMPUTED_VALUE"""),-1.9226428586451147)</f>
        <v>-1.922642859</v>
      </c>
      <c r="T272" s="26">
        <f>IFERROR(__xludf.DUMMYFUNCTION("""COMPUTED_VALUE"""),-1.6902552892279723)</f>
        <v>-1.690255289</v>
      </c>
      <c r="U272" s="26">
        <f>IFERROR(__xludf.DUMMYFUNCTION("""COMPUTED_VALUE"""),0.02612713308916024)</f>
        <v>0.02612713309</v>
      </c>
      <c r="V272" s="26">
        <f>IFERROR(__xludf.DUMMYFUNCTION("""COMPUTED_VALUE"""),-1.041117487874928)</f>
        <v>-1.041117488</v>
      </c>
      <c r="W272" s="26">
        <f>IFERROR(__xludf.DUMMYFUNCTION("""COMPUTED_VALUE"""),-1.9803654526234076)</f>
        <v>-1.980365453</v>
      </c>
      <c r="X272" s="26">
        <f>IFERROR(__xludf.DUMMYFUNCTION("""COMPUTED_VALUE"""),-0.5356481738523997)</f>
        <v>-0.5356481739</v>
      </c>
      <c r="Y272" s="26">
        <f>IFERROR(__xludf.DUMMYFUNCTION("""COMPUTED_VALUE"""),0.3754304304730925)</f>
        <v>0.3754304305</v>
      </c>
      <c r="Z272" s="26">
        <f>IFERROR(__xludf.DUMMYFUNCTION("""COMPUTED_VALUE"""),-0.5298282016582779)</f>
        <v>-0.5298282017</v>
      </c>
      <c r="AA272" s="26">
        <f>IFERROR(__xludf.DUMMYFUNCTION("""COMPUTED_VALUE"""),0.0)</f>
        <v>0</v>
      </c>
      <c r="AB272" t="str">
        <f>IFERROR(__xludf.DUMMYFUNCTION("SUBSTITUTE(REGEXREPLACE(REGEXREPLACE(REGEXREPLACE(REGEXREPLACE(REGEXREPLACE(REGEXREPLACE(F272,"","",),IF(Projections!$T$17="""",""PG"",),),IF(Projections!$U$17="""",""SG"",),),IF(Projections!$V$17="""",""SF"",),),IF(Projections!$W$17="""",""PF"",),),IF(Pr"&amp;"ojections!$X$17="""",""C"",),),""/"","""")"),"PFC")</f>
        <v>PFC</v>
      </c>
    </row>
    <row r="273">
      <c r="B273">
        <f>IFERROR(__xludf.DUMMYFUNCTION("""COMPUTED_VALUE"""),274.0)</f>
        <v>274</v>
      </c>
      <c r="D273" t="str">
        <f>IFERROR(__xludf.DUMMYFUNCTION("""COMPUTED_VALUE"""),"Kyshawn George")</f>
        <v>Kyshawn George</v>
      </c>
      <c r="E273">
        <f>IFERROR(__xludf.DUMMYFUNCTION("""COMPUTED_VALUE"""),60.0)</f>
        <v>60</v>
      </c>
      <c r="F273" t="str">
        <f>IFERROR(__xludf.DUMMYFUNCTION("""COMPUTED_VALUE"""),"SG")</f>
        <v>SG</v>
      </c>
      <c r="G273" s="26">
        <f>IFERROR(__xludf.DUMMYFUNCTION("""COMPUTED_VALUE"""),-7.1011424070202045)</f>
        <v>-7.101142407</v>
      </c>
      <c r="H273" s="26">
        <f>IFERROR(__xludf.DUMMYFUNCTION("""COMPUTED_VALUE"""),-7.298382188259187)</f>
        <v>-7.298382188</v>
      </c>
      <c r="I273" s="26">
        <f>IFERROR(__xludf.DUMMYFUNCTION("""COMPUTED_VALUE"""),-0.19723978123898256)</f>
        <v>-0.1972397812</v>
      </c>
      <c r="J273" s="26">
        <f>IFERROR(__xludf.DUMMYFUNCTION("""COMPUTED_VALUE"""),6.775205479)</f>
        <v>6.775205479</v>
      </c>
      <c r="K273" s="26">
        <f>IFERROR(__xludf.DUMMYFUNCTION("""COMPUTED_VALUE"""),1.680684932)</f>
        <v>1.680684932</v>
      </c>
      <c r="L273" s="26">
        <f>IFERROR(__xludf.DUMMYFUNCTION("""COMPUTED_VALUE"""),2.6)</f>
        <v>2.6</v>
      </c>
      <c r="M273" s="26">
        <f>IFERROR(__xludf.DUMMYFUNCTION("""COMPUTED_VALUE"""),1.603287671)</f>
        <v>1.603287671</v>
      </c>
      <c r="N273" s="26">
        <f>IFERROR(__xludf.DUMMYFUNCTION("""COMPUTED_VALUE"""),0.65)</f>
        <v>0.65</v>
      </c>
      <c r="O273" s="26">
        <f>IFERROR(__xludf.DUMMYFUNCTION("""COMPUTED_VALUE"""),0.26)</f>
        <v>0.26</v>
      </c>
      <c r="P273" s="464">
        <f>IFERROR(__xludf.DUMMYFUNCTION("""COMPUTED_VALUE"""),0.3781613124)</f>
        <v>0.3781613124</v>
      </c>
      <c r="Q273" s="464">
        <f>IFERROR(__xludf.DUMMYFUNCTION("""COMPUTED_VALUE"""),0.7612131568)</f>
        <v>0.7612131568</v>
      </c>
      <c r="R273" s="26">
        <f>IFERROR(__xludf.DUMMYFUNCTION("""COMPUTED_VALUE"""),0.9532876712)</f>
        <v>0.9532876712</v>
      </c>
      <c r="S273" s="26">
        <f>IFERROR(__xludf.DUMMYFUNCTION("""COMPUTED_VALUE"""),-1.9311617895221138)</f>
        <v>-1.93116179</v>
      </c>
      <c r="T273" s="26">
        <f>IFERROR(__xludf.DUMMYFUNCTION("""COMPUTED_VALUE"""),-0.0674330227492751)</f>
        <v>-0.06743302275</v>
      </c>
      <c r="U273" s="26">
        <f>IFERROR(__xludf.DUMMYFUNCTION("""COMPUTED_VALUE"""),-1.3651427039085349)</f>
        <v>-1.365142704</v>
      </c>
      <c r="V273" s="26">
        <f>IFERROR(__xludf.DUMMYFUNCTION("""COMPUTED_VALUE"""),-1.0581632311085492)</f>
        <v>-1.058163231</v>
      </c>
      <c r="W273" s="26">
        <f>IFERROR(__xludf.DUMMYFUNCTION("""COMPUTED_VALUE"""),-1.0785101616454067)</f>
        <v>-1.078510162</v>
      </c>
      <c r="X273" s="26">
        <f>IFERROR(__xludf.DUMMYFUNCTION("""COMPUTED_VALUE"""),-0.8716092365964281)</f>
        <v>-0.8716092366</v>
      </c>
      <c r="Y273" s="26">
        <f>IFERROR(__xludf.DUMMYFUNCTION("""COMPUTED_VALUE"""),-0.8883207793271385)</f>
        <v>-0.8883207793</v>
      </c>
      <c r="Z273" s="26">
        <f>IFERROR(__xludf.DUMMYFUNCTION("""COMPUTED_VALUE"""),-0.03804126340174052)</f>
        <v>-0.0380412634</v>
      </c>
      <c r="AA273" s="26">
        <f>IFERROR(__xludf.DUMMYFUNCTION("""COMPUTED_VALUE"""),0.0)</f>
        <v>0</v>
      </c>
      <c r="AB273" t="str">
        <f>IFERROR(__xludf.DUMMYFUNCTION("SUBSTITUTE(REGEXREPLACE(REGEXREPLACE(REGEXREPLACE(REGEXREPLACE(REGEXREPLACE(REGEXREPLACE(F273,"","",),IF(Projections!$T$17="""",""PG"",),),IF(Projections!$U$17="""",""SG"",),),IF(Projections!$V$17="""",""SF"",),),IF(Projections!$W$17="""",""PF"",),),IF(Pr"&amp;"ojections!$X$17="""",""C"",),),""/"","""")"),"SG")</f>
        <v>SG</v>
      </c>
    </row>
    <row r="274">
      <c r="B274">
        <f>IFERROR(__xludf.DUMMYFUNCTION("""COMPUTED_VALUE"""),263.0)</f>
        <v>263</v>
      </c>
      <c r="D274" t="str">
        <f>IFERROR(__xludf.DUMMYFUNCTION("""COMPUTED_VALUE"""),"Goga Bitadze")</f>
        <v>Goga Bitadze</v>
      </c>
      <c r="E274">
        <f>IFERROR(__xludf.DUMMYFUNCTION("""COMPUTED_VALUE"""),65.0)</f>
        <v>65</v>
      </c>
      <c r="F274" t="str">
        <f>IFERROR(__xludf.DUMMYFUNCTION("""COMPUTED_VALUE"""),"SF,PF")</f>
        <v>SF,PF</v>
      </c>
      <c r="G274" s="26">
        <f>IFERROR(__xludf.DUMMYFUNCTION("""COMPUTED_VALUE"""),-7.085825463234961)</f>
        <v>-7.085825463</v>
      </c>
      <c r="H274" s="26">
        <f>IFERROR(__xludf.DUMMYFUNCTION("""COMPUTED_VALUE"""),-7.346702668994075)</f>
        <v>-7.346702669</v>
      </c>
      <c r="I274" s="26">
        <f>IFERROR(__xludf.DUMMYFUNCTION("""COMPUTED_VALUE"""),-0.26087720575911355)</f>
        <v>-0.2608772058</v>
      </c>
      <c r="J274" s="26">
        <f>IFERROR(__xludf.DUMMYFUNCTION("""COMPUTED_VALUE"""),4.935263158)</f>
        <v>4.935263158</v>
      </c>
      <c r="K274" s="26">
        <f>IFERROR(__xludf.DUMMYFUNCTION("""COMPUTED_VALUE"""),0.08070175439)</f>
        <v>0.08070175439</v>
      </c>
      <c r="L274" s="26">
        <f>IFERROR(__xludf.DUMMYFUNCTION("""COMPUTED_VALUE"""),4.243684211)</f>
        <v>4.243684211</v>
      </c>
      <c r="M274" s="26">
        <f>IFERROR(__xludf.DUMMYFUNCTION("""COMPUTED_VALUE"""),1.18754386)</f>
        <v>1.18754386</v>
      </c>
      <c r="N274" s="26">
        <f>IFERROR(__xludf.DUMMYFUNCTION("""COMPUTED_VALUE"""),0.4554385965)</f>
        <v>0.4554385965</v>
      </c>
      <c r="O274" s="26">
        <f>IFERROR(__xludf.DUMMYFUNCTION("""COMPUTED_VALUE"""),1.06)</f>
        <v>1.06</v>
      </c>
      <c r="P274" s="464">
        <f>IFERROR(__xludf.DUMMYFUNCTION("""COMPUTED_VALUE"""),0.5854230749)</f>
        <v>0.5854230749</v>
      </c>
      <c r="Q274" s="464">
        <f>IFERROR(__xludf.DUMMYFUNCTION("""COMPUTED_VALUE"""),0.6629785069)</f>
        <v>0.6629785069</v>
      </c>
      <c r="R274" s="26">
        <f>IFERROR(__xludf.DUMMYFUNCTION("""COMPUTED_VALUE"""),0.6966666667)</f>
        <v>0.6966666667</v>
      </c>
      <c r="S274" s="26">
        <f>IFERROR(__xludf.DUMMYFUNCTION("""COMPUTED_VALUE"""),-2.262821767842688)</f>
        <v>-2.262821768</v>
      </c>
      <c r="T274" s="26">
        <f>IFERROR(__xludf.DUMMYFUNCTION("""COMPUTED_VALUE"""),-1.6545019986036853)</f>
        <v>-1.654501999</v>
      </c>
      <c r="U274" s="26">
        <f>IFERROR(__xludf.DUMMYFUNCTION("""COMPUTED_VALUE"""),-0.7209713618483505)</f>
        <v>-0.7209713618</v>
      </c>
      <c r="V274" s="26">
        <f>IFERROR(__xludf.DUMMYFUNCTION("""COMPUTED_VALUE"""),-1.2469684641873706)</f>
        <v>-1.246968464</v>
      </c>
      <c r="W274" s="26">
        <f>IFERROR(__xludf.DUMMYFUNCTION("""COMPUTED_VALUE"""),-1.7221802559360282)</f>
        <v>-1.722180256</v>
      </c>
      <c r="X274" s="26">
        <f>IFERROR(__xludf.DUMMYFUNCTION("""COMPUTED_VALUE"""),0.5553090224973144)</f>
        <v>0.5553090225</v>
      </c>
      <c r="Y274" s="26">
        <f>IFERROR(__xludf.DUMMYFUNCTION("""COMPUTED_VALUE"""),0.3451348526820467)</f>
        <v>0.3451348527</v>
      </c>
      <c r="Z274" s="26">
        <f>IFERROR(__xludf.DUMMYFUNCTION("""COMPUTED_VALUE"""),-0.6397026957553142)</f>
        <v>-0.6397026958</v>
      </c>
      <c r="AA274" s="26">
        <f>IFERROR(__xludf.DUMMYFUNCTION("""COMPUTED_VALUE"""),0.0)</f>
        <v>0</v>
      </c>
      <c r="AB274" t="str">
        <f>IFERROR(__xludf.DUMMYFUNCTION("SUBSTITUTE(REGEXREPLACE(REGEXREPLACE(REGEXREPLACE(REGEXREPLACE(REGEXREPLACE(REGEXREPLACE(F274,"","",),IF(Projections!$T$17="""",""PG"",),),IF(Projections!$U$17="""",""SG"",),),IF(Projections!$V$17="""",""SF"",),),IF(Projections!$W$17="""",""PF"",),),IF(Pr"&amp;"ojections!$X$17="""",""C"",),),""/"","""")"),"SFPF")</f>
        <v>SFPF</v>
      </c>
    </row>
    <row r="275">
      <c r="B275">
        <f>IFERROR(__xludf.DUMMYFUNCTION("""COMPUTED_VALUE"""),270.0)</f>
        <v>270</v>
      </c>
      <c r="D275" t="str">
        <f>IFERROR(__xludf.DUMMYFUNCTION("""COMPUTED_VALUE"""),"Max Christie")</f>
        <v>Max Christie</v>
      </c>
      <c r="E275">
        <f>IFERROR(__xludf.DUMMYFUNCTION("""COMPUTED_VALUE"""),44.0)</f>
        <v>44</v>
      </c>
      <c r="F275" t="str">
        <f>IFERROR(__xludf.DUMMYFUNCTION("""COMPUTED_VALUE"""),"SF,PF")</f>
        <v>SF,PF</v>
      </c>
      <c r="G275" s="26">
        <f>IFERROR(__xludf.DUMMYFUNCTION("""COMPUTED_VALUE"""),-7.126201768583458)</f>
        <v>-7.126201769</v>
      </c>
      <c r="H275" s="26">
        <f>IFERROR(__xludf.DUMMYFUNCTION("""COMPUTED_VALUE"""),-7.3606388700364205)</f>
        <v>-7.36063887</v>
      </c>
      <c r="I275" s="26">
        <f>IFERROR(__xludf.DUMMYFUNCTION("""COMPUTED_VALUE"""),-0.23443710145296226)</f>
        <v>-0.2344371015</v>
      </c>
      <c r="J275" s="26">
        <f>IFERROR(__xludf.DUMMYFUNCTION("""COMPUTED_VALUE"""),7.474794521)</f>
        <v>7.474794521</v>
      </c>
      <c r="K275" s="26">
        <f>IFERROR(__xludf.DUMMYFUNCTION("""COMPUTED_VALUE"""),1.160410959)</f>
        <v>1.160410959</v>
      </c>
      <c r="L275" s="26">
        <f>IFERROR(__xludf.DUMMYFUNCTION("""COMPUTED_VALUE"""),3.079178082)</f>
        <v>3.079178082</v>
      </c>
      <c r="M275" s="26">
        <f>IFERROR(__xludf.DUMMYFUNCTION("""COMPUTED_VALUE"""),1.313013699)</f>
        <v>1.313013699</v>
      </c>
      <c r="N275" s="26">
        <f>IFERROR(__xludf.DUMMYFUNCTION("""COMPUTED_VALUE"""),0.4908219178)</f>
        <v>0.4908219178</v>
      </c>
      <c r="O275" s="26">
        <f>IFERROR(__xludf.DUMMYFUNCTION("""COMPUTED_VALUE"""),0.3569863014)</f>
        <v>0.3569863014</v>
      </c>
      <c r="P275" s="464">
        <f>IFERROR(__xludf.DUMMYFUNCTION("""COMPUTED_VALUE"""),0.443426022)</f>
        <v>0.443426022</v>
      </c>
      <c r="Q275" s="464">
        <f>IFERROR(__xludf.DUMMYFUNCTION("""COMPUTED_VALUE"""),0.8200138026)</f>
        <v>0.8200138026</v>
      </c>
      <c r="R275" s="26">
        <f>IFERROR(__xludf.DUMMYFUNCTION("""COMPUTED_VALUE"""),0.8032876712)</f>
        <v>0.8032876712</v>
      </c>
      <c r="S275" s="26">
        <f>IFERROR(__xludf.DUMMYFUNCTION("""COMPUTED_VALUE"""),-1.805056919899393)</f>
        <v>-1.80505692</v>
      </c>
      <c r="T275" s="26">
        <f>IFERROR(__xludf.DUMMYFUNCTION("""COMPUTED_VALUE"""),-0.5835076246874237)</f>
        <v>-0.5835076247</v>
      </c>
      <c r="U275" s="26">
        <f>IFERROR(__xludf.DUMMYFUNCTION("""COMPUTED_VALUE"""),-1.1773494610812087)</f>
        <v>-1.177349461</v>
      </c>
      <c r="V275" s="26">
        <f>IFERROR(__xludf.DUMMYFUNCTION("""COMPUTED_VALUE"""),-1.1899877910661605)</f>
        <v>-1.189987791</v>
      </c>
      <c r="W275" s="26">
        <f>IFERROR(__xludf.DUMMYFUNCTION("""COMPUTED_VALUE"""),-1.605121140675861)</f>
        <v>-1.605121141</v>
      </c>
      <c r="X275" s="26">
        <f>IFERROR(__xludf.DUMMYFUNCTION("""COMPUTED_VALUE"""),-0.698619831159392)</f>
        <v>-0.6986198312</v>
      </c>
      <c r="Y275" s="26">
        <f>IFERROR(__xludf.DUMMYFUNCTION("""COMPUTED_VALUE"""),-0.3882788211808039)</f>
        <v>-0.3882788212</v>
      </c>
      <c r="Z275" s="26">
        <f>IFERROR(__xludf.DUMMYFUNCTION("""COMPUTED_VALUE"""),0.08728271971382219)</f>
        <v>0.08728271971</v>
      </c>
      <c r="AA275" s="26">
        <f>IFERROR(__xludf.DUMMYFUNCTION("""COMPUTED_VALUE"""),0.0)</f>
        <v>0</v>
      </c>
      <c r="AB275" t="str">
        <f>IFERROR(__xludf.DUMMYFUNCTION("SUBSTITUTE(REGEXREPLACE(REGEXREPLACE(REGEXREPLACE(REGEXREPLACE(REGEXREPLACE(REGEXREPLACE(F275,"","",),IF(Projections!$T$17="""",""PG"",),),IF(Projections!$U$17="""",""SG"",),),IF(Projections!$V$17="""",""SF"",),),IF(Projections!$W$17="""",""PF"",),),IF(Pr"&amp;"ojections!$X$17="""",""C"",),),""/"","""")"),"SFPF")</f>
        <v>SFPF</v>
      </c>
    </row>
    <row r="276">
      <c r="B276">
        <f>IFERROR(__xludf.DUMMYFUNCTION("""COMPUTED_VALUE"""),269.0)</f>
        <v>269</v>
      </c>
      <c r="D276" t="str">
        <f>IFERROR(__xludf.DUMMYFUNCTION("""COMPUTED_VALUE"""),"Kevin Love")</f>
        <v>Kevin Love</v>
      </c>
      <c r="E276">
        <f>IFERROR(__xludf.DUMMYFUNCTION("""COMPUTED_VALUE"""),40.0)</f>
        <v>40</v>
      </c>
      <c r="F276" t="str">
        <f>IFERROR(__xludf.DUMMYFUNCTION("""COMPUTED_VALUE"""),"PF,C")</f>
        <v>PF,C</v>
      </c>
      <c r="G276" s="26">
        <f>IFERROR(__xludf.DUMMYFUNCTION("""COMPUTED_VALUE"""),-7.155037705091458)</f>
        <v>-7.155037705</v>
      </c>
      <c r="H276" s="26">
        <f>IFERROR(__xludf.DUMMYFUNCTION("""COMPUTED_VALUE"""),-7.363177376874839)</f>
        <v>-7.363177377</v>
      </c>
      <c r="I276" s="26">
        <f>IFERROR(__xludf.DUMMYFUNCTION("""COMPUTED_VALUE"""),-0.208139671783381)</f>
        <v>-0.2081396718</v>
      </c>
      <c r="J276" s="26">
        <f>IFERROR(__xludf.DUMMYFUNCTION("""COMPUTED_VALUE"""),7.061777778)</f>
        <v>7.061777778</v>
      </c>
      <c r="K276" s="26">
        <f>IFERROR(__xludf.DUMMYFUNCTION("""COMPUTED_VALUE"""),1.347333333)</f>
        <v>1.347333333</v>
      </c>
      <c r="L276" s="26">
        <f>IFERROR(__xludf.DUMMYFUNCTION("""COMPUTED_VALUE"""),5.456222222)</f>
        <v>5.456222222</v>
      </c>
      <c r="M276" s="26">
        <f>IFERROR(__xludf.DUMMYFUNCTION("""COMPUTED_VALUE"""),1.636888889)</f>
        <v>1.636888889</v>
      </c>
      <c r="N276" s="26">
        <f>IFERROR(__xludf.DUMMYFUNCTION("""COMPUTED_VALUE"""),0.2688888889)</f>
        <v>0.2688888889</v>
      </c>
      <c r="O276" s="26">
        <f>IFERROR(__xludf.DUMMYFUNCTION("""COMPUTED_VALUE"""),0.1528888889)</f>
        <v>0.1528888889</v>
      </c>
      <c r="P276" s="464">
        <f>IFERROR(__xludf.DUMMYFUNCTION("""COMPUTED_VALUE"""),0.424567056)</f>
        <v>0.424567056</v>
      </c>
      <c r="Q276" s="464">
        <f>IFERROR(__xludf.DUMMYFUNCTION("""COMPUTED_VALUE"""),0.811033275)</f>
        <v>0.811033275</v>
      </c>
      <c r="R276" s="26">
        <f>IFERROR(__xludf.DUMMYFUNCTION("""COMPUTED_VALUE"""),0.9093333333)</f>
        <v>0.9093333333</v>
      </c>
      <c r="S276" s="26">
        <f>IFERROR(__xludf.DUMMYFUNCTION("""COMPUTED_VALUE"""),-1.8795055167200618)</f>
        <v>-1.879505517</v>
      </c>
      <c r="T276" s="26">
        <f>IFERROR(__xludf.DUMMYFUNCTION("""COMPUTED_VALUE"""),-0.3980939873318151)</f>
        <v>-0.3980939873</v>
      </c>
      <c r="U276" s="26">
        <f>IFERROR(__xludf.DUMMYFUNCTION("""COMPUTED_VALUE"""),-0.24576923201244072)</f>
        <v>-0.245769232</v>
      </c>
      <c r="V276" s="26">
        <f>IFERROR(__xludf.DUMMYFUNCTION("""COMPUTED_VALUE"""),-1.042903627409428)</f>
        <v>-1.042903627</v>
      </c>
      <c r="W276" s="26">
        <f>IFERROR(__xludf.DUMMYFUNCTION("""COMPUTED_VALUE"""),-2.3393451494899535)</f>
        <v>-2.339345149</v>
      </c>
      <c r="X276" s="26">
        <f>IFERROR(__xludf.DUMMYFUNCTION("""COMPUTED_VALUE"""),-1.0626577368219388)</f>
        <v>-1.062657737</v>
      </c>
      <c r="Y276" s="26">
        <f>IFERROR(__xludf.DUMMYFUNCTION("""COMPUTED_VALUE"""),-0.4664625926301344)</f>
        <v>-0.4664625926</v>
      </c>
      <c r="Z276" s="26">
        <f>IFERROR(__xludf.DUMMYFUNCTION("""COMPUTED_VALUE"""),0.07156046554093289)</f>
        <v>0.07156046554</v>
      </c>
      <c r="AA276" s="26">
        <f>IFERROR(__xludf.DUMMYFUNCTION("""COMPUTED_VALUE"""),0.0)</f>
        <v>0</v>
      </c>
      <c r="AB276" t="str">
        <f>IFERROR(__xludf.DUMMYFUNCTION("SUBSTITUTE(REGEXREPLACE(REGEXREPLACE(REGEXREPLACE(REGEXREPLACE(REGEXREPLACE(REGEXREPLACE(F276,"","",),IF(Projections!$T$17="""",""PG"",),),IF(Projections!$U$17="""",""SG"",),),IF(Projections!$V$17="""",""SF"",),),IF(Projections!$W$17="""",""PF"",),),IF(Pr"&amp;"ojections!$X$17="""",""C"",),),""/"","""")"),"PFC")</f>
        <v>PFC</v>
      </c>
    </row>
    <row r="277">
      <c r="B277">
        <f>IFERROR(__xludf.DUMMYFUNCTION("""COMPUTED_VALUE"""),278.0)</f>
        <v>278</v>
      </c>
      <c r="D277" t="str">
        <f>IFERROR(__xludf.DUMMYFUNCTION("""COMPUTED_VALUE"""),"Dalton Knecht")</f>
        <v>Dalton Knecht</v>
      </c>
      <c r="E277">
        <f>IFERROR(__xludf.DUMMYFUNCTION("""COMPUTED_VALUE"""),56.0)</f>
        <v>56</v>
      </c>
      <c r="F277" t="str">
        <f>IFERROR(__xludf.DUMMYFUNCTION("""COMPUTED_VALUE"""),"SG,SF")</f>
        <v>SG,SF</v>
      </c>
      <c r="G277" s="26">
        <f>IFERROR(__xludf.DUMMYFUNCTION("""COMPUTED_VALUE"""),-7.2494959630236595)</f>
        <v>-7.249495963</v>
      </c>
      <c r="H277" s="26">
        <f>IFERROR(__xludf.DUMMYFUNCTION("""COMPUTED_VALUE"""),-7.388035315642838)</f>
        <v>-7.388035316</v>
      </c>
      <c r="I277" s="26">
        <f>IFERROR(__xludf.DUMMYFUNCTION("""COMPUTED_VALUE"""),-0.13853935261917893)</f>
        <v>-0.1385393526</v>
      </c>
      <c r="J277" s="26">
        <f>IFERROR(__xludf.DUMMYFUNCTION("""COMPUTED_VALUE"""),9.055890411)</f>
        <v>9.055890411</v>
      </c>
      <c r="K277" s="26">
        <f>IFERROR(__xludf.DUMMYFUNCTION("""COMPUTED_VALUE"""),1.75739726)</f>
        <v>1.75739726</v>
      </c>
      <c r="L277" s="26">
        <f>IFERROR(__xludf.DUMMYFUNCTION("""COMPUTED_VALUE"""),3.357534247)</f>
        <v>3.357534247</v>
      </c>
      <c r="M277" s="26">
        <f>IFERROR(__xludf.DUMMYFUNCTION("""COMPUTED_VALUE"""),0.9350684932)</f>
        <v>0.9350684932</v>
      </c>
      <c r="N277" s="26">
        <f>IFERROR(__xludf.DUMMYFUNCTION("""COMPUTED_VALUE"""),0.5524657534)</f>
        <v>0.5524657534</v>
      </c>
      <c r="O277" s="26">
        <f>IFERROR(__xludf.DUMMYFUNCTION("""COMPUTED_VALUE"""),0.2124657534)</f>
        <v>0.2124657534</v>
      </c>
      <c r="P277" s="464">
        <f>IFERROR(__xludf.DUMMYFUNCTION("""COMPUTED_VALUE"""),0.3987349408)</f>
        <v>0.3987349408</v>
      </c>
      <c r="Q277" s="464">
        <f>IFERROR(__xludf.DUMMYFUNCTION("""COMPUTED_VALUE"""),0.7550360875)</f>
        <v>0.7550360875</v>
      </c>
      <c r="R277" s="26">
        <f>IFERROR(__xludf.DUMMYFUNCTION("""COMPUTED_VALUE"""),1.19)</f>
        <v>1.19</v>
      </c>
      <c r="S277" s="26">
        <f>IFERROR(__xludf.DUMMYFUNCTION("""COMPUTED_VALUE"""),-1.5200554703348506)</f>
        <v>-1.52005547</v>
      </c>
      <c r="T277" s="26">
        <f>IFERROR(__xludf.DUMMYFUNCTION("""COMPUTED_VALUE"""),0.008660124690081403)</f>
        <v>0.00866012469</v>
      </c>
      <c r="U277" s="26">
        <f>IFERROR(__xludf.DUMMYFUNCTION("""COMPUTED_VALUE"""),-1.0682597325440668)</f>
        <v>-1.068259733</v>
      </c>
      <c r="V277" s="26">
        <f>IFERROR(__xludf.DUMMYFUNCTION("""COMPUTED_VALUE"""),-1.3616272256988797)</f>
        <v>-1.361627226</v>
      </c>
      <c r="W277" s="26">
        <f>IFERROR(__xludf.DUMMYFUNCTION("""COMPUTED_VALUE"""),-1.40118401461022)</f>
        <v>-1.401184015</v>
      </c>
      <c r="X277" s="26">
        <f>IFERROR(__xludf.DUMMYFUNCTION("""COMPUTED_VALUE"""),-0.956393592103684)</f>
        <v>-0.9563935921</v>
      </c>
      <c r="Y277" s="26">
        <f>IFERROR(__xludf.DUMMYFUNCTION("""COMPUTED_VALUE"""),-0.9107313805364347)</f>
        <v>-0.9107313805</v>
      </c>
      <c r="Z277" s="26">
        <f>IFERROR(__xludf.DUMMYFUNCTION("""COMPUTED_VALUE"""),-0.17844402450478458)</f>
        <v>-0.1784440245</v>
      </c>
      <c r="AA277" s="26">
        <f>IFERROR(__xludf.DUMMYFUNCTION("""COMPUTED_VALUE"""),0.0)</f>
        <v>0</v>
      </c>
      <c r="AB277" t="str">
        <f>IFERROR(__xludf.DUMMYFUNCTION("SUBSTITUTE(REGEXREPLACE(REGEXREPLACE(REGEXREPLACE(REGEXREPLACE(REGEXREPLACE(REGEXREPLACE(F277,"","",),IF(Projections!$T$17="""",""PG"",),),IF(Projections!$U$17="""",""SG"",),),IF(Projections!$V$17="""",""SF"",),),IF(Projections!$W$17="""",""PF"",),),IF(Pr"&amp;"ojections!$X$17="""",""C"",),),""/"","""")"),"SGSF")</f>
        <v>SGSF</v>
      </c>
    </row>
    <row r="278">
      <c r="B278">
        <f>IFERROR(__xludf.DUMMYFUNCTION("""COMPUTED_VALUE"""),272.0)</f>
        <v>272</v>
      </c>
      <c r="D278" t="str">
        <f>IFERROR(__xludf.DUMMYFUNCTION("""COMPUTED_VALUE"""),"Vasilije Micic")</f>
        <v>Vasilije Micic</v>
      </c>
      <c r="E278">
        <f>IFERROR(__xludf.DUMMYFUNCTION("""COMPUTED_VALUE"""),55.0)</f>
        <v>55</v>
      </c>
      <c r="F278" t="str">
        <f>IFERROR(__xludf.DUMMYFUNCTION("""COMPUTED_VALUE"""),"PG,SG")</f>
        <v>PG,SG</v>
      </c>
      <c r="G278" s="26">
        <f>IFERROR(__xludf.DUMMYFUNCTION("""COMPUTED_VALUE"""),-7.389314778360305)</f>
        <v>-7.389314778</v>
      </c>
      <c r="H278" s="26">
        <f>IFERROR(__xludf.DUMMYFUNCTION("""COMPUTED_VALUE"""),-7.445910622742443)</f>
        <v>-7.445910623</v>
      </c>
      <c r="I278" s="26">
        <f>IFERROR(__xludf.DUMMYFUNCTION("""COMPUTED_VALUE"""),-0.05659584438213816)</f>
        <v>-0.05659584438</v>
      </c>
      <c r="J278" s="26">
        <f>IFERROR(__xludf.DUMMYFUNCTION("""COMPUTED_VALUE"""),7.56)</f>
        <v>7.56</v>
      </c>
      <c r="K278" s="26">
        <f>IFERROR(__xludf.DUMMYFUNCTION("""COMPUTED_VALUE"""),0.8729411765)</f>
        <v>0.8729411765</v>
      </c>
      <c r="L278" s="26">
        <f>IFERROR(__xludf.DUMMYFUNCTION("""COMPUTED_VALUE"""),1.386176471)</f>
        <v>1.386176471</v>
      </c>
      <c r="M278" s="26">
        <f>IFERROR(__xludf.DUMMYFUNCTION("""COMPUTED_VALUE"""),4.012647059)</f>
        <v>4.012647059</v>
      </c>
      <c r="N278" s="26">
        <f>IFERROR(__xludf.DUMMYFUNCTION("""COMPUTED_VALUE"""),0.4594117647)</f>
        <v>0.4594117647</v>
      </c>
      <c r="O278" s="26">
        <f>IFERROR(__xludf.DUMMYFUNCTION("""COMPUTED_VALUE"""),0.1116176471)</f>
        <v>0.1116176471</v>
      </c>
      <c r="P278" s="464">
        <f>IFERROR(__xludf.DUMMYFUNCTION("""COMPUTED_VALUE"""),0.4610221748)</f>
        <v>0.4610221748</v>
      </c>
      <c r="Q278" s="464">
        <f>IFERROR(__xludf.DUMMYFUNCTION("""COMPUTED_VALUE"""),0.8249718504)</f>
        <v>0.8249718504</v>
      </c>
      <c r="R278" s="26">
        <f>IFERROR(__xludf.DUMMYFUNCTION("""COMPUTED_VALUE"""),1.520441176)</f>
        <v>1.520441176</v>
      </c>
      <c r="S278" s="26">
        <f>IFERROR(__xludf.DUMMYFUNCTION("""COMPUTED_VALUE"""),-1.7896981518579174)</f>
        <v>-1.789698152</v>
      </c>
      <c r="T278" s="26">
        <f>IFERROR(__xludf.DUMMYFUNCTION("""COMPUTED_VALUE"""),-0.8686571060606418)</f>
        <v>-0.8686571061</v>
      </c>
      <c r="U278" s="26">
        <f>IFERROR(__xludf.DUMMYFUNCTION("""COMPUTED_VALUE"""),-1.8408486372425623)</f>
        <v>-1.840848637</v>
      </c>
      <c r="V278" s="26">
        <f>IFERROR(__xludf.DUMMYFUNCTION("""COMPUTED_VALUE"""),0.03601940922421766)</f>
        <v>0.03601940922</v>
      </c>
      <c r="W278" s="26">
        <f>IFERROR(__xludf.DUMMYFUNCTION("""COMPUTED_VALUE"""),-1.7090357704218366)</f>
        <v>-1.70903577</v>
      </c>
      <c r="X278" s="26">
        <f>IFERROR(__xludf.DUMMYFUNCTION("""COMPUTED_VALUE"""),-1.1362710974468049)</f>
        <v>-1.136271097</v>
      </c>
      <c r="Y278" s="26">
        <f>IFERROR(__xludf.DUMMYFUNCTION("""COMPUTED_VALUE"""),-0.26126757718078913)</f>
        <v>-0.2612675772</v>
      </c>
      <c r="Z278" s="26">
        <f>IFERROR(__xludf.DUMMYFUNCTION("""COMPUTED_VALUE"""),0.12384830824389269)</f>
        <v>0.1238483082</v>
      </c>
      <c r="AA278" s="26">
        <f>IFERROR(__xludf.DUMMYFUNCTION("""COMPUTED_VALUE"""),0.0)</f>
        <v>0</v>
      </c>
      <c r="AB278" t="str">
        <f>IFERROR(__xludf.DUMMYFUNCTION("SUBSTITUTE(REGEXREPLACE(REGEXREPLACE(REGEXREPLACE(REGEXREPLACE(REGEXREPLACE(REGEXREPLACE(F278,"","",),IF(Projections!$T$17="""",""PG"",),),IF(Projections!$U$17="""",""SG"",),),IF(Projections!$V$17="""",""SF"",),),IF(Projections!$W$17="""",""PF"",),),IF(Pr"&amp;"ojections!$X$17="""",""C"",),),""/"","""")"),"PGSG")</f>
        <v>PGSG</v>
      </c>
    </row>
    <row r="279">
      <c r="B279">
        <f>IFERROR(__xludf.DUMMYFUNCTION("""COMPUTED_VALUE"""),276.0)</f>
        <v>276</v>
      </c>
      <c r="D279" t="str">
        <f>IFERROR(__xludf.DUMMYFUNCTION("""COMPUTED_VALUE"""),"Davion Mitchell")</f>
        <v>Davion Mitchell</v>
      </c>
      <c r="E279">
        <f>IFERROR(__xludf.DUMMYFUNCTION("""COMPUTED_VALUE"""),64.0)</f>
        <v>64</v>
      </c>
      <c r="F279" t="str">
        <f>IFERROR(__xludf.DUMMYFUNCTION("""COMPUTED_VALUE"""),"SG")</f>
        <v>SG</v>
      </c>
      <c r="G279" s="26">
        <f>IFERROR(__xludf.DUMMYFUNCTION("""COMPUTED_VALUE"""),-7.315563302138797)</f>
        <v>-7.315563302</v>
      </c>
      <c r="H279" s="26">
        <f>IFERROR(__xludf.DUMMYFUNCTION("""COMPUTED_VALUE"""),-7.49717681183024)</f>
        <v>-7.497176812</v>
      </c>
      <c r="I279" s="26">
        <f>IFERROR(__xludf.DUMMYFUNCTION("""COMPUTED_VALUE"""),-0.1816135096914433)</f>
        <v>-0.1816135097</v>
      </c>
      <c r="J279" s="26">
        <f>IFERROR(__xludf.DUMMYFUNCTION("""COMPUTED_VALUE"""),7.74369863)</f>
        <v>7.74369863</v>
      </c>
      <c r="K279" s="26">
        <f>IFERROR(__xludf.DUMMYFUNCTION("""COMPUTED_VALUE"""),1.104794521)</f>
        <v>1.104794521</v>
      </c>
      <c r="L279" s="26">
        <f>IFERROR(__xludf.DUMMYFUNCTION("""COMPUTED_VALUE"""),1.9)</f>
        <v>1.9</v>
      </c>
      <c r="M279" s="26">
        <f>IFERROR(__xludf.DUMMYFUNCTION("""COMPUTED_VALUE"""),2.767671233)</f>
        <v>2.767671233</v>
      </c>
      <c r="N279" s="26">
        <f>IFERROR(__xludf.DUMMYFUNCTION("""COMPUTED_VALUE"""),0.618630137)</f>
        <v>0.618630137</v>
      </c>
      <c r="O279" s="26">
        <f>IFERROR(__xludf.DUMMYFUNCTION("""COMPUTED_VALUE"""),0.1308219178)</f>
        <v>0.1308219178</v>
      </c>
      <c r="P279" s="464">
        <f>IFERROR(__xludf.DUMMYFUNCTION("""COMPUTED_VALUE"""),0.4507076722)</f>
        <v>0.4507076722</v>
      </c>
      <c r="Q279" s="464">
        <f>IFERROR(__xludf.DUMMYFUNCTION("""COMPUTED_VALUE"""),0.6979865772)</f>
        <v>0.6979865772</v>
      </c>
      <c r="R279" s="26">
        <f>IFERROR(__xludf.DUMMYFUNCTION("""COMPUTED_VALUE"""),1.01630137)</f>
        <v>1.01630137</v>
      </c>
      <c r="S279" s="26">
        <f>IFERROR(__xludf.DUMMYFUNCTION("""COMPUTED_VALUE"""),-1.7565854379712085)</f>
        <v>-1.756585438</v>
      </c>
      <c r="T279" s="26">
        <f>IFERROR(__xludf.DUMMYFUNCTION("""COMPUTED_VALUE"""),-0.6386751567793427)</f>
        <v>-0.6386751568</v>
      </c>
      <c r="U279" s="26">
        <f>IFERROR(__xludf.DUMMYFUNCTION("""COMPUTED_VALUE"""),-1.6394776013447003)</f>
        <v>-1.639477601</v>
      </c>
      <c r="V279" s="26">
        <f>IFERROR(__xludf.DUMMYFUNCTION("""COMPUTED_VALUE"""),-0.5293719322368542)</f>
        <v>-0.5293719322</v>
      </c>
      <c r="W279" s="26">
        <f>IFERROR(__xludf.DUMMYFUNCTION("""COMPUTED_VALUE"""),-1.1822914991144997)</f>
        <v>-1.182291499</v>
      </c>
      <c r="X279" s="26">
        <f>IFERROR(__xludf.DUMMYFUNCTION("""COMPUTED_VALUE"""),-1.1020174418037936)</f>
        <v>-1.102017442</v>
      </c>
      <c r="Y279" s="26">
        <f>IFERROR(__xludf.DUMMYFUNCTION("""COMPUTED_VALUE"""),-0.36360636912155847)</f>
        <v>-0.3636063691</v>
      </c>
      <c r="Z279" s="26">
        <f>IFERROR(__xludf.DUMMYFUNCTION("""COMPUTED_VALUE"""),-0.28515137345828334)</f>
        <v>-0.2851513735</v>
      </c>
      <c r="AA279" s="26">
        <f>IFERROR(__xludf.DUMMYFUNCTION("""COMPUTED_VALUE"""),0.0)</f>
        <v>0</v>
      </c>
      <c r="AB279" t="str">
        <f>IFERROR(__xludf.DUMMYFUNCTION("SUBSTITUTE(REGEXREPLACE(REGEXREPLACE(REGEXREPLACE(REGEXREPLACE(REGEXREPLACE(REGEXREPLACE(F279,"","",),IF(Projections!$T$17="""",""PG"",),),IF(Projections!$U$17="""",""SG"",),),IF(Projections!$V$17="""",""SF"",),),IF(Projections!$W$17="""",""PF"",),),IF(Pr"&amp;"ojections!$X$17="""",""C"",),),""/"","""")"),"SG")</f>
        <v>SG</v>
      </c>
    </row>
    <row r="280">
      <c r="B280">
        <f>IFERROR(__xludf.DUMMYFUNCTION("""COMPUTED_VALUE"""),277.0)</f>
        <v>277</v>
      </c>
      <c r="D280" t="str">
        <f>IFERROR(__xludf.DUMMYFUNCTION("""COMPUTED_VALUE"""),"Luke Kennard")</f>
        <v>Luke Kennard</v>
      </c>
      <c r="E280">
        <f>IFERROR(__xludf.DUMMYFUNCTION("""COMPUTED_VALUE"""),71.0)</f>
        <v>71</v>
      </c>
      <c r="F280" t="str">
        <f>IFERROR(__xludf.DUMMYFUNCTION("""COMPUTED_VALUE"""),"PG,SG")</f>
        <v>PG,SG</v>
      </c>
      <c r="G280" s="26">
        <f>IFERROR(__xludf.DUMMYFUNCTION("""COMPUTED_VALUE"""),-7.309814576501693)</f>
        <v>-7.309814577</v>
      </c>
      <c r="H280" s="26">
        <f>IFERROR(__xludf.DUMMYFUNCTION("""COMPUTED_VALUE"""),-7.53678688023056)</f>
        <v>-7.53678688</v>
      </c>
      <c r="I280" s="26">
        <f>IFERROR(__xludf.DUMMYFUNCTION("""COMPUTED_VALUE"""),-0.2269723037288669)</f>
        <v>-0.2269723037</v>
      </c>
      <c r="J280" s="26">
        <f>IFERROR(__xludf.DUMMYFUNCTION("""COMPUTED_VALUE"""),7.33)</f>
        <v>7.33</v>
      </c>
      <c r="K280" s="26">
        <f>IFERROR(__xludf.DUMMYFUNCTION("""COMPUTED_VALUE"""),1.823559322)</f>
        <v>1.823559322</v>
      </c>
      <c r="L280" s="26">
        <f>IFERROR(__xludf.DUMMYFUNCTION("""COMPUTED_VALUE"""),2.291694915)</f>
        <v>2.291694915</v>
      </c>
      <c r="M280" s="26">
        <f>IFERROR(__xludf.DUMMYFUNCTION("""COMPUTED_VALUE"""),1.666610169)</f>
        <v>1.666610169</v>
      </c>
      <c r="N280" s="26">
        <f>IFERROR(__xludf.DUMMYFUNCTION("""COMPUTED_VALUE"""),0.4011864407)</f>
        <v>0.4011864407</v>
      </c>
      <c r="O280" s="26">
        <f>IFERROR(__xludf.DUMMYFUNCTION("""COMPUTED_VALUE"""),0.04271186441)</f>
        <v>0.04271186441</v>
      </c>
      <c r="P280" s="464">
        <f>IFERROR(__xludf.DUMMYFUNCTION("""COMPUTED_VALUE"""),0.4426911315)</f>
        <v>0.4426911315</v>
      </c>
      <c r="Q280" s="464">
        <f>IFERROR(__xludf.DUMMYFUNCTION("""COMPUTED_VALUE"""),0.9011213048)</f>
        <v>0.9011213048</v>
      </c>
      <c r="R280" s="26">
        <f>IFERROR(__xludf.DUMMYFUNCTION("""COMPUTED_VALUE"""),0.8333898305)</f>
        <v>0.8333898305</v>
      </c>
      <c r="S280" s="26">
        <f>IFERROR(__xludf.DUMMYFUNCTION("""COMPUTED_VALUE"""),-1.8311569487686121)</f>
        <v>-1.831156949</v>
      </c>
      <c r="T280" s="26">
        <f>IFERROR(__xludf.DUMMYFUNCTION("""COMPUTED_VALUE"""),0.07428816218957984)</f>
        <v>0.07428816219</v>
      </c>
      <c r="U280" s="26">
        <f>IFERROR(__xludf.DUMMYFUNCTION("""COMPUTED_VALUE"""),-1.485969623726425)</f>
        <v>-1.485969624</v>
      </c>
      <c r="V280" s="26">
        <f>IFERROR(__xludf.DUMMYFUNCTION("""COMPUTED_VALUE"""),-1.029406052582509)</f>
        <v>-1.029406053</v>
      </c>
      <c r="W280" s="26">
        <f>IFERROR(__xludf.DUMMYFUNCTION("""COMPUTED_VALUE"""),-1.9016633888239727)</f>
        <v>-1.901663389</v>
      </c>
      <c r="X280" s="26">
        <f>IFERROR(__xludf.DUMMYFUNCTION("""COMPUTED_VALUE"""),-1.259174746793688)</f>
        <v>-1.259174747</v>
      </c>
      <c r="Y280" s="26">
        <f>IFERROR(__xludf.DUMMYFUNCTION("""COMPUTED_VALUE"""),-0.35170179525029777)</f>
        <v>-0.3517017953</v>
      </c>
      <c r="Z280" s="26">
        <f>IFERROR(__xludf.DUMMYFUNCTION("""COMPUTED_VALUE"""),0.247997513525364)</f>
        <v>0.2479975135</v>
      </c>
      <c r="AA280" s="26">
        <f>IFERROR(__xludf.DUMMYFUNCTION("""COMPUTED_VALUE"""),0.0)</f>
        <v>0</v>
      </c>
      <c r="AB280" t="str">
        <f>IFERROR(__xludf.DUMMYFUNCTION("SUBSTITUTE(REGEXREPLACE(REGEXREPLACE(REGEXREPLACE(REGEXREPLACE(REGEXREPLACE(REGEXREPLACE(F280,"","",),IF(Projections!$T$17="""",""PG"",),),IF(Projections!$U$17="""",""SG"",),),IF(Projections!$V$17="""",""SF"",),),IF(Projections!$W$17="""",""PF"",),),IF(Pr"&amp;"ojections!$X$17="""",""C"",),),""/"","""")"),"PGSG")</f>
        <v>PGSG</v>
      </c>
    </row>
    <row r="281">
      <c r="B281">
        <f>IFERROR(__xludf.DUMMYFUNCTION("""COMPUTED_VALUE"""),271.0)</f>
        <v>271</v>
      </c>
      <c r="C281">
        <f>IFERROR(__xludf.DUMMYFUNCTION("""COMPUTED_VALUE"""),139.8)</f>
        <v>139.8</v>
      </c>
      <c r="D281" t="str">
        <f>IFERROR(__xludf.DUMMYFUNCTION("""COMPUTED_VALUE"""),"Steven Adams")</f>
        <v>Steven Adams</v>
      </c>
      <c r="E281">
        <f>IFERROR(__xludf.DUMMYFUNCTION("""COMPUTED_VALUE"""),44.0)</f>
        <v>44</v>
      </c>
      <c r="F281" t="str">
        <f>IFERROR(__xludf.DUMMYFUNCTION("""COMPUTED_VALUE"""),"C")</f>
        <v>C</v>
      </c>
      <c r="G281" s="26">
        <f>IFERROR(__xludf.DUMMYFUNCTION("""COMPUTED_VALUE"""),-7.380506856056454)</f>
        <v>-7.380506856</v>
      </c>
      <c r="H281" s="26">
        <f>IFERROR(__xludf.DUMMYFUNCTION("""COMPUTED_VALUE"""),-7.542811163174125)</f>
        <v>-7.542811163</v>
      </c>
      <c r="I281" s="26">
        <f>IFERROR(__xludf.DUMMYFUNCTION("""COMPUTED_VALUE"""),-0.16230430711767152)</f>
        <v>-0.1623043071</v>
      </c>
      <c r="J281" s="26">
        <f>IFERROR(__xludf.DUMMYFUNCTION("""COMPUTED_VALUE"""),5.395333333)</f>
        <v>5.395333333</v>
      </c>
      <c r="K281" s="26">
        <f>IFERROR(__xludf.DUMMYFUNCTION("""COMPUTED_VALUE"""),0.0)</f>
        <v>0</v>
      </c>
      <c r="L281" s="26">
        <f>IFERROR(__xludf.DUMMYFUNCTION("""COMPUTED_VALUE"""),7.3645)</f>
        <v>7.3645</v>
      </c>
      <c r="M281" s="26">
        <f>IFERROR(__xludf.DUMMYFUNCTION("""COMPUTED_VALUE"""),1.599166667)</f>
        <v>1.599166667</v>
      </c>
      <c r="N281" s="26">
        <f>IFERROR(__xludf.DUMMYFUNCTION("""COMPUTED_VALUE"""),0.6118333333)</f>
        <v>0.6118333333</v>
      </c>
      <c r="O281" s="26">
        <f>IFERROR(__xludf.DUMMYFUNCTION("""COMPUTED_VALUE"""),0.6733333333)</f>
        <v>0.6733333333</v>
      </c>
      <c r="P281" s="464">
        <f>IFERROR(__xludf.DUMMYFUNCTION("""COMPUTED_VALUE"""),0.5839862247)</f>
        <v>0.5839862247</v>
      </c>
      <c r="Q281" s="464">
        <f>IFERROR(__xludf.DUMMYFUNCTION("""COMPUTED_VALUE"""),0.469955157)</f>
        <v>0.469955157</v>
      </c>
      <c r="R281" s="26">
        <f>IFERROR(__xludf.DUMMYFUNCTION("""COMPUTED_VALUE"""),1.094166667)</f>
        <v>1.094166667</v>
      </c>
      <c r="S281" s="26">
        <f>IFERROR(__xludf.DUMMYFUNCTION("""COMPUTED_VALUE"""),-2.179891524581849)</f>
        <v>-2.179891525</v>
      </c>
      <c r="T281" s="26">
        <f>IFERROR(__xludf.DUMMYFUNCTION("""COMPUTED_VALUE"""),-1.7345523719336797)</f>
        <v>-1.734552372</v>
      </c>
      <c r="U281" s="26">
        <f>IFERROR(__xludf.DUMMYFUNCTION("""COMPUTED_VALUE"""),0.5020981801409066)</f>
        <v>0.5020981801</v>
      </c>
      <c r="V281" s="26">
        <f>IFERROR(__xludf.DUMMYFUNCTION("""COMPUTED_VALUE"""),-1.0600347373105712)</f>
        <v>-1.060034737</v>
      </c>
      <c r="W281" s="26">
        <f>IFERROR(__xludf.DUMMYFUNCTION("""COMPUTED_VALUE"""),-1.2047774557315523)</f>
        <v>-1.204777456</v>
      </c>
      <c r="X281" s="26">
        <f>IFERROR(__xludf.DUMMYFUNCTION("""COMPUTED_VALUE"""),-0.13436813612411613)</f>
        <v>-0.1343681361</v>
      </c>
      <c r="Y281" s="26">
        <f>IFERROR(__xludf.DUMMYFUNCTION("""COMPUTED_VALUE"""),0.39062064086093107)</f>
        <v>0.3906206409</v>
      </c>
      <c r="Z281" s="26">
        <f>IFERROR(__xludf.DUMMYFUNCTION("""COMPUTED_VALUE"""),-2.121905758494194)</f>
        <v>-2.121905758</v>
      </c>
      <c r="AA281" s="26">
        <f>IFERROR(__xludf.DUMMYFUNCTION("""COMPUTED_VALUE"""),0.0)</f>
        <v>0</v>
      </c>
      <c r="AB281" t="str">
        <f>IFERROR(__xludf.DUMMYFUNCTION("SUBSTITUTE(REGEXREPLACE(REGEXREPLACE(REGEXREPLACE(REGEXREPLACE(REGEXREPLACE(REGEXREPLACE(F281,"","",),IF(Projections!$T$17="""",""PG"",),),IF(Projections!$U$17="""",""SG"",),),IF(Projections!$V$17="""",""SF"",),),IF(Projections!$W$17="""",""PF"",),),IF(Pr"&amp;"ojections!$X$17="""",""C"",),),""/"","""")"),"C")</f>
        <v>C</v>
      </c>
    </row>
    <row r="282">
      <c r="B282">
        <f>IFERROR(__xludf.DUMMYFUNCTION("""COMPUTED_VALUE"""),283.0)</f>
        <v>283</v>
      </c>
      <c r="D282" t="str">
        <f>IFERROR(__xludf.DUMMYFUNCTION("""COMPUTED_VALUE"""),"Sam Merrill")</f>
        <v>Sam Merrill</v>
      </c>
      <c r="E282">
        <f>IFERROR(__xludf.DUMMYFUNCTION("""COMPUTED_VALUE"""),36.0)</f>
        <v>36</v>
      </c>
      <c r="F282" t="str">
        <f>IFERROR(__xludf.DUMMYFUNCTION("""COMPUTED_VALUE"""),"PF,C")</f>
        <v>PF,C</v>
      </c>
      <c r="G282" s="26">
        <f>IFERROR(__xludf.DUMMYFUNCTION("""COMPUTED_VALUE"""),-7.229132736261736)</f>
        <v>-7.229132736</v>
      </c>
      <c r="H282" s="26">
        <f>IFERROR(__xludf.DUMMYFUNCTION("""COMPUTED_VALUE"""),-7.574286294801258)</f>
        <v>-7.574286295</v>
      </c>
      <c r="I282" s="26">
        <f>IFERROR(__xludf.DUMMYFUNCTION("""COMPUTED_VALUE"""),-0.345153558539522)</f>
        <v>-0.3451535585</v>
      </c>
      <c r="J282" s="26">
        <f>IFERROR(__xludf.DUMMYFUNCTION("""COMPUTED_VALUE"""),8.395151515)</f>
        <v>8.395151515</v>
      </c>
      <c r="K282" s="26">
        <f>IFERROR(__xludf.DUMMYFUNCTION("""COMPUTED_VALUE"""),2.512121212)</f>
        <v>2.512121212</v>
      </c>
      <c r="L282" s="26">
        <f>IFERROR(__xludf.DUMMYFUNCTION("""COMPUTED_VALUE"""),2.023030303)</f>
        <v>2.023030303</v>
      </c>
      <c r="M282" s="26">
        <f>IFERROR(__xludf.DUMMYFUNCTION("""COMPUTED_VALUE"""),1.853333333)</f>
        <v>1.853333333</v>
      </c>
      <c r="N282" s="26">
        <f>IFERROR(__xludf.DUMMYFUNCTION("""COMPUTED_VALUE"""),0.2528787879)</f>
        <v>0.2528787879</v>
      </c>
      <c r="O282" s="26">
        <f>IFERROR(__xludf.DUMMYFUNCTION("""COMPUTED_VALUE"""),0.07121212121)</f>
        <v>0.07121212121</v>
      </c>
      <c r="P282" s="464">
        <f>IFERROR(__xludf.DUMMYFUNCTION("""COMPUTED_VALUE"""),0.4053627405)</f>
        <v>0.4053627405</v>
      </c>
      <c r="Q282" s="464">
        <f>IFERROR(__xludf.DUMMYFUNCTION("""COMPUTED_VALUE"""),0.8890948409)</f>
        <v>0.8890948409</v>
      </c>
      <c r="R282" s="26">
        <f>IFERROR(__xludf.DUMMYFUNCTION("""COMPUTED_VALUE"""),0.3568181818)</f>
        <v>0.3568181818</v>
      </c>
      <c r="S282" s="26">
        <f>IFERROR(__xludf.DUMMYFUNCTION("""COMPUTED_VALUE"""),-1.6391573820751155)</f>
        <v>-1.639157382</v>
      </c>
      <c r="T282" s="26">
        <f>IFERROR(__xludf.DUMMYFUNCTION("""COMPUTED_VALUE"""),0.7572923517755334)</f>
        <v>0.7572923518</v>
      </c>
      <c r="U282" s="26">
        <f>IFERROR(__xludf.DUMMYFUNCTION("""COMPUTED_VALUE"""),-1.5912611648374926)</f>
        <v>-1.591261165</v>
      </c>
      <c r="V282" s="26">
        <f>IFERROR(__xludf.DUMMYFUNCTION("""COMPUTED_VALUE"""),-0.9446078918704185)</f>
        <v>-0.9446078919</v>
      </c>
      <c r="W282" s="26">
        <f>IFERROR(__xludf.DUMMYFUNCTION("""COMPUTED_VALUE"""),-2.392311580831884)</f>
        <v>-2.392311581</v>
      </c>
      <c r="X282" s="26">
        <f>IFERROR(__xludf.DUMMYFUNCTION("""COMPUTED_VALUE"""),-1.2083403257727123)</f>
        <v>-1.208340326</v>
      </c>
      <c r="Y282" s="26">
        <f>IFERROR(__xludf.DUMMYFUNCTION("""COMPUTED_VALUE"""),-0.7180599494301787)</f>
        <v>-0.7180599494</v>
      </c>
      <c r="Z282" s="26">
        <f>IFERROR(__xludf.DUMMYFUNCTION("""COMPUTED_VALUE"""),0.16215964824101017)</f>
        <v>0.1621596482</v>
      </c>
      <c r="AA282" s="26">
        <f>IFERROR(__xludf.DUMMYFUNCTION("""COMPUTED_VALUE"""),0.0)</f>
        <v>0</v>
      </c>
      <c r="AB282" t="str">
        <f>IFERROR(__xludf.DUMMYFUNCTION("SUBSTITUTE(REGEXREPLACE(REGEXREPLACE(REGEXREPLACE(REGEXREPLACE(REGEXREPLACE(REGEXREPLACE(F282,"","",),IF(Projections!$T$17="""",""PG"",),),IF(Projections!$U$17="""",""SG"",),),IF(Projections!$V$17="""",""SF"",),),IF(Projections!$W$17="""",""PF"",),),IF(Pr"&amp;"ojections!$X$17="""",""C"",),),""/"","""")"),"PFC")</f>
        <v>PFC</v>
      </c>
    </row>
    <row r="283">
      <c r="B283">
        <f>IFERROR(__xludf.DUMMYFUNCTION("""COMPUTED_VALUE"""),281.0)</f>
        <v>281</v>
      </c>
      <c r="D283" t="str">
        <f>IFERROR(__xludf.DUMMYFUNCTION("""COMPUTED_VALUE"""),"Jaden Hardy")</f>
        <v>Jaden Hardy</v>
      </c>
      <c r="E283">
        <f>IFERROR(__xludf.DUMMYFUNCTION("""COMPUTED_VALUE"""),50.0)</f>
        <v>50</v>
      </c>
      <c r="F283" t="str">
        <f>IFERROR(__xludf.DUMMYFUNCTION("""COMPUTED_VALUE"""),"C")</f>
        <v>C</v>
      </c>
      <c r="G283" s="26">
        <f>IFERROR(__xludf.DUMMYFUNCTION("""COMPUTED_VALUE"""),-7.474164114616103)</f>
        <v>-7.474164115</v>
      </c>
      <c r="H283" s="26">
        <f>IFERROR(__xludf.DUMMYFUNCTION("""COMPUTED_VALUE"""),-7.579073013431513)</f>
        <v>-7.579073013</v>
      </c>
      <c r="I283" s="26">
        <f>IFERROR(__xludf.DUMMYFUNCTION("""COMPUTED_VALUE"""),-0.10490889881540966)</f>
        <v>-0.1049088988</v>
      </c>
      <c r="J283" s="26">
        <f>IFERROR(__xludf.DUMMYFUNCTION("""COMPUTED_VALUE"""),10.31520548)</f>
        <v>10.31520548</v>
      </c>
      <c r="K283" s="26">
        <f>IFERROR(__xludf.DUMMYFUNCTION("""COMPUTED_VALUE"""),1.351780822)</f>
        <v>1.351780822</v>
      </c>
      <c r="L283" s="26">
        <f>IFERROR(__xludf.DUMMYFUNCTION("""COMPUTED_VALUE"""),2.386164384)</f>
        <v>2.386164384</v>
      </c>
      <c r="M283" s="26">
        <f>IFERROR(__xludf.DUMMYFUNCTION("""COMPUTED_VALUE"""),1.89369863)</f>
        <v>1.89369863</v>
      </c>
      <c r="N283" s="26">
        <f>IFERROR(__xludf.DUMMYFUNCTION("""COMPUTED_VALUE"""),0.3816438356)</f>
        <v>0.3816438356</v>
      </c>
      <c r="O283" s="26">
        <f>IFERROR(__xludf.DUMMYFUNCTION("""COMPUTED_VALUE"""),0.1131506849)</f>
        <v>0.1131506849</v>
      </c>
      <c r="P283" s="464">
        <f>IFERROR(__xludf.DUMMYFUNCTION("""COMPUTED_VALUE"""),0.4333652776)</f>
        <v>0.4333652776</v>
      </c>
      <c r="Q283" s="464">
        <f>IFERROR(__xludf.DUMMYFUNCTION("""COMPUTED_VALUE"""),0.8399748699)</f>
        <v>0.8399748699</v>
      </c>
      <c r="R283" s="26">
        <f>IFERROR(__xludf.DUMMYFUNCTION("""COMPUTED_VALUE"""),1.325616438)</f>
        <v>1.325616438</v>
      </c>
      <c r="S283" s="26">
        <f>IFERROR(__xludf.DUMMYFUNCTION("""COMPUTED_VALUE"""),-1.2930568281946375)</f>
        <v>-1.293056828</v>
      </c>
      <c r="T283" s="26">
        <f>IFERROR(__xludf.DUMMYFUNCTION("""COMPUTED_VALUE"""),-0.39368239606565086)</f>
        <v>-0.3936823961</v>
      </c>
      <c r="U283" s="26">
        <f>IFERROR(__xludf.DUMMYFUNCTION("""COMPUTED_VALUE"""),-1.448946377885048)</f>
        <v>-1.448946378</v>
      </c>
      <c r="V283" s="26">
        <f>IFERROR(__xludf.DUMMYFUNCTION("""COMPUTED_VALUE"""),-0.9262764600926382)</f>
        <v>-0.9262764601</v>
      </c>
      <c r="W283" s="26">
        <f>IFERROR(__xludf.DUMMYFUNCTION("""COMPUTED_VALUE"""),-1.966316450742296)</f>
        <v>-1.966316451</v>
      </c>
      <c r="X283" s="26">
        <f>IFERROR(__xludf.DUMMYFUNCTION("""COMPUTED_VALUE"""),-1.1335366979109287)</f>
        <v>-1.133536698</v>
      </c>
      <c r="Y283" s="26">
        <f>IFERROR(__xludf.DUMMYFUNCTION("""COMPUTED_VALUE"""),-0.6585199625710553)</f>
        <v>-0.6585199626</v>
      </c>
      <c r="Z283" s="26">
        <f>IFERROR(__xludf.DUMMYFUNCTION("""COMPUTED_VALUE"""),0.24126216003074036)</f>
        <v>0.24126216</v>
      </c>
      <c r="AA283" s="26">
        <f>IFERROR(__xludf.DUMMYFUNCTION("""COMPUTED_VALUE"""),0.0)</f>
        <v>0</v>
      </c>
      <c r="AB283" t="str">
        <f>IFERROR(__xludf.DUMMYFUNCTION("SUBSTITUTE(REGEXREPLACE(REGEXREPLACE(REGEXREPLACE(REGEXREPLACE(REGEXREPLACE(REGEXREPLACE(F283,"","",),IF(Projections!$T$17="""",""PG"",),),IF(Projections!$U$17="""",""SG"",),),IF(Projections!$V$17="""",""SF"",),),IF(Projections!$W$17="""",""PF"",),),IF(Pr"&amp;"ojections!$X$17="""",""C"",),),""/"","""")"),"C")</f>
        <v>C</v>
      </c>
    </row>
    <row r="284">
      <c r="B284">
        <f>IFERROR(__xludf.DUMMYFUNCTION("""COMPUTED_VALUE"""),280.0)</f>
        <v>280</v>
      </c>
      <c r="D284" t="str">
        <f>IFERROR(__xludf.DUMMYFUNCTION("""COMPUTED_VALUE"""),"Nicolas Batum")</f>
        <v>Nicolas Batum</v>
      </c>
      <c r="E284">
        <f>IFERROR(__xludf.DUMMYFUNCTION("""COMPUTED_VALUE"""),44.0)</f>
        <v>44</v>
      </c>
      <c r="F284" t="str">
        <f>IFERROR(__xludf.DUMMYFUNCTION("""COMPUTED_VALUE"""),"PF")</f>
        <v>PF</v>
      </c>
      <c r="G284" s="26">
        <f>IFERROR(__xludf.DUMMYFUNCTION("""COMPUTED_VALUE"""),-7.28571748832659)</f>
        <v>-7.285717488</v>
      </c>
      <c r="H284" s="26">
        <f>IFERROR(__xludf.DUMMYFUNCTION("""COMPUTED_VALUE"""),-7.600276467751297)</f>
        <v>-7.600276468</v>
      </c>
      <c r="I284" s="26">
        <f>IFERROR(__xludf.DUMMYFUNCTION("""COMPUTED_VALUE"""),-0.31455897942470745)</f>
        <v>-0.3145589794</v>
      </c>
      <c r="J284" s="26">
        <f>IFERROR(__xludf.DUMMYFUNCTION("""COMPUTED_VALUE"""),4.845384615)</f>
        <v>4.845384615</v>
      </c>
      <c r="K284" s="26">
        <f>IFERROR(__xludf.DUMMYFUNCTION("""COMPUTED_VALUE"""),1.132307692)</f>
        <v>1.132307692</v>
      </c>
      <c r="L284" s="26">
        <f>IFERROR(__xludf.DUMMYFUNCTION("""COMPUTED_VALUE"""),3.013461538)</f>
        <v>3.013461538</v>
      </c>
      <c r="M284" s="26">
        <f>IFERROR(__xludf.DUMMYFUNCTION("""COMPUTED_VALUE"""),1.4)</f>
        <v>1.4</v>
      </c>
      <c r="N284" s="26">
        <f>IFERROR(__xludf.DUMMYFUNCTION("""COMPUTED_VALUE"""),0.5825)</f>
        <v>0.5825</v>
      </c>
      <c r="O284" s="26">
        <f>IFERROR(__xludf.DUMMYFUNCTION("""COMPUTED_VALUE"""),0.4067307692)</f>
        <v>0.4067307692</v>
      </c>
      <c r="P284" s="464">
        <f>IFERROR(__xludf.DUMMYFUNCTION("""COMPUTED_VALUE"""),0.4277013846)</f>
        <v>0.4277013846</v>
      </c>
      <c r="Q284" s="464">
        <f>IFERROR(__xludf.DUMMYFUNCTION("""COMPUTED_VALUE"""),0.7029598309)</f>
        <v>0.7029598309</v>
      </c>
      <c r="R284" s="26">
        <f>IFERROR(__xludf.DUMMYFUNCTION("""COMPUTED_VALUE"""),0.4801923077)</f>
        <v>0.4801923077</v>
      </c>
      <c r="S284" s="26">
        <f>IFERROR(__xludf.DUMMYFUNCTION("""COMPUTED_VALUE"""),-2.279022882020367)</f>
        <v>-2.279022882</v>
      </c>
      <c r="T284" s="26">
        <f>IFERROR(__xludf.DUMMYFUNCTION("""COMPUTED_VALUE"""),-0.6113840572649698)</f>
        <v>-0.6113840573</v>
      </c>
      <c r="U284" s="26">
        <f>IFERROR(__xludf.DUMMYFUNCTION("""COMPUTED_VALUE"""),-1.2031042344499219)</f>
        <v>-1.203104234</v>
      </c>
      <c r="V284" s="26">
        <f>IFERROR(__xludf.DUMMYFUNCTION("""COMPUTED_VALUE"""),-1.150483970683445)</f>
        <v>-1.150483971</v>
      </c>
      <c r="W284" s="26">
        <f>IFERROR(__xludf.DUMMYFUNCTION("""COMPUTED_VALUE"""),-1.3018213147468332)</f>
        <v>-1.301821315</v>
      </c>
      <c r="X284" s="26">
        <f>IFERROR(__xludf.DUMMYFUNCTION("""COMPUTED_VALUE"""),-0.609893219418491)</f>
        <v>-0.6098932194</v>
      </c>
      <c r="Y284" s="26">
        <f>IFERROR(__xludf.DUMMYFUNCTION("""COMPUTED_VALUE"""),-0.3269452839872935)</f>
        <v>-0.326945284</v>
      </c>
      <c r="Z284" s="26">
        <f>IFERROR(__xludf.DUMMYFUNCTION("""COMPUTED_VALUE"""),-0.11762150517997619)</f>
        <v>-0.1176215052</v>
      </c>
      <c r="AA284" s="26">
        <f>IFERROR(__xludf.DUMMYFUNCTION("""COMPUTED_VALUE"""),0.0)</f>
        <v>0</v>
      </c>
      <c r="AB284" t="str">
        <f>IFERROR(__xludf.DUMMYFUNCTION("SUBSTITUTE(REGEXREPLACE(REGEXREPLACE(REGEXREPLACE(REGEXREPLACE(REGEXREPLACE(REGEXREPLACE(F284,"","",),IF(Projections!$T$17="""",""PG"",),),IF(Projections!$U$17="""",""SG"",),),IF(Projections!$V$17="""",""SF"",),),IF(Projections!$W$17="""",""PF"",),),IF(Pr"&amp;"ojections!$X$17="""",""C"",),),""/"","""")"),"PF")</f>
        <v>PF</v>
      </c>
    </row>
    <row r="285">
      <c r="B285">
        <f>IFERROR(__xludf.DUMMYFUNCTION("""COMPUTED_VALUE"""),286.0)</f>
        <v>286</v>
      </c>
      <c r="D285" t="str">
        <f>IFERROR(__xludf.DUMMYFUNCTION("""COMPUTED_VALUE"""),"Spencer Dinwiddie")</f>
        <v>Spencer Dinwiddie</v>
      </c>
      <c r="E285">
        <f>IFERROR(__xludf.DUMMYFUNCTION("""COMPUTED_VALUE"""),64.0)</f>
        <v>64</v>
      </c>
      <c r="F285" t="str">
        <f>IFERROR(__xludf.DUMMYFUNCTION("""COMPUTED_VALUE"""),"C")</f>
        <v>C</v>
      </c>
      <c r="G285" s="26">
        <f>IFERROR(__xludf.DUMMYFUNCTION("""COMPUTED_VALUE"""),-7.362324061618676)</f>
        <v>-7.362324062</v>
      </c>
      <c r="H285" s="26">
        <f>IFERROR(__xludf.DUMMYFUNCTION("""COMPUTED_VALUE"""),-7.603555194142605)</f>
        <v>-7.603555194</v>
      </c>
      <c r="I285" s="26">
        <f>IFERROR(__xludf.DUMMYFUNCTION("""COMPUTED_VALUE"""),-0.24123113252392958)</f>
        <v>-0.2412311325</v>
      </c>
      <c r="J285" s="26">
        <f>IFERROR(__xludf.DUMMYFUNCTION("""COMPUTED_VALUE"""),7.675205479)</f>
        <v>7.675205479</v>
      </c>
      <c r="K285" s="26">
        <f>IFERROR(__xludf.DUMMYFUNCTION("""COMPUTED_VALUE"""),1.502328767)</f>
        <v>1.502328767</v>
      </c>
      <c r="L285" s="26">
        <f>IFERROR(__xludf.DUMMYFUNCTION("""COMPUTED_VALUE"""),1.683287671)</f>
        <v>1.683287671</v>
      </c>
      <c r="M285" s="26">
        <f>IFERROR(__xludf.DUMMYFUNCTION("""COMPUTED_VALUE"""),2.314520548)</f>
        <v>2.314520548</v>
      </c>
      <c r="N285" s="26">
        <f>IFERROR(__xludf.DUMMYFUNCTION("""COMPUTED_VALUE"""),0.4423287671)</f>
        <v>0.4423287671</v>
      </c>
      <c r="O285" s="26">
        <f>IFERROR(__xludf.DUMMYFUNCTION("""COMPUTED_VALUE"""),0.2597260274)</f>
        <v>0.2597260274</v>
      </c>
      <c r="P285" s="464">
        <f>IFERROR(__xludf.DUMMYFUNCTION("""COMPUTED_VALUE"""),0.3931502453)</f>
        <v>0.3931502453</v>
      </c>
      <c r="Q285" s="464">
        <f>IFERROR(__xludf.DUMMYFUNCTION("""COMPUTED_VALUE"""),0.8320061848)</f>
        <v>0.8320061848</v>
      </c>
      <c r="R285" s="26">
        <f>IFERROR(__xludf.DUMMYFUNCTION("""COMPUTED_VALUE"""),0.775890411)</f>
        <v>0.775890411</v>
      </c>
      <c r="S285" s="26">
        <f>IFERROR(__xludf.DUMMYFUNCTION("""COMPUTED_VALUE"""),-1.7689317146541765)</f>
        <v>-1.768931715</v>
      </c>
      <c r="T285" s="26">
        <f>IFERROR(__xludf.DUMMYFUNCTION("""COMPUTED_VALUE"""),-0.24434959292640693)</f>
        <v>-0.2443495929</v>
      </c>
      <c r="U285" s="26">
        <f>IFERROR(__xludf.DUMMYFUNCTION("""COMPUTED_VALUE"""),-1.724408679272368)</f>
        <v>-1.724408679</v>
      </c>
      <c r="V285" s="26">
        <f>IFERROR(__xludf.DUMMYFUNCTION("""COMPUTED_VALUE"""),-0.7351650635776661)</f>
        <v>-0.7351650636</v>
      </c>
      <c r="W285" s="26">
        <f>IFERROR(__xludf.DUMMYFUNCTION("""COMPUTED_VALUE"""),-1.7655516799401314)</f>
        <v>-1.76555168</v>
      </c>
      <c r="X285" s="26">
        <f>IFERROR(__xludf.DUMMYFUNCTION("""COMPUTED_VALUE"""),-0.8720979072282173)</f>
        <v>-0.8720979072</v>
      </c>
      <c r="Y285" s="26">
        <f>IFERROR(__xludf.DUMMYFUNCTION("""COMPUTED_VALUE"""),-0.7235333211363634)</f>
        <v>-0.7235333211</v>
      </c>
      <c r="Z285" s="26">
        <f>IFERROR(__xludf.DUMMYFUNCTION("""COMPUTED_VALUE"""),0.23048276459272338)</f>
        <v>0.2304827646</v>
      </c>
      <c r="AA285" s="26">
        <f>IFERROR(__xludf.DUMMYFUNCTION("""COMPUTED_VALUE"""),0.0)</f>
        <v>0</v>
      </c>
      <c r="AB285" t="str">
        <f>IFERROR(__xludf.DUMMYFUNCTION("SUBSTITUTE(REGEXREPLACE(REGEXREPLACE(REGEXREPLACE(REGEXREPLACE(REGEXREPLACE(REGEXREPLACE(F285,"","",),IF(Projections!$T$17="""",""PG"",),),IF(Projections!$U$17="""",""SG"",),),IF(Projections!$V$17="""",""SF"",),),IF(Projections!$W$17="""",""PF"",),),IF(Pr"&amp;"ojections!$X$17="""",""C"",),),""/"","""")"),"C")</f>
        <v>C</v>
      </c>
    </row>
    <row r="286">
      <c r="B286">
        <f>IFERROR(__xludf.DUMMYFUNCTION("""COMPUTED_VALUE"""),285.0)</f>
        <v>285</v>
      </c>
      <c r="D286" t="str">
        <f>IFERROR(__xludf.DUMMYFUNCTION("""COMPUTED_VALUE"""),"Dalano Banton")</f>
        <v>Dalano Banton</v>
      </c>
      <c r="E286">
        <f>IFERROR(__xludf.DUMMYFUNCTION("""COMPUTED_VALUE"""),52.0)</f>
        <v>52</v>
      </c>
      <c r="F286" t="str">
        <f>IFERROR(__xludf.DUMMYFUNCTION("""COMPUTED_VALUE"""),"SF")</f>
        <v>SF</v>
      </c>
      <c r="G286" s="26">
        <f>IFERROR(__xludf.DUMMYFUNCTION("""COMPUTED_VALUE"""),-7.507635823600042)</f>
        <v>-7.507635824</v>
      </c>
      <c r="H286" s="26">
        <f>IFERROR(__xludf.DUMMYFUNCTION("""COMPUTED_VALUE"""),-7.623710912319792)</f>
        <v>-7.623710912</v>
      </c>
      <c r="I286" s="26">
        <f>IFERROR(__xludf.DUMMYFUNCTION("""COMPUTED_VALUE"""),-0.11607508871975014)</f>
        <v>-0.1160750887</v>
      </c>
      <c r="J286" s="26">
        <f>IFERROR(__xludf.DUMMYFUNCTION("""COMPUTED_VALUE"""),7.091911765)</f>
        <v>7.091911765</v>
      </c>
      <c r="K286" s="26">
        <f>IFERROR(__xludf.DUMMYFUNCTION("""COMPUTED_VALUE"""),0.8182352941)</f>
        <v>0.8182352941</v>
      </c>
      <c r="L286" s="26">
        <f>IFERROR(__xludf.DUMMYFUNCTION("""COMPUTED_VALUE"""),2.910147059)</f>
        <v>2.910147059</v>
      </c>
      <c r="M286" s="26">
        <f>IFERROR(__xludf.DUMMYFUNCTION("""COMPUTED_VALUE"""),2.173823529)</f>
        <v>2.173823529</v>
      </c>
      <c r="N286" s="26">
        <f>IFERROR(__xludf.DUMMYFUNCTION("""COMPUTED_VALUE"""),0.5452941176)</f>
        <v>0.5452941176</v>
      </c>
      <c r="O286" s="26">
        <f>IFERROR(__xludf.DUMMYFUNCTION("""COMPUTED_VALUE"""),0.3566176471)</f>
        <v>0.3566176471</v>
      </c>
      <c r="P286" s="464">
        <f>IFERROR(__xludf.DUMMYFUNCTION("""COMPUTED_VALUE"""),0.4110338539)</f>
        <v>0.4110338539</v>
      </c>
      <c r="Q286" s="464">
        <f>IFERROR(__xludf.DUMMYFUNCTION("""COMPUTED_VALUE"""),0.7919616077)</f>
        <v>0.7919616077</v>
      </c>
      <c r="R286" s="26">
        <f>IFERROR(__xludf.DUMMYFUNCTION("""COMPUTED_VALUE"""),1.280588235)</f>
        <v>1.280588235</v>
      </c>
      <c r="S286" s="26">
        <f>IFERROR(__xludf.DUMMYFUNCTION("""COMPUTED_VALUE"""),-1.874073695645529)</f>
        <v>-1.874073696</v>
      </c>
      <c r="T286" s="26">
        <f>IFERROR(__xludf.DUMMYFUNCTION("""COMPUTED_VALUE"""),-0.9229214320665388)</f>
        <v>-0.9229214321</v>
      </c>
      <c r="U286" s="26">
        <f>IFERROR(__xludf.DUMMYFUNCTION("""COMPUTED_VALUE"""),-1.2435939015929731)</f>
        <v>-1.243593902</v>
      </c>
      <c r="V286" s="26">
        <f>IFERROR(__xludf.DUMMYFUNCTION("""COMPUTED_VALUE"""),-0.7990609840049466)</f>
        <v>-0.799060984</v>
      </c>
      <c r="W286" s="26">
        <f>IFERROR(__xludf.DUMMYFUNCTION("""COMPUTED_VALUE"""),-1.4249100332786862)</f>
        <v>-1.424910033</v>
      </c>
      <c r="X286" s="26">
        <f>IFERROR(__xludf.DUMMYFUNCTION("""COMPUTED_VALUE"""),-0.6992773805993462)</f>
        <v>-0.6992773806</v>
      </c>
      <c r="Y286" s="26">
        <f>IFERROR(__xludf.DUMMYFUNCTION("""COMPUTED_VALUE"""),-0.6468760310137611)</f>
        <v>-0.646876031</v>
      </c>
      <c r="Z286" s="26">
        <f>IFERROR(__xludf.DUMMYFUNCTION("""COMPUTED_VALUE"""),-0.012997454118010841)</f>
        <v>-0.01299745412</v>
      </c>
      <c r="AA286" s="26">
        <f>IFERROR(__xludf.DUMMYFUNCTION("""COMPUTED_VALUE"""),0.0)</f>
        <v>0</v>
      </c>
      <c r="AB286" t="str">
        <f>IFERROR(__xludf.DUMMYFUNCTION("SUBSTITUTE(REGEXREPLACE(REGEXREPLACE(REGEXREPLACE(REGEXREPLACE(REGEXREPLACE(REGEXREPLACE(F286,"","",),IF(Projections!$T$17="""",""PG"",),),IF(Projections!$U$17="""",""SG"",),),IF(Projections!$V$17="""",""SF"",),),IF(Projections!$W$17="""",""PF"",),),IF(Pr"&amp;"ojections!$X$17="""",""C"",),),""/"","""")"),"SF")</f>
        <v>SF</v>
      </c>
    </row>
    <row r="287">
      <c r="B287">
        <f>IFERROR(__xludf.DUMMYFUNCTION("""COMPUTED_VALUE"""),293.0)</f>
        <v>293</v>
      </c>
      <c r="C287">
        <f>IFERROR(__xludf.DUMMYFUNCTION("""COMPUTED_VALUE"""),140.6)</f>
        <v>140.6</v>
      </c>
      <c r="D287" t="str">
        <f>IFERROR(__xludf.DUMMYFUNCTION("""COMPUTED_VALUE"""),"Tim Hardaway Jr.")</f>
        <v>Tim Hardaway Jr.</v>
      </c>
      <c r="E287">
        <f>IFERROR(__xludf.DUMMYFUNCTION("""COMPUTED_VALUE"""),40.0)</f>
        <v>40</v>
      </c>
      <c r="F287" t="str">
        <f>IFERROR(__xludf.DUMMYFUNCTION("""COMPUTED_VALUE"""),"SF,PF")</f>
        <v>SF,PF</v>
      </c>
      <c r="G287" s="26">
        <f>IFERROR(__xludf.DUMMYFUNCTION("""COMPUTED_VALUE"""),-7.378315728134512)</f>
        <v>-7.378315728</v>
      </c>
      <c r="H287" s="26">
        <f>IFERROR(__xludf.DUMMYFUNCTION("""COMPUTED_VALUE"""),-7.639215580663697)</f>
        <v>-7.639215581</v>
      </c>
      <c r="I287" s="26">
        <f>IFERROR(__xludf.DUMMYFUNCTION("""COMPUTED_VALUE"""),-0.26089985252918435)</f>
        <v>-0.2608998525</v>
      </c>
      <c r="J287" s="26">
        <f>IFERROR(__xludf.DUMMYFUNCTION("""COMPUTED_VALUE"""),9.585205479)</f>
        <v>9.585205479</v>
      </c>
      <c r="K287" s="26">
        <f>IFERROR(__xludf.DUMMYFUNCTION("""COMPUTED_VALUE"""),1.84109589)</f>
        <v>1.84109589</v>
      </c>
      <c r="L287" s="26">
        <f>IFERROR(__xludf.DUMMYFUNCTION("""COMPUTED_VALUE"""),2.382191781)</f>
        <v>2.382191781</v>
      </c>
      <c r="M287" s="26">
        <f>IFERROR(__xludf.DUMMYFUNCTION("""COMPUTED_VALUE"""),1.352191781)</f>
        <v>1.352191781</v>
      </c>
      <c r="N287" s="26">
        <f>IFERROR(__xludf.DUMMYFUNCTION("""COMPUTED_VALUE"""),0.4719178082)</f>
        <v>0.4719178082</v>
      </c>
      <c r="O287" s="26">
        <f>IFERROR(__xludf.DUMMYFUNCTION("""COMPUTED_VALUE"""),0.08712328767)</f>
        <v>0.08712328767</v>
      </c>
      <c r="P287" s="464">
        <f>IFERROR(__xludf.DUMMYFUNCTION("""COMPUTED_VALUE"""),0.3951102781)</f>
        <v>0.3951102781</v>
      </c>
      <c r="Q287" s="464">
        <f>IFERROR(__xludf.DUMMYFUNCTION("""COMPUTED_VALUE"""),0.8199753391)</f>
        <v>0.8199753391</v>
      </c>
      <c r="R287" s="26">
        <f>IFERROR(__xludf.DUMMYFUNCTION("""COMPUTED_VALUE"""),0.6965753425)</f>
        <v>0.6965753425</v>
      </c>
      <c r="S287" s="26">
        <f>IFERROR(__xludf.DUMMYFUNCTION("""COMPUTED_VALUE"""),-1.4246434446566645)</f>
        <v>-1.424643445</v>
      </c>
      <c r="T287" s="26">
        <f>IFERROR(__xludf.DUMMYFUNCTION("""COMPUTED_VALUE"""),0.09168318446558624)</f>
        <v>0.09168318447</v>
      </c>
      <c r="U287" s="26">
        <f>IFERROR(__xludf.DUMMYFUNCTION("""COMPUTED_VALUE"""),-1.4505032687944188)</f>
        <v>-1.450503269</v>
      </c>
      <c r="V287" s="26">
        <f>IFERROR(__xludf.DUMMYFUNCTION("""COMPUTED_VALUE"""),-1.1721955192201914)</f>
        <v>-1.172195519</v>
      </c>
      <c r="W287" s="26">
        <f>IFERROR(__xludf.DUMMYFUNCTION("""COMPUTED_VALUE"""),-1.6676618593889239)</f>
        <v>-1.667661859</v>
      </c>
      <c r="X287" s="26">
        <f>IFERROR(__xludf.DUMMYFUNCTION("""COMPUTED_VALUE"""),-1.1799604083411448)</f>
        <v>-1.179960408</v>
      </c>
      <c r="Y287" s="26">
        <f>IFERROR(__xludf.DUMMYFUNCTION("""COMPUTED_VALUE"""),-0.9725091926977242)</f>
        <v>-0.9725091927</v>
      </c>
      <c r="Z287" s="26">
        <f>IFERROR(__xludf.DUMMYFUNCTION("""COMPUTED_VALUE"""),0.13657492796978463)</f>
        <v>0.136574928</v>
      </c>
      <c r="AA287" s="26">
        <f>IFERROR(__xludf.DUMMYFUNCTION("""COMPUTED_VALUE"""),0.0)</f>
        <v>0</v>
      </c>
      <c r="AB287" t="str">
        <f>IFERROR(__xludf.DUMMYFUNCTION("SUBSTITUTE(REGEXREPLACE(REGEXREPLACE(REGEXREPLACE(REGEXREPLACE(REGEXREPLACE(REGEXREPLACE(F287,"","",),IF(Projections!$T$17="""",""PG"",),),IF(Projections!$U$17="""",""SG"",),),IF(Projections!$V$17="""",""SF"",),),IF(Projections!$W$17="""",""PF"",),),IF(Pr"&amp;"ojections!$X$17="""",""C"",),),""/"","""")"),"SFPF")</f>
        <v>SFPF</v>
      </c>
    </row>
    <row r="288">
      <c r="B288">
        <f>IFERROR(__xludf.DUMMYFUNCTION("""COMPUTED_VALUE"""),282.0)</f>
        <v>282</v>
      </c>
      <c r="D288" t="str">
        <f>IFERROR(__xludf.DUMMYFUNCTION("""COMPUTED_VALUE"""),"Jaden Springer")</f>
        <v>Jaden Springer</v>
      </c>
      <c r="E288">
        <f>IFERROR(__xludf.DUMMYFUNCTION("""COMPUTED_VALUE"""),50.0)</f>
        <v>50</v>
      </c>
      <c r="F288" t="str">
        <f>IFERROR(__xludf.DUMMYFUNCTION("""COMPUTED_VALUE"""),"SG")</f>
        <v>SG</v>
      </c>
      <c r="G288" s="26">
        <f>IFERROR(__xludf.DUMMYFUNCTION("""COMPUTED_VALUE"""),-7.444716314087419)</f>
        <v>-7.444716314</v>
      </c>
      <c r="H288" s="26">
        <f>IFERROR(__xludf.DUMMYFUNCTION("""COMPUTED_VALUE"""),-7.6628917477011464)</f>
        <v>-7.662891748</v>
      </c>
      <c r="I288" s="26">
        <f>IFERROR(__xludf.DUMMYFUNCTION("""COMPUTED_VALUE"""),-0.2181754336137276)</f>
        <v>-0.2181754336</v>
      </c>
      <c r="J288" s="26">
        <f>IFERROR(__xludf.DUMMYFUNCTION("""COMPUTED_VALUE"""),4.407272727)</f>
        <v>4.407272727</v>
      </c>
      <c r="K288" s="26">
        <f>IFERROR(__xludf.DUMMYFUNCTION("""COMPUTED_VALUE"""),0.3211363636)</f>
        <v>0.3211363636</v>
      </c>
      <c r="L288" s="26">
        <f>IFERROR(__xludf.DUMMYFUNCTION("""COMPUTED_VALUE"""),2.041818182)</f>
        <v>2.041818182</v>
      </c>
      <c r="M288" s="26">
        <f>IFERROR(__xludf.DUMMYFUNCTION("""COMPUTED_VALUE"""),1.143409091)</f>
        <v>1.143409091</v>
      </c>
      <c r="N288" s="26">
        <f>IFERROR(__xludf.DUMMYFUNCTION("""COMPUTED_VALUE"""),0.8759090909)</f>
        <v>0.8759090909</v>
      </c>
      <c r="O288" s="26">
        <f>IFERROR(__xludf.DUMMYFUNCTION("""COMPUTED_VALUE"""),0.4009090909)</f>
        <v>0.4009090909</v>
      </c>
      <c r="P288" s="464">
        <f>IFERROR(__xludf.DUMMYFUNCTION("""COMPUTED_VALUE"""),0.4449136753)</f>
        <v>0.4449136753</v>
      </c>
      <c r="Q288" s="464">
        <f>IFERROR(__xludf.DUMMYFUNCTION("""COMPUTED_VALUE"""),0.8339424395)</f>
        <v>0.8339424395</v>
      </c>
      <c r="R288" s="26">
        <f>IFERROR(__xludf.DUMMYFUNCTION("""COMPUTED_VALUE"""),0.8688636364)</f>
        <v>0.8688636364</v>
      </c>
      <c r="S288" s="26">
        <f>IFERROR(__xludf.DUMMYFUNCTION("""COMPUTED_VALUE"""),-2.357995020232338)</f>
        <v>-2.35799502</v>
      </c>
      <c r="T288" s="26">
        <f>IFERROR(__xludf.DUMMYFUNCTION("""COMPUTED_VALUE"""),-1.4160080479554848)</f>
        <v>-1.416008048</v>
      </c>
      <c r="U288" s="26">
        <f>IFERROR(__xludf.DUMMYFUNCTION("""COMPUTED_VALUE"""),-1.5838980636110522)</f>
        <v>-1.583898064</v>
      </c>
      <c r="V288" s="26">
        <f>IFERROR(__xludf.DUMMYFUNCTION("""COMPUTED_VALUE"""),-1.2670117579838114)</f>
        <v>-1.267011758</v>
      </c>
      <c r="W288" s="26">
        <f>IFERROR(__xludf.DUMMYFUNCTION("""COMPUTED_VALUE"""),-0.3311320937198658)</f>
        <v>-0.3311320937</v>
      </c>
      <c r="X288" s="26">
        <f>IFERROR(__xludf.DUMMYFUNCTION("""COMPUTED_VALUE"""),-0.6202770432495408)</f>
        <v>-0.6202770432</v>
      </c>
      <c r="Y288" s="26">
        <f>IFERROR(__xludf.DUMMYFUNCTION("""COMPUTED_VALUE"""),-0.22276283150298506)</f>
        <v>-0.2227628315</v>
      </c>
      <c r="Z288" s="26">
        <f>IFERROR(__xludf.DUMMYFUNCTION("""COMPUTED_VALUE"""),0.13619311055393138)</f>
        <v>0.1361931106</v>
      </c>
      <c r="AA288" s="26">
        <f>IFERROR(__xludf.DUMMYFUNCTION("""COMPUTED_VALUE"""),0.0)</f>
        <v>0</v>
      </c>
      <c r="AB288" t="str">
        <f>IFERROR(__xludf.DUMMYFUNCTION("SUBSTITUTE(REGEXREPLACE(REGEXREPLACE(REGEXREPLACE(REGEXREPLACE(REGEXREPLACE(REGEXREPLACE(F288,"","",),IF(Projections!$T$17="""",""PG"",),),IF(Projections!$U$17="""",""SG"",),),IF(Projections!$V$17="""",""SF"",),),IF(Projections!$W$17="""",""PF"",),),IF(Pr"&amp;"ojections!$X$17="""",""C"",),),""/"","""")"),"SG")</f>
        <v>SG</v>
      </c>
    </row>
    <row r="289">
      <c r="B289">
        <f>IFERROR(__xludf.DUMMYFUNCTION("""COMPUTED_VALUE"""),279.0)</f>
        <v>279</v>
      </c>
      <c r="D289" t="str">
        <f>IFERROR(__xludf.DUMMYFUNCTION("""COMPUTED_VALUE"""),"Jaylin Williams")</f>
        <v>Jaylin Williams</v>
      </c>
      <c r="E289">
        <f>IFERROR(__xludf.DUMMYFUNCTION("""COMPUTED_VALUE"""),50.0)</f>
        <v>50</v>
      </c>
      <c r="F289" t="str">
        <f>IFERROR(__xludf.DUMMYFUNCTION("""COMPUTED_VALUE"""),"PG,SG")</f>
        <v>PG,SG</v>
      </c>
      <c r="G289" s="26">
        <f>IFERROR(__xludf.DUMMYFUNCTION("""COMPUTED_VALUE"""),-7.388767755280409)</f>
        <v>-7.388767755</v>
      </c>
      <c r="H289" s="26">
        <f>IFERROR(__xludf.DUMMYFUNCTION("""COMPUTED_VALUE"""),-7.665871371969152)</f>
        <v>-7.665871372</v>
      </c>
      <c r="I289" s="26">
        <f>IFERROR(__xludf.DUMMYFUNCTION("""COMPUTED_VALUE"""),-0.27710361668874217)</f>
        <v>-0.2771036167</v>
      </c>
      <c r="J289" s="26">
        <f>IFERROR(__xludf.DUMMYFUNCTION("""COMPUTED_VALUE"""),4.75890411)</f>
        <v>4.75890411</v>
      </c>
      <c r="K289" s="26">
        <f>IFERROR(__xludf.DUMMYFUNCTION("""COMPUTED_VALUE"""),0.8264383562)</f>
        <v>0.8264383562</v>
      </c>
      <c r="L289" s="26">
        <f>IFERROR(__xludf.DUMMYFUNCTION("""COMPUTED_VALUE"""),3.661232877)</f>
        <v>3.661232877</v>
      </c>
      <c r="M289" s="26">
        <f>IFERROR(__xludf.DUMMYFUNCTION("""COMPUTED_VALUE"""),1.799041096)</f>
        <v>1.799041096</v>
      </c>
      <c r="N289" s="26">
        <f>IFERROR(__xludf.DUMMYFUNCTION("""COMPUTED_VALUE"""),0.4750684932)</f>
        <v>0.4750684932</v>
      </c>
      <c r="O289" s="26">
        <f>IFERROR(__xludf.DUMMYFUNCTION("""COMPUTED_VALUE"""),0.4102739726)</f>
        <v>0.4102739726</v>
      </c>
      <c r="P289" s="464">
        <f>IFERROR(__xludf.DUMMYFUNCTION("""COMPUTED_VALUE"""),0.4563596573)</f>
        <v>0.4563596573</v>
      </c>
      <c r="Q289" s="464">
        <f>IFERROR(__xludf.DUMMYFUNCTION("""COMPUTED_VALUE"""),0.7560840708)</f>
        <v>0.7560840708</v>
      </c>
      <c r="R289" s="26">
        <f>IFERROR(__xludf.DUMMYFUNCTION("""COMPUTED_VALUE"""),0.6312328767)</f>
        <v>0.6312328767</v>
      </c>
      <c r="S289" s="26">
        <f>IFERROR(__xludf.DUMMYFUNCTION("""COMPUTED_VALUE"""),-2.294611480687886)</f>
        <v>-2.294611481</v>
      </c>
      <c r="T289" s="26">
        <f>IFERROR(__xludf.DUMMYFUNCTION("""COMPUTED_VALUE"""),-0.9147845806620357)</f>
        <v>-0.9147845807</v>
      </c>
      <c r="U289" s="26">
        <f>IFERROR(__xludf.DUMMYFUNCTION("""COMPUTED_VALUE"""),-0.9492381146689898)</f>
        <v>-0.9492381147</v>
      </c>
      <c r="V289" s="26">
        <f>IFERROR(__xludf.DUMMYFUNCTION("""COMPUTED_VALUE"""),-0.9692640820287266)</f>
        <v>-0.969264082</v>
      </c>
      <c r="W289" s="26">
        <f>IFERROR(__xludf.DUMMYFUNCTION("""COMPUTED_VALUE"""),-1.657238406049526)</f>
        <v>-1.657238406</v>
      </c>
      <c r="X289" s="26">
        <f>IFERROR(__xludf.DUMMYFUNCTION("""COMPUTED_VALUE"""),-0.6035733923845622)</f>
        <v>-0.6035733924</v>
      </c>
      <c r="Y289" s="26">
        <f>IFERROR(__xludf.DUMMYFUNCTION("""COMPUTED_VALUE"""),-0.17563306817437882)</f>
        <v>-0.1756330682</v>
      </c>
      <c r="Z289" s="26">
        <f>IFERROR(__xludf.DUMMYFUNCTION("""COMPUTED_VALUE"""),-0.10152824731304673)</f>
        <v>-0.1015282473</v>
      </c>
      <c r="AA289" s="26">
        <f>IFERROR(__xludf.DUMMYFUNCTION("""COMPUTED_VALUE"""),0.0)</f>
        <v>0</v>
      </c>
      <c r="AB289" t="str">
        <f>IFERROR(__xludf.DUMMYFUNCTION("SUBSTITUTE(REGEXREPLACE(REGEXREPLACE(REGEXREPLACE(REGEXREPLACE(REGEXREPLACE(REGEXREPLACE(F289,"","",),IF(Projections!$T$17="""",""PG"",),),IF(Projections!$U$17="""",""SG"",),),IF(Projections!$V$17="""",""SF"",),),IF(Projections!$W$17="""",""PF"",),),IF(Pr"&amp;"ojections!$X$17="""",""C"",),),""/"","""")"),"PGSG")</f>
        <v>PGSG</v>
      </c>
    </row>
    <row r="290">
      <c r="B290">
        <f>IFERROR(__xludf.DUMMYFUNCTION("""COMPUTED_VALUE"""),275.0)</f>
        <v>275</v>
      </c>
      <c r="D290" t="str">
        <f>IFERROR(__xludf.DUMMYFUNCTION("""COMPUTED_VALUE"""),"Trendon Watford")</f>
        <v>Trendon Watford</v>
      </c>
      <c r="E290">
        <f>IFERROR(__xludf.DUMMYFUNCTION("""COMPUTED_VALUE"""),35.0)</f>
        <v>35</v>
      </c>
      <c r="F290" t="str">
        <f>IFERROR(__xludf.DUMMYFUNCTION("""COMPUTED_VALUE"""),"SF,PF")</f>
        <v>SF,PF</v>
      </c>
      <c r="G290" s="26">
        <f>IFERROR(__xludf.DUMMYFUNCTION("""COMPUTED_VALUE"""),-7.5437600214700264)</f>
        <v>-7.543760021</v>
      </c>
      <c r="H290" s="26">
        <f>IFERROR(__xludf.DUMMYFUNCTION("""COMPUTED_VALUE"""),-7.668507491066225)</f>
        <v>-7.668507491</v>
      </c>
      <c r="I290" s="26">
        <f>IFERROR(__xludf.DUMMYFUNCTION("""COMPUTED_VALUE"""),-0.12474746959619853)</f>
        <v>-0.1247474696</v>
      </c>
      <c r="J290" s="26">
        <f>IFERROR(__xludf.DUMMYFUNCTION("""COMPUTED_VALUE"""),7.12109589)</f>
        <v>7.12109589</v>
      </c>
      <c r="K290" s="26">
        <f>IFERROR(__xludf.DUMMYFUNCTION("""COMPUTED_VALUE"""),0.4187671233)</f>
        <v>0.4187671233</v>
      </c>
      <c r="L290" s="26">
        <f>IFERROR(__xludf.DUMMYFUNCTION("""COMPUTED_VALUE"""),3.501369863)</f>
        <v>3.501369863</v>
      </c>
      <c r="M290" s="26">
        <f>IFERROR(__xludf.DUMMYFUNCTION("""COMPUTED_VALUE"""),1.645753425)</f>
        <v>1.645753425</v>
      </c>
      <c r="N290" s="26">
        <f>IFERROR(__xludf.DUMMYFUNCTION("""COMPUTED_VALUE"""),0.4405479452)</f>
        <v>0.4405479452</v>
      </c>
      <c r="O290" s="26">
        <f>IFERROR(__xludf.DUMMYFUNCTION("""COMPUTED_VALUE"""),0.3689041096)</f>
        <v>0.3689041096</v>
      </c>
      <c r="P290" s="464">
        <f>IFERROR(__xludf.DUMMYFUNCTION("""COMPUTED_VALUE"""),0.5259584137)</f>
        <v>0.5259584137</v>
      </c>
      <c r="Q290" s="464">
        <f>IFERROR(__xludf.DUMMYFUNCTION("""COMPUTED_VALUE"""),0.7679925839)</f>
        <v>0.7679925839</v>
      </c>
      <c r="R290" s="26">
        <f>IFERROR(__xludf.DUMMYFUNCTION("""COMPUTED_VALUE"""),1.245616438)</f>
        <v>1.245616438</v>
      </c>
      <c r="S290" s="26">
        <f>IFERROR(__xludf.DUMMYFUNCTION("""COMPUTED_VALUE"""),-1.8688130925525233)</f>
        <v>-1.868813093</v>
      </c>
      <c r="T290" s="26">
        <f>IFERROR(__xludf.DUMMYFUNCTION("""COMPUTED_VALUE"""),-1.3191653111209507)</f>
        <v>-1.319165311</v>
      </c>
      <c r="U290" s="26">
        <f>IFERROR(__xludf.DUMMYFUNCTION("""COMPUTED_VALUE"""),-1.0118895483111703)</f>
        <v>-1.011889548</v>
      </c>
      <c r="V290" s="26">
        <f>IFERROR(__xludf.DUMMYFUNCTION("""COMPUTED_VALUE"""),-1.038877901129607)</f>
        <v>-1.038877901</v>
      </c>
      <c r="W290" s="26">
        <f>IFERROR(__xludf.DUMMYFUNCTION("""COMPUTED_VALUE"""),-1.771443196858017)</f>
        <v>-1.771443197</v>
      </c>
      <c r="X290" s="26">
        <f>IFERROR(__xludf.DUMMYFUNCTION("""COMPUTED_VALUE"""),-0.6773626584981955)</f>
        <v>-0.6773626585</v>
      </c>
      <c r="Y290" s="26">
        <f>IFERROR(__xludf.DUMMYFUNCTION("""COMPUTED_VALUE"""),0.17315346721838137)</f>
        <v>0.1731534672</v>
      </c>
      <c r="Z290" s="26">
        <f>IFERROR(__xludf.DUMMYFUNCTION("""COMPUTED_VALUE"""),-0.15410924981414248)</f>
        <v>-0.1541092498</v>
      </c>
      <c r="AA290" s="26">
        <f>IFERROR(__xludf.DUMMYFUNCTION("""COMPUTED_VALUE"""),0.0)</f>
        <v>0</v>
      </c>
      <c r="AB290" t="str">
        <f>IFERROR(__xludf.DUMMYFUNCTION("SUBSTITUTE(REGEXREPLACE(REGEXREPLACE(REGEXREPLACE(REGEXREPLACE(REGEXREPLACE(REGEXREPLACE(F290,"","",),IF(Projections!$T$17="""",""PG"",),),IF(Projections!$U$17="""",""SG"",),),IF(Projections!$V$17="""",""SF"",),),IF(Projections!$W$17="""",""PF"",),),IF(Pr"&amp;"ojections!$X$17="""",""C"",),),""/"","""")"),"SFPF")</f>
        <v>SFPF</v>
      </c>
    </row>
    <row r="291">
      <c r="B291">
        <f>IFERROR(__xludf.DUMMYFUNCTION("""COMPUTED_VALUE"""),273.0)</f>
        <v>273</v>
      </c>
      <c r="C291">
        <f>IFERROR(__xludf.DUMMYFUNCTION("""COMPUTED_VALUE"""),146.9)</f>
        <v>146.9</v>
      </c>
      <c r="D291" t="str">
        <f>IFERROR(__xludf.DUMMYFUNCTION("""COMPUTED_VALUE"""),"Karlo Matkovic")</f>
        <v>Karlo Matkovic</v>
      </c>
      <c r="E291">
        <f>IFERROR(__xludf.DUMMYFUNCTION("""COMPUTED_VALUE"""),20.0)</f>
        <v>20</v>
      </c>
      <c r="F291" t="str">
        <f>IFERROR(__xludf.DUMMYFUNCTION("""COMPUTED_VALUE"""),"C")</f>
        <v>C</v>
      </c>
      <c r="G291" s="26">
        <f>IFERROR(__xludf.DUMMYFUNCTION("""COMPUTED_VALUE"""),-7.425342467498608)</f>
        <v>-7.425342467</v>
      </c>
      <c r="H291" s="26">
        <f>IFERROR(__xludf.DUMMYFUNCTION("""COMPUTED_VALUE"""),-7.687134217310129)</f>
        <v>-7.687134217</v>
      </c>
      <c r="I291" s="26">
        <f>IFERROR(__xludf.DUMMYFUNCTION("""COMPUTED_VALUE"""),-0.261791749811521)</f>
        <v>-0.2617917498</v>
      </c>
      <c r="J291" s="26">
        <f>IFERROR(__xludf.DUMMYFUNCTION("""COMPUTED_VALUE"""),5.894042553)</f>
        <v>5.894042553</v>
      </c>
      <c r="K291" s="26">
        <f>IFERROR(__xludf.DUMMYFUNCTION("""COMPUTED_VALUE"""),0.2636170213)</f>
        <v>0.2636170213</v>
      </c>
      <c r="L291" s="26">
        <f>IFERROR(__xludf.DUMMYFUNCTION("""COMPUTED_VALUE"""),3.724893617)</f>
        <v>3.724893617</v>
      </c>
      <c r="M291" s="26">
        <f>IFERROR(__xludf.DUMMYFUNCTION("""COMPUTED_VALUE"""),0.4908510638)</f>
        <v>0.4908510638</v>
      </c>
      <c r="N291" s="26">
        <f>IFERROR(__xludf.DUMMYFUNCTION("""COMPUTED_VALUE"""),0.4331914894)</f>
        <v>0.4331914894</v>
      </c>
      <c r="O291" s="26">
        <f>IFERROR(__xludf.DUMMYFUNCTION("""COMPUTED_VALUE"""),0.8085106383)</f>
        <v>0.8085106383</v>
      </c>
      <c r="P291" s="464">
        <f>IFERROR(__xludf.DUMMYFUNCTION("""COMPUTED_VALUE"""),0.5579757463)</f>
        <v>0.5579757463</v>
      </c>
      <c r="Q291" s="464">
        <f>IFERROR(__xludf.DUMMYFUNCTION("""COMPUTED_VALUE"""),0.6960219479)</f>
        <v>0.6960219479</v>
      </c>
      <c r="R291" s="26">
        <f>IFERROR(__xludf.DUMMYFUNCTION("""COMPUTED_VALUE"""),0.6929787234)</f>
        <v>0.6929787234</v>
      </c>
      <c r="S291" s="26">
        <f>IFERROR(__xludf.DUMMYFUNCTION("""COMPUTED_VALUE"""),-2.089996375584148)</f>
        <v>-2.089996376</v>
      </c>
      <c r="T291" s="26">
        <f>IFERROR(__xludf.DUMMYFUNCTION("""COMPUTED_VALUE"""),-1.4730631251296349)</f>
        <v>-1.473063125</v>
      </c>
      <c r="U291" s="26">
        <f>IFERROR(__xludf.DUMMYFUNCTION("""COMPUTED_VALUE"""),-0.9242890252709749)</f>
        <v>-0.9242890253</v>
      </c>
      <c r="V291" s="26">
        <f>IFERROR(__xludf.DUMMYFUNCTION("""COMPUTED_VALUE"""),-1.5633634225500266)</f>
        <v>-1.563363423</v>
      </c>
      <c r="W291" s="26">
        <f>IFERROR(__xludf.DUMMYFUNCTION("""COMPUTED_VALUE"""),-1.7957806580052416)</f>
        <v>-1.795780658</v>
      </c>
      <c r="X291" s="26">
        <f>IFERROR(__xludf.DUMMYFUNCTION("""COMPUTED_VALUE"""),0.10674056977536373)</f>
        <v>0.1067405698</v>
      </c>
      <c r="Y291" s="26">
        <f>IFERROR(__xludf.DUMMYFUNCTION("""COMPUTED_VALUE"""),0.3222282748888423)</f>
        <v>0.3222282749</v>
      </c>
      <c r="Z291" s="26">
        <f>IFERROR(__xludf.DUMMYFUNCTION("""COMPUTED_VALUE"""),-0.26961045543430884)</f>
        <v>-0.2696104554</v>
      </c>
      <c r="AA291" s="26">
        <f>IFERROR(__xludf.DUMMYFUNCTION("""COMPUTED_VALUE"""),0.0)</f>
        <v>0</v>
      </c>
      <c r="AB291" t="str">
        <f>IFERROR(__xludf.DUMMYFUNCTION("SUBSTITUTE(REGEXREPLACE(REGEXREPLACE(REGEXREPLACE(REGEXREPLACE(REGEXREPLACE(REGEXREPLACE(F291,"","",),IF(Projections!$T$17="""",""PG"",),),IF(Projections!$U$17="""",""SG"",),),IF(Projections!$V$17="""",""SF"",),),IF(Projections!$W$17="""",""PF"",),),IF(Pr"&amp;"ojections!$X$17="""",""C"",),),""/"","""")"),"C")</f>
        <v>C</v>
      </c>
    </row>
    <row r="292">
      <c r="B292">
        <f>IFERROR(__xludf.DUMMYFUNCTION("""COMPUTED_VALUE"""),289.0)</f>
        <v>289</v>
      </c>
      <c r="D292" t="str">
        <f>IFERROR(__xludf.DUMMYFUNCTION("""COMPUTED_VALUE"""),"Trey Lyles")</f>
        <v>Trey Lyles</v>
      </c>
      <c r="E292">
        <f>IFERROR(__xludf.DUMMYFUNCTION("""COMPUTED_VALUE"""),50.0)</f>
        <v>50</v>
      </c>
      <c r="F292" t="str">
        <f>IFERROR(__xludf.DUMMYFUNCTION("""COMPUTED_VALUE"""),"PF")</f>
        <v>PF</v>
      </c>
      <c r="G292" s="26">
        <f>IFERROR(__xludf.DUMMYFUNCTION("""COMPUTED_VALUE"""),-7.518341011776988)</f>
        <v>-7.518341012</v>
      </c>
      <c r="H292" s="26">
        <f>IFERROR(__xludf.DUMMYFUNCTION("""COMPUTED_VALUE"""),-7.78420050700137)</f>
        <v>-7.784200507</v>
      </c>
      <c r="I292" s="26">
        <f>IFERROR(__xludf.DUMMYFUNCTION("""COMPUTED_VALUE"""),-0.26585949522438224)</f>
        <v>-0.2658594952</v>
      </c>
      <c r="J292" s="26">
        <f>IFERROR(__xludf.DUMMYFUNCTION("""COMPUTED_VALUE"""),7.080136986)</f>
        <v>7.080136986</v>
      </c>
      <c r="K292" s="26">
        <f>IFERROR(__xludf.DUMMYFUNCTION("""COMPUTED_VALUE"""),1.33630137)</f>
        <v>1.33630137</v>
      </c>
      <c r="L292" s="26">
        <f>IFERROR(__xludf.DUMMYFUNCTION("""COMPUTED_VALUE"""),4.237808219)</f>
        <v>4.237808219</v>
      </c>
      <c r="M292" s="26">
        <f>IFERROR(__xludf.DUMMYFUNCTION("""COMPUTED_VALUE"""),1.039452055)</f>
        <v>1.039452055</v>
      </c>
      <c r="N292" s="26">
        <f>IFERROR(__xludf.DUMMYFUNCTION("""COMPUTED_VALUE"""),0.3226027397)</f>
        <v>0.3226027397</v>
      </c>
      <c r="O292" s="26">
        <f>IFERROR(__xludf.DUMMYFUNCTION("""COMPUTED_VALUE"""),0.3579452055)</f>
        <v>0.3579452055</v>
      </c>
      <c r="P292" s="464">
        <f>IFERROR(__xludf.DUMMYFUNCTION("""COMPUTED_VALUE"""),0.434851283)</f>
        <v>0.434851283</v>
      </c>
      <c r="Q292" s="464">
        <f>IFERROR(__xludf.DUMMYFUNCTION("""COMPUTED_VALUE"""),0.7460510328)</f>
        <v>0.7460510328</v>
      </c>
      <c r="R292" s="26">
        <f>IFERROR(__xludf.DUMMYFUNCTION("""COMPUTED_VALUE"""),0.6765753425)</f>
        <v>0.6765753425</v>
      </c>
      <c r="S292" s="26">
        <f>IFERROR(__xludf.DUMMYFUNCTION("""COMPUTED_VALUE"""),-1.8761961659552218)</f>
        <v>-1.876196166</v>
      </c>
      <c r="T292" s="26">
        <f>IFERROR(__xludf.DUMMYFUNCTION("""COMPUTED_VALUE"""),-0.40903690627314254)</f>
        <v>-0.4090369063</v>
      </c>
      <c r="U292" s="26">
        <f>IFERROR(__xludf.DUMMYFUNCTION("""COMPUTED_VALUE"""),-0.7232742042235729)</f>
        <v>-0.7232742042</v>
      </c>
      <c r="V292" s="26">
        <f>IFERROR(__xludf.DUMMYFUNCTION("""COMPUTED_VALUE"""),-1.3142226409671385)</f>
        <v>-1.314222641</v>
      </c>
      <c r="W292" s="26">
        <f>IFERROR(__xludf.DUMMYFUNCTION("""COMPUTED_VALUE"""),-2.161642898235643)</f>
        <v>-2.161642898</v>
      </c>
      <c r="X292" s="26">
        <f>IFERROR(__xludf.DUMMYFUNCTION("""COMPUTED_VALUE"""),-0.6969094839481297)</f>
        <v>-0.6969094839</v>
      </c>
      <c r="Y292" s="26">
        <f>IFERROR(__xludf.DUMMYFUNCTION("""COMPUTED_VALUE"""),-0.40912928801413)</f>
        <v>-0.409129288</v>
      </c>
      <c r="Z292" s="26">
        <f>IFERROR(__xludf.DUMMYFUNCTION("""COMPUTED_VALUE"""),-0.19378891938439108)</f>
        <v>-0.1937889194</v>
      </c>
      <c r="AA292" s="26">
        <f>IFERROR(__xludf.DUMMYFUNCTION("""COMPUTED_VALUE"""),0.0)</f>
        <v>0</v>
      </c>
      <c r="AB292" t="str">
        <f>IFERROR(__xludf.DUMMYFUNCTION("SUBSTITUTE(REGEXREPLACE(REGEXREPLACE(REGEXREPLACE(REGEXREPLACE(REGEXREPLACE(REGEXREPLACE(F292,"","",),IF(Projections!$T$17="""",""PG"",),),IF(Projections!$U$17="""",""SG"",),),IF(Projections!$V$17="""",""SF"",),),IF(Projections!$W$17="""",""PF"",),),IF(Pr"&amp;"ojections!$X$17="""",""C"",),),""/"","""")"),"PF")</f>
        <v>PF</v>
      </c>
    </row>
    <row r="293">
      <c r="B293">
        <f>IFERROR(__xludf.DUMMYFUNCTION("""COMPUTED_VALUE"""),291.0)</f>
        <v>291</v>
      </c>
      <c r="D293" t="str">
        <f>IFERROR(__xludf.DUMMYFUNCTION("""COMPUTED_VALUE"""),"Pat Connaughton")</f>
        <v>Pat Connaughton</v>
      </c>
      <c r="E293">
        <f>IFERROR(__xludf.DUMMYFUNCTION("""COMPUTED_VALUE"""),22.0)</f>
        <v>22</v>
      </c>
      <c r="F293" t="str">
        <f>IFERROR(__xludf.DUMMYFUNCTION("""COMPUTED_VALUE"""),"SF,PF")</f>
        <v>SF,PF</v>
      </c>
      <c r="G293" s="26">
        <f>IFERROR(__xludf.DUMMYFUNCTION("""COMPUTED_VALUE"""),-7.519090926114388)</f>
        <v>-7.519090926</v>
      </c>
      <c r="H293" s="26">
        <f>IFERROR(__xludf.DUMMYFUNCTION("""COMPUTED_VALUE"""),-7.8016637378249305)</f>
        <v>-7.801663738</v>
      </c>
      <c r="I293" s="26">
        <f>IFERROR(__xludf.DUMMYFUNCTION("""COMPUTED_VALUE"""),-0.2825728117105424)</f>
        <v>-0.2825728117</v>
      </c>
      <c r="J293" s="26">
        <f>IFERROR(__xludf.DUMMYFUNCTION("""COMPUTED_VALUE"""),5.657808219)</f>
        <v>5.657808219</v>
      </c>
      <c r="K293" s="26">
        <f>IFERROR(__xludf.DUMMYFUNCTION("""COMPUTED_VALUE"""),1.109863014)</f>
        <v>1.109863014</v>
      </c>
      <c r="L293" s="26">
        <f>IFERROR(__xludf.DUMMYFUNCTION("""COMPUTED_VALUE"""),2.728630137)</f>
        <v>2.728630137</v>
      </c>
      <c r="M293" s="26">
        <f>IFERROR(__xludf.DUMMYFUNCTION("""COMPUTED_VALUE"""),1.861780822)</f>
        <v>1.861780822</v>
      </c>
      <c r="N293" s="26">
        <f>IFERROR(__xludf.DUMMYFUNCTION("""COMPUTED_VALUE"""),0.5152054795)</f>
        <v>0.5152054795</v>
      </c>
      <c r="O293" s="26">
        <f>IFERROR(__xludf.DUMMYFUNCTION("""COMPUTED_VALUE"""),0.2612328767)</f>
        <v>0.2612328767</v>
      </c>
      <c r="P293" s="464">
        <f>IFERROR(__xludf.DUMMYFUNCTION("""COMPUTED_VALUE"""),0.4360979324)</f>
        <v>0.4360979324</v>
      </c>
      <c r="Q293" s="464">
        <f>IFERROR(__xludf.DUMMYFUNCTION("""COMPUTED_VALUE"""),0.7699932417)</f>
        <v>0.7699932417</v>
      </c>
      <c r="R293" s="26">
        <f>IFERROR(__xludf.DUMMYFUNCTION("""COMPUTED_VALUE"""),0.6091780822)</f>
        <v>0.6091780822</v>
      </c>
      <c r="S293" s="26">
        <f>IFERROR(__xludf.DUMMYFUNCTION("""COMPUTED_VALUE"""),-2.132578946352145)</f>
        <v>-2.132578946</v>
      </c>
      <c r="T293" s="26">
        <f>IFERROR(__xludf.DUMMYFUNCTION("""COMPUTED_VALUE"""),-0.6336475739227209)</f>
        <v>-0.6336475739</v>
      </c>
      <c r="U293" s="26">
        <f>IFERROR(__xludf.DUMMYFUNCTION("""COMPUTED_VALUE"""),-1.3147316532783992)</f>
        <v>-1.314731653</v>
      </c>
      <c r="V293" s="26">
        <f>IFERROR(__xludf.DUMMYFUNCTION("""COMPUTED_VALUE"""),-0.9407715626518561)</f>
        <v>-0.9407715627</v>
      </c>
      <c r="W293" s="26">
        <f>IFERROR(__xludf.DUMMYFUNCTION("""COMPUTED_VALUE"""),-1.5244526772692422)</f>
        <v>-1.524452677</v>
      </c>
      <c r="X293" s="26">
        <f>IFERROR(__xludf.DUMMYFUNCTION("""COMPUTED_VALUE"""),-0.8694102187533765)</f>
        <v>-0.8694102188</v>
      </c>
      <c r="Y293" s="26">
        <f>IFERROR(__xludf.DUMMYFUNCTION("""COMPUTED_VALUE"""),-0.3326936192590418)</f>
        <v>-0.3326936193</v>
      </c>
      <c r="Z293" s="26">
        <f>IFERROR(__xludf.DUMMYFUNCTION("""COMPUTED_VALUE"""),-0.053377486338147324)</f>
        <v>-0.05337748634</v>
      </c>
      <c r="AA293" s="26">
        <f>IFERROR(__xludf.DUMMYFUNCTION("""COMPUTED_VALUE"""),0.0)</f>
        <v>0</v>
      </c>
      <c r="AB293" t="str">
        <f>IFERROR(__xludf.DUMMYFUNCTION("SUBSTITUTE(REGEXREPLACE(REGEXREPLACE(REGEXREPLACE(REGEXREPLACE(REGEXREPLACE(REGEXREPLACE(F293,"","",),IF(Projections!$T$17="""",""PG"",),),IF(Projections!$U$17="""",""SG"",),),IF(Projections!$V$17="""",""SF"",),),IF(Projections!$W$17="""",""PF"",),),IF(Pr"&amp;"ojections!$X$17="""",""C"",),),""/"","""")"),"SFPF")</f>
        <v>SFPF</v>
      </c>
    </row>
    <row r="294">
      <c r="B294">
        <f>IFERROR(__xludf.DUMMYFUNCTION("""COMPUTED_VALUE"""),288.0)</f>
        <v>288</v>
      </c>
      <c r="D294" t="str">
        <f>IFERROR(__xludf.DUMMYFUNCTION("""COMPUTED_VALUE"""),"Guerschon Yabusele")</f>
        <v>Guerschon Yabusele</v>
      </c>
      <c r="E294">
        <f>IFERROR(__xludf.DUMMYFUNCTION("""COMPUTED_VALUE"""),60.0)</f>
        <v>60</v>
      </c>
      <c r="F294" t="str">
        <f>IFERROR(__xludf.DUMMYFUNCTION("""COMPUTED_VALUE"""),"PF")</f>
        <v>PF</v>
      </c>
      <c r="G294" s="26">
        <f>IFERROR(__xludf.DUMMYFUNCTION("""COMPUTED_VALUE"""),-7.620342369098339)</f>
        <v>-7.620342369</v>
      </c>
      <c r="H294" s="26">
        <f>IFERROR(__xludf.DUMMYFUNCTION("""COMPUTED_VALUE"""),-7.811180043573567)</f>
        <v>-7.811180044</v>
      </c>
      <c r="I294" s="26">
        <f>IFERROR(__xludf.DUMMYFUNCTION("""COMPUTED_VALUE"""),-0.19083767447522781)</f>
        <v>-0.1908376745</v>
      </c>
      <c r="J294" s="26">
        <f>IFERROR(__xludf.DUMMYFUNCTION("""COMPUTED_VALUE"""),6.889104478)</f>
        <v>6.889104478</v>
      </c>
      <c r="K294" s="26">
        <f>IFERROR(__xludf.DUMMYFUNCTION("""COMPUTED_VALUE"""),0.8210447761)</f>
        <v>0.8210447761</v>
      </c>
      <c r="L294" s="26">
        <f>IFERROR(__xludf.DUMMYFUNCTION("""COMPUTED_VALUE"""),3.103283582)</f>
        <v>3.103283582</v>
      </c>
      <c r="M294" s="26">
        <f>IFERROR(__xludf.DUMMYFUNCTION("""COMPUTED_VALUE"""),1.052238806)</f>
        <v>1.052238806</v>
      </c>
      <c r="N294" s="26">
        <f>IFERROR(__xludf.DUMMYFUNCTION("""COMPUTED_VALUE"""),0.5064179104)</f>
        <v>0.5064179104</v>
      </c>
      <c r="O294" s="26">
        <f>IFERROR(__xludf.DUMMYFUNCTION("""COMPUTED_VALUE"""),0.3491044776)</f>
        <v>0.3491044776</v>
      </c>
      <c r="P294" s="464">
        <f>IFERROR(__xludf.DUMMYFUNCTION("""COMPUTED_VALUE"""),0.4640430119)</f>
        <v>0.4640430119</v>
      </c>
      <c r="Q294" s="464">
        <f>IFERROR(__xludf.DUMMYFUNCTION("""COMPUTED_VALUE"""),0.7889429351)</f>
        <v>0.7889429351</v>
      </c>
      <c r="R294" s="26">
        <f>IFERROR(__xludf.DUMMYFUNCTION("""COMPUTED_VALUE"""),0.9791044776)</f>
        <v>0.9791044776</v>
      </c>
      <c r="S294" s="26">
        <f>IFERROR(__xludf.DUMMYFUNCTION("""COMPUTED_VALUE"""),-1.910630852705277)</f>
        <v>-1.910630853</v>
      </c>
      <c r="T294" s="26">
        <f>IFERROR(__xludf.DUMMYFUNCTION("""COMPUTED_VALUE"""),-0.920134626690821)</f>
        <v>-0.9201346267</v>
      </c>
      <c r="U294" s="26">
        <f>IFERROR(__xludf.DUMMYFUNCTION("""COMPUTED_VALUE"""),-1.167902346980998)</f>
        <v>-1.167902347</v>
      </c>
      <c r="V294" s="26">
        <f>IFERROR(__xludf.DUMMYFUNCTION("""COMPUTED_VALUE"""),-1.3084156862055778)</f>
        <v>-1.308415686</v>
      </c>
      <c r="W294" s="26">
        <f>IFERROR(__xludf.DUMMYFUNCTION("""COMPUTED_VALUE"""),-1.5535247096941232)</f>
        <v>-1.55352471</v>
      </c>
      <c r="X294" s="26">
        <f>IFERROR(__xludf.DUMMYFUNCTION("""COMPUTED_VALUE"""),-0.7126782290283664)</f>
        <v>-0.712678229</v>
      </c>
      <c r="Y294" s="26">
        <f>IFERROR(__xludf.DUMMYFUNCTION("""COMPUTED_VALUE"""),-0.21121192199618752)</f>
        <v>-0.211211922</v>
      </c>
      <c r="Z294" s="26">
        <f>IFERROR(__xludf.DUMMYFUNCTION("""COMPUTED_VALUE"""),-0.026681670272215942)</f>
        <v>-0.02668167027</v>
      </c>
      <c r="AA294" s="26">
        <f>IFERROR(__xludf.DUMMYFUNCTION("""COMPUTED_VALUE"""),0.0)</f>
        <v>0</v>
      </c>
      <c r="AB294" t="str">
        <f>IFERROR(__xludf.DUMMYFUNCTION("SUBSTITUTE(REGEXREPLACE(REGEXREPLACE(REGEXREPLACE(REGEXREPLACE(REGEXREPLACE(REGEXREPLACE(F294,"","",),IF(Projections!$T$17="""",""PG"",),),IF(Projections!$U$17="""",""SG"",),),IF(Projections!$V$17="""",""SF"",),),IF(Projections!$W$17="""",""PF"",),),IF(Pr"&amp;"ojections!$X$17="""",""C"",),),""/"","""")"),"PF")</f>
        <v>PF</v>
      </c>
    </row>
    <row r="295">
      <c r="B295">
        <f>IFERROR(__xludf.DUMMYFUNCTION("""COMPUTED_VALUE"""),296.0)</f>
        <v>296</v>
      </c>
      <c r="C295">
        <f>IFERROR(__xludf.DUMMYFUNCTION("""COMPUTED_VALUE"""),141.7)</f>
        <v>141.7</v>
      </c>
      <c r="D295" t="str">
        <f>IFERROR(__xludf.DUMMYFUNCTION("""COMPUTED_VALUE"""),"Stephon Castle")</f>
        <v>Stephon Castle</v>
      </c>
      <c r="E295">
        <f>IFERROR(__xludf.DUMMYFUNCTION("""COMPUTED_VALUE"""),22.0)</f>
        <v>22</v>
      </c>
      <c r="F295" t="str">
        <f>IFERROR(__xludf.DUMMYFUNCTION("""COMPUTED_VALUE"""),"PG")</f>
        <v>PG</v>
      </c>
      <c r="G295" s="26">
        <f>IFERROR(__xludf.DUMMYFUNCTION("""COMPUTED_VALUE"""),-7.71963876108748)</f>
        <v>-7.719638761</v>
      </c>
      <c r="H295" s="26">
        <f>IFERROR(__xludf.DUMMYFUNCTION("""COMPUTED_VALUE"""),-7.812284433735727)</f>
        <v>-7.812284434</v>
      </c>
      <c r="I295" s="26">
        <f>IFERROR(__xludf.DUMMYFUNCTION("""COMPUTED_VALUE"""),-0.09264567264824741)</f>
        <v>-0.09264567265</v>
      </c>
      <c r="J295" s="26">
        <f>IFERROR(__xludf.DUMMYFUNCTION("""COMPUTED_VALUE"""),7.142191781)</f>
        <v>7.142191781</v>
      </c>
      <c r="K295" s="26">
        <f>IFERROR(__xludf.DUMMYFUNCTION("""COMPUTED_VALUE"""),0.6167123288)</f>
        <v>0.6167123288</v>
      </c>
      <c r="L295" s="26">
        <f>IFERROR(__xludf.DUMMYFUNCTION("""COMPUTED_VALUE"""),3.208356164)</f>
        <v>3.208356164</v>
      </c>
      <c r="M295" s="26">
        <f>IFERROR(__xludf.DUMMYFUNCTION("""COMPUTED_VALUE"""),2.108356164)</f>
        <v>2.108356164</v>
      </c>
      <c r="N295" s="26">
        <f>IFERROR(__xludf.DUMMYFUNCTION("""COMPUTED_VALUE"""),0.6416438356)</f>
        <v>0.6416438356</v>
      </c>
      <c r="O295" s="26">
        <f>IFERROR(__xludf.DUMMYFUNCTION("""COMPUTED_VALUE"""),0.3208219178)</f>
        <v>0.3208219178</v>
      </c>
      <c r="P295" s="464">
        <f>IFERROR(__xludf.DUMMYFUNCTION("""COMPUTED_VALUE"""),0.4022121465)</f>
        <v>0.4022121465</v>
      </c>
      <c r="Q295" s="464">
        <f>IFERROR(__xludf.DUMMYFUNCTION("""COMPUTED_VALUE"""),0.746025878)</f>
        <v>0.746025878</v>
      </c>
      <c r="R295" s="26">
        <f>IFERROR(__xludf.DUMMYFUNCTION("""COMPUTED_VALUE"""),1.375068493)</f>
        <v>1.375068493</v>
      </c>
      <c r="S295" s="26">
        <f>IFERROR(__xludf.DUMMYFUNCTION("""COMPUTED_VALUE"""),-1.8650104392454832)</f>
        <v>-1.865010439</v>
      </c>
      <c r="T295" s="26">
        <f>IFERROR(__xludf.DUMMYFUNCTION("""COMPUTED_VALUE"""),-1.1228178126194688)</f>
        <v>-1.122817813</v>
      </c>
      <c r="U295" s="26">
        <f>IFERROR(__xludf.DUMMYFUNCTION("""COMPUTED_VALUE"""),-1.126723666971965)</f>
        <v>-1.126723667</v>
      </c>
      <c r="V295" s="26">
        <f>IFERROR(__xludf.DUMMYFUNCTION("""COMPUTED_VALUE"""),-0.8287922290189134)</f>
        <v>-0.828792229</v>
      </c>
      <c r="W295" s="26">
        <f>IFERROR(__xludf.DUMMYFUNCTION("""COMPUTED_VALUE"""),-1.106154972129393)</f>
        <v>-1.106154972</v>
      </c>
      <c r="X295" s="26">
        <f>IFERROR(__xludf.DUMMYFUNCTION("""COMPUTED_VALUE"""),-0.7631243552690298)</f>
        <v>-0.7631243553</v>
      </c>
      <c r="Y295" s="26">
        <f>IFERROR(__xludf.DUMMYFUNCTION("""COMPUTED_VALUE"""),-0.7447552368178931)</f>
        <v>-0.7447552368</v>
      </c>
      <c r="Z295" s="26">
        <f>IFERROR(__xludf.DUMMYFUNCTION("""COMPUTED_VALUE"""),-0.25490572166358205)</f>
        <v>-0.2549057217</v>
      </c>
      <c r="AA295" s="26">
        <f>IFERROR(__xludf.DUMMYFUNCTION("""COMPUTED_VALUE"""),0.0)</f>
        <v>0</v>
      </c>
      <c r="AB295" t="str">
        <f>IFERROR(__xludf.DUMMYFUNCTION("SUBSTITUTE(REGEXREPLACE(REGEXREPLACE(REGEXREPLACE(REGEXREPLACE(REGEXREPLACE(REGEXREPLACE(F295,"","",),IF(Projections!$T$17="""",""PG"",),),IF(Projections!$U$17="""",""SG"",),),IF(Projections!$V$17="""",""SF"",),),IF(Projections!$W$17="""",""PF"",),),IF(Pr"&amp;"ojections!$X$17="""",""C"",),),""/"","""")"),"PG")</f>
        <v>PG</v>
      </c>
    </row>
    <row r="296">
      <c r="B296">
        <f>IFERROR(__xludf.DUMMYFUNCTION("""COMPUTED_VALUE"""),284.0)</f>
        <v>284</v>
      </c>
      <c r="C296">
        <f>IFERROR(__xludf.DUMMYFUNCTION("""COMPUTED_VALUE"""),140.1)</f>
        <v>140.1</v>
      </c>
      <c r="D296" t="str">
        <f>IFERROR(__xludf.DUMMYFUNCTION("""COMPUTED_VALUE"""),"Mitchell Robinson")</f>
        <v>Mitchell Robinson</v>
      </c>
      <c r="E296">
        <f>IFERROR(__xludf.DUMMYFUNCTION("""COMPUTED_VALUE"""),60.0)</f>
        <v>60</v>
      </c>
      <c r="F296" t="str">
        <f>IFERROR(__xludf.DUMMYFUNCTION("""COMPUTED_VALUE"""),"C")</f>
        <v>C</v>
      </c>
      <c r="G296" s="26">
        <f>IFERROR(__xludf.DUMMYFUNCTION("""COMPUTED_VALUE"""),-7.580506501590996)</f>
        <v>-7.580506502</v>
      </c>
      <c r="H296" s="26">
        <f>IFERROR(__xludf.DUMMYFUNCTION("""COMPUTED_VALUE"""),-7.86768926322066)</f>
        <v>-7.867689263</v>
      </c>
      <c r="I296" s="26">
        <f>IFERROR(__xludf.DUMMYFUNCTION("""COMPUTED_VALUE"""),-0.28718276162966383)</f>
        <v>-0.2871827616</v>
      </c>
      <c r="J296" s="26">
        <f>IFERROR(__xludf.DUMMYFUNCTION("""COMPUTED_VALUE"""),4.655294118)</f>
        <v>4.655294118</v>
      </c>
      <c r="K296" s="26">
        <f>IFERROR(__xludf.DUMMYFUNCTION("""COMPUTED_VALUE"""),0.0)</f>
        <v>0</v>
      </c>
      <c r="L296" s="26">
        <f>IFERROR(__xludf.DUMMYFUNCTION("""COMPUTED_VALUE"""),5.94)</f>
        <v>5.94</v>
      </c>
      <c r="M296" s="26">
        <f>IFERROR(__xludf.DUMMYFUNCTION("""COMPUTED_VALUE"""),0.4320588235)</f>
        <v>0.4320588235</v>
      </c>
      <c r="N296" s="26">
        <f>IFERROR(__xludf.DUMMYFUNCTION("""COMPUTED_VALUE"""),0.6479411765)</f>
        <v>0.6479411765</v>
      </c>
      <c r="O296" s="26">
        <f>IFERROR(__xludf.DUMMYFUNCTION("""COMPUTED_VALUE"""),0.9)</f>
        <v>0.9</v>
      </c>
      <c r="P296" s="464">
        <f>IFERROR(__xludf.DUMMYFUNCTION("""COMPUTED_VALUE"""),0.6179673321)</f>
        <v>0.6179673321</v>
      </c>
      <c r="Q296" s="464">
        <f>IFERROR(__xludf.DUMMYFUNCTION("""COMPUTED_VALUE"""),0.4429287864)</f>
        <v>0.4429287864</v>
      </c>
      <c r="R296" s="26">
        <f>IFERROR(__xludf.DUMMYFUNCTION("""COMPUTED_VALUE"""),0.5905882353)</f>
        <v>0.5905882353</v>
      </c>
      <c r="S296" s="26">
        <f>IFERROR(__xludf.DUMMYFUNCTION("""COMPUTED_VALUE"""),-2.313287765975915)</f>
        <v>-2.313287766</v>
      </c>
      <c r="T296" s="26">
        <f>IFERROR(__xludf.DUMMYFUNCTION("""COMPUTED_VALUE"""),-1.7345523719336797)</f>
        <v>-1.734552372</v>
      </c>
      <c r="U296" s="26">
        <f>IFERROR(__xludf.DUMMYFUNCTION("""COMPUTED_VALUE"""),-0.05617333614168931)</f>
        <v>-0.05617333614</v>
      </c>
      <c r="V296" s="26">
        <f>IFERROR(__xludf.DUMMYFUNCTION("""COMPUTED_VALUE"""),-1.5900632370496526)</f>
        <v>-1.590063237</v>
      </c>
      <c r="W296" s="26">
        <f>IFERROR(__xludf.DUMMYFUNCTION("""COMPUTED_VALUE"""),-1.0853213949760334)</f>
        <v>-1.085321395</v>
      </c>
      <c r="X296" s="26">
        <f>IFERROR(__xludf.DUMMYFUNCTION("""COMPUTED_VALUE"""),0.26992537067856587)</f>
        <v>0.2699253707</v>
      </c>
      <c r="Y296" s="26">
        <f>IFERROR(__xludf.DUMMYFUNCTION("""COMPUTED_VALUE"""),0.45511832458712886)</f>
        <v>0.4551183246</v>
      </c>
      <c r="Z296" s="26">
        <f>IFERROR(__xludf.DUMMYFUNCTION("""COMPUTED_VALUE"""),-1.8133348524093846)</f>
        <v>-1.813334852</v>
      </c>
      <c r="AA296" s="26">
        <f>IFERROR(__xludf.DUMMYFUNCTION("""COMPUTED_VALUE"""),0.0)</f>
        <v>0</v>
      </c>
      <c r="AB296" t="str">
        <f>IFERROR(__xludf.DUMMYFUNCTION("SUBSTITUTE(REGEXREPLACE(REGEXREPLACE(REGEXREPLACE(REGEXREPLACE(REGEXREPLACE(REGEXREPLACE(F296,"","",),IF(Projections!$T$17="""",""PG"",),),IF(Projections!$U$17="""",""SG"",),),IF(Projections!$V$17="""",""SF"",),),IF(Projections!$W$17="""",""PF"",),),IF(Pr"&amp;"ojections!$X$17="""",""C"",),),""/"","""")"),"C")</f>
        <v>C</v>
      </c>
    </row>
    <row r="297">
      <c r="B297">
        <f>IFERROR(__xludf.DUMMYFUNCTION("""COMPUTED_VALUE"""),297.0)</f>
        <v>297</v>
      </c>
      <c r="D297" t="str">
        <f>IFERROR(__xludf.DUMMYFUNCTION("""COMPUTED_VALUE"""),"Alec Burks")</f>
        <v>Alec Burks</v>
      </c>
      <c r="E297">
        <f>IFERROR(__xludf.DUMMYFUNCTION("""COMPUTED_VALUE"""),68.0)</f>
        <v>68</v>
      </c>
      <c r="F297" t="str">
        <f>IFERROR(__xludf.DUMMYFUNCTION("""COMPUTED_VALUE"""),"PF,C")</f>
        <v>PF,C</v>
      </c>
      <c r="G297" s="26">
        <f>IFERROR(__xludf.DUMMYFUNCTION("""COMPUTED_VALUE"""),-7.6613239464573635)</f>
        <v>-7.661323946</v>
      </c>
      <c r="H297" s="26">
        <f>IFERROR(__xludf.DUMMYFUNCTION("""COMPUTED_VALUE"""),-7.890486182154169)</f>
        <v>-7.890486182</v>
      </c>
      <c r="I297" s="26">
        <f>IFERROR(__xludf.DUMMYFUNCTION("""COMPUTED_VALUE"""),-0.22916223569680572)</f>
        <v>-0.2291622357</v>
      </c>
      <c r="J297" s="26">
        <f>IFERROR(__xludf.DUMMYFUNCTION("""COMPUTED_VALUE"""),7.602794118)</f>
        <v>7.602794118</v>
      </c>
      <c r="K297" s="26">
        <f>IFERROR(__xludf.DUMMYFUNCTION("""COMPUTED_VALUE"""),1.285294118)</f>
        <v>1.285294118</v>
      </c>
      <c r="L297" s="26">
        <f>IFERROR(__xludf.DUMMYFUNCTION("""COMPUTED_VALUE"""),2.13)</f>
        <v>2.13</v>
      </c>
      <c r="M297" s="26">
        <f>IFERROR(__xludf.DUMMYFUNCTION("""COMPUTED_VALUE"""),1.786470588)</f>
        <v>1.786470588</v>
      </c>
      <c r="N297" s="26">
        <f>IFERROR(__xludf.DUMMYFUNCTION("""COMPUTED_VALUE"""),0.4422058824)</f>
        <v>0.4422058824</v>
      </c>
      <c r="O297" s="26">
        <f>IFERROR(__xludf.DUMMYFUNCTION("""COMPUTED_VALUE"""),0.1382352941)</f>
        <v>0.1382352941</v>
      </c>
      <c r="P297" s="464">
        <f>IFERROR(__xludf.DUMMYFUNCTION("""COMPUTED_VALUE"""),0.4045592554)</f>
        <v>0.4045592554</v>
      </c>
      <c r="Q297" s="464">
        <f>IFERROR(__xludf.DUMMYFUNCTION("""COMPUTED_VALUE"""),0.8530252307)</f>
        <v>0.8530252307</v>
      </c>
      <c r="R297" s="26">
        <f>IFERROR(__xludf.DUMMYFUNCTION("""COMPUTED_VALUE"""),0.8245588235)</f>
        <v>0.8245588235</v>
      </c>
      <c r="S297" s="26">
        <f>IFERROR(__xludf.DUMMYFUNCTION("""COMPUTED_VALUE"""),-1.78198427078342)</f>
        <v>-1.781984271</v>
      </c>
      <c r="T297" s="26">
        <f>IFERROR(__xludf.DUMMYFUNCTION("""COMPUTED_VALUE"""),-0.4596324552299204)</f>
        <v>-0.4596324552</v>
      </c>
      <c r="U297" s="26">
        <f>IFERROR(__xludf.DUMMYFUNCTION("""COMPUTED_VALUE"""),-1.549338992187103)</f>
        <v>-1.549338992</v>
      </c>
      <c r="V297" s="26">
        <f>IFERROR(__xludf.DUMMYFUNCTION("""COMPUTED_VALUE"""),-0.9749728325382059)</f>
        <v>-0.9749728325</v>
      </c>
      <c r="W297" s="26">
        <f>IFERROR(__xludf.DUMMYFUNCTION("""COMPUTED_VALUE"""),-1.7659582210372502)</f>
        <v>-1.765958221</v>
      </c>
      <c r="X297" s="26">
        <f>IFERROR(__xludf.DUMMYFUNCTION("""COMPUTED_VALUE"""),-1.08879458929879)</f>
        <v>-1.088794589</v>
      </c>
      <c r="Y297" s="26">
        <f>IFERROR(__xludf.DUMMYFUNCTION("""COMPUTED_VALUE"""),-0.6370645117803275)</f>
        <v>-0.6370645118</v>
      </c>
      <c r="Z297" s="26">
        <f>IFERROR(__xludf.DUMMYFUNCTION("""COMPUTED_VALUE"""),0.36725969070084735)</f>
        <v>0.3672596907</v>
      </c>
      <c r="AA297" s="26">
        <f>IFERROR(__xludf.DUMMYFUNCTION("""COMPUTED_VALUE"""),0.0)</f>
        <v>0</v>
      </c>
      <c r="AB297" t="str">
        <f>IFERROR(__xludf.DUMMYFUNCTION("SUBSTITUTE(REGEXREPLACE(REGEXREPLACE(REGEXREPLACE(REGEXREPLACE(REGEXREPLACE(REGEXREPLACE(F297,"","",),IF(Projections!$T$17="""",""PG"",),),IF(Projections!$U$17="""",""SG"",),),IF(Projections!$V$17="""",""SF"",),),IF(Projections!$W$17="""",""PF"",),),IF(Pr"&amp;"ojections!$X$17="""",""C"",),),""/"","""")"),"PFC")</f>
        <v>PFC</v>
      </c>
    </row>
    <row r="298">
      <c r="B298">
        <f>IFERROR(__xludf.DUMMYFUNCTION("""COMPUTED_VALUE"""),292.0)</f>
        <v>292</v>
      </c>
      <c r="D298" t="str">
        <f>IFERROR(__xludf.DUMMYFUNCTION("""COMPUTED_VALUE"""),"Christian Wood")</f>
        <v>Christian Wood</v>
      </c>
      <c r="E298">
        <f>IFERROR(__xludf.DUMMYFUNCTION("""COMPUTED_VALUE"""),54.0)</f>
        <v>54</v>
      </c>
      <c r="F298" t="str">
        <f>IFERROR(__xludf.DUMMYFUNCTION("""COMPUTED_VALUE"""),"SG,SF")</f>
        <v>SG,SF</v>
      </c>
      <c r="G298" s="26">
        <f>IFERROR(__xludf.DUMMYFUNCTION("""COMPUTED_VALUE"""),-7.668114911541206)</f>
        <v>-7.668114912</v>
      </c>
      <c r="H298" s="26">
        <f>IFERROR(__xludf.DUMMYFUNCTION("""COMPUTED_VALUE"""),-7.927882102049336)</f>
        <v>-7.927882102</v>
      </c>
      <c r="I298" s="26">
        <f>IFERROR(__xludf.DUMMYFUNCTION("""COMPUTED_VALUE"""),-0.25976719050813024)</f>
        <v>-0.2597671905</v>
      </c>
      <c r="J298" s="26">
        <f>IFERROR(__xludf.DUMMYFUNCTION("""COMPUTED_VALUE"""),6.757714286)</f>
        <v>6.757714286</v>
      </c>
      <c r="K298" s="26">
        <f>IFERROR(__xludf.DUMMYFUNCTION("""COMPUTED_VALUE"""),0.6865714286)</f>
        <v>0.6865714286</v>
      </c>
      <c r="L298" s="26">
        <f>IFERROR(__xludf.DUMMYFUNCTION("""COMPUTED_VALUE"""),4.271142857)</f>
        <v>4.271142857</v>
      </c>
      <c r="M298" s="26">
        <f>IFERROR(__xludf.DUMMYFUNCTION("""COMPUTED_VALUE"""),0.7968571429)</f>
        <v>0.7968571429</v>
      </c>
      <c r="N298" s="26">
        <f>IFERROR(__xludf.DUMMYFUNCTION("""COMPUTED_VALUE"""),0.2802857143)</f>
        <v>0.2802857143</v>
      </c>
      <c r="O298" s="26">
        <f>IFERROR(__xludf.DUMMYFUNCTION("""COMPUTED_VALUE"""),0.6137142857)</f>
        <v>0.6137142857</v>
      </c>
      <c r="P298" s="464">
        <f>IFERROR(__xludf.DUMMYFUNCTION("""COMPUTED_VALUE"""),0.4850204267)</f>
        <v>0.4850204267</v>
      </c>
      <c r="Q298" s="464">
        <f>IFERROR(__xludf.DUMMYFUNCTION("""COMPUTED_VALUE"""),0.7600658858)</f>
        <v>0.7600658858</v>
      </c>
      <c r="R298" s="26">
        <f>IFERROR(__xludf.DUMMYFUNCTION("""COMPUTED_VALUE"""),0.7011428571)</f>
        <v>0.7011428571</v>
      </c>
      <c r="S298" s="26">
        <f>IFERROR(__xludf.DUMMYFUNCTION("""COMPUTED_VALUE"""),-1.9343146756886913)</f>
        <v>-1.934314676</v>
      </c>
      <c r="T298" s="26">
        <f>IFERROR(__xludf.DUMMYFUNCTION("""COMPUTED_VALUE"""),-1.0535225778162425)</f>
        <v>-1.053522578</v>
      </c>
      <c r="U298" s="26">
        <f>IFERROR(__xludf.DUMMYFUNCTION("""COMPUTED_VALUE"""),-0.710210126370999)</f>
        <v>-0.7102101264</v>
      </c>
      <c r="V298" s="26">
        <f>IFERROR(__xludf.DUMMYFUNCTION("""COMPUTED_VALUE"""),-1.4243943084962476)</f>
        <v>-1.424394308</v>
      </c>
      <c r="W298" s="26">
        <f>IFERROR(__xludf.DUMMYFUNCTION("""COMPUTED_VALUE"""),-2.301640879537811)</f>
        <v>-2.30164088</v>
      </c>
      <c r="X298" s="26">
        <f>IFERROR(__xludf.DUMMYFUNCTION("""COMPUTED_VALUE"""),-0.24070752063688988)</f>
        <v>-0.2407075206</v>
      </c>
      <c r="Y298" s="26">
        <f>IFERROR(__xludf.DUMMYFUNCTION("""COMPUTED_VALUE"""),-0.07160929186553505)</f>
        <v>-0.07160929187</v>
      </c>
      <c r="Z298" s="26">
        <f>IFERROR(__xludf.DUMMYFUNCTION("""COMPUTED_VALUE"""),-0.1914827216369207)</f>
        <v>-0.1914827216</v>
      </c>
      <c r="AA298" s="26">
        <f>IFERROR(__xludf.DUMMYFUNCTION("""COMPUTED_VALUE"""),0.0)</f>
        <v>0</v>
      </c>
      <c r="AB298" t="str">
        <f>IFERROR(__xludf.DUMMYFUNCTION("SUBSTITUTE(REGEXREPLACE(REGEXREPLACE(REGEXREPLACE(REGEXREPLACE(REGEXREPLACE(REGEXREPLACE(F298,"","",),IF(Projections!$T$17="""",""PG"",),),IF(Projections!$U$17="""",""SG"",),),IF(Projections!$V$17="""",""SF"",),),IF(Projections!$W$17="""",""PF"",),),IF(Pr"&amp;"ojections!$X$17="""",""C"",),),""/"","""")"),"SGSF")</f>
        <v>SGSF</v>
      </c>
    </row>
    <row r="299">
      <c r="B299">
        <f>IFERROR(__xludf.DUMMYFUNCTION("""COMPUTED_VALUE"""),295.0)</f>
        <v>295</v>
      </c>
      <c r="D299" t="str">
        <f>IFERROR(__xludf.DUMMYFUNCTION("""COMPUTED_VALUE"""),"John Konchar")</f>
        <v>John Konchar</v>
      </c>
      <c r="E299">
        <f>IFERROR(__xludf.DUMMYFUNCTION("""COMPUTED_VALUE"""),40.0)</f>
        <v>40</v>
      </c>
      <c r="F299" t="str">
        <f>IFERROR(__xludf.DUMMYFUNCTION("""COMPUTED_VALUE"""),"PG,SG")</f>
        <v>PG,SG</v>
      </c>
      <c r="G299" s="26">
        <f>IFERROR(__xludf.DUMMYFUNCTION("""COMPUTED_VALUE"""),-7.617771711495573)</f>
        <v>-7.617771711</v>
      </c>
      <c r="H299" s="26">
        <f>IFERROR(__xludf.DUMMYFUNCTION("""COMPUTED_VALUE"""),-7.935667938719178)</f>
        <v>-7.935667939</v>
      </c>
      <c r="I299" s="26">
        <f>IFERROR(__xludf.DUMMYFUNCTION("""COMPUTED_VALUE"""),-0.31789622722360544)</f>
        <v>-0.3178962272</v>
      </c>
      <c r="J299" s="26">
        <f>IFERROR(__xludf.DUMMYFUNCTION("""COMPUTED_VALUE"""),2.847959184)</f>
        <v>2.847959184</v>
      </c>
      <c r="K299" s="26">
        <f>IFERROR(__xludf.DUMMYFUNCTION("""COMPUTED_VALUE"""),0.4508163265)</f>
        <v>0.4508163265</v>
      </c>
      <c r="L299" s="26">
        <f>IFERROR(__xludf.DUMMYFUNCTION("""COMPUTED_VALUE"""),3.433265306)</f>
        <v>3.433265306</v>
      </c>
      <c r="M299" s="26">
        <f>IFERROR(__xludf.DUMMYFUNCTION("""COMPUTED_VALUE"""),1.133265306)</f>
        <v>1.133265306</v>
      </c>
      <c r="N299" s="26">
        <f>IFERROR(__xludf.DUMMYFUNCTION("""COMPUTED_VALUE"""),0.6687755102)</f>
        <v>0.6687755102</v>
      </c>
      <c r="O299" s="26">
        <f>IFERROR(__xludf.DUMMYFUNCTION("""COMPUTED_VALUE"""),0.4667346939)</f>
        <v>0.4667346939</v>
      </c>
      <c r="P299" s="464">
        <f>IFERROR(__xludf.DUMMYFUNCTION("""COMPUTED_VALUE"""),0.4396431071)</f>
        <v>0.4396431071</v>
      </c>
      <c r="Q299" s="464">
        <f>IFERROR(__xludf.DUMMYFUNCTION("""COMPUTED_VALUE"""),0.7799263352)</f>
        <v>0.7799263352</v>
      </c>
      <c r="R299" s="26">
        <f>IFERROR(__xludf.DUMMYFUNCTION("""COMPUTED_VALUE"""),0.4667346939)</f>
        <v>0.4667346939</v>
      </c>
      <c r="S299" s="26">
        <f>IFERROR(__xludf.DUMMYFUNCTION("""COMPUTED_VALUE"""),-2.6390700789250916)</f>
        <v>-2.639070079</v>
      </c>
      <c r="T299" s="26">
        <f>IFERROR(__xludf.DUMMYFUNCTION("""COMPUTED_VALUE"""),-1.2873747918133955)</f>
        <v>-1.287374792</v>
      </c>
      <c r="U299" s="26">
        <f>IFERROR(__xludf.DUMMYFUNCTION("""COMPUTED_VALUE"""),-1.038580200681928)</f>
        <v>-1.038580201</v>
      </c>
      <c r="V299" s="26">
        <f>IFERROR(__xludf.DUMMYFUNCTION("""COMPUTED_VALUE"""),-1.2716184403698216)</f>
        <v>-1.27161844</v>
      </c>
      <c r="W299" s="26">
        <f>IFERROR(__xludf.DUMMYFUNCTION("""COMPUTED_VALUE"""),-1.0163948900479312)</f>
        <v>-1.01639489</v>
      </c>
      <c r="X299" s="26">
        <f>IFERROR(__xludf.DUMMYFUNCTION("""COMPUTED_VALUE"""),-0.502867349703846)</f>
        <v>-0.5028673497</v>
      </c>
      <c r="Y299" s="26">
        <f>IFERROR(__xludf.DUMMYFUNCTION("""COMPUTED_VALUE"""),-0.15632033626549915)</f>
        <v>-0.1563203363</v>
      </c>
      <c r="Z299" s="26">
        <f>IFERROR(__xludf.DUMMYFUNCTION("""COMPUTED_VALUE"""),-0.02344185091166564)</f>
        <v>-0.02344185091</v>
      </c>
      <c r="AA299" s="26">
        <f>IFERROR(__xludf.DUMMYFUNCTION("""COMPUTED_VALUE"""),0.0)</f>
        <v>0</v>
      </c>
      <c r="AB299" t="str">
        <f>IFERROR(__xludf.DUMMYFUNCTION("SUBSTITUTE(REGEXREPLACE(REGEXREPLACE(REGEXREPLACE(REGEXREPLACE(REGEXREPLACE(REGEXREPLACE(F299,"","",),IF(Projections!$T$17="""",""PG"",),),IF(Projections!$U$17="""",""SG"",),),IF(Projections!$V$17="""",""SF"",),),IF(Projections!$W$17="""",""PF"",),),IF(Pr"&amp;"ojections!$X$17="""",""C"",),),""/"","""")"),"PGSG")</f>
        <v>PGSG</v>
      </c>
    </row>
    <row r="300">
      <c r="B300">
        <f>IFERROR(__xludf.DUMMYFUNCTION("""COMPUTED_VALUE"""),290.0)</f>
        <v>290</v>
      </c>
      <c r="C300">
        <f>IFERROR(__xludf.DUMMYFUNCTION("""COMPUTED_VALUE"""),142.7)</f>
        <v>142.7</v>
      </c>
      <c r="D300" t="str">
        <f>IFERROR(__xludf.DUMMYFUNCTION("""COMPUTED_VALUE"""),"Kel'El Ware")</f>
        <v>Kel'El Ware</v>
      </c>
      <c r="E300">
        <f>IFERROR(__xludf.DUMMYFUNCTION("""COMPUTED_VALUE"""),30.0)</f>
        <v>30</v>
      </c>
      <c r="F300" t="str">
        <f>IFERROR(__xludf.DUMMYFUNCTION("""COMPUTED_VALUE"""),"SG")</f>
        <v>SG</v>
      </c>
      <c r="G300" s="26">
        <f>IFERROR(__xludf.DUMMYFUNCTION("""COMPUTED_VALUE"""),-7.722501050176103)</f>
        <v>-7.72250105</v>
      </c>
      <c r="H300" s="26">
        <f>IFERROR(__xludf.DUMMYFUNCTION("""COMPUTED_VALUE"""),-7.943146268506892)</f>
        <v>-7.943146269</v>
      </c>
      <c r="I300" s="26">
        <f>IFERROR(__xludf.DUMMYFUNCTION("""COMPUTED_VALUE"""),-0.2206452183307892)</f>
        <v>-0.2206452183</v>
      </c>
      <c r="J300" s="26">
        <f>IFERROR(__xludf.DUMMYFUNCTION("""COMPUTED_VALUE"""),6.108356164)</f>
        <v>6.108356164</v>
      </c>
      <c r="K300" s="26">
        <f>IFERROR(__xludf.DUMMYFUNCTION("""COMPUTED_VALUE"""),0.3224657534)</f>
        <v>0.3224657534</v>
      </c>
      <c r="L300" s="26">
        <f>IFERROR(__xludf.DUMMYFUNCTION("""COMPUTED_VALUE"""),4.466027397)</f>
        <v>4.466027397</v>
      </c>
      <c r="M300" s="26">
        <f>IFERROR(__xludf.DUMMYFUNCTION("""COMPUTED_VALUE"""),0.721369863)</f>
        <v>0.721369863</v>
      </c>
      <c r="N300" s="26">
        <f>IFERROR(__xludf.DUMMYFUNCTION("""COMPUTED_VALUE"""),0.3435616438)</f>
        <v>0.3435616438</v>
      </c>
      <c r="O300" s="26">
        <f>IFERROR(__xludf.DUMMYFUNCTION("""COMPUTED_VALUE"""),0.8245205479)</f>
        <v>0.8245205479</v>
      </c>
      <c r="P300" s="464">
        <f>IFERROR(__xludf.DUMMYFUNCTION("""COMPUTED_VALUE"""),0.4975584613)</f>
        <v>0.4975584613</v>
      </c>
      <c r="Q300" s="464">
        <f>IFERROR(__xludf.DUMMYFUNCTION("""COMPUTED_VALUE"""),0.6849568434)</f>
        <v>0.6849568434</v>
      </c>
      <c r="R300" s="26">
        <f>IFERROR(__xludf.DUMMYFUNCTION("""COMPUTED_VALUE"""),0.8589041096)</f>
        <v>0.8589041096</v>
      </c>
      <c r="S300" s="26">
        <f>IFERROR(__xludf.DUMMYFUNCTION("""COMPUTED_VALUE"""),-2.051365138742206)</f>
        <v>-2.051365139</v>
      </c>
      <c r="T300" s="26">
        <f>IFERROR(__xludf.DUMMYFUNCTION("""COMPUTED_VALUE"""),-1.4146893882733569)</f>
        <v>-1.414689388</v>
      </c>
      <c r="U300" s="26">
        <f>IFERROR(__xludf.DUMMYFUNCTION("""COMPUTED_VALUE"""),-0.6338335116670071)</f>
        <v>-0.6338335117</v>
      </c>
      <c r="V300" s="26">
        <f>IFERROR(__xludf.DUMMYFUNCTION("""COMPUTED_VALUE"""),-1.4586759817260282)</f>
        <v>-1.458675982</v>
      </c>
      <c r="W300" s="26">
        <f>IFERROR(__xludf.DUMMYFUNCTION("""COMPUTED_VALUE"""),-2.092304275386558)</f>
        <v>-2.092304275</v>
      </c>
      <c r="X300" s="26">
        <f>IFERROR(__xludf.DUMMYFUNCTION("""COMPUTED_VALUE"""),0.13529661019371383)</f>
        <v>0.1352966102</v>
      </c>
      <c r="Y300" s="26">
        <f>IFERROR(__xludf.DUMMYFUNCTION("""COMPUTED_VALUE"""),0.0018313219220706404)</f>
        <v>0.001831321922</v>
      </c>
      <c r="Z300" s="26">
        <f>IFERROR(__xludf.DUMMYFUNCTION("""COMPUTED_VALUE"""),-0.42940590482751995)</f>
        <v>-0.4294059048</v>
      </c>
      <c r="AA300" s="26">
        <f>IFERROR(__xludf.DUMMYFUNCTION("""COMPUTED_VALUE"""),0.0)</f>
        <v>0</v>
      </c>
      <c r="AB300" t="str">
        <f>IFERROR(__xludf.DUMMYFUNCTION("SUBSTITUTE(REGEXREPLACE(REGEXREPLACE(REGEXREPLACE(REGEXREPLACE(REGEXREPLACE(REGEXREPLACE(F300,"","",),IF(Projections!$T$17="""",""PG"",),),IF(Projections!$U$17="""",""SG"",),),IF(Projections!$V$17="""",""SF"",),),IF(Projections!$W$17="""",""PF"",),),IF(Pr"&amp;"ojections!$X$17="""",""C"",),),""/"","""")"),"SG")</f>
        <v>SG</v>
      </c>
    </row>
    <row r="301">
      <c r="B301">
        <f>IFERROR(__xludf.DUMMYFUNCTION("""COMPUTED_VALUE"""),287.0)</f>
        <v>287</v>
      </c>
      <c r="C301">
        <f>IFERROR(__xludf.DUMMYFUNCTION("""COMPUTED_VALUE"""),135.6)</f>
        <v>135.6</v>
      </c>
      <c r="D301" t="str">
        <f>IFERROR(__xludf.DUMMYFUNCTION("""COMPUTED_VALUE"""),"Kevon Looney")</f>
        <v>Kevon Looney</v>
      </c>
      <c r="E301">
        <f>IFERROR(__xludf.DUMMYFUNCTION("""COMPUTED_VALUE"""),58.0)</f>
        <v>58</v>
      </c>
      <c r="F301" t="str">
        <f>IFERROR(__xludf.DUMMYFUNCTION("""COMPUTED_VALUE"""),"PG,SG")</f>
        <v>PG,SG</v>
      </c>
      <c r="G301" s="26">
        <f>IFERROR(__xludf.DUMMYFUNCTION("""COMPUTED_VALUE"""),-7.746003926392492)</f>
        <v>-7.746003926</v>
      </c>
      <c r="H301" s="26">
        <f>IFERROR(__xludf.DUMMYFUNCTION("""COMPUTED_VALUE"""),-8.014309272809365)</f>
        <v>-8.014309273</v>
      </c>
      <c r="I301" s="26">
        <f>IFERROR(__xludf.DUMMYFUNCTION("""COMPUTED_VALUE"""),-0.26830534641687365)</f>
        <v>-0.2683053464</v>
      </c>
      <c r="J301" s="26">
        <f>IFERROR(__xludf.DUMMYFUNCTION("""COMPUTED_VALUE"""),4.969315068)</f>
        <v>4.969315068</v>
      </c>
      <c r="K301" s="26">
        <f>IFERROR(__xludf.DUMMYFUNCTION("""COMPUTED_VALUE"""),0.0)</f>
        <v>0</v>
      </c>
      <c r="L301" s="26">
        <f>IFERROR(__xludf.DUMMYFUNCTION("""COMPUTED_VALUE"""),5.8)</f>
        <v>5.8</v>
      </c>
      <c r="M301" s="26">
        <f>IFERROR(__xludf.DUMMYFUNCTION("""COMPUTED_VALUE"""),1.4)</f>
        <v>1.4</v>
      </c>
      <c r="N301" s="26">
        <f>IFERROR(__xludf.DUMMYFUNCTION("""COMPUTED_VALUE"""),0.3669863014)</f>
        <v>0.3669863014</v>
      </c>
      <c r="O301" s="26">
        <f>IFERROR(__xludf.DUMMYFUNCTION("""COMPUTED_VALUE"""),0.4667123288)</f>
        <v>0.4667123288</v>
      </c>
      <c r="P301" s="464">
        <f>IFERROR(__xludf.DUMMYFUNCTION("""COMPUTED_VALUE"""),0.6080177276)</f>
        <v>0.6080177276</v>
      </c>
      <c r="Q301" s="464">
        <f>IFERROR(__xludf.DUMMYFUNCTION("""COMPUTED_VALUE"""),0.6450042337)</f>
        <v>0.6450042337</v>
      </c>
      <c r="R301" s="26">
        <f>IFERROR(__xludf.DUMMYFUNCTION("""COMPUTED_VALUE"""),0.6667123288)</f>
        <v>0.6667123288</v>
      </c>
      <c r="S301" s="26">
        <f>IFERROR(__xludf.DUMMYFUNCTION("""COMPUTED_VALUE"""),-2.2566837190552476)</f>
        <v>-2.256683719</v>
      </c>
      <c r="T301" s="26">
        <f>IFERROR(__xludf.DUMMYFUNCTION("""COMPUTED_VALUE"""),-1.7345523719336797)</f>
        <v>-1.734552372</v>
      </c>
      <c r="U301" s="26">
        <f>IFERROR(__xludf.DUMMYFUNCTION("""COMPUTED_VALUE"""),-0.11104031562892257)</f>
        <v>-0.1110403156</v>
      </c>
      <c r="V301" s="26">
        <f>IFERROR(__xludf.DUMMYFUNCTION("""COMPUTED_VALUE"""),-1.150483970683445)</f>
        <v>-1.150483971</v>
      </c>
      <c r="W301" s="26">
        <f>IFERROR(__xludf.DUMMYFUNCTION("""COMPUTED_VALUE"""),-2.014808167243416)</f>
        <v>-2.014808167</v>
      </c>
      <c r="X301" s="26">
        <f>IFERROR(__xludf.DUMMYFUNCTION("""COMPUTED_VALUE"""),-0.5029072411657916)</f>
        <v>-0.5029072412</v>
      </c>
      <c r="Y301" s="26">
        <f>IFERROR(__xludf.DUMMYFUNCTION("""COMPUTED_VALUE"""),0.4380717585269451)</f>
        <v>0.4380717585</v>
      </c>
      <c r="Z301" s="26">
        <f>IFERROR(__xludf.DUMMYFUNCTION("""COMPUTED_VALUE"""),-0.6819052456258083)</f>
        <v>-0.6819052456</v>
      </c>
      <c r="AA301" s="26">
        <f>IFERROR(__xludf.DUMMYFUNCTION("""COMPUTED_VALUE"""),0.0)</f>
        <v>0</v>
      </c>
      <c r="AB301" t="str">
        <f>IFERROR(__xludf.DUMMYFUNCTION("SUBSTITUTE(REGEXREPLACE(REGEXREPLACE(REGEXREPLACE(REGEXREPLACE(REGEXREPLACE(REGEXREPLACE(F301,"","",),IF(Projections!$T$17="""",""PG"",),),IF(Projections!$U$17="""",""SG"",),),IF(Projections!$V$17="""",""SF"",),),IF(Projections!$W$17="""",""PF"",),),IF(Pr"&amp;"ojections!$X$17="""",""C"",),),""/"","""")"),"PGSG")</f>
        <v>PGSG</v>
      </c>
    </row>
    <row r="302">
      <c r="B302">
        <f>IFERROR(__xludf.DUMMYFUNCTION("""COMPUTED_VALUE"""),299.0)</f>
        <v>299</v>
      </c>
      <c r="D302" t="str">
        <f>IFERROR(__xludf.DUMMYFUNCTION("""COMPUTED_VALUE"""),"Tristan Vukcevic")</f>
        <v>Tristan Vukcevic</v>
      </c>
      <c r="E302">
        <f>IFERROR(__xludf.DUMMYFUNCTION("""COMPUTED_VALUE"""),58.0)</f>
        <v>58</v>
      </c>
      <c r="F302" t="str">
        <f>IFERROR(__xludf.DUMMYFUNCTION("""COMPUTED_VALUE"""),"PF,C")</f>
        <v>PF,C</v>
      </c>
      <c r="G302" s="26">
        <f>IFERROR(__xludf.DUMMYFUNCTION("""COMPUTED_VALUE"""),-7.8134816563409535)</f>
        <v>-7.813481656</v>
      </c>
      <c r="H302" s="26">
        <f>IFERROR(__xludf.DUMMYFUNCTION("""COMPUTED_VALUE"""),-8.051359734709514)</f>
        <v>-8.051359735</v>
      </c>
      <c r="I302" s="26">
        <f>IFERROR(__xludf.DUMMYFUNCTION("""COMPUTED_VALUE"""),-0.23787807836856079)</f>
        <v>-0.2378780784</v>
      </c>
      <c r="J302" s="26">
        <f>IFERROR(__xludf.DUMMYFUNCTION("""COMPUTED_VALUE"""),5.617058824)</f>
        <v>5.617058824</v>
      </c>
      <c r="K302" s="26">
        <f>IFERROR(__xludf.DUMMYFUNCTION("""COMPUTED_VALUE"""),0.7805882353)</f>
        <v>0.7805882353</v>
      </c>
      <c r="L302" s="26">
        <f>IFERROR(__xludf.DUMMYFUNCTION("""COMPUTED_VALUE"""),2.972647059)</f>
        <v>2.972647059</v>
      </c>
      <c r="M302" s="26">
        <f>IFERROR(__xludf.DUMMYFUNCTION("""COMPUTED_VALUE"""),1.031470588)</f>
        <v>1.031470588</v>
      </c>
      <c r="N302" s="26">
        <f>IFERROR(__xludf.DUMMYFUNCTION("""COMPUTED_VALUE"""),0.455)</f>
        <v>0.455</v>
      </c>
      <c r="O302" s="26">
        <f>IFERROR(__xludf.DUMMYFUNCTION("""COMPUTED_VALUE"""),0.5458823529)</f>
        <v>0.5458823529</v>
      </c>
      <c r="P302" s="464">
        <f>IFERROR(__xludf.DUMMYFUNCTION("""COMPUTED_VALUE"""),0.4491514009)</f>
        <v>0.4491514009</v>
      </c>
      <c r="Q302" s="464">
        <f>IFERROR(__xludf.DUMMYFUNCTION("""COMPUTED_VALUE"""),0.774563591)</f>
        <v>0.774563591</v>
      </c>
      <c r="R302" s="26">
        <f>IFERROR(__xludf.DUMMYFUNCTION("""COMPUTED_VALUE"""),0.7894117647)</f>
        <v>0.7894117647</v>
      </c>
      <c r="S302" s="26">
        <f>IFERROR(__xludf.DUMMYFUNCTION("""COMPUTED_VALUE"""),-2.1399242545762265)</f>
        <v>-2.139924255</v>
      </c>
      <c r="T302" s="26">
        <f>IFERROR(__xludf.DUMMYFUNCTION("""COMPUTED_VALUE"""),-0.9602646241011555)</f>
        <v>-0.9602646241</v>
      </c>
      <c r="U302" s="26">
        <f>IFERROR(__xludf.DUMMYFUNCTION("""COMPUTED_VALUE"""),-1.219099714321887)</f>
        <v>-1.219099714</v>
      </c>
      <c r="V302" s="26">
        <f>IFERROR(__xludf.DUMMYFUNCTION("""COMPUTED_VALUE"""),-1.3178473316958381)</f>
        <v>-1.317847332</v>
      </c>
      <c r="W302" s="26">
        <f>IFERROR(__xludf.DUMMYFUNCTION("""COMPUTED_VALUE"""),-1.7236312706050838)</f>
        <v>-1.723631271</v>
      </c>
      <c r="X302" s="26">
        <f>IFERROR(__xludf.DUMMYFUNCTION("""COMPUTED_VALUE"""),-0.36169579996431456)</f>
        <v>-0.3616958</v>
      </c>
      <c r="Y302" s="26">
        <f>IFERROR(__xludf.DUMMYFUNCTION("""COMPUTED_VALUE"""),-0.24430445949920654)</f>
        <v>-0.2443044595</v>
      </c>
      <c r="Z302" s="26">
        <f>IFERROR(__xludf.DUMMYFUNCTION("""COMPUTED_VALUE"""),-0.08459227994580261)</f>
        <v>-0.08459227995</v>
      </c>
      <c r="AA302" s="26">
        <f>IFERROR(__xludf.DUMMYFUNCTION("""COMPUTED_VALUE"""),0.0)</f>
        <v>0</v>
      </c>
      <c r="AB302" t="str">
        <f>IFERROR(__xludf.DUMMYFUNCTION("SUBSTITUTE(REGEXREPLACE(REGEXREPLACE(REGEXREPLACE(REGEXREPLACE(REGEXREPLACE(REGEXREPLACE(F302,"","",),IF(Projections!$T$17="""",""PG"",),),IF(Projections!$U$17="""",""SG"",),),IF(Projections!$V$17="""",""SF"",),),IF(Projections!$W$17="""",""PF"",),),IF(Pr"&amp;"ojections!$X$17="""",""C"",),),""/"","""")"),"PFC")</f>
        <v>PFC</v>
      </c>
    </row>
    <row r="303">
      <c r="B303">
        <f>IFERROR(__xludf.DUMMYFUNCTION("""COMPUTED_VALUE"""),302.0)</f>
        <v>302</v>
      </c>
      <c r="D303" t="str">
        <f>IFERROR(__xludf.DUMMYFUNCTION("""COMPUTED_VALUE"""),"Jalen Wilson")</f>
        <v>Jalen Wilson</v>
      </c>
      <c r="E303">
        <f>IFERROR(__xludf.DUMMYFUNCTION("""COMPUTED_VALUE"""),54.0)</f>
        <v>54</v>
      </c>
      <c r="F303" t="str">
        <f>IFERROR(__xludf.DUMMYFUNCTION("""COMPUTED_VALUE"""),"SG,SF")</f>
        <v>SG,SF</v>
      </c>
      <c r="G303" s="26">
        <f>IFERROR(__xludf.DUMMYFUNCTION("""COMPUTED_VALUE"""),-7.843972826368548)</f>
        <v>-7.843972826</v>
      </c>
      <c r="H303" s="26">
        <f>IFERROR(__xludf.DUMMYFUNCTION("""COMPUTED_VALUE"""),-8.10018479744339)</f>
        <v>-8.100184797</v>
      </c>
      <c r="I303" s="26">
        <f>IFERROR(__xludf.DUMMYFUNCTION("""COMPUTED_VALUE"""),-0.2562119710748423)</f>
        <v>-0.2562119711</v>
      </c>
      <c r="J303" s="26">
        <f>IFERROR(__xludf.DUMMYFUNCTION("""COMPUTED_VALUE"""),7.524794521)</f>
        <v>7.524794521</v>
      </c>
      <c r="K303" s="26">
        <f>IFERROR(__xludf.DUMMYFUNCTION("""COMPUTED_VALUE"""),0.9263013699)</f>
        <v>0.9263013699</v>
      </c>
      <c r="L303" s="26">
        <f>IFERROR(__xludf.DUMMYFUNCTION("""COMPUTED_VALUE"""),4.208356164)</f>
        <v>4.208356164</v>
      </c>
      <c r="M303" s="26">
        <f>IFERROR(__xludf.DUMMYFUNCTION("""COMPUTED_VALUE"""),1.683287671)</f>
        <v>1.683287671</v>
      </c>
      <c r="N303" s="26">
        <f>IFERROR(__xludf.DUMMYFUNCTION("""COMPUTED_VALUE"""),0.3367123288)</f>
        <v>0.3367123288</v>
      </c>
      <c r="O303" s="26">
        <f>IFERROR(__xludf.DUMMYFUNCTION("""COMPUTED_VALUE"""),0.1683561644)</f>
        <v>0.1683561644</v>
      </c>
      <c r="P303" s="464">
        <f>IFERROR(__xludf.DUMMYFUNCTION("""COMPUTED_VALUE"""),0.4379434216)</f>
        <v>0.4379434216</v>
      </c>
      <c r="Q303" s="464">
        <f>IFERROR(__xludf.DUMMYFUNCTION("""COMPUTED_VALUE"""),0.7669821593)</f>
        <v>0.7669821593</v>
      </c>
      <c r="R303" s="26">
        <f>IFERROR(__xludf.DUMMYFUNCTION("""COMPUTED_VALUE"""),0.7154794521)</f>
        <v>0.7154794521</v>
      </c>
      <c r="S303" s="26">
        <f>IFERROR(__xludf.DUMMYFUNCTION("""COMPUTED_VALUE"""),-1.7960441379622853)</f>
        <v>-1.796044138</v>
      </c>
      <c r="T303" s="26">
        <f>IFERROR(__xludf.DUMMYFUNCTION("""COMPUTED_VALUE"""),-0.8157276073785165)</f>
        <v>-0.8157276074</v>
      </c>
      <c r="U303" s="26">
        <f>IFERROR(__xludf.DUMMYFUNCTION("""COMPUTED_VALUE"""),-0.7348166706345863)</f>
        <v>-0.7348166706</v>
      </c>
      <c r="V303" s="26">
        <f>IFERROR(__xludf.DUMMYFUNCTION("""COMPUTED_VALUE"""),-1.0218321583501246)</f>
        <v>-1.021832158</v>
      </c>
      <c r="W303" s="26">
        <f>IFERROR(__xludf.DUMMYFUNCTION("""COMPUTED_VALUE"""),-2.1149639558399635)</f>
        <v>-2.114963956</v>
      </c>
      <c r="X303" s="26">
        <f>IFERROR(__xludf.DUMMYFUNCTION("""COMPUTED_VALUE"""),-1.0350695645352095)</f>
        <v>-1.035069565</v>
      </c>
      <c r="Y303" s="26">
        <f>IFERROR(__xludf.DUMMYFUNCTION("""COMPUTED_VALUE"""),-0.4208679309913571)</f>
        <v>-0.420867931</v>
      </c>
      <c r="Z303" s="26">
        <f>IFERROR(__xludf.DUMMYFUNCTION("""COMPUTED_VALUE"""),-0.16086277175134556)</f>
        <v>-0.1608627718</v>
      </c>
      <c r="AA303" s="26">
        <f>IFERROR(__xludf.DUMMYFUNCTION("""COMPUTED_VALUE"""),0.0)</f>
        <v>0</v>
      </c>
      <c r="AB303" t="str">
        <f>IFERROR(__xludf.DUMMYFUNCTION("SUBSTITUTE(REGEXREPLACE(REGEXREPLACE(REGEXREPLACE(REGEXREPLACE(REGEXREPLACE(REGEXREPLACE(F303,"","",),IF(Projections!$T$17="""",""PG"",),),IF(Projections!$U$17="""",""SG"",),),IF(Projections!$V$17="""",""SF"",),),IF(Projections!$W$17="""",""PF"",),),IF(Pr"&amp;"ojections!$X$17="""",""C"",),),""/"","""")"),"SGSF")</f>
        <v>SGSF</v>
      </c>
    </row>
    <row r="304">
      <c r="B304">
        <f>IFERROR(__xludf.DUMMYFUNCTION("""COMPUTED_VALUE"""),301.0)</f>
        <v>301</v>
      </c>
      <c r="D304" t="str">
        <f>IFERROR(__xludf.DUMMYFUNCTION("""COMPUTED_VALUE"""),"Haywood Highsmith")</f>
        <v>Haywood Highsmith</v>
      </c>
      <c r="E304">
        <f>IFERROR(__xludf.DUMMYFUNCTION("""COMPUTED_VALUE"""),64.0)</f>
        <v>64</v>
      </c>
      <c r="F304" t="str">
        <f>IFERROR(__xludf.DUMMYFUNCTION("""COMPUTED_VALUE"""),"SF")</f>
        <v>SF</v>
      </c>
      <c r="G304" s="26">
        <f>IFERROR(__xludf.DUMMYFUNCTION("""COMPUTED_VALUE"""),-7.788587252311861)</f>
        <v>-7.788587252</v>
      </c>
      <c r="H304" s="26">
        <f>IFERROR(__xludf.DUMMYFUNCTION("""COMPUTED_VALUE"""),-8.104145084953537)</f>
        <v>-8.104145085</v>
      </c>
      <c r="I304" s="26">
        <f>IFERROR(__xludf.DUMMYFUNCTION("""COMPUTED_VALUE"""),-0.3155578326416757)</f>
        <v>-0.3155578326</v>
      </c>
      <c r="J304" s="26">
        <f>IFERROR(__xludf.DUMMYFUNCTION("""COMPUTED_VALUE"""),4.893150685)</f>
        <v>4.893150685</v>
      </c>
      <c r="K304" s="26">
        <f>IFERROR(__xludf.DUMMYFUNCTION("""COMPUTED_VALUE"""),0.8756164384)</f>
        <v>0.8756164384</v>
      </c>
      <c r="L304" s="26">
        <f>IFERROR(__xludf.DUMMYFUNCTION("""COMPUTED_VALUE"""),3.27369863)</f>
        <v>3.27369863</v>
      </c>
      <c r="M304" s="26">
        <f>IFERROR(__xludf.DUMMYFUNCTION("""COMPUTED_VALUE"""),0.8061643836)</f>
        <v>0.8061643836</v>
      </c>
      <c r="N304" s="26">
        <f>IFERROR(__xludf.DUMMYFUNCTION("""COMPUTED_VALUE"""),0.6098630137)</f>
        <v>0.6098630137</v>
      </c>
      <c r="O304" s="26">
        <f>IFERROR(__xludf.DUMMYFUNCTION("""COMPUTED_VALUE"""),0.3301369863)</f>
        <v>0.3301369863</v>
      </c>
      <c r="P304" s="464">
        <f>IFERROR(__xludf.DUMMYFUNCTION("""COMPUTED_VALUE"""),0.4534653465)</f>
        <v>0.4534653465</v>
      </c>
      <c r="Q304" s="464">
        <f>IFERROR(__xludf.DUMMYFUNCTION("""COMPUTED_VALUE"""),0.5641233766)</f>
        <v>0.5641233766</v>
      </c>
      <c r="R304" s="26">
        <f>IFERROR(__xludf.DUMMYFUNCTION("""COMPUTED_VALUE"""),0.4761643836)</f>
        <v>0.4761643836</v>
      </c>
      <c r="S304" s="26">
        <f>IFERROR(__xludf.DUMMYFUNCTION("""COMPUTED_VALUE"""),-2.2704127785623145)</f>
        <v>-2.270412779</v>
      </c>
      <c r="T304" s="26">
        <f>IFERROR(__xludf.DUMMYFUNCTION("""COMPUTED_VALUE"""),-0.8660034374326269)</f>
        <v>-0.8660034374</v>
      </c>
      <c r="U304" s="26">
        <f>IFERROR(__xludf.DUMMYFUNCTION("""COMPUTED_VALUE"""),-1.1011154973886277)</f>
        <v>-1.101115497</v>
      </c>
      <c r="V304" s="26">
        <f>IFERROR(__xludf.DUMMYFUNCTION("""COMPUTED_VALUE"""),-1.4201675330080992)</f>
        <v>-1.420167533</v>
      </c>
      <c r="W304" s="26">
        <f>IFERROR(__xludf.DUMMYFUNCTION("""COMPUTED_VALUE"""),-1.2112958904256907)</f>
        <v>-1.21129589</v>
      </c>
      <c r="X304" s="26">
        <f>IFERROR(__xludf.DUMMYFUNCTION("""COMPUTED_VALUE"""),-0.7465095536098311)</f>
        <v>-0.7465095536</v>
      </c>
      <c r="Y304" s="26">
        <f>IFERROR(__xludf.DUMMYFUNCTION("""COMPUTED_VALUE"""),-0.21489545474924202)</f>
        <v>-0.2148954547</v>
      </c>
      <c r="Z304" s="26">
        <f>IFERROR(__xludf.DUMMYFUNCTION("""COMPUTED_VALUE"""),-0.27374493977710385)</f>
        <v>-0.2737449398</v>
      </c>
      <c r="AA304" s="26">
        <f>IFERROR(__xludf.DUMMYFUNCTION("""COMPUTED_VALUE"""),0.0)</f>
        <v>0</v>
      </c>
      <c r="AB304" t="str">
        <f>IFERROR(__xludf.DUMMYFUNCTION("SUBSTITUTE(REGEXREPLACE(REGEXREPLACE(REGEXREPLACE(REGEXREPLACE(REGEXREPLACE(REGEXREPLACE(F304,"","",),IF(Projections!$T$17="""",""PG"",),),IF(Projections!$U$17="""",""SG"",),),IF(Projections!$V$17="""",""SF"",),),IF(Projections!$W$17="""",""PF"",),),IF(Pr"&amp;"ojections!$X$17="""",""C"",),),""/"","""")"),"SF")</f>
        <v>SF</v>
      </c>
    </row>
    <row r="305">
      <c r="B305">
        <f>IFERROR(__xludf.DUMMYFUNCTION("""COMPUTED_VALUE"""),306.0)</f>
        <v>306</v>
      </c>
      <c r="D305" t="str">
        <f>IFERROR(__xludf.DUMMYFUNCTION("""COMPUTED_VALUE"""),"Rob Dillingham")</f>
        <v>Rob Dillingham</v>
      </c>
      <c r="E305">
        <f>IFERROR(__xludf.DUMMYFUNCTION("""COMPUTED_VALUE"""),40.0)</f>
        <v>40</v>
      </c>
      <c r="F305" t="str">
        <f>IFERROR(__xludf.DUMMYFUNCTION("""COMPUTED_VALUE"""),"PG,SG")</f>
        <v>PG,SG</v>
      </c>
      <c r="G305" s="26">
        <f>IFERROR(__xludf.DUMMYFUNCTION("""COMPUTED_VALUE"""),-8.076993857514271)</f>
        <v>-8.076993858</v>
      </c>
      <c r="H305" s="26">
        <f>IFERROR(__xludf.DUMMYFUNCTION("""COMPUTED_VALUE"""),-8.10560578716614)</f>
        <v>-8.105605787</v>
      </c>
      <c r="I305" s="26">
        <f>IFERROR(__xludf.DUMMYFUNCTION("""COMPUTED_VALUE"""),-0.028611929651869872)</f>
        <v>-0.02861192965</v>
      </c>
      <c r="J305" s="26">
        <f>IFERROR(__xludf.DUMMYFUNCTION("""COMPUTED_VALUE"""),6.816575342)</f>
        <v>6.816575342</v>
      </c>
      <c r="K305" s="26">
        <f>IFERROR(__xludf.DUMMYFUNCTION("""COMPUTED_VALUE"""),1.042054795)</f>
        <v>1.042054795</v>
      </c>
      <c r="L305" s="26">
        <f>IFERROR(__xludf.DUMMYFUNCTION("""COMPUTED_VALUE"""),1.47)</f>
        <v>1.47</v>
      </c>
      <c r="M305" s="26">
        <f>IFERROR(__xludf.DUMMYFUNCTION("""COMPUTED_VALUE"""),2.94)</f>
        <v>2.94</v>
      </c>
      <c r="N305" s="26">
        <f>IFERROR(__xludf.DUMMYFUNCTION("""COMPUTED_VALUE"""),0.5553424658)</f>
        <v>0.5553424658</v>
      </c>
      <c r="O305" s="26">
        <f>IFERROR(__xludf.DUMMYFUNCTION("""COMPUTED_VALUE"""),0.09794520548)</f>
        <v>0.09794520548</v>
      </c>
      <c r="P305" s="464">
        <f>IFERROR(__xludf.DUMMYFUNCTION("""COMPUTED_VALUE"""),0.4086440907)</f>
        <v>0.4086440907</v>
      </c>
      <c r="Q305" s="464">
        <f>IFERROR(__xludf.DUMMYFUNCTION("""COMPUTED_VALUE"""),0.7830238727)</f>
        <v>0.7830238727</v>
      </c>
      <c r="R305" s="26">
        <f>IFERROR(__xludf.DUMMYFUNCTION("""COMPUTED_VALUE"""),1.633287671)</f>
        <v>1.633287671</v>
      </c>
      <c r="S305" s="26">
        <f>IFERROR(__xludf.DUMMYFUNCTION("""COMPUTED_VALUE"""),-1.9237046384423735)</f>
        <v>-1.923704638</v>
      </c>
      <c r="T305" s="26">
        <f>IFERROR(__xludf.DUMMYFUNCTION("""COMPUTED_VALUE"""),-0.7009084815302591)</f>
        <v>-0.7009084815</v>
      </c>
      <c r="U305" s="26">
        <f>IFERROR(__xludf.DUMMYFUNCTION("""COMPUTED_VALUE"""),-1.807997609769773)</f>
        <v>-1.80799761</v>
      </c>
      <c r="V305" s="26">
        <f>IFERROR(__xludf.DUMMYFUNCTION("""COMPUTED_VALUE"""),-0.45111082008377174)</f>
        <v>-0.4511108201</v>
      </c>
      <c r="W305" s="26">
        <f>IFERROR(__xludf.DUMMYFUNCTION("""COMPUTED_VALUE"""),-1.391666948488958)</f>
        <v>-1.391666948</v>
      </c>
      <c r="X305" s="26">
        <f>IFERROR(__xludf.DUMMYFUNCTION("""COMPUTED_VALUE"""),-1.160657918189269)</f>
        <v>-1.160657918</v>
      </c>
      <c r="Y305" s="26">
        <f>IFERROR(__xludf.DUMMYFUNCTION("""COMPUTED_VALUE"""),-0.6261758359793186)</f>
        <v>-0.626175836</v>
      </c>
      <c r="Z305" s="26">
        <f>IFERROR(__xludf.DUMMYFUNCTION("""COMPUTED_VALUE"""),-0.043383534682418665)</f>
        <v>-0.04338353468</v>
      </c>
      <c r="AA305" s="26">
        <f>IFERROR(__xludf.DUMMYFUNCTION("""COMPUTED_VALUE"""),0.0)</f>
        <v>0</v>
      </c>
      <c r="AB305" t="str">
        <f>IFERROR(__xludf.DUMMYFUNCTION("SUBSTITUTE(REGEXREPLACE(REGEXREPLACE(REGEXREPLACE(REGEXREPLACE(REGEXREPLACE(REGEXREPLACE(F305,"","",),IF(Projections!$T$17="""",""PG"",),),IF(Projections!$U$17="""",""SG"",),),IF(Projections!$V$17="""",""SF"",),),IF(Projections!$W$17="""",""PF"",),),IF(Pr"&amp;"ojections!$X$17="""",""C"",),),""/"","""")"),"PGSG")</f>
        <v>PGSG</v>
      </c>
    </row>
    <row r="306">
      <c r="B306">
        <f>IFERROR(__xludf.DUMMYFUNCTION("""COMPUTED_VALUE"""),294.0)</f>
        <v>294</v>
      </c>
      <c r="D306" t="str">
        <f>IFERROR(__xludf.DUMMYFUNCTION("""COMPUTED_VALUE"""),"Bruno Fernando")</f>
        <v>Bruno Fernando</v>
      </c>
      <c r="E306">
        <f>IFERROR(__xludf.DUMMYFUNCTION("""COMPUTED_VALUE"""),50.0)</f>
        <v>50</v>
      </c>
      <c r="F306" t="str">
        <f>IFERROR(__xludf.DUMMYFUNCTION("""COMPUTED_VALUE"""),"SG,SF")</f>
        <v>SG,SF</v>
      </c>
      <c r="G306" s="26">
        <f>IFERROR(__xludf.DUMMYFUNCTION("""COMPUTED_VALUE"""),-7.929902063425894)</f>
        <v>-7.929902063</v>
      </c>
      <c r="H306" s="26">
        <f>IFERROR(__xludf.DUMMYFUNCTION("""COMPUTED_VALUE"""),-8.1208933948481)</f>
        <v>-8.120893395</v>
      </c>
      <c r="I306" s="26">
        <f>IFERROR(__xludf.DUMMYFUNCTION("""COMPUTED_VALUE"""),-0.1909913314222056)</f>
        <v>-0.1909913314</v>
      </c>
      <c r="J306" s="26">
        <f>IFERROR(__xludf.DUMMYFUNCTION("""COMPUTED_VALUE"""),6.031212121)</f>
        <v>6.031212121</v>
      </c>
      <c r="K306" s="26">
        <f>IFERROR(__xludf.DUMMYFUNCTION("""COMPUTED_VALUE"""),0.02424242424)</f>
        <v>0.02424242424</v>
      </c>
      <c r="L306" s="26">
        <f>IFERROR(__xludf.DUMMYFUNCTION("""COMPUTED_VALUE"""),4.166363636)</f>
        <v>4.166363636</v>
      </c>
      <c r="M306" s="26">
        <f>IFERROR(__xludf.DUMMYFUNCTION("""COMPUTED_VALUE"""),1.005151515)</f>
        <v>1.005151515</v>
      </c>
      <c r="N306" s="26">
        <f>IFERROR(__xludf.DUMMYFUNCTION("""COMPUTED_VALUE"""),0.3157575758)</f>
        <v>0.3157575758</v>
      </c>
      <c r="O306" s="26">
        <f>IFERROR(__xludf.DUMMYFUNCTION("""COMPUTED_VALUE"""),0.8836363636)</f>
        <v>0.8836363636</v>
      </c>
      <c r="P306" s="464">
        <f>IFERROR(__xludf.DUMMYFUNCTION("""COMPUTED_VALUE"""),0.5879969992)</f>
        <v>0.5879969992</v>
      </c>
      <c r="Q306" s="464">
        <f>IFERROR(__xludf.DUMMYFUNCTION("""COMPUTED_VALUE"""),0.6799475324)</f>
        <v>0.6799475324</v>
      </c>
      <c r="R306" s="26">
        <f>IFERROR(__xludf.DUMMYFUNCTION("""COMPUTED_VALUE"""),0.9784848485)</f>
        <v>0.9784848485</v>
      </c>
      <c r="S306" s="26">
        <f>IFERROR(__xludf.DUMMYFUNCTION("""COMPUTED_VALUE"""),-2.065270787488323)</f>
        <v>-2.065270787</v>
      </c>
      <c r="T306" s="26">
        <f>IFERROR(__xludf.DUMMYFUNCTION("""COMPUTED_VALUE"""),-1.7105056194745216)</f>
        <v>-1.710505619</v>
      </c>
      <c r="U306" s="26">
        <f>IFERROR(__xludf.DUMMYFUNCTION("""COMPUTED_VALUE"""),-0.7512738361516795)</f>
        <v>-0.7512738362</v>
      </c>
      <c r="V306" s="26">
        <f>IFERROR(__xludf.DUMMYFUNCTION("""COMPUTED_VALUE"""),-1.3297998336470542)</f>
        <v>-1.329799834</v>
      </c>
      <c r="W306" s="26">
        <f>IFERROR(__xludf.DUMMYFUNCTION("""COMPUTED_VALUE"""),-2.1842888455493794)</f>
        <v>-2.184288846</v>
      </c>
      <c r="X306" s="26">
        <f>IFERROR(__xludf.DUMMYFUNCTION("""COMPUTED_VALUE"""),0.24073840622315204)</f>
        <v>0.2407384062</v>
      </c>
      <c r="Y306" s="26">
        <f>IFERROR(__xludf.DUMMYFUNCTION("""COMPUTED_VALUE"""),0.42638749407955945)</f>
        <v>0.4263874941</v>
      </c>
      <c r="Z306" s="26">
        <f>IFERROR(__xludf.DUMMYFUNCTION("""COMPUTED_VALUE"""),-0.7468803728398551)</f>
        <v>-0.7468803728</v>
      </c>
      <c r="AA306" s="26">
        <f>IFERROR(__xludf.DUMMYFUNCTION("""COMPUTED_VALUE"""),0.0)</f>
        <v>0</v>
      </c>
      <c r="AB306" t="str">
        <f>IFERROR(__xludf.DUMMYFUNCTION("SUBSTITUTE(REGEXREPLACE(REGEXREPLACE(REGEXREPLACE(REGEXREPLACE(REGEXREPLACE(REGEXREPLACE(F306,"","",),IF(Projections!$T$17="""",""PG"",),),IF(Projections!$U$17="""",""SG"",),),IF(Projections!$V$17="""",""SF"",),),IF(Projections!$W$17="""",""PF"",),),IF(Pr"&amp;"ojections!$X$17="""",""C"",),),""/"","""")"),"SGSF")</f>
        <v>SGSF</v>
      </c>
    </row>
    <row r="307">
      <c r="B307">
        <f>IFERROR(__xludf.DUMMYFUNCTION("""COMPUTED_VALUE"""),305.0)</f>
        <v>305</v>
      </c>
      <c r="D307" t="str">
        <f>IFERROR(__xludf.DUMMYFUNCTION("""COMPUTED_VALUE"""),"G.G. Jackson")</f>
        <v>G.G. Jackson</v>
      </c>
      <c r="E307">
        <f>IFERROR(__xludf.DUMMYFUNCTION("""COMPUTED_VALUE"""),20.0)</f>
        <v>20</v>
      </c>
      <c r="F307" t="str">
        <f>IFERROR(__xludf.DUMMYFUNCTION("""COMPUTED_VALUE"""),"SG,SF")</f>
        <v>SG,SF</v>
      </c>
      <c r="G307" s="26">
        <f>IFERROR(__xludf.DUMMYFUNCTION("""COMPUTED_VALUE"""),-7.950241200654258)</f>
        <v>-7.950241201</v>
      </c>
      <c r="H307" s="26">
        <f>IFERROR(__xludf.DUMMYFUNCTION("""COMPUTED_VALUE"""),-8.132573143108045)</f>
        <v>-8.132573143</v>
      </c>
      <c r="I307" s="26">
        <f>IFERROR(__xludf.DUMMYFUNCTION("""COMPUTED_VALUE"""),-0.18233194245378748)</f>
        <v>-0.1823319425</v>
      </c>
      <c r="J307" s="26">
        <f>IFERROR(__xludf.DUMMYFUNCTION("""COMPUTED_VALUE"""),8.618510638)</f>
        <v>8.618510638</v>
      </c>
      <c r="K307" s="26">
        <f>IFERROR(__xludf.DUMMYFUNCTION("""COMPUTED_VALUE"""),1.257021277)</f>
        <v>1.257021277</v>
      </c>
      <c r="L307" s="26">
        <f>IFERROR(__xludf.DUMMYFUNCTION("""COMPUTED_VALUE"""),2.85)</f>
        <v>2.85</v>
      </c>
      <c r="M307" s="26">
        <f>IFERROR(__xludf.DUMMYFUNCTION("""COMPUTED_VALUE"""),0.8625531915)</f>
        <v>0.8625531915</v>
      </c>
      <c r="N307" s="26">
        <f>IFERROR(__xludf.DUMMYFUNCTION("""COMPUTED_VALUE"""),0.3836170213)</f>
        <v>0.3836170213</v>
      </c>
      <c r="O307" s="26">
        <f>IFERROR(__xludf.DUMMYFUNCTION("""COMPUTED_VALUE"""),0.3531914894)</f>
        <v>0.3531914894</v>
      </c>
      <c r="P307" s="464">
        <f>IFERROR(__xludf.DUMMYFUNCTION("""COMPUTED_VALUE"""),0.4278547539)</f>
        <v>0.4278547539</v>
      </c>
      <c r="Q307" s="464">
        <f>IFERROR(__xludf.DUMMYFUNCTION("""COMPUTED_VALUE"""),0.7700181394)</f>
        <v>0.7700181394</v>
      </c>
      <c r="R307" s="26">
        <f>IFERROR(__xludf.DUMMYFUNCTION("""COMPUTED_VALUE"""),1.013404255)</f>
        <v>1.013404255</v>
      </c>
      <c r="S307" s="26">
        <f>IFERROR(__xludf.DUMMYFUNCTION("""COMPUTED_VALUE"""),-1.5988956406898633)</f>
        <v>-1.598895641</v>
      </c>
      <c r="T307" s="26">
        <f>IFERROR(__xludf.DUMMYFUNCTION("""COMPUTED_VALUE"""),-0.4876770930975455)</f>
        <v>-0.4876770931</v>
      </c>
      <c r="U307" s="26">
        <f>IFERROR(__xludf.DUMMYFUNCTION("""COMPUTED_VALUE"""),-1.26716595482419)</f>
        <v>-1.267165955</v>
      </c>
      <c r="V307" s="26">
        <f>IFERROR(__xludf.DUMMYFUNCTION("""COMPUTED_VALUE"""),-1.3945592094759025)</f>
        <v>-1.394559209</v>
      </c>
      <c r="W307" s="26">
        <f>IFERROR(__xludf.DUMMYFUNCTION("""COMPUTED_VALUE"""),-1.9597885340911811)</f>
        <v>-1.959788534</v>
      </c>
      <c r="X307" s="26">
        <f>IFERROR(__xludf.DUMMYFUNCTION("""COMPUTED_VALUE"""),-0.7053884393251769)</f>
        <v>-0.7053884393</v>
      </c>
      <c r="Y307" s="26">
        <f>IFERROR(__xludf.DUMMYFUNCTION("""COMPUTED_VALUE"""),-0.575095852713235)</f>
        <v>-0.5750958527</v>
      </c>
      <c r="Z307" s="26">
        <f>IFERROR(__xludf.DUMMYFUNCTION("""COMPUTED_VALUE"""),-0.1440024188909501)</f>
        <v>-0.1440024189</v>
      </c>
      <c r="AA307" s="26">
        <f>IFERROR(__xludf.DUMMYFUNCTION("""COMPUTED_VALUE"""),0.0)</f>
        <v>0</v>
      </c>
      <c r="AB307" t="str">
        <f>IFERROR(__xludf.DUMMYFUNCTION("SUBSTITUTE(REGEXREPLACE(REGEXREPLACE(REGEXREPLACE(REGEXREPLACE(REGEXREPLACE(REGEXREPLACE(F307,"","",),IF(Projections!$T$17="""",""PG"",),),IF(Projections!$U$17="""",""SG"",),),IF(Projections!$V$17="""",""SF"",),),IF(Projections!$W$17="""",""PF"",),),IF(Pr"&amp;"ojections!$X$17="""",""C"",),),""/"","""")"),"SGSF")</f>
        <v>SGSF</v>
      </c>
    </row>
    <row r="308">
      <c r="B308">
        <f>IFERROR(__xludf.DUMMYFUNCTION("""COMPUTED_VALUE"""),303.0)</f>
        <v>303</v>
      </c>
      <c r="D308" t="str">
        <f>IFERROR(__xludf.DUMMYFUNCTION("""COMPUTED_VALUE"""),"Jabari Walker")</f>
        <v>Jabari Walker</v>
      </c>
      <c r="E308">
        <f>IFERROR(__xludf.DUMMYFUNCTION("""COMPUTED_VALUE"""),44.0)</f>
        <v>44</v>
      </c>
      <c r="F308" t="str">
        <f>IFERROR(__xludf.DUMMYFUNCTION("""COMPUTED_VALUE"""),"PF,C")</f>
        <v>PF,C</v>
      </c>
      <c r="G308" s="26">
        <f>IFERROR(__xludf.DUMMYFUNCTION("""COMPUTED_VALUE"""),-7.87198863688227)</f>
        <v>-7.871988637</v>
      </c>
      <c r="H308" s="26">
        <f>IFERROR(__xludf.DUMMYFUNCTION("""COMPUTED_VALUE"""),-8.150145328379324)</f>
        <v>-8.150145328</v>
      </c>
      <c r="I308" s="26">
        <f>IFERROR(__xludf.DUMMYFUNCTION("""COMPUTED_VALUE"""),-0.27815669149705435)</f>
        <v>-0.2781566915</v>
      </c>
      <c r="J308" s="26">
        <f>IFERROR(__xludf.DUMMYFUNCTION("""COMPUTED_VALUE"""),6.96)</f>
        <v>6.96</v>
      </c>
      <c r="K308" s="26">
        <f>IFERROR(__xludf.DUMMYFUNCTION("""COMPUTED_VALUE"""),0.5345205479)</f>
        <v>0.5345205479</v>
      </c>
      <c r="L308" s="26">
        <f>IFERROR(__xludf.DUMMYFUNCTION("""COMPUTED_VALUE"""),5.83890411)</f>
        <v>5.83890411</v>
      </c>
      <c r="M308" s="26">
        <f>IFERROR(__xludf.DUMMYFUNCTION("""COMPUTED_VALUE"""),0.7084931507)</f>
        <v>0.7084931507</v>
      </c>
      <c r="N308" s="26">
        <f>IFERROR(__xludf.DUMMYFUNCTION("""COMPUTED_VALUE"""),0.3701369863)</f>
        <v>0.3701369863</v>
      </c>
      <c r="O308" s="26">
        <f>IFERROR(__xludf.DUMMYFUNCTION("""COMPUTED_VALUE"""),0.2028767123)</f>
        <v>0.2028767123</v>
      </c>
      <c r="P308" s="464">
        <f>IFERROR(__xludf.DUMMYFUNCTION("""COMPUTED_VALUE"""),0.454904292)</f>
        <v>0.454904292</v>
      </c>
      <c r="Q308" s="464">
        <f>IFERROR(__xludf.DUMMYFUNCTION("""COMPUTED_VALUE"""),0.7540125611)</f>
        <v>0.7540125611</v>
      </c>
      <c r="R308" s="26">
        <f>IFERROR(__xludf.DUMMYFUNCTION("""COMPUTED_VALUE"""),0.6269863014)</f>
        <v>0.6269863014</v>
      </c>
      <c r="S308" s="26">
        <f>IFERROR(__xludf.DUMMYFUNCTION("""COMPUTED_VALUE"""),-1.8978515351032086)</f>
        <v>-1.897851535</v>
      </c>
      <c r="T308" s="26">
        <f>IFERROR(__xludf.DUMMYFUNCTION("""COMPUTED_VALUE"""),-1.2043461857686575)</f>
        <v>-1.204346186</v>
      </c>
      <c r="U308" s="26">
        <f>IFERROR(__xludf.DUMMYFUNCTION("""COMPUTED_VALUE"""),-0.09579352273364365)</f>
        <v>-0.09579352273</v>
      </c>
      <c r="V308" s="26">
        <f>IFERROR(__xludf.DUMMYFUNCTION("""COMPUTED_VALUE"""),-1.464523791369286)</f>
        <v>-1.464523791</v>
      </c>
      <c r="W308" s="26">
        <f>IFERROR(__xludf.DUMMYFUNCTION("""COMPUTED_VALUE"""),-2.004384714234849)</f>
        <v>-2.004384714</v>
      </c>
      <c r="X308" s="26">
        <f>IFERROR(__xludf.DUMMYFUNCTION("""COMPUTED_VALUE"""),-0.9734970643946718)</f>
        <v>-0.9734970644</v>
      </c>
      <c r="Y308" s="26">
        <f>IFERROR(__xludf.DUMMYFUNCTION("""COMPUTED_VALUE"""),-0.2837331056128267)</f>
        <v>-0.2837331056</v>
      </c>
      <c r="Z308" s="26">
        <f>IFERROR(__xludf.DUMMYFUNCTION("""COMPUTED_VALUE"""),-0.2260154091621805)</f>
        <v>-0.2260154092</v>
      </c>
      <c r="AA308" s="26">
        <f>IFERROR(__xludf.DUMMYFUNCTION("""COMPUTED_VALUE"""),0.0)</f>
        <v>0</v>
      </c>
      <c r="AB308" t="str">
        <f>IFERROR(__xludf.DUMMYFUNCTION("SUBSTITUTE(REGEXREPLACE(REGEXREPLACE(REGEXREPLACE(REGEXREPLACE(REGEXREPLACE(REGEXREPLACE(F308,"","",),IF(Projections!$T$17="""",""PG"",),),IF(Projections!$U$17="""",""SG"",),),IF(Projections!$V$17="""",""SF"",),),IF(Projections!$W$17="""",""PF"",),),IF(Pr"&amp;"ojections!$X$17="""",""C"",),),""/"","""")"),"PFC")</f>
        <v>PFC</v>
      </c>
    </row>
    <row r="309">
      <c r="B309">
        <f>IFERROR(__xludf.DUMMYFUNCTION("""COMPUTED_VALUE"""),300.0)</f>
        <v>300</v>
      </c>
      <c r="D309" t="str">
        <f>IFERROR(__xludf.DUMMYFUNCTION("""COMPUTED_VALUE"""),"Jaxson Hayes")</f>
        <v>Jaxson Hayes</v>
      </c>
      <c r="E309">
        <f>IFERROR(__xludf.DUMMYFUNCTION("""COMPUTED_VALUE"""),54.0)</f>
        <v>54</v>
      </c>
      <c r="F309" t="str">
        <f>IFERROR(__xludf.DUMMYFUNCTION("""COMPUTED_VALUE"""),"C")</f>
        <v>C</v>
      </c>
      <c r="G309" s="26">
        <f>IFERROR(__xludf.DUMMYFUNCTION("""COMPUTED_VALUE"""),-7.999624016028484)</f>
        <v>-7.999624016</v>
      </c>
      <c r="H309" s="26">
        <f>IFERROR(__xludf.DUMMYFUNCTION("""COMPUTED_VALUE"""),-8.25804404721007)</f>
        <v>-8.258044047</v>
      </c>
      <c r="I309" s="26">
        <f>IFERROR(__xludf.DUMMYFUNCTION("""COMPUTED_VALUE"""),-0.2584200311815863)</f>
        <v>-0.2584200312</v>
      </c>
      <c r="J309" s="26">
        <f>IFERROR(__xludf.DUMMYFUNCTION("""COMPUTED_VALUE"""),4.800684932)</f>
        <v>4.800684932</v>
      </c>
      <c r="K309" s="26">
        <f>IFERROR(__xludf.DUMMYFUNCTION("""COMPUTED_VALUE"""),0.05808219178)</f>
        <v>0.05808219178</v>
      </c>
      <c r="L309" s="26">
        <f>IFERROR(__xludf.DUMMYFUNCTION("""COMPUTED_VALUE"""),3.50630137)</f>
        <v>3.50630137</v>
      </c>
      <c r="M309" s="26">
        <f>IFERROR(__xludf.DUMMYFUNCTION("""COMPUTED_VALUE"""),0.5780821918)</f>
        <v>0.5780821918</v>
      </c>
      <c r="N309" s="26">
        <f>IFERROR(__xludf.DUMMYFUNCTION("""COMPUTED_VALUE"""),0.5419178082)</f>
        <v>0.5419178082</v>
      </c>
      <c r="O309" s="26">
        <f>IFERROR(__xludf.DUMMYFUNCTION("""COMPUTED_VALUE"""),0.5467123288)</f>
        <v>0.5467123288</v>
      </c>
      <c r="P309" s="464">
        <f>IFERROR(__xludf.DUMMYFUNCTION("""COMPUTED_VALUE"""),0.6401737443)</f>
        <v>0.6401737443</v>
      </c>
      <c r="Q309" s="464">
        <f>IFERROR(__xludf.DUMMYFUNCTION("""COMPUTED_VALUE"""),0.6989888777)</f>
        <v>0.6989888777</v>
      </c>
      <c r="R309" s="26">
        <f>IFERROR(__xludf.DUMMYFUNCTION("""COMPUTED_VALUE"""),0.7065753425)</f>
        <v>0.7065753425</v>
      </c>
      <c r="S309" s="26">
        <f>IFERROR(__xludf.DUMMYFUNCTION("""COMPUTED_VALUE"""),-2.287080251931104)</f>
        <v>-2.287080252</v>
      </c>
      <c r="T309" s="26">
        <f>IFERROR(__xludf.DUMMYFUNCTION("""COMPUTED_VALUE"""),-1.6769389882971342)</f>
        <v>-1.676938988</v>
      </c>
      <c r="U309" s="26">
        <f>IFERROR(__xludf.DUMMYFUNCTION("""COMPUTED_VALUE"""),-1.0099568562153833)</f>
        <v>-1.009956856</v>
      </c>
      <c r="V309" s="26">
        <f>IFERROR(__xludf.DUMMYFUNCTION("""COMPUTED_VALUE"""),-1.5237484168229334)</f>
        <v>-1.523748417</v>
      </c>
      <c r="W309" s="26">
        <f>IFERROR(__xludf.DUMMYFUNCTION("""COMPUTED_VALUE"""),-1.4360799228392964)</f>
        <v>-1.436079923</v>
      </c>
      <c r="X309" s="26">
        <f>IFERROR(__xludf.DUMMYFUNCTION("""COMPUTED_VALUE"""),-0.3602154152564173)</f>
        <v>-0.3602154153</v>
      </c>
      <c r="Y309" s="26">
        <f>IFERROR(__xludf.DUMMYFUNCTION("""COMPUTED_VALUE"""),0.4928434654727186)</f>
        <v>0.4928434655</v>
      </c>
      <c r="Z309" s="26">
        <f>IFERROR(__xludf.DUMMYFUNCTION("""COMPUTED_VALUE"""),-0.45686766132052137)</f>
        <v>-0.4568676613</v>
      </c>
      <c r="AA309" s="26">
        <f>IFERROR(__xludf.DUMMYFUNCTION("""COMPUTED_VALUE"""),0.0)</f>
        <v>0</v>
      </c>
      <c r="AB309" t="str">
        <f>IFERROR(__xludf.DUMMYFUNCTION("SUBSTITUTE(REGEXREPLACE(REGEXREPLACE(REGEXREPLACE(REGEXREPLACE(REGEXREPLACE(REGEXREPLACE(F309,"","",),IF(Projections!$T$17="""",""PG"",),),IF(Projections!$U$17="""",""SG"",),),IF(Projections!$V$17="""",""SF"",),),IF(Projections!$W$17="""",""PF"",),),IF(Pr"&amp;"ojections!$X$17="""",""C"",),),""/"","""")"),"C")</f>
        <v>C</v>
      </c>
    </row>
    <row r="310">
      <c r="B310">
        <f>IFERROR(__xludf.DUMMYFUNCTION("""COMPUTED_VALUE"""),309.0)</f>
        <v>309</v>
      </c>
      <c r="D310" t="str">
        <f>IFERROR(__xludf.DUMMYFUNCTION("""COMPUTED_VALUE"""),"Isaiah Collier")</f>
        <v>Isaiah Collier</v>
      </c>
      <c r="E310">
        <f>IFERROR(__xludf.DUMMYFUNCTION("""COMPUTED_VALUE"""),44.0)</f>
        <v>44</v>
      </c>
      <c r="F310" t="str">
        <f>IFERROR(__xludf.DUMMYFUNCTION("""COMPUTED_VALUE"""),"C")</f>
        <v>C</v>
      </c>
      <c r="G310" s="26">
        <f>IFERROR(__xludf.DUMMYFUNCTION("""COMPUTED_VALUE"""),-8.317083117767876)</f>
        <v>-8.317083118</v>
      </c>
      <c r="H310" s="26">
        <f>IFERROR(__xludf.DUMMYFUNCTION("""COMPUTED_VALUE"""),-8.270678113183354)</f>
        <v>-8.270678113</v>
      </c>
      <c r="I310" s="26">
        <f>IFERROR(__xludf.DUMMYFUNCTION("""COMPUTED_VALUE"""),0.04640500458452124)</f>
        <v>0.04640500458</v>
      </c>
      <c r="J310" s="26">
        <f>IFERROR(__xludf.DUMMYFUNCTION("""COMPUTED_VALUE"""),7.312463768)</f>
        <v>7.312463768</v>
      </c>
      <c r="K310" s="26">
        <f>IFERROR(__xludf.DUMMYFUNCTION("""COMPUTED_VALUE"""),0.5008695652)</f>
        <v>0.5008695652</v>
      </c>
      <c r="L310" s="26">
        <f>IFERROR(__xludf.DUMMYFUNCTION("""COMPUTED_VALUE"""),1.935797101)</f>
        <v>1.935797101</v>
      </c>
      <c r="M310" s="26">
        <f>IFERROR(__xludf.DUMMYFUNCTION("""COMPUTED_VALUE"""),2.777536232)</f>
        <v>2.777536232</v>
      </c>
      <c r="N310" s="26">
        <f>IFERROR(__xludf.DUMMYFUNCTION("""COMPUTED_VALUE"""),0.7575362319)</f>
        <v>0.7575362319</v>
      </c>
      <c r="O310" s="26">
        <f>IFERROR(__xludf.DUMMYFUNCTION("""COMPUTED_VALUE"""),0.1684057971)</f>
        <v>0.1684057971</v>
      </c>
      <c r="P310" s="464">
        <f>IFERROR(__xludf.DUMMYFUNCTION("""COMPUTED_VALUE"""),0.4213924825)</f>
        <v>0.4213924825</v>
      </c>
      <c r="Q310" s="464">
        <f>IFERROR(__xludf.DUMMYFUNCTION("""COMPUTED_VALUE"""),0.6939960351)</f>
        <v>0.6939960351</v>
      </c>
      <c r="R310" s="26">
        <f>IFERROR(__xludf.DUMMYFUNCTION("""COMPUTED_VALUE"""),1.935797101)</f>
        <v>1.935797101</v>
      </c>
      <c r="S310" s="26">
        <f>IFERROR(__xludf.DUMMYFUNCTION("""COMPUTED_VALUE"""),-1.8343179534689027)</f>
        <v>-1.834317953</v>
      </c>
      <c r="T310" s="26">
        <f>IFERROR(__xludf.DUMMYFUNCTION("""COMPUTED_VALUE"""),-1.2377255558755111)</f>
        <v>-1.237725556</v>
      </c>
      <c r="U310" s="26">
        <f>IFERROR(__xludf.DUMMYFUNCTION("""COMPUTED_VALUE"""),-1.6254484670142044)</f>
        <v>-1.625448467</v>
      </c>
      <c r="V310" s="26">
        <f>IFERROR(__xludf.DUMMYFUNCTION("""COMPUTED_VALUE"""),-0.5248918572814694)</f>
        <v>-0.5248918573</v>
      </c>
      <c r="W310" s="26">
        <f>IFERROR(__xludf.DUMMYFUNCTION("""COMPUTED_VALUE"""),-0.7227466068932377)</f>
        <v>-0.7227466069</v>
      </c>
      <c r="X310" s="26">
        <f>IFERROR(__xludf.DUMMYFUNCTION("""COMPUTED_VALUE"""),-1.0349810372778618)</f>
        <v>-1.034981037</v>
      </c>
      <c r="Y310" s="26">
        <f>IFERROR(__xludf.DUMMYFUNCTION("""COMPUTED_VALUE"""),-0.5643821707163422)</f>
        <v>-0.5643821707</v>
      </c>
      <c r="Z310" s="26">
        <f>IFERROR(__xludf.DUMMYFUNCTION("""COMPUTED_VALUE"""),-0.7261844646558251)</f>
        <v>-0.7261844647</v>
      </c>
      <c r="AA310" s="26">
        <f>IFERROR(__xludf.DUMMYFUNCTION("""COMPUTED_VALUE"""),0.0)</f>
        <v>0</v>
      </c>
      <c r="AB310" t="str">
        <f>IFERROR(__xludf.DUMMYFUNCTION("SUBSTITUTE(REGEXREPLACE(REGEXREPLACE(REGEXREPLACE(REGEXREPLACE(REGEXREPLACE(REGEXREPLACE(F310,"","",),IF(Projections!$T$17="""",""PG"",),),IF(Projections!$U$17="""",""SG"",),),IF(Projections!$V$17="""",""SF"",),),IF(Projections!$W$17="""",""PF"",),),IF(Pr"&amp;"ojections!$X$17="""",""C"",),),""/"","""")"),"C")</f>
        <v>C</v>
      </c>
    </row>
    <row r="311">
      <c r="B311">
        <f>IFERROR(__xludf.DUMMYFUNCTION("""COMPUTED_VALUE"""),298.0)</f>
        <v>298</v>
      </c>
      <c r="D311" t="str">
        <f>IFERROR(__xludf.DUMMYFUNCTION("""COMPUTED_VALUE"""),"Charles Bassey")</f>
        <v>Charles Bassey</v>
      </c>
      <c r="E311">
        <f>IFERROR(__xludf.DUMMYFUNCTION("""COMPUTED_VALUE"""),64.0)</f>
        <v>64</v>
      </c>
      <c r="F311" t="str">
        <f>IFERROR(__xludf.DUMMYFUNCTION("""COMPUTED_VALUE"""),"PG,SG")</f>
        <v>PG,SG</v>
      </c>
      <c r="G311" s="26">
        <f>IFERROR(__xludf.DUMMYFUNCTION("""COMPUTED_VALUE"""),-8.02471217761553)</f>
        <v>-8.024712178</v>
      </c>
      <c r="H311" s="26">
        <f>IFERROR(__xludf.DUMMYFUNCTION("""COMPUTED_VALUE"""),-8.281647103282953)</f>
        <v>-8.281647103</v>
      </c>
      <c r="I311" s="26">
        <f>IFERROR(__xludf.DUMMYFUNCTION("""COMPUTED_VALUE"""),-0.25693492566742293)</f>
        <v>-0.2569349257</v>
      </c>
      <c r="J311" s="26">
        <f>IFERROR(__xludf.DUMMYFUNCTION("""COMPUTED_VALUE"""),3.291794872)</f>
        <v>3.291794872</v>
      </c>
      <c r="K311" s="26">
        <f>IFERROR(__xludf.DUMMYFUNCTION("""COMPUTED_VALUE"""),0.01487179487)</f>
        <v>0.01487179487</v>
      </c>
      <c r="L311" s="26">
        <f>IFERROR(__xludf.DUMMYFUNCTION("""COMPUTED_VALUE"""),3.687435897)</f>
        <v>3.687435897</v>
      </c>
      <c r="M311" s="26">
        <f>IFERROR(__xludf.DUMMYFUNCTION("""COMPUTED_VALUE"""),0.8220512821)</f>
        <v>0.8220512821</v>
      </c>
      <c r="N311" s="26">
        <f>IFERROR(__xludf.DUMMYFUNCTION("""COMPUTED_VALUE"""),0.3084615385)</f>
        <v>0.3084615385</v>
      </c>
      <c r="O311" s="26">
        <f>IFERROR(__xludf.DUMMYFUNCTION("""COMPUTED_VALUE"""),0.8541025641)</f>
        <v>0.8541025641</v>
      </c>
      <c r="P311" s="464">
        <f>IFERROR(__xludf.DUMMYFUNCTION("""COMPUTED_VALUE"""),0.6704097479)</f>
        <v>0.6704097479</v>
      </c>
      <c r="Q311" s="464">
        <f>IFERROR(__xludf.DUMMYFUNCTION("""COMPUTED_VALUE"""),0.7608801956)</f>
        <v>0.7608801956</v>
      </c>
      <c r="R311" s="26">
        <f>IFERROR(__xludf.DUMMYFUNCTION("""COMPUTED_VALUE"""),0.7125641026)</f>
        <v>0.7125641026</v>
      </c>
      <c r="S311" s="26">
        <f>IFERROR(__xludf.DUMMYFUNCTION("""COMPUTED_VALUE"""),-2.5590661934880887)</f>
        <v>-2.559066193</v>
      </c>
      <c r="T311" s="26">
        <f>IFERROR(__xludf.DUMMYFUNCTION("""COMPUTED_VALUE"""),-1.719800614175386)</f>
        <v>-1.719800614</v>
      </c>
      <c r="U311" s="26">
        <f>IFERROR(__xludf.DUMMYFUNCTION("""COMPUTED_VALUE"""),-0.9389689678058216)</f>
        <v>-0.9389689678</v>
      </c>
      <c r="V311" s="26">
        <f>IFERROR(__xludf.DUMMYFUNCTION("""COMPUTED_VALUE"""),-1.412952682191734)</f>
        <v>-1.412952682</v>
      </c>
      <c r="W311" s="26">
        <f>IFERROR(__xludf.DUMMYFUNCTION("""COMPUTED_VALUE"""),-2.2084264233646986)</f>
        <v>-2.208426423</v>
      </c>
      <c r="X311" s="26">
        <f>IFERROR(__xludf.DUMMYFUNCTION("""COMPUTED_VALUE"""),0.18806050901444746)</f>
        <v>0.188060509</v>
      </c>
      <c r="Y311" s="26">
        <f>IFERROR(__xludf.DUMMYFUNCTION("""COMPUTED_VALUE"""),0.4323227238134476)</f>
        <v>0.4323227238</v>
      </c>
      <c r="Z311" s="26">
        <f>IFERROR(__xludf.DUMMYFUNCTION("""COMPUTED_VALUE"""),-0.0628154550851178)</f>
        <v>-0.06281545509</v>
      </c>
      <c r="AA311" s="26">
        <f>IFERROR(__xludf.DUMMYFUNCTION("""COMPUTED_VALUE"""),0.0)</f>
        <v>0</v>
      </c>
      <c r="AB311" t="str">
        <f>IFERROR(__xludf.DUMMYFUNCTION("SUBSTITUTE(REGEXREPLACE(REGEXREPLACE(REGEXREPLACE(REGEXREPLACE(REGEXREPLACE(REGEXREPLACE(F311,"","",),IF(Projections!$T$17="""",""PG"",),),IF(Projections!$U$17="""",""SG"",),),IF(Projections!$V$17="""",""SF"",),),IF(Projections!$W$17="""",""PF"",),),IF(Pr"&amp;"ojections!$X$17="""",""C"",),),""/"","""")"),"PGSG")</f>
        <v>PGSG</v>
      </c>
    </row>
    <row r="312">
      <c r="B312">
        <f>IFERROR(__xludf.DUMMYFUNCTION("""COMPUTED_VALUE"""),307.0)</f>
        <v>307</v>
      </c>
      <c r="D312" t="str">
        <f>IFERROR(__xludf.DUMMYFUNCTION("""COMPUTED_VALUE"""),"Kenrich Williams")</f>
        <v>Kenrich Williams</v>
      </c>
      <c r="E312">
        <f>IFERROR(__xludf.DUMMYFUNCTION("""COMPUTED_VALUE"""),10.0)</f>
        <v>10</v>
      </c>
      <c r="F312" t="str">
        <f>IFERROR(__xludf.DUMMYFUNCTION("""COMPUTED_VALUE"""),"PG,SG")</f>
        <v>PG,SG</v>
      </c>
      <c r="G312" s="26">
        <f>IFERROR(__xludf.DUMMYFUNCTION("""COMPUTED_VALUE"""),-7.998334804371352)</f>
        <v>-7.998334804</v>
      </c>
      <c r="H312" s="26">
        <f>IFERROR(__xludf.DUMMYFUNCTION("""COMPUTED_VALUE"""),-8.29110423990575)</f>
        <v>-8.29110424</v>
      </c>
      <c r="I312" s="26">
        <f>IFERROR(__xludf.DUMMYFUNCTION("""COMPUTED_VALUE"""),-0.2927694355343977)</f>
        <v>-0.2927694355</v>
      </c>
      <c r="J312" s="26">
        <f>IFERROR(__xludf.DUMMYFUNCTION("""COMPUTED_VALUE"""),4.634179104)</f>
        <v>4.634179104</v>
      </c>
      <c r="K312" s="26">
        <f>IFERROR(__xludf.DUMMYFUNCTION("""COMPUTED_VALUE"""),0.7253731343)</f>
        <v>0.7253731343</v>
      </c>
      <c r="L312" s="26">
        <f>IFERROR(__xludf.DUMMYFUNCTION("""COMPUTED_VALUE"""),3.156268657)</f>
        <v>3.156268657</v>
      </c>
      <c r="M312" s="26">
        <f>IFERROR(__xludf.DUMMYFUNCTION("""COMPUTED_VALUE"""),1.328656716)</f>
        <v>1.328656716</v>
      </c>
      <c r="N312" s="26">
        <f>IFERROR(__xludf.DUMMYFUNCTION("""COMPUTED_VALUE"""),0.5952238806)</f>
        <v>0.5952238806</v>
      </c>
      <c r="O312" s="26">
        <f>IFERROR(__xludf.DUMMYFUNCTION("""COMPUTED_VALUE"""),0.1268656716)</f>
        <v>0.1268656716</v>
      </c>
      <c r="P312" s="464">
        <f>IFERROR(__xludf.DUMMYFUNCTION("""COMPUTED_VALUE"""),0.4777492273)</f>
        <v>0.4777492273</v>
      </c>
      <c r="Q312" s="464">
        <f>IFERROR(__xludf.DUMMYFUNCTION("""COMPUTED_VALUE"""),0.4944134078)</f>
        <v>0.4944134078</v>
      </c>
      <c r="R312" s="26">
        <f>IFERROR(__xludf.DUMMYFUNCTION("""COMPUTED_VALUE"""),0.5680597015)</f>
        <v>0.5680597015</v>
      </c>
      <c r="S312" s="26">
        <f>IFERROR(__xludf.DUMMYFUNCTION("""COMPUTED_VALUE"""),-2.317093866311535)</f>
        <v>-2.317093866</v>
      </c>
      <c r="T312" s="26">
        <f>IFERROR(__xludf.DUMMYFUNCTION("""COMPUTED_VALUE"""),-1.015034058569002)</f>
        <v>-1.015034059</v>
      </c>
      <c r="U312" s="26">
        <f>IFERROR(__xludf.DUMMYFUNCTION("""COMPUTED_VALUE"""),-1.1471371253870373)</f>
        <v>-1.147137125</v>
      </c>
      <c r="V312" s="26">
        <f>IFERROR(__xludf.DUMMYFUNCTION("""COMPUTED_VALUE"""),-1.182883696206307)</f>
        <v>-1.182883696</v>
      </c>
      <c r="W312" s="26">
        <f>IFERROR(__xludf.DUMMYFUNCTION("""COMPUTED_VALUE"""),-1.2597267303214872)</f>
        <v>-1.25972673</v>
      </c>
      <c r="X312" s="26">
        <f>IFERROR(__xludf.DUMMYFUNCTION("""COMPUTED_VALUE"""),-1.1090739917291064)</f>
        <v>-1.109073992</v>
      </c>
      <c r="Y312" s="26">
        <f>IFERROR(__xludf.DUMMYFUNCTION("""COMPUTED_VALUE"""),-0.0908940827621494)</f>
        <v>-0.09089408276</v>
      </c>
      <c r="Z312" s="26">
        <f>IFERROR(__xludf.DUMMYFUNCTION("""COMPUTED_VALUE"""),-0.16926068861912325)</f>
        <v>-0.1692606886</v>
      </c>
      <c r="AA312" s="26">
        <f>IFERROR(__xludf.DUMMYFUNCTION("""COMPUTED_VALUE"""),0.0)</f>
        <v>0</v>
      </c>
      <c r="AB312" t="str">
        <f>IFERROR(__xludf.DUMMYFUNCTION("SUBSTITUTE(REGEXREPLACE(REGEXREPLACE(REGEXREPLACE(REGEXREPLACE(REGEXREPLACE(REGEXREPLACE(F312,"","",),IF(Projections!$T$17="""",""PG"",),),IF(Projections!$U$17="""",""SG"",),),IF(Projections!$V$17="""",""SF"",),),IF(Projections!$W$17="""",""PF"",),),IF(Pr"&amp;"ojections!$X$17="""",""C"",),),""/"","""")"),"PGSG")</f>
        <v>PGSG</v>
      </c>
    </row>
    <row r="313">
      <c r="B313">
        <f>IFERROR(__xludf.DUMMYFUNCTION("""COMPUTED_VALUE"""),310.0)</f>
        <v>310</v>
      </c>
      <c r="D313" t="str">
        <f>IFERROR(__xludf.DUMMYFUNCTION("""COMPUTED_VALUE"""),"Talen Horton-Tucker")</f>
        <v>Talen Horton-Tucker</v>
      </c>
      <c r="E313">
        <f>IFERROR(__xludf.DUMMYFUNCTION("""COMPUTED_VALUE"""),40.0)</f>
        <v>40</v>
      </c>
      <c r="F313" t="str">
        <f>IFERROR(__xludf.DUMMYFUNCTION("""COMPUTED_VALUE"""),"PG,SG")</f>
        <v>PG,SG</v>
      </c>
      <c r="G313" s="26">
        <f>IFERROR(__xludf.DUMMYFUNCTION("""COMPUTED_VALUE"""),-8.110630689874553)</f>
        <v>-8.11063069</v>
      </c>
      <c r="H313" s="26">
        <f>IFERROR(__xludf.DUMMYFUNCTION("""COMPUTED_VALUE"""),-8.303279744298335)</f>
        <v>-8.303279744</v>
      </c>
      <c r="I313" s="26">
        <f>IFERROR(__xludf.DUMMYFUNCTION("""COMPUTED_VALUE"""),-0.19264905442378222)</f>
        <v>-0.1926490544</v>
      </c>
      <c r="J313" s="26">
        <f>IFERROR(__xludf.DUMMYFUNCTION("""COMPUTED_VALUE"""),6.8316)</f>
        <v>6.8316</v>
      </c>
      <c r="K313" s="26">
        <f>IFERROR(__xludf.DUMMYFUNCTION("""COMPUTED_VALUE"""),0.6934)</f>
        <v>0.6934</v>
      </c>
      <c r="L313" s="26">
        <f>IFERROR(__xludf.DUMMYFUNCTION("""COMPUTED_VALUE"""),1.7722)</f>
        <v>1.7722</v>
      </c>
      <c r="M313" s="26">
        <f>IFERROR(__xludf.DUMMYFUNCTION("""COMPUTED_VALUE"""),2.4296)</f>
        <v>2.4296</v>
      </c>
      <c r="N313" s="26">
        <f>IFERROR(__xludf.DUMMYFUNCTION("""COMPUTED_VALUE"""),0.5716)</f>
        <v>0.5716</v>
      </c>
      <c r="O313" s="26">
        <f>IFERROR(__xludf.DUMMYFUNCTION("""COMPUTED_VALUE"""),0.2572)</f>
        <v>0.2572</v>
      </c>
      <c r="P313" s="464">
        <f>IFERROR(__xludf.DUMMYFUNCTION("""COMPUTED_VALUE"""),0.4015622457)</f>
        <v>0.4015622457</v>
      </c>
      <c r="Q313" s="464">
        <f>IFERROR(__xludf.DUMMYFUNCTION("""COMPUTED_VALUE"""),0.782999219)</f>
        <v>0.782999219</v>
      </c>
      <c r="R313" s="26">
        <f>IFERROR(__xludf.DUMMYFUNCTION("""COMPUTED_VALUE"""),0.9718)</f>
        <v>0.9718</v>
      </c>
      <c r="S313" s="26">
        <f>IFERROR(__xludf.DUMMYFUNCTION("""COMPUTED_VALUE"""),-1.9209963591177013)</f>
        <v>-1.920996359</v>
      </c>
      <c r="T313" s="26">
        <f>IFERROR(__xludf.DUMMYFUNCTION("""COMPUTED_VALUE"""),-1.0467491229637138)</f>
        <v>-1.046749123</v>
      </c>
      <c r="U313" s="26">
        <f>IFERROR(__xludf.DUMMYFUNCTION("""COMPUTED_VALUE"""),-1.6895633154766172)</f>
        <v>-1.689563315</v>
      </c>
      <c r="V313" s="26">
        <f>IFERROR(__xludf.DUMMYFUNCTION("""COMPUTED_VALUE"""),-0.6829030642825206)</f>
        <v>-0.6829030643</v>
      </c>
      <c r="W313" s="26">
        <f>IFERROR(__xludf.DUMMYFUNCTION("""COMPUTED_VALUE"""),-1.3378819305809897)</f>
        <v>-1.337881931</v>
      </c>
      <c r="X313" s="26">
        <f>IFERROR(__xludf.DUMMYFUNCTION("""COMPUTED_VALUE"""),-0.8766034505032563)</f>
        <v>-0.8766034505</v>
      </c>
      <c r="Y313" s="26">
        <f>IFERROR(__xludf.DUMMYFUNCTION("""COMPUTED_VALUE"""),-0.6839165985268304)</f>
        <v>-0.6839165985</v>
      </c>
      <c r="Z313" s="26">
        <f>IFERROR(__xludf.DUMMYFUNCTION("""COMPUTED_VALUE"""),-0.06466590284670586)</f>
        <v>-0.06466590285</v>
      </c>
      <c r="AA313" s="26">
        <f>IFERROR(__xludf.DUMMYFUNCTION("""COMPUTED_VALUE"""),0.0)</f>
        <v>0</v>
      </c>
      <c r="AB313" t="str">
        <f>IFERROR(__xludf.DUMMYFUNCTION("SUBSTITUTE(REGEXREPLACE(REGEXREPLACE(REGEXREPLACE(REGEXREPLACE(REGEXREPLACE(REGEXREPLACE(F313,"","",),IF(Projections!$T$17="""",""PG"",),),IF(Projections!$U$17="""",""SG"",),),IF(Projections!$V$17="""",""SF"",),),IF(Projections!$W$17="""",""PF"",),),IF(Pr"&amp;"ojections!$X$17="""",""C"",),),""/"","""")"),"PGSG")</f>
        <v>PGSG</v>
      </c>
    </row>
    <row r="314">
      <c r="B314">
        <f>IFERROR(__xludf.DUMMYFUNCTION("""COMPUTED_VALUE"""),304.0)</f>
        <v>304</v>
      </c>
      <c r="D314" t="str">
        <f>IFERROR(__xludf.DUMMYFUNCTION("""COMPUTED_VALUE"""),"Chris Boucher")</f>
        <v>Chris Boucher</v>
      </c>
      <c r="E314">
        <f>IFERROR(__xludf.DUMMYFUNCTION("""COMPUTED_VALUE"""),52.0)</f>
        <v>52</v>
      </c>
      <c r="F314" t="str">
        <f>IFERROR(__xludf.DUMMYFUNCTION("""COMPUTED_VALUE"""),"SF")</f>
        <v>SF</v>
      </c>
      <c r="G314" s="26">
        <f>IFERROR(__xludf.DUMMYFUNCTION("""COMPUTED_VALUE"""),-8.062781288171438)</f>
        <v>-8.062781288</v>
      </c>
      <c r="H314" s="26">
        <f>IFERROR(__xludf.DUMMYFUNCTION("""COMPUTED_VALUE"""),-8.328411484855048)</f>
        <v>-8.328411485</v>
      </c>
      <c r="I314" s="26">
        <f>IFERROR(__xludf.DUMMYFUNCTION("""COMPUTED_VALUE"""),-0.26563019668360965)</f>
        <v>-0.2656301967</v>
      </c>
      <c r="J314" s="26">
        <f>IFERROR(__xludf.DUMMYFUNCTION("""COMPUTED_VALUE"""),5.510681818)</f>
        <v>5.510681818</v>
      </c>
      <c r="K314" s="26">
        <f>IFERROR(__xludf.DUMMYFUNCTION("""COMPUTED_VALUE"""),0.5381818182)</f>
        <v>0.5381818182</v>
      </c>
      <c r="L314" s="26">
        <f>IFERROR(__xludf.DUMMYFUNCTION("""COMPUTED_VALUE"""),4.418636364)</f>
        <v>4.418636364</v>
      </c>
      <c r="M314" s="26">
        <f>IFERROR(__xludf.DUMMYFUNCTION("""COMPUTED_VALUE"""),0.5302272727)</f>
        <v>0.5302272727</v>
      </c>
      <c r="N314" s="26">
        <f>IFERROR(__xludf.DUMMYFUNCTION("""COMPUTED_VALUE"""),0.2945454545)</f>
        <v>0.2945454545</v>
      </c>
      <c r="O314" s="26">
        <f>IFERROR(__xludf.DUMMYFUNCTION("""COMPUTED_VALUE"""),0.4713636364)</f>
        <v>0.4713636364</v>
      </c>
      <c r="P314" s="464">
        <f>IFERROR(__xludf.DUMMYFUNCTION("""COMPUTED_VALUE"""),0.5018681451)</f>
        <v>0.5018681451</v>
      </c>
      <c r="Q314" s="464">
        <f>IFERROR(__xludf.DUMMYFUNCTION("""COMPUTED_VALUE"""),0.7870705244)</f>
        <v>0.7870705244</v>
      </c>
      <c r="R314" s="26">
        <f>IFERROR(__xludf.DUMMYFUNCTION("""COMPUTED_VALUE"""),0.6775)</f>
        <v>0.6775</v>
      </c>
      <c r="S314" s="26">
        <f>IFERROR(__xludf.DUMMYFUNCTION("""COMPUTED_VALUE"""),-2.1590993097402342)</f>
        <v>-2.15909931</v>
      </c>
      <c r="T314" s="26">
        <f>IFERROR(__xludf.DUMMYFUNCTION("""COMPUTED_VALUE"""),-1.20071446726895)</f>
        <v>-1.200714467</v>
      </c>
      <c r="U314" s="26">
        <f>IFERROR(__xludf.DUMMYFUNCTION("""COMPUTED_VALUE"""),-0.6524063890633628)</f>
        <v>-0.6524063891</v>
      </c>
      <c r="V314" s="26">
        <f>IFERROR(__xludf.DUMMYFUNCTION("""COMPUTED_VALUE"""),-1.5454811736688163)</f>
        <v>-1.545481174</v>
      </c>
      <c r="W314" s="26">
        <f>IFERROR(__xludf.DUMMYFUNCTION("""COMPUTED_VALUE"""),-2.254465190249088)</f>
        <v>-2.25446519</v>
      </c>
      <c r="X314" s="26">
        <f>IFERROR(__xludf.DUMMYFUNCTION("""COMPUTED_VALUE"""),-0.49461094648691467)</f>
        <v>-0.4946109465</v>
      </c>
      <c r="Y314" s="26">
        <f>IFERROR(__xludf.DUMMYFUNCTION("""COMPUTED_VALUE"""),0.02027306270761619)</f>
        <v>0.02027306271</v>
      </c>
      <c r="Z314" s="26">
        <f>IFERROR(__xludf.DUMMYFUNCTION("""COMPUTED_VALUE"""),-0.041907071085297155)</f>
        <v>-0.04190707109</v>
      </c>
      <c r="AA314" s="26">
        <f>IFERROR(__xludf.DUMMYFUNCTION("""COMPUTED_VALUE"""),0.0)</f>
        <v>0</v>
      </c>
      <c r="AB314" t="str">
        <f>IFERROR(__xludf.DUMMYFUNCTION("SUBSTITUTE(REGEXREPLACE(REGEXREPLACE(REGEXREPLACE(REGEXREPLACE(REGEXREPLACE(REGEXREPLACE(F314,"","",),IF(Projections!$T$17="""",""PG"",),),IF(Projections!$U$17="""",""SG"",),),IF(Projections!$V$17="""",""SF"",),),IF(Projections!$W$17="""",""PF"",),),IF(Pr"&amp;"ojections!$X$17="""",""C"",),),""/"","""")"),"SF")</f>
        <v>SF</v>
      </c>
    </row>
    <row r="315">
      <c r="B315">
        <f>IFERROR(__xludf.DUMMYFUNCTION("""COMPUTED_VALUE"""),308.0)</f>
        <v>308</v>
      </c>
      <c r="D315" t="str">
        <f>IFERROR(__xludf.DUMMYFUNCTION("""COMPUTED_VALUE"""),"Monte Morris")</f>
        <v>Monte Morris</v>
      </c>
      <c r="E315">
        <f>IFERROR(__xludf.DUMMYFUNCTION("""COMPUTED_VALUE"""),30.0)</f>
        <v>30</v>
      </c>
      <c r="F315" t="str">
        <f>IFERROR(__xludf.DUMMYFUNCTION("""COMPUTED_VALUE"""),"C")</f>
        <v>C</v>
      </c>
      <c r="G315" s="26">
        <f>IFERROR(__xludf.DUMMYFUNCTION("""COMPUTED_VALUE"""),-8.078220922398694)</f>
        <v>-8.078220922</v>
      </c>
      <c r="H315" s="26">
        <f>IFERROR(__xludf.DUMMYFUNCTION("""COMPUTED_VALUE"""),-8.411134507113498)</f>
        <v>-8.411134507</v>
      </c>
      <c r="I315" s="26">
        <f>IFERROR(__xludf.DUMMYFUNCTION("""COMPUTED_VALUE"""),-0.33291358471480414)</f>
        <v>-0.3329135847</v>
      </c>
      <c r="J315" s="26">
        <f>IFERROR(__xludf.DUMMYFUNCTION("""COMPUTED_VALUE"""),5.736617647)</f>
        <v>5.736617647</v>
      </c>
      <c r="K315" s="26">
        <f>IFERROR(__xludf.DUMMYFUNCTION("""COMPUTED_VALUE"""),0.9442647059)</f>
        <v>0.9442647059</v>
      </c>
      <c r="L315" s="26">
        <f>IFERROR(__xludf.DUMMYFUNCTION("""COMPUTED_VALUE"""),1.718823529)</f>
        <v>1.718823529</v>
      </c>
      <c r="M315" s="26">
        <f>IFERROR(__xludf.DUMMYFUNCTION("""COMPUTED_VALUE"""),2.281323529)</f>
        <v>2.281323529</v>
      </c>
      <c r="N315" s="26">
        <f>IFERROR(__xludf.DUMMYFUNCTION("""COMPUTED_VALUE"""),0.4255882353)</f>
        <v>0.4255882353</v>
      </c>
      <c r="O315" s="26">
        <f>IFERROR(__xludf.DUMMYFUNCTION("""COMPUTED_VALUE"""),0.1905882353)</f>
        <v>0.1905882353</v>
      </c>
      <c r="P315" s="464">
        <f>IFERROR(__xludf.DUMMYFUNCTION("""COMPUTED_VALUE"""),0.4422101339)</f>
        <v>0.4422101339</v>
      </c>
      <c r="Q315" s="464">
        <f>IFERROR(__xludf.DUMMYFUNCTION("""COMPUTED_VALUE"""),0.8349736782)</f>
        <v>0.8349736782</v>
      </c>
      <c r="R315" s="26">
        <f>IFERROR(__xludf.DUMMYFUNCTION("""COMPUTED_VALUE"""),0.4061764706)</f>
        <v>0.4061764706</v>
      </c>
      <c r="S315" s="26">
        <f>IFERROR(__xludf.DUMMYFUNCTION("""COMPUTED_VALUE"""),-2.1183731025691017)</f>
        <v>-2.118373103</v>
      </c>
      <c r="T315" s="26">
        <f>IFERROR(__xludf.DUMMYFUNCTION("""COMPUTED_VALUE"""),-0.7979092617437614)</f>
        <v>-0.7979092617</v>
      </c>
      <c r="U315" s="26">
        <f>IFERROR(__xludf.DUMMYFUNCTION("""COMPUTED_VALUE"""),-1.7104819279013164)</f>
        <v>-1.710481928</v>
      </c>
      <c r="V315" s="26">
        <f>IFERROR(__xludf.DUMMYFUNCTION("""COMPUTED_VALUE"""),-0.7502411049858136)</f>
        <v>-0.750241105</v>
      </c>
      <c r="W315" s="26">
        <f>IFERROR(__xludf.DUMMYFUNCTION("""COMPUTED_VALUE"""),-1.8209346052703403)</f>
        <v>-1.820934605</v>
      </c>
      <c r="X315" s="26">
        <f>IFERROR(__xludf.DUMMYFUNCTION("""COMPUTED_VALUE"""),-0.9954153796543637)</f>
        <v>-0.9954153797</v>
      </c>
      <c r="Y315" s="26">
        <f>IFERROR(__xludf.DUMMYFUNCTION("""COMPUTED_VALUE"""),-0.30805057056056245)</f>
        <v>-0.3080505706</v>
      </c>
      <c r="Z315" s="26">
        <f>IFERROR(__xludf.DUMMYFUNCTION("""COMPUTED_VALUE"""),0.09027144557176209)</f>
        <v>0.09027144557</v>
      </c>
      <c r="AA315" s="26">
        <f>IFERROR(__xludf.DUMMYFUNCTION("""COMPUTED_VALUE"""),0.0)</f>
        <v>0</v>
      </c>
      <c r="AB315" t="str">
        <f>IFERROR(__xludf.DUMMYFUNCTION("SUBSTITUTE(REGEXREPLACE(REGEXREPLACE(REGEXREPLACE(REGEXREPLACE(REGEXREPLACE(REGEXREPLACE(F315,"","",),IF(Projections!$T$17="""",""PG"",),),IF(Projections!$U$17="""",""SG"",),),IF(Projections!$V$17="""",""SF"",),),IF(Projections!$W$17="""",""PF"",),),IF(Pr"&amp;"ojections!$X$17="""",""C"",),),""/"","""")"),"C")</f>
        <v>C</v>
      </c>
    </row>
    <row r="316">
      <c r="B316">
        <f>IFERROR(__xludf.DUMMYFUNCTION("""COMPUTED_VALUE"""),314.0)</f>
        <v>314</v>
      </c>
      <c r="D316" t="str">
        <f>IFERROR(__xludf.DUMMYFUNCTION("""COMPUTED_VALUE"""),"Bones Hyland")</f>
        <v>Bones Hyland</v>
      </c>
      <c r="E316">
        <f>IFERROR(__xludf.DUMMYFUNCTION("""COMPUTED_VALUE"""),20.0)</f>
        <v>20</v>
      </c>
      <c r="F316" t="str">
        <f>IFERROR(__xludf.DUMMYFUNCTION("""COMPUTED_VALUE"""),"SF,PF")</f>
        <v>SF,PF</v>
      </c>
      <c r="G316" s="26">
        <f>IFERROR(__xludf.DUMMYFUNCTION("""COMPUTED_VALUE"""),-8.249540282798561)</f>
        <v>-8.249540283</v>
      </c>
      <c r="H316" s="26">
        <f>IFERROR(__xludf.DUMMYFUNCTION("""COMPUTED_VALUE"""),-8.443537458273202)</f>
        <v>-8.443537458</v>
      </c>
      <c r="I316" s="26">
        <f>IFERROR(__xludf.DUMMYFUNCTION("""COMPUTED_VALUE"""),-0.19399717547464057)</f>
        <v>-0.1939971755</v>
      </c>
      <c r="J316" s="26">
        <f>IFERROR(__xludf.DUMMYFUNCTION("""COMPUTED_VALUE"""),6.949545455)</f>
        <v>6.949545455</v>
      </c>
      <c r="K316" s="26">
        <f>IFERROR(__xludf.DUMMYFUNCTION("""COMPUTED_VALUE"""),1.203409091)</f>
        <v>1.203409091</v>
      </c>
      <c r="L316" s="26">
        <f>IFERROR(__xludf.DUMMYFUNCTION("""COMPUTED_VALUE"""),1.619090909)</f>
        <v>1.619090909</v>
      </c>
      <c r="M316" s="26">
        <f>IFERROR(__xludf.DUMMYFUNCTION("""COMPUTED_VALUE"""),1.964318182)</f>
        <v>1.964318182</v>
      </c>
      <c r="N316" s="26">
        <f>IFERROR(__xludf.DUMMYFUNCTION("""COMPUTED_VALUE"""),0.4777272727)</f>
        <v>0.4777272727</v>
      </c>
      <c r="O316" s="26">
        <f>IFERROR(__xludf.DUMMYFUNCTION("""COMPUTED_VALUE"""),0.1345454545)</f>
        <v>0.1345454545</v>
      </c>
      <c r="P316" s="464">
        <f>IFERROR(__xludf.DUMMYFUNCTION("""COMPUTED_VALUE"""),0.3939241957)</f>
        <v>0.3939241957</v>
      </c>
      <c r="Q316" s="464">
        <f>IFERROR(__xludf.DUMMYFUNCTION("""COMPUTED_VALUE"""),0.8421187308)</f>
        <v>0.8421187308</v>
      </c>
      <c r="R316" s="26">
        <f>IFERROR(__xludf.DUMMYFUNCTION("""COMPUTED_VALUE"""),0.9663636364)</f>
        <v>0.9663636364</v>
      </c>
      <c r="S316" s="26">
        <f>IFERROR(__xludf.DUMMYFUNCTION("""COMPUTED_VALUE"""),-1.8997360257899425)</f>
        <v>-1.899736026</v>
      </c>
      <c r="T316" s="26">
        <f>IFERROR(__xludf.DUMMYFUNCTION("""COMPUTED_VALUE"""),-0.5408565504312377)</f>
        <v>-0.5408565504</v>
      </c>
      <c r="U316" s="26">
        <f>IFERROR(__xludf.DUMMYFUNCTION("""COMPUTED_VALUE"""),-1.7495678394423737)</f>
        <v>-1.749567839</v>
      </c>
      <c r="V316" s="26">
        <f>IFERROR(__xludf.DUMMYFUNCTION("""COMPUTED_VALUE"""),-0.8942054090691465)</f>
        <v>-0.8942054091</v>
      </c>
      <c r="W316" s="26">
        <f>IFERROR(__xludf.DUMMYFUNCTION("""COMPUTED_VALUE"""),-1.6484423302571196)</f>
        <v>-1.64844233</v>
      </c>
      <c r="X316" s="26">
        <f>IFERROR(__xludf.DUMMYFUNCTION("""COMPUTED_VALUE"""),-1.095375963671749)</f>
        <v>-1.095375964</v>
      </c>
      <c r="Y316" s="26">
        <f>IFERROR(__xludf.DUMMYFUNCTION("""COMPUTED_VALUE"""),-0.7624374238697926)</f>
        <v>-0.7624374239</v>
      </c>
      <c r="Z316" s="26">
        <f>IFERROR(__xludf.DUMMYFUNCTION("""COMPUTED_VALUE"""),0.1470840842581595)</f>
        <v>0.1470840843</v>
      </c>
      <c r="AA316" s="26">
        <f>IFERROR(__xludf.DUMMYFUNCTION("""COMPUTED_VALUE"""),0.0)</f>
        <v>0</v>
      </c>
      <c r="AB316" t="str">
        <f>IFERROR(__xludf.DUMMYFUNCTION("SUBSTITUTE(REGEXREPLACE(REGEXREPLACE(REGEXREPLACE(REGEXREPLACE(REGEXREPLACE(REGEXREPLACE(F316,"","",),IF(Projections!$T$17="""",""PG"",),),IF(Projections!$U$17="""",""SG"",),),IF(Projections!$V$17="""",""SF"",),),IF(Projections!$W$17="""",""PF"",),),IF(Pr"&amp;"ojections!$X$17="""",""C"",),),""/"","""")"),"SFPF")</f>
        <v>SFPF</v>
      </c>
    </row>
    <row r="317">
      <c r="B317">
        <f>IFERROR(__xludf.DUMMYFUNCTION("""COMPUTED_VALUE"""),318.0)</f>
        <v>318</v>
      </c>
      <c r="D317" t="str">
        <f>IFERROR(__xludf.DUMMYFUNCTION("""COMPUTED_VALUE"""),"Reggie Jackson")</f>
        <v>Reggie Jackson</v>
      </c>
      <c r="E317">
        <f>IFERROR(__xludf.DUMMYFUNCTION("""COMPUTED_VALUE"""),30.0)</f>
        <v>30</v>
      </c>
      <c r="F317" t="str">
        <f>IFERROR(__xludf.DUMMYFUNCTION("""COMPUTED_VALUE"""),"C")</f>
        <v>C</v>
      </c>
      <c r="G317" s="26">
        <f>IFERROR(__xludf.DUMMYFUNCTION("""COMPUTED_VALUE"""),-8.310650758372578)</f>
        <v>-8.310650758</v>
      </c>
      <c r="H317" s="26">
        <f>IFERROR(__xludf.DUMMYFUNCTION("""COMPUTED_VALUE"""),-8.49824301546202)</f>
        <v>-8.498243015</v>
      </c>
      <c r="I317" s="26">
        <f>IFERROR(__xludf.DUMMYFUNCTION("""COMPUTED_VALUE"""),-0.18759225708944172)</f>
        <v>-0.1875922571</v>
      </c>
      <c r="J317" s="26">
        <f>IFERROR(__xludf.DUMMYFUNCTION("""COMPUTED_VALUE"""),6.515205479)</f>
        <v>6.515205479</v>
      </c>
      <c r="K317" s="26">
        <f>IFERROR(__xludf.DUMMYFUNCTION("""COMPUTED_VALUE"""),0.9132876712)</f>
        <v>0.9132876712</v>
      </c>
      <c r="L317" s="26">
        <f>IFERROR(__xludf.DUMMYFUNCTION("""COMPUTED_VALUE"""),1.837534247)</f>
        <v>1.837534247</v>
      </c>
      <c r="M317" s="26">
        <f>IFERROR(__xludf.DUMMYFUNCTION("""COMPUTED_VALUE"""),2.646027397)</f>
        <v>2.646027397</v>
      </c>
      <c r="N317" s="26">
        <f>IFERROR(__xludf.DUMMYFUNCTION("""COMPUTED_VALUE"""),0.4353424658)</f>
        <v>0.4353424658</v>
      </c>
      <c r="O317" s="26">
        <f>IFERROR(__xludf.DUMMYFUNCTION("""COMPUTED_VALUE"""),0.1110958904)</f>
        <v>0.1110958904</v>
      </c>
      <c r="P317" s="464">
        <f>IFERROR(__xludf.DUMMYFUNCTION("""COMPUTED_VALUE"""),0.4001323481)</f>
        <v>0.4001323481</v>
      </c>
      <c r="Q317" s="464">
        <f>IFERROR(__xludf.DUMMYFUNCTION("""COMPUTED_VALUE"""),0.8669673055)</f>
        <v>0.8669673055</v>
      </c>
      <c r="R317" s="26">
        <f>IFERROR(__xludf.DUMMYFUNCTION("""COMPUTED_VALUE"""),0.9921917808)</f>
        <v>0.9921917808</v>
      </c>
      <c r="S317" s="26">
        <f>IFERROR(__xludf.DUMMYFUNCTION("""COMPUTED_VALUE"""),-1.978028255595074)</f>
        <v>-1.978028256</v>
      </c>
      <c r="T317" s="26">
        <f>IFERROR(__xludf.DUMMYFUNCTION("""COMPUTED_VALUE"""),-0.8286362665175073)</f>
        <v>-0.8286362665</v>
      </c>
      <c r="U317" s="26">
        <f>IFERROR(__xludf.DUMMYFUNCTION("""COMPUTED_VALUE"""),-1.6639583669768827)</f>
        <v>-1.663958367</v>
      </c>
      <c r="V317" s="26">
        <f>IFERROR(__xludf.DUMMYFUNCTION("""COMPUTED_VALUE"""),-0.5846150704409775)</f>
        <v>-0.5846150704</v>
      </c>
      <c r="W317" s="26">
        <f>IFERROR(__xludf.DUMMYFUNCTION("""COMPUTED_VALUE"""),-1.7886645540026054)</f>
        <v>-1.788664554</v>
      </c>
      <c r="X317" s="26">
        <f>IFERROR(__xludf.DUMMYFUNCTION("""COMPUTED_VALUE"""),-1.137201727649348)</f>
        <v>-1.137201728</v>
      </c>
      <c r="Y317" s="26">
        <f>IFERROR(__xludf.DUMMYFUNCTION("""COMPUTED_VALUE"""),-0.7015102982774925)</f>
        <v>-0.7015102983</v>
      </c>
      <c r="Z317" s="26">
        <f>IFERROR(__xludf.DUMMYFUNCTION("""COMPUTED_VALUE"""),0.18437152399786738)</f>
        <v>0.184371524</v>
      </c>
      <c r="AA317" s="26">
        <f>IFERROR(__xludf.DUMMYFUNCTION("""COMPUTED_VALUE"""),0.0)</f>
        <v>0</v>
      </c>
      <c r="AB317" t="str">
        <f>IFERROR(__xludf.DUMMYFUNCTION("SUBSTITUTE(REGEXREPLACE(REGEXREPLACE(REGEXREPLACE(REGEXREPLACE(REGEXREPLACE(REGEXREPLACE(F317,"","",),IF(Projections!$T$17="""",""PG"",),),IF(Projections!$U$17="""",""SG"",),),IF(Projections!$V$17="""",""SF"",),),IF(Projections!$W$17="""",""PF"",),),IF(Pr"&amp;"ojections!$X$17="""",""C"",),),""/"","""")"),"C")</f>
        <v>C</v>
      </c>
    </row>
    <row r="318">
      <c r="B318">
        <f>IFERROR(__xludf.DUMMYFUNCTION("""COMPUTED_VALUE"""),312.0)</f>
        <v>312</v>
      </c>
      <c r="D318" t="str">
        <f>IFERROR(__xludf.DUMMYFUNCTION("""COMPUTED_VALUE"""),"Moses Moody")</f>
        <v>Moses Moody</v>
      </c>
      <c r="E318">
        <f>IFERROR(__xludf.DUMMYFUNCTION("""COMPUTED_VALUE"""),40.0)</f>
        <v>40</v>
      </c>
      <c r="F318" t="str">
        <f>IFERROR(__xludf.DUMMYFUNCTION("""COMPUTED_VALUE"""),"SG")</f>
        <v>SG</v>
      </c>
      <c r="G318" s="26">
        <f>IFERROR(__xludf.DUMMYFUNCTION("""COMPUTED_VALUE"""),-8.238453594237855)</f>
        <v>-8.238453594</v>
      </c>
      <c r="H318" s="26">
        <f>IFERROR(__xludf.DUMMYFUNCTION("""COMPUTED_VALUE"""),-8.53230999272798)</f>
        <v>-8.532309993</v>
      </c>
      <c r="I318" s="26">
        <f>IFERROR(__xludf.DUMMYFUNCTION("""COMPUTED_VALUE"""),-0.29385639849012435)</f>
        <v>-0.2938563985</v>
      </c>
      <c r="J318" s="26">
        <f>IFERROR(__xludf.DUMMYFUNCTION("""COMPUTED_VALUE"""),7.377941176)</f>
        <v>7.377941176</v>
      </c>
      <c r="K318" s="26">
        <f>IFERROR(__xludf.DUMMYFUNCTION("""COMPUTED_VALUE"""),1.025294118)</f>
        <v>1.025294118</v>
      </c>
      <c r="L318" s="26">
        <f>IFERROR(__xludf.DUMMYFUNCTION("""COMPUTED_VALUE"""),2.343823529)</f>
        <v>2.343823529</v>
      </c>
      <c r="M318" s="26">
        <f>IFERROR(__xludf.DUMMYFUNCTION("""COMPUTED_VALUE"""),0.7105882353)</f>
        <v>0.7105882353</v>
      </c>
      <c r="N318" s="26">
        <f>IFERROR(__xludf.DUMMYFUNCTION("""COMPUTED_VALUE"""),0.4375)</f>
        <v>0.4375</v>
      </c>
      <c r="O318" s="26">
        <f>IFERROR(__xludf.DUMMYFUNCTION("""COMPUTED_VALUE"""),0.2186764706)</f>
        <v>0.2186764706</v>
      </c>
      <c r="P318" s="464">
        <f>IFERROR(__xludf.DUMMYFUNCTION("""COMPUTED_VALUE"""),0.4620133074)</f>
        <v>0.4620133074</v>
      </c>
      <c r="Q318" s="464">
        <f>IFERROR(__xludf.DUMMYFUNCTION("""COMPUTED_VALUE"""),0.7729905027)</f>
        <v>0.7729905027</v>
      </c>
      <c r="R318" s="26">
        <f>IFERROR(__xludf.DUMMYFUNCTION("""COMPUTED_VALUE"""),0.5636764706)</f>
        <v>0.5636764706</v>
      </c>
      <c r="S318" s="26">
        <f>IFERROR(__xludf.DUMMYFUNCTION("""COMPUTED_VALUE"""),-1.8225152814666823)</f>
        <v>-1.822515281</v>
      </c>
      <c r="T318" s="26">
        <f>IFERROR(__xludf.DUMMYFUNCTION("""COMPUTED_VALUE"""),-0.7175338753801817)</f>
        <v>-0.7175338754</v>
      </c>
      <c r="U318" s="26">
        <f>IFERROR(__xludf.DUMMYFUNCTION("""COMPUTED_VALUE"""),-1.4655400551904545)</f>
        <v>-1.465540055</v>
      </c>
      <c r="V318" s="26">
        <f>IFERROR(__xludf.DUMMYFUNCTION("""COMPUTED_VALUE"""),-1.463572332981315)</f>
        <v>-1.463572333</v>
      </c>
      <c r="W318" s="26">
        <f>IFERROR(__xludf.DUMMYFUNCTION("""COMPUTED_VALUE"""),-1.7815267547424904)</f>
        <v>-1.781526755</v>
      </c>
      <c r="X318" s="26">
        <f>IFERROR(__xludf.DUMMYFUNCTION("""COMPUTED_VALUE"""),-0.9453158598852494)</f>
        <v>-0.9453158599</v>
      </c>
      <c r="Y318" s="26">
        <f>IFERROR(__xludf.DUMMYFUNCTION("""COMPUTED_VALUE"""),-0.2382204370582894)</f>
        <v>-0.2382204371</v>
      </c>
      <c r="Z318" s="26">
        <f>IFERROR(__xludf.DUMMYFUNCTION("""COMPUTED_VALUE"""),-0.09808539602331495)</f>
        <v>-0.09808539602</v>
      </c>
      <c r="AA318" s="26">
        <f>IFERROR(__xludf.DUMMYFUNCTION("""COMPUTED_VALUE"""),0.0)</f>
        <v>0</v>
      </c>
      <c r="AB318" t="str">
        <f>IFERROR(__xludf.DUMMYFUNCTION("SUBSTITUTE(REGEXREPLACE(REGEXREPLACE(REGEXREPLACE(REGEXREPLACE(REGEXREPLACE(REGEXREPLACE(F318,"","",),IF(Projections!$T$17="""",""PG"",),),IF(Projections!$U$17="""",""SG"",),),IF(Projections!$V$17="""",""SF"",),),IF(Projections!$W$17="""",""PF"",),),IF(Pr"&amp;"ojections!$X$17="""",""C"",),),""/"","""")"),"SG")</f>
        <v>SG</v>
      </c>
    </row>
    <row r="319">
      <c r="B319">
        <f>IFERROR(__xludf.DUMMYFUNCTION("""COMPUTED_VALUE"""),313.0)</f>
        <v>313</v>
      </c>
      <c r="D319" t="str">
        <f>IFERROR(__xludf.DUMMYFUNCTION("""COMPUTED_VALUE"""),"Dalen Terry")</f>
        <v>Dalen Terry</v>
      </c>
      <c r="E319">
        <f>IFERROR(__xludf.DUMMYFUNCTION("""COMPUTED_VALUE"""),40.0)</f>
        <v>40</v>
      </c>
      <c r="F319" t="str">
        <f>IFERROR(__xludf.DUMMYFUNCTION("""COMPUTED_VALUE"""),"PG,SG")</f>
        <v>PG,SG</v>
      </c>
      <c r="G319" s="26">
        <f>IFERROR(__xludf.DUMMYFUNCTION("""COMPUTED_VALUE"""),-8.283778369139283)</f>
        <v>-8.283778369</v>
      </c>
      <c r="H319" s="26">
        <f>IFERROR(__xludf.DUMMYFUNCTION("""COMPUTED_VALUE"""),-8.553347105600045)</f>
        <v>-8.553347106</v>
      </c>
      <c r="I319" s="26">
        <f>IFERROR(__xludf.DUMMYFUNCTION("""COMPUTED_VALUE"""),-0.2695687364607622)</f>
        <v>-0.2695687365</v>
      </c>
      <c r="J319" s="26">
        <f>IFERROR(__xludf.DUMMYFUNCTION("""COMPUTED_VALUE"""),4.071323529)</f>
        <v>4.071323529</v>
      </c>
      <c r="K319" s="26">
        <f>IFERROR(__xludf.DUMMYFUNCTION("""COMPUTED_VALUE"""),0.3241176471)</f>
        <v>0.3241176471</v>
      </c>
      <c r="L319" s="26">
        <f>IFERROR(__xludf.DUMMYFUNCTION("""COMPUTED_VALUE"""),2.388823529)</f>
        <v>2.388823529</v>
      </c>
      <c r="M319" s="26">
        <f>IFERROR(__xludf.DUMMYFUNCTION("""COMPUTED_VALUE"""),1.912647059)</f>
        <v>1.912647059</v>
      </c>
      <c r="N319" s="26">
        <f>IFERROR(__xludf.DUMMYFUNCTION("""COMPUTED_VALUE"""),0.6679411765)</f>
        <v>0.6679411765</v>
      </c>
      <c r="O319" s="26">
        <f>IFERROR(__xludf.DUMMYFUNCTION("""COMPUTED_VALUE"""),0.3897058824)</f>
        <v>0.3897058824</v>
      </c>
      <c r="P319" s="464">
        <f>IFERROR(__xludf.DUMMYFUNCTION("""COMPUTED_VALUE"""),0.4562764168)</f>
        <v>0.4562764168</v>
      </c>
      <c r="Q319" s="464">
        <f>IFERROR(__xludf.DUMMYFUNCTION("""COMPUTED_VALUE"""),0.6050373134)</f>
        <v>0.6050373134</v>
      </c>
      <c r="R319" s="26">
        <f>IFERROR(__xludf.DUMMYFUNCTION("""COMPUTED_VALUE"""),0.6616176471)</f>
        <v>0.6616176471</v>
      </c>
      <c r="S319" s="26">
        <f>IFERROR(__xludf.DUMMYFUNCTION("""COMPUTED_VALUE"""),-2.4185517575027413)</f>
        <v>-2.418551758</v>
      </c>
      <c r="T319" s="26">
        <f>IFERROR(__xludf.DUMMYFUNCTION("""COMPUTED_VALUE"""),-1.4130508277688674)</f>
        <v>-1.413050828</v>
      </c>
      <c r="U319" s="26">
        <f>IFERROR(__xludf.DUMMYFUNCTION("""COMPUTED_VALUE"""),-1.4479042403552724)</f>
        <v>-1.44790424</v>
      </c>
      <c r="V319" s="26">
        <f>IFERROR(__xludf.DUMMYFUNCTION("""COMPUTED_VALUE"""),-0.9176712506844278)</f>
        <v>-0.9176712507</v>
      </c>
      <c r="W319" s="26">
        <f>IFERROR(__xludf.DUMMYFUNCTION("""COMPUTED_VALUE"""),-1.0191551273904258)</f>
        <v>-1.019155127</v>
      </c>
      <c r="X319" s="26">
        <f>IFERROR(__xludf.DUMMYFUNCTION("""COMPUTED_VALUE"""),-0.640259621710896)</f>
        <v>-0.6402596217</v>
      </c>
      <c r="Y319" s="26">
        <f>IFERROR(__xludf.DUMMYFUNCTION("""COMPUTED_VALUE"""),-0.17078016613549857)</f>
        <v>-0.1707801661</v>
      </c>
      <c r="Z319" s="26">
        <f>IFERROR(__xludf.DUMMYFUNCTION("""COMPUTED_VALUE"""),-0.5259741140519166)</f>
        <v>-0.5259741141</v>
      </c>
      <c r="AA319" s="26">
        <f>IFERROR(__xludf.DUMMYFUNCTION("""COMPUTED_VALUE"""),0.0)</f>
        <v>0</v>
      </c>
      <c r="AB319" t="str">
        <f>IFERROR(__xludf.DUMMYFUNCTION("SUBSTITUTE(REGEXREPLACE(REGEXREPLACE(REGEXREPLACE(REGEXREPLACE(REGEXREPLACE(REGEXREPLACE(F319,"","",),IF(Projections!$T$17="""",""PG"",),),IF(Projections!$U$17="""",""SG"",),),IF(Projections!$V$17="""",""SF"",),),IF(Projections!$W$17="""",""PF"",),),IF(Pr"&amp;"ojections!$X$17="""",""C"",),),""/"","""")"),"PGSG")</f>
        <v>PGSG</v>
      </c>
    </row>
    <row r="320">
      <c r="B320">
        <f>IFERROR(__xludf.DUMMYFUNCTION("""COMPUTED_VALUE"""),321.0)</f>
        <v>321</v>
      </c>
      <c r="D320" t="str">
        <f>IFERROR(__xludf.DUMMYFUNCTION("""COMPUTED_VALUE"""),"Jett Howard")</f>
        <v>Jett Howard</v>
      </c>
      <c r="E320">
        <f>IFERROR(__xludf.DUMMYFUNCTION("""COMPUTED_VALUE"""),10.0)</f>
        <v>10</v>
      </c>
      <c r="F320" t="str">
        <f>IFERROR(__xludf.DUMMYFUNCTION("""COMPUTED_VALUE"""),"PF")</f>
        <v>PF</v>
      </c>
      <c r="G320" s="26">
        <f>IFERROR(__xludf.DUMMYFUNCTION("""COMPUTED_VALUE"""),-8.2830082703916)</f>
        <v>-8.28300827</v>
      </c>
      <c r="H320" s="26">
        <f>IFERROR(__xludf.DUMMYFUNCTION("""COMPUTED_VALUE"""),-8.556273259503671)</f>
        <v>-8.55627326</v>
      </c>
      <c r="I320" s="26">
        <f>IFERROR(__xludf.DUMMYFUNCTION("""COMPUTED_VALUE"""),-0.27326498911207153)</f>
        <v>-0.2732649891</v>
      </c>
      <c r="J320" s="26">
        <f>IFERROR(__xludf.DUMMYFUNCTION("""COMPUTED_VALUE"""),7.168630137)</f>
        <v>7.168630137</v>
      </c>
      <c r="K320" s="26">
        <f>IFERROR(__xludf.DUMMYFUNCTION("""COMPUTED_VALUE"""),1.664383562)</f>
        <v>1.664383562</v>
      </c>
      <c r="L320" s="26">
        <f>IFERROR(__xludf.DUMMYFUNCTION("""COMPUTED_VALUE"""),1.71369863)</f>
        <v>1.71369863</v>
      </c>
      <c r="M320" s="26">
        <f>IFERROR(__xludf.DUMMYFUNCTION("""COMPUTED_VALUE"""),1.325616438)</f>
        <v>1.325616438</v>
      </c>
      <c r="N320" s="26">
        <f>IFERROR(__xludf.DUMMYFUNCTION("""COMPUTED_VALUE"""),0.3082191781)</f>
        <v>0.3082191781</v>
      </c>
      <c r="O320" s="26">
        <f>IFERROR(__xludf.DUMMYFUNCTION("""COMPUTED_VALUE"""),0.3232876712)</f>
        <v>0.3232876712</v>
      </c>
      <c r="P320" s="464">
        <f>IFERROR(__xludf.DUMMYFUNCTION("""COMPUTED_VALUE"""),0.3986073867)</f>
        <v>0.3986073867</v>
      </c>
      <c r="Q320" s="464">
        <f>IFERROR(__xludf.DUMMYFUNCTION("""COMPUTED_VALUE"""),0.7780657703)</f>
        <v>0.7780657703</v>
      </c>
      <c r="R320" s="26">
        <f>IFERROR(__xludf.DUMMYFUNCTION("""COMPUTED_VALUE"""),0.6467123288)</f>
        <v>0.6467123288</v>
      </c>
      <c r="S320" s="26">
        <f>IFERROR(__xludf.DUMMYFUNCTION("""COMPUTED_VALUE"""),-1.8602447764974108)</f>
        <v>-1.860244776</v>
      </c>
      <c r="T320" s="26">
        <f>IFERROR(__xludf.DUMMYFUNCTION("""COMPUTED_VALUE"""),-0.08360281687771676)</f>
        <v>-0.08360281688</v>
      </c>
      <c r="U320" s="26">
        <f>IFERROR(__xludf.DUMMYFUNCTION("""COMPUTED_VALUE"""),-1.7124904116749389)</f>
        <v>-1.712490412</v>
      </c>
      <c r="V320" s="26">
        <f>IFERROR(__xludf.DUMMYFUNCTION("""COMPUTED_VALUE"""),-1.184264403221605)</f>
        <v>-1.184264403</v>
      </c>
      <c r="W320" s="26">
        <f>IFERROR(__xludf.DUMMYFUNCTION("""COMPUTED_VALUE"""),-2.2092282275186266)</f>
        <v>-2.209228228</v>
      </c>
      <c r="X320" s="26">
        <f>IFERROR(__xludf.DUMMYFUNCTION("""COMPUTED_VALUE"""),-0.7587263195829267)</f>
        <v>-0.7587263196</v>
      </c>
      <c r="Y320" s="26">
        <f>IFERROR(__xludf.DUMMYFUNCTION("""COMPUTED_VALUE"""),-0.6974691397211678)</f>
        <v>-0.6974691397</v>
      </c>
      <c r="Z320" s="26">
        <f>IFERROR(__xludf.DUMMYFUNCTION("""COMPUTED_VALUE"""),-0.050247164409279434)</f>
        <v>-0.05024716441</v>
      </c>
      <c r="AA320" s="26">
        <f>IFERROR(__xludf.DUMMYFUNCTION("""COMPUTED_VALUE"""),0.0)</f>
        <v>0</v>
      </c>
      <c r="AB320" t="str">
        <f>IFERROR(__xludf.DUMMYFUNCTION("SUBSTITUTE(REGEXREPLACE(REGEXREPLACE(REGEXREPLACE(REGEXREPLACE(REGEXREPLACE(REGEXREPLACE(F320,"","",),IF(Projections!$T$17="""",""PG"",),),IF(Projections!$U$17="""",""SG"",),),IF(Projections!$V$17="""",""SF"",),),IF(Projections!$W$17="""",""PF"",),),IF(Pr"&amp;"ojections!$X$17="""",""C"",),),""/"","""")"),"PF")</f>
        <v>PF</v>
      </c>
    </row>
    <row r="321">
      <c r="B321">
        <f>IFERROR(__xludf.DUMMYFUNCTION("""COMPUTED_VALUE"""),320.0)</f>
        <v>320</v>
      </c>
      <c r="D321" t="str">
        <f>IFERROR(__xludf.DUMMYFUNCTION("""COMPUTED_VALUE"""),"Gabe Vincent")</f>
        <v>Gabe Vincent</v>
      </c>
      <c r="E321">
        <f>IFERROR(__xludf.DUMMYFUNCTION("""COMPUTED_VALUE"""),40.0)</f>
        <v>40</v>
      </c>
      <c r="F321" t="str">
        <f>IFERROR(__xludf.DUMMYFUNCTION("""COMPUTED_VALUE"""),"C")</f>
        <v>C</v>
      </c>
      <c r="G321" s="26">
        <f>IFERROR(__xludf.DUMMYFUNCTION("""COMPUTED_VALUE"""),-8.355865036660262)</f>
        <v>-8.355865037</v>
      </c>
      <c r="H321" s="26">
        <f>IFERROR(__xludf.DUMMYFUNCTION("""COMPUTED_VALUE"""),-8.570294216116912)</f>
        <v>-8.570294216</v>
      </c>
      <c r="I321" s="26">
        <f>IFERROR(__xludf.DUMMYFUNCTION("""COMPUTED_VALUE"""),-0.21442917945664952)</f>
        <v>-0.2144291795</v>
      </c>
      <c r="J321" s="26">
        <f>IFERROR(__xludf.DUMMYFUNCTION("""COMPUTED_VALUE"""),5.543382353)</f>
        <v>5.543382353</v>
      </c>
      <c r="K321" s="26">
        <f>IFERROR(__xludf.DUMMYFUNCTION("""COMPUTED_VALUE"""),1.019117647)</f>
        <v>1.019117647</v>
      </c>
      <c r="L321" s="26">
        <f>IFERROR(__xludf.DUMMYFUNCTION("""COMPUTED_VALUE"""),1.156029412)</f>
        <v>1.156029412</v>
      </c>
      <c r="M321" s="26">
        <f>IFERROR(__xludf.DUMMYFUNCTION("""COMPUTED_VALUE"""),2.04)</f>
        <v>2.04</v>
      </c>
      <c r="N321" s="26">
        <f>IFERROR(__xludf.DUMMYFUNCTION("""COMPUTED_VALUE"""),0.6075)</f>
        <v>0.6075</v>
      </c>
      <c r="O321" s="26">
        <f>IFERROR(__xludf.DUMMYFUNCTION("""COMPUTED_VALUE"""),0.03411764706)</f>
        <v>0.03411764706</v>
      </c>
      <c r="P321" s="464">
        <f>IFERROR(__xludf.DUMMYFUNCTION("""COMPUTED_VALUE"""),0.4110942249)</f>
        <v>0.4110942249</v>
      </c>
      <c r="Q321" s="464">
        <f>IFERROR(__xludf.DUMMYFUNCTION("""COMPUTED_VALUE"""),0.8548701299)</f>
        <v>0.8548701299</v>
      </c>
      <c r="R321" s="26">
        <f>IFERROR(__xludf.DUMMYFUNCTION("""COMPUTED_VALUE"""),0.8839705882)</f>
        <v>0.8839705882</v>
      </c>
      <c r="S321" s="26">
        <f>IFERROR(__xludf.DUMMYFUNCTION("""COMPUTED_VALUE"""),-2.1532048539165993)</f>
        <v>-2.153204854</v>
      </c>
      <c r="T321" s="26">
        <f>IFERROR(__xludf.DUMMYFUNCTION("""COMPUTED_VALUE"""),-0.7236604932356311)</f>
        <v>-0.7236604932</v>
      </c>
      <c r="U321" s="26">
        <f>IFERROR(__xludf.DUMMYFUNCTION("""COMPUTED_VALUE"""),-1.9310448798511337)</f>
        <v>-1.93104488</v>
      </c>
      <c r="V321" s="26">
        <f>IFERROR(__xludf.DUMMYFUNCTION("""COMPUTED_VALUE"""),-0.8598353886160484)</f>
        <v>-0.8598353886</v>
      </c>
      <c r="W321" s="26">
        <f>IFERROR(__xludf.DUMMYFUNCTION("""COMPUTED_VALUE"""),-1.2191134802648234)</f>
        <v>-1.21911348</v>
      </c>
      <c r="X321" s="26">
        <f>IFERROR(__xludf.DUMMYFUNCTION("""COMPUTED_VALUE"""),-1.274503803867857)</f>
        <v>-1.274503804</v>
      </c>
      <c r="Y321" s="26">
        <f>IFERROR(__xludf.DUMMYFUNCTION("""COMPUTED_VALUE"""),-0.5042291386033106)</f>
        <v>-0.5042291386</v>
      </c>
      <c r="Z321" s="26">
        <f>IFERROR(__xludf.DUMMYFUNCTION("""COMPUTED_VALUE"""),0.09529782223849254)</f>
        <v>0.09529782224</v>
      </c>
      <c r="AA321" s="26">
        <f>IFERROR(__xludf.DUMMYFUNCTION("""COMPUTED_VALUE"""),0.0)</f>
        <v>0</v>
      </c>
      <c r="AB321" t="str">
        <f>IFERROR(__xludf.DUMMYFUNCTION("SUBSTITUTE(REGEXREPLACE(REGEXREPLACE(REGEXREPLACE(REGEXREPLACE(REGEXREPLACE(REGEXREPLACE(F321,"","",),IF(Projections!$T$17="""",""PG"",),),IF(Projections!$U$17="""",""SG"",),),IF(Projections!$V$17="""",""SF"",),),IF(Projections!$W$17="""",""PF"",),),IF(Pr"&amp;"ojections!$X$17="""",""C"",),),""/"","""")"),"C")</f>
        <v>C</v>
      </c>
    </row>
    <row r="322">
      <c r="B322">
        <f>IFERROR(__xludf.DUMMYFUNCTION("""COMPUTED_VALUE"""),322.0)</f>
        <v>322</v>
      </c>
      <c r="D322" t="str">
        <f>IFERROR(__xludf.DUMMYFUNCTION("""COMPUTED_VALUE"""),"Tyler Kolek")</f>
        <v>Tyler Kolek</v>
      </c>
      <c r="E322">
        <f>IFERROR(__xludf.DUMMYFUNCTION("""COMPUTED_VALUE"""),30.0)</f>
        <v>30</v>
      </c>
      <c r="F322" t="str">
        <f>IFERROR(__xludf.DUMMYFUNCTION("""COMPUTED_VALUE"""),"SG,SF")</f>
        <v>SG,SF</v>
      </c>
      <c r="G322" s="26">
        <f>IFERROR(__xludf.DUMMYFUNCTION("""COMPUTED_VALUE"""),-8.407662074576344)</f>
        <v>-8.407662075</v>
      </c>
      <c r="H322" s="26">
        <f>IFERROR(__xludf.DUMMYFUNCTION("""COMPUTED_VALUE"""),-8.573479462019108)</f>
        <v>-8.573479462</v>
      </c>
      <c r="I322" s="26">
        <f>IFERROR(__xludf.DUMMYFUNCTION("""COMPUTED_VALUE"""),-0.16581738744276464)</f>
        <v>-0.1658173874</v>
      </c>
      <c r="J322" s="26">
        <f>IFERROR(__xludf.DUMMYFUNCTION("""COMPUTED_VALUE"""),5.181369863)</f>
        <v>5.181369863</v>
      </c>
      <c r="K322" s="26">
        <f>IFERROR(__xludf.DUMMYFUNCTION("""COMPUTED_VALUE"""),0.8401369863)</f>
        <v>0.8401369863</v>
      </c>
      <c r="L322" s="26">
        <f>IFERROR(__xludf.DUMMYFUNCTION("""COMPUTED_VALUE"""),1.77)</f>
        <v>1.77</v>
      </c>
      <c r="M322" s="26">
        <f>IFERROR(__xludf.DUMMYFUNCTION("""COMPUTED_VALUE"""),2.7)</f>
        <v>2.7</v>
      </c>
      <c r="N322" s="26">
        <f>IFERROR(__xludf.DUMMYFUNCTION("""COMPUTED_VALUE"""),0.54)</f>
        <v>0.54</v>
      </c>
      <c r="O322" s="26">
        <f>IFERROR(__xludf.DUMMYFUNCTION("""COMPUTED_VALUE"""),0.09)</f>
        <v>0.09</v>
      </c>
      <c r="P322" s="464">
        <f>IFERROR(__xludf.DUMMYFUNCTION("""COMPUTED_VALUE"""),0.3879327568)</f>
        <v>0.3879327568</v>
      </c>
      <c r="Q322" s="464">
        <f>IFERROR(__xludf.DUMMYFUNCTION("""COMPUTED_VALUE"""),0.8039600428)</f>
        <v>0.8039600428</v>
      </c>
      <c r="R322" s="26">
        <f>IFERROR(__xludf.DUMMYFUNCTION("""COMPUTED_VALUE"""),1.08)</f>
        <v>1.08</v>
      </c>
      <c r="S322" s="26">
        <f>IFERROR(__xludf.DUMMYFUNCTION("""COMPUTED_VALUE"""),-2.2184596465341864)</f>
        <v>-2.218459647</v>
      </c>
      <c r="T322" s="26">
        <f>IFERROR(__xludf.DUMMYFUNCTION("""COMPUTED_VALUE"""),-0.9011965185201006)</f>
        <v>-0.9011965185</v>
      </c>
      <c r="U322" s="26">
        <f>IFERROR(__xludf.DUMMYFUNCTION("""COMPUTED_VALUE"""),-1.690425510868559)</f>
        <v>-1.690425511</v>
      </c>
      <c r="V322" s="26">
        <f>IFERROR(__xludf.DUMMYFUNCTION("""COMPUTED_VALUE"""),-0.5601040383590454)</f>
        <v>-0.5601040384</v>
      </c>
      <c r="W322" s="26">
        <f>IFERROR(__xludf.DUMMYFUNCTION("""COMPUTED_VALUE"""),-1.44242463336625)</f>
        <v>-1.442424633</v>
      </c>
      <c r="X322" s="26">
        <f>IFERROR(__xludf.DUMMYFUNCTION("""COMPUTED_VALUE"""),-1.1748293666538485)</f>
        <v>-1.174829367</v>
      </c>
      <c r="Y322" s="26">
        <f>IFERROR(__xludf.DUMMYFUNCTION("""COMPUTED_VALUE"""),-0.6102664642142824)</f>
        <v>-0.6102664642</v>
      </c>
      <c r="Z322" s="26">
        <f>IFERROR(__xludf.DUMMYFUNCTION("""COMPUTED_VALUE"""),0.02422671649716476)</f>
        <v>0.0242267165</v>
      </c>
      <c r="AA322" s="26">
        <f>IFERROR(__xludf.DUMMYFUNCTION("""COMPUTED_VALUE"""),0.0)</f>
        <v>0</v>
      </c>
      <c r="AB322" t="str">
        <f>IFERROR(__xludf.DUMMYFUNCTION("SUBSTITUTE(REGEXREPLACE(REGEXREPLACE(REGEXREPLACE(REGEXREPLACE(REGEXREPLACE(REGEXREPLACE(F322,"","",),IF(Projections!$T$17="""",""PG"",),),IF(Projections!$U$17="""",""SG"",),),IF(Projections!$V$17="""",""SF"",),),IF(Projections!$W$17="""",""PF"",),),IF(Pr"&amp;"ojections!$X$17="""",""C"",),),""/"","""")"),"SGSF")</f>
        <v>SGSF</v>
      </c>
    </row>
    <row r="323">
      <c r="B323">
        <f>IFERROR(__xludf.DUMMYFUNCTION("""COMPUTED_VALUE"""),323.0)</f>
        <v>323</v>
      </c>
      <c r="D323" t="str">
        <f>IFERROR(__xludf.DUMMYFUNCTION("""COMPUTED_VALUE"""),"Devin Carter")</f>
        <v>Devin Carter</v>
      </c>
      <c r="E323">
        <f>IFERROR(__xludf.DUMMYFUNCTION("""COMPUTED_VALUE"""),30.0)</f>
        <v>30</v>
      </c>
      <c r="F323" t="str">
        <f>IFERROR(__xludf.DUMMYFUNCTION("""COMPUTED_VALUE"""),"SF")</f>
        <v>SF</v>
      </c>
      <c r="G323" s="26">
        <f>IFERROR(__xludf.DUMMYFUNCTION("""COMPUTED_VALUE"""),-8.424570671812381)</f>
        <v>-8.424570672</v>
      </c>
      <c r="H323" s="26">
        <f>IFERROR(__xludf.DUMMYFUNCTION("""COMPUTED_VALUE"""),-8.59206361428006)</f>
        <v>-8.592063614</v>
      </c>
      <c r="I323" s="26">
        <f>IFERROR(__xludf.DUMMYFUNCTION("""COMPUTED_VALUE"""),-0.16749294246767832)</f>
        <v>-0.1674929425</v>
      </c>
      <c r="J323" s="26">
        <f>IFERROR(__xludf.DUMMYFUNCTION("""COMPUTED_VALUE"""),5.814054054)</f>
        <v>5.814054054</v>
      </c>
      <c r="K323" s="26">
        <f>IFERROR(__xludf.DUMMYFUNCTION("""COMPUTED_VALUE"""),0.7205405405)</f>
        <v>0.7205405405</v>
      </c>
      <c r="L323" s="26">
        <f>IFERROR(__xludf.DUMMYFUNCTION("""COMPUTED_VALUE"""),2.714324324)</f>
        <v>2.714324324</v>
      </c>
      <c r="M323" s="26">
        <f>IFERROR(__xludf.DUMMYFUNCTION("""COMPUTED_VALUE"""),1.388648649)</f>
        <v>1.388648649</v>
      </c>
      <c r="N323" s="26">
        <f>IFERROR(__xludf.DUMMYFUNCTION("""COMPUTED_VALUE"""),0.5681081081)</f>
        <v>0.5681081081</v>
      </c>
      <c r="O323" s="26">
        <f>IFERROR(__xludf.DUMMYFUNCTION("""COMPUTED_VALUE"""),0.2840540541)</f>
        <v>0.2840540541</v>
      </c>
      <c r="P323" s="464">
        <f>IFERROR(__xludf.DUMMYFUNCTION("""COMPUTED_VALUE"""),0.411176906)</f>
        <v>0.411176906</v>
      </c>
      <c r="Q323" s="464">
        <f>IFERROR(__xludf.DUMMYFUNCTION("""COMPUTED_VALUE"""),0.7249504514)</f>
        <v>0.7249504514</v>
      </c>
      <c r="R323" s="26">
        <f>IFERROR(__xludf.DUMMYFUNCTION("""COMPUTED_VALUE"""),1.073243243)</f>
        <v>1.073243243</v>
      </c>
      <c r="S323" s="26">
        <f>IFERROR(__xludf.DUMMYFUNCTION("""COMPUTED_VALUE"""),-2.1044147535634194)</f>
        <v>-2.104414754</v>
      </c>
      <c r="T323" s="26">
        <f>IFERROR(__xludf.DUMMYFUNCTION("""COMPUTED_VALUE"""),-1.0198276462768072)</f>
        <v>-1.019827646</v>
      </c>
      <c r="U323" s="26">
        <f>IFERROR(__xludf.DUMMYFUNCTION("""COMPUTED_VALUE"""),-1.3203382014813936)</f>
        <v>-1.320338201</v>
      </c>
      <c r="V323" s="26">
        <f>IFERROR(__xludf.DUMMYFUNCTION("""COMPUTED_VALUE"""),-1.1556390551720377)</f>
        <v>-1.155639055</v>
      </c>
      <c r="W323" s="26">
        <f>IFERROR(__xludf.DUMMYFUNCTION("""COMPUTED_VALUE"""),-1.3494342032727604)</f>
        <v>-1.349434203</v>
      </c>
      <c r="X323" s="26">
        <f>IFERROR(__xludf.DUMMYFUNCTION("""COMPUTED_VALUE"""),-0.8287052753457798)</f>
        <v>-0.8287052753</v>
      </c>
      <c r="Y323" s="26">
        <f>IFERROR(__xludf.DUMMYFUNCTION("""COMPUTED_VALUE"""),-0.5117670019990369)</f>
        <v>-0.511767002</v>
      </c>
      <c r="Z323" s="26">
        <f>IFERROR(__xludf.DUMMYFUNCTION("""COMPUTED_VALUE"""),-0.30193747716882635)</f>
        <v>-0.3019374772</v>
      </c>
      <c r="AA323" s="26">
        <f>IFERROR(__xludf.DUMMYFUNCTION("""COMPUTED_VALUE"""),0.0)</f>
        <v>0</v>
      </c>
      <c r="AB323" t="str">
        <f>IFERROR(__xludf.DUMMYFUNCTION("SUBSTITUTE(REGEXREPLACE(REGEXREPLACE(REGEXREPLACE(REGEXREPLACE(REGEXREPLACE(REGEXREPLACE(F323,"","",),IF(Projections!$T$17="""",""PG"",),),IF(Projections!$U$17="""",""SG"",),),IF(Projections!$V$17="""",""SF"",),),IF(Projections!$W$17="""",""PF"",),),IF(Pr"&amp;"ojections!$X$17="""",""C"",),),""/"","""")"),"SF")</f>
        <v>SF</v>
      </c>
    </row>
    <row r="324">
      <c r="B324">
        <f>IFERROR(__xludf.DUMMYFUNCTION("""COMPUTED_VALUE"""),316.0)</f>
        <v>316</v>
      </c>
      <c r="D324" t="str">
        <f>IFERROR(__xludf.DUMMYFUNCTION("""COMPUTED_VALUE"""),"Amir Coffey")</f>
        <v>Amir Coffey</v>
      </c>
      <c r="E324">
        <f>IFERROR(__xludf.DUMMYFUNCTION("""COMPUTED_VALUE"""),20.0)</f>
        <v>20</v>
      </c>
      <c r="F324" t="str">
        <f>IFERROR(__xludf.DUMMYFUNCTION("""COMPUTED_VALUE"""),"SF")</f>
        <v>SF</v>
      </c>
      <c r="G324" s="26">
        <f>IFERROR(__xludf.DUMMYFUNCTION("""COMPUTED_VALUE"""),-8.290270685035262)</f>
        <v>-8.290270685</v>
      </c>
      <c r="H324" s="26">
        <f>IFERROR(__xludf.DUMMYFUNCTION("""COMPUTED_VALUE"""),-8.596316874172624)</f>
        <v>-8.596316874</v>
      </c>
      <c r="I324" s="26">
        <f>IFERROR(__xludf.DUMMYFUNCTION("""COMPUTED_VALUE"""),-0.30604618913736203)</f>
        <v>-0.3060461891</v>
      </c>
      <c r="J324" s="26">
        <f>IFERROR(__xludf.DUMMYFUNCTION("""COMPUTED_VALUE"""),5.870273973)</f>
        <v>5.870273973</v>
      </c>
      <c r="K324" s="26">
        <f>IFERROR(__xludf.DUMMYFUNCTION("""COMPUTED_VALUE"""),0.8897260274)</f>
        <v>0.8897260274</v>
      </c>
      <c r="L324" s="26">
        <f>IFERROR(__xludf.DUMMYFUNCTION("""COMPUTED_VALUE"""),1.800684932)</f>
        <v>1.800684932</v>
      </c>
      <c r="M324" s="26">
        <f>IFERROR(__xludf.DUMMYFUNCTION("""COMPUTED_VALUE"""),1.102465753)</f>
        <v>1.102465753</v>
      </c>
      <c r="N324" s="26">
        <f>IFERROR(__xludf.DUMMYFUNCTION("""COMPUTED_VALUE"""),0.5006849315)</f>
        <v>0.5006849315</v>
      </c>
      <c r="O324" s="26">
        <f>IFERROR(__xludf.DUMMYFUNCTION("""COMPUTED_VALUE"""),0.1868493151)</f>
        <v>0.1868493151</v>
      </c>
      <c r="P324" s="464">
        <f>IFERROR(__xludf.DUMMYFUNCTION("""COMPUTED_VALUE"""),0.4538966105)</f>
        <v>0.4538966105</v>
      </c>
      <c r="Q324" s="464">
        <f>IFERROR(__xludf.DUMMYFUNCTION("""COMPUTED_VALUE"""),0.8400475948)</f>
        <v>0.8400475948</v>
      </c>
      <c r="R324" s="26">
        <f>IFERROR(__xludf.DUMMYFUNCTION("""COMPUTED_VALUE"""),0.5145205479)</f>
        <v>0.5145205479</v>
      </c>
      <c r="S324" s="26">
        <f>IFERROR(__xludf.DUMMYFUNCTION("""COMPUTED_VALUE"""),-2.094280796154042)</f>
        <v>-2.094280796</v>
      </c>
      <c r="T324" s="26">
        <f>IFERROR(__xludf.DUMMYFUNCTION("""COMPUTED_VALUE"""),-0.8520077334294096)</f>
        <v>-0.8520077334</v>
      </c>
      <c r="U324" s="26">
        <f>IFERROR(__xludf.DUMMYFUNCTION("""COMPUTED_VALUE"""),-1.6783998713356225)</f>
        <v>-1.678399871</v>
      </c>
      <c r="V324" s="26">
        <f>IFERROR(__xludf.DUMMYFUNCTION("""COMPUTED_VALUE"""),-1.285605700381946)</f>
        <v>-1.2856057</v>
      </c>
      <c r="W324" s="26">
        <f>IFERROR(__xludf.DUMMYFUNCTION("""COMPUTED_VALUE"""),-1.5724912004921252)</f>
        <v>-1.5724912</v>
      </c>
      <c r="X324" s="26">
        <f>IFERROR(__xludf.DUMMYFUNCTION("""COMPUTED_VALUE"""),-1.0020842965327068)</f>
        <v>-1.002084297</v>
      </c>
      <c r="Y324" s="26">
        <f>IFERROR(__xludf.DUMMYFUNCTION("""COMPUTED_VALUE"""),-0.2390401106584028)</f>
        <v>-0.2390401107</v>
      </c>
      <c r="Z324" s="26">
        <f>IFERROR(__xludf.DUMMYFUNCTION("""COMPUTED_VALUE"""),0.12759283481163286)</f>
        <v>0.1275928348</v>
      </c>
      <c r="AA324" s="26">
        <f>IFERROR(__xludf.DUMMYFUNCTION("""COMPUTED_VALUE"""),0.0)</f>
        <v>0</v>
      </c>
      <c r="AB324" t="str">
        <f>IFERROR(__xludf.DUMMYFUNCTION("SUBSTITUTE(REGEXREPLACE(REGEXREPLACE(REGEXREPLACE(REGEXREPLACE(REGEXREPLACE(REGEXREPLACE(F324,"","",),IF(Projections!$T$17="""",""PG"",),),IF(Projections!$U$17="""",""SG"",),),IF(Projections!$V$17="""",""SF"",),),IF(Projections!$W$17="""",""PF"",),),IF(Pr"&amp;"ojections!$X$17="""",""C"",),),""/"","""")"),"SF")</f>
        <v>SF</v>
      </c>
    </row>
    <row r="325">
      <c r="B325">
        <f>IFERROR(__xludf.DUMMYFUNCTION("""COMPUTED_VALUE"""),311.0)</f>
        <v>311</v>
      </c>
      <c r="D325" t="str">
        <f>IFERROR(__xludf.DUMMYFUNCTION("""COMPUTED_VALUE"""),"Bol Bol")</f>
        <v>Bol Bol</v>
      </c>
      <c r="E325">
        <f>IFERROR(__xludf.DUMMYFUNCTION("""COMPUTED_VALUE"""),58.0)</f>
        <v>58</v>
      </c>
      <c r="F325" t="str">
        <f>IFERROR(__xludf.DUMMYFUNCTION("""COMPUTED_VALUE"""),"PG,SG")</f>
        <v>PG,SG</v>
      </c>
      <c r="G325" s="26">
        <f>IFERROR(__xludf.DUMMYFUNCTION("""COMPUTED_VALUE"""),-8.331555371581016)</f>
        <v>-8.331555372</v>
      </c>
      <c r="H325" s="26">
        <f>IFERROR(__xludf.DUMMYFUNCTION("""COMPUTED_VALUE"""),-8.641202397184504)</f>
        <v>-8.641202397</v>
      </c>
      <c r="I325" s="26">
        <f>IFERROR(__xludf.DUMMYFUNCTION("""COMPUTED_VALUE"""),-0.30964702560348734)</f>
        <v>-0.3096470256</v>
      </c>
      <c r="J325" s="26">
        <f>IFERROR(__xludf.DUMMYFUNCTION("""COMPUTED_VALUE"""),5.373235294)</f>
        <v>5.373235294</v>
      </c>
      <c r="K325" s="26">
        <f>IFERROR(__xludf.DUMMYFUNCTION("""COMPUTED_VALUE"""),0.5380882353)</f>
        <v>0.5380882353</v>
      </c>
      <c r="L325" s="26">
        <f>IFERROR(__xludf.DUMMYFUNCTION("""COMPUTED_VALUE"""),3.375)</f>
        <v>3.375</v>
      </c>
      <c r="M325" s="26">
        <f>IFERROR(__xludf.DUMMYFUNCTION("""COMPUTED_VALUE"""),0.45)</f>
        <v>0.45</v>
      </c>
      <c r="N325" s="26">
        <f>IFERROR(__xludf.DUMMYFUNCTION("""COMPUTED_VALUE"""),0.2455882353)</f>
        <v>0.2455882353</v>
      </c>
      <c r="O325" s="26">
        <f>IFERROR(__xludf.DUMMYFUNCTION("""COMPUTED_VALUE"""),0.55)</f>
        <v>0.55</v>
      </c>
      <c r="P325" s="464">
        <f>IFERROR(__xludf.DUMMYFUNCTION("""COMPUTED_VALUE"""),0.5370584322)</f>
        <v>0.5370584322</v>
      </c>
      <c r="Q325" s="464">
        <f>IFERROR(__xludf.DUMMYFUNCTION("""COMPUTED_VALUE"""),0.7699579832)</f>
        <v>0.7699579832</v>
      </c>
      <c r="R325" s="26">
        <f>IFERROR(__xludf.DUMMYFUNCTION("""COMPUTED_VALUE"""),0.5)</f>
        <v>0.5</v>
      </c>
      <c r="S325" s="26">
        <f>IFERROR(__xludf.DUMMYFUNCTION("""COMPUTED_VALUE"""),-2.183874820716743)</f>
        <v>-2.183874821</v>
      </c>
      <c r="T325" s="26">
        <f>IFERROR(__xludf.DUMMYFUNCTION("""COMPUTED_VALUE"""),-1.200807294818226)</f>
        <v>-1.200807295</v>
      </c>
      <c r="U325" s="26">
        <f>IFERROR(__xludf.DUMMYFUNCTION("""COMPUTED_VALUE"""),-1.0614147817470663)</f>
        <v>-1.061414782</v>
      </c>
      <c r="V325" s="26">
        <f>IFERROR(__xludf.DUMMYFUNCTION("""COMPUTED_VALUE"""),-1.5819154596897371)</f>
        <v>-1.58191546</v>
      </c>
      <c r="W325" s="26">
        <f>IFERROR(__xludf.DUMMYFUNCTION("""COMPUTED_VALUE"""),-2.4164310135408114)</f>
        <v>-2.416431014</v>
      </c>
      <c r="X325" s="26">
        <f>IFERROR(__xludf.DUMMYFUNCTION("""COMPUTED_VALUE"""),-0.3543513676749464)</f>
        <v>-0.3543513677</v>
      </c>
      <c r="Y325" s="26">
        <f>IFERROR(__xludf.DUMMYFUNCTION("""COMPUTED_VALUE"""),0.194511986225783)</f>
        <v>0.1945119862</v>
      </c>
      <c r="Z325" s="26">
        <f>IFERROR(__xludf.DUMMYFUNCTION("""COMPUTED_VALUE"""),-0.03691964522275671)</f>
        <v>-0.03691964522</v>
      </c>
      <c r="AA325" s="26">
        <f>IFERROR(__xludf.DUMMYFUNCTION("""COMPUTED_VALUE"""),0.0)</f>
        <v>0</v>
      </c>
      <c r="AB325" t="str">
        <f>IFERROR(__xludf.DUMMYFUNCTION("SUBSTITUTE(REGEXREPLACE(REGEXREPLACE(REGEXREPLACE(REGEXREPLACE(REGEXREPLACE(REGEXREPLACE(F325,"","",),IF(Projections!$T$17="""",""PG"",),),IF(Projections!$U$17="""",""SG"",),),IF(Projections!$V$17="""",""SF"",),),IF(Projections!$W$17="""",""PF"",),),IF(Pr"&amp;"ojections!$X$17="""",""C"",),),""/"","""")"),"PGSG")</f>
        <v>PGSG</v>
      </c>
    </row>
    <row r="326">
      <c r="B326">
        <f>IFERROR(__xludf.DUMMYFUNCTION("""COMPUTED_VALUE"""),324.0)</f>
        <v>324</v>
      </c>
      <c r="D326" t="str">
        <f>IFERROR(__xludf.DUMMYFUNCTION("""COMPUTED_VALUE"""),"Johnny Furphy")</f>
        <v>Johnny Furphy</v>
      </c>
      <c r="E326">
        <f>IFERROR(__xludf.DUMMYFUNCTION("""COMPUTED_VALUE"""),30.0)</f>
        <v>30</v>
      </c>
      <c r="F326" t="str">
        <f>IFERROR(__xludf.DUMMYFUNCTION("""COMPUTED_VALUE"""),"PF,C")</f>
        <v>PF,C</v>
      </c>
      <c r="G326" s="26">
        <f>IFERROR(__xludf.DUMMYFUNCTION("""COMPUTED_VALUE"""),-8.411343180028359)</f>
        <v>-8.41134318</v>
      </c>
      <c r="H326" s="26">
        <f>IFERROR(__xludf.DUMMYFUNCTION("""COMPUTED_VALUE"""),-8.674717794524032)</f>
        <v>-8.674717795</v>
      </c>
      <c r="I326" s="26">
        <f>IFERROR(__xludf.DUMMYFUNCTION("""COMPUTED_VALUE"""),-0.2633746144956728)</f>
        <v>-0.2633746145</v>
      </c>
      <c r="J326" s="26">
        <f>IFERROR(__xludf.DUMMYFUNCTION("""COMPUTED_VALUE"""),5.625319149)</f>
        <v>5.625319149</v>
      </c>
      <c r="K326" s="26">
        <f>IFERROR(__xludf.DUMMYFUNCTION("""COMPUTED_VALUE"""),1.071914894)</f>
        <v>1.071914894</v>
      </c>
      <c r="L326" s="26">
        <f>IFERROR(__xludf.DUMMYFUNCTION("""COMPUTED_VALUE"""),2.746595745)</f>
        <v>2.746595745</v>
      </c>
      <c r="M326" s="26">
        <f>IFERROR(__xludf.DUMMYFUNCTION("""COMPUTED_VALUE"""),0.7210638298)</f>
        <v>0.7210638298</v>
      </c>
      <c r="N326" s="26">
        <f>IFERROR(__xludf.DUMMYFUNCTION("""COMPUTED_VALUE"""),0.514893617)</f>
        <v>0.514893617</v>
      </c>
      <c r="O326" s="26">
        <f>IFERROR(__xludf.DUMMYFUNCTION("""COMPUTED_VALUE"""),0.2059574468)</f>
        <v>0.2059574468</v>
      </c>
      <c r="P326" s="464">
        <f>IFERROR(__xludf.DUMMYFUNCTION("""COMPUTED_VALUE"""),0.4100738397)</f>
        <v>0.4100738397</v>
      </c>
      <c r="Q326" s="464">
        <f>IFERROR(__xludf.DUMMYFUNCTION("""COMPUTED_VALUE"""),0.753021978)</f>
        <v>0.753021978</v>
      </c>
      <c r="R326" s="26">
        <f>IFERROR(__xludf.DUMMYFUNCTION("""COMPUTED_VALUE"""),0.6865957447)</f>
        <v>0.6865957447</v>
      </c>
      <c r="S326" s="26">
        <f>IFERROR(__xludf.DUMMYFUNCTION("""COMPUTED_VALUE"""),-2.1384352844171337)</f>
        <v>-2.138435284</v>
      </c>
      <c r="T326" s="26">
        <f>IFERROR(__xludf.DUMMYFUNCTION("""COMPUTED_VALUE"""),-0.6712893971536152)</f>
        <v>-0.6712893972</v>
      </c>
      <c r="U326" s="26">
        <f>IFERROR(__xludf.DUMMYFUNCTION("""COMPUTED_VALUE"""),-1.3076908058097445)</f>
        <v>-1.307690806</v>
      </c>
      <c r="V326" s="26">
        <f>IFERROR(__xludf.DUMMYFUNCTION("""COMPUTED_VALUE"""),-1.4588149631567244)</f>
        <v>-1.458814963</v>
      </c>
      <c r="W326" s="26">
        <f>IFERROR(__xludf.DUMMYFUNCTION("""COMPUTED_VALUE"""),-1.525484416150488)</f>
        <v>-1.525484416</v>
      </c>
      <c r="X326" s="26">
        <f>IFERROR(__xludf.DUMMYFUNCTION("""COMPUTED_VALUE"""),-0.9680021190078344)</f>
        <v>-0.968002119</v>
      </c>
      <c r="Y326" s="26">
        <f>IFERROR(__xludf.DUMMYFUNCTION("""COMPUTED_VALUE"""),-0.4908433088278001)</f>
        <v>-0.4908433088</v>
      </c>
      <c r="Z326" s="26">
        <f>IFERROR(__xludf.DUMMYFUNCTION("""COMPUTED_VALUE"""),-0.11415750000069083)</f>
        <v>-0.1141575</v>
      </c>
      <c r="AA326" s="26">
        <f>IFERROR(__xludf.DUMMYFUNCTION("""COMPUTED_VALUE"""),0.0)</f>
        <v>0</v>
      </c>
      <c r="AB326" t="str">
        <f>IFERROR(__xludf.DUMMYFUNCTION("SUBSTITUTE(REGEXREPLACE(REGEXREPLACE(REGEXREPLACE(REGEXREPLACE(REGEXREPLACE(REGEXREPLACE(F326,"","",),IF(Projections!$T$17="""",""PG"",),),IF(Projections!$U$17="""",""SG"",),),IF(Projections!$V$17="""",""SF"",),),IF(Projections!$W$17="""",""PF"",),),IF(Pr"&amp;"ojections!$X$17="""",""C"",),),""/"","""")"),"PFC")</f>
        <v>PFC</v>
      </c>
    </row>
    <row r="327">
      <c r="B327">
        <f>IFERROR(__xludf.DUMMYFUNCTION("""COMPUTED_VALUE"""),328.0)</f>
        <v>328</v>
      </c>
      <c r="D327" t="str">
        <f>IFERROR(__xludf.DUMMYFUNCTION("""COMPUTED_VALUE"""),"Baylor Scheierman")</f>
        <v>Baylor Scheierman</v>
      </c>
      <c r="E327">
        <f>IFERROR(__xludf.DUMMYFUNCTION("""COMPUTED_VALUE"""),55.0)</f>
        <v>55</v>
      </c>
      <c r="F327" t="str">
        <f>IFERROR(__xludf.DUMMYFUNCTION("""COMPUTED_VALUE"""),"SF,PF")</f>
        <v>SF,PF</v>
      </c>
      <c r="G327" s="26">
        <f>IFERROR(__xludf.DUMMYFUNCTION("""COMPUTED_VALUE"""),-8.499072963941492)</f>
        <v>-8.499072964</v>
      </c>
      <c r="H327" s="26">
        <f>IFERROR(__xludf.DUMMYFUNCTION("""COMPUTED_VALUE"""),-8.71247484782063)</f>
        <v>-8.712474848</v>
      </c>
      <c r="I327" s="26">
        <f>IFERROR(__xludf.DUMMYFUNCTION("""COMPUTED_VALUE"""),-0.21340188387913805)</f>
        <v>-0.2134018839</v>
      </c>
      <c r="J327" s="26">
        <f>IFERROR(__xludf.DUMMYFUNCTION("""COMPUTED_VALUE"""),5.635471698)</f>
        <v>5.635471698</v>
      </c>
      <c r="K327" s="26">
        <f>IFERROR(__xludf.DUMMYFUNCTION("""COMPUTED_VALUE"""),1.038679245)</f>
        <v>1.038679245</v>
      </c>
      <c r="L327" s="26">
        <f>IFERROR(__xludf.DUMMYFUNCTION("""COMPUTED_VALUE"""),3.276792453)</f>
        <v>3.276792453</v>
      </c>
      <c r="M327" s="26">
        <f>IFERROR(__xludf.DUMMYFUNCTION("""COMPUTED_VALUE"""),1.378113208)</f>
        <v>1.378113208</v>
      </c>
      <c r="N327" s="26">
        <f>IFERROR(__xludf.DUMMYFUNCTION("""COMPUTED_VALUE"""),0.3981132075)</f>
        <v>0.3981132075</v>
      </c>
      <c r="O327" s="26">
        <f>IFERROR(__xludf.DUMMYFUNCTION("""COMPUTED_VALUE"""),0.09188679245)</f>
        <v>0.09188679245</v>
      </c>
      <c r="P327" s="464">
        <f>IFERROR(__xludf.DUMMYFUNCTION("""COMPUTED_VALUE"""),0.4009616468)</f>
        <v>0.4009616468</v>
      </c>
      <c r="Q327" s="464">
        <f>IFERROR(__xludf.DUMMYFUNCTION("""COMPUTED_VALUE"""),0.8089616313)</f>
        <v>0.8089616313</v>
      </c>
      <c r="R327" s="26">
        <f>IFERROR(__xludf.DUMMYFUNCTION("""COMPUTED_VALUE"""),0.8881132075)</f>
        <v>0.8881132075</v>
      </c>
      <c r="S327" s="26">
        <f>IFERROR(__xludf.DUMMYFUNCTION("""COMPUTED_VALUE"""),-2.136605230212278)</f>
        <v>-2.13660523</v>
      </c>
      <c r="T327" s="26">
        <f>IFERROR(__xludf.DUMMYFUNCTION("""COMPUTED_VALUE"""),-0.7042567859102139)</f>
        <v>-0.7042567859</v>
      </c>
      <c r="U327" s="26">
        <f>IFERROR(__xludf.DUMMYFUNCTION("""COMPUTED_VALUE"""),-1.0999030065094981)</f>
        <v>-1.099903007</v>
      </c>
      <c r="V327" s="26">
        <f>IFERROR(__xludf.DUMMYFUNCTION("""COMPUTED_VALUE"""),-1.1604236035909514)</f>
        <v>-1.160423604</v>
      </c>
      <c r="W327" s="26">
        <f>IFERROR(__xludf.DUMMYFUNCTION("""COMPUTED_VALUE"""),-1.9118306073371811)</f>
        <v>-1.911830607</v>
      </c>
      <c r="X327" s="26">
        <f>IFERROR(__xludf.DUMMYFUNCTION("""COMPUTED_VALUE"""),-1.171463993406317)</f>
        <v>-1.171463993</v>
      </c>
      <c r="Y327" s="26">
        <f>IFERROR(__xludf.DUMMYFUNCTION("""COMPUTED_VALUE"""),-0.5625320147514764)</f>
        <v>-0.5625320148</v>
      </c>
      <c r="Z327" s="26">
        <f>IFERROR(__xludf.DUMMYFUNCTION("""COMPUTED_VALUE"""),0.03454039389728496)</f>
        <v>0.0345403939</v>
      </c>
      <c r="AA327" s="26">
        <f>IFERROR(__xludf.DUMMYFUNCTION("""COMPUTED_VALUE"""),0.0)</f>
        <v>0</v>
      </c>
      <c r="AB327" t="str">
        <f>IFERROR(__xludf.DUMMYFUNCTION("SUBSTITUTE(REGEXREPLACE(REGEXREPLACE(REGEXREPLACE(REGEXREPLACE(REGEXREPLACE(REGEXREPLACE(F327,"","",),IF(Projections!$T$17="""",""PG"",),),IF(Projections!$U$17="""",""SG"",),),IF(Projections!$V$17="""",""SF"",),),IF(Projections!$W$17="""",""PF"",),),IF(Pr"&amp;"ojections!$X$17="""",""C"",),),""/"","""")"),"SFPF")</f>
        <v>SFPF</v>
      </c>
    </row>
    <row r="328">
      <c r="B328">
        <f>IFERROR(__xludf.DUMMYFUNCTION("""COMPUTED_VALUE"""),319.0)</f>
        <v>319</v>
      </c>
      <c r="D328" t="str">
        <f>IFERROR(__xludf.DUMMYFUNCTION("""COMPUTED_VALUE"""),"Vlatko Cancar")</f>
        <v>Vlatko Cancar</v>
      </c>
      <c r="E328">
        <f>IFERROR(__xludf.DUMMYFUNCTION("""COMPUTED_VALUE"""),40.0)</f>
        <v>40</v>
      </c>
      <c r="F328" t="str">
        <f>IFERROR(__xludf.DUMMYFUNCTION("""COMPUTED_VALUE"""),"PF")</f>
        <v>PF</v>
      </c>
      <c r="G328" s="26">
        <f>IFERROR(__xludf.DUMMYFUNCTION("""COMPUTED_VALUE"""),-8.454104845046642)</f>
        <v>-8.454104845</v>
      </c>
      <c r="H328" s="26">
        <f>IFERROR(__xludf.DUMMYFUNCTION("""COMPUTED_VALUE"""),-8.715618944810352)</f>
        <v>-8.715618945</v>
      </c>
      <c r="I328" s="26">
        <f>IFERROR(__xludf.DUMMYFUNCTION("""COMPUTED_VALUE"""),-0.2615140997637102)</f>
        <v>-0.2615140998</v>
      </c>
      <c r="J328" s="26">
        <f>IFERROR(__xludf.DUMMYFUNCTION("""COMPUTED_VALUE"""),5.10704918)</f>
        <v>5.10704918</v>
      </c>
      <c r="K328" s="26">
        <f>IFERROR(__xludf.DUMMYFUNCTION("""COMPUTED_VALUE"""),0.6795081967)</f>
        <v>0.6795081967</v>
      </c>
      <c r="L328" s="26">
        <f>IFERROR(__xludf.DUMMYFUNCTION("""COMPUTED_VALUE"""),2.568360656)</f>
        <v>2.568360656</v>
      </c>
      <c r="M328" s="26">
        <f>IFERROR(__xludf.DUMMYFUNCTION("""COMPUTED_VALUE"""),1.180163934)</f>
        <v>1.180163934</v>
      </c>
      <c r="N328" s="26">
        <f>IFERROR(__xludf.DUMMYFUNCTION("""COMPUTED_VALUE"""),0.4321311475)</f>
        <v>0.4321311475</v>
      </c>
      <c r="O328" s="26">
        <f>IFERROR(__xludf.DUMMYFUNCTION("""COMPUTED_VALUE"""),0.2378688525)</f>
        <v>0.2378688525</v>
      </c>
      <c r="P328" s="464">
        <f>IFERROR(__xludf.DUMMYFUNCTION("""COMPUTED_VALUE"""),0.4716996237)</f>
        <v>0.4716996237</v>
      </c>
      <c r="Q328" s="464">
        <f>IFERROR(__xludf.DUMMYFUNCTION("""COMPUTED_VALUE"""),0.8099835178)</f>
        <v>0.8099835178</v>
      </c>
      <c r="R328" s="26">
        <f>IFERROR(__xludf.DUMMYFUNCTION("""COMPUTED_VALUE"""),0.6940983607)</f>
        <v>0.6940983607</v>
      </c>
      <c r="S328" s="26">
        <f>IFERROR(__xludf.DUMMYFUNCTION("""COMPUTED_VALUE"""),-2.2318563687201043)</f>
        <v>-2.231856369</v>
      </c>
      <c r="T328" s="26">
        <f>IFERROR(__xludf.DUMMYFUNCTION("""COMPUTED_VALUE"""),-1.0605287991157064)</f>
        <v>-1.060528799</v>
      </c>
      <c r="U328" s="26">
        <f>IFERROR(__xludf.DUMMYFUNCTION("""COMPUTED_VALUE"""),-1.3775423841816599)</f>
        <v>-1.377542384</v>
      </c>
      <c r="V328" s="26">
        <f>IFERROR(__xludf.DUMMYFUNCTION("""COMPUTED_VALUE"""),-1.2503199720430929)</f>
        <v>-1.250319972</v>
      </c>
      <c r="W328" s="26">
        <f>IFERROR(__xludf.DUMMYFUNCTION("""COMPUTED_VALUE"""),-1.7992886012996236)</f>
        <v>-1.799288601</v>
      </c>
      <c r="X328" s="26">
        <f>IFERROR(__xludf.DUMMYFUNCTION("""COMPUTED_VALUE"""),-0.9110834096744866)</f>
        <v>-0.9110834097</v>
      </c>
      <c r="Y328" s="26">
        <f>IFERROR(__xludf.DUMMYFUNCTION("""COMPUTED_VALUE"""),-0.1216964840707065)</f>
        <v>-0.1216964841</v>
      </c>
      <c r="Z328" s="26">
        <f>IFERROR(__xludf.DUMMYFUNCTION("""COMPUTED_VALUE"""),0.03669707429502855)</f>
        <v>0.0366970743</v>
      </c>
      <c r="AA328" s="26">
        <f>IFERROR(__xludf.DUMMYFUNCTION("""COMPUTED_VALUE"""),0.0)</f>
        <v>0</v>
      </c>
      <c r="AB328" t="str">
        <f>IFERROR(__xludf.DUMMYFUNCTION("SUBSTITUTE(REGEXREPLACE(REGEXREPLACE(REGEXREPLACE(REGEXREPLACE(REGEXREPLACE(REGEXREPLACE(F328,"","",),IF(Projections!$T$17="""",""PG"",),),IF(Projections!$U$17="""",""SG"",),),IF(Projections!$V$17="""",""SF"",),),IF(Projections!$W$17="""",""PF"",),),IF(Pr"&amp;"ojections!$X$17="""",""C"",),),""/"","""")"),"PF")</f>
        <v>PF</v>
      </c>
    </row>
    <row r="329">
      <c r="B329">
        <f>IFERROR(__xludf.DUMMYFUNCTION("""COMPUTED_VALUE"""),329.0)</f>
        <v>329</v>
      </c>
      <c r="D329" t="str">
        <f>IFERROR(__xludf.DUMMYFUNCTION("""COMPUTED_VALUE"""),"Jake LaRavia")</f>
        <v>Jake LaRavia</v>
      </c>
      <c r="E329">
        <f>IFERROR(__xludf.DUMMYFUNCTION("""COMPUTED_VALUE"""),20.0)</f>
        <v>20</v>
      </c>
      <c r="F329" t="str">
        <f>IFERROR(__xludf.DUMMYFUNCTION("""COMPUTED_VALUE"""),"SF")</f>
        <v>SF</v>
      </c>
      <c r="G329" s="26">
        <f>IFERROR(__xludf.DUMMYFUNCTION("""COMPUTED_VALUE"""),-8.48150267625867)</f>
        <v>-8.481502676</v>
      </c>
      <c r="H329" s="26">
        <f>IFERROR(__xludf.DUMMYFUNCTION("""COMPUTED_VALUE"""),-8.719122163618358)</f>
        <v>-8.719122164</v>
      </c>
      <c r="I329" s="26">
        <f>IFERROR(__xludf.DUMMYFUNCTION("""COMPUTED_VALUE"""),-0.23761948735968907)</f>
        <v>-0.2376194874</v>
      </c>
      <c r="J329" s="26">
        <f>IFERROR(__xludf.DUMMYFUNCTION("""COMPUTED_VALUE"""),5.689545455)</f>
        <v>5.689545455</v>
      </c>
      <c r="K329" s="26">
        <f>IFERROR(__xludf.DUMMYFUNCTION("""COMPUTED_VALUE"""),0.9472727273)</f>
        <v>0.9472727273</v>
      </c>
      <c r="L329" s="26">
        <f>IFERROR(__xludf.DUMMYFUNCTION("""COMPUTED_VALUE"""),2.281363636)</f>
        <v>2.281363636</v>
      </c>
      <c r="M329" s="26">
        <f>IFERROR(__xludf.DUMMYFUNCTION("""COMPUTED_VALUE"""),0.9413636364)</f>
        <v>0.9413636364</v>
      </c>
      <c r="N329" s="26">
        <f>IFERROR(__xludf.DUMMYFUNCTION("""COMPUTED_VALUE"""),0.4888636364)</f>
        <v>0.4888636364</v>
      </c>
      <c r="O329" s="26">
        <f>IFERROR(__xludf.DUMMYFUNCTION("""COMPUTED_VALUE"""),0.19)</f>
        <v>0.19</v>
      </c>
      <c r="P329" s="464">
        <f>IFERROR(__xludf.DUMMYFUNCTION("""COMPUTED_VALUE"""),0.4103956555)</f>
        <v>0.4103956555</v>
      </c>
      <c r="Q329" s="464">
        <f>IFERROR(__xludf.DUMMYFUNCTION("""COMPUTED_VALUE"""),0.8301011804)</f>
        <v>0.8301011804</v>
      </c>
      <c r="R329" s="26">
        <f>IFERROR(__xludf.DUMMYFUNCTION("""COMPUTED_VALUE"""),0.7904545455)</f>
        <v>0.7904545455</v>
      </c>
      <c r="S329" s="26">
        <f>IFERROR(__xludf.DUMMYFUNCTION("""COMPUTED_VALUE"""),-2.1268581306050547)</f>
        <v>-2.126858131</v>
      </c>
      <c r="T329" s="26">
        <f>IFERROR(__xludf.DUMMYFUNCTION("""COMPUTED_VALUE"""),-0.7949255194710599)</f>
        <v>-0.7949255195</v>
      </c>
      <c r="U329" s="26">
        <f>IFERROR(__xludf.DUMMYFUNCTION("""COMPUTED_VALUE"""),-1.4900185242476385)</f>
        <v>-1.490018524</v>
      </c>
      <c r="V329" s="26">
        <f>IFERROR(__xludf.DUMMYFUNCTION("""COMPUTED_VALUE"""),-1.358768359378581)</f>
        <v>-1.358768359</v>
      </c>
      <c r="W329" s="26">
        <f>IFERROR(__xludf.DUMMYFUNCTION("""COMPUTED_VALUE"""),-1.611599749231877)</f>
        <v>-1.611599749</v>
      </c>
      <c r="X329" s="26">
        <f>IFERROR(__xludf.DUMMYFUNCTION("""COMPUTED_VALUE"""),-0.9964645842671305)</f>
        <v>-0.9964645843</v>
      </c>
      <c r="Y329" s="26">
        <f>IFERROR(__xludf.DUMMYFUNCTION("""COMPUTED_VALUE"""),-0.4735165103750243)</f>
        <v>-0.4735165104</v>
      </c>
      <c r="Z329" s="26">
        <f>IFERROR(__xludf.DUMMYFUNCTION("""COMPUTED_VALUE"""),0.13302921395800815)</f>
        <v>0.133029214</v>
      </c>
      <c r="AA329" s="26">
        <f>IFERROR(__xludf.DUMMYFUNCTION("""COMPUTED_VALUE"""),0.0)</f>
        <v>0</v>
      </c>
      <c r="AB329" t="str">
        <f>IFERROR(__xludf.DUMMYFUNCTION("SUBSTITUTE(REGEXREPLACE(REGEXREPLACE(REGEXREPLACE(REGEXREPLACE(REGEXREPLACE(REGEXREPLACE(F329,"","",),IF(Projections!$T$17="""",""PG"",),),IF(Projections!$U$17="""",""SG"",),),IF(Projections!$V$17="""",""SF"",),),IF(Projections!$W$17="""",""PF"",),),IF(Pr"&amp;"ojections!$X$17="""",""C"",),),""/"","""")"),"SF")</f>
        <v>SF</v>
      </c>
    </row>
    <row r="330">
      <c r="B330">
        <f>IFERROR(__xludf.DUMMYFUNCTION("""COMPUTED_VALUE"""),326.0)</f>
        <v>326</v>
      </c>
      <c r="D330" t="str">
        <f>IFERROR(__xludf.DUMMYFUNCTION("""COMPUTED_VALUE"""),"Cody Williams")</f>
        <v>Cody Williams</v>
      </c>
      <c r="E330">
        <f>IFERROR(__xludf.DUMMYFUNCTION("""COMPUTED_VALUE"""),20.0)</f>
        <v>20</v>
      </c>
      <c r="F330" t="str">
        <f>IFERROR(__xludf.DUMMYFUNCTION("""COMPUTED_VALUE"""),"PG")</f>
        <v>PG</v>
      </c>
      <c r="G330" s="26">
        <f>IFERROR(__xludf.DUMMYFUNCTION("""COMPUTED_VALUE"""),-8.652274821761203)</f>
        <v>-8.652274822</v>
      </c>
      <c r="H330" s="26">
        <f>IFERROR(__xludf.DUMMYFUNCTION("""COMPUTED_VALUE"""),-8.773863066907667)</f>
        <v>-8.773863067</v>
      </c>
      <c r="I330" s="26">
        <f>IFERROR(__xludf.DUMMYFUNCTION("""COMPUTED_VALUE"""),-0.12158824514646405)</f>
        <v>-0.1215882451</v>
      </c>
      <c r="J330" s="26">
        <f>IFERROR(__xludf.DUMMYFUNCTION("""COMPUTED_VALUE"""),7.294794521)</f>
        <v>7.294794521</v>
      </c>
      <c r="K330" s="26">
        <f>IFERROR(__xludf.DUMMYFUNCTION("""COMPUTED_VALUE"""),0.5221917808)</f>
        <v>0.5221917808</v>
      </c>
      <c r="L330" s="26">
        <f>IFERROR(__xludf.DUMMYFUNCTION("""COMPUTED_VALUE"""),2.419726027)</f>
        <v>2.419726027</v>
      </c>
      <c r="M330" s="26">
        <f>IFERROR(__xludf.DUMMYFUNCTION("""COMPUTED_VALUE"""),1.113150685)</f>
        <v>1.113150685</v>
      </c>
      <c r="N330" s="26">
        <f>IFERROR(__xludf.DUMMYFUNCTION("""COMPUTED_VALUE"""),0.4839726027)</f>
        <v>0.4839726027</v>
      </c>
      <c r="O330" s="26">
        <f>IFERROR(__xludf.DUMMYFUNCTION("""COMPUTED_VALUE"""),0.2904109589)</f>
        <v>0.2904109589</v>
      </c>
      <c r="P330" s="464">
        <f>IFERROR(__xludf.DUMMYFUNCTION("""COMPUTED_VALUE"""),0.4662703597)</f>
        <v>0.4662703597</v>
      </c>
      <c r="Q330" s="464">
        <f>IFERROR(__xludf.DUMMYFUNCTION("""COMPUTED_VALUE"""),0.7200087089)</f>
        <v>0.7200087089</v>
      </c>
      <c r="R330" s="26">
        <f>IFERROR(__xludf.DUMMYFUNCTION("""COMPUTED_VALUE"""),1.258356164)</f>
        <v>1.258356164</v>
      </c>
      <c r="S330" s="26">
        <f>IFERROR(__xludf.DUMMYFUNCTION("""COMPUTED_VALUE"""),-1.8375029348729806)</f>
        <v>-1.837502935</v>
      </c>
      <c r="T330" s="26">
        <f>IFERROR(__xludf.DUMMYFUNCTION("""COMPUTED_VALUE"""),-1.2165754417063184)</f>
        <v>-1.216575442</v>
      </c>
      <c r="U330" s="26">
        <f>IFERROR(__xludf.DUMMYFUNCTION("""COMPUTED_VALUE"""),-1.4357933351847707)</f>
        <v>-1.435793335</v>
      </c>
      <c r="V330" s="26">
        <f>IFERROR(__xludf.DUMMYFUNCTION("""COMPUTED_VALUE"""),-1.2807532623580609)</f>
        <v>-1.280753262</v>
      </c>
      <c r="W330" s="26">
        <f>IFERROR(__xludf.DUMMYFUNCTION("""COMPUTED_VALUE"""),-1.6277808214600984)</f>
        <v>-1.627780821</v>
      </c>
      <c r="X330" s="26">
        <f>IFERROR(__xludf.DUMMYFUNCTION("""COMPUTED_VALUE"""),-0.8173667959327289)</f>
        <v>-0.8173667959</v>
      </c>
      <c r="Y330" s="26">
        <f>IFERROR(__xludf.DUMMYFUNCTION("""COMPUTED_VALUE"""),-0.22666606820563204)</f>
        <v>-0.2266660682</v>
      </c>
      <c r="Z330" s="26">
        <f>IFERROR(__xludf.DUMMYFUNCTION("""COMPUTED_VALUE"""),-0.33142440718707955)</f>
        <v>-0.3314244072</v>
      </c>
      <c r="AA330" s="26">
        <f>IFERROR(__xludf.DUMMYFUNCTION("""COMPUTED_VALUE"""),0.0)</f>
        <v>0</v>
      </c>
      <c r="AB330" t="str">
        <f>IFERROR(__xludf.DUMMYFUNCTION("SUBSTITUTE(REGEXREPLACE(REGEXREPLACE(REGEXREPLACE(REGEXREPLACE(REGEXREPLACE(REGEXREPLACE(F330,"","",),IF(Projections!$T$17="""",""PG"",),),IF(Projections!$U$17="""",""SG"",),),IF(Projections!$V$17="""",""SF"",),),IF(Projections!$W$17="""",""PF"",),),IF(Pr"&amp;"ojections!$X$17="""",""C"",),),""/"","""")"),"PG")</f>
        <v>PG</v>
      </c>
    </row>
    <row r="331">
      <c r="B331">
        <f>IFERROR(__xludf.DUMMYFUNCTION("""COMPUTED_VALUE"""),331.0)</f>
        <v>331</v>
      </c>
      <c r="D331" t="str">
        <f>IFERROR(__xludf.DUMMYFUNCTION("""COMPUTED_VALUE"""),"Ochai Agbaji")</f>
        <v>Ochai Agbaji</v>
      </c>
      <c r="E331">
        <f>IFERROR(__xludf.DUMMYFUNCTION("""COMPUTED_VALUE"""),58.0)</f>
        <v>58</v>
      </c>
      <c r="F331" t="str">
        <f>IFERROR(__xludf.DUMMYFUNCTION("""COMPUTED_VALUE"""),"PG,SG")</f>
        <v>PG,SG</v>
      </c>
      <c r="G331" s="26">
        <f>IFERROR(__xludf.DUMMYFUNCTION("""COMPUTED_VALUE"""),-8.552407154087922)</f>
        <v>-8.552407154</v>
      </c>
      <c r="H331" s="26">
        <f>IFERROR(__xludf.DUMMYFUNCTION("""COMPUTED_VALUE"""),-8.794937975958248)</f>
        <v>-8.794937976</v>
      </c>
      <c r="I331" s="26">
        <f>IFERROR(__xludf.DUMMYFUNCTION("""COMPUTED_VALUE"""),-0.24253082187032682)</f>
        <v>-0.2425308219</v>
      </c>
      <c r="J331" s="26">
        <f>IFERROR(__xludf.DUMMYFUNCTION("""COMPUTED_VALUE"""),5.122987013)</f>
        <v>5.122987013</v>
      </c>
      <c r="K331" s="26">
        <f>IFERROR(__xludf.DUMMYFUNCTION("""COMPUTED_VALUE"""),0.5963636364)</f>
        <v>0.5963636364</v>
      </c>
      <c r="L331" s="26">
        <f>IFERROR(__xludf.DUMMYFUNCTION("""COMPUTED_VALUE"""),2.398701299)</f>
        <v>2.398701299</v>
      </c>
      <c r="M331" s="26">
        <f>IFERROR(__xludf.DUMMYFUNCTION("""COMPUTED_VALUE"""),0.9277922078)</f>
        <v>0.9277922078</v>
      </c>
      <c r="N331" s="26">
        <f>IFERROR(__xludf.DUMMYFUNCTION("""COMPUTED_VALUE"""),0.5997402597)</f>
        <v>0.5997402597</v>
      </c>
      <c r="O331" s="26">
        <f>IFERROR(__xludf.DUMMYFUNCTION("""COMPUTED_VALUE"""),0.3598701299)</f>
        <v>0.3598701299</v>
      </c>
      <c r="P331" s="464">
        <f>IFERROR(__xludf.DUMMYFUNCTION("""COMPUTED_VALUE"""),0.4280129934)</f>
        <v>0.4280129934</v>
      </c>
      <c r="Q331" s="464">
        <f>IFERROR(__xludf.DUMMYFUNCTION("""COMPUTED_VALUE"""),0.678030303)</f>
        <v>0.678030303</v>
      </c>
      <c r="R331" s="26">
        <f>IFERROR(__xludf.DUMMYFUNCTION("""COMPUTED_VALUE"""),0.7706493506)</f>
        <v>0.7706493506</v>
      </c>
      <c r="S331" s="26">
        <f>IFERROR(__xludf.DUMMYFUNCTION("""COMPUTED_VALUE"""),-2.228983484452524)</f>
        <v>-2.228983484</v>
      </c>
      <c r="T331" s="26">
        <f>IFERROR(__xludf.DUMMYFUNCTION("""COMPUTED_VALUE"""),-1.1430022613431643)</f>
        <v>-1.143002261</v>
      </c>
      <c r="U331" s="26">
        <f>IFERROR(__xludf.DUMMYFUNCTION("""COMPUTED_VALUE"""),-1.444033073184061)</f>
        <v>-1.444033073</v>
      </c>
      <c r="V331" s="26">
        <f>IFERROR(__xludf.DUMMYFUNCTION("""COMPUTED_VALUE"""),-1.3649316663773607)</f>
        <v>-1.364931666</v>
      </c>
      <c r="W331" s="26">
        <f>IFERROR(__xludf.DUMMYFUNCTION("""COMPUTED_VALUE"""),-1.2447851329190547)</f>
        <v>-1.244785133</v>
      </c>
      <c r="X331" s="26">
        <f>IFERROR(__xludf.DUMMYFUNCTION("""COMPUTED_VALUE"""),-0.6934760967309608)</f>
        <v>-0.6934760967</v>
      </c>
      <c r="Y331" s="26">
        <f>IFERROR(__xludf.DUMMYFUNCTION("""COMPUTED_VALUE"""),-0.3799130846710641)</f>
        <v>-0.3799130847</v>
      </c>
      <c r="Z331" s="26">
        <f>IFERROR(__xludf.DUMMYFUNCTION("""COMPUTED_VALUE"""),-0.2958131762800602)</f>
        <v>-0.2958131763</v>
      </c>
      <c r="AA331" s="26">
        <f>IFERROR(__xludf.DUMMYFUNCTION("""COMPUTED_VALUE"""),0.0)</f>
        <v>0</v>
      </c>
      <c r="AB331" t="str">
        <f>IFERROR(__xludf.DUMMYFUNCTION("SUBSTITUTE(REGEXREPLACE(REGEXREPLACE(REGEXREPLACE(REGEXREPLACE(REGEXREPLACE(REGEXREPLACE(F331,"","",),IF(Projections!$T$17="""",""PG"",),),IF(Projections!$U$17="""",""SG"",),),IF(Projections!$V$17="""",""SF"",),),IF(Projections!$W$17="""",""PF"",),),IF(Pr"&amp;"ojections!$X$17="""",""C"",),),""/"","""")"),"PGSG")</f>
        <v>PGSG</v>
      </c>
    </row>
    <row r="332">
      <c r="B332">
        <f>IFERROR(__xludf.DUMMYFUNCTION("""COMPUTED_VALUE"""),327.0)</f>
        <v>327</v>
      </c>
      <c r="D332" t="str">
        <f>IFERROR(__xludf.DUMMYFUNCTION("""COMPUTED_VALUE"""),"Joe Ingles")</f>
        <v>Joe Ingles</v>
      </c>
      <c r="E332">
        <f>IFERROR(__xludf.DUMMYFUNCTION("""COMPUTED_VALUE"""),50.0)</f>
        <v>50</v>
      </c>
      <c r="F332" t="str">
        <f>IFERROR(__xludf.DUMMYFUNCTION("""COMPUTED_VALUE"""),"PG")</f>
        <v>PG</v>
      </c>
      <c r="G332" s="26">
        <f>IFERROR(__xludf.DUMMYFUNCTION("""COMPUTED_VALUE"""),-8.629577692226952)</f>
        <v>-8.629577692</v>
      </c>
      <c r="H332" s="26">
        <f>IFERROR(__xludf.DUMMYFUNCTION("""COMPUTED_VALUE"""),-8.795882913348985)</f>
        <v>-8.795882913</v>
      </c>
      <c r="I332" s="26">
        <f>IFERROR(__xludf.DUMMYFUNCTION("""COMPUTED_VALUE"""),-0.16630522112203217)</f>
        <v>-0.1663052211</v>
      </c>
      <c r="J332" s="26">
        <f>IFERROR(__xludf.DUMMYFUNCTION("""COMPUTED_VALUE"""),2.672622951)</f>
        <v>2.672622951</v>
      </c>
      <c r="K332" s="26">
        <f>IFERROR(__xludf.DUMMYFUNCTION("""COMPUTED_VALUE"""),0.6572131148)</f>
        <v>0.6572131148</v>
      </c>
      <c r="L332" s="26">
        <f>IFERROR(__xludf.DUMMYFUNCTION("""COMPUTED_VALUE"""),1.666065574)</f>
        <v>1.666065574</v>
      </c>
      <c r="M332" s="26">
        <f>IFERROR(__xludf.DUMMYFUNCTION("""COMPUTED_VALUE"""),3.005409836)</f>
        <v>3.005409836</v>
      </c>
      <c r="N332" s="26">
        <f>IFERROR(__xludf.DUMMYFUNCTION("""COMPUTED_VALUE"""),0.5244262295)</f>
        <v>0.5244262295</v>
      </c>
      <c r="O332" s="26">
        <f>IFERROR(__xludf.DUMMYFUNCTION("""COMPUTED_VALUE"""),0.06524590164)</f>
        <v>0.06524590164</v>
      </c>
      <c r="P332" s="464">
        <f>IFERROR(__xludf.DUMMYFUNCTION("""COMPUTED_VALUE"""),0.4219871844)</f>
        <v>0.4219871844</v>
      </c>
      <c r="Q332" s="464">
        <f>IFERROR(__xludf.DUMMYFUNCTION("""COMPUTED_VALUE"""),0.8040141677)</f>
        <v>0.8040141677</v>
      </c>
      <c r="R332" s="26">
        <f>IFERROR(__xludf.DUMMYFUNCTION("""COMPUTED_VALUE"""),1.078032787)</f>
        <v>1.078032787</v>
      </c>
      <c r="S332" s="26">
        <f>IFERROR(__xludf.DUMMYFUNCTION("""COMPUTED_VALUE"""),-2.6706754235991497)</f>
        <v>-2.670675424</v>
      </c>
      <c r="T332" s="26">
        <f>IFERROR(__xludf.DUMMYFUNCTION("""COMPUTED_VALUE"""),-1.0826439271325388)</f>
        <v>-1.082643927</v>
      </c>
      <c r="U332" s="26">
        <f>IFERROR(__xludf.DUMMYFUNCTION("""COMPUTED_VALUE"""),-1.731158139578269)</f>
        <v>-1.73115814</v>
      </c>
      <c r="V332" s="26">
        <f>IFERROR(__xludf.DUMMYFUNCTION("""COMPUTED_VALUE"""),-0.4214057011983639)</f>
        <v>-0.4214057012</v>
      </c>
      <c r="W332" s="26">
        <f>IFERROR(__xludf.DUMMYFUNCTION("""COMPUTED_VALUE"""),-1.4939475466772425)</f>
        <v>-1.493947547</v>
      </c>
      <c r="X332" s="26">
        <f>IFERROR(__xludf.DUMMYFUNCTION("""COMPUTED_VALUE"""),-1.2189819603254566)</f>
        <v>-1.21898196</v>
      </c>
      <c r="Y332" s="26">
        <f>IFERROR(__xludf.DUMMYFUNCTION("""COMPUTED_VALUE"""),-0.18588390210002123)</f>
        <v>-0.1858839021</v>
      </c>
      <c r="Z332" s="26">
        <f>IFERROR(__xludf.DUMMYFUNCTION("""COMPUTED_VALUE"""),0.00881368726205756)</f>
        <v>0.008813687262</v>
      </c>
      <c r="AA332" s="26">
        <f>IFERROR(__xludf.DUMMYFUNCTION("""COMPUTED_VALUE"""),0.0)</f>
        <v>0</v>
      </c>
      <c r="AB332" t="str">
        <f>IFERROR(__xludf.DUMMYFUNCTION("SUBSTITUTE(REGEXREPLACE(REGEXREPLACE(REGEXREPLACE(REGEXREPLACE(REGEXREPLACE(REGEXREPLACE(F332,"","",),IF(Projections!$T$17="""",""PG"",),),IF(Projections!$U$17="""",""SG"",),),IF(Projections!$V$17="""",""SF"",),),IF(Projections!$W$17="""",""PF"",),),IF(Pr"&amp;"ojections!$X$17="""",""C"",),),""/"","""")"),"PG")</f>
        <v>PG</v>
      </c>
    </row>
    <row r="333">
      <c r="B333">
        <f>IFERROR(__xludf.DUMMYFUNCTION("""COMPUTED_VALUE"""),315.0)</f>
        <v>315</v>
      </c>
      <c r="D333" t="str">
        <f>IFERROR(__xludf.DUMMYFUNCTION("""COMPUTED_VALUE"""),"Alex Len")</f>
        <v>Alex Len</v>
      </c>
      <c r="E333">
        <f>IFERROR(__xludf.DUMMYFUNCTION("""COMPUTED_VALUE"""),20.0)</f>
        <v>20</v>
      </c>
      <c r="F333" t="str">
        <f>IFERROR(__xludf.DUMMYFUNCTION("""COMPUTED_VALUE"""),"PG")</f>
        <v>PG</v>
      </c>
      <c r="G333" s="26">
        <f>IFERROR(__xludf.DUMMYFUNCTION("""COMPUTED_VALUE"""),-8.548984310523775)</f>
        <v>-8.548984311</v>
      </c>
      <c r="H333" s="26">
        <f>IFERROR(__xludf.DUMMYFUNCTION("""COMPUTED_VALUE"""),-8.806249356431728)</f>
        <v>-8.806249356</v>
      </c>
      <c r="I333" s="26">
        <f>IFERROR(__xludf.DUMMYFUNCTION("""COMPUTED_VALUE"""),-0.2572650459079533)</f>
        <v>-0.2572650459</v>
      </c>
      <c r="J333" s="26">
        <f>IFERROR(__xludf.DUMMYFUNCTION("""COMPUTED_VALUE"""),3.480273973)</f>
        <v>3.480273973</v>
      </c>
      <c r="K333" s="26">
        <f>IFERROR(__xludf.DUMMYFUNCTION("""COMPUTED_VALUE"""),0.03219178082)</f>
        <v>0.03219178082</v>
      </c>
      <c r="L333" s="26">
        <f>IFERROR(__xludf.DUMMYFUNCTION("""COMPUTED_VALUE"""),3.556027397)</f>
        <v>3.556027397</v>
      </c>
      <c r="M333" s="26">
        <f>IFERROR(__xludf.DUMMYFUNCTION("""COMPUTED_VALUE"""),1.003561644)</f>
        <v>1.003561644</v>
      </c>
      <c r="N333" s="26">
        <f>IFERROR(__xludf.DUMMYFUNCTION("""COMPUTED_VALUE"""),0.3)</f>
        <v>0.3</v>
      </c>
      <c r="O333" s="26">
        <f>IFERROR(__xludf.DUMMYFUNCTION("""COMPUTED_VALUE"""),0.8753424658)</f>
        <v>0.8753424658</v>
      </c>
      <c r="P333" s="464">
        <f>IFERROR(__xludf.DUMMYFUNCTION("""COMPUTED_VALUE"""),0.6025102194)</f>
        <v>0.6025102194</v>
      </c>
      <c r="Q333" s="464">
        <f>IFERROR(__xludf.DUMMYFUNCTION("""COMPUTED_VALUE"""),0.6290418274)</f>
        <v>0.6290418274</v>
      </c>
      <c r="R333" s="26">
        <f>IFERROR(__xludf.DUMMYFUNCTION("""COMPUTED_VALUE"""),0.7112328767)</f>
        <v>0.7112328767</v>
      </c>
      <c r="S333" s="26">
        <f>IFERROR(__xludf.DUMMYFUNCTION("""COMPUTED_VALUE"""),-2.5250917727477873)</f>
        <v>-2.525091773</v>
      </c>
      <c r="T333" s="26">
        <f>IFERROR(__xludf.DUMMYFUNCTION("""COMPUTED_VALUE"""),-1.7026204258158184)</f>
        <v>-1.702620426</v>
      </c>
      <c r="U333" s="26">
        <f>IFERROR(__xludf.DUMMYFUNCTION("""COMPUTED_VALUE"""),-0.9904688783340221)</f>
        <v>-0.9904688783</v>
      </c>
      <c r="V333" s="26">
        <f>IFERROR(__xludf.DUMMYFUNCTION("""COMPUTED_VALUE"""),-1.330521855134273)</f>
        <v>-1.330521855</v>
      </c>
      <c r="W333" s="26">
        <f>IFERROR(__xludf.DUMMYFUNCTION("""COMPUTED_VALUE"""),-2.236419844393545)</f>
        <v>-2.236419844</v>
      </c>
      <c r="X333" s="26">
        <f>IFERROR(__xludf.DUMMYFUNCTION("""COMPUTED_VALUE"""),0.22594501346080526)</f>
        <v>0.2259450135</v>
      </c>
      <c r="Y333" s="26">
        <f>IFERROR(__xludf.DUMMYFUNCTION("""COMPUTED_VALUE"""),0.2913197995712051)</f>
        <v>0.2913197996</v>
      </c>
      <c r="Z333" s="26">
        <f>IFERROR(__xludf.DUMMYFUNCTION("""COMPUTED_VALUE"""),-0.5383913930382928)</f>
        <v>-0.538391393</v>
      </c>
      <c r="AA333" s="26">
        <f>IFERROR(__xludf.DUMMYFUNCTION("""COMPUTED_VALUE"""),0.0)</f>
        <v>0</v>
      </c>
      <c r="AB333" t="str">
        <f>IFERROR(__xludf.DUMMYFUNCTION("SUBSTITUTE(REGEXREPLACE(REGEXREPLACE(REGEXREPLACE(REGEXREPLACE(REGEXREPLACE(REGEXREPLACE(F333,"","",),IF(Projections!$T$17="""",""PG"",),),IF(Projections!$U$17="""",""SG"",),),IF(Projections!$V$17="""",""SF"",),),IF(Projections!$W$17="""",""PF"",),),IF(Pr"&amp;"ojections!$X$17="""",""C"",),),""/"","""")"),"PG")</f>
        <v>PG</v>
      </c>
    </row>
    <row r="334">
      <c r="B334">
        <f>IFERROR(__xludf.DUMMYFUNCTION("""COMPUTED_VALUE"""),317.0)</f>
        <v>317</v>
      </c>
      <c r="D334" t="str">
        <f>IFERROR(__xludf.DUMMYFUNCTION("""COMPUTED_VALUE"""),"Richaun Holmes")</f>
        <v>Richaun Holmes</v>
      </c>
      <c r="E334">
        <f>IFERROR(__xludf.DUMMYFUNCTION("""COMPUTED_VALUE"""),60.0)</f>
        <v>60</v>
      </c>
      <c r="F334" t="str">
        <f>IFERROR(__xludf.DUMMYFUNCTION("""COMPUTED_VALUE"""),"SF,PF")</f>
        <v>SF,PF</v>
      </c>
      <c r="G334" s="26">
        <f>IFERROR(__xludf.DUMMYFUNCTION("""COMPUTED_VALUE"""),-8.513556271288536)</f>
        <v>-8.513556271</v>
      </c>
      <c r="H334" s="26">
        <f>IFERROR(__xludf.DUMMYFUNCTION("""COMPUTED_VALUE"""),-8.807478975167458)</f>
        <v>-8.807478975</v>
      </c>
      <c r="I334" s="26">
        <f>IFERROR(__xludf.DUMMYFUNCTION("""COMPUTED_VALUE"""),-0.2939227038789216)</f>
        <v>-0.2939227039</v>
      </c>
      <c r="J334" s="26">
        <f>IFERROR(__xludf.DUMMYFUNCTION("""COMPUTED_VALUE"""),4.388636364)</f>
        <v>4.388636364</v>
      </c>
      <c r="K334" s="26">
        <f>IFERROR(__xludf.DUMMYFUNCTION("""COMPUTED_VALUE"""),0.03295454545)</f>
        <v>0.03295454545</v>
      </c>
      <c r="L334" s="26">
        <f>IFERROR(__xludf.DUMMYFUNCTION("""COMPUTED_VALUE"""),3.943409091)</f>
        <v>3.943409091</v>
      </c>
      <c r="M334" s="26">
        <f>IFERROR(__xludf.DUMMYFUNCTION("""COMPUTED_VALUE"""),0.5611363636)</f>
        <v>0.5611363636</v>
      </c>
      <c r="N334" s="26">
        <f>IFERROR(__xludf.DUMMYFUNCTION("""COMPUTED_VALUE"""),0.3379545455)</f>
        <v>0.3379545455</v>
      </c>
      <c r="O334" s="26">
        <f>IFERROR(__xludf.DUMMYFUNCTION("""COMPUTED_VALUE"""),0.5075)</f>
        <v>0.5075</v>
      </c>
      <c r="P334" s="464">
        <f>IFERROR(__xludf.DUMMYFUNCTION("""COMPUTED_VALUE"""),0.5745394831)</f>
        <v>0.5745394831</v>
      </c>
      <c r="Q334" s="464">
        <f>IFERROR(__xludf.DUMMYFUNCTION("""COMPUTED_VALUE"""),0.7580844236)</f>
        <v>0.7580844236</v>
      </c>
      <c r="R334" s="26">
        <f>IFERROR(__xludf.DUMMYFUNCTION("""COMPUTED_VALUE"""),0.5634090909)</f>
        <v>0.5634090909</v>
      </c>
      <c r="S334" s="26">
        <f>IFERROR(__xludf.DUMMYFUNCTION("""COMPUTED_VALUE"""),-2.361354329748733)</f>
        <v>-2.36135433</v>
      </c>
      <c r="T334" s="26">
        <f>IFERROR(__xludf.DUMMYFUNCTION("""COMPUTED_VALUE"""),-1.7018638178107515)</f>
        <v>-1.701863818</v>
      </c>
      <c r="U334" s="26">
        <f>IFERROR(__xludf.DUMMYFUNCTION("""COMPUTED_VALUE"""),-0.8386512822023964)</f>
        <v>-0.8386512822</v>
      </c>
      <c r="V334" s="26">
        <f>IFERROR(__xludf.DUMMYFUNCTION("""COMPUTED_VALUE"""),-1.5314441682890079)</f>
        <v>-1.531444168</v>
      </c>
      <c r="W334" s="26">
        <f>IFERROR(__xludf.DUMMYFUNCTION("""COMPUTED_VALUE"""),-2.110854313711388)</f>
        <v>-2.110854314</v>
      </c>
      <c r="X334" s="26">
        <f>IFERROR(__xludf.DUMMYFUNCTION("""COMPUTED_VALUE"""),-0.4301564001893017)</f>
        <v>-0.4301564002</v>
      </c>
      <c r="Y334" s="26">
        <f>IFERROR(__xludf.DUMMYFUNCTION("""COMPUTED_VALUE"""),0.28618087151828575)</f>
        <v>0.2861808715</v>
      </c>
      <c r="Z334" s="26">
        <f>IFERROR(__xludf.DUMMYFUNCTION("""COMPUTED_VALUE"""),-0.1193355347341644)</f>
        <v>-0.1193355347</v>
      </c>
      <c r="AA334" s="26">
        <f>IFERROR(__xludf.DUMMYFUNCTION("""COMPUTED_VALUE"""),0.0)</f>
        <v>0</v>
      </c>
      <c r="AB334" t="str">
        <f>IFERROR(__xludf.DUMMYFUNCTION("SUBSTITUTE(REGEXREPLACE(REGEXREPLACE(REGEXREPLACE(REGEXREPLACE(REGEXREPLACE(REGEXREPLACE(F334,"","",),IF(Projections!$T$17="""",""PG"",),),IF(Projections!$U$17="""",""SG"",),),IF(Projections!$V$17="""",""SF"",),),IF(Projections!$W$17="""",""PF"",),),IF(Pr"&amp;"ojections!$X$17="""",""C"",),),""/"","""")"),"SFPF")</f>
        <v>SFPF</v>
      </c>
    </row>
    <row r="335">
      <c r="B335">
        <f>IFERROR(__xludf.DUMMYFUNCTION("""COMPUTED_VALUE"""),338.0)</f>
        <v>338</v>
      </c>
      <c r="D335" t="str">
        <f>IFERROR(__xludf.DUMMYFUNCTION("""COMPUTED_VALUE"""),"Keon Johnson")</f>
        <v>Keon Johnson</v>
      </c>
      <c r="E335">
        <f>IFERROR(__xludf.DUMMYFUNCTION("""COMPUTED_VALUE"""),30.0)</f>
        <v>30</v>
      </c>
      <c r="F335" t="str">
        <f>IFERROR(__xludf.DUMMYFUNCTION("""COMPUTED_VALUE"""),"PG,SG")</f>
        <v>PG,SG</v>
      </c>
      <c r="G335" s="26">
        <f>IFERROR(__xludf.DUMMYFUNCTION("""COMPUTED_VALUE"""),-8.67575175013199)</f>
        <v>-8.67575175</v>
      </c>
      <c r="H335" s="26">
        <f>IFERROR(__xludf.DUMMYFUNCTION("""COMPUTED_VALUE"""),-8.824790771977291)</f>
        <v>-8.824790772</v>
      </c>
      <c r="I335" s="26">
        <f>IFERROR(__xludf.DUMMYFUNCTION("""COMPUTED_VALUE"""),-0.14903902184530082)</f>
        <v>-0.1490390218</v>
      </c>
      <c r="J335" s="26">
        <f>IFERROR(__xludf.DUMMYFUNCTION("""COMPUTED_VALUE"""),5.938723404)</f>
        <v>5.938723404</v>
      </c>
      <c r="K335" s="26">
        <f>IFERROR(__xludf.DUMMYFUNCTION("""COMPUTED_VALUE"""),0.8885106383)</f>
        <v>0.8885106383</v>
      </c>
      <c r="L335" s="26">
        <f>IFERROR(__xludf.DUMMYFUNCTION("""COMPUTED_VALUE"""),1.531914894)</f>
        <v>1.531914894</v>
      </c>
      <c r="M335" s="26">
        <f>IFERROR(__xludf.DUMMYFUNCTION("""COMPUTED_VALUE"""),1.659574468)</f>
        <v>1.659574468</v>
      </c>
      <c r="N335" s="26">
        <f>IFERROR(__xludf.DUMMYFUNCTION("""COMPUTED_VALUE"""),0.5904255319)</f>
        <v>0.5904255319</v>
      </c>
      <c r="O335" s="26">
        <f>IFERROR(__xludf.DUMMYFUNCTION("""COMPUTED_VALUE"""),0.2353191489)</f>
        <v>0.2353191489</v>
      </c>
      <c r="P335" s="464">
        <f>IFERROR(__xludf.DUMMYFUNCTION("""COMPUTED_VALUE"""),0.3810429853)</f>
        <v>0.3810429853</v>
      </c>
      <c r="Q335" s="464">
        <f>IFERROR(__xludf.DUMMYFUNCTION("""COMPUTED_VALUE"""),0.7599852071)</f>
        <v>0.7599852071</v>
      </c>
      <c r="R335" s="26">
        <f>IFERROR(__xludf.DUMMYFUNCTION("""COMPUTED_VALUE"""),1.147659574)</f>
        <v>1.147659574</v>
      </c>
      <c r="S335" s="26">
        <f>IFERROR(__xludf.DUMMYFUNCTION("""COMPUTED_VALUE"""),-2.0819424002476)</f>
        <v>-2.0819424</v>
      </c>
      <c r="T335" s="26">
        <f>IFERROR(__xludf.DUMMYFUNCTION("""COMPUTED_VALUE"""),-0.8532133125637371)</f>
        <v>-0.8532133126</v>
      </c>
      <c r="U335" s="26">
        <f>IFERROR(__xludf.DUMMYFUNCTION("""COMPUTED_VALUE"""),-1.7837327296336858)</f>
        <v>-1.78373273</v>
      </c>
      <c r="V335" s="26">
        <f>IFERROR(__xludf.DUMMYFUNCTION("""COMPUTED_VALUE"""),-1.0326012346442284)</f>
        <v>-1.032601235</v>
      </c>
      <c r="W335" s="26">
        <f>IFERROR(__xludf.DUMMYFUNCTION("""COMPUTED_VALUE"""),-1.2756011715241498)</f>
        <v>-1.275601172</v>
      </c>
      <c r="X335" s="26">
        <f>IFERROR(__xludf.DUMMYFUNCTION("""COMPUTED_VALUE"""),-0.9156311829521329)</f>
        <v>-0.915631183</v>
      </c>
      <c r="Y335" s="26">
        <f>IFERROR(__xludf.DUMMYFUNCTION("""COMPUTED_VALUE"""),-0.7406105265732635)</f>
        <v>-0.7406105266</v>
      </c>
      <c r="Z335" s="26">
        <f>IFERROR(__xludf.DUMMYFUNCTION("""COMPUTED_VALUE"""),-0.14145821383849383)</f>
        <v>-0.1414582138</v>
      </c>
      <c r="AA335" s="26">
        <f>IFERROR(__xludf.DUMMYFUNCTION("""COMPUTED_VALUE"""),0.0)</f>
        <v>0</v>
      </c>
      <c r="AB335" t="str">
        <f>IFERROR(__xludf.DUMMYFUNCTION("SUBSTITUTE(REGEXREPLACE(REGEXREPLACE(REGEXREPLACE(REGEXREPLACE(REGEXREPLACE(REGEXREPLACE(F335,"","",),IF(Projections!$T$17="""",""PG"",),),IF(Projections!$U$17="""",""SG"",),),IF(Projections!$V$17="""",""SF"",),),IF(Projections!$W$17="""",""PF"",),),IF(Pr"&amp;"ojections!$X$17="""",""C"",),),""/"","""")"),"PGSG")</f>
        <v>PGSG</v>
      </c>
    </row>
    <row r="336">
      <c r="B336">
        <f>IFERROR(__xludf.DUMMYFUNCTION("""COMPUTED_VALUE"""),335.0)</f>
        <v>335</v>
      </c>
      <c r="D336" t="str">
        <f>IFERROR(__xludf.DUMMYFUNCTION("""COMPUTED_VALUE"""),"Gary Harris")</f>
        <v>Gary Harris</v>
      </c>
      <c r="E336">
        <f>IFERROR(__xludf.DUMMYFUNCTION("""COMPUTED_VALUE"""),30.0)</f>
        <v>30</v>
      </c>
      <c r="F336" t="str">
        <f>IFERROR(__xludf.DUMMYFUNCTION("""COMPUTED_VALUE"""),"SF,PF")</f>
        <v>SF,PF</v>
      </c>
      <c r="G336" s="26">
        <f>IFERROR(__xludf.DUMMYFUNCTION("""COMPUTED_VALUE"""),-8.571448219231321)</f>
        <v>-8.571448219</v>
      </c>
      <c r="H336" s="26">
        <f>IFERROR(__xludf.DUMMYFUNCTION("""COMPUTED_VALUE"""),-8.894320958680401)</f>
        <v>-8.894320959</v>
      </c>
      <c r="I336" s="26">
        <f>IFERROR(__xludf.DUMMYFUNCTION("""COMPUTED_VALUE"""),-0.32287273944908)</f>
        <v>-0.3228727394</v>
      </c>
      <c r="J336" s="26">
        <f>IFERROR(__xludf.DUMMYFUNCTION("""COMPUTED_VALUE"""),4.620526316)</f>
        <v>4.620526316</v>
      </c>
      <c r="K336" s="26">
        <f>IFERROR(__xludf.DUMMYFUNCTION("""COMPUTED_VALUE"""),1.023508772)</f>
        <v>1.023508772</v>
      </c>
      <c r="L336" s="26">
        <f>IFERROR(__xludf.DUMMYFUNCTION("""COMPUTED_VALUE"""),1.271052632)</f>
        <v>1.271052632</v>
      </c>
      <c r="M336" s="26">
        <f>IFERROR(__xludf.DUMMYFUNCTION("""COMPUTED_VALUE"""),0.9796491228)</f>
        <v>0.9796491228</v>
      </c>
      <c r="N336" s="26">
        <f>IFERROR(__xludf.DUMMYFUNCTION("""COMPUTED_VALUE"""),0.5987719298)</f>
        <v>0.5987719298</v>
      </c>
      <c r="O336" s="26">
        <f>IFERROR(__xludf.DUMMYFUNCTION("""COMPUTED_VALUE"""),0.1401754386)</f>
        <v>0.1401754386</v>
      </c>
      <c r="P336" s="464">
        <f>IFERROR(__xludf.DUMMYFUNCTION("""COMPUTED_VALUE"""),0.4210526316)</f>
        <v>0.4210526316</v>
      </c>
      <c r="Q336" s="464">
        <f>IFERROR(__xludf.DUMMYFUNCTION("""COMPUTED_VALUE"""),0.8211351755)</f>
        <v>0.8211351755</v>
      </c>
      <c r="R336" s="26">
        <f>IFERROR(__xludf.DUMMYFUNCTION("""COMPUTED_VALUE"""),0.4466666667)</f>
        <v>0.4466666667</v>
      </c>
      <c r="S336" s="26">
        <f>IFERROR(__xludf.DUMMYFUNCTION("""COMPUTED_VALUE"""),-2.319554858333086)</f>
        <v>-2.319554858</v>
      </c>
      <c r="T336" s="26">
        <f>IFERROR(__xludf.DUMMYFUNCTION("""COMPUTED_VALUE"""),-0.7193048110296415)</f>
        <v>-0.719304811</v>
      </c>
      <c r="U336" s="26">
        <f>IFERROR(__xludf.DUMMYFUNCTION("""COMPUTED_VALUE"""),-1.88596647519188)</f>
        <v>-1.885966475</v>
      </c>
      <c r="V336" s="26">
        <f>IFERROR(__xludf.DUMMYFUNCTION("""COMPUTED_VALUE"""),-1.341381449478705)</f>
        <v>-1.341381449</v>
      </c>
      <c r="W336" s="26">
        <f>IFERROR(__xludf.DUMMYFUNCTION("""COMPUTED_VALUE"""),-1.2479886716827817)</f>
        <v>-1.247988672</v>
      </c>
      <c r="X336" s="26">
        <f>IFERROR(__xludf.DUMMYFUNCTION("""COMPUTED_VALUE"""),-1.0853340547833772)</f>
        <v>-1.085334055</v>
      </c>
      <c r="Y336" s="26">
        <f>IFERROR(__xludf.DUMMYFUNCTION("""COMPUTED_VALUE"""),-0.3379603622516801)</f>
        <v>-0.3379603623</v>
      </c>
      <c r="Z336" s="26">
        <f>IFERROR(__xludf.DUMMYFUNCTION("""COMPUTED_VALUE"""),0.04316972407074995)</f>
        <v>0.04316972407</v>
      </c>
      <c r="AA336" s="26">
        <f>IFERROR(__xludf.DUMMYFUNCTION("""COMPUTED_VALUE"""),0.0)</f>
        <v>0</v>
      </c>
      <c r="AB336" t="str">
        <f>IFERROR(__xludf.DUMMYFUNCTION("SUBSTITUTE(REGEXREPLACE(REGEXREPLACE(REGEXREPLACE(REGEXREPLACE(REGEXREPLACE(REGEXREPLACE(F336,"","",),IF(Projections!$T$17="""",""PG"",),),IF(Projections!$U$17="""",""SG"",),),IF(Projections!$V$17="""",""SF"",),),IF(Projections!$W$17="""",""PF"",),),IF(Pr"&amp;"ojections!$X$17="""",""C"",),),""/"","""")"),"SFPF")</f>
        <v>SFPF</v>
      </c>
    </row>
    <row r="337">
      <c r="B337">
        <f>IFERROR(__xludf.DUMMYFUNCTION("""COMPUTED_VALUE"""),336.0)</f>
        <v>336</v>
      </c>
      <c r="D337" t="str">
        <f>IFERROR(__xludf.DUMMYFUNCTION("""COMPUTED_VALUE"""),"AJ Green")</f>
        <v>AJ Green</v>
      </c>
      <c r="E337">
        <f>IFERROR(__xludf.DUMMYFUNCTION("""COMPUTED_VALUE"""),30.0)</f>
        <v>30</v>
      </c>
      <c r="F337" t="str">
        <f>IFERROR(__xludf.DUMMYFUNCTION("""COMPUTED_VALUE"""),"SF")</f>
        <v>SF</v>
      </c>
      <c r="G337" s="26">
        <f>IFERROR(__xludf.DUMMYFUNCTION("""COMPUTED_VALUE"""),-8.595498721766639)</f>
        <v>-8.595498722</v>
      </c>
      <c r="H337" s="26">
        <f>IFERROR(__xludf.DUMMYFUNCTION("""COMPUTED_VALUE"""),-8.916118107568833)</f>
        <v>-8.916118108</v>
      </c>
      <c r="I337" s="26">
        <f>IFERROR(__xludf.DUMMYFUNCTION("""COMPUTED_VALUE"""),-0.3206193858021944)</f>
        <v>-0.3206193858</v>
      </c>
      <c r="J337" s="26">
        <f>IFERROR(__xludf.DUMMYFUNCTION("""COMPUTED_VALUE"""),6.09369863)</f>
        <v>6.09369863</v>
      </c>
      <c r="K337" s="26">
        <f>IFERROR(__xludf.DUMMYFUNCTION("""COMPUTED_VALUE"""),1.656986301)</f>
        <v>1.656986301</v>
      </c>
      <c r="L337" s="26">
        <f>IFERROR(__xludf.DUMMYFUNCTION("""COMPUTED_VALUE"""),1.647945205)</f>
        <v>1.647945205</v>
      </c>
      <c r="M337" s="26">
        <f>IFERROR(__xludf.DUMMYFUNCTION("""COMPUTED_VALUE"""),0.7363013699)</f>
        <v>0.7363013699</v>
      </c>
      <c r="N337" s="26">
        <f>IFERROR(__xludf.DUMMYFUNCTION("""COMPUTED_VALUE"""),0.3156164384)</f>
        <v>0.3156164384</v>
      </c>
      <c r="O337" s="26">
        <f>IFERROR(__xludf.DUMMYFUNCTION("""COMPUTED_VALUE"""),0.1402739726)</f>
        <v>0.1402739726</v>
      </c>
      <c r="P337" s="464">
        <f>IFERROR(__xludf.DUMMYFUNCTION("""COMPUTED_VALUE"""),0.4188251946)</f>
        <v>0.4188251946</v>
      </c>
      <c r="Q337" s="464">
        <f>IFERROR(__xludf.DUMMYFUNCTION("""COMPUTED_VALUE"""),0.8801509909)</f>
        <v>0.8801509909</v>
      </c>
      <c r="R337" s="26">
        <f>IFERROR(__xludf.DUMMYFUNCTION("""COMPUTED_VALUE"""),0.4557534247)</f>
        <v>0.4557534247</v>
      </c>
      <c r="S337" s="26">
        <f>IFERROR(__xludf.DUMMYFUNCTION("""COMPUTED_VALUE"""),-2.054007241895761)</f>
        <v>-2.054007242</v>
      </c>
      <c r="T337" s="26">
        <f>IFERROR(__xludf.DUMMYFUNCTION("""COMPUTED_VALUE"""),-0.09094037117434031)</f>
        <v>-0.09094037117</v>
      </c>
      <c r="U337" s="26">
        <f>IFERROR(__xludf.DUMMYFUNCTION("""COMPUTED_VALUE"""),-1.7382596389655838)</f>
        <v>-1.738259639</v>
      </c>
      <c r="V337" s="26">
        <f>IFERROR(__xludf.DUMMYFUNCTION("""COMPUTED_VALUE"""),-1.451895010931318)</f>
        <v>-1.451895011</v>
      </c>
      <c r="W337" s="26">
        <f>IFERROR(__xludf.DUMMYFUNCTION("""COMPUTED_VALUE"""),-2.1847557722981166)</f>
        <v>-2.184755772</v>
      </c>
      <c r="X337" s="26">
        <f>IFERROR(__xludf.DUMMYFUNCTION("""COMPUTED_VALUE"""),-1.0851583048287003)</f>
        <v>-1.085158305</v>
      </c>
      <c r="Y337" s="26">
        <f>IFERROR(__xludf.DUMMYFUNCTION("""COMPUTED_VALUE"""),-0.44140202831618464)</f>
        <v>-0.4414020283</v>
      </c>
      <c r="Z337" s="26">
        <f>IFERROR(__xludf.DUMMYFUNCTION("""COMPUTED_VALUE"""),0.1303002608411726)</f>
        <v>0.1303002608</v>
      </c>
      <c r="AA337" s="26">
        <f>IFERROR(__xludf.DUMMYFUNCTION("""COMPUTED_VALUE"""),0.0)</f>
        <v>0</v>
      </c>
      <c r="AB337" t="str">
        <f>IFERROR(__xludf.DUMMYFUNCTION("SUBSTITUTE(REGEXREPLACE(REGEXREPLACE(REGEXREPLACE(REGEXREPLACE(REGEXREPLACE(REGEXREPLACE(F337,"","",),IF(Projections!$T$17="""",""PG"",),),IF(Projections!$U$17="""",""SG"",),),IF(Projections!$V$17="""",""SF"",),),IF(Projections!$W$17="""",""PF"",),),IF(Pr"&amp;"ojections!$X$17="""",""C"",),),""/"","""")"),"SF")</f>
        <v>SF</v>
      </c>
    </row>
    <row r="338">
      <c r="B338">
        <f>IFERROR(__xludf.DUMMYFUNCTION("""COMPUTED_VALUE"""),330.0)</f>
        <v>330</v>
      </c>
      <c r="D338" t="str">
        <f>IFERROR(__xludf.DUMMYFUNCTION("""COMPUTED_VALUE"""),"Craig Porter Jr.")</f>
        <v>Craig Porter Jr.</v>
      </c>
      <c r="E338">
        <f>IFERROR(__xludf.DUMMYFUNCTION("""COMPUTED_VALUE"""),40.0)</f>
        <v>40</v>
      </c>
      <c r="F338" t="str">
        <f>IFERROR(__xludf.DUMMYFUNCTION("""COMPUTED_VALUE"""),"SG")</f>
        <v>SG</v>
      </c>
      <c r="G338" s="26">
        <f>IFERROR(__xludf.DUMMYFUNCTION("""COMPUTED_VALUE"""),-8.700552630178919)</f>
        <v>-8.70055263</v>
      </c>
      <c r="H338" s="26">
        <f>IFERROR(__xludf.DUMMYFUNCTION("""COMPUTED_VALUE"""),-8.925463632703371)</f>
        <v>-8.925463633</v>
      </c>
      <c r="I338" s="26">
        <f>IFERROR(__xludf.DUMMYFUNCTION("""COMPUTED_VALUE"""),-0.22491100252445229)</f>
        <v>-0.2249110025</v>
      </c>
      <c r="J338" s="26">
        <f>IFERROR(__xludf.DUMMYFUNCTION("""COMPUTED_VALUE"""),5.196382979)</f>
        <v>5.196382979</v>
      </c>
      <c r="K338" s="26">
        <f>IFERROR(__xludf.DUMMYFUNCTION("""COMPUTED_VALUE"""),0.2544680851)</f>
        <v>0.2544680851</v>
      </c>
      <c r="L338" s="26">
        <f>IFERROR(__xludf.DUMMYFUNCTION("""COMPUTED_VALUE"""),2.04)</f>
        <v>2.04</v>
      </c>
      <c r="M338" s="26">
        <f>IFERROR(__xludf.DUMMYFUNCTION("""COMPUTED_VALUE"""),2.149574468)</f>
        <v>2.149574468</v>
      </c>
      <c r="N338" s="26">
        <f>IFERROR(__xludf.DUMMYFUNCTION("""COMPUTED_VALUE"""),0.4127659574)</f>
        <v>0.4127659574</v>
      </c>
      <c r="O338" s="26">
        <f>IFERROR(__xludf.DUMMYFUNCTION("""COMPUTED_VALUE"""),0.2880851064)</f>
        <v>0.2880851064</v>
      </c>
      <c r="P338" s="464">
        <f>IFERROR(__xludf.DUMMYFUNCTION("""COMPUTED_VALUE"""),0.5146144279)</f>
        <v>0.5146144279</v>
      </c>
      <c r="Q338" s="464">
        <f>IFERROR(__xludf.DUMMYFUNCTION("""COMPUTED_VALUE"""),0.7281574394)</f>
        <v>0.7281574394</v>
      </c>
      <c r="R338" s="26">
        <f>IFERROR(__xludf.DUMMYFUNCTION("""COMPUTED_VALUE"""),0.8417021277)</f>
        <v>0.8417021277</v>
      </c>
      <c r="S338" s="26">
        <f>IFERROR(__xludf.DUMMYFUNCTION("""COMPUTED_VALUE"""),-2.2157534477200964)</f>
        <v>-2.215753448</v>
      </c>
      <c r="T338" s="26">
        <f>IFERROR(__xludf.DUMMYFUNCTION("""COMPUTED_VALUE"""),-1.4821382160482661)</f>
        <v>-1.482138216</v>
      </c>
      <c r="U338" s="26">
        <f>IFERROR(__xludf.DUMMYFUNCTION("""COMPUTED_VALUE"""),-1.584610621857467)</f>
        <v>-1.584610622</v>
      </c>
      <c r="V338" s="26">
        <f>IFERROR(__xludf.DUMMYFUNCTION("""COMPUTED_VALUE"""),-0.8100734139988776)</f>
        <v>-0.810073414</v>
      </c>
      <c r="W338" s="26">
        <f>IFERROR(__xludf.DUMMYFUNCTION("""COMPUTED_VALUE"""),-1.8633547187997617)</f>
        <v>-1.863354719</v>
      </c>
      <c r="X338" s="26">
        <f>IFERROR(__xludf.DUMMYFUNCTION("""COMPUTED_VALUE"""),-0.8215152976829899)</f>
        <v>-0.8215152977</v>
      </c>
      <c r="Y338" s="26">
        <f>IFERROR(__xludf.DUMMYFUNCTION("""COMPUTED_VALUE"""),0.08293794994051738)</f>
        <v>0.08293794994</v>
      </c>
      <c r="Z338" s="26">
        <f>IFERROR(__xludf.DUMMYFUNCTION("""COMPUTED_VALUE"""),-0.23095586653643016)</f>
        <v>-0.2309558665</v>
      </c>
      <c r="AA338" s="26">
        <f>IFERROR(__xludf.DUMMYFUNCTION("""COMPUTED_VALUE"""),0.0)</f>
        <v>0</v>
      </c>
      <c r="AB338" t="str">
        <f>IFERROR(__xludf.DUMMYFUNCTION("SUBSTITUTE(REGEXREPLACE(REGEXREPLACE(REGEXREPLACE(REGEXREPLACE(REGEXREPLACE(REGEXREPLACE(F338,"","",),IF(Projections!$T$17="""",""PG"",),),IF(Projections!$U$17="""",""SG"",),),IF(Projections!$V$17="""",""SF"",),),IF(Projections!$W$17="""",""PF"",),),IF(Pr"&amp;"ojections!$X$17="""",""C"",),),""/"","""")"),"SG")</f>
        <v>SG</v>
      </c>
    </row>
    <row r="339">
      <c r="B339">
        <f>IFERROR(__xludf.DUMMYFUNCTION("""COMPUTED_VALUE"""),325.0)</f>
        <v>325</v>
      </c>
      <c r="D339" t="str">
        <f>IFERROR(__xludf.DUMMYFUNCTION("""COMPUTED_VALUE"""),"Christian Koloko")</f>
        <v>Christian Koloko</v>
      </c>
      <c r="E339">
        <f>IFERROR(__xludf.DUMMYFUNCTION("""COMPUTED_VALUE"""),30.0)</f>
        <v>30</v>
      </c>
      <c r="F339" t="str">
        <f>IFERROR(__xludf.DUMMYFUNCTION("""COMPUTED_VALUE"""),"PG")</f>
        <v>PG</v>
      </c>
      <c r="G339" s="26">
        <f>IFERROR(__xludf.DUMMYFUNCTION("""COMPUTED_VALUE"""),-8.637230665094965)</f>
        <v>-8.637230665</v>
      </c>
      <c r="H339" s="26">
        <f>IFERROR(__xludf.DUMMYFUNCTION("""COMPUTED_VALUE"""),-8.933883426837035)</f>
        <v>-8.933883427</v>
      </c>
      <c r="I339" s="26">
        <f>IFERROR(__xludf.DUMMYFUNCTION("""COMPUTED_VALUE"""),-0.2966527617420702)</f>
        <v>-0.2966527617</v>
      </c>
      <c r="J339" s="26">
        <f>IFERROR(__xludf.DUMMYFUNCTION("""COMPUTED_VALUE"""),3.4224)</f>
        <v>3.4224</v>
      </c>
      <c r="K339" s="26">
        <f>IFERROR(__xludf.DUMMYFUNCTION("""COMPUTED_VALUE"""),0.005)</f>
        <v>0.005</v>
      </c>
      <c r="L339" s="26">
        <f>IFERROR(__xludf.DUMMYFUNCTION("""COMPUTED_VALUE"""),3.0388)</f>
        <v>3.0388</v>
      </c>
      <c r="M339" s="26">
        <f>IFERROR(__xludf.DUMMYFUNCTION("""COMPUTED_VALUE"""),0.5248)</f>
        <v>0.5248</v>
      </c>
      <c r="N339" s="26">
        <f>IFERROR(__xludf.DUMMYFUNCTION("""COMPUTED_VALUE"""),0.3592)</f>
        <v>0.3592</v>
      </c>
      <c r="O339" s="26">
        <f>IFERROR(__xludf.DUMMYFUNCTION("""COMPUTED_VALUE"""),0.9944)</f>
        <v>0.9944</v>
      </c>
      <c r="P339" s="464">
        <f>IFERROR(__xludf.DUMMYFUNCTION("""COMPUTED_VALUE"""),0.5613640019)</f>
        <v>0.5613640019</v>
      </c>
      <c r="Q339" s="464">
        <f>IFERROR(__xludf.DUMMYFUNCTION("""COMPUTED_VALUE"""),0.6450082508)</f>
        <v>0.6450082508</v>
      </c>
      <c r="R339" s="26">
        <f>IFERROR(__xludf.DUMMYFUNCTION("""COMPUTED_VALUE"""),0.5524)</f>
        <v>0.5524</v>
      </c>
      <c r="S339" s="26">
        <f>IFERROR(__xludf.DUMMYFUNCTION("""COMPUTED_VALUE"""),-2.5355238827174484)</f>
        <v>-2.535523883</v>
      </c>
      <c r="T339" s="26">
        <f>IFERROR(__xludf.DUMMYFUNCTION("""COMPUTED_VALUE"""),-1.7295927292384825)</f>
        <v>-1.729592729</v>
      </c>
      <c r="U339" s="26">
        <f>IFERROR(__xludf.DUMMYFUNCTION("""COMPUTED_VALUE"""),-1.193173913915693)</f>
        <v>-1.193173914</v>
      </c>
      <c r="V339" s="26">
        <f>IFERROR(__xludf.DUMMYFUNCTION("""COMPUTED_VALUE"""),-1.5479459066606103)</f>
        <v>-1.547945907</v>
      </c>
      <c r="W339" s="26">
        <f>IFERROR(__xludf.DUMMYFUNCTION("""COMPUTED_VALUE"""),-2.040567692340145)</f>
        <v>-2.040567692</v>
      </c>
      <c r="X339" s="26">
        <f>IFERROR(__xludf.DUMMYFUNCTION("""COMPUTED_VALUE"""),0.43830172525162736)</f>
        <v>0.4383017253</v>
      </c>
      <c r="Y339" s="26">
        <f>IFERROR(__xludf.DUMMYFUNCTION("""COMPUTED_VALUE"""),0.18546260131071854)</f>
        <v>0.1854626013</v>
      </c>
      <c r="Z339" s="26">
        <f>IFERROR(__xludf.DUMMYFUNCTION("""COMPUTED_VALUE"""),-0.5108436285269998)</f>
        <v>-0.5108436285</v>
      </c>
      <c r="AA339" s="26">
        <f>IFERROR(__xludf.DUMMYFUNCTION("""COMPUTED_VALUE"""),0.0)</f>
        <v>0</v>
      </c>
      <c r="AB339" t="str">
        <f>IFERROR(__xludf.DUMMYFUNCTION("SUBSTITUTE(REGEXREPLACE(REGEXREPLACE(REGEXREPLACE(REGEXREPLACE(REGEXREPLACE(REGEXREPLACE(F339,"","",),IF(Projections!$T$17="""",""PG"",),),IF(Projections!$U$17="""",""SG"",),),IF(Projections!$V$17="""",""SF"",),),IF(Projections!$W$17="""",""PF"",),),IF(Pr"&amp;"ojections!$X$17="""",""C"",),),""/"","""")"),"PG")</f>
        <v>PG</v>
      </c>
    </row>
    <row r="340">
      <c r="B340">
        <f>IFERROR(__xludf.DUMMYFUNCTION("""COMPUTED_VALUE"""),333.0)</f>
        <v>333</v>
      </c>
      <c r="D340" t="str">
        <f>IFERROR(__xludf.DUMMYFUNCTION("""COMPUTED_VALUE"""),"Kyle Filipowski")</f>
        <v>Kyle Filipowski</v>
      </c>
      <c r="F340" t="str">
        <f>IFERROR(__xludf.DUMMYFUNCTION("""COMPUTED_VALUE"""),"407.00")</f>
        <v>407.00</v>
      </c>
      <c r="G340" s="26">
        <f>IFERROR(__xludf.DUMMYFUNCTION("""COMPUTED_VALUE"""),-8.700832825321534)</f>
        <v>-8.700832825</v>
      </c>
      <c r="H340" s="26">
        <f>IFERROR(__xludf.DUMMYFUNCTION("""COMPUTED_VALUE"""),-8.944527155512272)</f>
        <v>-8.944527156</v>
      </c>
      <c r="I340" s="26">
        <f>IFERROR(__xludf.DUMMYFUNCTION("""COMPUTED_VALUE"""),-0.24369433019073838)</f>
        <v>-0.2436943302</v>
      </c>
      <c r="J340" s="26">
        <f>IFERROR(__xludf.DUMMYFUNCTION("""COMPUTED_VALUE"""),5.15)</f>
        <v>5.15</v>
      </c>
      <c r="K340" s="26">
        <f>IFERROR(__xludf.DUMMYFUNCTION("""COMPUTED_VALUE"""),0.2887234043)</f>
        <v>0.2887234043</v>
      </c>
      <c r="L340" s="26">
        <f>IFERROR(__xludf.DUMMYFUNCTION("""COMPUTED_VALUE"""),3.555957447)</f>
        <v>3.555957447</v>
      </c>
      <c r="M340" s="26">
        <f>IFERROR(__xludf.DUMMYFUNCTION("""COMPUTED_VALUE"""),0.8753191489)</f>
        <v>0.8753191489</v>
      </c>
      <c r="N340" s="26">
        <f>IFERROR(__xludf.DUMMYFUNCTION("""COMPUTED_VALUE"""),0.3829787234)</f>
        <v>0.3829787234</v>
      </c>
      <c r="O340" s="26">
        <f>IFERROR(__xludf.DUMMYFUNCTION("""COMPUTED_VALUE"""),0.465106383)</f>
        <v>0.465106383</v>
      </c>
      <c r="P340" s="464">
        <f>IFERROR(__xludf.DUMMYFUNCTION("""COMPUTED_VALUE"""),0.4654791627)</f>
        <v>0.4654791627</v>
      </c>
      <c r="Q340" s="464">
        <f>IFERROR(__xludf.DUMMYFUNCTION("""COMPUTED_VALUE"""),0.7219206681)</f>
        <v>0.7219206681</v>
      </c>
      <c r="R340" s="26">
        <f>IFERROR(__xludf.DUMMYFUNCTION("""COMPUTED_VALUE"""),0.7659574468)</f>
        <v>0.7659574468</v>
      </c>
      <c r="S340" s="26">
        <f>IFERROR(__xludf.DUMMYFUNCTION("""COMPUTED_VALUE"""),-2.224114241226505)</f>
        <v>-2.224114241</v>
      </c>
      <c r="T340" s="26">
        <f>IFERROR(__xludf.DUMMYFUNCTION("""COMPUTED_VALUE"""),-1.4481593873198795)</f>
        <v>-1.448159387</v>
      </c>
      <c r="U340" s="26">
        <f>IFERROR(__xludf.DUMMYFUNCTION("""COMPUTED_VALUE"""),-0.9904962922284158)</f>
        <v>-0.9904962922</v>
      </c>
      <c r="V340" s="26">
        <f>IFERROR(__xludf.DUMMYFUNCTION("""COMPUTED_VALUE"""),-1.3887616978867732)</f>
        <v>-1.388761698</v>
      </c>
      <c r="W340" s="26">
        <f>IFERROR(__xludf.DUMMYFUNCTION("""COMPUTED_VALUE"""),-1.9619002235737175)</f>
        <v>-1.961900224</v>
      </c>
      <c r="X340" s="26">
        <f>IFERROR(__xludf.DUMMYFUNCTION("""COMPUTED_VALUE"""),-0.5057716828972102)</f>
        <v>-0.5057716829</v>
      </c>
      <c r="Y340" s="26">
        <f>IFERROR(__xludf.DUMMYFUNCTION("""COMPUTED_VALUE"""),-0.1637468023049072)</f>
        <v>-0.1637468023</v>
      </c>
      <c r="Z340" s="26">
        <f>IFERROR(__xludf.DUMMYFUNCTION("""COMPUTED_VALUE"""),-0.26157682807486465)</f>
        <v>-0.2615768281</v>
      </c>
      <c r="AA340" s="26">
        <f>IFERROR(__xludf.DUMMYFUNCTION("""COMPUTED_VALUE"""),0.0)</f>
        <v>0</v>
      </c>
      <c r="AB340" t="str">
        <f>IFERROR(__xludf.DUMMYFUNCTION("SUBSTITUTE(REGEXREPLACE(REGEXREPLACE(REGEXREPLACE(REGEXREPLACE(REGEXREPLACE(REGEXREPLACE(F340,"","",),IF(Projections!$T$17="""",""PG"",),),IF(Projections!$U$17="""",""SG"",),),IF(Projections!$V$17="""",""SF"",),),IF(Projections!$W$17="""",""PF"",),),IF(Pr"&amp;"ojections!$X$17="""",""C"",),),""/"","""")"),"407.00")</f>
        <v>407.00</v>
      </c>
    </row>
    <row r="341">
      <c r="B341">
        <f>IFERROR(__xludf.DUMMYFUNCTION("""COMPUTED_VALUE"""),334.0)</f>
        <v>334</v>
      </c>
      <c r="D341" t="str">
        <f>IFERROR(__xludf.DUMMYFUNCTION("""COMPUTED_VALUE"""),"Ty Jerome")</f>
        <v>Ty Jerome</v>
      </c>
      <c r="E341">
        <f>IFERROR(__xludf.DUMMYFUNCTION("""COMPUTED_VALUE"""),28.0)</f>
        <v>28</v>
      </c>
      <c r="F341" t="str">
        <f>IFERROR(__xludf.DUMMYFUNCTION("""COMPUTED_VALUE"""),"C")</f>
        <v>C</v>
      </c>
      <c r="G341" s="26">
        <f>IFERROR(__xludf.DUMMYFUNCTION("""COMPUTED_VALUE"""),-8.702473739277973)</f>
        <v>-8.702473739</v>
      </c>
      <c r="H341" s="26">
        <f>IFERROR(__xludf.DUMMYFUNCTION("""COMPUTED_VALUE"""),-8.946405499170096)</f>
        <v>-8.946405499</v>
      </c>
      <c r="I341" s="26">
        <f>IFERROR(__xludf.DUMMYFUNCTION("""COMPUTED_VALUE"""),-0.24393175989212246)</f>
        <v>-0.2439317599</v>
      </c>
      <c r="J341" s="26">
        <f>IFERROR(__xludf.DUMMYFUNCTION("""COMPUTED_VALUE"""),4.999705882)</f>
        <v>4.999705882</v>
      </c>
      <c r="K341" s="26">
        <f>IFERROR(__xludf.DUMMYFUNCTION("""COMPUTED_VALUE"""),0.7319117647)</f>
        <v>0.7319117647</v>
      </c>
      <c r="L341" s="26">
        <f>IFERROR(__xludf.DUMMYFUNCTION("""COMPUTED_VALUE"""),1.498088235)</f>
        <v>1.498088235</v>
      </c>
      <c r="M341" s="26">
        <f>IFERROR(__xludf.DUMMYFUNCTION("""COMPUTED_VALUE"""),2.55)</f>
        <v>2.55</v>
      </c>
      <c r="N341" s="26">
        <f>IFERROR(__xludf.DUMMYFUNCTION("""COMPUTED_VALUE"""),0.4223529412)</f>
        <v>0.4223529412</v>
      </c>
      <c r="O341" s="26">
        <f>IFERROR(__xludf.DUMMYFUNCTION("""COMPUTED_VALUE"""),0.09867647059)</f>
        <v>0.09867647059</v>
      </c>
      <c r="P341" s="464">
        <f>IFERROR(__xludf.DUMMYFUNCTION("""COMPUTED_VALUE"""),0.4365084633)</f>
        <v>0.4365084633</v>
      </c>
      <c r="Q341" s="464">
        <f>IFERROR(__xludf.DUMMYFUNCTION("""COMPUTED_VALUE"""),0.8198551599)</f>
        <v>0.8198551599</v>
      </c>
      <c r="R341" s="26">
        <f>IFERROR(__xludf.DUMMYFUNCTION("""COMPUTED_VALUE"""),0.765)</f>
        <v>0.765</v>
      </c>
      <c r="S341" s="26">
        <f>IFERROR(__xludf.DUMMYFUNCTION("""COMPUTED_VALUE"""),-2.2512056034657837)</f>
        <v>-2.251205603</v>
      </c>
      <c r="T341" s="26">
        <f>IFERROR(__xludf.DUMMYFUNCTION("""COMPUTED_VALUE"""),-1.008548204469011)</f>
        <v>-1.008548204</v>
      </c>
      <c r="U341" s="26">
        <f>IFERROR(__xludf.DUMMYFUNCTION("""COMPUTED_VALUE"""),-1.7969896339585045)</f>
        <v>-1.796989634</v>
      </c>
      <c r="V341" s="26">
        <f>IFERROR(__xludf.DUMMYFUNCTION("""COMPUTED_VALUE"""),-0.6282247997810917)</f>
        <v>-0.6282247998</v>
      </c>
      <c r="W341" s="26">
        <f>IFERROR(__xludf.DUMMYFUNCTION("""COMPUTED_VALUE"""),-1.8316379720272773)</f>
        <v>-1.831637972</v>
      </c>
      <c r="X341" s="26">
        <f>IFERROR(__xludf.DUMMYFUNCTION("""COMPUTED_VALUE"""),-1.1593535987671475)</f>
        <v>-1.159353599</v>
      </c>
      <c r="Y341" s="26">
        <f>IFERROR(__xludf.DUMMYFUNCTION("""COMPUTED_VALUE"""),-0.3130344853709408)</f>
        <v>-0.3130344854</v>
      </c>
      <c r="Z341" s="26">
        <f>IFERROR(__xludf.DUMMYFUNCTION("""COMPUTED_VALUE"""),0.04258879866966041)</f>
        <v>0.04258879867</v>
      </c>
      <c r="AA341" s="26">
        <f>IFERROR(__xludf.DUMMYFUNCTION("""COMPUTED_VALUE"""),0.0)</f>
        <v>0</v>
      </c>
      <c r="AB341" t="str">
        <f>IFERROR(__xludf.DUMMYFUNCTION("SUBSTITUTE(REGEXREPLACE(REGEXREPLACE(REGEXREPLACE(REGEXREPLACE(REGEXREPLACE(REGEXREPLACE(F341,"","",),IF(Projections!$T$17="""",""PG"",),),IF(Projections!$U$17="""",""SG"",),),IF(Projections!$V$17="""",""SF"",),),IF(Projections!$W$17="""",""PF"",),),IF(Pr"&amp;"ojections!$X$17="""",""C"",),),""/"","""")"),"C")</f>
        <v>C</v>
      </c>
    </row>
    <row r="342">
      <c r="B342">
        <f>IFERROR(__xludf.DUMMYFUNCTION("""COMPUTED_VALUE"""),339.0)</f>
        <v>339</v>
      </c>
      <c r="D342" t="str">
        <f>IFERROR(__xludf.DUMMYFUNCTION("""COMPUTED_VALUE"""),"Dillon Jones")</f>
        <v>Dillon Jones</v>
      </c>
      <c r="E342">
        <f>IFERROR(__xludf.DUMMYFUNCTION("""COMPUTED_VALUE"""),57.0)</f>
        <v>57</v>
      </c>
      <c r="F342" t="str">
        <f>IFERROR(__xludf.DUMMYFUNCTION("""COMPUTED_VALUE"""),"SG")</f>
        <v>SG</v>
      </c>
      <c r="G342" s="26">
        <f>IFERROR(__xludf.DUMMYFUNCTION("""COMPUTED_VALUE"""),-8.832219722450048)</f>
        <v>-8.832219722</v>
      </c>
      <c r="H342" s="26">
        <f>IFERROR(__xludf.DUMMYFUNCTION("""COMPUTED_VALUE"""),-8.984107900563156)</f>
        <v>-8.984107901</v>
      </c>
      <c r="I342" s="26">
        <f>IFERROR(__xludf.DUMMYFUNCTION("""COMPUTED_VALUE"""),-0.15188817811310784)</f>
        <v>-0.1518881781</v>
      </c>
      <c r="J342" s="26">
        <f>IFERROR(__xludf.DUMMYFUNCTION("""COMPUTED_VALUE"""),5.033404255)</f>
        <v>5.033404255</v>
      </c>
      <c r="K342" s="26">
        <f>IFERROR(__xludf.DUMMYFUNCTION("""COMPUTED_VALUE"""),0.3831914894)</f>
        <v>0.3831914894</v>
      </c>
      <c r="L342" s="26">
        <f>IFERROR(__xludf.DUMMYFUNCTION("""COMPUTED_VALUE"""),3.755957447)</f>
        <v>3.755957447</v>
      </c>
      <c r="M342" s="26">
        <f>IFERROR(__xludf.DUMMYFUNCTION("""COMPUTED_VALUE"""),1.041489362)</f>
        <v>1.041489362</v>
      </c>
      <c r="N342" s="26">
        <f>IFERROR(__xludf.DUMMYFUNCTION("""COMPUTED_VALUE"""),0.505106383)</f>
        <v>0.505106383</v>
      </c>
      <c r="O342" s="26">
        <f>IFERROR(__xludf.DUMMYFUNCTION("""COMPUTED_VALUE"""),0.06319148936)</f>
        <v>0.06319148936</v>
      </c>
      <c r="P342" s="464">
        <f>IFERROR(__xludf.DUMMYFUNCTION("""COMPUTED_VALUE"""),0.4276834808)</f>
        <v>0.4276834808</v>
      </c>
      <c r="Q342" s="464">
        <f>IFERROR(__xludf.DUMMYFUNCTION("""COMPUTED_VALUE"""),0.7900398406)</f>
        <v>0.7900398406</v>
      </c>
      <c r="R342" s="26">
        <f>IFERROR(__xludf.DUMMYFUNCTION("""COMPUTED_VALUE"""),1.136170213)</f>
        <v>1.136170213</v>
      </c>
      <c r="S342" s="26">
        <f>IFERROR(__xludf.DUMMYFUNCTION("""COMPUTED_VALUE"""),-2.2451312817160973)</f>
        <v>-2.245131282</v>
      </c>
      <c r="T342" s="26">
        <f>IFERROR(__xludf.DUMMYFUNCTION("""COMPUTED_VALUE"""),-1.3544537976807807)</f>
        <v>-1.354453798</v>
      </c>
      <c r="U342" s="26">
        <f>IFERROR(__xludf.DUMMYFUNCTION("""COMPUTED_VALUE"""),-0.91211489296094)</f>
        <v>-0.912114893</v>
      </c>
      <c r="V342" s="26">
        <f>IFERROR(__xludf.DUMMYFUNCTION("""COMPUTED_VALUE"""),-1.3132974216065354)</f>
        <v>-1.313297422</v>
      </c>
      <c r="W342" s="26">
        <f>IFERROR(__xludf.DUMMYFUNCTION("""COMPUTED_VALUE"""),-1.557863653338836)</f>
        <v>-1.557863653</v>
      </c>
      <c r="X342" s="26">
        <f>IFERROR(__xludf.DUMMYFUNCTION("""COMPUTED_VALUE"""),-1.2226463083180046)</f>
        <v>-1.222646308</v>
      </c>
      <c r="Y342" s="26">
        <f>IFERROR(__xludf.DUMMYFUNCTION("""COMPUTED_VALUE"""),-0.36006383140302745)</f>
        <v>-0.3600638314</v>
      </c>
      <c r="Z342" s="26">
        <f>IFERROR(__xludf.DUMMYFUNCTION("""COMPUTED_VALUE"""),-0.018536713538936538)</f>
        <v>-0.01853671354</v>
      </c>
      <c r="AA342" s="26">
        <f>IFERROR(__xludf.DUMMYFUNCTION("""COMPUTED_VALUE"""),0.0)</f>
        <v>0</v>
      </c>
      <c r="AB342" t="str">
        <f>IFERROR(__xludf.DUMMYFUNCTION("SUBSTITUTE(REGEXREPLACE(REGEXREPLACE(REGEXREPLACE(REGEXREPLACE(REGEXREPLACE(REGEXREPLACE(F342,"","",),IF(Projections!$T$17="""",""PG"",),),IF(Projections!$U$17="""",""SG"",),),IF(Projections!$V$17="""",""SF"",),),IF(Projections!$W$17="""",""PF"",),),IF(Pr"&amp;"ojections!$X$17="""",""C"",),),""/"","""")"),"SG")</f>
        <v>SG</v>
      </c>
    </row>
    <row r="343">
      <c r="B343">
        <f>IFERROR(__xludf.DUMMYFUNCTION("""COMPUTED_VALUE"""),344.0)</f>
        <v>344</v>
      </c>
      <c r="D343" t="str">
        <f>IFERROR(__xludf.DUMMYFUNCTION("""COMPUTED_VALUE"""),"Kris Murray")</f>
        <v>Kris Murray</v>
      </c>
      <c r="E343">
        <f>IFERROR(__xludf.DUMMYFUNCTION("""COMPUTED_VALUE"""),24.0)</f>
        <v>24</v>
      </c>
      <c r="F343" t="str">
        <f>IFERROR(__xludf.DUMMYFUNCTION("""COMPUTED_VALUE"""),"PF,C")</f>
        <v>PF,C</v>
      </c>
      <c r="G343" s="26">
        <f>IFERROR(__xludf.DUMMYFUNCTION("""COMPUTED_VALUE"""),-8.763137639543595)</f>
        <v>-8.76313764</v>
      </c>
      <c r="H343" s="26">
        <f>IFERROR(__xludf.DUMMYFUNCTION("""COMPUTED_VALUE"""),-9.006305070933413)</f>
        <v>-9.006305071</v>
      </c>
      <c r="I343" s="26">
        <f>IFERROR(__xludf.DUMMYFUNCTION("""COMPUTED_VALUE"""),-0.24316743138981778)</f>
        <v>-0.2431674314</v>
      </c>
      <c r="J343" s="26">
        <f>IFERROR(__xludf.DUMMYFUNCTION("""COMPUTED_VALUE"""),5.226027397)</f>
        <v>5.226027397</v>
      </c>
      <c r="K343" s="26">
        <f>IFERROR(__xludf.DUMMYFUNCTION("""COMPUTED_VALUE"""),0.7408219178)</f>
        <v>0.7408219178</v>
      </c>
      <c r="L343" s="26">
        <f>IFERROR(__xludf.DUMMYFUNCTION("""COMPUTED_VALUE"""),2.910136986)</f>
        <v>2.910136986</v>
      </c>
      <c r="M343" s="26">
        <f>IFERROR(__xludf.DUMMYFUNCTION("""COMPUTED_VALUE"""),1.122054795)</f>
        <v>1.122054795</v>
      </c>
      <c r="N343" s="26">
        <f>IFERROR(__xludf.DUMMYFUNCTION("""COMPUTED_VALUE"""),0.4908219178)</f>
        <v>0.4908219178</v>
      </c>
      <c r="O343" s="26">
        <f>IFERROR(__xludf.DUMMYFUNCTION("""COMPUTED_VALUE"""),0.2946575342)</f>
        <v>0.2946575342</v>
      </c>
      <c r="P343" s="464">
        <f>IFERROR(__xludf.DUMMYFUNCTION("""COMPUTED_VALUE"""),0.4056751747)</f>
        <v>0.4056751747</v>
      </c>
      <c r="Q343" s="464">
        <f>IFERROR(__xludf.DUMMYFUNCTION("""COMPUTED_VALUE"""),0.6799746515)</f>
        <v>0.6799746515</v>
      </c>
      <c r="R343" s="26">
        <f>IFERROR(__xludf.DUMMYFUNCTION("""COMPUTED_VALUE"""),0.7680821918)</f>
        <v>0.7680821918</v>
      </c>
      <c r="S343" s="26">
        <f>IFERROR(__xludf.DUMMYFUNCTION("""COMPUTED_VALUE"""),-2.2104098742183673)</f>
        <v>-2.210409874</v>
      </c>
      <c r="T343" s="26">
        <f>IFERROR(__xludf.DUMMYFUNCTION("""COMPUTED_VALUE"""),-0.9997099693219101)</f>
        <v>-0.9997099693</v>
      </c>
      <c r="U343" s="26">
        <f>IFERROR(__xludf.DUMMYFUNCTION("""COMPUTED_VALUE"""),-1.2435978492721471)</f>
        <v>-1.243597849</v>
      </c>
      <c r="V343" s="26">
        <f>IFERROR(__xludf.DUMMYFUNCTION("""COMPUTED_VALUE"""),-1.2767095640048232)</f>
        <v>-1.276709564</v>
      </c>
      <c r="W343" s="26">
        <f>IFERROR(__xludf.DUMMYFUNCTION("""COMPUTED_VALUE"""),-1.605121140675861)</f>
        <v>-1.605121141</v>
      </c>
      <c r="X343" s="26">
        <f>IFERROR(__xludf.DUMMYFUNCTION("""COMPUTED_VALUE"""),-0.8097924011399958)</f>
        <v>-0.8097924011</v>
      </c>
      <c r="Y343" s="26">
        <f>IFERROR(__xludf.DUMMYFUNCTION("""COMPUTED_VALUE"""),-0.5116244574677634)</f>
        <v>-0.5116244575</v>
      </c>
      <c r="Z343" s="26">
        <f>IFERROR(__xludf.DUMMYFUNCTION("""COMPUTED_VALUE"""),-0.3493398148325475)</f>
        <v>-0.3493398148</v>
      </c>
      <c r="AA343" s="26">
        <f>IFERROR(__xludf.DUMMYFUNCTION("""COMPUTED_VALUE"""),0.0)</f>
        <v>0</v>
      </c>
      <c r="AB343" t="str">
        <f>IFERROR(__xludf.DUMMYFUNCTION("SUBSTITUTE(REGEXREPLACE(REGEXREPLACE(REGEXREPLACE(REGEXREPLACE(REGEXREPLACE(REGEXREPLACE(F343,"","",),IF(Projections!$T$17="""",""PG"",),),IF(Projections!$U$17="""",""SG"",),),IF(Projections!$V$17="""",""SF"",),),IF(Projections!$W$17="""",""PF"",),),IF(Pr"&amp;"ojections!$X$17="""",""C"",),),""/"","""")"),"PFC")</f>
        <v>PFC</v>
      </c>
    </row>
    <row r="344">
      <c r="B344">
        <f>IFERROR(__xludf.DUMMYFUNCTION("""COMPUTED_VALUE"""),349.0)</f>
        <v>349</v>
      </c>
      <c r="D344" t="str">
        <f>IFERROR(__xludf.DUMMYFUNCTION("""COMPUTED_VALUE"""),"Jamal Shead")</f>
        <v>Jamal Shead</v>
      </c>
      <c r="F344" t="str">
        <f>IFERROR(__xludf.DUMMYFUNCTION("""COMPUTED_VALUE"""),"408.00")</f>
        <v>408.00</v>
      </c>
      <c r="G344" s="26">
        <f>IFERROR(__xludf.DUMMYFUNCTION("""COMPUTED_VALUE"""),-8.870965775038401)</f>
        <v>-8.870965775</v>
      </c>
      <c r="H344" s="26">
        <f>IFERROR(__xludf.DUMMYFUNCTION("""COMPUTED_VALUE"""),-9.012414148796575)</f>
        <v>-9.012414149</v>
      </c>
      <c r="I344" s="26">
        <f>IFERROR(__xludf.DUMMYFUNCTION("""COMPUTED_VALUE"""),-0.14144837375817332)</f>
        <v>-0.1414483738</v>
      </c>
      <c r="J344" s="26">
        <f>IFERROR(__xludf.DUMMYFUNCTION("""COMPUTED_VALUE"""),4.140384615)</f>
        <v>4.140384615</v>
      </c>
      <c r="K344" s="26">
        <f>IFERROR(__xludf.DUMMYFUNCTION("""COMPUTED_VALUE"""),0.5915384615)</f>
        <v>0.5915384615</v>
      </c>
      <c r="L344" s="26">
        <f>IFERROR(__xludf.DUMMYFUNCTION("""COMPUTED_VALUE"""),1.296153846)</f>
        <v>1.296153846</v>
      </c>
      <c r="M344" s="26">
        <f>IFERROR(__xludf.DUMMYFUNCTION("""COMPUTED_VALUE"""),1.973653846)</f>
        <v>1.973653846</v>
      </c>
      <c r="N344" s="26">
        <f>IFERROR(__xludf.DUMMYFUNCTION("""COMPUTED_VALUE"""),0.7069230769)</f>
        <v>0.7069230769</v>
      </c>
      <c r="O344" s="26">
        <f>IFERROR(__xludf.DUMMYFUNCTION("""COMPUTED_VALUE"""),0.1473076923)</f>
        <v>0.1473076923</v>
      </c>
      <c r="P344" s="464">
        <f>IFERROR(__xludf.DUMMYFUNCTION("""COMPUTED_VALUE"""),0.365359329)</f>
        <v>0.365359329</v>
      </c>
      <c r="Q344" s="464">
        <f>IFERROR(__xludf.DUMMYFUNCTION("""COMPUTED_VALUE"""),0.7571243523)</f>
        <v>0.7571243523</v>
      </c>
      <c r="R344" s="26">
        <f>IFERROR(__xludf.DUMMYFUNCTION("""COMPUTED_VALUE"""),1.178269231)</f>
        <v>1.178269231</v>
      </c>
      <c r="S344" s="26">
        <f>IFERROR(__xludf.DUMMYFUNCTION("""COMPUTED_VALUE"""),-2.4061031073335846)</f>
        <v>-2.406103107</v>
      </c>
      <c r="T344" s="26">
        <f>IFERROR(__xludf.DUMMYFUNCTION("""COMPUTED_VALUE"""),-1.1477884900323312)</f>
        <v>-1.14778849</v>
      </c>
      <c r="U344" s="26">
        <f>IFERROR(__xludf.DUMMYFUNCTION("""COMPUTED_VALUE"""),-1.8761291338087183)</f>
        <v>-1.876129134</v>
      </c>
      <c r="V344" s="26">
        <f>IFERROR(__xludf.DUMMYFUNCTION("""COMPUTED_VALUE"""),-0.889965725468744)</f>
        <v>-0.8899657255</v>
      </c>
      <c r="W344" s="26">
        <f>IFERROR(__xludf.DUMMYFUNCTION("""COMPUTED_VALUE"""),-0.8901907847473299)</f>
        <v>-0.8901907847</v>
      </c>
      <c r="X344" s="26">
        <f>IFERROR(__xludf.DUMMYFUNCTION("""COMPUTED_VALUE"""),-1.0726126259921036)</f>
        <v>-1.072612626</v>
      </c>
      <c r="Y344" s="26">
        <f>IFERROR(__xludf.DUMMYFUNCTION("""COMPUTED_VALUE"""),-0.6506491155754692)</f>
        <v>-0.6506491156</v>
      </c>
      <c r="Z344" s="26">
        <f>IFERROR(__xludf.DUMMYFUNCTION("""COMPUTED_VALUE"""),-0.07897516583829325)</f>
        <v>-0.07897516584</v>
      </c>
      <c r="AA344" s="26">
        <f>IFERROR(__xludf.DUMMYFUNCTION("""COMPUTED_VALUE"""),0.0)</f>
        <v>0</v>
      </c>
      <c r="AB344" t="str">
        <f>IFERROR(__xludf.DUMMYFUNCTION("SUBSTITUTE(REGEXREPLACE(REGEXREPLACE(REGEXREPLACE(REGEXREPLACE(REGEXREPLACE(REGEXREPLACE(F344,"","",),IF(Projections!$T$17="""",""PG"",),),IF(Projections!$U$17="""",""SG"",),),IF(Projections!$V$17="""",""SF"",),),IF(Projections!$W$17="""",""PF"",),),IF(Pr"&amp;"ojections!$X$17="""",""C"",),),""/"","""")"),"408.00")</f>
        <v>408.00</v>
      </c>
    </row>
    <row r="345">
      <c r="B345">
        <f>IFERROR(__xludf.DUMMYFUNCTION("""COMPUTED_VALUE"""),332.0)</f>
        <v>332</v>
      </c>
      <c r="D345" t="str">
        <f>IFERROR(__xludf.DUMMYFUNCTION("""COMPUTED_VALUE"""),"Jonathan Mogbo")</f>
        <v>Jonathan Mogbo</v>
      </c>
      <c r="E345">
        <f>IFERROR(__xludf.DUMMYFUNCTION("""COMPUTED_VALUE"""),40.0)</f>
        <v>40</v>
      </c>
      <c r="F345" t="str">
        <f>IFERROR(__xludf.DUMMYFUNCTION("""COMPUTED_VALUE"""),"SG,SF")</f>
        <v>SG,SF</v>
      </c>
      <c r="G345" s="26">
        <f>IFERROR(__xludf.DUMMYFUNCTION("""COMPUTED_VALUE"""),-8.884051763044683)</f>
        <v>-8.884051763</v>
      </c>
      <c r="H345" s="26">
        <f>IFERROR(__xludf.DUMMYFUNCTION("""COMPUTED_VALUE"""),-9.025493034346535)</f>
        <v>-9.025493034</v>
      </c>
      <c r="I345" s="26">
        <f>IFERROR(__xludf.DUMMYFUNCTION("""COMPUTED_VALUE"""),-0.14144127130185247)</f>
        <v>-0.1414412713</v>
      </c>
      <c r="J345" s="26">
        <f>IFERROR(__xludf.DUMMYFUNCTION("""COMPUTED_VALUE"""),5.025744681)</f>
        <v>5.025744681</v>
      </c>
      <c r="K345" s="26">
        <f>IFERROR(__xludf.DUMMYFUNCTION("""COMPUTED_VALUE"""),0.0)</f>
        <v>0</v>
      </c>
      <c r="L345" s="26">
        <f>IFERROR(__xludf.DUMMYFUNCTION("""COMPUTED_VALUE"""),3.85893617)</f>
        <v>3.85893617</v>
      </c>
      <c r="M345" s="26">
        <f>IFERROR(__xludf.DUMMYFUNCTION("""COMPUTED_VALUE"""),1.03106383)</f>
        <v>1.03106383</v>
      </c>
      <c r="N345" s="26">
        <f>IFERROR(__xludf.DUMMYFUNCTION("""COMPUTED_VALUE"""),0.4712765957)</f>
        <v>0.4712765957</v>
      </c>
      <c r="O345" s="26">
        <f>IFERROR(__xludf.DUMMYFUNCTION("""COMPUTED_VALUE"""),0.4419148936)</f>
        <v>0.4419148936</v>
      </c>
      <c r="P345" s="464">
        <f>IFERROR(__xludf.DUMMYFUNCTION("""COMPUTED_VALUE"""),0.5543927581)</f>
        <v>0.5543927581</v>
      </c>
      <c r="Q345" s="464">
        <f>IFERROR(__xludf.DUMMYFUNCTION("""COMPUTED_VALUE"""),0.5300915831)</f>
        <v>0.5300915831</v>
      </c>
      <c r="R345" s="26">
        <f>IFERROR(__xludf.DUMMYFUNCTION("""COMPUTED_VALUE"""),1.178297872)</f>
        <v>1.178297872</v>
      </c>
      <c r="S345" s="26">
        <f>IFERROR(__xludf.DUMMYFUNCTION("""COMPUTED_VALUE"""),-2.2465119631199606)</f>
        <v>-2.246511963</v>
      </c>
      <c r="T345" s="26">
        <f>IFERROR(__xludf.DUMMYFUNCTION("""COMPUTED_VALUE"""),-1.7345523719336797)</f>
        <v>-1.734552372</v>
      </c>
      <c r="U345" s="26">
        <f>IFERROR(__xludf.DUMMYFUNCTION("""COMPUTED_VALUE"""),-0.871756810943351)</f>
        <v>-0.8717568109</v>
      </c>
      <c r="V345" s="26">
        <f>IFERROR(__xludf.DUMMYFUNCTION("""COMPUTED_VALUE"""),-1.3180320561270016)</f>
        <v>-1.318032056</v>
      </c>
      <c r="W345" s="26">
        <f>IFERROR(__xludf.DUMMYFUNCTION("""COMPUTED_VALUE"""),-1.6697831912816359)</f>
        <v>-1.669783191</v>
      </c>
      <c r="X345" s="26">
        <f>IFERROR(__xludf.DUMMYFUNCTION("""COMPUTED_VALUE"""),-0.5471371324977589)</f>
        <v>-0.5471371325</v>
      </c>
      <c r="Y345" s="26">
        <f>IFERROR(__xludf.DUMMYFUNCTION("""COMPUTED_VALUE"""),0.27027887969184416)</f>
        <v>0.2702788797</v>
      </c>
      <c r="Z345" s="26">
        <f>IFERROR(__xludf.DUMMYFUNCTION("""COMPUTED_VALUE"""),-0.9079983881349923)</f>
        <v>-0.9079983881</v>
      </c>
      <c r="AA345" s="26">
        <f>IFERROR(__xludf.DUMMYFUNCTION("""COMPUTED_VALUE"""),0.0)</f>
        <v>0</v>
      </c>
      <c r="AB345" t="str">
        <f>IFERROR(__xludf.DUMMYFUNCTION("SUBSTITUTE(REGEXREPLACE(REGEXREPLACE(REGEXREPLACE(REGEXREPLACE(REGEXREPLACE(REGEXREPLACE(F345,"","",),IF(Projections!$T$17="""",""PG"",),),IF(Projections!$U$17="""",""SG"",),),IF(Projections!$V$17="""",""SF"",),),IF(Projections!$W$17="""",""PF"",),),IF(Pr"&amp;"ojections!$X$17="""",""C"",),),""/"","""")"),"SGSF")</f>
        <v>SGSF</v>
      </c>
    </row>
    <row r="346">
      <c r="B346">
        <f>IFERROR(__xludf.DUMMYFUNCTION("""COMPUTED_VALUE"""),341.0)</f>
        <v>341</v>
      </c>
      <c r="D346" t="str">
        <f>IFERROR(__xludf.DUMMYFUNCTION("""COMPUTED_VALUE"""),"Marcus Sasser")</f>
        <v>Marcus Sasser</v>
      </c>
      <c r="F346" t="str">
        <f>IFERROR(__xludf.DUMMYFUNCTION("""COMPUTED_VALUE"""),"406.00")</f>
        <v>406.00</v>
      </c>
      <c r="G346" s="26">
        <f>IFERROR(__xludf.DUMMYFUNCTION("""COMPUTED_VALUE"""),-8.859357803363235)</f>
        <v>-8.859357803</v>
      </c>
      <c r="H346" s="26">
        <f>IFERROR(__xludf.DUMMYFUNCTION("""COMPUTED_VALUE"""),-9.067897727016291)</f>
        <v>-9.067897727</v>
      </c>
      <c r="I346" s="26">
        <f>IFERROR(__xludf.DUMMYFUNCTION("""COMPUTED_VALUE"""),-0.2085399236530563)</f>
        <v>-0.2085399237</v>
      </c>
      <c r="J346" s="26">
        <f>IFERROR(__xludf.DUMMYFUNCTION("""COMPUTED_VALUE"""),5.444736842)</f>
        <v>5.444736842</v>
      </c>
      <c r="K346" s="26">
        <f>IFERROR(__xludf.DUMMYFUNCTION("""COMPUTED_VALUE"""),0.8131578947)</f>
        <v>0.8131578947</v>
      </c>
      <c r="L346" s="26">
        <f>IFERROR(__xludf.DUMMYFUNCTION("""COMPUTED_VALUE"""),1.126140351)</f>
        <v>1.126140351</v>
      </c>
      <c r="M346" s="26">
        <f>IFERROR(__xludf.DUMMYFUNCTION("""COMPUTED_VALUE"""),2.144912281)</f>
        <v>2.144912281</v>
      </c>
      <c r="N346" s="26">
        <f>IFERROR(__xludf.DUMMYFUNCTION("""COMPUTED_VALUE"""),0.3821052632)</f>
        <v>0.3821052632</v>
      </c>
      <c r="O346" s="26">
        <f>IFERROR(__xludf.DUMMYFUNCTION("""COMPUTED_VALUE"""),0.1380701754)</f>
        <v>0.1380701754</v>
      </c>
      <c r="P346" s="464">
        <f>IFERROR(__xludf.DUMMYFUNCTION("""COMPUTED_VALUE"""),0.430618231)</f>
        <v>0.430618231</v>
      </c>
      <c r="Q346" s="464">
        <f>IFERROR(__xludf.DUMMYFUNCTION("""COMPUTED_VALUE"""),0.8769115066)</f>
        <v>0.8769115066</v>
      </c>
      <c r="R346" s="26">
        <f>IFERROR(__xludf.DUMMYFUNCTION("""COMPUTED_VALUE"""),0.9077192982)</f>
        <v>0.9077192982</v>
      </c>
      <c r="S346" s="26">
        <f>IFERROR(__xludf.DUMMYFUNCTION("""COMPUTED_VALUE"""),-2.17098626351095)</f>
        <v>-2.170986264</v>
      </c>
      <c r="T346" s="26">
        <f>IFERROR(__xludf.DUMMYFUNCTION("""COMPUTED_VALUE"""),-0.9279578494355005)</f>
        <v>-0.9279578494</v>
      </c>
      <c r="U346" s="26">
        <f>IFERROR(__xludf.DUMMYFUNCTION("""COMPUTED_VALUE"""),-1.9427586119709883)</f>
        <v>-1.942758612</v>
      </c>
      <c r="V346" s="26">
        <f>IFERROR(__xludf.DUMMYFUNCTION("""COMPUTED_VALUE"""),-0.8121906921877574)</f>
        <v>-0.8121906922</v>
      </c>
      <c r="W346" s="26">
        <f>IFERROR(__xludf.DUMMYFUNCTION("""COMPUTED_VALUE"""),-1.9647899036396463)</f>
        <v>-1.964789904</v>
      </c>
      <c r="X346" s="26">
        <f>IFERROR(__xludf.DUMMYFUNCTION("""COMPUTED_VALUE"""),-1.0890891029087248)</f>
        <v>-1.089089103</v>
      </c>
      <c r="Y346" s="26">
        <f>IFERROR(__xludf.DUMMYFUNCTION("""COMPUTED_VALUE"""),-0.36155617819094216)</f>
        <v>-0.3615561782</v>
      </c>
      <c r="Z346" s="26">
        <f>IFERROR(__xludf.DUMMYFUNCTION("""COMPUTED_VALUE"""),0.2014308748282167)</f>
        <v>0.2014308748</v>
      </c>
      <c r="AA346" s="26">
        <f>IFERROR(__xludf.DUMMYFUNCTION("""COMPUTED_VALUE"""),0.0)</f>
        <v>0</v>
      </c>
      <c r="AB346" t="str">
        <f>IFERROR(__xludf.DUMMYFUNCTION("SUBSTITUTE(REGEXREPLACE(REGEXREPLACE(REGEXREPLACE(REGEXREPLACE(REGEXREPLACE(REGEXREPLACE(F346,"","",),IF(Projections!$T$17="""",""PG"",),),IF(Projections!$U$17="""",""SG"",),),IF(Projections!$V$17="""",""SF"",),),IF(Projections!$W$17="""",""PF"",),),IF(Pr"&amp;"ojections!$X$17="""",""C"",),),""/"","""")"),"406.00")</f>
        <v>406.00</v>
      </c>
    </row>
    <row r="347">
      <c r="B347">
        <f>IFERROR(__xludf.DUMMYFUNCTION("""COMPUTED_VALUE"""),340.0)</f>
        <v>340</v>
      </c>
      <c r="D347" t="str">
        <f>IFERROR(__xludf.DUMMYFUNCTION("""COMPUTED_VALUE"""),"Dante Exum")</f>
        <v>Dante Exum</v>
      </c>
      <c r="F347" t="str">
        <f>IFERROR(__xludf.DUMMYFUNCTION("""COMPUTED_VALUE"""),"402.00")</f>
        <v>402.00</v>
      </c>
      <c r="G347" s="26">
        <f>IFERROR(__xludf.DUMMYFUNCTION("""COMPUTED_VALUE"""),-8.845731544621026)</f>
        <v>-8.845731545</v>
      </c>
      <c r="H347" s="26">
        <f>IFERROR(__xludf.DUMMYFUNCTION("""COMPUTED_VALUE"""),-9.06899812662476)</f>
        <v>-9.068998127</v>
      </c>
      <c r="I347" s="26">
        <f>IFERROR(__xludf.DUMMYFUNCTION("""COMPUTED_VALUE"""),-0.22326658200373295)</f>
        <v>-0.223266582</v>
      </c>
      <c r="J347" s="26">
        <f>IFERROR(__xludf.DUMMYFUNCTION("""COMPUTED_VALUE"""),4.235833333)</f>
        <v>4.235833333</v>
      </c>
      <c r="K347" s="26">
        <f>IFERROR(__xludf.DUMMYFUNCTION("""COMPUTED_VALUE"""),0.5545833333)</f>
        <v>0.5545833333</v>
      </c>
      <c r="L347" s="26">
        <f>IFERROR(__xludf.DUMMYFUNCTION("""COMPUTED_VALUE"""),2.05375)</f>
        <v>2.05375</v>
      </c>
      <c r="M347" s="26">
        <f>IFERROR(__xludf.DUMMYFUNCTION("""COMPUTED_VALUE"""),2.120833333)</f>
        <v>2.120833333</v>
      </c>
      <c r="N347" s="26">
        <f>IFERROR(__xludf.DUMMYFUNCTION("""COMPUTED_VALUE"""),0.4041666667)</f>
        <v>0.4041666667</v>
      </c>
      <c r="O347" s="26">
        <f>IFERROR(__xludf.DUMMYFUNCTION("""COMPUTED_VALUE"""),0.1345833333)</f>
        <v>0.1345833333</v>
      </c>
      <c r="P347" s="464">
        <f>IFERROR(__xludf.DUMMYFUNCTION("""COMPUTED_VALUE"""),0.4628910987)</f>
        <v>0.4628910987</v>
      </c>
      <c r="Q347" s="464">
        <f>IFERROR(__xludf.DUMMYFUNCTION("""COMPUTED_VALUE"""),0.8092991914)</f>
        <v>0.8092991914</v>
      </c>
      <c r="R347" s="26">
        <f>IFERROR(__xludf.DUMMYFUNCTION("""COMPUTED_VALUE"""),0.8483333333)</f>
        <v>0.8483333333</v>
      </c>
      <c r="S347" s="26">
        <f>IFERROR(__xludf.DUMMYFUNCTION("""COMPUTED_VALUE"""),-2.388897937703375)</f>
        <v>-2.388897938</v>
      </c>
      <c r="T347" s="26">
        <f>IFERROR(__xludf.DUMMYFUNCTION("""COMPUTED_VALUE"""),-1.1844453363577732)</f>
        <v>-1.184445336</v>
      </c>
      <c r="U347" s="26">
        <f>IFERROR(__xludf.DUMMYFUNCTION("""COMPUTED_VALUE"""),-1.579221900657828)</f>
        <v>-1.579221901</v>
      </c>
      <c r="V347" s="26">
        <f>IFERROR(__xludf.DUMMYFUNCTION("""COMPUTED_VALUE"""),-0.8231258673344363)</f>
        <v>-0.8231258673</v>
      </c>
      <c r="W347" s="26">
        <f>IFERROR(__xludf.DUMMYFUNCTION("""COMPUTED_VALUE"""),-1.8918038672748931)</f>
        <v>-1.891803867</v>
      </c>
      <c r="X347" s="26">
        <f>IFERROR(__xludf.DUMMYFUNCTION("""COMPUTED_VALUE"""),-1.0953084012325582)</f>
        <v>-1.095308401</v>
      </c>
      <c r="Y347" s="26">
        <f>IFERROR(__xludf.DUMMYFUNCTION("""COMPUTED_VALUE"""),-0.13729959153221022)</f>
        <v>-0.1372995915</v>
      </c>
      <c r="Z347" s="26">
        <f>IFERROR(__xludf.DUMMYFUNCTION("""COMPUTED_VALUE"""),0.03110477546831441)</f>
        <v>0.03110477547</v>
      </c>
      <c r="AA347" s="26">
        <f>IFERROR(__xludf.DUMMYFUNCTION("""COMPUTED_VALUE"""),0.0)</f>
        <v>0</v>
      </c>
      <c r="AB347" t="str">
        <f>IFERROR(__xludf.DUMMYFUNCTION("SUBSTITUTE(REGEXREPLACE(REGEXREPLACE(REGEXREPLACE(REGEXREPLACE(REGEXREPLACE(REGEXREPLACE(F347,"","",),IF(Projections!$T$17="""",""PG"",),),IF(Projections!$U$17="""",""SG"",),),IF(Projections!$V$17="""",""SF"",),),IF(Projections!$W$17="""",""PF"",),),IF(Pr"&amp;"ojections!$X$17="""",""C"",),),""/"","""")"),"402.00")</f>
        <v>402.00</v>
      </c>
    </row>
    <row r="348">
      <c r="B348">
        <f>IFERROR(__xludf.DUMMYFUNCTION("""COMPUTED_VALUE"""),348.0)</f>
        <v>348</v>
      </c>
      <c r="D348" t="str">
        <f>IFERROR(__xludf.DUMMYFUNCTION("""COMPUTED_VALUE"""),"Malaki Branham")</f>
        <v>Malaki Branham</v>
      </c>
      <c r="E348">
        <f>IFERROR(__xludf.DUMMYFUNCTION("""COMPUTED_VALUE"""),30.0)</f>
        <v>30</v>
      </c>
      <c r="F348" t="str">
        <f>IFERROR(__xludf.DUMMYFUNCTION("""COMPUTED_VALUE"""),"SG")</f>
        <v>SG</v>
      </c>
      <c r="G348" s="26">
        <f>IFERROR(__xludf.DUMMYFUNCTION("""COMPUTED_VALUE"""),-8.902737173350367)</f>
        <v>-8.902737173</v>
      </c>
      <c r="H348" s="26">
        <f>IFERROR(__xludf.DUMMYFUNCTION("""COMPUTED_VALUE"""),-9.087985489613445)</f>
        <v>-9.08798549</v>
      </c>
      <c r="I348" s="26">
        <f>IFERROR(__xludf.DUMMYFUNCTION("""COMPUTED_VALUE"""),-0.18524831626307758)</f>
        <v>-0.1852483163</v>
      </c>
      <c r="J348" s="26">
        <f>IFERROR(__xludf.DUMMYFUNCTION("""COMPUTED_VALUE"""),8.211506849)</f>
        <v>8.211506849</v>
      </c>
      <c r="K348" s="26">
        <f>IFERROR(__xludf.DUMMYFUNCTION("""COMPUTED_VALUE"""),1.254794521)</f>
        <v>1.254794521</v>
      </c>
      <c r="L348" s="26">
        <f>IFERROR(__xludf.DUMMYFUNCTION("""COMPUTED_VALUE"""),1.424931507)</f>
        <v>1.424931507</v>
      </c>
      <c r="M348" s="26">
        <f>IFERROR(__xludf.DUMMYFUNCTION("""COMPUTED_VALUE"""),1.312465753)</f>
        <v>1.312465753</v>
      </c>
      <c r="N348" s="26">
        <f>IFERROR(__xludf.DUMMYFUNCTION("""COMPUTED_VALUE"""),0.2843835616)</f>
        <v>0.2843835616</v>
      </c>
      <c r="O348" s="26">
        <f>IFERROR(__xludf.DUMMYFUNCTION("""COMPUTED_VALUE"""),0.07739726027)</f>
        <v>0.07739726027</v>
      </c>
      <c r="P348" s="464">
        <f>IFERROR(__xludf.DUMMYFUNCTION("""COMPUTED_VALUE"""),0.4364338166)</f>
        <v>0.4364338166</v>
      </c>
      <c r="Q348" s="464">
        <f>IFERROR(__xludf.DUMMYFUNCTION("""COMPUTED_VALUE"""),0.8300825206)</f>
        <v>0.8300825206</v>
      </c>
      <c r="R348" s="26">
        <f>IFERROR(__xludf.DUMMYFUNCTION("""COMPUTED_VALUE"""),1.001643836)</f>
        <v>1.001643836</v>
      </c>
      <c r="S348" s="26">
        <f>IFERROR(__xludf.DUMMYFUNCTION("""COMPUTED_VALUE"""),-1.672260368646535)</f>
        <v>-1.672260369</v>
      </c>
      <c r="T348" s="26">
        <f>IFERROR(__xludf.DUMMYFUNCTION("""COMPUTED_VALUE"""),-0.48988587592342286)</f>
        <v>-0.4898858759</v>
      </c>
      <c r="U348" s="26">
        <f>IFERROR(__xludf.DUMMYFUNCTION("""COMPUTED_VALUE"""),-1.825660267490855)</f>
        <v>-1.825660267</v>
      </c>
      <c r="V348" s="26">
        <f>IFERROR(__xludf.DUMMYFUNCTION("""COMPUTED_VALUE"""),-1.1902366343910817)</f>
        <v>-1.190236634</v>
      </c>
      <c r="W348" s="26">
        <f>IFERROR(__xludf.DUMMYFUNCTION("""COMPUTED_VALUE"""),-2.288083916488973)</f>
        <v>-2.288083916</v>
      </c>
      <c r="X348" s="26">
        <f>IFERROR(__xludf.DUMMYFUNCTION("""COMPUTED_VALUE"""),-1.1973082159480273)</f>
        <v>-1.197308216</v>
      </c>
      <c r="Y348" s="26">
        <f>IFERROR(__xludf.DUMMYFUNCTION("""COMPUTED_VALUE"""),-0.5146225621999523)</f>
        <v>-0.5146225622</v>
      </c>
      <c r="Z348" s="26">
        <f>IFERROR(__xludf.DUMMYFUNCTION("""COMPUTED_VALUE"""),0.09007235147540182)</f>
        <v>0.09007235148</v>
      </c>
      <c r="AA348" s="26">
        <f>IFERROR(__xludf.DUMMYFUNCTION("""COMPUTED_VALUE"""),0.0)</f>
        <v>0</v>
      </c>
      <c r="AB348" t="str">
        <f>IFERROR(__xludf.DUMMYFUNCTION("SUBSTITUTE(REGEXREPLACE(REGEXREPLACE(REGEXREPLACE(REGEXREPLACE(REGEXREPLACE(REGEXREPLACE(F348,"","",),IF(Projections!$T$17="""",""PG"",),),IF(Projections!$U$17="""",""SG"",),),IF(Projections!$V$17="""",""SF"",),),IF(Projections!$W$17="""",""PF"",),),IF(Pr"&amp;"ojections!$X$17="""",""C"",),),""/"","""")"),"SG")</f>
        <v>SG</v>
      </c>
    </row>
    <row r="349">
      <c r="B349">
        <f>IFERROR(__xludf.DUMMYFUNCTION("""COMPUTED_VALUE"""),342.0)</f>
        <v>342</v>
      </c>
      <c r="D349" t="str">
        <f>IFERROR(__xludf.DUMMYFUNCTION("""COMPUTED_VALUE"""),"Julian Phillips")</f>
        <v>Julian Phillips</v>
      </c>
      <c r="E349">
        <f>IFERROR(__xludf.DUMMYFUNCTION("""COMPUTED_VALUE"""),20.0)</f>
        <v>20</v>
      </c>
      <c r="F349" t="str">
        <f>IFERROR(__xludf.DUMMYFUNCTION("""COMPUTED_VALUE"""),"SG,SF")</f>
        <v>SG,SF</v>
      </c>
      <c r="G349" s="26">
        <f>IFERROR(__xludf.DUMMYFUNCTION("""COMPUTED_VALUE"""),-8.769520394167987)</f>
        <v>-8.769520394</v>
      </c>
      <c r="H349" s="26">
        <f>IFERROR(__xludf.DUMMYFUNCTION("""COMPUTED_VALUE"""),-9.089732138108898)</f>
        <v>-9.089732138</v>
      </c>
      <c r="I349" s="26">
        <f>IFERROR(__xludf.DUMMYFUNCTION("""COMPUTED_VALUE"""),-0.3202117439409111)</f>
        <v>-0.3202117439</v>
      </c>
      <c r="J349" s="26">
        <f>IFERROR(__xludf.DUMMYFUNCTION("""COMPUTED_VALUE"""),5.883287671)</f>
        <v>5.883287671</v>
      </c>
      <c r="K349" s="26">
        <f>IFERROR(__xludf.DUMMYFUNCTION("""COMPUTED_VALUE"""),0.5824657534)</f>
        <v>0.5824657534</v>
      </c>
      <c r="L349" s="26">
        <f>IFERROR(__xludf.DUMMYFUNCTION("""COMPUTED_VALUE"""),2.613287671)</f>
        <v>2.613287671</v>
      </c>
      <c r="M349" s="26">
        <f>IFERROR(__xludf.DUMMYFUNCTION("""COMPUTED_VALUE"""),0.5553424658)</f>
        <v>0.5553424658</v>
      </c>
      <c r="N349" s="26">
        <f>IFERROR(__xludf.DUMMYFUNCTION("""COMPUTED_VALUE"""),0.3779452055)</f>
        <v>0.3779452055</v>
      </c>
      <c r="O349" s="26">
        <f>IFERROR(__xludf.DUMMYFUNCTION("""COMPUTED_VALUE"""),0.3920547945)</f>
        <v>0.3920547945</v>
      </c>
      <c r="P349" s="464">
        <f>IFERROR(__xludf.DUMMYFUNCTION("""COMPUTED_VALUE"""),0.4456653751)</f>
        <v>0.4456653751</v>
      </c>
      <c r="Q349" s="464">
        <f>IFERROR(__xludf.DUMMYFUNCTION("""COMPUTED_VALUE"""),0.7850019944)</f>
        <v>0.7850019944</v>
      </c>
      <c r="R349" s="26">
        <f>IFERROR(__xludf.DUMMYFUNCTION("""COMPUTED_VALUE"""),0.4573972603)</f>
        <v>0.4573972603</v>
      </c>
      <c r="S349" s="26">
        <f>IFERROR(__xludf.DUMMYFUNCTION("""COMPUTED_VALUE"""),-2.0919350037086546)</f>
        <v>-2.091935004</v>
      </c>
      <c r="T349" s="26">
        <f>IFERROR(__xludf.DUMMYFUNCTION("""COMPUTED_VALUE"""),-1.1567879681230957)</f>
        <v>-1.156787968</v>
      </c>
      <c r="U349" s="26">
        <f>IFERROR(__xludf.DUMMYFUNCTION("""COMPUTED_VALUE"""),-1.3599351726786055)</f>
        <v>-1.359935173</v>
      </c>
      <c r="V349" s="26">
        <f>IFERROR(__xludf.DUMMYFUNCTION("""COMPUTED_VALUE"""),-1.5340753998205916)</f>
        <v>-1.5340754</v>
      </c>
      <c r="W349" s="26">
        <f>IFERROR(__xludf.DUMMYFUNCTION("""COMPUTED_VALUE"""),-1.978552678187135)</f>
        <v>-1.978552678</v>
      </c>
      <c r="X349" s="26">
        <f>IFERROR(__xludf.DUMMYFUNCTION("""COMPUTED_VALUE"""),-0.6360699897552757)</f>
        <v>-0.6360699898</v>
      </c>
      <c r="Y349" s="26">
        <f>IFERROR(__xludf.DUMMYFUNCTION("""COMPUTED_VALUE"""),-0.28422317239010836)</f>
        <v>-0.2842231724</v>
      </c>
      <c r="Z349" s="26">
        <f>IFERROR(__xludf.DUMMYFUNCTION("""COMPUTED_VALUE"""),-0.04815275344543147)</f>
        <v>-0.04815275345</v>
      </c>
      <c r="AA349" s="26">
        <f>IFERROR(__xludf.DUMMYFUNCTION("""COMPUTED_VALUE"""),0.0)</f>
        <v>0</v>
      </c>
      <c r="AB349" t="str">
        <f>IFERROR(__xludf.DUMMYFUNCTION("SUBSTITUTE(REGEXREPLACE(REGEXREPLACE(REGEXREPLACE(REGEXREPLACE(REGEXREPLACE(REGEXREPLACE(F349,"","",),IF(Projections!$T$17="""",""PG"",),),IF(Projections!$U$17="""",""SG"",),),IF(Projections!$V$17="""",""SF"",),),IF(Projections!$W$17="""",""PF"",),),IF(Pr"&amp;"ojections!$X$17="""",""C"",),),""/"","""")"),"SGSF")</f>
        <v>SGSF</v>
      </c>
    </row>
    <row r="350">
      <c r="B350">
        <f>IFERROR(__xludf.DUMMYFUNCTION("""COMPUTED_VALUE"""),345.0)</f>
        <v>345</v>
      </c>
      <c r="D350" t="str">
        <f>IFERROR(__xludf.DUMMYFUNCTION("""COMPUTED_VALUE"""),"Jordan McLaughlin")</f>
        <v>Jordan McLaughlin</v>
      </c>
      <c r="F350" t="str">
        <f>IFERROR(__xludf.DUMMYFUNCTION("""COMPUTED_VALUE"""),"413.00")</f>
        <v>413.00</v>
      </c>
      <c r="G350" s="26">
        <f>IFERROR(__xludf.DUMMYFUNCTION("""COMPUTED_VALUE"""),-8.760303909040385)</f>
        <v>-8.760303909</v>
      </c>
      <c r="H350" s="26">
        <f>IFERROR(__xludf.DUMMYFUNCTION("""COMPUTED_VALUE"""),-9.092196390861941)</f>
        <v>-9.092196391</v>
      </c>
      <c r="I350" s="26">
        <f>IFERROR(__xludf.DUMMYFUNCTION("""COMPUTED_VALUE"""),-0.33189248182155673)</f>
        <v>-0.3318924818</v>
      </c>
      <c r="J350" s="26">
        <f>IFERROR(__xludf.DUMMYFUNCTION("""COMPUTED_VALUE"""),3.283529412)</f>
        <v>3.283529412</v>
      </c>
      <c r="K350" s="26">
        <f>IFERROR(__xludf.DUMMYFUNCTION("""COMPUTED_VALUE"""),0.6032352941)</f>
        <v>0.6032352941</v>
      </c>
      <c r="L350" s="26">
        <f>IFERROR(__xludf.DUMMYFUNCTION("""COMPUTED_VALUE"""),1.367647059)</f>
        <v>1.367647059</v>
      </c>
      <c r="M350" s="26">
        <f>IFERROR(__xludf.DUMMYFUNCTION("""COMPUTED_VALUE"""),2.514852941)</f>
        <v>2.514852941</v>
      </c>
      <c r="N350" s="26">
        <f>IFERROR(__xludf.DUMMYFUNCTION("""COMPUTED_VALUE"""),0.5470588235)</f>
        <v>0.5470588235</v>
      </c>
      <c r="O350" s="26">
        <f>IFERROR(__xludf.DUMMYFUNCTION("""COMPUTED_VALUE"""),0.1094117647)</f>
        <v>0.1094117647</v>
      </c>
      <c r="P350" s="464">
        <f>IFERROR(__xludf.DUMMYFUNCTION("""COMPUTED_VALUE"""),0.4142220857)</f>
        <v>0.4142220857</v>
      </c>
      <c r="Q350" s="464">
        <f>IFERROR(__xludf.DUMMYFUNCTION("""COMPUTED_VALUE"""),0.7478960849)</f>
        <v>0.7478960849</v>
      </c>
      <c r="R350" s="26">
        <f>IFERROR(__xludf.DUMMYFUNCTION("""COMPUTED_VALUE"""),0.4102941176)</f>
        <v>0.4102941176</v>
      </c>
      <c r="S350" s="26">
        <f>IFERROR(__xludf.DUMMYFUNCTION("""COMPUTED_VALUE"""),-2.5605560892598866)</f>
        <v>-2.560556089</v>
      </c>
      <c r="T350" s="26">
        <f>IFERROR(__xludf.DUMMYFUNCTION("""COMPUTED_VALUE"""),-1.1361860679600237)</f>
        <v>-1.136186068</v>
      </c>
      <c r="U350" s="26">
        <f>IFERROR(__xludf.DUMMYFUNCTION("""COMPUTED_VALUE"""),-1.8481104434433797)</f>
        <v>-1.848110443</v>
      </c>
      <c r="V350" s="26">
        <f>IFERROR(__xludf.DUMMYFUNCTION("""COMPUTED_VALUE"""),-0.6441864292532622)</f>
        <v>-0.6441864293</v>
      </c>
      <c r="W350" s="26">
        <f>IFERROR(__xludf.DUMMYFUNCTION("""COMPUTED_VALUE"""),-1.4190718331392211)</f>
        <v>-1.419071833</v>
      </c>
      <c r="X350" s="26">
        <f>IFERROR(__xludf.DUMMYFUNCTION("""COMPUTED_VALUE"""),-1.1402056147892716)</f>
        <v>-1.140205615</v>
      </c>
      <c r="Y350" s="26">
        <f>IFERROR(__xludf.DUMMYFUNCTION("""COMPUTED_VALUE"""),-0.2774001895579438)</f>
        <v>-0.2774001896</v>
      </c>
      <c r="Z350" s="26">
        <f>IFERROR(__xludf.DUMMYFUNCTION("""COMPUTED_VALUE"""),-0.06647972345895177)</f>
        <v>-0.06647972346</v>
      </c>
      <c r="AA350" s="26">
        <f>IFERROR(__xludf.DUMMYFUNCTION("""COMPUTED_VALUE"""),0.0)</f>
        <v>0</v>
      </c>
      <c r="AB350" t="str">
        <f>IFERROR(__xludf.DUMMYFUNCTION("SUBSTITUTE(REGEXREPLACE(REGEXREPLACE(REGEXREPLACE(REGEXREPLACE(REGEXREPLACE(REGEXREPLACE(F350,"","",),IF(Projections!$T$17="""",""PG"",),),IF(Projections!$U$17="""",""SG"",),),IF(Projections!$V$17="""",""SF"",),),IF(Projections!$W$17="""",""PF"",),),IF(Pr"&amp;"ojections!$X$17="""",""C"",),),""/"","""")"),"413.00")</f>
        <v>413.00</v>
      </c>
    </row>
    <row r="351">
      <c r="B351">
        <f>IFERROR(__xludf.DUMMYFUNCTION("""COMPUTED_VALUE"""),346.0)</f>
        <v>346</v>
      </c>
      <c r="D351" t="str">
        <f>IFERROR(__xludf.DUMMYFUNCTION("""COMPUTED_VALUE"""),"Damion Lee")</f>
        <v>Damion Lee</v>
      </c>
      <c r="F351" t="str">
        <f>IFERROR(__xludf.DUMMYFUNCTION("""COMPUTED_VALUE"""),"403.00")</f>
        <v>403.00</v>
      </c>
      <c r="G351" s="26">
        <f>IFERROR(__xludf.DUMMYFUNCTION("""COMPUTED_VALUE"""),-8.844768848031265)</f>
        <v>-8.844768848</v>
      </c>
      <c r="H351" s="26">
        <f>IFERROR(__xludf.DUMMYFUNCTION("""COMPUTED_VALUE"""),-9.133750695746363)</f>
        <v>-9.133750696</v>
      </c>
      <c r="I351" s="26">
        <f>IFERROR(__xludf.DUMMYFUNCTION("""COMPUTED_VALUE"""),-0.28898184771509783)</f>
        <v>-0.2889818477</v>
      </c>
      <c r="J351" s="26">
        <f>IFERROR(__xludf.DUMMYFUNCTION("""COMPUTED_VALUE"""),5.054615385)</f>
        <v>5.054615385</v>
      </c>
      <c r="K351" s="26">
        <f>IFERROR(__xludf.DUMMYFUNCTION("""COMPUTED_VALUE"""),0.8351282051)</f>
        <v>0.8351282051</v>
      </c>
      <c r="L351" s="26">
        <f>IFERROR(__xludf.DUMMYFUNCTION("""COMPUTED_VALUE"""),2.1)</f>
        <v>2.1</v>
      </c>
      <c r="M351" s="26">
        <f>IFERROR(__xludf.DUMMYFUNCTION("""COMPUTED_VALUE"""),0.7887179487)</f>
        <v>0.7887179487</v>
      </c>
      <c r="N351" s="26">
        <f>IFERROR(__xludf.DUMMYFUNCTION("""COMPUTED_VALUE"""),0.4082051282)</f>
        <v>0.4082051282</v>
      </c>
      <c r="O351" s="26">
        <f>IFERROR(__xludf.DUMMYFUNCTION("""COMPUTED_VALUE"""),0.1166666667)</f>
        <v>0.1166666667</v>
      </c>
      <c r="P351" s="464">
        <f>IFERROR(__xludf.DUMMYFUNCTION("""COMPUTED_VALUE"""),0.4388161639)</f>
        <v>0.4388161639</v>
      </c>
      <c r="Q351" s="464">
        <f>IFERROR(__xludf.DUMMYFUNCTION("""COMPUTED_VALUE"""),0.9058327477)</f>
        <v>0.9058327477</v>
      </c>
      <c r="R351" s="26">
        <f>IFERROR(__xludf.DUMMYFUNCTION("""COMPUTED_VALUE"""),0.5833333333)</f>
        <v>0.5833333333</v>
      </c>
      <c r="S351" s="26">
        <f>IFERROR(__xludf.DUMMYFUNCTION("""COMPUTED_VALUE"""),-2.2413078559295045)</f>
        <v>-2.241307856</v>
      </c>
      <c r="T351" s="26">
        <f>IFERROR(__xludf.DUMMYFUNCTION("""COMPUTED_VALUE"""),-0.906164871538185)</f>
        <v>-0.9061648715</v>
      </c>
      <c r="U351" s="26">
        <f>IFERROR(__xludf.DUMMYFUNCTION("""COMPUTED_VALUE"""),-1.5610962020772243)</f>
        <v>-1.561096202</v>
      </c>
      <c r="V351" s="26">
        <f>IFERROR(__xludf.DUMMYFUNCTION("""COMPUTED_VALUE"""),-1.4280906292046869)</f>
        <v>-1.428090629</v>
      </c>
      <c r="W351" s="26">
        <f>IFERROR(__xludf.DUMMYFUNCTION("""COMPUTED_VALUE"""),-1.8784433710627344)</f>
        <v>-1.878443371</v>
      </c>
      <c r="X351" s="26">
        <f>IFERROR(__xludf.DUMMYFUNCTION("""COMPUTED_VALUE"""),-1.127265424624602)</f>
        <v>-1.127265425</v>
      </c>
      <c r="Y351" s="26">
        <f>IFERROR(__xludf.DUMMYFUNCTION("""COMPUTED_VALUE"""),-0.2755683342190571)</f>
        <v>-0.2755683342</v>
      </c>
      <c r="Z351" s="26">
        <f>IFERROR(__xludf.DUMMYFUNCTION("""COMPUTED_VALUE"""),0.2841859929096315)</f>
        <v>0.2841859929</v>
      </c>
      <c r="AA351" s="26">
        <f>IFERROR(__xludf.DUMMYFUNCTION("""COMPUTED_VALUE"""),0.0)</f>
        <v>0</v>
      </c>
      <c r="AB351" t="str">
        <f>IFERROR(__xludf.DUMMYFUNCTION("SUBSTITUTE(REGEXREPLACE(REGEXREPLACE(REGEXREPLACE(REGEXREPLACE(REGEXREPLACE(REGEXREPLACE(F351,"","",),IF(Projections!$T$17="""",""PG"",),),IF(Projections!$U$17="""",""SG"",),),IF(Projections!$V$17="""",""SF"",),),IF(Projections!$W$17="""",""PF"",),),IF(Pr"&amp;"ojections!$X$17="""",""C"",),),""/"","""")"),"403.00")</f>
        <v>403.00</v>
      </c>
    </row>
    <row r="352">
      <c r="B352">
        <f>IFERROR(__xludf.DUMMYFUNCTION("""COMPUTED_VALUE"""),350.0)</f>
        <v>350</v>
      </c>
      <c r="D352" t="str">
        <f>IFERROR(__xludf.DUMMYFUNCTION("""COMPUTED_VALUE"""),"Kobe Brown")</f>
        <v>Kobe Brown</v>
      </c>
      <c r="F352" t="str">
        <f>IFERROR(__xludf.DUMMYFUNCTION("""COMPUTED_VALUE"""),"405.00")</f>
        <v>405.00</v>
      </c>
      <c r="G352" s="26">
        <f>IFERROR(__xludf.DUMMYFUNCTION("""COMPUTED_VALUE"""),-8.855110570580969)</f>
        <v>-8.855110571</v>
      </c>
      <c r="H352" s="26">
        <f>IFERROR(__xludf.DUMMYFUNCTION("""COMPUTED_VALUE"""),-9.167237417532053)</f>
        <v>-9.167237418</v>
      </c>
      <c r="I352" s="26">
        <f>IFERROR(__xludf.DUMMYFUNCTION("""COMPUTED_VALUE"""),-0.3121268469510845)</f>
        <v>-0.312126847</v>
      </c>
      <c r="J352" s="26">
        <f>IFERROR(__xludf.DUMMYFUNCTION("""COMPUTED_VALUE"""),5.190273973)</f>
        <v>5.190273973</v>
      </c>
      <c r="K352" s="26">
        <f>IFERROR(__xludf.DUMMYFUNCTION("""COMPUTED_VALUE"""),0.6653424658)</f>
        <v>0.6653424658</v>
      </c>
      <c r="L352" s="26">
        <f>IFERROR(__xludf.DUMMYFUNCTION("""COMPUTED_VALUE"""),2.613287671)</f>
        <v>2.613287671</v>
      </c>
      <c r="M352" s="26">
        <f>IFERROR(__xludf.DUMMYFUNCTION("""COMPUTED_VALUE"""),1.010958904)</f>
        <v>1.010958904</v>
      </c>
      <c r="N352" s="26">
        <f>IFERROR(__xludf.DUMMYFUNCTION("""COMPUTED_VALUE"""),0.4883561644)</f>
        <v>0.4883561644</v>
      </c>
      <c r="O352" s="26">
        <f>IFERROR(__xludf.DUMMYFUNCTION("""COMPUTED_VALUE"""),0.228630137)</f>
        <v>0.228630137</v>
      </c>
      <c r="P352" s="464">
        <f>IFERROR(__xludf.DUMMYFUNCTION("""COMPUTED_VALUE"""),0.4423716558)</f>
        <v>0.4423716558</v>
      </c>
      <c r="Q352" s="464">
        <f>IFERROR(__xludf.DUMMYFUNCTION("""COMPUTED_VALUE"""),0.6143396226)</f>
        <v>0.6143396226</v>
      </c>
      <c r="R352" s="26">
        <f>IFERROR(__xludf.DUMMYFUNCTION("""COMPUTED_VALUE"""),0.49)</f>
        <v>0.49</v>
      </c>
      <c r="S352" s="26">
        <f>IFERROR(__xludf.DUMMYFUNCTION("""COMPUTED_VALUE"""),-2.2168546304987062)</f>
        <v>-2.21685463</v>
      </c>
      <c r="T352" s="26">
        <f>IFERROR(__xludf.DUMMYFUNCTION("""COMPUTED_VALUE"""),-1.0745801918717697)</f>
        <v>-1.074580192</v>
      </c>
      <c r="U352" s="26">
        <f>IFERROR(__xludf.DUMMYFUNCTION("""COMPUTED_VALUE"""),-1.3599351726786055)</f>
        <v>-1.359935173</v>
      </c>
      <c r="V352" s="26">
        <f>IFERROR(__xludf.DUMMYFUNCTION("""COMPUTED_VALUE"""),-1.3271624752433608)</f>
        <v>-1.327162475</v>
      </c>
      <c r="W352" s="26">
        <f>IFERROR(__xludf.DUMMYFUNCTION("""COMPUTED_VALUE"""),-1.6132786256390872)</f>
        <v>-1.613278626</v>
      </c>
      <c r="X352" s="26">
        <f>IFERROR(__xludf.DUMMYFUNCTION("""COMPUTED_VALUE"""),-0.9275620244713896)</f>
        <v>-0.9275620245</v>
      </c>
      <c r="Y352" s="26">
        <f>IFERROR(__xludf.DUMMYFUNCTION("""COMPUTED_VALUE"""),-0.3023110152154807)</f>
        <v>-0.3023110152</v>
      </c>
      <c r="Z352" s="26">
        <f>IFERROR(__xludf.DUMMYFUNCTION("""COMPUTED_VALUE"""),-0.34555328191365436)</f>
        <v>-0.3455532819</v>
      </c>
      <c r="AA352" s="26">
        <f>IFERROR(__xludf.DUMMYFUNCTION("""COMPUTED_VALUE"""),0.0)</f>
        <v>0</v>
      </c>
      <c r="AB352" t="str">
        <f>IFERROR(__xludf.DUMMYFUNCTION("SUBSTITUTE(REGEXREPLACE(REGEXREPLACE(REGEXREPLACE(REGEXREPLACE(REGEXREPLACE(REGEXREPLACE(F352,"","",),IF(Projections!$T$17="""",""PG"",),),IF(Projections!$U$17="""",""SG"",),),IF(Projections!$V$17="""",""SF"",),),IF(Projections!$W$17="""",""PF"",),),IF(Pr"&amp;"ojections!$X$17="""",""C"",),),""/"","""")"),"405.00")</f>
        <v>405.00</v>
      </c>
    </row>
    <row r="353">
      <c r="B353">
        <f>IFERROR(__xludf.DUMMYFUNCTION("""COMPUTED_VALUE"""),347.0)</f>
        <v>347</v>
      </c>
      <c r="D353" t="str">
        <f>IFERROR(__xludf.DUMMYFUNCTION("""COMPUTED_VALUE"""),"Duop Reath")</f>
        <v>Duop Reath</v>
      </c>
      <c r="F353" t="str">
        <f>IFERROR(__xludf.DUMMYFUNCTION("""COMPUTED_VALUE"""),"404.00")</f>
        <v>404.00</v>
      </c>
      <c r="G353" s="26">
        <f>IFERROR(__xludf.DUMMYFUNCTION("""COMPUTED_VALUE"""),-8.872408572638683)</f>
        <v>-8.872408573</v>
      </c>
      <c r="H353" s="26">
        <f>IFERROR(__xludf.DUMMYFUNCTION("""COMPUTED_VALUE"""),-9.180964476849226)</f>
        <v>-9.180964477</v>
      </c>
      <c r="I353" s="26">
        <f>IFERROR(__xludf.DUMMYFUNCTION("""COMPUTED_VALUE"""),-0.308555904210543)</f>
        <v>-0.3085559042</v>
      </c>
      <c r="J353" s="26">
        <f>IFERROR(__xludf.DUMMYFUNCTION("""COMPUTED_VALUE"""),5.488)</f>
        <v>5.488</v>
      </c>
      <c r="K353" s="26">
        <f>IFERROR(__xludf.DUMMYFUNCTION("""COMPUTED_VALUE"""),0.7328)</f>
        <v>0.7328</v>
      </c>
      <c r="L353" s="26">
        <f>IFERROR(__xludf.DUMMYFUNCTION("""COMPUTED_VALUE"""),2.5244)</f>
        <v>2.5244</v>
      </c>
      <c r="M353" s="26">
        <f>IFERROR(__xludf.DUMMYFUNCTION("""COMPUTED_VALUE"""),0.576)</f>
        <v>0.576</v>
      </c>
      <c r="N353" s="26">
        <f>IFERROR(__xludf.DUMMYFUNCTION("""COMPUTED_VALUE"""),0.3092)</f>
        <v>0.3092</v>
      </c>
      <c r="O353" s="26">
        <f>IFERROR(__xludf.DUMMYFUNCTION("""COMPUTED_VALUE"""),0.4048)</f>
        <v>0.4048</v>
      </c>
      <c r="P353" s="464">
        <f>IFERROR(__xludf.DUMMYFUNCTION("""COMPUTED_VALUE"""),0.4609978918)</f>
        <v>0.4609978918</v>
      </c>
      <c r="Q353" s="464">
        <f>IFERROR(__xludf.DUMMYFUNCTION("""COMPUTED_VALUE"""),0.7639956092)</f>
        <v>0.7639956092</v>
      </c>
      <c r="R353" s="26">
        <f>IFERROR(__xludf.DUMMYFUNCTION("""COMPUTED_VALUE"""),0.5044)</f>
        <v>0.5044</v>
      </c>
      <c r="S353" s="26">
        <f>IFERROR(__xludf.DUMMYFUNCTION("""COMPUTED_VALUE"""),-2.163187835331658)</f>
        <v>-2.163187835</v>
      </c>
      <c r="T353" s="26">
        <f>IFERROR(__xludf.DUMMYFUNCTION("""COMPUTED_VALUE"""),-1.0076671385255587)</f>
        <v>-1.007667139</v>
      </c>
      <c r="U353" s="26">
        <f>IFERROR(__xludf.DUMMYFUNCTION("""COMPUTED_VALUE"""),-1.3947708728316406)</f>
        <v>-1.394770873</v>
      </c>
      <c r="V353" s="26">
        <f>IFERROR(__xludf.DUMMYFUNCTION("""COMPUTED_VALUE"""),-1.5246940200952184)</f>
        <v>-1.52469402</v>
      </c>
      <c r="W353" s="26">
        <f>IFERROR(__xludf.DUMMYFUNCTION("""COMPUTED_VALUE"""),-2.205983361304165)</f>
        <v>-2.205983361</v>
      </c>
      <c r="X353" s="26">
        <f>IFERROR(__xludf.DUMMYFUNCTION("""COMPUTED_VALUE"""),-0.6133370317004607)</f>
        <v>-0.6133370317</v>
      </c>
      <c r="Y353" s="26">
        <f>IFERROR(__xludf.DUMMYFUNCTION("""COMPUTED_VALUE"""),-0.19199425566391562)</f>
        <v>-0.1919942557</v>
      </c>
      <c r="Z353" s="26">
        <f>IFERROR(__xludf.DUMMYFUNCTION("""COMPUTED_VALUE"""),-0.07932996139660996)</f>
        <v>-0.0793299614</v>
      </c>
      <c r="AA353" s="26">
        <f>IFERROR(__xludf.DUMMYFUNCTION("""COMPUTED_VALUE"""),0.0)</f>
        <v>0</v>
      </c>
      <c r="AB353" t="str">
        <f>IFERROR(__xludf.DUMMYFUNCTION("SUBSTITUTE(REGEXREPLACE(REGEXREPLACE(REGEXREPLACE(REGEXREPLACE(REGEXREPLACE(REGEXREPLACE(F353,"","",),IF(Projections!$T$17="""",""PG"",),),IF(Projections!$U$17="""",""SG"",),),IF(Projections!$V$17="""",""SF"",),),IF(Projections!$W$17="""",""PF"",),),IF(Pr"&amp;"ojections!$X$17="""",""C"",),),""/"","""")"),"404.00")</f>
        <v>404.00</v>
      </c>
    </row>
    <row r="354">
      <c r="B354">
        <f>IFERROR(__xludf.DUMMYFUNCTION("""COMPUTED_VALUE"""),351.0)</f>
        <v>351</v>
      </c>
      <c r="D354" t="str">
        <f>IFERROR(__xludf.DUMMYFUNCTION("""COMPUTED_VALUE"""),"Lindy Waters III")</f>
        <v>Lindy Waters III</v>
      </c>
      <c r="F354" t="str">
        <f>IFERROR(__xludf.DUMMYFUNCTION("""COMPUTED_VALUE"""),"411.00")</f>
        <v>411.00</v>
      </c>
      <c r="G354" s="26">
        <f>IFERROR(__xludf.DUMMYFUNCTION("""COMPUTED_VALUE"""),-8.881478318447353)</f>
        <v>-8.881478318</v>
      </c>
      <c r="H354" s="26">
        <f>IFERROR(__xludf.DUMMYFUNCTION("""COMPUTED_VALUE"""),-9.235551079689674)</f>
        <v>-9.23555108</v>
      </c>
      <c r="I354" s="26">
        <f>IFERROR(__xludf.DUMMYFUNCTION("""COMPUTED_VALUE"""),-0.3540727612423211)</f>
        <v>-0.3540727612</v>
      </c>
      <c r="J354" s="26">
        <f>IFERROR(__xludf.DUMMYFUNCTION("""COMPUTED_VALUE"""),5.247021277)</f>
        <v>5.247021277</v>
      </c>
      <c r="K354" s="26">
        <f>IFERROR(__xludf.DUMMYFUNCTION("""COMPUTED_VALUE"""),1.266595745)</f>
        <v>1.266595745</v>
      </c>
      <c r="L354" s="26">
        <f>IFERROR(__xludf.DUMMYFUNCTION("""COMPUTED_VALUE"""),1.604255319)</f>
        <v>1.604255319</v>
      </c>
      <c r="M354" s="26">
        <f>IFERROR(__xludf.DUMMYFUNCTION("""COMPUTED_VALUE"""),0.6576595745)</f>
        <v>0.6576595745</v>
      </c>
      <c r="N354" s="26">
        <f>IFERROR(__xludf.DUMMYFUNCTION("""COMPUTED_VALUE"""),0.319787234)</f>
        <v>0.319787234</v>
      </c>
      <c r="O354" s="26">
        <f>IFERROR(__xludf.DUMMYFUNCTION("""COMPUTED_VALUE"""),0.2065957447)</f>
        <v>0.2065957447</v>
      </c>
      <c r="P354" s="464">
        <f>IFERROR(__xludf.DUMMYFUNCTION("""COMPUTED_VALUE"""),0.4582409079)</f>
        <v>0.4582409079</v>
      </c>
      <c r="Q354" s="464">
        <f>IFERROR(__xludf.DUMMYFUNCTION("""COMPUTED_VALUE"""),0.8148788927)</f>
        <v>0.8148788927</v>
      </c>
      <c r="R354" s="26">
        <f>IFERROR(__xludf.DUMMYFUNCTION("""COMPUTED_VALUE"""),0.3208510638)</f>
        <v>0.3208510638</v>
      </c>
      <c r="S354" s="26">
        <f>IFERROR(__xludf.DUMMYFUNCTION("""COMPUTED_VALUE"""),-2.206625608969291)</f>
        <v>-2.206625609</v>
      </c>
      <c r="T354" s="26">
        <f>IFERROR(__xludf.DUMMYFUNCTION("""COMPUTED_VALUE"""),-0.4781799050422253)</f>
        <v>-0.478179905</v>
      </c>
      <c r="U354" s="26">
        <f>IFERROR(__xludf.DUMMYFUNCTION("""COMPUTED_VALUE"""),-1.7553820109581664)</f>
        <v>-1.755382011</v>
      </c>
      <c r="V354" s="26">
        <f>IFERROR(__xludf.DUMMYFUNCTION("""COMPUTED_VALUE"""),-1.4876092708129496)</f>
        <v>-1.487609271</v>
      </c>
      <c r="W354" s="26">
        <f>IFERROR(__xludf.DUMMYFUNCTION("""COMPUTED_VALUE"""),-2.170957473412393)</f>
        <v>-2.170957473</v>
      </c>
      <c r="X354" s="26">
        <f>IFERROR(__xludf.DUMMYFUNCTION("""COMPUTED_VALUE"""),-0.9668636203475204)</f>
        <v>-0.9668636203</v>
      </c>
      <c r="Y354" s="26">
        <f>IFERROR(__xludf.DUMMYFUNCTION("""COMPUTED_VALUE"""),-0.18712710626385165)</f>
        <v>-0.1871271063</v>
      </c>
      <c r="Z354" s="26">
        <f>IFERROR(__xludf.DUMMYFUNCTION("""COMPUTED_VALUE"""),0.017193916116722576)</f>
        <v>0.01719391612</v>
      </c>
      <c r="AA354" s="26">
        <f>IFERROR(__xludf.DUMMYFUNCTION("""COMPUTED_VALUE"""),0.0)</f>
        <v>0</v>
      </c>
      <c r="AB354" t="str">
        <f>IFERROR(__xludf.DUMMYFUNCTION("SUBSTITUTE(REGEXREPLACE(REGEXREPLACE(REGEXREPLACE(REGEXREPLACE(REGEXREPLACE(REGEXREPLACE(F354,"","",),IF(Projections!$T$17="""",""PG"",),),IF(Projections!$U$17="""",""SG"",),),IF(Projections!$V$17="""",""SF"",),),IF(Projections!$W$17="""",""PF"",),),IF(Pr"&amp;"ojections!$X$17="""",""C"",),),""/"","""")"),"411.00")</f>
        <v>411.00</v>
      </c>
    </row>
    <row r="355">
      <c r="B355">
        <f>IFERROR(__xludf.DUMMYFUNCTION("""COMPUTED_VALUE"""),337.0)</f>
        <v>337</v>
      </c>
      <c r="D355" t="str">
        <f>IFERROR(__xludf.DUMMYFUNCTION("""COMPUTED_VALUE"""),"DeAndre Jordan")</f>
        <v>DeAndre Jordan</v>
      </c>
      <c r="E355">
        <f>IFERROR(__xludf.DUMMYFUNCTION("""COMPUTED_VALUE"""),48.0)</f>
        <v>48</v>
      </c>
      <c r="F355" t="str">
        <f>IFERROR(__xludf.DUMMYFUNCTION("""COMPUTED_VALUE"""),"SF,PF")</f>
        <v>SF,PF</v>
      </c>
      <c r="G355" s="26">
        <f>IFERROR(__xludf.DUMMYFUNCTION("""COMPUTED_VALUE"""),-9.041022152310179)</f>
        <v>-9.041022152</v>
      </c>
      <c r="H355" s="26">
        <f>IFERROR(__xludf.DUMMYFUNCTION("""COMPUTED_VALUE"""),-9.239932328090648)</f>
        <v>-9.239932328</v>
      </c>
      <c r="I355" s="26">
        <f>IFERROR(__xludf.DUMMYFUNCTION("""COMPUTED_VALUE"""),-0.198910175780469)</f>
        <v>-0.1989101758</v>
      </c>
      <c r="J355" s="26">
        <f>IFERROR(__xludf.DUMMYFUNCTION("""COMPUTED_VALUE"""),4.38137931)</f>
        <v>4.38137931</v>
      </c>
      <c r="K355" s="26">
        <f>IFERROR(__xludf.DUMMYFUNCTION("""COMPUTED_VALUE"""),0.0)</f>
        <v>0</v>
      </c>
      <c r="L355" s="26">
        <f>IFERROR(__xludf.DUMMYFUNCTION("""COMPUTED_VALUE"""),5.116551724)</f>
        <v>5.116551724</v>
      </c>
      <c r="M355" s="26">
        <f>IFERROR(__xludf.DUMMYFUNCTION("""COMPUTED_VALUE"""),0.7844827586)</f>
        <v>0.7844827586</v>
      </c>
      <c r="N355" s="26">
        <f>IFERROR(__xludf.DUMMYFUNCTION("""COMPUTED_VALUE"""),0.2272413793)</f>
        <v>0.2272413793</v>
      </c>
      <c r="O355" s="26">
        <f>IFERROR(__xludf.DUMMYFUNCTION("""COMPUTED_VALUE"""),0.6024137931)</f>
        <v>0.6024137931</v>
      </c>
      <c r="P355" s="464">
        <f>IFERROR(__xludf.DUMMYFUNCTION("""COMPUTED_VALUE"""),0.6340229885)</f>
        <v>0.6340229885</v>
      </c>
      <c r="Q355" s="464">
        <f>IFERROR(__xludf.DUMMYFUNCTION("""COMPUTED_VALUE"""),0.5198757764)</f>
        <v>0.5198757764</v>
      </c>
      <c r="R355" s="26">
        <f>IFERROR(__xludf.DUMMYFUNCTION("""COMPUTED_VALUE"""),0.9465517241)</f>
        <v>0.9465517241</v>
      </c>
      <c r="S355" s="26">
        <f>IFERROR(__xludf.DUMMYFUNCTION("""COMPUTED_VALUE"""),-2.3626624546528894)</f>
        <v>-2.362662455</v>
      </c>
      <c r="T355" s="26">
        <f>IFERROR(__xludf.DUMMYFUNCTION("""COMPUTED_VALUE"""),-1.7345523719336797)</f>
        <v>-1.734552372</v>
      </c>
      <c r="U355" s="26">
        <f>IFERROR(__xludf.DUMMYFUNCTION("""COMPUTED_VALUE"""),-0.3788884766280425)</f>
        <v>-0.3788884766</v>
      </c>
      <c r="V355" s="26">
        <f>IFERROR(__xludf.DUMMYFUNCTION("""COMPUTED_VALUE"""),-1.4300139917005474)</f>
        <v>-1.430013992</v>
      </c>
      <c r="W355" s="26">
        <f>IFERROR(__xludf.DUMMYFUNCTION("""COMPUTED_VALUE"""),-2.4771281627133424)</f>
        <v>-2.477128163</v>
      </c>
      <c r="X355" s="26">
        <f>IFERROR(__xludf.DUMMYFUNCTION("""COMPUTED_VALUE"""),-0.260863619671507)</f>
        <v>-0.2608636197</v>
      </c>
      <c r="Y355" s="26">
        <f>IFERROR(__xludf.DUMMYFUNCTION("""COMPUTED_VALUE"""),0.4772788604462597)</f>
        <v>0.4772788604</v>
      </c>
      <c r="Z355" s="26">
        <f>IFERROR(__xludf.DUMMYFUNCTION("""COMPUTED_VALUE"""),-1.0731021112368986)</f>
        <v>-1.073102111</v>
      </c>
      <c r="AA355" s="26">
        <f>IFERROR(__xludf.DUMMYFUNCTION("""COMPUTED_VALUE"""),0.0)</f>
        <v>0</v>
      </c>
      <c r="AB355" t="str">
        <f>IFERROR(__xludf.DUMMYFUNCTION("SUBSTITUTE(REGEXREPLACE(REGEXREPLACE(REGEXREPLACE(REGEXREPLACE(REGEXREPLACE(REGEXREPLACE(F355,"","",),IF(Projections!$T$17="""",""PG"",),),IF(Projections!$U$17="""",""SG"",),),IF(Projections!$V$17="""",""SF"",),),IF(Projections!$W$17="""",""PF"",),),IF(Pr"&amp;"ojections!$X$17="""",""C"",),),""/"","""")"),"SFPF")</f>
        <v>SFPF</v>
      </c>
    </row>
    <row r="356">
      <c r="B356">
        <f>IFERROR(__xludf.DUMMYFUNCTION("""COMPUTED_VALUE"""),355.0)</f>
        <v>355</v>
      </c>
      <c r="D356" t="str">
        <f>IFERROR(__xludf.DUMMYFUNCTION("""COMPUTED_VALUE"""),"Trey Alexander")</f>
        <v>Trey Alexander</v>
      </c>
      <c r="F356" t="str">
        <f>IFERROR(__xludf.DUMMYFUNCTION("""COMPUTED_VALUE"""),"418.00")</f>
        <v>418.00</v>
      </c>
      <c r="G356" s="26">
        <f>IFERROR(__xludf.DUMMYFUNCTION("""COMPUTED_VALUE"""),-9.06702301230317)</f>
        <v>-9.067023012</v>
      </c>
      <c r="H356" s="26">
        <f>IFERROR(__xludf.DUMMYFUNCTION("""COMPUTED_VALUE"""),-9.242443112135023)</f>
        <v>-9.242443112</v>
      </c>
      <c r="I356" s="26">
        <f>IFERROR(__xludf.DUMMYFUNCTION("""COMPUTED_VALUE"""),-0.17542009983185203)</f>
        <v>-0.1754200998</v>
      </c>
      <c r="J356" s="26">
        <f>IFERROR(__xludf.DUMMYFUNCTION("""COMPUTED_VALUE"""),5.391702128)</f>
        <v>5.391702128</v>
      </c>
      <c r="K356" s="26">
        <f>IFERROR(__xludf.DUMMYFUNCTION("""COMPUTED_VALUE"""),0.7878723404)</f>
        <v>0.7878723404</v>
      </c>
      <c r="L356" s="26">
        <f>IFERROR(__xludf.DUMMYFUNCTION("""COMPUTED_VALUE"""),1.96)</f>
        <v>1.96</v>
      </c>
      <c r="M356" s="26">
        <f>IFERROR(__xludf.DUMMYFUNCTION("""COMPUTED_VALUE"""),1.623191489)</f>
        <v>1.623191489</v>
      </c>
      <c r="N356" s="26">
        <f>IFERROR(__xludf.DUMMYFUNCTION("""COMPUTED_VALUE"""),0.3980851064)</f>
        <v>0.3980851064</v>
      </c>
      <c r="O356" s="26">
        <f>IFERROR(__xludf.DUMMYFUNCTION("""COMPUTED_VALUE"""),0.1531914894)</f>
        <v>0.1531914894</v>
      </c>
      <c r="P356" s="464">
        <f>IFERROR(__xludf.DUMMYFUNCTION("""COMPUTED_VALUE"""),0.4070621345)</f>
        <v>0.4070621345</v>
      </c>
      <c r="Q356" s="464">
        <f>IFERROR(__xludf.DUMMYFUNCTION("""COMPUTED_VALUE"""),0.808070357)</f>
        <v>0.808070357</v>
      </c>
      <c r="R356" s="26">
        <f>IFERROR(__xludf.DUMMYFUNCTION("""COMPUTED_VALUE"""),1.041276596)</f>
        <v>1.041276596</v>
      </c>
      <c r="S356" s="26">
        <f>IFERROR(__xludf.DUMMYFUNCTION("""COMPUTED_VALUE"""),-2.1805460697585275)</f>
        <v>-2.18054607</v>
      </c>
      <c r="T356" s="26">
        <f>IFERROR(__xludf.DUMMYFUNCTION("""COMPUTED_VALUE"""),-0.9530393123711026)</f>
        <v>-0.9530393124</v>
      </c>
      <c r="U356" s="26">
        <f>IFERROR(__xludf.DUMMYFUNCTION("""COMPUTED_VALUE"""),-1.6159631815644573)</f>
        <v>-1.615963182</v>
      </c>
      <c r="V356" s="26">
        <f>IFERROR(__xludf.DUMMYFUNCTION("""COMPUTED_VALUE"""),-1.0491241428594438)</f>
        <v>-1.049124143</v>
      </c>
      <c r="W356" s="26">
        <f>IFERROR(__xludf.DUMMYFUNCTION("""COMPUTED_VALUE"""),-1.9119235745822836)</f>
        <v>-1.911923575</v>
      </c>
      <c r="X356" s="26">
        <f>IFERROR(__xludf.DUMMYFUNCTION("""COMPUTED_VALUE"""),-1.0621180040986125)</f>
        <v>-1.062118004</v>
      </c>
      <c r="Y356" s="26">
        <f>IFERROR(__xludf.DUMMYFUNCTION("""COMPUTED_VALUE"""),-0.5075557833859136)</f>
        <v>-0.5075557834</v>
      </c>
      <c r="Z356" s="26">
        <f>IFERROR(__xludf.DUMMYFUNCTION("""COMPUTED_VALUE"""),0.03782695648532037)</f>
        <v>0.03782695649</v>
      </c>
      <c r="AA356" s="26">
        <f>IFERROR(__xludf.DUMMYFUNCTION("""COMPUTED_VALUE"""),0.0)</f>
        <v>0</v>
      </c>
      <c r="AB356" t="str">
        <f>IFERROR(__xludf.DUMMYFUNCTION("SUBSTITUTE(REGEXREPLACE(REGEXREPLACE(REGEXREPLACE(REGEXREPLACE(REGEXREPLACE(REGEXREPLACE(F356,"","",),IF(Projections!$T$17="""",""PG"",),),IF(Projections!$U$17="""",""SG"",),),IF(Projections!$V$17="""",""SF"",),),IF(Projections!$W$17="""",""PF"",),),IF(Pr"&amp;"ojections!$X$17="""",""C"",),),""/"","""")"),"418.00")</f>
        <v>418.00</v>
      </c>
    </row>
    <row r="357">
      <c r="B357">
        <f>IFERROR(__xludf.DUMMYFUNCTION("""COMPUTED_VALUE"""),353.0)</f>
        <v>353</v>
      </c>
      <c r="D357" t="str">
        <f>IFERROR(__xludf.DUMMYFUNCTION("""COMPUTED_VALUE"""),"Shake Milton")</f>
        <v>Shake Milton</v>
      </c>
      <c r="F357" t="str">
        <f>IFERROR(__xludf.DUMMYFUNCTION("""COMPUTED_VALUE"""),"412.00")</f>
        <v>412.00</v>
      </c>
      <c r="G357" s="26">
        <f>IFERROR(__xludf.DUMMYFUNCTION("""COMPUTED_VALUE"""),-9.010811435720536)</f>
        <v>-9.010811436</v>
      </c>
      <c r="H357" s="26">
        <f>IFERROR(__xludf.DUMMYFUNCTION("""COMPUTED_VALUE"""),-9.255405613649641)</f>
        <v>-9.255405614</v>
      </c>
      <c r="I357" s="26">
        <f>IFERROR(__xludf.DUMMYFUNCTION("""COMPUTED_VALUE"""),-0.24459417792910543)</f>
        <v>-0.2445941779</v>
      </c>
      <c r="J357" s="26">
        <f>IFERROR(__xludf.DUMMYFUNCTION("""COMPUTED_VALUE"""),5.380410959)</f>
        <v>5.380410959</v>
      </c>
      <c r="K357" s="26">
        <f>IFERROR(__xludf.DUMMYFUNCTION("""COMPUTED_VALUE"""),0.5201369863)</f>
        <v>0.5201369863</v>
      </c>
      <c r="L357" s="26">
        <f>IFERROR(__xludf.DUMMYFUNCTION("""COMPUTED_VALUE"""),1.708630137)</f>
        <v>1.708630137</v>
      </c>
      <c r="M357" s="26">
        <f>IFERROR(__xludf.DUMMYFUNCTION("""COMPUTED_VALUE"""),2.027534247)</f>
        <v>2.027534247</v>
      </c>
      <c r="N357" s="26">
        <f>IFERROR(__xludf.DUMMYFUNCTION("""COMPUTED_VALUE"""),0.3830136986)</f>
        <v>0.3830136986</v>
      </c>
      <c r="O357" s="26">
        <f>IFERROR(__xludf.DUMMYFUNCTION("""COMPUTED_VALUE"""),0.1464383562)</f>
        <v>0.1464383562</v>
      </c>
      <c r="P357" s="464">
        <f>IFERROR(__xludf.DUMMYFUNCTION("""COMPUTED_VALUE"""),0.4334151625)</f>
        <v>0.4334151625</v>
      </c>
      <c r="Q357" s="464">
        <f>IFERROR(__xludf.DUMMYFUNCTION("""COMPUTED_VALUE"""),0.830951657)</f>
        <v>0.830951657</v>
      </c>
      <c r="R357" s="26">
        <f>IFERROR(__xludf.DUMMYFUNCTION("""COMPUTED_VALUE"""),0.7623287671)</f>
        <v>0.7623287671</v>
      </c>
      <c r="S357" s="26">
        <f>IFERROR(__xludf.DUMMYFUNCTION("""COMPUTED_VALUE"""),-2.1825813666387686)</f>
        <v>-2.182581367</v>
      </c>
      <c r="T357" s="26">
        <f>IFERROR(__xludf.DUMMYFUNCTION("""COMPUTED_VALUE"""),-1.2186136510127297)</f>
        <v>-1.218613651</v>
      </c>
      <c r="U357" s="26">
        <f>IFERROR(__xludf.DUMMYFUNCTION("""COMPUTED_VALUE"""),-1.7144767895425257)</f>
        <v>-1.71447679</v>
      </c>
      <c r="V357" s="26">
        <f>IFERROR(__xludf.DUMMYFUNCTION("""COMPUTED_VALUE"""),-0.8654965658564427)</f>
        <v>-0.8654965659</v>
      </c>
      <c r="W357" s="26">
        <f>IFERROR(__xludf.DUMMYFUNCTION("""COMPUTED_VALUE"""),-1.9617845146516146)</f>
        <v>-1.961784515</v>
      </c>
      <c r="X357" s="26">
        <f>IFERROR(__xludf.DUMMYFUNCTION("""COMPUTED_VALUE"""),-1.0741632154350778)</f>
        <v>-1.074163215</v>
      </c>
      <c r="Y357" s="26">
        <f>IFERROR(__xludf.DUMMYFUNCTION("""COMPUTED_VALUE"""),-0.35216162102464665)</f>
        <v>-0.352161621</v>
      </c>
      <c r="Z357" s="26">
        <f>IFERROR(__xludf.DUMMYFUNCTION("""COMPUTED_VALUE"""),0.11387211051216621)</f>
        <v>0.1138721105</v>
      </c>
      <c r="AA357" s="26">
        <f>IFERROR(__xludf.DUMMYFUNCTION("""COMPUTED_VALUE"""),0.0)</f>
        <v>0</v>
      </c>
      <c r="AB357" t="str">
        <f>IFERROR(__xludf.DUMMYFUNCTION("SUBSTITUTE(REGEXREPLACE(REGEXREPLACE(REGEXREPLACE(REGEXREPLACE(REGEXREPLACE(REGEXREPLACE(F357,"","",),IF(Projections!$T$17="""",""PG"",),),IF(Projections!$U$17="""",""SG"",),),IF(Projections!$V$17="""",""SF"",),),IF(Projections!$W$17="""",""PF"",),),IF(Pr"&amp;"ojections!$X$17="""",""C"",),),""/"","""")"),"412.00")</f>
        <v>412.00</v>
      </c>
    </row>
    <row r="358">
      <c r="B358">
        <f>IFERROR(__xludf.DUMMYFUNCTION("""COMPUTED_VALUE"""),354.0)</f>
        <v>354</v>
      </c>
      <c r="D358" t="str">
        <f>IFERROR(__xludf.DUMMYFUNCTION("""COMPUTED_VALUE"""),"Aaron Holiday")</f>
        <v>Aaron Holiday</v>
      </c>
      <c r="E358">
        <f>IFERROR(__xludf.DUMMYFUNCTION("""COMPUTED_VALUE"""),40.0)</f>
        <v>40</v>
      </c>
      <c r="F358" t="str">
        <f>IFERROR(__xludf.DUMMYFUNCTION("""COMPUTED_VALUE"""),"PG")</f>
        <v>PG</v>
      </c>
      <c r="G358" s="26">
        <f>IFERROR(__xludf.DUMMYFUNCTION("""COMPUTED_VALUE"""),-8.977598017365052)</f>
        <v>-8.977598017</v>
      </c>
      <c r="H358" s="26">
        <f>IFERROR(__xludf.DUMMYFUNCTION("""COMPUTED_VALUE"""),-9.260705678332544)</f>
        <v>-9.260705678</v>
      </c>
      <c r="I358" s="26">
        <f>IFERROR(__xludf.DUMMYFUNCTION("""COMPUTED_VALUE"""),-0.2831076609674916)</f>
        <v>-0.283107661</v>
      </c>
      <c r="J358" s="26">
        <f>IFERROR(__xludf.DUMMYFUNCTION("""COMPUTED_VALUE"""),5.196382979)</f>
        <v>5.196382979</v>
      </c>
      <c r="K358" s="26">
        <f>IFERROR(__xludf.DUMMYFUNCTION("""COMPUTED_VALUE"""),0.8512765957)</f>
        <v>0.8512765957</v>
      </c>
      <c r="L358" s="26">
        <f>IFERROR(__xludf.DUMMYFUNCTION("""COMPUTED_VALUE"""),1.094255319)</f>
        <v>1.094255319</v>
      </c>
      <c r="M358" s="26">
        <f>IFERROR(__xludf.DUMMYFUNCTION("""COMPUTED_VALUE"""),1.395106383)</f>
        <v>1.395106383</v>
      </c>
      <c r="N358" s="26">
        <f>IFERROR(__xludf.DUMMYFUNCTION("""COMPUTED_VALUE"""),0.4568085106)</f>
        <v>0.4568085106</v>
      </c>
      <c r="O358" s="26">
        <f>IFERROR(__xludf.DUMMYFUNCTION("""COMPUTED_VALUE"""),0.0829787234)</f>
        <v>0.0829787234</v>
      </c>
      <c r="P358" s="464">
        <f>IFERROR(__xludf.DUMMYFUNCTION("""COMPUTED_VALUE"""),0.4399708242)</f>
        <v>0.4399708242</v>
      </c>
      <c r="Q358" s="464">
        <f>IFERROR(__xludf.DUMMYFUNCTION("""COMPUTED_VALUE"""),0.8698578908)</f>
        <v>0.8698578908</v>
      </c>
      <c r="R358" s="26">
        <f>IFERROR(__xludf.DUMMYFUNCTION("""COMPUTED_VALUE"""),0.6070212766)</f>
        <v>0.6070212766</v>
      </c>
      <c r="S358" s="26">
        <f>IFERROR(__xludf.DUMMYFUNCTION("""COMPUTED_VALUE"""),-2.2157534477200964)</f>
        <v>-2.215753448</v>
      </c>
      <c r="T358" s="26">
        <f>IFERROR(__xludf.DUMMYFUNCTION("""COMPUTED_VALUE"""),-0.8901468220424883)</f>
        <v>-0.890146822</v>
      </c>
      <c r="U358" s="26">
        <f>IFERROR(__xludf.DUMMYFUNCTION("""COMPUTED_VALUE"""),-1.9552545790902294)</f>
        <v>-1.955254579</v>
      </c>
      <c r="V358" s="26">
        <f>IFERROR(__xludf.DUMMYFUNCTION("""COMPUTED_VALUE"""),-1.152706350124431)</f>
        <v>-1.15270635</v>
      </c>
      <c r="W358" s="26">
        <f>IFERROR(__xludf.DUMMYFUNCTION("""COMPUTED_VALUE"""),-1.717648150790533)</f>
        <v>-1.717648151</v>
      </c>
      <c r="X358" s="26">
        <f>IFERROR(__xludf.DUMMYFUNCTION("""COMPUTED_VALUE"""),-1.187352851382208)</f>
        <v>-1.187352851</v>
      </c>
      <c r="Y358" s="26">
        <f>IFERROR(__xludf.DUMMYFUNCTION("""COMPUTED_VALUE"""),-0.29150255497518546)</f>
        <v>-0.291502555</v>
      </c>
      <c r="Z358" s="26">
        <f>IFERROR(__xludf.DUMMYFUNCTION("""COMPUTED_VALUE"""),0.1496590777926267)</f>
        <v>0.1496590778</v>
      </c>
      <c r="AA358" s="26">
        <f>IFERROR(__xludf.DUMMYFUNCTION("""COMPUTED_VALUE"""),0.0)</f>
        <v>0</v>
      </c>
      <c r="AB358" t="str">
        <f>IFERROR(__xludf.DUMMYFUNCTION("SUBSTITUTE(REGEXREPLACE(REGEXREPLACE(REGEXREPLACE(REGEXREPLACE(REGEXREPLACE(REGEXREPLACE(F358,"","",),IF(Projections!$T$17="""",""PG"",),),IF(Projections!$U$17="""",""SG"",),),IF(Projections!$V$17="""",""SF"",),),IF(Projections!$W$17="""",""PF"",),),IF(Pr"&amp;"ojections!$X$17="""",""C"",),),""/"","""")"),"PG")</f>
        <v>PG</v>
      </c>
    </row>
    <row r="359">
      <c r="B359">
        <f>IFERROR(__xludf.DUMMYFUNCTION("""COMPUTED_VALUE"""),343.0)</f>
        <v>343</v>
      </c>
      <c r="D359" t="str">
        <f>IFERROR(__xludf.DUMMYFUNCTION("""COMPUTED_VALUE"""),"Yves Missi")</f>
        <v>Yves Missi</v>
      </c>
      <c r="E359">
        <f>IFERROR(__xludf.DUMMYFUNCTION("""COMPUTED_VALUE"""),20.0)</f>
        <v>20</v>
      </c>
      <c r="F359" t="str">
        <f>IFERROR(__xludf.DUMMYFUNCTION("""COMPUTED_VALUE"""),"SG,SF")</f>
        <v>SG,SF</v>
      </c>
      <c r="G359" s="26">
        <f>IFERROR(__xludf.DUMMYFUNCTION("""COMPUTED_VALUE"""),-8.985596518721414)</f>
        <v>-8.985596519</v>
      </c>
      <c r="H359" s="26">
        <f>IFERROR(__xludf.DUMMYFUNCTION("""COMPUTED_VALUE"""),-9.27602492888101)</f>
        <v>-9.276024929</v>
      </c>
      <c r="I359" s="26">
        <f>IFERROR(__xludf.DUMMYFUNCTION("""COMPUTED_VALUE"""),-0.2904284101595973)</f>
        <v>-0.2904284102</v>
      </c>
      <c r="J359" s="26">
        <f>IFERROR(__xludf.DUMMYFUNCTION("""COMPUTED_VALUE"""),4.750588235)</f>
        <v>4.750588235</v>
      </c>
      <c r="K359" s="26">
        <f>IFERROR(__xludf.DUMMYFUNCTION("""COMPUTED_VALUE"""),0.0)</f>
        <v>0</v>
      </c>
      <c r="L359" s="26">
        <f>IFERROR(__xludf.DUMMYFUNCTION("""COMPUTED_VALUE"""),3.465)</f>
        <v>3.465</v>
      </c>
      <c r="M359" s="26">
        <f>IFERROR(__xludf.DUMMYFUNCTION("""COMPUTED_VALUE"""),0.2888235294)</f>
        <v>0.2888235294</v>
      </c>
      <c r="N359" s="26">
        <f>IFERROR(__xludf.DUMMYFUNCTION("""COMPUTED_VALUE"""),0.3464705882)</f>
        <v>0.3464705882</v>
      </c>
      <c r="O359" s="26">
        <f>IFERROR(__xludf.DUMMYFUNCTION("""COMPUTED_VALUE"""),0.6929411765)</f>
        <v>0.6929411765</v>
      </c>
      <c r="P359" s="464">
        <f>IFERROR(__xludf.DUMMYFUNCTION("""COMPUTED_VALUE"""),0.57000815)</f>
        <v>0.57000815</v>
      </c>
      <c r="Q359" s="464">
        <f>IFERROR(__xludf.DUMMYFUNCTION("""COMPUTED_VALUE"""),0.6080359652)</f>
        <v>0.6080359652</v>
      </c>
      <c r="R359" s="26">
        <f>IFERROR(__xludf.DUMMYFUNCTION("""COMPUTED_VALUE"""),0.5775)</f>
        <v>0.5775</v>
      </c>
      <c r="S359" s="26">
        <f>IFERROR(__xludf.DUMMYFUNCTION("""COMPUTED_VALUE"""),-2.296110464047711)</f>
        <v>-2.296110464</v>
      </c>
      <c r="T359" s="26">
        <f>IFERROR(__xludf.DUMMYFUNCTION("""COMPUTED_VALUE"""),-1.7345523719336797)</f>
        <v>-1.734552372</v>
      </c>
      <c r="U359" s="26">
        <f>IFERROR(__xludf.DUMMYFUNCTION("""COMPUTED_VALUE"""),-1.0261431520767021)</f>
        <v>-1.026143152</v>
      </c>
      <c r="V359" s="26">
        <f>IFERROR(__xludf.DUMMYFUNCTION("""COMPUTED_VALUE"""),-1.6551118856936706)</f>
        <v>-1.655111886</v>
      </c>
      <c r="W359" s="26">
        <f>IFERROR(__xludf.DUMMYFUNCTION("""COMPUTED_VALUE"""),-2.082680575708455)</f>
        <v>-2.082680576</v>
      </c>
      <c r="X359" s="26">
        <f>IFERROR(__xludf.DUMMYFUNCTION("""COMPUTED_VALUE"""),-0.09939464926970733)</f>
        <v>-0.09939464927</v>
      </c>
      <c r="Y359" s="26">
        <f>IFERROR(__xludf.DUMMYFUNCTION("""COMPUTED_VALUE"""),0.3054268503007038)</f>
        <v>0.3054268503</v>
      </c>
      <c r="Z359" s="26">
        <f>IFERROR(__xludf.DUMMYFUNCTION("""COMPUTED_VALUE"""),-0.6874586804517893)</f>
        <v>-0.6874586805</v>
      </c>
      <c r="AA359" s="26">
        <f>IFERROR(__xludf.DUMMYFUNCTION("""COMPUTED_VALUE"""),0.0)</f>
        <v>0</v>
      </c>
      <c r="AB359" t="str">
        <f>IFERROR(__xludf.DUMMYFUNCTION("SUBSTITUTE(REGEXREPLACE(REGEXREPLACE(REGEXREPLACE(REGEXREPLACE(REGEXREPLACE(REGEXREPLACE(F359,"","",),IF(Projections!$T$17="""",""PG"",),),IF(Projections!$U$17="""",""SG"",),),IF(Projections!$V$17="""",""SF"",),),IF(Projections!$W$17="""",""PF"",),),IF(Pr"&amp;"ojections!$X$17="""",""C"",),),""/"","""")"),"SGSF")</f>
        <v>SGSF</v>
      </c>
    </row>
    <row r="360">
      <c r="B360">
        <f>IFERROR(__xludf.DUMMYFUNCTION("""COMPUTED_VALUE"""),364.0)</f>
        <v>364</v>
      </c>
      <c r="D360" t="str">
        <f>IFERROR(__xludf.DUMMYFUNCTION("""COMPUTED_VALUE"""),"Nick Smith Jr.")</f>
        <v>Nick Smith Jr.</v>
      </c>
      <c r="F360" t="str">
        <f>IFERROR(__xludf.DUMMYFUNCTION("""COMPUTED_VALUE"""),"410.00")</f>
        <v>410.00</v>
      </c>
      <c r="G360" s="26">
        <f>IFERROR(__xludf.DUMMYFUNCTION("""COMPUTED_VALUE"""),-9.076708548870608)</f>
        <v>-9.076708549</v>
      </c>
      <c r="H360" s="26">
        <f>IFERROR(__xludf.DUMMYFUNCTION("""COMPUTED_VALUE"""),-9.306000661689147)</f>
        <v>-9.306000662</v>
      </c>
      <c r="I360" s="26">
        <f>IFERROR(__xludf.DUMMYFUNCTION("""COMPUTED_VALUE"""),-0.22929211281853945)</f>
        <v>-0.2292921128</v>
      </c>
      <c r="J360" s="26">
        <f>IFERROR(__xludf.DUMMYFUNCTION("""COMPUTED_VALUE"""),7.456491228)</f>
        <v>7.456491228</v>
      </c>
      <c r="K360" s="26">
        <f>IFERROR(__xludf.DUMMYFUNCTION("""COMPUTED_VALUE"""),1.336491228)</f>
        <v>1.336491228</v>
      </c>
      <c r="L360" s="26">
        <f>IFERROR(__xludf.DUMMYFUNCTION("""COMPUTED_VALUE"""),1.634385965)</f>
        <v>1.634385965</v>
      </c>
      <c r="M360" s="26">
        <f>IFERROR(__xludf.DUMMYFUNCTION("""COMPUTED_VALUE"""),1.579298246)</f>
        <v>1.579298246</v>
      </c>
      <c r="N360" s="26">
        <f>IFERROR(__xludf.DUMMYFUNCTION("""COMPUTED_VALUE"""),0.248245614)</f>
        <v>0.248245614</v>
      </c>
      <c r="O360" s="26">
        <f>IFERROR(__xludf.DUMMYFUNCTION("""COMPUTED_VALUE"""),0.1689473684)</f>
        <v>0.1689473684</v>
      </c>
      <c r="P360" s="464">
        <f>IFERROR(__xludf.DUMMYFUNCTION("""COMPUTED_VALUE"""),0.3893685979)</f>
        <v>0.3893685979</v>
      </c>
      <c r="Q360" s="464">
        <f>IFERROR(__xludf.DUMMYFUNCTION("""COMPUTED_VALUE"""),0.8634167765)</f>
        <v>0.8634167765</v>
      </c>
      <c r="R360" s="26">
        <f>IFERROR(__xludf.DUMMYFUNCTION("""COMPUTED_VALUE"""),0.8240350877)</f>
        <v>0.8240350877</v>
      </c>
      <c r="S360" s="26">
        <f>IFERROR(__xludf.DUMMYFUNCTION("""COMPUTED_VALUE"""),-1.8083561916701927)</f>
        <v>-1.808356192</v>
      </c>
      <c r="T360" s="26">
        <f>IFERROR(__xludf.DUMMYFUNCTION("""COMPUTED_VALUE"""),-0.4088485807045774)</f>
        <v>-0.4088485807</v>
      </c>
      <c r="U360" s="26">
        <f>IFERROR(__xludf.DUMMYFUNCTION("""COMPUTED_VALUE"""),-1.7435735999866016)</f>
        <v>-1.7435736</v>
      </c>
      <c r="V360" s="26">
        <f>IFERROR(__xludf.DUMMYFUNCTION("""COMPUTED_VALUE"""),-1.0690577504223961)</f>
        <v>-1.06905775</v>
      </c>
      <c r="W360" s="26">
        <f>IFERROR(__xludf.DUMMYFUNCTION("""COMPUTED_VALUE"""),-2.4076395720337866)</f>
        <v>-2.407639572</v>
      </c>
      <c r="X360" s="26">
        <f>IFERROR(__xludf.DUMMYFUNCTION("""COMPUTED_VALUE"""),-1.034015064807148)</f>
        <v>-1.034015065</v>
      </c>
      <c r="Y360" s="26">
        <f>IFERROR(__xludf.DUMMYFUNCTION("""COMPUTED_VALUE"""),-0.9305524421413944)</f>
        <v>-0.9305524421</v>
      </c>
      <c r="Z360" s="26">
        <f>IFERROR(__xludf.DUMMYFUNCTION("""COMPUTED_VALUE"""),0.09604254007694943)</f>
        <v>0.09604254008</v>
      </c>
      <c r="AA360" s="26">
        <f>IFERROR(__xludf.DUMMYFUNCTION("""COMPUTED_VALUE"""),0.0)</f>
        <v>0</v>
      </c>
      <c r="AB360" t="str">
        <f>IFERROR(__xludf.DUMMYFUNCTION("SUBSTITUTE(REGEXREPLACE(REGEXREPLACE(REGEXREPLACE(REGEXREPLACE(REGEXREPLACE(REGEXREPLACE(F360,"","",),IF(Projections!$T$17="""",""PG"",),),IF(Projections!$U$17="""",""SG"",),),IF(Projections!$V$17="""",""SF"",),),IF(Projections!$W$17="""",""PF"",),),IF(Pr"&amp;"ojections!$X$17="""",""C"",),),""/"","""")"),"410.00")</f>
        <v>410.00</v>
      </c>
    </row>
    <row r="361">
      <c r="B361">
        <f>IFERROR(__xludf.DUMMYFUNCTION("""COMPUTED_VALUE"""),362.0)</f>
        <v>362</v>
      </c>
      <c r="D361" t="str">
        <f>IFERROR(__xludf.DUMMYFUNCTION("""COMPUTED_VALUE"""),"Jordan Hawkins")</f>
        <v>Jordan Hawkins</v>
      </c>
      <c r="F361" t="str">
        <f>IFERROR(__xludf.DUMMYFUNCTION("""COMPUTED_VALUE"""),"428.00")</f>
        <v>428.00</v>
      </c>
      <c r="G361" s="26">
        <f>IFERROR(__xludf.DUMMYFUNCTION("""COMPUTED_VALUE"""),-9.04805302002405)</f>
        <v>-9.04805302</v>
      </c>
      <c r="H361" s="26">
        <f>IFERROR(__xludf.DUMMYFUNCTION("""COMPUTED_VALUE"""),-9.333954906959862)</f>
        <v>-9.333954907</v>
      </c>
      <c r="I361" s="26">
        <f>IFERROR(__xludf.DUMMYFUNCTION("""COMPUTED_VALUE"""),-0.28590188693581275)</f>
        <v>-0.2859018869</v>
      </c>
      <c r="J361" s="26">
        <f>IFERROR(__xludf.DUMMYFUNCTION("""COMPUTED_VALUE"""),6.85630137)</f>
        <v>6.85630137</v>
      </c>
      <c r="K361" s="26">
        <f>IFERROR(__xludf.DUMMYFUNCTION("""COMPUTED_VALUE"""),1.42109589)</f>
        <v>1.42109589</v>
      </c>
      <c r="L361" s="26">
        <f>IFERROR(__xludf.DUMMYFUNCTION("""COMPUTED_VALUE"""),2.138767123)</f>
        <v>2.138767123</v>
      </c>
      <c r="M361" s="26">
        <f>IFERROR(__xludf.DUMMYFUNCTION("""COMPUTED_VALUE"""),0.8064383562)</f>
        <v>0.8064383562</v>
      </c>
      <c r="N361" s="26">
        <f>IFERROR(__xludf.DUMMYFUNCTION("""COMPUTED_VALUE"""),0.2457534247)</f>
        <v>0.2457534247</v>
      </c>
      <c r="O361" s="26">
        <f>IFERROR(__xludf.DUMMYFUNCTION("""COMPUTED_VALUE"""),0.1050684932)</f>
        <v>0.1050684932</v>
      </c>
      <c r="P361" s="464">
        <f>IFERROR(__xludf.DUMMYFUNCTION("""COMPUTED_VALUE"""),0.3943530944)</f>
        <v>0.3943530944</v>
      </c>
      <c r="Q361" s="464">
        <f>IFERROR(__xludf.DUMMYFUNCTION("""COMPUTED_VALUE"""),0.8379360465)</f>
        <v>0.8379360465</v>
      </c>
      <c r="R361" s="26">
        <f>IFERROR(__xludf.DUMMYFUNCTION("""COMPUTED_VALUE"""),0.5957534247)</f>
        <v>0.5957534247</v>
      </c>
      <c r="S361" s="26">
        <f>IFERROR(__xludf.DUMMYFUNCTION("""COMPUTED_VALUE"""),-1.9165437978905449)</f>
        <v>-1.916543798</v>
      </c>
      <c r="T361" s="26">
        <f>IFERROR(__xludf.DUMMYFUNCTION("""COMPUTED_VALUE"""),-0.3249268019309897)</f>
        <v>-0.3249268019</v>
      </c>
      <c r="U361" s="26">
        <f>IFERROR(__xludf.DUMMYFUNCTION("""COMPUTED_VALUE"""),-1.5459030953456525)</f>
        <v>-1.545903095</v>
      </c>
      <c r="V361" s="26">
        <f>IFERROR(__xludf.DUMMYFUNCTION("""COMPUTED_VALUE"""),-1.4200431115272938)</f>
        <v>-1.420043112</v>
      </c>
      <c r="W361" s="26">
        <f>IFERROR(__xludf.DUMMYFUNCTION("""COMPUTED_VALUE"""),-2.415884515238676)</f>
        <v>-2.415884515</v>
      </c>
      <c r="X361" s="26">
        <f>IFERROR(__xludf.DUMMYFUNCTION("""COMPUTED_VALUE"""),-1.147952481548711)</f>
        <v>-1.147952482</v>
      </c>
      <c r="Y361" s="26">
        <f>IFERROR(__xludf.DUMMYFUNCTION("""COMPUTED_VALUE"""),-0.7049260565813575)</f>
        <v>-0.7049260566</v>
      </c>
      <c r="Z361" s="26">
        <f>IFERROR(__xludf.DUMMYFUNCTION("""COMPUTED_VALUE"""),0.14222495310336275)</f>
        <v>0.1422249531</v>
      </c>
      <c r="AA361" s="26">
        <f>IFERROR(__xludf.DUMMYFUNCTION("""COMPUTED_VALUE"""),0.0)</f>
        <v>0</v>
      </c>
      <c r="AB361" t="str">
        <f>IFERROR(__xludf.DUMMYFUNCTION("SUBSTITUTE(REGEXREPLACE(REGEXREPLACE(REGEXREPLACE(REGEXREPLACE(REGEXREPLACE(REGEXREPLACE(F361,"","",),IF(Projections!$T$17="""",""PG"",),),IF(Projections!$U$17="""",""SG"",),),IF(Projections!$V$17="""",""SF"",),),IF(Projections!$W$17="""",""PF"",),),IF(Pr"&amp;"ojections!$X$17="""",""C"",),),""/"","""")"),"428.00")</f>
        <v>428.00</v>
      </c>
    </row>
    <row r="362">
      <c r="B362">
        <f>IFERROR(__xludf.DUMMYFUNCTION("""COMPUTED_VALUE"""),359.0)</f>
        <v>359</v>
      </c>
      <c r="D362" t="str">
        <f>IFERROR(__xludf.DUMMYFUNCTION("""COMPUTED_VALUE"""),"Seth Curry")</f>
        <v>Seth Curry</v>
      </c>
      <c r="F362" t="str">
        <f>IFERROR(__xludf.DUMMYFUNCTION("""COMPUTED_VALUE"""),"416.00")</f>
        <v>416.00</v>
      </c>
      <c r="G362" s="26">
        <f>IFERROR(__xludf.DUMMYFUNCTION("""COMPUTED_VALUE"""),-9.035497617175144)</f>
        <v>-9.035497617</v>
      </c>
      <c r="H362" s="26">
        <f>IFERROR(__xludf.DUMMYFUNCTION("""COMPUTED_VALUE"""),-9.350217004637264)</f>
        <v>-9.350217005</v>
      </c>
      <c r="I362" s="26">
        <f>IFERROR(__xludf.DUMMYFUNCTION("""COMPUTED_VALUE"""),-0.31471938746211947)</f>
        <v>-0.3147193875</v>
      </c>
      <c r="J362" s="26">
        <f>IFERROR(__xludf.DUMMYFUNCTION("""COMPUTED_VALUE"""),5.838636364)</f>
        <v>5.838636364</v>
      </c>
      <c r="K362" s="26">
        <f>IFERROR(__xludf.DUMMYFUNCTION("""COMPUTED_VALUE"""),1.003636364)</f>
        <v>1.003636364</v>
      </c>
      <c r="L362" s="26">
        <f>IFERROR(__xludf.DUMMYFUNCTION("""COMPUTED_VALUE"""),1.199545455)</f>
        <v>1.199545455</v>
      </c>
      <c r="M362" s="26">
        <f>IFERROR(__xludf.DUMMYFUNCTION("""COMPUTED_VALUE"""),0.9159090909)</f>
        <v>0.9159090909</v>
      </c>
      <c r="N362" s="26">
        <f>IFERROR(__xludf.DUMMYFUNCTION("""COMPUTED_VALUE"""),0.4090909091)</f>
        <v>0.4090909091</v>
      </c>
      <c r="O362" s="26">
        <f>IFERROR(__xludf.DUMMYFUNCTION("""COMPUTED_VALUE"""),0.08477272727)</f>
        <v>0.08477272727</v>
      </c>
      <c r="P362" s="464">
        <f>IFERROR(__xludf.DUMMYFUNCTION("""COMPUTED_VALUE"""),0.4316690055)</f>
        <v>0.4316690055</v>
      </c>
      <c r="Q362" s="464">
        <f>IFERROR(__xludf.DUMMYFUNCTION("""COMPUTED_VALUE"""),0.9061728395)</f>
        <v>0.9061728395</v>
      </c>
      <c r="R362" s="26">
        <f>IFERROR(__xludf.DUMMYFUNCTION("""COMPUTED_VALUE"""),0.4795454545)</f>
        <v>0.4795454545</v>
      </c>
      <c r="S362" s="26">
        <f>IFERROR(__xludf.DUMMYFUNCTION("""COMPUTED_VALUE"""),-2.099983653572612)</f>
        <v>-2.099983654</v>
      </c>
      <c r="T362" s="26">
        <f>IFERROR(__xludf.DUMMYFUNCTION("""COMPUTED_VALUE"""),-0.7390168196642778)</f>
        <v>-0.7390168197</v>
      </c>
      <c r="U362" s="26">
        <f>IFERROR(__xludf.DUMMYFUNCTION("""COMPUTED_VALUE"""),-1.9139906381465155)</f>
        <v>-1.913990638</v>
      </c>
      <c r="V362" s="26">
        <f>IFERROR(__xludf.DUMMYFUNCTION("""COMPUTED_VALUE"""),-1.3703282461859951)</f>
        <v>-1.370328246</v>
      </c>
      <c r="W362" s="26">
        <f>IFERROR(__xludf.DUMMYFUNCTION("""COMPUTED_VALUE"""),-1.8755129302601534)</f>
        <v>-1.87551293</v>
      </c>
      <c r="X362" s="26">
        <f>IFERROR(__xludf.DUMMYFUNCTION("""COMPUTED_VALUE"""),-1.1841529802834732)</f>
        <v>-1.18415298</v>
      </c>
      <c r="Y362" s="26">
        <f>IFERROR(__xludf.DUMMYFUNCTION("""COMPUTED_VALUE"""),-0.382964613538251)</f>
        <v>-0.3829646135</v>
      </c>
      <c r="Z362" s="26">
        <f>IFERROR(__xludf.DUMMYFUNCTION("""COMPUTED_VALUE"""),0.21573287701401417)</f>
        <v>0.215732877</v>
      </c>
      <c r="AA362" s="26">
        <f>IFERROR(__xludf.DUMMYFUNCTION("""COMPUTED_VALUE"""),0.0)</f>
        <v>0</v>
      </c>
      <c r="AB362" t="str">
        <f>IFERROR(__xludf.DUMMYFUNCTION("SUBSTITUTE(REGEXREPLACE(REGEXREPLACE(REGEXREPLACE(REGEXREPLACE(REGEXREPLACE(REGEXREPLACE(F362,"","",),IF(Projections!$T$17="""",""PG"",),),IF(Projections!$U$17="""",""SG"",),),IF(Projections!$V$17="""",""SF"",),),IF(Projections!$W$17="""",""PF"",),),IF(Pr"&amp;"ojections!$X$17="""",""C"",),),""/"","""")"),"416.00")</f>
        <v>416.00</v>
      </c>
    </row>
    <row r="363">
      <c r="B363">
        <f>IFERROR(__xludf.DUMMYFUNCTION("""COMPUTED_VALUE"""),360.0)</f>
        <v>360</v>
      </c>
      <c r="D363" t="str">
        <f>IFERROR(__xludf.DUMMYFUNCTION("""COMPUTED_VALUE"""),"Anthony Black")</f>
        <v>Anthony Black</v>
      </c>
      <c r="F363" t="str">
        <f>IFERROR(__xludf.DUMMYFUNCTION("""COMPUTED_VALUE"""),"427.00")</f>
        <v>427.00</v>
      </c>
      <c r="G363" s="26">
        <f>IFERROR(__xludf.DUMMYFUNCTION("""COMPUTED_VALUE"""),-9.224891072887218)</f>
        <v>-9.224891073</v>
      </c>
      <c r="H363" s="26">
        <f>IFERROR(__xludf.DUMMYFUNCTION("""COMPUTED_VALUE"""),-9.40293771616845)</f>
        <v>-9.402937716</v>
      </c>
      <c r="I363" s="26">
        <f>IFERROR(__xludf.DUMMYFUNCTION("""COMPUTED_VALUE"""),-0.17804664328123287)</f>
        <v>-0.1780466433</v>
      </c>
      <c r="J363" s="26">
        <f>IFERROR(__xludf.DUMMYFUNCTION("""COMPUTED_VALUE"""),5.134383562)</f>
        <v>5.134383562</v>
      </c>
      <c r="K363" s="26">
        <f>IFERROR(__xludf.DUMMYFUNCTION("""COMPUTED_VALUE"""),0.6317808219)</f>
        <v>0.6317808219</v>
      </c>
      <c r="L363" s="26">
        <f>IFERROR(__xludf.DUMMYFUNCTION("""COMPUTED_VALUE"""),2.061232877)</f>
        <v>2.061232877</v>
      </c>
      <c r="M363" s="26">
        <f>IFERROR(__xludf.DUMMYFUNCTION("""COMPUTED_VALUE"""),1.717671233)</f>
        <v>1.717671233</v>
      </c>
      <c r="N363" s="26">
        <f>IFERROR(__xludf.DUMMYFUNCTION("""COMPUTED_VALUE"""),0.4901369863)</f>
        <v>0.4901369863</v>
      </c>
      <c r="O363" s="26">
        <f>IFERROR(__xludf.DUMMYFUNCTION("""COMPUTED_VALUE"""),0.2717808219)</f>
        <v>0.2717808219</v>
      </c>
      <c r="P363" s="464">
        <f>IFERROR(__xludf.DUMMYFUNCTION("""COMPUTED_VALUE"""),0.4495848161)</f>
        <v>0.4495848161</v>
      </c>
      <c r="Q363" s="464">
        <f>IFERROR(__xludf.DUMMYFUNCTION("""COMPUTED_VALUE"""),0.6130272408)</f>
        <v>0.6130272408</v>
      </c>
      <c r="R363" s="26">
        <f>IFERROR(__xludf.DUMMYFUNCTION("""COMPUTED_VALUE"""),1.030684932)</f>
        <v>1.030684932</v>
      </c>
      <c r="S363" s="26">
        <f>IFERROR(__xludf.DUMMYFUNCTION("""COMPUTED_VALUE"""),-2.2269291922330723)</f>
        <v>-2.226929192</v>
      </c>
      <c r="T363" s="26">
        <f>IFERROR(__xludf.DUMMYFUNCTION("""COMPUTED_VALUE"""),-1.1078709442732595)</f>
        <v>-1.107870944</v>
      </c>
      <c r="U363" s="26">
        <f>IFERROR(__xludf.DUMMYFUNCTION("""COMPUTED_VALUE"""),-1.576289308808796)</f>
        <v>-1.576289309</v>
      </c>
      <c r="V363" s="26">
        <f>IFERROR(__xludf.DUMMYFUNCTION("""COMPUTED_VALUE"""),-1.0062172621911771)</f>
        <v>-1.006217262</v>
      </c>
      <c r="W363" s="26">
        <f>IFERROR(__xludf.DUMMYFUNCTION("""COMPUTED_VALUE"""),-1.6073871087212017)</f>
        <v>-1.607387109</v>
      </c>
      <c r="X363" s="26">
        <f>IFERROR(__xludf.DUMMYFUNCTION("""COMPUTED_VALUE"""),-0.8505963992511263)</f>
        <v>-0.8505963993</v>
      </c>
      <c r="Y363" s="26">
        <f>IFERROR(__xludf.DUMMYFUNCTION("""COMPUTED_VALUE"""),-0.23047198364808774)</f>
        <v>-0.2304719836</v>
      </c>
      <c r="Z363" s="26">
        <f>IFERROR(__xludf.DUMMYFUNCTION("""COMPUTED_VALUE"""),-0.7971755170417313)</f>
        <v>-0.797175517</v>
      </c>
      <c r="AA363" s="26">
        <f>IFERROR(__xludf.DUMMYFUNCTION("""COMPUTED_VALUE"""),0.0)</f>
        <v>0</v>
      </c>
      <c r="AB363" t="str">
        <f>IFERROR(__xludf.DUMMYFUNCTION("SUBSTITUTE(REGEXREPLACE(REGEXREPLACE(REGEXREPLACE(REGEXREPLACE(REGEXREPLACE(REGEXREPLACE(F363,"","",),IF(Projections!$T$17="""",""PG"",),),IF(Projections!$U$17="""",""SG"",),),IF(Projections!$V$17="""",""SF"",),),IF(Projections!$W$17="""",""PF"",),),IF(Pr"&amp;"ojections!$X$17="""",""C"",),),""/"","""")"),"427.00")</f>
        <v>427.00</v>
      </c>
    </row>
    <row r="364">
      <c r="B364">
        <f>IFERROR(__xludf.DUMMYFUNCTION("""COMPUTED_VALUE"""),358.0)</f>
        <v>358</v>
      </c>
      <c r="D364" t="str">
        <f>IFERROR(__xludf.DUMMYFUNCTION("""COMPUTED_VALUE"""),"Vit Krejci")</f>
        <v>Vit Krejci</v>
      </c>
      <c r="F364" t="str">
        <f>IFERROR(__xludf.DUMMYFUNCTION("""COMPUTED_VALUE"""),"417.00")</f>
        <v>417.00</v>
      </c>
      <c r="G364" s="26">
        <f>IFERROR(__xludf.DUMMYFUNCTION("""COMPUTED_VALUE"""),-9.128105971378606)</f>
        <v>-9.128105971</v>
      </c>
      <c r="H364" s="26">
        <f>IFERROR(__xludf.DUMMYFUNCTION("""COMPUTED_VALUE"""),-9.41332845521228)</f>
        <v>-9.413328455</v>
      </c>
      <c r="I364" s="26">
        <f>IFERROR(__xludf.DUMMYFUNCTION("""COMPUTED_VALUE"""),-0.28522248383367454)</f>
        <v>-0.2852224838</v>
      </c>
      <c r="J364" s="26">
        <f>IFERROR(__xludf.DUMMYFUNCTION("""COMPUTED_VALUE"""),3.760958904)</f>
        <v>3.760958904</v>
      </c>
      <c r="K364" s="26">
        <f>IFERROR(__xludf.DUMMYFUNCTION("""COMPUTED_VALUE"""),0.7873972603)</f>
        <v>0.7873972603</v>
      </c>
      <c r="L364" s="26">
        <f>IFERROR(__xludf.DUMMYFUNCTION("""COMPUTED_VALUE"""),1.624931507)</f>
        <v>1.624931507</v>
      </c>
      <c r="M364" s="26">
        <f>IFERROR(__xludf.DUMMYFUNCTION("""COMPUTED_VALUE"""),1.345205479)</f>
        <v>1.345205479</v>
      </c>
      <c r="N364" s="26">
        <f>IFERROR(__xludf.DUMMYFUNCTION("""COMPUTED_VALUE"""),0.3998630137)</f>
        <v>0.3998630137</v>
      </c>
      <c r="O364" s="26">
        <f>IFERROR(__xludf.DUMMYFUNCTION("""COMPUTED_VALUE"""),0.1891780822)</f>
        <v>0.1891780822</v>
      </c>
      <c r="P364" s="464">
        <f>IFERROR(__xludf.DUMMYFUNCTION("""COMPUTED_VALUE"""),0.4507097278)</f>
        <v>0.4507097278</v>
      </c>
      <c r="Q364" s="464">
        <f>IFERROR(__xludf.DUMMYFUNCTION("""COMPUTED_VALUE"""),0.8168402778)</f>
        <v>0.8168402778</v>
      </c>
      <c r="R364" s="26">
        <f>IFERROR(__xludf.DUMMYFUNCTION("""COMPUTED_VALUE"""),0.5984931507)</f>
        <v>0.5984931507</v>
      </c>
      <c r="S364" s="26">
        <f>IFERROR(__xludf.DUMMYFUNCTION("""COMPUTED_VALUE"""),-2.474496731225085)</f>
        <v>-2.474496731</v>
      </c>
      <c r="T364" s="26">
        <f>IFERROR(__xludf.DUMMYFUNCTION("""COMPUTED_VALUE"""),-0.9535105578806223)</f>
        <v>-0.9535105579</v>
      </c>
      <c r="U364" s="26">
        <f>IFERROR(__xludf.DUMMYFUNCTION("""COMPUTED_VALUE"""),-1.7472788682233793)</f>
        <v>-1.747278868</v>
      </c>
      <c r="V364" s="26">
        <f>IFERROR(__xludf.DUMMYFUNCTION("""COMPUTED_VALUE"""),-1.1753682672986203)</f>
        <v>-1.175368267</v>
      </c>
      <c r="W364" s="26">
        <f>IFERROR(__xludf.DUMMYFUNCTION("""COMPUTED_VALUE"""),-1.9060417000745735)</f>
        <v>-1.9060417</v>
      </c>
      <c r="X364" s="26">
        <f>IFERROR(__xludf.DUMMYFUNCTION("""COMPUTED_VALUE"""),-0.9979305961624984)</f>
        <v>-0.9979305962</v>
      </c>
      <c r="Y364" s="26">
        <f>IFERROR(__xludf.DUMMYFUNCTION("""COMPUTED_VALUE"""),-0.17082085789794568)</f>
        <v>-0.1708208579</v>
      </c>
      <c r="Z364" s="26">
        <f>IFERROR(__xludf.DUMMYFUNCTION("""COMPUTED_VALUE"""),0.01211912355044429)</f>
        <v>0.01211912355</v>
      </c>
      <c r="AA364" s="26">
        <f>IFERROR(__xludf.DUMMYFUNCTION("""COMPUTED_VALUE"""),0.0)</f>
        <v>0</v>
      </c>
      <c r="AB364" t="str">
        <f>IFERROR(__xludf.DUMMYFUNCTION("SUBSTITUTE(REGEXREPLACE(REGEXREPLACE(REGEXREPLACE(REGEXREPLACE(REGEXREPLACE(REGEXREPLACE(F364,"","",),IF(Projections!$T$17="""",""PG"",),),IF(Projections!$U$17="""",""SG"",),),IF(Projections!$V$17="""",""SF"",),),IF(Projections!$W$17="""",""PF"",),),IF(Pr"&amp;"ojections!$X$17="""",""C"",),),""/"","""")"),"417.00")</f>
        <v>417.00</v>
      </c>
    </row>
    <row r="365">
      <c r="B365">
        <f>IFERROR(__xludf.DUMMYFUNCTION("""COMPUTED_VALUE"""),369.0)</f>
        <v>369</v>
      </c>
      <c r="D365" t="str">
        <f>IFERROR(__xludf.DUMMYFUNCTION("""COMPUTED_VALUE"""),"Svi Mykhailiuk")</f>
        <v>Svi Mykhailiuk</v>
      </c>
      <c r="F365" t="str">
        <f>IFERROR(__xludf.DUMMYFUNCTION("""COMPUTED_VALUE"""),"429.00")</f>
        <v>429.00</v>
      </c>
      <c r="G365" s="26">
        <f>IFERROR(__xludf.DUMMYFUNCTION("""COMPUTED_VALUE"""),-9.149183612749429)</f>
        <v>-9.149183613</v>
      </c>
      <c r="H365" s="26">
        <f>IFERROR(__xludf.DUMMYFUNCTION("""COMPUTED_VALUE"""),-9.43909126042603)</f>
        <v>-9.43909126</v>
      </c>
      <c r="I365" s="26">
        <f>IFERROR(__xludf.DUMMYFUNCTION("""COMPUTED_VALUE"""),-0.2899076476766016)</f>
        <v>-0.2899076477</v>
      </c>
      <c r="J365" s="26">
        <f>IFERROR(__xludf.DUMMYFUNCTION("""COMPUTED_VALUE"""),5.0732)</f>
        <v>5.0732</v>
      </c>
      <c r="K365" s="26">
        <f>IFERROR(__xludf.DUMMYFUNCTION("""COMPUTED_VALUE"""),1.1678)</f>
        <v>1.1678</v>
      </c>
      <c r="L365" s="26">
        <f>IFERROR(__xludf.DUMMYFUNCTION("""COMPUTED_VALUE"""),1.414)</f>
        <v>1.414</v>
      </c>
      <c r="M365" s="26">
        <f>IFERROR(__xludf.DUMMYFUNCTION("""COMPUTED_VALUE"""),1.3888)</f>
        <v>1.3888</v>
      </c>
      <c r="N365" s="26">
        <f>IFERROR(__xludf.DUMMYFUNCTION("""COMPUTED_VALUE"""),0.4056)</f>
        <v>0.4056</v>
      </c>
      <c r="O365" s="26">
        <f>IFERROR(__xludf.DUMMYFUNCTION("""COMPUTED_VALUE"""),0.0756)</f>
        <v>0.0756</v>
      </c>
      <c r="P365" s="464">
        <f>IFERROR(__xludf.DUMMYFUNCTION("""COMPUTED_VALUE"""),0.4079189253)</f>
        <v>0.4079189253</v>
      </c>
      <c r="Q365" s="464">
        <f>IFERROR(__xludf.DUMMYFUNCTION("""COMPUTED_VALUE"""),0.7421404682)</f>
        <v>0.7421404682</v>
      </c>
      <c r="R365" s="26">
        <f>IFERROR(__xludf.DUMMYFUNCTION("""COMPUTED_VALUE"""),0.5796)</f>
        <v>0.5796</v>
      </c>
      <c r="S365" s="26">
        <f>IFERROR(__xludf.DUMMYFUNCTION("""COMPUTED_VALUE"""),-2.2379578742819026)</f>
        <v>-2.237957874</v>
      </c>
      <c r="T365" s="26">
        <f>IFERROR(__xludf.DUMMYFUNCTION("""COMPUTED_VALUE"""),-0.576178224043391)</f>
        <v>-0.576178224</v>
      </c>
      <c r="U365" s="26">
        <f>IFERROR(__xludf.DUMMYFUNCTION("""COMPUTED_VALUE"""),-1.8299444015646662)</f>
        <v>-1.829944402</v>
      </c>
      <c r="V365" s="26">
        <f>IFERROR(__xludf.DUMMYFUNCTION("""COMPUTED_VALUE"""),-1.1555703208696246)</f>
        <v>-1.155570321</v>
      </c>
      <c r="W365" s="26">
        <f>IFERROR(__xludf.DUMMYFUNCTION("""COMPUTED_VALUE"""),-1.8870619515415348)</f>
        <v>-1.887061952</v>
      </c>
      <c r="X365" s="26">
        <f>IFERROR(__xludf.DUMMYFUNCTION("""COMPUTED_VALUE"""),-1.2005138953175358)</f>
        <v>-1.200513895</v>
      </c>
      <c r="Y365" s="26">
        <f>IFERROR(__xludf.DUMMYFUNCTION("""COMPUTED_VALUE"""),-0.4408586928676718)</f>
        <v>-0.4408586929</v>
      </c>
      <c r="Z365" s="26">
        <f>IFERROR(__xludf.DUMMYFUNCTION("""COMPUTED_VALUE"""),-0.11100589993970392)</f>
        <v>-0.1110058999</v>
      </c>
      <c r="AA365" s="26">
        <f>IFERROR(__xludf.DUMMYFUNCTION("""COMPUTED_VALUE"""),0.0)</f>
        <v>0</v>
      </c>
      <c r="AB365" t="str">
        <f>IFERROR(__xludf.DUMMYFUNCTION("SUBSTITUTE(REGEXREPLACE(REGEXREPLACE(REGEXREPLACE(REGEXREPLACE(REGEXREPLACE(REGEXREPLACE(F365,"","",),IF(Projections!$T$17="""",""PG"",),),IF(Projections!$U$17="""",""SG"",),),IF(Projections!$V$17="""",""SF"",),),IF(Projections!$W$17="""",""PF"",),),IF(Pr"&amp;"ojections!$X$17="""",""C"",),),""/"","""")"),"429.00")</f>
        <v>429.00</v>
      </c>
    </row>
    <row r="366">
      <c r="B366">
        <f>IFERROR(__xludf.DUMMYFUNCTION("""COMPUTED_VALUE"""),352.0)</f>
        <v>352</v>
      </c>
      <c r="D366" t="str">
        <f>IFERROR(__xludf.DUMMYFUNCTION("""COMPUTED_VALUE"""),"Thomas Bryant")</f>
        <v>Thomas Bryant</v>
      </c>
      <c r="F366" t="str">
        <f>IFERROR(__xludf.DUMMYFUNCTION("""COMPUTED_VALUE"""),"422.00")</f>
        <v>422.00</v>
      </c>
      <c r="G366" s="26">
        <f>IFERROR(__xludf.DUMMYFUNCTION("""COMPUTED_VALUE"""),-9.1016096958856)</f>
        <v>-9.101609696</v>
      </c>
      <c r="H366" s="26">
        <f>IFERROR(__xludf.DUMMYFUNCTION("""COMPUTED_VALUE"""),-9.444387134693004)</f>
        <v>-9.444387135</v>
      </c>
      <c r="I366" s="26">
        <f>IFERROR(__xludf.DUMMYFUNCTION("""COMPUTED_VALUE"""),-0.3427774388074045)</f>
        <v>-0.3427774388</v>
      </c>
      <c r="J366" s="26">
        <f>IFERROR(__xludf.DUMMYFUNCTION("""COMPUTED_VALUE"""),4.5048)</f>
        <v>4.5048</v>
      </c>
      <c r="K366" s="26">
        <f>IFERROR(__xludf.DUMMYFUNCTION("""COMPUTED_VALUE"""),0.1768)</f>
        <v>0.1768</v>
      </c>
      <c r="L366" s="26">
        <f>IFERROR(__xludf.DUMMYFUNCTION("""COMPUTED_VALUE"""),3.3544)</f>
        <v>3.3544</v>
      </c>
      <c r="M366" s="26">
        <f>IFERROR(__xludf.DUMMYFUNCTION("""COMPUTED_VALUE"""),0.4852)</f>
        <v>0.4852</v>
      </c>
      <c r="N366" s="26">
        <f>IFERROR(__xludf.DUMMYFUNCTION("""COMPUTED_VALUE"""),0.1592)</f>
        <v>0.1592</v>
      </c>
      <c r="O366" s="26">
        <f>IFERROR(__xludf.DUMMYFUNCTION("""COMPUTED_VALUE"""),0.384)</f>
        <v>0.384</v>
      </c>
      <c r="P366" s="464">
        <f>IFERROR(__xludf.DUMMYFUNCTION("""COMPUTED_VALUE"""),0.58161937)</f>
        <v>0.58161937</v>
      </c>
      <c r="Q366" s="464">
        <f>IFERROR(__xludf.DUMMYFUNCTION("""COMPUTED_VALUE"""),0.8399465002)</f>
        <v>0.8399465002</v>
      </c>
      <c r="R366" s="26">
        <f>IFERROR(__xludf.DUMMYFUNCTION("""COMPUTED_VALUE"""),0.3664)</f>
        <v>0.3664</v>
      </c>
      <c r="S366" s="26">
        <f>IFERROR(__xludf.DUMMYFUNCTION("""COMPUTED_VALUE"""),-2.3404151793429424)</f>
        <v>-2.340415179</v>
      </c>
      <c r="T366" s="26">
        <f>IFERROR(__xludf.DUMMYFUNCTION("""COMPUTED_VALUE"""),-1.559179406231502)</f>
        <v>-1.559179406</v>
      </c>
      <c r="U366" s="26">
        <f>IFERROR(__xludf.DUMMYFUNCTION("""COMPUTED_VALUE"""),-1.0694880658716162)</f>
        <v>-1.069488066</v>
      </c>
      <c r="V366" s="26">
        <f>IFERROR(__xludf.DUMMYFUNCTION("""COMPUTED_VALUE"""),-1.5659297876760305)</f>
        <v>-1.565929788</v>
      </c>
      <c r="W366" s="26">
        <f>IFERROR(__xludf.DUMMYFUNCTION("""COMPUTED_VALUE"""),-2.7022303681962243)</f>
        <v>-2.702230368</v>
      </c>
      <c r="X366" s="26">
        <f>IFERROR(__xludf.DUMMYFUNCTION("""COMPUTED_VALUE"""),-0.650436906436898)</f>
        <v>-0.6504369064</v>
      </c>
      <c r="Y366" s="26">
        <f>IFERROR(__xludf.DUMMYFUNCTION("""COMPUTED_VALUE"""),0.3015617689793563)</f>
        <v>0.301561769</v>
      </c>
      <c r="Z366" s="26">
        <f>IFERROR(__xludf.DUMMYFUNCTION("""COMPUTED_VALUE"""),0.14173081008285343)</f>
        <v>0.1417308101</v>
      </c>
      <c r="AA366" s="26">
        <f>IFERROR(__xludf.DUMMYFUNCTION("""COMPUTED_VALUE"""),0.0)</f>
        <v>0</v>
      </c>
      <c r="AB366" t="str">
        <f>IFERROR(__xludf.DUMMYFUNCTION("SUBSTITUTE(REGEXREPLACE(REGEXREPLACE(REGEXREPLACE(REGEXREPLACE(REGEXREPLACE(REGEXREPLACE(F366,"","",),IF(Projections!$T$17="""",""PG"",),),IF(Projections!$U$17="""",""SG"",),),IF(Projections!$V$17="""",""SF"",),),IF(Projections!$W$17="""",""PF"",),),IF(Pr"&amp;"ojections!$X$17="""",""C"",),),""/"","""")"),"422.00")</f>
        <v>422.00</v>
      </c>
    </row>
    <row r="367">
      <c r="B367">
        <f>IFERROR(__xludf.DUMMYFUNCTION("""COMPUTED_VALUE"""),370.0)</f>
        <v>370</v>
      </c>
      <c r="D367" t="str">
        <f>IFERROR(__xludf.DUMMYFUNCTION("""COMPUTED_VALUE"""),"Chris Duarte")</f>
        <v>Chris Duarte</v>
      </c>
      <c r="F367" t="str">
        <f>IFERROR(__xludf.DUMMYFUNCTION("""COMPUTED_VALUE"""),"424.00")</f>
        <v>424.00</v>
      </c>
      <c r="G367" s="26">
        <f>IFERROR(__xludf.DUMMYFUNCTION("""COMPUTED_VALUE"""),-9.153379346747922)</f>
        <v>-9.153379347</v>
      </c>
      <c r="H367" s="26">
        <f>IFERROR(__xludf.DUMMYFUNCTION("""COMPUTED_VALUE"""),-9.445202656415544)</f>
        <v>-9.445202656</v>
      </c>
      <c r="I367" s="26">
        <f>IFERROR(__xludf.DUMMYFUNCTION("""COMPUTED_VALUE"""),-0.29182330966762215)</f>
        <v>-0.2918233097</v>
      </c>
      <c r="J367" s="26">
        <f>IFERROR(__xludf.DUMMYFUNCTION("""COMPUTED_VALUE"""),4.8025)</f>
        <v>4.8025</v>
      </c>
      <c r="K367" s="26">
        <f>IFERROR(__xludf.DUMMYFUNCTION("""COMPUTED_VALUE"""),1.01875)</f>
        <v>1.01875</v>
      </c>
      <c r="L367" s="26">
        <f>IFERROR(__xludf.DUMMYFUNCTION("""COMPUTED_VALUE"""),1.94375)</f>
        <v>1.94375</v>
      </c>
      <c r="M367" s="26">
        <f>IFERROR(__xludf.DUMMYFUNCTION("""COMPUTED_VALUE"""),0.68625)</f>
        <v>0.68625</v>
      </c>
      <c r="N367" s="26">
        <f>IFERROR(__xludf.DUMMYFUNCTION("""COMPUTED_VALUE"""),0.4575)</f>
        <v>0.4575</v>
      </c>
      <c r="O367" s="26">
        <f>IFERROR(__xludf.DUMMYFUNCTION("""COMPUTED_VALUE"""),0.143125)</f>
        <v>0.143125</v>
      </c>
      <c r="P367" s="464">
        <f>IFERROR(__xludf.DUMMYFUNCTION("""COMPUTED_VALUE"""),0.3846481271)</f>
        <v>0.3846481271</v>
      </c>
      <c r="Q367" s="464">
        <f>IFERROR(__xludf.DUMMYFUNCTION("""COMPUTED_VALUE"""),0.815483871)</f>
        <v>0.815483871</v>
      </c>
      <c r="R367" s="26">
        <f>IFERROR(__xludf.DUMMYFUNCTION("""COMPUTED_VALUE"""),0.571875)</f>
        <v>0.571875</v>
      </c>
      <c r="S367" s="26">
        <f>IFERROR(__xludf.DUMMYFUNCTION("""COMPUTED_VALUE"""),-2.2867530756894032)</f>
        <v>-2.286753076</v>
      </c>
      <c r="T367" s="26">
        <f>IFERROR(__xludf.DUMMYFUNCTION("""COMPUTED_VALUE"""),-0.7240251727872234)</f>
        <v>-0.7240251728</v>
      </c>
      <c r="U367" s="26">
        <f>IFERROR(__xludf.DUMMYFUNCTION("""COMPUTED_VALUE"""),-1.6223316702549395)</f>
        <v>-1.62233167</v>
      </c>
      <c r="V367" s="26">
        <f>IFERROR(__xludf.DUMMYFUNCTION("""COMPUTED_VALUE"""),-1.4746252604500145)</f>
        <v>-1.47462526</v>
      </c>
      <c r="W367" s="26">
        <f>IFERROR(__xludf.DUMMYFUNCTION("""COMPUTED_VALUE"""),-1.7153604871568826)</f>
        <v>-1.715360487</v>
      </c>
      <c r="X367" s="26">
        <f>IFERROR(__xludf.DUMMYFUNCTION("""COMPUTED_VALUE"""),-1.0800730760109045)</f>
        <v>-1.080073076</v>
      </c>
      <c r="Y367" s="26">
        <f>IFERROR(__xludf.DUMMYFUNCTION("""COMPUTED_VALUE"""),-0.5769241172016297)</f>
        <v>-0.5769241172</v>
      </c>
      <c r="Z367" s="26">
        <f>IFERROR(__xludf.DUMMYFUNCTION("""COMPUTED_VALUE"""),0.03489020313545415)</f>
        <v>0.03489020314</v>
      </c>
      <c r="AA367" s="26">
        <f>IFERROR(__xludf.DUMMYFUNCTION("""COMPUTED_VALUE"""),0.0)</f>
        <v>0</v>
      </c>
      <c r="AB367" t="str">
        <f>IFERROR(__xludf.DUMMYFUNCTION("SUBSTITUTE(REGEXREPLACE(REGEXREPLACE(REGEXREPLACE(REGEXREPLACE(REGEXREPLACE(REGEXREPLACE(F367,"","",),IF(Projections!$T$17="""",""PG"",),),IF(Projections!$U$17="""",""SG"",),),IF(Projections!$V$17="""",""SF"",),),IF(Projections!$W$17="""",""PF"",),),IF(Pr"&amp;"ojections!$X$17="""",""C"",),),""/"","""")"),"424.00")</f>
        <v>424.00</v>
      </c>
    </row>
    <row r="368">
      <c r="B368">
        <f>IFERROR(__xludf.DUMMYFUNCTION("""COMPUTED_VALUE"""),368.0)</f>
        <v>368</v>
      </c>
      <c r="D368" t="str">
        <f>IFERROR(__xludf.DUMMYFUNCTION("""COMPUTED_VALUE"""),"Patrick Baldwin")</f>
        <v>Patrick Baldwin</v>
      </c>
      <c r="F368" t="str">
        <f>IFERROR(__xludf.DUMMYFUNCTION("""COMPUTED_VALUE"""),"432.00")</f>
        <v>432.00</v>
      </c>
      <c r="G368" s="26">
        <f>IFERROR(__xludf.DUMMYFUNCTION("""COMPUTED_VALUE"""),-9.171734968300736)</f>
        <v>-9.171734968</v>
      </c>
      <c r="H368" s="26">
        <f>IFERROR(__xludf.DUMMYFUNCTION("""COMPUTED_VALUE"""),-9.480142083230424)</f>
        <v>-9.480142083</v>
      </c>
      <c r="I368" s="26">
        <f>IFERROR(__xludf.DUMMYFUNCTION("""COMPUTED_VALUE"""),-0.30840711492968786)</f>
        <v>-0.3084071149</v>
      </c>
      <c r="J368" s="26">
        <f>IFERROR(__xludf.DUMMYFUNCTION("""COMPUTED_VALUE"""),3.756818182)</f>
        <v>3.756818182</v>
      </c>
      <c r="K368" s="26">
        <f>IFERROR(__xludf.DUMMYFUNCTION("""COMPUTED_VALUE"""),0.7872727273)</f>
        <v>0.7872727273</v>
      </c>
      <c r="L368" s="26">
        <f>IFERROR(__xludf.DUMMYFUNCTION("""COMPUTED_VALUE"""),2.86)</f>
        <v>2.86</v>
      </c>
      <c r="M368" s="26">
        <f>IFERROR(__xludf.DUMMYFUNCTION("""COMPUTED_VALUE"""),0.6556818182)</f>
        <v>0.6556818182</v>
      </c>
      <c r="N368" s="26">
        <f>IFERROR(__xludf.DUMMYFUNCTION("""COMPUTED_VALUE"""),0.3838636364)</f>
        <v>0.3838636364</v>
      </c>
      <c r="O368" s="26">
        <f>IFERROR(__xludf.DUMMYFUNCTION("""COMPUTED_VALUE"""),0.3115909091)</f>
        <v>0.3115909091</v>
      </c>
      <c r="P368" s="464">
        <f>IFERROR(__xludf.DUMMYFUNCTION("""COMPUTED_VALUE"""),0.3988885877)</f>
        <v>0.3988885877</v>
      </c>
      <c r="Q368" s="464">
        <f>IFERROR(__xludf.DUMMYFUNCTION("""COMPUTED_VALUE"""),0.6785527006)</f>
        <v>0.6785527006</v>
      </c>
      <c r="R368" s="26">
        <f>IFERROR(__xludf.DUMMYFUNCTION("""COMPUTED_VALUE"""),0.505)</f>
        <v>0.505</v>
      </c>
      <c r="S368" s="26">
        <f>IFERROR(__xludf.DUMMYFUNCTION("""COMPUTED_VALUE"""),-2.4752431197140488)</f>
        <v>-2.47524312</v>
      </c>
      <c r="T368" s="26">
        <f>IFERROR(__xludf.DUMMYFUNCTION("""COMPUTED_VALUE"""),-0.9536340857173746)</f>
        <v>-0.9536340857</v>
      </c>
      <c r="U368" s="26">
        <f>IFERROR(__xludf.DUMMYFUNCTION("""COMPUTED_VALUE"""),-1.2632468848608165)</f>
        <v>-1.263246885</v>
      </c>
      <c r="V368" s="26">
        <f>IFERROR(__xludf.DUMMYFUNCTION("""COMPUTED_VALUE"""),-1.4885074459133714)</f>
        <v>-1.488507446</v>
      </c>
      <c r="W368" s="26">
        <f>IFERROR(__xludf.DUMMYFUNCTION("""COMPUTED_VALUE"""),-1.9589726540563186)</f>
        <v>-1.958972654</v>
      </c>
      <c r="X368" s="26">
        <f>IFERROR(__xludf.DUMMYFUNCTION("""COMPUTED_VALUE"""),-0.7795892238488837)</f>
        <v>-0.7795892238</v>
      </c>
      <c r="Y368" s="26">
        <f>IFERROR(__xludf.DUMMYFUNCTION("""COMPUTED_VALUE"""),-0.383677235174574)</f>
        <v>-0.3836772352</v>
      </c>
      <c r="Z368" s="26">
        <f>IFERROR(__xludf.DUMMYFUNCTION("""COMPUTED_VALUE"""),-0.17727143394503564)</f>
        <v>-0.1772714339</v>
      </c>
      <c r="AA368" s="26">
        <f>IFERROR(__xludf.DUMMYFUNCTION("""COMPUTED_VALUE"""),0.0)</f>
        <v>0</v>
      </c>
      <c r="AB368" t="str">
        <f>IFERROR(__xludf.DUMMYFUNCTION("SUBSTITUTE(REGEXREPLACE(REGEXREPLACE(REGEXREPLACE(REGEXREPLACE(REGEXREPLACE(REGEXREPLACE(F368,"","",),IF(Projections!$T$17="""",""PG"",),),IF(Projections!$U$17="""",""SG"",),),IF(Projections!$V$17="""",""SF"",),),IF(Projections!$W$17="""",""PF"",),),IF(Pr"&amp;"ojections!$X$17="""",""C"",),),""/"","""")"),"432.00")</f>
        <v>432.00</v>
      </c>
    </row>
    <row r="369">
      <c r="B369">
        <f>IFERROR(__xludf.DUMMYFUNCTION("""COMPUTED_VALUE"""),365.0)</f>
        <v>365</v>
      </c>
      <c r="D369" t="str">
        <f>IFERROR(__xludf.DUMMYFUNCTION("""COMPUTED_VALUE"""),"Jeff Dowtin Jr")</f>
        <v>Jeff Dowtin Jr</v>
      </c>
      <c r="F369" t="str">
        <f>IFERROR(__xludf.DUMMYFUNCTION("""COMPUTED_VALUE"""),"426.00")</f>
        <v>426.00</v>
      </c>
      <c r="G369" s="26">
        <f>IFERROR(__xludf.DUMMYFUNCTION("""COMPUTED_VALUE"""),-9.171071865769614)</f>
        <v>-9.171071866</v>
      </c>
      <c r="H369" s="26">
        <f>IFERROR(__xludf.DUMMYFUNCTION("""COMPUTED_VALUE"""),-9.483198712720698)</f>
        <v>-9.483198713</v>
      </c>
      <c r="I369" s="26">
        <f>IFERROR(__xludf.DUMMYFUNCTION("""COMPUTED_VALUE"""),-0.3121268469510845)</f>
        <v>-0.312126847</v>
      </c>
      <c r="J369" s="26">
        <f>IFERROR(__xludf.DUMMYFUNCTION("""COMPUTED_VALUE"""),3.448125)</f>
        <v>3.448125</v>
      </c>
      <c r="K369" s="26">
        <f>IFERROR(__xludf.DUMMYFUNCTION("""COMPUTED_VALUE"""),0.6075)</f>
        <v>0.6075</v>
      </c>
      <c r="L369" s="26">
        <f>IFERROR(__xludf.DUMMYFUNCTION("""COMPUTED_VALUE"""),1.64125)</f>
        <v>1.64125</v>
      </c>
      <c r="M369" s="26">
        <f>IFERROR(__xludf.DUMMYFUNCTION("""COMPUTED_VALUE"""),1.96)</f>
        <v>1.96</v>
      </c>
      <c r="N369" s="26">
        <f>IFERROR(__xludf.DUMMYFUNCTION("""COMPUTED_VALUE"""),0.445)</f>
        <v>0.445</v>
      </c>
      <c r="O369" s="26">
        <f>IFERROR(__xludf.DUMMYFUNCTION("""COMPUTED_VALUE"""),0.1225)</f>
        <v>0.1225</v>
      </c>
      <c r="P369" s="464">
        <f>IFERROR(__xludf.DUMMYFUNCTION("""COMPUTED_VALUE"""),0.4316802678)</f>
        <v>0.4316802678</v>
      </c>
      <c r="Q369" s="464">
        <f>IFERROR(__xludf.DUMMYFUNCTION("""COMPUTED_VALUE"""),0.7299651568)</f>
        <v>0.7299651568</v>
      </c>
      <c r="R369" s="26">
        <f>IFERROR(__xludf.DUMMYFUNCTION("""COMPUTED_VALUE"""),0.49)</f>
        <v>0.49</v>
      </c>
      <c r="S369" s="26">
        <f>IFERROR(__xludf.DUMMYFUNCTION("""COMPUTED_VALUE"""),-2.5308868064108063)</f>
        <v>-2.530886806</v>
      </c>
      <c r="T369" s="26">
        <f>IFERROR(__xludf.DUMMYFUNCTION("""COMPUTED_VALUE"""),-1.131955784467204)</f>
        <v>-1.131955784</v>
      </c>
      <c r="U369" s="26">
        <f>IFERROR(__xludf.DUMMYFUNCTION("""COMPUTED_VALUE"""),-1.7408835366469966)</f>
        <v>-1.740883537</v>
      </c>
      <c r="V369" s="26">
        <f>IFERROR(__xludf.DUMMYFUNCTION("""COMPUTED_VALUE"""),-0.896166461374473)</f>
        <v>-0.8961664614</v>
      </c>
      <c r="W369" s="26">
        <f>IFERROR(__xludf.DUMMYFUNCTION("""COMPUTED_VALUE"""),-1.7567144043978877)</f>
        <v>-1.756714404</v>
      </c>
      <c r="X369" s="26">
        <f>IFERROR(__xludf.DUMMYFUNCTION("""COMPUTED_VALUE"""),-1.1168608123781651)</f>
        <v>-1.116860812</v>
      </c>
      <c r="Y369" s="26">
        <f>IFERROR(__xludf.DUMMYFUNCTION("""COMPUTED_VALUE"""),-0.22779196608331012)</f>
        <v>-0.2277919661</v>
      </c>
      <c r="Z369" s="26">
        <f>IFERROR(__xludf.DUMMYFUNCTION("""COMPUTED_VALUE"""),-0.08193894096185537)</f>
        <v>-0.08193894096</v>
      </c>
      <c r="AA369" s="26">
        <f>IFERROR(__xludf.DUMMYFUNCTION("""COMPUTED_VALUE"""),0.0)</f>
        <v>0</v>
      </c>
      <c r="AB369" t="str">
        <f>IFERROR(__xludf.DUMMYFUNCTION("SUBSTITUTE(REGEXREPLACE(REGEXREPLACE(REGEXREPLACE(REGEXREPLACE(REGEXREPLACE(REGEXREPLACE(F369,"","",),IF(Projections!$T$17="""",""PG"",),),IF(Projections!$U$17="""",""SG"",),),IF(Projections!$V$17="""",""SF"",),),IF(Projections!$W$17="""",""PF"",),),IF(Pr"&amp;"ojections!$X$17="""",""C"",),),""/"","""")"),"426.00")</f>
        <v>426.00</v>
      </c>
    </row>
    <row r="370">
      <c r="B370">
        <f>IFERROR(__xludf.DUMMYFUNCTION("""COMPUTED_VALUE"""),361.0)</f>
        <v>361</v>
      </c>
      <c r="D370" t="str">
        <f>IFERROR(__xludf.DUMMYFUNCTION("""COMPUTED_VALUE"""),"Jeremiah Robinson-Earl")</f>
        <v>Jeremiah Robinson-Earl</v>
      </c>
      <c r="F370" t="str">
        <f>IFERROR(__xludf.DUMMYFUNCTION("""COMPUTED_VALUE"""),"415.00")</f>
        <v>415.00</v>
      </c>
      <c r="G370" s="26">
        <f>IFERROR(__xludf.DUMMYFUNCTION("""COMPUTED_VALUE"""),-9.158675451881933)</f>
        <v>-9.158675452</v>
      </c>
      <c r="H370" s="26">
        <f>IFERROR(__xludf.DUMMYFUNCTION("""COMPUTED_VALUE"""),-9.483940075758603)</f>
        <v>-9.483940076</v>
      </c>
      <c r="I370" s="26">
        <f>IFERROR(__xludf.DUMMYFUNCTION("""COMPUTED_VALUE"""),-0.3252646238766701)</f>
        <v>-0.3252646239</v>
      </c>
      <c r="J370" s="26">
        <f>IFERROR(__xludf.DUMMYFUNCTION("""COMPUTED_VALUE"""),4.56893617)</f>
        <v>4.56893617</v>
      </c>
      <c r="K370" s="26">
        <f>IFERROR(__xludf.DUMMYFUNCTION("""COMPUTED_VALUE"""),0.5225531915)</f>
        <v>0.5225531915</v>
      </c>
      <c r="L370" s="26">
        <f>IFERROR(__xludf.DUMMYFUNCTION("""COMPUTED_VALUE"""),3.118510638)</f>
        <v>3.118510638</v>
      </c>
      <c r="M370" s="26">
        <f>IFERROR(__xludf.DUMMYFUNCTION("""COMPUTED_VALUE"""),0.6842553191)</f>
        <v>0.6842553191</v>
      </c>
      <c r="N370" s="26">
        <f>IFERROR(__xludf.DUMMYFUNCTION("""COMPUTED_VALUE"""),0.3685106383)</f>
        <v>0.3685106383</v>
      </c>
      <c r="O370" s="26">
        <f>IFERROR(__xludf.DUMMYFUNCTION("""COMPUTED_VALUE"""),0.175106383)</f>
        <v>0.175106383</v>
      </c>
      <c r="P370" s="464">
        <f>IFERROR(__xludf.DUMMYFUNCTION("""COMPUTED_VALUE"""),0.4549647458)</f>
        <v>0.4549647458</v>
      </c>
      <c r="Q370" s="464">
        <f>IFERROR(__xludf.DUMMYFUNCTION("""COMPUTED_VALUE"""),0.7561174551)</f>
        <v>0.7561174551</v>
      </c>
      <c r="R370" s="26">
        <f>IFERROR(__xludf.DUMMYFUNCTION("""COMPUTED_VALUE"""),0.4370212766)</f>
        <v>0.4370212766</v>
      </c>
      <c r="S370" s="26">
        <f>IFERROR(__xludf.DUMMYFUNCTION("""COMPUTED_VALUE"""),-2.3288542730531168)</f>
        <v>-2.328854273</v>
      </c>
      <c r="T370" s="26">
        <f>IFERROR(__xludf.DUMMYFUNCTION("""COMPUTED_VALUE"""),-1.2162169481186742)</f>
        <v>-1.216216948</v>
      </c>
      <c r="U370" s="26">
        <f>IFERROR(__xludf.DUMMYFUNCTION("""COMPUTED_VALUE"""),-1.1619347572009768)</f>
        <v>-1.161934757</v>
      </c>
      <c r="V370" s="26">
        <f>IFERROR(__xludf.DUMMYFUNCTION("""COMPUTED_VALUE"""),-1.4755311216613614)</f>
        <v>-1.475531122</v>
      </c>
      <c r="W370" s="26">
        <f>IFERROR(__xludf.DUMMYFUNCTION("""COMPUTED_VALUE"""),-2.009765183082615)</f>
        <v>-2.009765183</v>
      </c>
      <c r="X370" s="26">
        <f>IFERROR(__xludf.DUMMYFUNCTION("""COMPUTED_VALUE"""),-1.0230295518186918)</f>
        <v>-1.023029552</v>
      </c>
      <c r="Y370" s="26">
        <f>IFERROR(__xludf.DUMMYFUNCTION("""COMPUTED_VALUE"""),-0.19738204292048597)</f>
        <v>-0.1973820429</v>
      </c>
      <c r="Z370" s="26">
        <f>IFERROR(__xludf.DUMMYFUNCTION("""COMPUTED_VALUE"""),-0.07122619790268181)</f>
        <v>-0.0712261979</v>
      </c>
      <c r="AA370" s="26">
        <f>IFERROR(__xludf.DUMMYFUNCTION("""COMPUTED_VALUE"""),0.0)</f>
        <v>0</v>
      </c>
      <c r="AB370" t="str">
        <f>IFERROR(__xludf.DUMMYFUNCTION("SUBSTITUTE(REGEXREPLACE(REGEXREPLACE(REGEXREPLACE(REGEXREPLACE(REGEXREPLACE(REGEXREPLACE(F370,"","",),IF(Projections!$T$17="""",""PG"",),),IF(Projections!$U$17="""",""SG"",),),IF(Projections!$V$17="""",""SF"",),),IF(Projections!$W$17="""",""PF"",),),IF(Pr"&amp;"ojections!$X$17="""",""C"",),),""/"","""")"),"415.00")</f>
        <v>415.00</v>
      </c>
    </row>
    <row r="371">
      <c r="B371">
        <f>IFERROR(__xludf.DUMMYFUNCTION("""COMPUTED_VALUE"""),357.0)</f>
        <v>357</v>
      </c>
      <c r="D371" t="str">
        <f>IFERROR(__xludf.DUMMYFUNCTION("""COMPUTED_VALUE"""),"Adem Bona")</f>
        <v>Adem Bona</v>
      </c>
      <c r="F371" t="str">
        <f>IFERROR(__xludf.DUMMYFUNCTION("""COMPUTED_VALUE"""),"420.00")</f>
        <v>420.00</v>
      </c>
      <c r="G371" s="26">
        <f>IFERROR(__xludf.DUMMYFUNCTION("""COMPUTED_VALUE"""),-9.264205904791224)</f>
        <v>-9.264205905</v>
      </c>
      <c r="H371" s="26">
        <f>IFERROR(__xludf.DUMMYFUNCTION("""COMPUTED_VALUE"""),-9.497288446287602)</f>
        <v>-9.497288446</v>
      </c>
      <c r="I371" s="26">
        <f>IFERROR(__xludf.DUMMYFUNCTION("""COMPUTED_VALUE"""),-0.23308254149637797)</f>
        <v>-0.2330825415</v>
      </c>
      <c r="J371" s="26">
        <f>IFERROR(__xludf.DUMMYFUNCTION("""COMPUTED_VALUE"""),3.24125)</f>
        <v>3.24125</v>
      </c>
      <c r="K371" s="26">
        <f>IFERROR(__xludf.DUMMYFUNCTION("""COMPUTED_VALUE"""),0.0)</f>
        <v>0</v>
      </c>
      <c r="L371" s="26">
        <f>IFERROR(__xludf.DUMMYFUNCTION("""COMPUTED_VALUE"""),2.695)</f>
        <v>2.695</v>
      </c>
      <c r="M371" s="26">
        <f>IFERROR(__xludf.DUMMYFUNCTION("""COMPUTED_VALUE"""),0.514375)</f>
        <v>0.514375</v>
      </c>
      <c r="N371" s="26">
        <f>IFERROR(__xludf.DUMMYFUNCTION("""COMPUTED_VALUE"""),0.343125)</f>
        <v>0.343125</v>
      </c>
      <c r="O371" s="26">
        <f>IFERROR(__xludf.DUMMYFUNCTION("""COMPUTED_VALUE"""),0.68625)</f>
        <v>0.68625</v>
      </c>
      <c r="P371" s="464">
        <f>IFERROR(__xludf.DUMMYFUNCTION("""COMPUTED_VALUE"""),0.5820652174)</f>
        <v>0.5820652174</v>
      </c>
      <c r="Q371" s="464">
        <f>IFERROR(__xludf.DUMMYFUNCTION("""COMPUTED_VALUE"""),0.6797287114)</f>
        <v>0.6797287114</v>
      </c>
      <c r="R371" s="26">
        <f>IFERROR(__xludf.DUMMYFUNCTION("""COMPUTED_VALUE"""),0.80875)</f>
        <v>0.80875</v>
      </c>
      <c r="S371" s="26">
        <f>IFERROR(__xludf.DUMMYFUNCTION("""COMPUTED_VALUE"""),-2.568177191675589)</f>
        <v>-2.568177192</v>
      </c>
      <c r="T371" s="26">
        <f>IFERROR(__xludf.DUMMYFUNCTION("""COMPUTED_VALUE"""),-1.7345523719336797)</f>
        <v>-1.734552372</v>
      </c>
      <c r="U371" s="26">
        <f>IFERROR(__xludf.DUMMYFUNCTION("""COMPUTED_VALUE"""),-1.327911539256484)</f>
        <v>-1.327911539</v>
      </c>
      <c r="V371" s="26">
        <f>IFERROR(__xludf.DUMMYFUNCTION("""COMPUTED_VALUE"""),-1.5526802995794422)</f>
        <v>-1.5526803</v>
      </c>
      <c r="W371" s="26">
        <f>IFERROR(__xludf.DUMMYFUNCTION("""COMPUTED_VALUE"""),-2.093748829912078)</f>
        <v>-2.09374883</v>
      </c>
      <c r="X371" s="26">
        <f>IFERROR(__xludf.DUMMYFUNCTION("""COMPUTED_VALUE"""),-0.11132935167304345)</f>
        <v>-0.1113293517</v>
      </c>
      <c r="Y371" s="26">
        <f>IFERROR(__xludf.DUMMYFUNCTION("""COMPUTED_VALUE"""),0.22691264979447234)</f>
        <v>0.2269126498</v>
      </c>
      <c r="Z371" s="26">
        <f>IFERROR(__xludf.DUMMYFUNCTION("""COMPUTED_VALUE"""),-0.3358015120517576)</f>
        <v>-0.3358015121</v>
      </c>
      <c r="AA371" s="26">
        <f>IFERROR(__xludf.DUMMYFUNCTION("""COMPUTED_VALUE"""),0.0)</f>
        <v>0</v>
      </c>
      <c r="AB371" t="str">
        <f>IFERROR(__xludf.DUMMYFUNCTION("SUBSTITUTE(REGEXREPLACE(REGEXREPLACE(REGEXREPLACE(REGEXREPLACE(REGEXREPLACE(REGEXREPLACE(F371,"","",),IF(Projections!$T$17="""",""PG"",),),IF(Projections!$U$17="""",""SG"",),),IF(Projections!$V$17="""",""SF"",),),IF(Projections!$W$17="""",""PF"",),),IF(Pr"&amp;"ojections!$X$17="""",""C"",),),""/"","""")"),"420.00")</f>
        <v>420.00</v>
      </c>
    </row>
    <row r="372">
      <c r="B372">
        <f>IFERROR(__xludf.DUMMYFUNCTION("""COMPUTED_VALUE"""),366.0)</f>
        <v>366</v>
      </c>
      <c r="D372" t="str">
        <f>IFERROR(__xludf.DUMMYFUNCTION("""COMPUTED_VALUE"""),"Mouhamed Gueye")</f>
        <v>Mouhamed Gueye</v>
      </c>
      <c r="F372" t="str">
        <f>IFERROR(__xludf.DUMMYFUNCTION("""COMPUTED_VALUE"""),"423.00")</f>
        <v>423.00</v>
      </c>
      <c r="G372" s="26">
        <f>IFERROR(__xludf.DUMMYFUNCTION("""COMPUTED_VALUE"""),-9.20020687170425)</f>
        <v>-9.200206872</v>
      </c>
      <c r="H372" s="26">
        <f>IFERROR(__xludf.DUMMYFUNCTION("""COMPUTED_VALUE"""),-9.5315771323127)</f>
        <v>-9.531577132</v>
      </c>
      <c r="I372" s="26">
        <f>IFERROR(__xludf.DUMMYFUNCTION("""COMPUTED_VALUE"""),-0.3313702606084501)</f>
        <v>-0.3313702606</v>
      </c>
      <c r="J372" s="26">
        <f>IFERROR(__xludf.DUMMYFUNCTION("""COMPUTED_VALUE"""),4.2764)</f>
        <v>4.2764</v>
      </c>
      <c r="K372" s="26">
        <f>IFERROR(__xludf.DUMMYFUNCTION("""COMPUTED_VALUE"""),0.4388)</f>
        <v>0.4388</v>
      </c>
      <c r="L372" s="26">
        <f>IFERROR(__xludf.DUMMYFUNCTION("""COMPUTED_VALUE"""),2.9792)</f>
        <v>2.9792</v>
      </c>
      <c r="M372" s="26">
        <f>IFERROR(__xludf.DUMMYFUNCTION("""COMPUTED_VALUE"""),0.5132)</f>
        <v>0.5132</v>
      </c>
      <c r="N372" s="26">
        <f>IFERROR(__xludf.DUMMYFUNCTION("""COMPUTED_VALUE"""),0.34)</f>
        <v>0.34</v>
      </c>
      <c r="O372" s="26">
        <f>IFERROR(__xludf.DUMMYFUNCTION("""COMPUTED_VALUE"""),0.4584)</f>
        <v>0.4584</v>
      </c>
      <c r="P372" s="464">
        <f>IFERROR(__xludf.DUMMYFUNCTION("""COMPUTED_VALUE"""),0.4551804424)</f>
        <v>0.4551804424</v>
      </c>
      <c r="Q372" s="464">
        <f>IFERROR(__xludf.DUMMYFUNCTION("""COMPUTED_VALUE"""),0.7118780096)</f>
        <v>0.7118780096</v>
      </c>
      <c r="R372" s="26">
        <f>IFERROR(__xludf.DUMMYFUNCTION("""COMPUTED_VALUE"""),0.4124)</f>
        <v>0.4124</v>
      </c>
      <c r="S372" s="26">
        <f>IFERROR(__xludf.DUMMYFUNCTION("""COMPUTED_VALUE"""),-2.38158556723165)</f>
        <v>-2.381585567</v>
      </c>
      <c r="T372" s="26">
        <f>IFERROR(__xludf.DUMMYFUNCTION("""COMPUTED_VALUE"""),-1.2992941290031619)</f>
        <v>-1.299294129</v>
      </c>
      <c r="U372" s="26">
        <f>IFERROR(__xludf.DUMMYFUNCTION("""COMPUTED_VALUE"""),-1.2165315708974007)</f>
        <v>-1.216531571</v>
      </c>
      <c r="V372" s="26">
        <f>IFERROR(__xludf.DUMMYFUNCTION("""COMPUTED_VALUE"""),-1.553213912210582)</f>
        <v>-1.553213912</v>
      </c>
      <c r="W372" s="26">
        <f>IFERROR(__xludf.DUMMYFUNCTION("""COMPUTED_VALUE"""),-2.104087309222329)</f>
        <v>-2.104087309</v>
      </c>
      <c r="X372" s="26">
        <f>IFERROR(__xludf.DUMMYFUNCTION("""COMPUTED_VALUE"""),-0.51773350834118)</f>
        <v>-0.5177335083</v>
      </c>
      <c r="Y372" s="26">
        <f>IFERROR(__xludf.DUMMYFUNCTION("""COMPUTED_VALUE"""),-0.168122837726524)</f>
        <v>-0.1681228377</v>
      </c>
      <c r="Z372" s="26">
        <f>IFERROR(__xludf.DUMMYFUNCTION("""COMPUTED_VALUE"""),-0.29100829767987174)</f>
        <v>-0.2910082977</v>
      </c>
      <c r="AA372" s="26">
        <f>IFERROR(__xludf.DUMMYFUNCTION("""COMPUTED_VALUE"""),0.0)</f>
        <v>0</v>
      </c>
      <c r="AB372" t="str">
        <f>IFERROR(__xludf.DUMMYFUNCTION("SUBSTITUTE(REGEXREPLACE(REGEXREPLACE(REGEXREPLACE(REGEXREPLACE(REGEXREPLACE(REGEXREPLACE(F372,"","",),IF(Projections!$T$17="""",""PG"",),),IF(Projections!$U$17="""",""SG"",),),IF(Projections!$V$17="""",""SF"",),),IF(Projections!$W$17="""",""PF"",),),IF(Pr"&amp;"ojections!$X$17="""",""C"",),),""/"","""")"),"423.00")</f>
        <v>423.00</v>
      </c>
    </row>
    <row r="373">
      <c r="B373">
        <f>IFERROR(__xludf.DUMMYFUNCTION("""COMPUTED_VALUE"""),371.0)</f>
        <v>371</v>
      </c>
      <c r="D373" t="str">
        <f>IFERROR(__xludf.DUMMYFUNCTION("""COMPUTED_VALUE"""),"Dru Smith")</f>
        <v>Dru Smith</v>
      </c>
      <c r="F373" t="str">
        <f>IFERROR(__xludf.DUMMYFUNCTION("""COMPUTED_VALUE"""),"430.00")</f>
        <v>430.00</v>
      </c>
      <c r="G373" s="26">
        <f>IFERROR(__xludf.DUMMYFUNCTION("""COMPUTED_VALUE"""),-9.23770037954681)</f>
        <v>-9.23770038</v>
      </c>
      <c r="H373" s="26">
        <f>IFERROR(__xludf.DUMMYFUNCTION("""COMPUTED_VALUE"""),-9.54874230465832)</f>
        <v>-9.548742305</v>
      </c>
      <c r="I373" s="26">
        <f>IFERROR(__xludf.DUMMYFUNCTION("""COMPUTED_VALUE"""),-0.3110419251115104)</f>
        <v>-0.3110419251</v>
      </c>
      <c r="J373" s="26">
        <f>IFERROR(__xludf.DUMMYFUNCTION("""COMPUTED_VALUE"""),3.215625)</f>
        <v>3.215625</v>
      </c>
      <c r="K373" s="26">
        <f>IFERROR(__xludf.DUMMYFUNCTION("""COMPUTED_VALUE"""),0.559375)</f>
        <v>0.559375</v>
      </c>
      <c r="L373" s="26">
        <f>IFERROR(__xludf.DUMMYFUNCTION("""COMPUTED_VALUE"""),1.11125)</f>
        <v>1.11125</v>
      </c>
      <c r="M373" s="26">
        <f>IFERROR(__xludf.DUMMYFUNCTION("""COMPUTED_VALUE"""),1.300625)</f>
        <v>1.300625</v>
      </c>
      <c r="N373" s="26">
        <f>IFERROR(__xludf.DUMMYFUNCTION("""COMPUTED_VALUE"""),0.536875)</f>
        <v>0.536875</v>
      </c>
      <c r="O373" s="26">
        <f>IFERROR(__xludf.DUMMYFUNCTION("""COMPUTED_VALUE"""),0.171875)</f>
        <v>0.171875</v>
      </c>
      <c r="P373" s="464">
        <f>IFERROR(__xludf.DUMMYFUNCTION("""COMPUTED_VALUE"""),0.4243670201)</f>
        <v>0.4243670201</v>
      </c>
      <c r="Q373" s="464">
        <f>IFERROR(__xludf.DUMMYFUNCTION("""COMPUTED_VALUE"""),0.8864864865)</f>
        <v>0.8864864865</v>
      </c>
      <c r="R373" s="26">
        <f>IFERROR(__xludf.DUMMYFUNCTION("""COMPUTED_VALUE"""),0.494375)</f>
        <v>0.494375</v>
      </c>
      <c r="S373" s="26">
        <f>IFERROR(__xludf.DUMMYFUNCTION("""COMPUTED_VALUE"""),-2.5727962424183572)</f>
        <v>-2.572796242</v>
      </c>
      <c r="T373" s="26">
        <f>IFERROR(__xludf.DUMMYFUNCTION("""COMPUTED_VALUE"""),-1.1796923454084782)</f>
        <v>-1.179692345</v>
      </c>
      <c r="U373" s="26">
        <f>IFERROR(__xludf.DUMMYFUNCTION("""COMPUTED_VALUE"""),-1.9485942447058076)</f>
        <v>-1.948594245</v>
      </c>
      <c r="V373" s="26">
        <f>IFERROR(__xludf.DUMMYFUNCTION("""COMPUTED_VALUE"""),-1.1956139751255506)</f>
        <v>-1.195613975</v>
      </c>
      <c r="W373" s="26">
        <f>IFERROR(__xludf.DUMMYFUNCTION("""COMPUTED_VALUE"""),-1.4527631126765013)</f>
        <v>-1.452763113</v>
      </c>
      <c r="X373" s="26">
        <f>IFERROR(__xludf.DUMMYFUNCTION("""COMPUTED_VALUE"""),-1.0287932010747232)</f>
        <v>-1.028793201</v>
      </c>
      <c r="Y373" s="26">
        <f>IFERROR(__xludf.DUMMYFUNCTION("""COMPUTED_VALUE"""),-0.2448286667109888)</f>
        <v>-0.2448286667</v>
      </c>
      <c r="Z373" s="26">
        <f>IFERROR(__xludf.DUMMYFUNCTION("""COMPUTED_VALUE"""),0.07433948346208592)</f>
        <v>0.07433948346</v>
      </c>
      <c r="AA373" s="26">
        <f>IFERROR(__xludf.DUMMYFUNCTION("""COMPUTED_VALUE"""),0.0)</f>
        <v>0</v>
      </c>
      <c r="AB373" t="str">
        <f>IFERROR(__xludf.DUMMYFUNCTION("SUBSTITUTE(REGEXREPLACE(REGEXREPLACE(REGEXREPLACE(REGEXREPLACE(REGEXREPLACE(REGEXREPLACE(F373,"","",),IF(Projections!$T$17="""",""PG"",),),IF(Projections!$U$17="""",""SG"",),),IF(Projections!$V$17="""",""SF"",),),IF(Projections!$W$17="""",""PF"",),),IF(Pr"&amp;"ojections!$X$17="""",""C"",),),""/"","""")"),"430.00")</f>
        <v>430.00</v>
      </c>
    </row>
    <row r="374">
      <c r="B374">
        <f>IFERROR(__xludf.DUMMYFUNCTION("""COMPUTED_VALUE"""),356.0)</f>
        <v>356</v>
      </c>
      <c r="D374" t="str">
        <f>IFERROR(__xludf.DUMMYFUNCTION("""COMPUTED_VALUE"""),"James Wiseman")</f>
        <v>James Wiseman</v>
      </c>
      <c r="F374" t="str">
        <f>IFERROR(__xludf.DUMMYFUNCTION("""COMPUTED_VALUE"""),"409.00")</f>
        <v>409.00</v>
      </c>
      <c r="G374" s="26">
        <f>IFERROR(__xludf.DUMMYFUNCTION("""COMPUTED_VALUE"""),-9.313761574498454)</f>
        <v>-9.313761574</v>
      </c>
      <c r="H374" s="26">
        <f>IFERROR(__xludf.DUMMYFUNCTION("""COMPUTED_VALUE"""),-9.549746634174316)</f>
        <v>-9.549746634</v>
      </c>
      <c r="I374" s="26">
        <f>IFERROR(__xludf.DUMMYFUNCTION("""COMPUTED_VALUE"""),-0.23598505967586192)</f>
        <v>-0.2359850597</v>
      </c>
      <c r="J374" s="26">
        <f>IFERROR(__xludf.DUMMYFUNCTION("""COMPUTED_VALUE"""),5.277954545)</f>
        <v>5.277954545</v>
      </c>
      <c r="K374" s="26">
        <f>IFERROR(__xludf.DUMMYFUNCTION("""COMPUTED_VALUE"""),0.0)</f>
        <v>0</v>
      </c>
      <c r="L374" s="26">
        <f>IFERROR(__xludf.DUMMYFUNCTION("""COMPUTED_VALUE"""),4.017045455)</f>
        <v>4.017045455</v>
      </c>
      <c r="M374" s="26">
        <f>IFERROR(__xludf.DUMMYFUNCTION("""COMPUTED_VALUE"""),0.6415909091)</f>
        <v>0.6415909091</v>
      </c>
      <c r="N374" s="26">
        <f>IFERROR(__xludf.DUMMYFUNCTION("""COMPUTED_VALUE"""),0.1338636364)</f>
        <v>0.1338636364</v>
      </c>
      <c r="O374" s="26">
        <f>IFERROR(__xludf.DUMMYFUNCTION("""COMPUTED_VALUE"""),0.4856818182)</f>
        <v>0.4856818182</v>
      </c>
      <c r="P374" s="464">
        <f>IFERROR(__xludf.DUMMYFUNCTION("""COMPUTED_VALUE"""),0.570017331)</f>
        <v>0.570017331</v>
      </c>
      <c r="Q374" s="464">
        <f>IFERROR(__xludf.DUMMYFUNCTION("""COMPUTED_VALUE"""),0.6979395879)</f>
        <v>0.6979395879</v>
      </c>
      <c r="R374" s="26">
        <f>IFERROR(__xludf.DUMMYFUNCTION("""COMPUTED_VALUE"""),0.7970454545)</f>
        <v>0.7970454545</v>
      </c>
      <c r="S374" s="26">
        <f>IFERROR(__xludf.DUMMYFUNCTION("""COMPUTED_VALUE"""),-2.201049712987569)</f>
        <v>-2.201049713</v>
      </c>
      <c r="T374" s="26">
        <f>IFERROR(__xludf.DUMMYFUNCTION("""COMPUTED_VALUE"""),-1.7345523719336797)</f>
        <v>-1.734552372</v>
      </c>
      <c r="U374" s="26">
        <f>IFERROR(__xludf.DUMMYFUNCTION("""COMPUTED_VALUE"""),-0.8097926759659505)</f>
        <v>-0.809792676</v>
      </c>
      <c r="V374" s="26">
        <f>IFERROR(__xludf.DUMMYFUNCTION("""COMPUTED_VALUE"""),-1.494906668960177)</f>
        <v>-1.494906669</v>
      </c>
      <c r="W374" s="26">
        <f>IFERROR(__xludf.DUMMYFUNCTION("""COMPUTED_VALUE"""),-2.786050998876417)</f>
        <v>-2.786050999</v>
      </c>
      <c r="X374" s="26">
        <f>IFERROR(__xludf.DUMMYFUNCTION("""COMPUTED_VALUE"""),-0.46907235267761005)</f>
        <v>-0.4690723527</v>
      </c>
      <c r="Y374" s="26">
        <f>IFERROR(__xludf.DUMMYFUNCTION("""COMPUTED_VALUE"""),0.3329973327137659)</f>
        <v>0.3329973327</v>
      </c>
      <c r="Z374" s="26">
        <f>IFERROR(__xludf.DUMMYFUNCTION("""COMPUTED_VALUE"""),-0.38731918548667743)</f>
        <v>-0.3873191855</v>
      </c>
      <c r="AA374" s="26">
        <f>IFERROR(__xludf.DUMMYFUNCTION("""COMPUTED_VALUE"""),0.0)</f>
        <v>0</v>
      </c>
      <c r="AB374" t="str">
        <f>IFERROR(__xludf.DUMMYFUNCTION("SUBSTITUTE(REGEXREPLACE(REGEXREPLACE(REGEXREPLACE(REGEXREPLACE(REGEXREPLACE(REGEXREPLACE(F374,"","",),IF(Projections!$T$17="""",""PG"",),),IF(Projections!$U$17="""",""SG"",),),IF(Projections!$V$17="""",""SF"",),),IF(Projections!$W$17="""",""PF"",),),IF(Pr"&amp;"ojections!$X$17="""",""C"",),),""/"","""")"),"409.00")</f>
        <v>409.00</v>
      </c>
    </row>
    <row r="375">
      <c r="B375">
        <f>IFERROR(__xludf.DUMMYFUNCTION("""COMPUTED_VALUE"""),374.0)</f>
        <v>374</v>
      </c>
      <c r="D375" t="str">
        <f>IFERROR(__xludf.DUMMYFUNCTION("""COMPUTED_VALUE"""),"Ousmane Dieng")</f>
        <v>Ousmane Dieng</v>
      </c>
      <c r="F375" t="str">
        <f>IFERROR(__xludf.DUMMYFUNCTION("""COMPUTED_VALUE"""),"433.00")</f>
        <v>433.00</v>
      </c>
      <c r="G375" s="26">
        <f>IFERROR(__xludf.DUMMYFUNCTION("""COMPUTED_VALUE"""),-9.322711437957768)</f>
        <v>-9.322711438</v>
      </c>
      <c r="H375" s="26">
        <f>IFERROR(__xludf.DUMMYFUNCTION("""COMPUTED_VALUE"""),-9.573725975251664)</f>
        <v>-9.573725975</v>
      </c>
      <c r="I375" s="26">
        <f>IFERROR(__xludf.DUMMYFUNCTION("""COMPUTED_VALUE"""),-0.2510145372938961)</f>
        <v>-0.2510145373</v>
      </c>
      <c r="J375" s="26">
        <f>IFERROR(__xludf.DUMMYFUNCTION("""COMPUTED_VALUE"""),5.043424658)</f>
        <v>5.043424658</v>
      </c>
      <c r="K375" s="26">
        <f>IFERROR(__xludf.DUMMYFUNCTION("""COMPUTED_VALUE"""),0.7804109589)</f>
        <v>0.7804109589</v>
      </c>
      <c r="L375" s="26">
        <f>IFERROR(__xludf.DUMMYFUNCTION("""COMPUTED_VALUE"""),1.826438356)</f>
        <v>1.826438356</v>
      </c>
      <c r="M375" s="26">
        <f>IFERROR(__xludf.DUMMYFUNCTION("""COMPUTED_VALUE"""),1.312191781)</f>
        <v>1.312191781</v>
      </c>
      <c r="N375" s="26">
        <f>IFERROR(__xludf.DUMMYFUNCTION("""COMPUTED_VALUE"""),0.3336986301)</f>
        <v>0.3336986301</v>
      </c>
      <c r="O375" s="26">
        <f>IFERROR(__xludf.DUMMYFUNCTION("""COMPUTED_VALUE"""),0.1738356164)</f>
        <v>0.1738356164</v>
      </c>
      <c r="P375" s="464">
        <f>IFERROR(__xludf.DUMMYFUNCTION("""COMPUTED_VALUE"""),0.4228032893)</f>
        <v>0.4228032893</v>
      </c>
      <c r="Q375" s="464">
        <f>IFERROR(__xludf.DUMMYFUNCTION("""COMPUTED_VALUE"""),0.805983282)</f>
        <v>0.805983282</v>
      </c>
      <c r="R375" s="26">
        <f>IFERROR(__xludf.DUMMYFUNCTION("""COMPUTED_VALUE"""),0.7364383562)</f>
        <v>0.7364383562</v>
      </c>
      <c r="S375" s="26">
        <f>IFERROR(__xludf.DUMMYFUNCTION("""COMPUTED_VALUE"""),-2.243325047572879)</f>
        <v>-2.243325048</v>
      </c>
      <c r="T375" s="26">
        <f>IFERROR(__xludf.DUMMYFUNCTION("""COMPUTED_VALUE"""),-0.9604404696216138)</f>
        <v>-0.9604404696</v>
      </c>
      <c r="U375" s="26">
        <f>IFERROR(__xludf.DUMMYFUNCTION("""COMPUTED_VALUE"""),-1.6683069242903796)</f>
        <v>-1.668306924</v>
      </c>
      <c r="V375" s="26">
        <f>IFERROR(__xludf.DUMMYFUNCTION("""COMPUTED_VALUE"""),-1.1903610555994035)</f>
        <v>-1.190361056</v>
      </c>
      <c r="W375" s="26">
        <f>IFERROR(__xludf.DUMMYFUNCTION("""COMPUTED_VALUE"""),-2.1249342155702937)</f>
        <v>-2.124934216</v>
      </c>
      <c r="X375" s="26">
        <f>IFERROR(__xludf.DUMMYFUNCTION("""COMPUTED_VALUE"""),-1.0252961518994248)</f>
        <v>-1.025296152</v>
      </c>
      <c r="Y375" s="26">
        <f>IFERROR(__xludf.DUMMYFUNCTION("""COMPUTED_VALUE"""),-0.38513425244546573)</f>
        <v>-0.3851342524</v>
      </c>
      <c r="Z375" s="26">
        <f>IFERROR(__xludf.DUMMYFUNCTION("""COMPUTED_VALUE"""),0.024072141747797378)</f>
        <v>0.02407214175</v>
      </c>
      <c r="AA375" s="26">
        <f>IFERROR(__xludf.DUMMYFUNCTION("""COMPUTED_VALUE"""),0.0)</f>
        <v>0</v>
      </c>
      <c r="AB375" t="str">
        <f>IFERROR(__xludf.DUMMYFUNCTION("SUBSTITUTE(REGEXREPLACE(REGEXREPLACE(REGEXREPLACE(REGEXREPLACE(REGEXREPLACE(REGEXREPLACE(F375,"","",),IF(Projections!$T$17="""",""PG"",),),IF(Projections!$U$17="""",""SG"",),),IF(Projections!$V$17="""",""SF"",),),IF(Projections!$W$17="""",""PF"",),),IF(Pr"&amp;"ojections!$X$17="""",""C"",),),""/"","""")"),"433.00")</f>
        <v>433.00</v>
      </c>
    </row>
    <row r="376">
      <c r="B376">
        <f>IFERROR(__xludf.DUMMYFUNCTION("""COMPUTED_VALUE"""),372.0)</f>
        <v>372</v>
      </c>
      <c r="D376" t="str">
        <f>IFERROR(__xludf.DUMMYFUNCTION("""COMPUTED_VALUE"""),"Jae'Sean Tate")</f>
        <v>Jae'Sean Tate</v>
      </c>
      <c r="F376" t="str">
        <f>IFERROR(__xludf.DUMMYFUNCTION("""COMPUTED_VALUE"""),"421.00")</f>
        <v>421.00</v>
      </c>
      <c r="G376" s="26">
        <f>IFERROR(__xludf.DUMMYFUNCTION("""COMPUTED_VALUE"""),-9.335450551425987)</f>
        <v>-9.335450551</v>
      </c>
      <c r="H376" s="26">
        <f>IFERROR(__xludf.DUMMYFUNCTION("""COMPUTED_VALUE"""),-9.618621837343383)</f>
        <v>-9.618621837</v>
      </c>
      <c r="I376" s="26">
        <f>IFERROR(__xludf.DUMMYFUNCTION("""COMPUTED_VALUE"""),-0.2831712859173958)</f>
        <v>-0.2831712859</v>
      </c>
      <c r="J376" s="26">
        <f>IFERROR(__xludf.DUMMYFUNCTION("""COMPUTED_VALUE"""),3.397647059)</f>
        <v>3.397647059</v>
      </c>
      <c r="K376" s="26">
        <f>IFERROR(__xludf.DUMMYFUNCTION("""COMPUTED_VALUE"""),0.2217647059)</f>
        <v>0.2217647059</v>
      </c>
      <c r="L376" s="26">
        <f>IFERROR(__xludf.DUMMYFUNCTION("""COMPUTED_VALUE"""),2.270441176)</f>
        <v>2.270441176</v>
      </c>
      <c r="M376" s="26">
        <f>IFERROR(__xludf.DUMMYFUNCTION("""COMPUTED_VALUE"""),0.9652941176)</f>
        <v>0.9652941176</v>
      </c>
      <c r="N376" s="26">
        <f>IFERROR(__xludf.DUMMYFUNCTION("""COMPUTED_VALUE"""),0.5110294118)</f>
        <v>0.5110294118</v>
      </c>
      <c r="O376" s="26">
        <f>IFERROR(__xludf.DUMMYFUNCTION("""COMPUTED_VALUE"""),0.1933823529)</f>
        <v>0.1933823529</v>
      </c>
      <c r="P376" s="464">
        <f>IFERROR(__xludf.DUMMYFUNCTION("""COMPUTED_VALUE"""),0.4805815575)</f>
        <v>0.4805815575</v>
      </c>
      <c r="Q376" s="464">
        <f>IFERROR(__xludf.DUMMYFUNCTION("""COMPUTED_VALUE"""),0.713130056)</f>
        <v>0.713130056</v>
      </c>
      <c r="R376" s="26">
        <f>IFERROR(__xludf.DUMMYFUNCTION("""COMPUTED_VALUE"""),0.6067647059)</f>
        <v>0.6067647059</v>
      </c>
      <c r="S376" s="26">
        <f>IFERROR(__xludf.DUMMYFUNCTION("""COMPUTED_VALUE"""),-2.53998573990815)</f>
        <v>-2.53998574</v>
      </c>
      <c r="T376" s="26">
        <f>IFERROR(__xludf.DUMMYFUNCTION("""COMPUTED_VALUE"""),-1.5145776311997756)</f>
        <v>-1.514577631</v>
      </c>
      <c r="U376" s="26">
        <f>IFERROR(__xludf.DUMMYFUNCTION("""COMPUTED_VALUE"""),-1.4942991127388539)</f>
        <v>-1.494299113</v>
      </c>
      <c r="V376" s="26">
        <f>IFERROR(__xludf.DUMMYFUNCTION("""COMPUTED_VALUE"""),-1.3479006087083147)</f>
        <v>-1.347900609</v>
      </c>
      <c r="W376" s="26">
        <f>IFERROR(__xludf.DUMMYFUNCTION("""COMPUTED_VALUE"""),-1.5382684179139325)</f>
        <v>-1.538268418</v>
      </c>
      <c r="X376" s="26">
        <f>IFERROR(__xludf.DUMMYFUNCTION("""COMPUTED_VALUE"""),-0.9904316578774949)</f>
        <v>-0.9904316579</v>
      </c>
      <c r="Y376" s="26">
        <f>IFERROR(__xludf.DUMMYFUNCTION("""COMPUTED_VALUE"""),-0.057251844987166525)</f>
        <v>-0.05725184499</v>
      </c>
      <c r="Z376" s="26">
        <f>IFERROR(__xludf.DUMMYFUNCTION("""COMPUTED_VALUE"""),-0.13590682400969223)</f>
        <v>-0.135906824</v>
      </c>
      <c r="AA376" s="26">
        <f>IFERROR(__xludf.DUMMYFUNCTION("""COMPUTED_VALUE"""),0.0)</f>
        <v>0</v>
      </c>
      <c r="AB376" t="str">
        <f>IFERROR(__xludf.DUMMYFUNCTION("SUBSTITUTE(REGEXREPLACE(REGEXREPLACE(REGEXREPLACE(REGEXREPLACE(REGEXREPLACE(REGEXREPLACE(F376,"","",),IF(Projections!$T$17="""",""PG"",),),IF(Projections!$U$17="""",""SG"",),),IF(Projections!$V$17="""",""SF"",),),IF(Projections!$W$17="""",""PF"",),),IF(Pr"&amp;"ojections!$X$17="""",""C"",),),""/"","""")"),"421.00")</f>
        <v>421.00</v>
      </c>
    </row>
    <row r="377">
      <c r="B377">
        <f>IFERROR(__xludf.DUMMYFUNCTION("""COMPUTED_VALUE"""),367.0)</f>
        <v>367</v>
      </c>
      <c r="D377" t="str">
        <f>IFERROR(__xludf.DUMMYFUNCTION("""COMPUTED_VALUE"""),"Sandro Mamukelashvili")</f>
        <v>Sandro Mamukelashvili</v>
      </c>
      <c r="F377" t="str">
        <f>IFERROR(__xludf.DUMMYFUNCTION("""COMPUTED_VALUE"""),"419.00")</f>
        <v>419.00</v>
      </c>
      <c r="G377" s="26">
        <f>IFERROR(__xludf.DUMMYFUNCTION("""COMPUTED_VALUE"""),-9.312326345838864)</f>
        <v>-9.312326346</v>
      </c>
      <c r="H377" s="26">
        <f>IFERROR(__xludf.DUMMYFUNCTION("""COMPUTED_VALUE"""),-9.620548793209254)</f>
        <v>-9.620548793</v>
      </c>
      <c r="I377" s="26">
        <f>IFERROR(__xludf.DUMMYFUNCTION("""COMPUTED_VALUE"""),-0.3082224473703903)</f>
        <v>-0.3082224474</v>
      </c>
      <c r="J377" s="26">
        <f>IFERROR(__xludf.DUMMYFUNCTION("""COMPUTED_VALUE"""),4.780212766)</f>
        <v>4.780212766</v>
      </c>
      <c r="K377" s="26">
        <f>IFERROR(__xludf.DUMMYFUNCTION("""COMPUTED_VALUE"""),0.4480851064)</f>
        <v>0.4480851064</v>
      </c>
      <c r="L377" s="26">
        <f>IFERROR(__xludf.DUMMYFUNCTION("""COMPUTED_VALUE"""),3.414680851)</f>
        <v>3.414680851</v>
      </c>
      <c r="M377" s="26">
        <f>IFERROR(__xludf.DUMMYFUNCTION("""COMPUTED_VALUE"""),1.011914894)</f>
        <v>1.011914894</v>
      </c>
      <c r="N377" s="26">
        <f>IFERROR(__xludf.DUMMYFUNCTION("""COMPUTED_VALUE"""),0.204893617)</f>
        <v>0.204893617</v>
      </c>
      <c r="O377" s="26">
        <f>IFERROR(__xludf.DUMMYFUNCTION("""COMPUTED_VALUE"""),0.23)</f>
        <v>0.23</v>
      </c>
      <c r="P377" s="464">
        <f>IFERROR(__xludf.DUMMYFUNCTION("""COMPUTED_VALUE"""),0.4969798658)</f>
        <v>0.4969798658</v>
      </c>
      <c r="Q377" s="464">
        <f>IFERROR(__xludf.DUMMYFUNCTION("""COMPUTED_VALUE"""),0.7239932886)</f>
        <v>0.7239932886</v>
      </c>
      <c r="R377" s="26">
        <f>IFERROR(__xludf.DUMMYFUNCTION("""COMPUTED_VALUE"""),0.5057446809)</f>
        <v>0.5057446809</v>
      </c>
      <c r="S377" s="26">
        <f>IFERROR(__xludf.DUMMYFUNCTION("""COMPUTED_VALUE"""),-2.290770475289869)</f>
        <v>-2.290770475</v>
      </c>
      <c r="T377" s="26">
        <f>IFERROR(__xludf.DUMMYFUNCTION("""COMPUTED_VALUE"""),-1.290083966976984)</f>
        <v>-1.290083967</v>
      </c>
      <c r="U377" s="26">
        <f>IFERROR(__xludf.DUMMYFUNCTION("""COMPUTED_VALUE"""),-1.0458635786195452)</f>
        <v>-1.045863579</v>
      </c>
      <c r="V377" s="26">
        <f>IFERROR(__xludf.DUMMYFUNCTION("""COMPUTED_VALUE"""),-1.3267283234652816)</f>
        <v>-1.326728323</v>
      </c>
      <c r="W377" s="26">
        <f>IFERROR(__xludf.DUMMYFUNCTION("""COMPUTED_VALUE"""),-2.5510615637274103)</f>
        <v>-2.551061564</v>
      </c>
      <c r="X377" s="26">
        <f>IFERROR(__xludf.DUMMYFUNCTION("""COMPUTED_VALUE"""),-0.9251186713124435)</f>
        <v>-0.9251186713</v>
      </c>
      <c r="Y377" s="26">
        <f>IFERROR(__xludf.DUMMYFUNCTION("""COMPUTED_VALUE"""),-0.0011805840630676305)</f>
        <v>-0.001180584063</v>
      </c>
      <c r="Z377" s="26">
        <f>IFERROR(__xludf.DUMMYFUNCTION("""COMPUTED_VALUE"""),-0.1897416297546526)</f>
        <v>-0.1897416298</v>
      </c>
      <c r="AA377" s="26">
        <f>IFERROR(__xludf.DUMMYFUNCTION("""COMPUTED_VALUE"""),0.0)</f>
        <v>0</v>
      </c>
      <c r="AB377" t="str">
        <f>IFERROR(__xludf.DUMMYFUNCTION("SUBSTITUTE(REGEXREPLACE(REGEXREPLACE(REGEXREPLACE(REGEXREPLACE(REGEXREPLACE(REGEXREPLACE(F377,"","",),IF(Projections!$T$17="""",""PG"",),),IF(Projections!$U$17="""",""SG"",),),IF(Projections!$V$17="""",""SF"",),),IF(Projections!$W$17="""",""PF"",),),IF(Pr"&amp;"ojections!$X$17="""",""C"",),),""/"","""")"),"419.00")</f>
        <v>419.00</v>
      </c>
    </row>
    <row r="378">
      <c r="B378">
        <f>IFERROR(__xludf.DUMMYFUNCTION("""COMPUTED_VALUE"""),363.0)</f>
        <v>363</v>
      </c>
      <c r="D378" t="str">
        <f>IFERROR(__xludf.DUMMYFUNCTION("""COMPUTED_VALUE"""),"Jock Landale")</f>
        <v>Jock Landale</v>
      </c>
      <c r="F378" t="str">
        <f>IFERROR(__xludf.DUMMYFUNCTION("""COMPUTED_VALUE"""),"414.00")</f>
        <v>414.00</v>
      </c>
      <c r="G378" s="26">
        <f>IFERROR(__xludf.DUMMYFUNCTION("""COMPUTED_VALUE"""),-9.330541888188826)</f>
        <v>-9.330541888</v>
      </c>
      <c r="H378" s="26">
        <f>IFERROR(__xludf.DUMMYFUNCTION("""COMPUTED_VALUE"""),-9.625309985706721)</f>
        <v>-9.625309986</v>
      </c>
      <c r="I378" s="26">
        <f>IFERROR(__xludf.DUMMYFUNCTION("""COMPUTED_VALUE"""),-0.29476809751789546)</f>
        <v>-0.2947680975</v>
      </c>
      <c r="J378" s="26">
        <f>IFERROR(__xludf.DUMMYFUNCTION("""COMPUTED_VALUE"""),4.1975)</f>
        <v>4.1975</v>
      </c>
      <c r="K378" s="26">
        <f>IFERROR(__xludf.DUMMYFUNCTION("""COMPUTED_VALUE"""),0.188125)</f>
        <v>0.188125</v>
      </c>
      <c r="L378" s="26">
        <f>IFERROR(__xludf.DUMMYFUNCTION("""COMPUTED_VALUE"""),2.600625)</f>
        <v>2.600625</v>
      </c>
      <c r="M378" s="26">
        <f>IFERROR(__xludf.DUMMYFUNCTION("""COMPUTED_VALUE"""),0.915)</f>
        <v>0.915</v>
      </c>
      <c r="N378" s="26">
        <f>IFERROR(__xludf.DUMMYFUNCTION("""COMPUTED_VALUE"""),0.248125)</f>
        <v>0.248125</v>
      </c>
      <c r="O378" s="26">
        <f>IFERROR(__xludf.DUMMYFUNCTION("""COMPUTED_VALUE"""),0.433125)</f>
        <v>0.433125</v>
      </c>
      <c r="P378" s="464">
        <f>IFERROR(__xludf.DUMMYFUNCTION("""COMPUTED_VALUE"""),0.5327214685)</f>
        <v>0.5327214685</v>
      </c>
      <c r="Q378" s="464">
        <f>IFERROR(__xludf.DUMMYFUNCTION("""COMPUTED_VALUE"""),0.7613314448)</f>
        <v>0.7613314448</v>
      </c>
      <c r="R378" s="26">
        <f>IFERROR(__xludf.DUMMYFUNCTION("""COMPUTED_VALUE"""),0.56)</f>
        <v>0.56</v>
      </c>
      <c r="S378" s="26">
        <f>IFERROR(__xludf.DUMMYFUNCTION("""COMPUTED_VALUE"""),-2.395807737128406)</f>
        <v>-2.395807737</v>
      </c>
      <c r="T378" s="26">
        <f>IFERROR(__xludf.DUMMYFUNCTION("""COMPUTED_VALUE"""),-1.5479458155268802)</f>
        <v>-1.547945816</v>
      </c>
      <c r="U378" s="26">
        <f>IFERROR(__xludf.DUMMYFUNCTION("""COMPUTED_VALUE"""),-1.364897762035824)</f>
        <v>-1.364897762</v>
      </c>
      <c r="V378" s="26">
        <f>IFERROR(__xludf.DUMMYFUNCTION("""COMPUTED_VALUE"""),-1.3707410992813942)</f>
        <v>-1.370741099</v>
      </c>
      <c r="W378" s="26">
        <f>IFERROR(__xludf.DUMMYFUNCTION("""COMPUTED_VALUE"""),-2.408038600943715)</f>
        <v>-2.408038601</v>
      </c>
      <c r="X378" s="26">
        <f>IFERROR(__xludf.DUMMYFUNCTION("""COMPUTED_VALUE"""),-0.562815207089423)</f>
        <v>-0.5628152071</v>
      </c>
      <c r="Y378" s="26">
        <f>IFERROR(__xludf.DUMMYFUNCTION("""COMPUTED_VALUE"""),0.12925611000366627)</f>
        <v>0.12925611</v>
      </c>
      <c r="Z378" s="26">
        <f>IFERROR(__xludf.DUMMYFUNCTION("""COMPUTED_VALUE"""),-0.10431987370474387)</f>
        <v>-0.1043198737</v>
      </c>
      <c r="AA378" s="26">
        <f>IFERROR(__xludf.DUMMYFUNCTION("""COMPUTED_VALUE"""),0.0)</f>
        <v>0</v>
      </c>
      <c r="AB378" t="str">
        <f>IFERROR(__xludf.DUMMYFUNCTION("SUBSTITUTE(REGEXREPLACE(REGEXREPLACE(REGEXREPLACE(REGEXREPLACE(REGEXREPLACE(REGEXREPLACE(F378,"","",),IF(Projections!$T$17="""",""PG"",),),IF(Projections!$U$17="""",""SG"",),),IF(Projections!$V$17="""",""SF"",),),IF(Projections!$W$17="""",""PF"",),),IF(Pr"&amp;"ojections!$X$17="""",""C"",),),""/"","""")"),"414.00")</f>
        <v>414.00</v>
      </c>
    </row>
    <row r="379">
      <c r="B379">
        <f>IFERROR(__xludf.DUMMYFUNCTION("""COMPUTED_VALUE"""),375.0)</f>
        <v>375</v>
      </c>
      <c r="D379" t="str">
        <f>IFERROR(__xludf.DUMMYFUNCTION("""COMPUTED_VALUE"""),"Jordan Miller")</f>
        <v>Jordan Miller</v>
      </c>
      <c r="F379" t="str">
        <f>IFERROR(__xludf.DUMMYFUNCTION("""COMPUTED_VALUE"""),"439.00")</f>
        <v>439.00</v>
      </c>
      <c r="G379" s="26">
        <f>IFERROR(__xludf.DUMMYFUNCTION("""COMPUTED_VALUE"""),-9.340083058221927)</f>
        <v>-9.340083058</v>
      </c>
      <c r="H379" s="26">
        <f>IFERROR(__xludf.DUMMYFUNCTION("""COMPUTED_VALUE"""),-9.646380149731668)</f>
        <v>-9.64638015</v>
      </c>
      <c r="I379" s="26">
        <f>IFERROR(__xludf.DUMMYFUNCTION("""COMPUTED_VALUE"""),-0.30629709150974094)</f>
        <v>-0.3062970915</v>
      </c>
      <c r="J379" s="26">
        <f>IFERROR(__xludf.DUMMYFUNCTION("""COMPUTED_VALUE"""),5.650877193)</f>
        <v>5.650877193</v>
      </c>
      <c r="K379" s="26">
        <f>IFERROR(__xludf.DUMMYFUNCTION("""COMPUTED_VALUE"""),0.4564912281)</f>
        <v>0.4564912281</v>
      </c>
      <c r="L379" s="26">
        <f>IFERROR(__xludf.DUMMYFUNCTION("""COMPUTED_VALUE"""),2.265614035)</f>
        <v>2.265614035</v>
      </c>
      <c r="M379" s="26">
        <f>IFERROR(__xludf.DUMMYFUNCTION("""COMPUTED_VALUE"""),0.7152631579)</f>
        <v>0.7152631579</v>
      </c>
      <c r="N379" s="26">
        <f>IFERROR(__xludf.DUMMYFUNCTION("""COMPUTED_VALUE"""),0.4126315789)</f>
        <v>0.4126315789</v>
      </c>
      <c r="O379" s="26">
        <f>IFERROR(__xludf.DUMMYFUNCTION("""COMPUTED_VALUE"""),0.1375438596)</f>
        <v>0.1375438596</v>
      </c>
      <c r="P379" s="464">
        <f>IFERROR(__xludf.DUMMYFUNCTION("""COMPUTED_VALUE"""),0.4731918355)</f>
        <v>0.4731918355</v>
      </c>
      <c r="Q379" s="464">
        <f>IFERROR(__xludf.DUMMYFUNCTION("""COMPUTED_VALUE"""),0.7392265193)</f>
        <v>0.7392265193</v>
      </c>
      <c r="R379" s="26">
        <f>IFERROR(__xludf.DUMMYFUNCTION("""COMPUTED_VALUE"""),0.5135087719)</f>
        <v>0.5135087719</v>
      </c>
      <c r="S379" s="26">
        <f>IFERROR(__xludf.DUMMYFUNCTION("""COMPUTED_VALUE"""),-2.133828302870914)</f>
        <v>-2.133828303</v>
      </c>
      <c r="T379" s="26">
        <f>IFERROR(__xludf.DUMMYFUNCTION("""COMPUTED_VALUE"""),-1.281745694960115)</f>
        <v>-1.281745695</v>
      </c>
      <c r="U379" s="26">
        <f>IFERROR(__xludf.DUMMYFUNCTION("""COMPUTED_VALUE"""),-1.4961909030690608)</f>
        <v>-1.496190903</v>
      </c>
      <c r="V379" s="26">
        <f>IFERROR(__xludf.DUMMYFUNCTION("""COMPUTED_VALUE"""),-1.4614492710673075)</f>
        <v>-1.461449271</v>
      </c>
      <c r="W379" s="26">
        <f>IFERROR(__xludf.DUMMYFUNCTION("""COMPUTED_VALUE"""),-1.8637992849891993)</f>
        <v>-1.863799285</v>
      </c>
      <c r="X379" s="26">
        <f>IFERROR(__xludf.DUMMYFUNCTION("""COMPUTED_VALUE"""),-1.0900278649400617)</f>
        <v>-1.090027865</v>
      </c>
      <c r="Y379" s="26">
        <f>IFERROR(__xludf.DUMMYFUNCTION("""COMPUTED_VALUE"""),-0.1327511856168007)</f>
        <v>-0.1327511856</v>
      </c>
      <c r="Z379" s="26">
        <f>IFERROR(__xludf.DUMMYFUNCTION("""COMPUTED_VALUE"""),-0.18658764221820834)</f>
        <v>-0.1865876422</v>
      </c>
      <c r="AA379" s="26">
        <f>IFERROR(__xludf.DUMMYFUNCTION("""COMPUTED_VALUE"""),0.0)</f>
        <v>0</v>
      </c>
      <c r="AB379" t="str">
        <f>IFERROR(__xludf.DUMMYFUNCTION("SUBSTITUTE(REGEXREPLACE(REGEXREPLACE(REGEXREPLACE(REGEXREPLACE(REGEXREPLACE(REGEXREPLACE(F379,"","",),IF(Projections!$T$17="""",""PG"",),),IF(Projections!$U$17="""",""SG"",),),IF(Projections!$V$17="""",""SF"",),),IF(Projections!$W$17="""",""PF"",),),IF(Pr"&amp;"ojections!$X$17="""",""C"",),),""/"","""")"),"439.00")</f>
        <v>439.00</v>
      </c>
    </row>
    <row r="380">
      <c r="B380">
        <f>IFERROR(__xludf.DUMMYFUNCTION("""COMPUTED_VALUE"""),373.0)</f>
        <v>373</v>
      </c>
      <c r="D380" t="str">
        <f>IFERROR(__xludf.DUMMYFUNCTION("""COMPUTED_VALUE"""),"KJ Martin")</f>
        <v>KJ Martin</v>
      </c>
      <c r="F380" t="str">
        <f>IFERROR(__xludf.DUMMYFUNCTION("""COMPUTED_VALUE"""),"425.00")</f>
        <v>425.00</v>
      </c>
      <c r="G380" s="26">
        <f>IFERROR(__xludf.DUMMYFUNCTION("""COMPUTED_VALUE"""),-9.44945648395352)</f>
        <v>-9.449456484</v>
      </c>
      <c r="H380" s="26">
        <f>IFERROR(__xludf.DUMMYFUNCTION("""COMPUTED_VALUE"""),-9.75372176960113)</f>
        <v>-9.75372177</v>
      </c>
      <c r="I380" s="26">
        <f>IFERROR(__xludf.DUMMYFUNCTION("""COMPUTED_VALUE"""),-0.3042652856476096)</f>
        <v>-0.3042652856</v>
      </c>
      <c r="J380" s="26">
        <f>IFERROR(__xludf.DUMMYFUNCTION("""COMPUTED_VALUE"""),3.640851064)</f>
        <v>3.640851064</v>
      </c>
      <c r="K380" s="26">
        <f>IFERROR(__xludf.DUMMYFUNCTION("""COMPUTED_VALUE"""),0.1044680851)</f>
        <v>0.1044680851</v>
      </c>
      <c r="L380" s="26">
        <f>IFERROR(__xludf.DUMMYFUNCTION("""COMPUTED_VALUE"""),2.80106383)</f>
        <v>2.80106383</v>
      </c>
      <c r="M380" s="26">
        <f>IFERROR(__xludf.DUMMYFUNCTION("""COMPUTED_VALUE"""),0.7395744681)</f>
        <v>0.7395744681</v>
      </c>
      <c r="N380" s="26">
        <f>IFERROR(__xludf.DUMMYFUNCTION("""COMPUTED_VALUE"""),0.3057446809)</f>
        <v>0.3057446809</v>
      </c>
      <c r="O380" s="26">
        <f>IFERROR(__xludf.DUMMYFUNCTION("""COMPUTED_VALUE"""),0.3429787234)</f>
        <v>0.3429787234</v>
      </c>
      <c r="P380" s="464">
        <f>IFERROR(__xludf.DUMMYFUNCTION("""COMPUTED_VALUE"""),0.5701760849)</f>
        <v>0.5701760849</v>
      </c>
      <c r="Q380" s="464">
        <f>IFERROR(__xludf.DUMMYFUNCTION("""COMPUTED_VALUE"""),0.6479591837)</f>
        <v>0.6479591837</v>
      </c>
      <c r="R380" s="26">
        <f>IFERROR(__xludf.DUMMYFUNCTION("""COMPUTED_VALUE"""),0.5217021277)</f>
        <v>0.5217021277</v>
      </c>
      <c r="S380" s="26">
        <f>IFERROR(__xludf.DUMMYFUNCTION("""COMPUTED_VALUE"""),-2.4961468466422256)</f>
        <v>-2.496146847</v>
      </c>
      <c r="T380" s="26">
        <f>IFERROR(__xludf.DUMMYFUNCTION("""COMPUTED_VALUE"""),-1.630927496904186)</f>
        <v>-1.630927497</v>
      </c>
      <c r="U380" s="26">
        <f>IFERROR(__xludf.DUMMYFUNCTION("""COMPUTED_VALUE"""),-1.2863443822211456)</f>
        <v>-1.286344382</v>
      </c>
      <c r="V380" s="26">
        <f>IFERROR(__xludf.DUMMYFUNCTION("""COMPUTED_VALUE"""),-1.4504085713206973)</f>
        <v>-1.450408571</v>
      </c>
      <c r="W380" s="26">
        <f>IFERROR(__xludf.DUMMYFUNCTION("""COMPUTED_VALUE"""),-2.217414639712378)</f>
        <v>-2.21741464</v>
      </c>
      <c r="X380" s="26">
        <f>IFERROR(__xludf.DUMMYFUNCTION("""COMPUTED_VALUE"""),-0.7236044171767416)</f>
        <v>-0.7236044172</v>
      </c>
      <c r="Y380" s="26">
        <f>IFERROR(__xludf.DUMMYFUNCTION("""COMPUTED_VALUE"""),0.24497443463290422)</f>
        <v>0.2449744346</v>
      </c>
      <c r="Z380" s="26">
        <f>IFERROR(__xludf.DUMMYFUNCTION("""COMPUTED_VALUE"""),-0.1938498502566641)</f>
        <v>-0.1938498503</v>
      </c>
      <c r="AA380" s="26">
        <f>IFERROR(__xludf.DUMMYFUNCTION("""COMPUTED_VALUE"""),0.0)</f>
        <v>0</v>
      </c>
      <c r="AB380" t="str">
        <f>IFERROR(__xludf.DUMMYFUNCTION("SUBSTITUTE(REGEXREPLACE(REGEXREPLACE(REGEXREPLACE(REGEXREPLACE(REGEXREPLACE(REGEXREPLACE(F380,"","",),IF(Projections!$T$17="""",""PG"",),),IF(Projections!$U$17="""",""SG"",),),IF(Projections!$V$17="""",""SF"",),),IF(Projections!$W$17="""",""PF"",),),IF(Pr"&amp;"ojections!$X$17="""",""C"",),),""/"","""")"),"425.00")</f>
        <v>425.00</v>
      </c>
    </row>
    <row r="381">
      <c r="B381">
        <f>IFERROR(__xludf.DUMMYFUNCTION("""COMPUTED_VALUE"""),376.0)</f>
        <v>376</v>
      </c>
      <c r="D381" t="str">
        <f>IFERROR(__xludf.DUMMYFUNCTION("""COMPUTED_VALUE"""),"Jay Huff")</f>
        <v>Jay Huff</v>
      </c>
      <c r="F381" t="str">
        <f>IFERROR(__xludf.DUMMYFUNCTION("""COMPUTED_VALUE"""),"435.00")</f>
        <v>435.00</v>
      </c>
      <c r="G381" s="26">
        <f>IFERROR(__xludf.DUMMYFUNCTION("""COMPUTED_VALUE"""),-9.432012574230692)</f>
        <v>-9.432012574</v>
      </c>
      <c r="H381" s="26">
        <f>IFERROR(__xludf.DUMMYFUNCTION("""COMPUTED_VALUE"""),-9.76630282447594)</f>
        <v>-9.766302824</v>
      </c>
      <c r="I381" s="26">
        <f>IFERROR(__xludf.DUMMYFUNCTION("""COMPUTED_VALUE"""),-0.33429025024524783)</f>
        <v>-0.3342902502</v>
      </c>
      <c r="J381" s="26">
        <f>IFERROR(__xludf.DUMMYFUNCTION("""COMPUTED_VALUE"""),3.08)</f>
        <v>3.08</v>
      </c>
      <c r="K381" s="26">
        <f>IFERROR(__xludf.DUMMYFUNCTION("""COMPUTED_VALUE"""),0.330625)</f>
        <v>0.330625</v>
      </c>
      <c r="L381" s="26">
        <f>IFERROR(__xludf.DUMMYFUNCTION("""COMPUTED_VALUE"""),2.136875)</f>
        <v>2.136875</v>
      </c>
      <c r="M381" s="26">
        <f>IFERROR(__xludf.DUMMYFUNCTION("""COMPUTED_VALUE"""),0.44125)</f>
        <v>0.44125</v>
      </c>
      <c r="N381" s="26">
        <f>IFERROR(__xludf.DUMMYFUNCTION("""COMPUTED_VALUE"""),0.3125)</f>
        <v>0.3125</v>
      </c>
      <c r="O381" s="26">
        <f>IFERROR(__xludf.DUMMYFUNCTION("""COMPUTED_VALUE"""),0.523125)</f>
        <v>0.523125</v>
      </c>
      <c r="P381" s="464">
        <f>IFERROR(__xludf.DUMMYFUNCTION("""COMPUTED_VALUE"""),0.5147058824)</f>
        <v>0.5147058824</v>
      </c>
      <c r="Q381" s="464">
        <f>IFERROR(__xludf.DUMMYFUNCTION("""COMPUTED_VALUE"""),0.7512135922)</f>
        <v>0.7512135922</v>
      </c>
      <c r="R381" s="26">
        <f>IFERROR(__xludf.DUMMYFUNCTION("""COMPUTED_VALUE"""),0.400625)</f>
        <v>0.400625</v>
      </c>
      <c r="S381" s="26">
        <f>IFERROR(__xludf.DUMMYFUNCTION("""COMPUTED_VALUE"""),-2.5972434134227615)</f>
        <v>-2.597243413</v>
      </c>
      <c r="T381" s="26">
        <f>IFERROR(__xludf.DUMMYFUNCTION("""COMPUTED_VALUE"""),-1.4065959987137562)</f>
        <v>-1.406595999</v>
      </c>
      <c r="U381" s="26">
        <f>IFERROR(__xludf.DUMMYFUNCTION("""COMPUTED_VALUE"""),-1.5466446315872835)</f>
        <v>-1.546644632</v>
      </c>
      <c r="V381" s="26">
        <f>IFERROR(__xludf.DUMMYFUNCTION("""COMPUTED_VALUE"""),-1.5858891707726899)</f>
        <v>-1.585889171</v>
      </c>
      <c r="W381" s="26">
        <f>IFERROR(__xludf.DUMMYFUNCTION("""COMPUTED_VALUE"""),-2.1950659271525397)</f>
        <v>-2.195065927</v>
      </c>
      <c r="X381" s="26">
        <f>IFERROR(__xludf.DUMMYFUNCTION("""COMPUTED_VALUE"""),-0.402286902941377)</f>
        <v>-0.4022869029</v>
      </c>
      <c r="Y381" s="26">
        <f>IFERROR(__xludf.DUMMYFUNCTION("""COMPUTED_VALUE"""),0.046606602484369763)</f>
        <v>0.04660660248</v>
      </c>
      <c r="Z381" s="26">
        <f>IFERROR(__xludf.DUMMYFUNCTION("""COMPUTED_VALUE"""),-0.07918338236990136)</f>
        <v>-0.07918338237</v>
      </c>
      <c r="AA381" s="26">
        <f>IFERROR(__xludf.DUMMYFUNCTION("""COMPUTED_VALUE"""),0.0)</f>
        <v>0</v>
      </c>
      <c r="AB381" t="str">
        <f>IFERROR(__xludf.DUMMYFUNCTION("SUBSTITUTE(REGEXREPLACE(REGEXREPLACE(REGEXREPLACE(REGEXREPLACE(REGEXREPLACE(REGEXREPLACE(F381,"","",),IF(Projections!$T$17="""",""PG"",),),IF(Projections!$U$17="""",""SG"",),),IF(Projections!$V$17="""",""SF"",),),IF(Projections!$W$17="""",""PF"",),),IF(Pr"&amp;"ojections!$X$17="""",""C"",),),""/"","""")"),"435.00")</f>
        <v>435.00</v>
      </c>
    </row>
    <row r="382">
      <c r="B382">
        <f>IFERROR(__xludf.DUMMYFUNCTION("""COMPUTED_VALUE"""),381.0)</f>
        <v>381</v>
      </c>
      <c r="D382" t="str">
        <f>IFERROR(__xludf.DUMMYFUNCTION("""COMPUTED_VALUE"""),"KJ Simpson")</f>
        <v>KJ Simpson</v>
      </c>
      <c r="F382" t="str">
        <f>IFERROR(__xludf.DUMMYFUNCTION("""COMPUTED_VALUE"""),"437.00")</f>
        <v>437.00</v>
      </c>
      <c r="G382" s="26">
        <f>IFERROR(__xludf.DUMMYFUNCTION("""COMPUTED_VALUE"""),-9.565098120608925)</f>
        <v>-9.565098121</v>
      </c>
      <c r="H382" s="26">
        <f>IFERROR(__xludf.DUMMYFUNCTION("""COMPUTED_VALUE"""),-9.775251707905701)</f>
        <v>-9.775251708</v>
      </c>
      <c r="I382" s="26">
        <f>IFERROR(__xludf.DUMMYFUNCTION("""COMPUTED_VALUE"""),-0.21015358729677658)</f>
        <v>-0.2101535873</v>
      </c>
      <c r="J382" s="26">
        <f>IFERROR(__xludf.DUMMYFUNCTION("""COMPUTED_VALUE"""),4.08030303)</f>
        <v>4.08030303</v>
      </c>
      <c r="K382" s="26">
        <f>IFERROR(__xludf.DUMMYFUNCTION("""COMPUTED_VALUE"""),0.56)</f>
        <v>0.56</v>
      </c>
      <c r="L382" s="26">
        <f>IFERROR(__xludf.DUMMYFUNCTION("""COMPUTED_VALUE"""),1.647878788)</f>
        <v>1.647878788</v>
      </c>
      <c r="M382" s="26">
        <f>IFERROR(__xludf.DUMMYFUNCTION("""COMPUTED_VALUE"""),1.802424242)</f>
        <v>1.802424242</v>
      </c>
      <c r="N382" s="26">
        <f>IFERROR(__xludf.DUMMYFUNCTION("""COMPUTED_VALUE"""),0.4378787879)</f>
        <v>0.4378787879</v>
      </c>
      <c r="O382" s="26">
        <f>IFERROR(__xludf.DUMMYFUNCTION("""COMPUTED_VALUE"""),0.07727272727)</f>
        <v>0.07727272727</v>
      </c>
      <c r="P382" s="464">
        <f>IFERROR(__xludf.DUMMYFUNCTION("""COMPUTED_VALUE"""),0.3806980884)</f>
        <v>0.3806980884</v>
      </c>
      <c r="Q382" s="464">
        <f>IFERROR(__xludf.DUMMYFUNCTION("""COMPUTED_VALUE"""),0.8101092896)</f>
        <v>0.8101092896</v>
      </c>
      <c r="R382" s="26">
        <f>IFERROR(__xludf.DUMMYFUNCTION("""COMPUTED_VALUE"""),0.9012121212)</f>
        <v>0.9012121212</v>
      </c>
      <c r="S382" s="26">
        <f>IFERROR(__xludf.DUMMYFUNCTION("""COMPUTED_VALUE"""),-2.416933151814401)</f>
        <v>-2.416933152</v>
      </c>
      <c r="T382" s="26">
        <f>IFERROR(__xludf.DUMMYFUNCTION("""COMPUTED_VALUE"""),-1.1790723900715785)</f>
        <v>-1.17907239</v>
      </c>
      <c r="U382" s="26">
        <f>IFERROR(__xludf.DUMMYFUNCTION("""COMPUTED_VALUE"""),-1.7382856682525596)</f>
        <v>-1.738285668</v>
      </c>
      <c r="V382" s="26">
        <f>IFERROR(__xludf.DUMMYFUNCTION("""COMPUTED_VALUE"""),-0.9677276654852469)</f>
        <v>-0.9677276655</v>
      </c>
      <c r="W382" s="26">
        <f>IFERROR(__xludf.DUMMYFUNCTION("""COMPUTED_VALUE"""),-1.780273605665011)</f>
        <v>-1.780273606</v>
      </c>
      <c r="X382" s="26">
        <f>IFERROR(__xludf.DUMMYFUNCTION("""COMPUTED_VALUE"""),-1.197530338962477)</f>
        <v>-1.197530339</v>
      </c>
      <c r="Y382" s="26">
        <f>IFERROR(__xludf.DUMMYFUNCTION("""COMPUTED_VALUE"""),-0.5307978932156855)</f>
        <v>-0.5307978932</v>
      </c>
      <c r="Z382" s="26">
        <f>IFERROR(__xludf.DUMMYFUNCTION("""COMPUTED_VALUE"""),0.03536900556125722)</f>
        <v>0.03536900556</v>
      </c>
      <c r="AA382" s="26">
        <f>IFERROR(__xludf.DUMMYFUNCTION("""COMPUTED_VALUE"""),0.0)</f>
        <v>0</v>
      </c>
      <c r="AB382" t="str">
        <f>IFERROR(__xludf.DUMMYFUNCTION("SUBSTITUTE(REGEXREPLACE(REGEXREPLACE(REGEXREPLACE(REGEXREPLACE(REGEXREPLACE(REGEXREPLACE(F382,"","",),IF(Projections!$T$17="""",""PG"",),),IF(Projections!$U$17="""",""SG"",),),IF(Projections!$V$17="""",""SF"",),),IF(Projections!$W$17="""",""PF"",),),IF(Pr"&amp;"ojections!$X$17="""",""C"",),),""/"","""")"),"437.00")</f>
        <v>437.00</v>
      </c>
    </row>
    <row r="383">
      <c r="B383">
        <f>IFERROR(__xludf.DUMMYFUNCTION("""COMPUTED_VALUE"""),377.0)</f>
        <v>377</v>
      </c>
      <c r="D383" t="str">
        <f>IFERROR(__xludf.DUMMYFUNCTION("""COMPUTED_VALUE"""),"Andre Jackson Jr.")</f>
        <v>Andre Jackson Jr.</v>
      </c>
      <c r="F383" t="str">
        <f>IFERROR(__xludf.DUMMYFUNCTION("""COMPUTED_VALUE"""),"431.00")</f>
        <v>431.00</v>
      </c>
      <c r="G383" s="26">
        <f>IFERROR(__xludf.DUMMYFUNCTION("""COMPUTED_VALUE"""),-9.501621998172325)</f>
        <v>-9.501621998</v>
      </c>
      <c r="H383" s="26">
        <f>IFERROR(__xludf.DUMMYFUNCTION("""COMPUTED_VALUE"""),-9.778725614861068)</f>
        <v>-9.778725615</v>
      </c>
      <c r="I383" s="26">
        <f>IFERROR(__xludf.DUMMYFUNCTION("""COMPUTED_VALUE"""),-0.27710361668874306)</f>
        <v>-0.2771036167</v>
      </c>
      <c r="J383" s="26">
        <f>IFERROR(__xludf.DUMMYFUNCTION("""COMPUTED_VALUE"""),2.664383562)</f>
        <v>2.664383562</v>
      </c>
      <c r="K383" s="26">
        <f>IFERROR(__xludf.DUMMYFUNCTION("""COMPUTED_VALUE"""),0.3405479452)</f>
        <v>0.3405479452</v>
      </c>
      <c r="L383" s="26">
        <f>IFERROR(__xludf.DUMMYFUNCTION("""COMPUTED_VALUE"""),2.842191781)</f>
        <v>2.842191781</v>
      </c>
      <c r="M383" s="26">
        <f>IFERROR(__xludf.DUMMYFUNCTION("""COMPUTED_VALUE"""),1.072465753)</f>
        <v>1.072465753</v>
      </c>
      <c r="N383" s="26">
        <f>IFERROR(__xludf.DUMMYFUNCTION("""COMPUTED_VALUE"""),0.3667123288)</f>
        <v>0.3667123288</v>
      </c>
      <c r="O383" s="26">
        <f>IFERROR(__xludf.DUMMYFUNCTION("""COMPUTED_VALUE"""),0.2145205479)</f>
        <v>0.2145205479</v>
      </c>
      <c r="P383" s="464">
        <f>IFERROR(__xludf.DUMMYFUNCTION("""COMPUTED_VALUE"""),0.4561759926)</f>
        <v>0.4561759926</v>
      </c>
      <c r="Q383" s="464">
        <f>IFERROR(__xludf.DUMMYFUNCTION("""COMPUTED_VALUE"""),0.7235772358)</f>
        <v>0.7235772358</v>
      </c>
      <c r="R383" s="26">
        <f>IFERROR(__xludf.DUMMYFUNCTION("""COMPUTED_VALUE"""),0.6312328767)</f>
        <v>0.6312328767</v>
      </c>
      <c r="S383" s="26">
        <f>IFERROR(__xludf.DUMMYFUNCTION("""COMPUTED_VALUE"""),-2.67216061992619)</f>
        <v>-2.67216062</v>
      </c>
      <c r="T383" s="26">
        <f>IFERROR(__xludf.DUMMYFUNCTION("""COMPUTED_VALUE"""),-1.3967531461785514)</f>
        <v>-1.396753146</v>
      </c>
      <c r="U383" s="26">
        <f>IFERROR(__xludf.DUMMYFUNCTION("""COMPUTED_VALUE"""),-1.2702260504792247)</f>
        <v>-1.27022605</v>
      </c>
      <c r="V383" s="26">
        <f>IFERROR(__xludf.DUMMYFUNCTION("""COMPUTED_VALUE"""),-1.2992298526663553)</f>
        <v>-1.299229853</v>
      </c>
      <c r="W383" s="26">
        <f>IFERROR(__xludf.DUMMYFUNCTION("""COMPUTED_VALUE"""),-2.0157145544615522)</f>
        <v>-2.015714554</v>
      </c>
      <c r="X383" s="26">
        <f>IFERROR(__xludf.DUMMYFUNCTION("""COMPUTED_VALUE"""),-0.9527285623652647)</f>
        <v>-0.9527285624</v>
      </c>
      <c r="Y383" s="26">
        <f>IFERROR(__xludf.DUMMYFUNCTION("""COMPUTED_VALUE"""),-0.11274151265946734)</f>
        <v>-0.1127415127</v>
      </c>
      <c r="Z383" s="26">
        <f>IFERROR(__xludf.DUMMYFUNCTION("""COMPUTED_VALUE"""),-0.05917131612446404)</f>
        <v>-0.05917131612</v>
      </c>
      <c r="AA383" s="26">
        <f>IFERROR(__xludf.DUMMYFUNCTION("""COMPUTED_VALUE"""),0.0)</f>
        <v>0</v>
      </c>
      <c r="AB383" t="str">
        <f>IFERROR(__xludf.DUMMYFUNCTION("SUBSTITUTE(REGEXREPLACE(REGEXREPLACE(REGEXREPLACE(REGEXREPLACE(REGEXREPLACE(REGEXREPLACE(F383,"","",),IF(Projections!$T$17="""",""PG"",),),IF(Projections!$U$17="""",""SG"",),),IF(Projections!$V$17="""",""SF"",),),IF(Projections!$W$17="""",""PF"",),),IF(Pr"&amp;"ojections!$X$17="""",""C"",),),""/"","""")"),"431.00")</f>
        <v>431.00</v>
      </c>
    </row>
    <row r="384">
      <c r="B384">
        <f>IFERROR(__xludf.DUMMYFUNCTION("""COMPUTED_VALUE"""),384.0)</f>
        <v>384</v>
      </c>
      <c r="D384" t="str">
        <f>IFERROR(__xludf.DUMMYFUNCTION("""COMPUTED_VALUE"""),"Jaylen Wells")</f>
        <v>Jaylen Wells</v>
      </c>
      <c r="F384" t="str">
        <f>IFERROR(__xludf.DUMMYFUNCTION("""COMPUTED_VALUE"""),"445.00")</f>
        <v>445.00</v>
      </c>
      <c r="G384" s="26">
        <f>IFERROR(__xludf.DUMMYFUNCTION("""COMPUTED_VALUE"""),-9.542249301307622)</f>
        <v>-9.542249301</v>
      </c>
      <c r="H384" s="26">
        <f>IFERROR(__xludf.DUMMYFUNCTION("""COMPUTED_VALUE"""),-9.836405936033593)</f>
        <v>-9.836405936</v>
      </c>
      <c r="I384" s="26">
        <f>IFERROR(__xludf.DUMMYFUNCTION("""COMPUTED_VALUE"""),-0.29415663472597053)</f>
        <v>-0.2941566347</v>
      </c>
      <c r="J384" s="26">
        <f>IFERROR(__xludf.DUMMYFUNCTION("""COMPUTED_VALUE"""),4.629863014)</f>
        <v>4.629863014</v>
      </c>
      <c r="K384" s="26">
        <f>IFERROR(__xludf.DUMMYFUNCTION("""COMPUTED_VALUE"""),1.126164384)</f>
        <v>1.126164384</v>
      </c>
      <c r="L384" s="26">
        <f>IFERROR(__xludf.DUMMYFUNCTION("""COMPUTED_VALUE"""),2.15630137)</f>
        <v>2.15630137</v>
      </c>
      <c r="M384" s="26">
        <f>IFERROR(__xludf.DUMMYFUNCTION("""COMPUTED_VALUE"""),0.6875342466)</f>
        <v>0.6875342466</v>
      </c>
      <c r="N384" s="26">
        <f>IFERROR(__xludf.DUMMYFUNCTION("""COMPUTED_VALUE"""),0.3124657534)</f>
        <v>0.3124657534</v>
      </c>
      <c r="O384" s="26">
        <f>IFERROR(__xludf.DUMMYFUNCTION("""COMPUTED_VALUE"""),0.09369863014)</f>
        <v>0.09369863014</v>
      </c>
      <c r="P384" s="464">
        <f>IFERROR(__xludf.DUMMYFUNCTION("""COMPUTED_VALUE"""),0.3830045524)</f>
        <v>0.3830045524</v>
      </c>
      <c r="Q384" s="464">
        <f>IFERROR(__xludf.DUMMYFUNCTION("""COMPUTED_VALUE"""),0.8038774937)</f>
        <v>0.8038774937</v>
      </c>
      <c r="R384" s="26">
        <f>IFERROR(__xludf.DUMMYFUNCTION("""COMPUTED_VALUE"""),0.5624657534)</f>
        <v>0.5624657534</v>
      </c>
      <c r="S384" s="26">
        <f>IFERROR(__xludf.DUMMYFUNCTION("""COMPUTED_VALUE"""),-2.3178718658713535)</f>
        <v>-2.317871866</v>
      </c>
      <c r="T384" s="26">
        <f>IFERROR(__xludf.DUMMYFUNCTION("""COMPUTED_VALUE"""),-0.6174777797942793)</f>
        <v>-0.6174777798</v>
      </c>
      <c r="U384" s="26">
        <f>IFERROR(__xludf.DUMMYFUNCTION("""COMPUTED_VALUE"""),-1.5390313012708448)</f>
        <v>-1.539031301</v>
      </c>
      <c r="V384" s="26">
        <f>IFERROR(__xludf.DUMMYFUNCTION("""COMPUTED_VALUE"""),-1.4740420347417102)</f>
        <v>-1.474042035</v>
      </c>
      <c r="W384" s="26">
        <f>IFERROR(__xludf.DUMMYFUNCTION("""COMPUTED_VALUE"""),-2.1951792256375144)</f>
        <v>-2.195179226</v>
      </c>
      <c r="X384" s="26">
        <f>IFERROR(__xludf.DUMMYFUNCTION("""COMPUTED_VALUE"""),-1.1682323130533478)</f>
        <v>-1.168232313</v>
      </c>
      <c r="Y384" s="26">
        <f>IFERROR(__xludf.DUMMYFUNCTION("""COMPUTED_VALUE"""),-0.5398104951527828)</f>
        <v>-0.5398104952</v>
      </c>
      <c r="Z384" s="26">
        <f>IFERROR(__xludf.DUMMYFUNCTION("""COMPUTED_VALUE"""),0.015239079488240053)</f>
        <v>0.01523907949</v>
      </c>
      <c r="AA384" s="26">
        <f>IFERROR(__xludf.DUMMYFUNCTION("""COMPUTED_VALUE"""),0.0)</f>
        <v>0</v>
      </c>
      <c r="AB384" t="str">
        <f>IFERROR(__xludf.DUMMYFUNCTION("SUBSTITUTE(REGEXREPLACE(REGEXREPLACE(REGEXREPLACE(REGEXREPLACE(REGEXREPLACE(REGEXREPLACE(F384,"","",),IF(Projections!$T$17="""",""PG"",),),IF(Projections!$U$17="""",""SG"",),),IF(Projections!$V$17="""",""SF"",),),IF(Projections!$W$17="""",""PF"",),),IF(Pr"&amp;"ojections!$X$17="""",""C"",),),""/"","""")"),"445.00")</f>
        <v>445.00</v>
      </c>
    </row>
    <row r="385">
      <c r="B385">
        <f>IFERROR(__xludf.DUMMYFUNCTION("""COMPUTED_VALUE"""),379.0)</f>
        <v>379</v>
      </c>
      <c r="D385" t="str">
        <f>IFERROR(__xludf.DUMMYFUNCTION("""COMPUTED_VALUE"""),"MarJon Beauchamp")</f>
        <v>MarJon Beauchamp</v>
      </c>
      <c r="F385" t="str">
        <f>IFERROR(__xludf.DUMMYFUNCTION("""COMPUTED_VALUE"""),"434.00")</f>
        <v>434.00</v>
      </c>
      <c r="G385" s="26">
        <f>IFERROR(__xludf.DUMMYFUNCTION("""COMPUTED_VALUE"""),-9.575465865603176)</f>
        <v>-9.575465866</v>
      </c>
      <c r="H385" s="26">
        <f>IFERROR(__xludf.DUMMYFUNCTION("""COMPUTED_VALUE"""),-9.84955119784372)</f>
        <v>-9.849551198</v>
      </c>
      <c r="I385" s="26">
        <f>IFERROR(__xludf.DUMMYFUNCTION("""COMPUTED_VALUE"""),-0.2740853322405439)</f>
        <v>-0.2740853322</v>
      </c>
      <c r="J385" s="26">
        <f>IFERROR(__xludf.DUMMYFUNCTION("""COMPUTED_VALUE"""),4.965957447)</f>
        <v>4.965957447</v>
      </c>
      <c r="K385" s="26">
        <f>IFERROR(__xludf.DUMMYFUNCTION("""COMPUTED_VALUE"""),0.6625531915)</f>
        <v>0.6625531915</v>
      </c>
      <c r="L385" s="26">
        <f>IFERROR(__xludf.DUMMYFUNCTION("""COMPUTED_VALUE"""),2.413191489)</f>
        <v>2.413191489</v>
      </c>
      <c r="M385" s="26">
        <f>IFERROR(__xludf.DUMMYFUNCTION("""COMPUTED_VALUE"""),0.6706382979)</f>
        <v>0.6706382979</v>
      </c>
      <c r="N385" s="26">
        <f>IFERROR(__xludf.DUMMYFUNCTION("""COMPUTED_VALUE"""),0.3217021277)</f>
        <v>0.3217021277</v>
      </c>
      <c r="O385" s="26">
        <f>IFERROR(__xludf.DUMMYFUNCTION("""COMPUTED_VALUE"""),0.1340425532)</f>
        <v>0.1340425532</v>
      </c>
      <c r="P385" s="464">
        <f>IFERROR(__xludf.DUMMYFUNCTION("""COMPUTED_VALUE"""),0.4551881994)</f>
        <v>0.4551881994</v>
      </c>
      <c r="Q385" s="464">
        <f>IFERROR(__xludf.DUMMYFUNCTION("""COMPUTED_VALUE"""),0.7399872854)</f>
        <v>0.7399872854</v>
      </c>
      <c r="R385" s="26">
        <f>IFERROR(__xludf.DUMMYFUNCTION("""COMPUTED_VALUE"""),0.6434042553)</f>
        <v>0.6434042553</v>
      </c>
      <c r="S385" s="26">
        <f>IFERROR(__xludf.DUMMYFUNCTION("""COMPUTED_VALUE"""),-2.2572889491732564)</f>
        <v>-2.257288949</v>
      </c>
      <c r="T385" s="26">
        <f>IFERROR(__xludf.DUMMYFUNCTION("""COMPUTED_VALUE"""),-1.077346952653149)</f>
        <v>-1.077346953</v>
      </c>
      <c r="U385" s="26">
        <f>IFERROR(__xludf.DUMMYFUNCTION("""COMPUTED_VALUE"""),-1.438354266344803)</f>
        <v>-1.438354266</v>
      </c>
      <c r="V385" s="26">
        <f>IFERROR(__xludf.DUMMYFUNCTION("""COMPUTED_VALUE"""),-1.4817151340109889)</f>
        <v>-1.481715134</v>
      </c>
      <c r="W385" s="26">
        <f>IFERROR(__xludf.DUMMYFUNCTION("""COMPUTED_VALUE"""),-2.164622404964783)</f>
        <v>-2.164622405</v>
      </c>
      <c r="X385" s="26">
        <f>IFERROR(__xludf.DUMMYFUNCTION("""COMPUTED_VALUE"""),-1.096272962481114)</f>
        <v>-1.096272962</v>
      </c>
      <c r="Y385" s="26">
        <f>IFERROR(__xludf.DUMMYFUNCTION("""COMPUTED_VALUE"""),-0.20463462548681055)</f>
        <v>-0.2046346255</v>
      </c>
      <c r="Z385" s="26">
        <f>IFERROR(__xludf.DUMMYFUNCTION("""COMPUTED_VALUE"""),-0.12931590272881371)</f>
        <v>-0.1293159027</v>
      </c>
      <c r="AA385" s="26">
        <f>IFERROR(__xludf.DUMMYFUNCTION("""COMPUTED_VALUE"""),0.0)</f>
        <v>0</v>
      </c>
      <c r="AB385" t="str">
        <f>IFERROR(__xludf.DUMMYFUNCTION("SUBSTITUTE(REGEXREPLACE(REGEXREPLACE(REGEXREPLACE(REGEXREPLACE(REGEXREPLACE(REGEXREPLACE(F385,"","",),IF(Projections!$T$17="""",""PG"",),),IF(Projections!$U$17="""",""SG"",),),IF(Projections!$V$17="""",""SF"",),),IF(Projections!$W$17="""",""PF"",),),IF(Pr"&amp;"ojections!$X$17="""",""C"",),),""/"","""")"),"434.00")</f>
        <v>434.00</v>
      </c>
    </row>
    <row r="386">
      <c r="B386">
        <f>IFERROR(__xludf.DUMMYFUNCTION("""COMPUTED_VALUE"""),382.0)</f>
        <v>382</v>
      </c>
      <c r="D386" t="str">
        <f>IFERROR(__xludf.DUMMYFUNCTION("""COMPUTED_VALUE"""),"Olivier-Maxence Prosper")</f>
        <v>Olivier-Maxence Prosper</v>
      </c>
      <c r="F386" t="str">
        <f>IFERROR(__xludf.DUMMYFUNCTION("""COMPUTED_VALUE"""),"442.00")</f>
        <v>442.00</v>
      </c>
      <c r="G386" s="26">
        <f>IFERROR(__xludf.DUMMYFUNCTION("""COMPUTED_VALUE"""),-9.536153661545832)</f>
        <v>-9.536153662</v>
      </c>
      <c r="H386" s="26">
        <f>IFERROR(__xludf.DUMMYFUNCTION("""COMPUTED_VALUE"""),-9.865217160669427)</f>
        <v>-9.865217161</v>
      </c>
      <c r="I386" s="26">
        <f>IFERROR(__xludf.DUMMYFUNCTION("""COMPUTED_VALUE"""),-0.32906349912359545)</f>
        <v>-0.3290634991</v>
      </c>
      <c r="J386" s="26">
        <f>IFERROR(__xludf.DUMMYFUNCTION("""COMPUTED_VALUE"""),4.701276596)</f>
        <v>4.701276596</v>
      </c>
      <c r="K386" s="26">
        <f>IFERROR(__xludf.DUMMYFUNCTION("""COMPUTED_VALUE"""),0.5029787234)</f>
        <v>0.5029787234</v>
      </c>
      <c r="L386" s="26">
        <f>IFERROR(__xludf.DUMMYFUNCTION("""COMPUTED_VALUE"""),2.735319149)</f>
        <v>2.735319149</v>
      </c>
      <c r="M386" s="26">
        <f>IFERROR(__xludf.DUMMYFUNCTION("""COMPUTED_VALUE"""),0.6244680851)</f>
        <v>0.6244680851</v>
      </c>
      <c r="N386" s="26">
        <f>IFERROR(__xludf.DUMMYFUNCTION("""COMPUTED_VALUE"""),0.3829787234)</f>
        <v>0.3829787234</v>
      </c>
      <c r="O386" s="26">
        <f>IFERROR(__xludf.DUMMYFUNCTION("""COMPUTED_VALUE"""),0.1640425532)</f>
        <v>0.1640425532</v>
      </c>
      <c r="P386" s="464">
        <f>IFERROR(__xludf.DUMMYFUNCTION("""COMPUTED_VALUE"""),0.4424424973)</f>
        <v>0.4424424973</v>
      </c>
      <c r="Q386" s="464">
        <f>IFERROR(__xludf.DUMMYFUNCTION("""COMPUTED_VALUE"""),0.7250963684)</f>
        <v>0.7250963684</v>
      </c>
      <c r="R386" s="26">
        <f>IFERROR(__xludf.DUMMYFUNCTION("""COMPUTED_VALUE"""),0.4217021277)</f>
        <v>0.4217021277</v>
      </c>
      <c r="S386" s="26">
        <f>IFERROR(__xludf.DUMMYFUNCTION("""COMPUTED_VALUE"""),-2.3049991650330783)</f>
        <v>-2.304999165</v>
      </c>
      <c r="T386" s="26">
        <f>IFERROR(__xludf.DUMMYFUNCTION("""COMPUTED_VALUE"""),-1.2356334216635818)</f>
        <v>-1.235633422</v>
      </c>
      <c r="U386" s="26">
        <f>IFERROR(__xludf.DUMMYFUNCTION("""COMPUTED_VALUE"""),-1.3121101826770147)</f>
        <v>-1.312110183</v>
      </c>
      <c r="V386" s="26">
        <f>IFERROR(__xludf.DUMMYFUNCTION("""COMPUTED_VALUE"""),-1.502682801017348)</f>
        <v>-1.502682801</v>
      </c>
      <c r="W386" s="26">
        <f>IFERROR(__xludf.DUMMYFUNCTION("""COMPUTED_VALUE"""),-1.9619002235737175)</f>
        <v>-1.961900224</v>
      </c>
      <c r="X386" s="26">
        <f>IFERROR(__xludf.DUMMYFUNCTION("""COMPUTED_VALUE"""),-1.0427635277650988)</f>
        <v>-1.042763528</v>
      </c>
      <c r="Y386" s="26">
        <f>IFERROR(__xludf.DUMMYFUNCTION("""COMPUTED_VALUE"""),-0.24766038222987505)</f>
        <v>-0.2476603822</v>
      </c>
      <c r="Z386" s="26">
        <f>IFERROR(__xludf.DUMMYFUNCTION("""COMPUTED_VALUE"""),-0.2574674567097133)</f>
        <v>-0.2574674567</v>
      </c>
      <c r="AA386" s="26">
        <f>IFERROR(__xludf.DUMMYFUNCTION("""COMPUTED_VALUE"""),0.0)</f>
        <v>0</v>
      </c>
      <c r="AB386" t="str">
        <f>IFERROR(__xludf.DUMMYFUNCTION("SUBSTITUTE(REGEXREPLACE(REGEXREPLACE(REGEXREPLACE(REGEXREPLACE(REGEXREPLACE(REGEXREPLACE(F386,"","",),IF(Projections!$T$17="""",""PG"",),),IF(Projections!$U$17="""",""SG"",),),IF(Projections!$V$17="""",""SF"",),),IF(Projections!$W$17="""",""PF"",),),IF(Pr"&amp;"ojections!$X$17="""",""C"",),),""/"","""")"),"442.00")</f>
        <v>442.00</v>
      </c>
    </row>
    <row r="387">
      <c r="B387">
        <f>IFERROR(__xludf.DUMMYFUNCTION("""COMPUTED_VALUE"""),385.0)</f>
        <v>385</v>
      </c>
      <c r="D387" t="str">
        <f>IFERROR(__xludf.DUMMYFUNCTION("""COMPUTED_VALUE"""),"Jaylon Tyson")</f>
        <v>Jaylon Tyson</v>
      </c>
      <c r="F387" t="str">
        <f>IFERROR(__xludf.DUMMYFUNCTION("""COMPUTED_VALUE"""),"440.00")</f>
        <v>440.00</v>
      </c>
      <c r="G387" s="26">
        <f>IFERROR(__xludf.DUMMYFUNCTION("""COMPUTED_VALUE"""),-9.672999611041682)</f>
        <v>-9.672999611</v>
      </c>
      <c r="H387" s="26">
        <f>IFERROR(__xludf.DUMMYFUNCTION("""COMPUTED_VALUE"""),-9.87896899944879)</f>
        <v>-9.878968999</v>
      </c>
      <c r="I387" s="26">
        <f>IFERROR(__xludf.DUMMYFUNCTION("""COMPUTED_VALUE"""),-0.20596938840710877)</f>
        <v>-0.2059693884</v>
      </c>
      <c r="J387" s="26">
        <f>IFERROR(__xludf.DUMMYFUNCTION("""COMPUTED_VALUE"""),4.340851064)</f>
        <v>4.340851064</v>
      </c>
      <c r="K387" s="26">
        <f>IFERROR(__xludf.DUMMYFUNCTION("""COMPUTED_VALUE"""),0.5629787234)</f>
        <v>0.5629787234</v>
      </c>
      <c r="L387" s="26">
        <f>IFERROR(__xludf.DUMMYFUNCTION("""COMPUTED_VALUE"""),2.192978723)</f>
        <v>2.192978723</v>
      </c>
      <c r="M387" s="26">
        <f>IFERROR(__xludf.DUMMYFUNCTION("""COMPUTED_VALUE"""),0.8414893617)</f>
        <v>0.8414893617</v>
      </c>
      <c r="N387" s="26">
        <f>IFERROR(__xludf.DUMMYFUNCTION("""COMPUTED_VALUE"""),0.4080851064)</f>
        <v>0.4080851064</v>
      </c>
      <c r="O387" s="26">
        <f>IFERROR(__xludf.DUMMYFUNCTION("""COMPUTED_VALUE"""),0.1529787234)</f>
        <v>0.1529787234</v>
      </c>
      <c r="P387" s="464">
        <f>IFERROR(__xludf.DUMMYFUNCTION("""COMPUTED_VALUE"""),0.4141122345)</f>
        <v>0.4141122345</v>
      </c>
      <c r="Q387" s="464">
        <f>IFERROR(__xludf.DUMMYFUNCTION("""COMPUTED_VALUE"""),0.760026738)</f>
        <v>0.760026738</v>
      </c>
      <c r="R387" s="26">
        <f>IFERROR(__xludf.DUMMYFUNCTION("""COMPUTED_VALUE"""),0.9180851064)</f>
        <v>0.9180851064</v>
      </c>
      <c r="S387" s="26">
        <f>IFERROR(__xludf.DUMMYFUNCTION("""COMPUTED_VALUE"""),-2.369967899522719)</f>
        <v>-2.3699679</v>
      </c>
      <c r="T387" s="26">
        <f>IFERROR(__xludf.DUMMYFUNCTION("""COMPUTED_VALUE"""),-1.1761177093212138)</f>
        <v>-1.176117709</v>
      </c>
      <c r="U387" s="26">
        <f>IFERROR(__xludf.DUMMYFUNCTION("""COMPUTED_VALUE"""),-1.524657190023009)</f>
        <v>-1.52465719</v>
      </c>
      <c r="V387" s="26">
        <f>IFERROR(__xludf.DUMMYFUNCTION("""COMPUTED_VALUE"""),-1.4041251036388385)</f>
        <v>-1.404125104</v>
      </c>
      <c r="W387" s="26">
        <f>IFERROR(__xludf.DUMMYFUNCTION("""COMPUTED_VALUE"""),-1.8788404407894796)</f>
        <v>-1.878840441</v>
      </c>
      <c r="X387" s="26">
        <f>IFERROR(__xludf.DUMMYFUNCTION("""COMPUTED_VALUE"""),-1.0624975037115056)</f>
        <v>-1.062497504</v>
      </c>
      <c r="Y387" s="26">
        <f>IFERROR(__xludf.DUMMYFUNCTION("""COMPUTED_VALUE"""),-0.38459364760911285)</f>
        <v>-0.3845936476</v>
      </c>
      <c r="Z387" s="26">
        <f>IFERROR(__xludf.DUMMYFUNCTION("""COMPUTED_VALUE"""),-0.07816950483291175)</f>
        <v>-0.07816950483</v>
      </c>
      <c r="AA387" s="26">
        <f>IFERROR(__xludf.DUMMYFUNCTION("""COMPUTED_VALUE"""),0.0)</f>
        <v>0</v>
      </c>
      <c r="AB387" t="str">
        <f>IFERROR(__xludf.DUMMYFUNCTION("SUBSTITUTE(REGEXREPLACE(REGEXREPLACE(REGEXREPLACE(REGEXREPLACE(REGEXREPLACE(REGEXREPLACE(F387,"","",),IF(Projections!$T$17="""",""PG"",),),IF(Projections!$U$17="""",""SG"",),),IF(Projections!$V$17="""",""SF"",),),IF(Projections!$W$17="""",""PF"",),),IF(Pr"&amp;"ojections!$X$17="""",""C"",),),""/"","""")"),"440.00")</f>
        <v>440.00</v>
      </c>
    </row>
    <row r="388">
      <c r="B388">
        <f>IFERROR(__xludf.DUMMYFUNCTION("""COMPUTED_VALUE"""),380.0)</f>
        <v>380</v>
      </c>
      <c r="D388" t="str">
        <f>IFERROR(__xludf.DUMMYFUNCTION("""COMPUTED_VALUE"""),"Gui Santos")</f>
        <v>Gui Santos</v>
      </c>
      <c r="F388" t="str">
        <f>IFERROR(__xludf.DUMMYFUNCTION("""COMPUTED_VALUE"""),"457.00")</f>
        <v>457.00</v>
      </c>
      <c r="G388" s="26">
        <f>IFERROR(__xludf.DUMMYFUNCTION("""COMPUTED_VALUE"""),-9.589809007468313)</f>
        <v>-9.589809007</v>
      </c>
      <c r="H388" s="26">
        <f>IFERROR(__xludf.DUMMYFUNCTION("""COMPUTED_VALUE"""),-9.880392406462136)</f>
        <v>-9.880392406</v>
      </c>
      <c r="I388" s="26">
        <f>IFERROR(__xludf.DUMMYFUNCTION("""COMPUTED_VALUE"""),-0.2905833989938227)</f>
        <v>-0.290583399</v>
      </c>
      <c r="J388" s="26">
        <f>IFERROR(__xludf.DUMMYFUNCTION("""COMPUTED_VALUE"""),4.455625)</f>
        <v>4.455625</v>
      </c>
      <c r="K388" s="26">
        <f>IFERROR(__xludf.DUMMYFUNCTION("""COMPUTED_VALUE"""),0.64625)</f>
        <v>0.64625</v>
      </c>
      <c r="L388" s="26">
        <f>IFERROR(__xludf.DUMMYFUNCTION("""COMPUTED_VALUE"""),2.295625)</f>
        <v>2.295625</v>
      </c>
      <c r="M388" s="26">
        <f>IFERROR(__xludf.DUMMYFUNCTION("""COMPUTED_VALUE"""),0.8475)</f>
        <v>0.8475</v>
      </c>
      <c r="N388" s="26">
        <f>IFERROR(__xludf.DUMMYFUNCTION("""COMPUTED_VALUE"""),0.28)</f>
        <v>0.28</v>
      </c>
      <c r="O388" s="26">
        <f>IFERROR(__xludf.DUMMYFUNCTION("""COMPUTED_VALUE"""),0.216875)</f>
        <v>0.216875</v>
      </c>
      <c r="P388" s="464">
        <f>IFERROR(__xludf.DUMMYFUNCTION("""COMPUTED_VALUE"""),0.4527433628)</f>
        <v>0.4527433628</v>
      </c>
      <c r="Q388" s="464">
        <f>IFERROR(__xludf.DUMMYFUNCTION("""COMPUTED_VALUE"""),0.753656659)</f>
        <v>0.753656659</v>
      </c>
      <c r="R388" s="26">
        <f>IFERROR(__xludf.DUMMYFUNCTION("""COMPUTED_VALUE"""),0.576875)</f>
        <v>0.576875</v>
      </c>
      <c r="S388" s="26">
        <f>IFERROR(__xludf.DUMMYFUNCTION("""COMPUTED_VALUE"""),-2.3492792503780873)</f>
        <v>-2.34927925</v>
      </c>
      <c r="T388" s="26">
        <f>IFERROR(__xludf.DUMMYFUNCTION("""COMPUTED_VALUE"""),-1.0935185535794247)</f>
        <v>-1.093518554</v>
      </c>
      <c r="U388" s="26">
        <f>IFERROR(__xludf.DUMMYFUNCTION("""COMPUTED_VALUE"""),-1.4844293959187247)</f>
        <v>-1.484429396</v>
      </c>
      <c r="V388" s="26">
        <f>IFERROR(__xludf.DUMMYFUNCTION("""COMPUTED_VALUE"""),-1.4013954419213148)</f>
        <v>-1.401395442</v>
      </c>
      <c r="W388" s="26">
        <f>IFERROR(__xludf.DUMMYFUNCTION("""COMPUTED_VALUE"""),-2.3025861119791524)</f>
        <v>-2.302586112</v>
      </c>
      <c r="X388" s="26">
        <f>IFERROR(__xludf.DUMMYFUNCTION("""COMPUTED_VALUE"""),-0.9485290490007001)</f>
        <v>-0.948529049</v>
      </c>
      <c r="Y388" s="26">
        <f>IFERROR(__xludf.DUMMYFUNCTION("""COMPUTED_VALUE"""),-0.1827934975184661)</f>
        <v>-0.1827934975</v>
      </c>
      <c r="Z388" s="26">
        <f>IFERROR(__xludf.DUMMYFUNCTION("""COMPUTED_VALUE"""),-0.11786110616626537)</f>
        <v>-0.1178611062</v>
      </c>
      <c r="AA388" s="26">
        <f>IFERROR(__xludf.DUMMYFUNCTION("""COMPUTED_VALUE"""),0.0)</f>
        <v>0</v>
      </c>
      <c r="AB388" t="str">
        <f>IFERROR(__xludf.DUMMYFUNCTION("SUBSTITUTE(REGEXREPLACE(REGEXREPLACE(REGEXREPLACE(REGEXREPLACE(REGEXREPLACE(REGEXREPLACE(F388,"","",),IF(Projections!$T$17="""",""PG"",),),IF(Projections!$U$17="""",""SG"",),),IF(Projections!$V$17="""",""SF"",),),IF(Projections!$W$17="""",""PF"",),),IF(Pr"&amp;"ojections!$X$17="""",""C"",),),""/"","""")"),"457.00")</f>
        <v>457.00</v>
      </c>
    </row>
    <row r="389">
      <c r="B389">
        <f>IFERROR(__xludf.DUMMYFUNCTION("""COMPUTED_VALUE"""),399.0)</f>
        <v>399</v>
      </c>
      <c r="D389" t="str">
        <f>IFERROR(__xludf.DUMMYFUNCTION("""COMPUTED_VALUE"""),"Ja'Kobe Walter")</f>
        <v>Ja'Kobe Walter</v>
      </c>
      <c r="F389" t="str">
        <f>IFERROR(__xludf.DUMMYFUNCTION("""COMPUTED_VALUE"""),"451.00")</f>
        <v>451.00</v>
      </c>
      <c r="G389" s="26">
        <f>IFERROR(__xludf.DUMMYFUNCTION("""COMPUTED_VALUE"""),-9.708878307734597)</f>
        <v>-9.708878308</v>
      </c>
      <c r="H389" s="26">
        <f>IFERROR(__xludf.DUMMYFUNCTION("""COMPUTED_VALUE"""),-9.908764625387416)</f>
        <v>-9.908764625</v>
      </c>
      <c r="I389" s="26">
        <f>IFERROR(__xludf.DUMMYFUNCTION("""COMPUTED_VALUE"""),-0.19988631765281895)</f>
        <v>-0.1998863177</v>
      </c>
      <c r="J389" s="26">
        <f>IFERROR(__xludf.DUMMYFUNCTION("""COMPUTED_VALUE"""),5.850307692)</f>
        <v>5.850307692</v>
      </c>
      <c r="K389" s="26">
        <f>IFERROR(__xludf.DUMMYFUNCTION("""COMPUTED_VALUE"""),1.026153846)</f>
        <v>1.026153846</v>
      </c>
      <c r="L389" s="26">
        <f>IFERROR(__xludf.DUMMYFUNCTION("""COMPUTED_VALUE"""),1.851692308)</f>
        <v>1.851692308</v>
      </c>
      <c r="M389" s="26">
        <f>IFERROR(__xludf.DUMMYFUNCTION("""COMPUTED_VALUE"""),0.6396923077)</f>
        <v>0.6396923077</v>
      </c>
      <c r="N389" s="26">
        <f>IFERROR(__xludf.DUMMYFUNCTION("""COMPUTED_VALUE"""),0.4713846154)</f>
        <v>0.4713846154</v>
      </c>
      <c r="O389" s="26">
        <f>IFERROR(__xludf.DUMMYFUNCTION("""COMPUTED_VALUE"""),0.1346153846)</f>
        <v>0.1346153846</v>
      </c>
      <c r="P389" s="464">
        <f>IFERROR(__xludf.DUMMYFUNCTION("""COMPUTED_VALUE"""),0.3353243965)</f>
        <v>0.3353243965</v>
      </c>
      <c r="Q389" s="464">
        <f>IFERROR(__xludf.DUMMYFUNCTION("""COMPUTED_VALUE"""),0.7699845849)</f>
        <v>0.7699845849</v>
      </c>
      <c r="R389" s="26">
        <f>IFERROR(__xludf.DUMMYFUNCTION("""COMPUTED_VALUE"""),0.9426153846)</f>
        <v>0.9426153846</v>
      </c>
      <c r="S389" s="26">
        <f>IFERROR(__xludf.DUMMYFUNCTION("""COMPUTED_VALUE"""),-2.0978798308890023)</f>
        <v>-2.097879831</v>
      </c>
      <c r="T389" s="26">
        <f>IFERROR(__xludf.DUMMYFUNCTION("""COMPUTED_VALUE"""),-0.7166810866411704)</f>
        <v>-0.7166810866</v>
      </c>
      <c r="U389" s="26">
        <f>IFERROR(__xludf.DUMMYFUNCTION("""COMPUTED_VALUE"""),-1.6584097238164115)</f>
        <v>-1.658409724</v>
      </c>
      <c r="V389" s="26">
        <f>IFERROR(__xludf.DUMMYFUNCTION("""COMPUTED_VALUE"""),-1.49576889678021)</f>
        <v>-1.495768897</v>
      </c>
      <c r="W389" s="26">
        <f>IFERROR(__xludf.DUMMYFUNCTION("""COMPUTED_VALUE"""),-1.6694258282629)</f>
        <v>-1.669425828</v>
      </c>
      <c r="X389" s="26">
        <f>IFERROR(__xludf.DUMMYFUNCTION("""COMPUTED_VALUE"""),-1.0952512330010613)</f>
        <v>-1.095251233</v>
      </c>
      <c r="Y389" s="26">
        <f>IFERROR(__xludf.DUMMYFUNCTION("""COMPUTED_VALUE"""),-1.0526565442001015)</f>
        <v>-1.052656544</v>
      </c>
      <c r="Z389" s="26">
        <f>IFERROR(__xludf.DUMMYFUNCTION("""COMPUTED_VALUE"""),-0.12269148179655887)</f>
        <v>-0.1226914818</v>
      </c>
      <c r="AA389" s="26">
        <f>IFERROR(__xludf.DUMMYFUNCTION("""COMPUTED_VALUE"""),0.0)</f>
        <v>0</v>
      </c>
      <c r="AB389" t="str">
        <f>IFERROR(__xludf.DUMMYFUNCTION("SUBSTITUTE(REGEXREPLACE(REGEXREPLACE(REGEXREPLACE(REGEXREPLACE(REGEXREPLACE(REGEXREPLACE(F389,"","",),IF(Projections!$T$17="""",""PG"",),),IF(Projections!$U$17="""",""SG"",),),IF(Projections!$V$17="""",""SF"",),),IF(Projections!$W$17="""",""PF"",),),IF(Pr"&amp;"ojections!$X$17="""",""C"",),),""/"","""")"),"451.00")</f>
        <v>451.00</v>
      </c>
    </row>
    <row r="390">
      <c r="B390">
        <f>IFERROR(__xludf.DUMMYFUNCTION("""COMPUTED_VALUE"""),378.0)</f>
        <v>378</v>
      </c>
      <c r="D390" t="str">
        <f>IFERROR(__xludf.DUMMYFUNCTION("""COMPUTED_VALUE"""),"Dominick Barlow")</f>
        <v>Dominick Barlow</v>
      </c>
      <c r="F390" t="str">
        <f>IFERROR(__xludf.DUMMYFUNCTION("""COMPUTED_VALUE"""),"443.00")</f>
        <v>443.00</v>
      </c>
      <c r="G390" s="26">
        <f>IFERROR(__xludf.DUMMYFUNCTION("""COMPUTED_VALUE"""),-9.593850010365582)</f>
        <v>-9.59385001</v>
      </c>
      <c r="H390" s="26">
        <f>IFERROR(__xludf.DUMMYFUNCTION("""COMPUTED_VALUE"""),-9.936509657658975)</f>
        <v>-9.936509658</v>
      </c>
      <c r="I390" s="26">
        <f>IFERROR(__xludf.DUMMYFUNCTION("""COMPUTED_VALUE"""),-0.3426596472933934)</f>
        <v>-0.3426596473</v>
      </c>
      <c r="J390" s="26">
        <f>IFERROR(__xludf.DUMMYFUNCTION("""COMPUTED_VALUE"""),3.851875)</f>
        <v>3.851875</v>
      </c>
      <c r="K390" s="26">
        <f>IFERROR(__xludf.DUMMYFUNCTION("""COMPUTED_VALUE"""),0.045)</f>
        <v>0.045</v>
      </c>
      <c r="L390" s="26">
        <f>IFERROR(__xludf.DUMMYFUNCTION("""COMPUTED_VALUE"""),2.773125)</f>
        <v>2.773125</v>
      </c>
      <c r="M390" s="26">
        <f>IFERROR(__xludf.DUMMYFUNCTION("""COMPUTED_VALUE"""),0.916875)</f>
        <v>0.916875</v>
      </c>
      <c r="N390" s="26">
        <f>IFERROR(__xludf.DUMMYFUNCTION("""COMPUTED_VALUE"""),0.27)</f>
        <v>0.27</v>
      </c>
      <c r="O390" s="26">
        <f>IFERROR(__xludf.DUMMYFUNCTION("""COMPUTED_VALUE"""),0.44)</f>
        <v>0.44</v>
      </c>
      <c r="P390" s="464">
        <f>IFERROR(__xludf.DUMMYFUNCTION("""COMPUTED_VALUE"""),0.522851153)</f>
        <v>0.522851153</v>
      </c>
      <c r="Q390" s="464">
        <f>IFERROR(__xludf.DUMMYFUNCTION("""COMPUTED_VALUE"""),0.701207883)</f>
        <v>0.701207883</v>
      </c>
      <c r="R390" s="26">
        <f>IFERROR(__xludf.DUMMYFUNCTION("""COMPUTED_VALUE"""),0.366875)</f>
        <v>0.366875</v>
      </c>
      <c r="S390" s="26">
        <f>IFERROR(__xludf.DUMMYFUNCTION("""COMPUTED_VALUE"""),-2.4581085922686623)</f>
        <v>-2.458108592</v>
      </c>
      <c r="T390" s="26">
        <f>IFERROR(__xludf.DUMMYFUNCTION("""COMPUTED_VALUE"""),-1.6899155876769039)</f>
        <v>-1.689915588</v>
      </c>
      <c r="U390" s="26">
        <f>IFERROR(__xludf.DUMMYFUNCTION("""COMPUTED_VALUE"""),-1.2972938051676262)</f>
        <v>-1.297293805</v>
      </c>
      <c r="V390" s="26">
        <f>IFERROR(__xludf.DUMMYFUNCTION("""COMPUTED_VALUE"""),-1.3698895897636185)</f>
        <v>-1.36988959</v>
      </c>
      <c r="W390" s="26">
        <f>IFERROR(__xludf.DUMMYFUNCTION("""COMPUTED_VALUE"""),-2.3356692457719563)</f>
        <v>-2.335669246</v>
      </c>
      <c r="X390" s="26">
        <f>IFERROR(__xludf.DUMMYFUNCTION("""COMPUTED_VALUE"""),-0.5505526283003361)</f>
        <v>-0.5505526283</v>
      </c>
      <c r="Y390" s="26">
        <f>IFERROR(__xludf.DUMMYFUNCTION("""COMPUTED_VALUE"""),0.08878804383927885)</f>
        <v>0.08878804384</v>
      </c>
      <c r="Z390" s="26">
        <f>IFERROR(__xludf.DUMMYFUNCTION("""COMPUTED_VALUE"""),-0.3238682525491513)</f>
        <v>-0.3238682525</v>
      </c>
      <c r="AA390" s="26">
        <f>IFERROR(__xludf.DUMMYFUNCTION("""COMPUTED_VALUE"""),0.0)</f>
        <v>0</v>
      </c>
      <c r="AB390" t="str">
        <f>IFERROR(__xludf.DUMMYFUNCTION("SUBSTITUTE(REGEXREPLACE(REGEXREPLACE(REGEXREPLACE(REGEXREPLACE(REGEXREPLACE(REGEXREPLACE(F390,"","",),IF(Projections!$T$17="""",""PG"",),),IF(Projections!$U$17="""",""SG"",),),IF(Projections!$V$17="""",""SF"",),),IF(Projections!$W$17="""",""PF"",),),IF(Pr"&amp;"ojections!$X$17="""",""C"",),),""/"","""")"),"443.00")</f>
        <v>443.00</v>
      </c>
    </row>
    <row r="391">
      <c r="B391">
        <f>IFERROR(__xludf.DUMMYFUNCTION("""COMPUTED_VALUE"""),387.0)</f>
        <v>387</v>
      </c>
      <c r="D391" t="str">
        <f>IFERROR(__xludf.DUMMYFUNCTION("""COMPUTED_VALUE"""),"Tristan Da Silva")</f>
        <v>Tristan Da Silva</v>
      </c>
      <c r="F391" t="str">
        <f>IFERROR(__xludf.DUMMYFUNCTION("""COMPUTED_VALUE"""),"441.00")</f>
        <v>441.00</v>
      </c>
      <c r="G391" s="26">
        <f>IFERROR(__xludf.DUMMYFUNCTION("""COMPUTED_VALUE"""),-9.701684898983446)</f>
        <v>-9.701684899</v>
      </c>
      <c r="H391" s="26">
        <f>IFERROR(__xludf.DUMMYFUNCTION("""COMPUTED_VALUE"""),-9.938869612483709)</f>
        <v>-9.938869612</v>
      </c>
      <c r="I391" s="26">
        <f>IFERROR(__xludf.DUMMYFUNCTION("""COMPUTED_VALUE"""),-0.2371847135002625)</f>
        <v>-0.2371847135</v>
      </c>
      <c r="J391" s="26">
        <f>IFERROR(__xludf.DUMMYFUNCTION("""COMPUTED_VALUE"""),4.99038961)</f>
        <v>4.99038961</v>
      </c>
      <c r="K391" s="26">
        <f>IFERROR(__xludf.DUMMYFUNCTION("""COMPUTED_VALUE"""),0.7179220779)</f>
        <v>0.7179220779</v>
      </c>
      <c r="L391" s="26">
        <f>IFERROR(__xludf.DUMMYFUNCTION("""COMPUTED_VALUE"""),1.98038961)</f>
        <v>1.98038961</v>
      </c>
      <c r="M391" s="26">
        <f>IFERROR(__xludf.DUMMYFUNCTION("""COMPUTED_VALUE"""),0.7072727273)</f>
        <v>0.7072727273</v>
      </c>
      <c r="N391" s="26">
        <f>IFERROR(__xludf.DUMMYFUNCTION("""COMPUTED_VALUE"""),0.3394805195)</f>
        <v>0.3394805195</v>
      </c>
      <c r="O391" s="26">
        <f>IFERROR(__xludf.DUMMYFUNCTION("""COMPUTED_VALUE"""),0.1697402597)</f>
        <v>0.1697402597</v>
      </c>
      <c r="P391" s="464">
        <f>IFERROR(__xludf.DUMMYFUNCTION("""COMPUTED_VALUE"""),0.4198187206)</f>
        <v>0.4198187206</v>
      </c>
      <c r="Q391" s="464">
        <f>IFERROR(__xludf.DUMMYFUNCTION("""COMPUTED_VALUE"""),0.7739686229)</f>
        <v>0.7739686229</v>
      </c>
      <c r="R391" s="26">
        <f>IFERROR(__xludf.DUMMYFUNCTION("""COMPUTED_VALUE"""),0.7922077922)</f>
        <v>0.7922077922</v>
      </c>
      <c r="S391" s="26">
        <f>IFERROR(__xludf.DUMMYFUNCTION("""COMPUTED_VALUE"""),-2.2528849140258393)</f>
        <v>-2.252884914</v>
      </c>
      <c r="T391" s="26">
        <f>IFERROR(__xludf.DUMMYFUNCTION("""COMPUTED_VALUE"""),-1.0224249740581548)</f>
        <v>-1.022424974</v>
      </c>
      <c r="U391" s="26">
        <f>IFERROR(__xludf.DUMMYFUNCTION("""COMPUTED_VALUE"""),-1.6079723507528665)</f>
        <v>-1.607972351</v>
      </c>
      <c r="V391" s="26">
        <f>IFERROR(__xludf.DUMMYFUNCTION("""COMPUTED_VALUE"""),-1.4650780325110544)</f>
        <v>-1.465078033</v>
      </c>
      <c r="W391" s="26">
        <f>IFERROR(__xludf.DUMMYFUNCTION("""COMPUTED_VALUE"""),-2.1058059135107543)</f>
        <v>-2.105805914</v>
      </c>
      <c r="X391" s="26">
        <f>IFERROR(__xludf.DUMMYFUNCTION("""COMPUTED_VALUE"""),-1.0326008259653396)</f>
        <v>-1.032600826</v>
      </c>
      <c r="Y391" s="26">
        <f>IFERROR(__xludf.DUMMYFUNCTION("""COMPUTED_VALUE"""),-0.4026086836599246)</f>
        <v>-0.4026086837</v>
      </c>
      <c r="Z391" s="26">
        <f>IFERROR(__xludf.DUMMYFUNCTION("""COMPUTED_VALUE"""),-0.0494939179997759)</f>
        <v>-0.049493918</v>
      </c>
      <c r="AA391" s="26">
        <f>IFERROR(__xludf.DUMMYFUNCTION("""COMPUTED_VALUE"""),0.0)</f>
        <v>0</v>
      </c>
      <c r="AB391" t="str">
        <f>IFERROR(__xludf.DUMMYFUNCTION("SUBSTITUTE(REGEXREPLACE(REGEXREPLACE(REGEXREPLACE(REGEXREPLACE(REGEXREPLACE(REGEXREPLACE(F391,"","",),IF(Projections!$T$17="""",""PG"",),),IF(Projections!$U$17="""",""SG"",),),IF(Projections!$V$17="""",""SF"",),),IF(Projections!$W$17="""",""PF"",),),IF(Pr"&amp;"ojections!$X$17="""",""C"",),),""/"","""")"),"441.00")</f>
        <v>441.00</v>
      </c>
    </row>
    <row r="392">
      <c r="B392">
        <f>IFERROR(__xludf.DUMMYFUNCTION("""COMPUTED_VALUE"""),388.0)</f>
        <v>388</v>
      </c>
      <c r="D392" t="str">
        <f>IFERROR(__xludf.DUMMYFUNCTION("""COMPUTED_VALUE"""),"Cam Reddish")</f>
        <v>Cam Reddish</v>
      </c>
      <c r="F392" t="str">
        <f>IFERROR(__xludf.DUMMYFUNCTION("""COMPUTED_VALUE"""),"436.00")</f>
        <v>436.00</v>
      </c>
      <c r="G392" s="26">
        <f>IFERROR(__xludf.DUMMYFUNCTION("""COMPUTED_VALUE"""),-9.667784812141951)</f>
        <v>-9.667784812</v>
      </c>
      <c r="H392" s="26">
        <f>IFERROR(__xludf.DUMMYFUNCTION("""COMPUTED_VALUE"""),-9.95387353494325)</f>
        <v>-9.953873535</v>
      </c>
      <c r="I392" s="26">
        <f>IFERROR(__xludf.DUMMYFUNCTION("""COMPUTED_VALUE"""),-0.28608872280129916)</f>
        <v>-0.2860887228</v>
      </c>
      <c r="J392" s="26">
        <f>IFERROR(__xludf.DUMMYFUNCTION("""COMPUTED_VALUE"""),3.405441176)</f>
        <v>3.405441176</v>
      </c>
      <c r="K392" s="26">
        <f>IFERROR(__xludf.DUMMYFUNCTION("""COMPUTED_VALUE"""),0.4569117647)</f>
        <v>0.4569117647</v>
      </c>
      <c r="L392" s="26">
        <f>IFERROR(__xludf.DUMMYFUNCTION("""COMPUTED_VALUE"""),1.368529412)</f>
        <v>1.368529412</v>
      </c>
      <c r="M392" s="26">
        <f>IFERROR(__xludf.DUMMYFUNCTION("""COMPUTED_VALUE"""),0.6297058824)</f>
        <v>0.6297058824</v>
      </c>
      <c r="N392" s="26">
        <f>IFERROR(__xludf.DUMMYFUNCTION("""COMPUTED_VALUE"""),0.5967647059)</f>
        <v>0.5967647059</v>
      </c>
      <c r="O392" s="26">
        <f>IFERROR(__xludf.DUMMYFUNCTION("""COMPUTED_VALUE"""),0.1833823529)</f>
        <v>0.1833823529</v>
      </c>
      <c r="P392" s="464">
        <f>IFERROR(__xludf.DUMMYFUNCTION("""COMPUTED_VALUE"""),0.3955223881)</f>
        <v>0.3955223881</v>
      </c>
      <c r="Q392" s="464">
        <f>IFERROR(__xludf.DUMMYFUNCTION("""COMPUTED_VALUE"""),0.7299207539)</f>
        <v>0.7299207539</v>
      </c>
      <c r="R392" s="26">
        <f>IFERROR(__xludf.DUMMYFUNCTION("""COMPUTED_VALUE"""),0.595)</f>
        <v>0.595</v>
      </c>
      <c r="S392" s="26">
        <f>IFERROR(__xludf.DUMMYFUNCTION("""COMPUTED_VALUE"""),-2.5385808063698843)</f>
        <v>-2.538580806</v>
      </c>
      <c r="T392" s="26">
        <f>IFERROR(__xludf.DUMMYFUNCTION("""COMPUTED_VALUE"""),-1.2813285527048643)</f>
        <v>-1.281328553</v>
      </c>
      <c r="U392" s="26">
        <f>IFERROR(__xludf.DUMMYFUNCTION("""COMPUTED_VALUE"""),-1.8477646431294406)</f>
        <v>-1.847764643</v>
      </c>
      <c r="V392" s="26">
        <f>IFERROR(__xludf.DUMMYFUNCTION("""COMPUTED_VALUE"""),-1.500304116082346)</f>
        <v>-1.500304116</v>
      </c>
      <c r="W392" s="26">
        <f>IFERROR(__xludf.DUMMYFUNCTION("""COMPUTED_VALUE"""),-1.2546291973663635)</f>
        <v>-1.254629197</v>
      </c>
      <c r="X392" s="26">
        <f>IFERROR(__xludf.DUMMYFUNCTION("""COMPUTED_VALUE"""),-1.0082681361161667)</f>
        <v>-1.008268136</v>
      </c>
      <c r="Y392" s="26">
        <f>IFERROR(__xludf.DUMMYFUNCTION("""COMPUTED_VALUE"""),-0.3660666630035247)</f>
        <v>-0.366066663</v>
      </c>
      <c r="Z392" s="26">
        <f>IFERROR(__xludf.DUMMYFUNCTION("""COMPUTED_VALUE"""),-0.1569314201706615)</f>
        <v>-0.1569314202</v>
      </c>
      <c r="AA392" s="26">
        <f>IFERROR(__xludf.DUMMYFUNCTION("""COMPUTED_VALUE"""),0.0)</f>
        <v>0</v>
      </c>
      <c r="AB392" t="str">
        <f>IFERROR(__xludf.DUMMYFUNCTION("SUBSTITUTE(REGEXREPLACE(REGEXREPLACE(REGEXREPLACE(REGEXREPLACE(REGEXREPLACE(REGEXREPLACE(F392,"","",),IF(Projections!$T$17="""",""PG"",),),IF(Projections!$U$17="""",""SG"",),),IF(Projections!$V$17="""",""SF"",),),IF(Projections!$W$17="""",""PF"",),),IF(Pr"&amp;"ojections!$X$17="""",""C"",),),""/"","""")"),"436.00")</f>
        <v>436.00</v>
      </c>
    </row>
    <row r="393">
      <c r="B393">
        <f>IFERROR(__xludf.DUMMYFUNCTION("""COMPUTED_VALUE"""),383.0)</f>
        <v>383</v>
      </c>
      <c r="D393" t="str">
        <f>IFERROR(__xludf.DUMMYFUNCTION("""COMPUTED_VALUE"""),"Ariel Hukporti")</f>
        <v>Ariel Hukporti</v>
      </c>
      <c r="F393" t="str">
        <f>IFERROR(__xludf.DUMMYFUNCTION("""COMPUTED_VALUE"""),"438.00")</f>
        <v>438.00</v>
      </c>
      <c r="G393" s="26">
        <f>IFERROR(__xludf.DUMMYFUNCTION("""COMPUTED_VALUE"""),-9.815747304618583)</f>
        <v>-9.815747305</v>
      </c>
      <c r="H393" s="26">
        <f>IFERROR(__xludf.DUMMYFUNCTION("""COMPUTED_VALUE"""),-10.036120761708517)</f>
        <v>-10.03612076</v>
      </c>
      <c r="I393" s="26">
        <f>IFERROR(__xludf.DUMMYFUNCTION("""COMPUTED_VALUE"""),-0.22037345708993428)</f>
        <v>-0.2203734571</v>
      </c>
      <c r="J393" s="26">
        <f>IFERROR(__xludf.DUMMYFUNCTION("""COMPUTED_VALUE"""),2.4624)</f>
        <v>2.4624</v>
      </c>
      <c r="K393" s="26">
        <f>IFERROR(__xludf.DUMMYFUNCTION("""COMPUTED_VALUE"""),0.0)</f>
        <v>0</v>
      </c>
      <c r="L393" s="26">
        <f>IFERROR(__xludf.DUMMYFUNCTION("""COMPUTED_VALUE"""),3.18)</f>
        <v>3.18</v>
      </c>
      <c r="M393" s="26">
        <f>IFERROR(__xludf.DUMMYFUNCTION("""COMPUTED_VALUE"""),0.44)</f>
        <v>0.44</v>
      </c>
      <c r="N393" s="26">
        <f>IFERROR(__xludf.DUMMYFUNCTION("""COMPUTED_VALUE"""),0.26)</f>
        <v>0.26</v>
      </c>
      <c r="O393" s="26">
        <f>IFERROR(__xludf.DUMMYFUNCTION("""COMPUTED_VALUE"""),0.54)</f>
        <v>0.54</v>
      </c>
      <c r="P393" s="464">
        <f>IFERROR(__xludf.DUMMYFUNCTION("""COMPUTED_VALUE"""),0.556)</f>
        <v>0.556</v>
      </c>
      <c r="Q393" s="464">
        <f>IFERROR(__xludf.DUMMYFUNCTION("""COMPUTED_VALUE"""),0.6571428571)</f>
        <v>0.6571428571</v>
      </c>
      <c r="R393" s="26">
        <f>IFERROR(__xludf.DUMMYFUNCTION("""COMPUTED_VALUE"""),0.86)</f>
        <v>0.86</v>
      </c>
      <c r="S393" s="26">
        <f>IFERROR(__xludf.DUMMYFUNCTION("""COMPUTED_VALUE"""),-2.708569295909915)</f>
        <v>-2.708569296</v>
      </c>
      <c r="T393" s="26">
        <f>IFERROR(__xludf.DUMMYFUNCTION("""COMPUTED_VALUE"""),-1.7345523719336797)</f>
        <v>-1.734552372</v>
      </c>
      <c r="U393" s="26">
        <f>IFERROR(__xludf.DUMMYFUNCTION("""COMPUTED_VALUE"""),-1.137836646032855)</f>
        <v>-1.137836646</v>
      </c>
      <c r="V393" s="26">
        <f>IFERROR(__xludf.DUMMYFUNCTION("""COMPUTED_VALUE"""),-1.5864568437845403)</f>
        <v>-1.586456844</v>
      </c>
      <c r="W393" s="26">
        <f>IFERROR(__xludf.DUMMYFUNCTION("""COMPUTED_VALUE"""),-2.3687523795647607)</f>
        <v>-2.36875238</v>
      </c>
      <c r="X393" s="26">
        <f>IFERROR(__xludf.DUMMYFUNCTION("""COMPUTED_VALUE"""),-0.3721878459136182)</f>
        <v>-0.3721878459</v>
      </c>
      <c r="Y393" s="26">
        <f>IFERROR(__xludf.DUMMYFUNCTION("""COMPUTED_VALUE"""),0.1298452706074679)</f>
        <v>0.1298452706</v>
      </c>
      <c r="Z393" s="26">
        <f>IFERROR(__xludf.DUMMYFUNCTION("""COMPUTED_VALUE"""),-0.257610649176616)</f>
        <v>-0.2576106492</v>
      </c>
      <c r="AA393" s="26">
        <f>IFERROR(__xludf.DUMMYFUNCTION("""COMPUTED_VALUE"""),0.0)</f>
        <v>0</v>
      </c>
      <c r="AB393" t="str">
        <f>IFERROR(__xludf.DUMMYFUNCTION("SUBSTITUTE(REGEXREPLACE(REGEXREPLACE(REGEXREPLACE(REGEXREPLACE(REGEXREPLACE(REGEXREPLACE(F393,"","",),IF(Projections!$T$17="""",""PG"",),),IF(Projections!$U$17="""",""SG"",),),IF(Projections!$V$17="""",""SF"",),),IF(Projections!$W$17="""",""PF"",),),IF(Pr"&amp;"ojections!$X$17="""",""C"",),),""/"","""")"),"438.00")</f>
        <v>438.00</v>
      </c>
    </row>
    <row r="394">
      <c r="B394">
        <f>IFERROR(__xludf.DUMMYFUNCTION("""COMPUTED_VALUE"""),390.0)</f>
        <v>390</v>
      </c>
      <c r="D394" t="str">
        <f>IFERROR(__xludf.DUMMYFUNCTION("""COMPUTED_VALUE"""),"Justin Champagnie")</f>
        <v>Justin Champagnie</v>
      </c>
      <c r="F394" t="str">
        <f>IFERROR(__xludf.DUMMYFUNCTION("""COMPUTED_VALUE"""),"448.00")</f>
        <v>448.00</v>
      </c>
      <c r="G394" s="26">
        <f>IFERROR(__xludf.DUMMYFUNCTION("""COMPUTED_VALUE"""),-9.715226341083243)</f>
        <v>-9.715226341</v>
      </c>
      <c r="H394" s="26">
        <f>IFERROR(__xludf.DUMMYFUNCTION("""COMPUTED_VALUE"""),-10.062845631071834)</f>
        <v>-10.06284563</v>
      </c>
      <c r="I394" s="26">
        <f>IFERROR(__xludf.DUMMYFUNCTION("""COMPUTED_VALUE"""),-0.34761928998859126)</f>
        <v>-0.34761929</v>
      </c>
      <c r="J394" s="26">
        <f>IFERROR(__xludf.DUMMYFUNCTION("""COMPUTED_VALUE"""),3.470625)</f>
        <v>3.470625</v>
      </c>
      <c r="K394" s="26">
        <f>IFERROR(__xludf.DUMMYFUNCTION("""COMPUTED_VALUE"""),0.579375)</f>
        <v>0.579375</v>
      </c>
      <c r="L394" s="26">
        <f>IFERROR(__xludf.DUMMYFUNCTION("""COMPUTED_VALUE"""),1.95)</f>
        <v>1.95</v>
      </c>
      <c r="M394" s="26">
        <f>IFERROR(__xludf.DUMMYFUNCTION("""COMPUTED_VALUE"""),0.65)</f>
        <v>0.65</v>
      </c>
      <c r="N394" s="26">
        <f>IFERROR(__xludf.DUMMYFUNCTION("""COMPUTED_VALUE"""),0.335)</f>
        <v>0.335</v>
      </c>
      <c r="O394" s="26">
        <f>IFERROR(__xludf.DUMMYFUNCTION("""COMPUTED_VALUE"""),0.2325)</f>
        <v>0.2325</v>
      </c>
      <c r="P394" s="464">
        <f>IFERROR(__xludf.DUMMYFUNCTION("""COMPUTED_VALUE"""),0.4117524917)</f>
        <v>0.4117524917</v>
      </c>
      <c r="Q394" s="464">
        <f>IFERROR(__xludf.DUMMYFUNCTION("""COMPUTED_VALUE"""),0.8386277001)</f>
        <v>0.8386277001</v>
      </c>
      <c r="R394" s="26">
        <f>IFERROR(__xludf.DUMMYFUNCTION("""COMPUTED_VALUE"""),0.346875)</f>
        <v>0.346875</v>
      </c>
      <c r="S394" s="26">
        <f>IFERROR(__xludf.DUMMYFUNCTION("""COMPUTED_VALUE"""),-2.526831054539108)</f>
        <v>-2.526831055</v>
      </c>
      <c r="T394" s="26">
        <f>IFERROR(__xludf.DUMMYFUNCTION("""COMPUTED_VALUE"""),-1.159853774627689)</f>
        <v>-1.159853775</v>
      </c>
      <c r="U394" s="26">
        <f>IFERROR(__xludf.DUMMYFUNCTION("""COMPUTED_VALUE"""),-1.619882251527831)</f>
        <v>-1.619882252</v>
      </c>
      <c r="V394" s="26">
        <f>IFERROR(__xludf.DUMMYFUNCTION("""COMPUTED_VALUE"""),-1.4910877777936757)</f>
        <v>-1.491087778</v>
      </c>
      <c r="W394" s="26">
        <f>IFERROR(__xludf.DUMMYFUNCTION("""COMPUTED_VALUE"""),-2.120628876118731)</f>
        <v>-2.120628876</v>
      </c>
      <c r="X394" s="26">
        <f>IFERROR(__xludf.DUMMYFUNCTION("""COMPUTED_VALUE"""),-0.9206595517527755)</f>
        <v>-0.9206595518</v>
      </c>
      <c r="Y394" s="26">
        <f>IFERROR(__xludf.DUMMYFUNCTION("""COMPUTED_VALUE"""),-0.2993250371272668)</f>
        <v>-0.2993250371</v>
      </c>
      <c r="Z394" s="26">
        <f>IFERROR(__xludf.DUMMYFUNCTION("""COMPUTED_VALUE"""),0.07542269241524391)</f>
        <v>0.07542269242</v>
      </c>
      <c r="AA394" s="26">
        <f>IFERROR(__xludf.DUMMYFUNCTION("""COMPUTED_VALUE"""),0.0)</f>
        <v>0</v>
      </c>
      <c r="AB394" t="str">
        <f>IFERROR(__xludf.DUMMYFUNCTION("SUBSTITUTE(REGEXREPLACE(REGEXREPLACE(REGEXREPLACE(REGEXREPLACE(REGEXREPLACE(REGEXREPLACE(F394,"","",),IF(Projections!$T$17="""",""PG"",),),IF(Projections!$U$17="""",""SG"",),),IF(Projections!$V$17="""",""SF"",),),IF(Projections!$W$17="""",""PF"",),),IF(Pr"&amp;"ojections!$X$17="""",""C"",),),""/"","""")"),"448.00")</f>
        <v>448.00</v>
      </c>
    </row>
    <row r="395">
      <c r="B395">
        <f>IFERROR(__xludf.DUMMYFUNCTION("""COMPUTED_VALUE"""),391.0)</f>
        <v>391</v>
      </c>
      <c r="D395" t="str">
        <f>IFERROR(__xludf.DUMMYFUNCTION("""COMPUTED_VALUE"""),"Kessler Edwards")</f>
        <v>Kessler Edwards</v>
      </c>
      <c r="F395" t="str">
        <f>IFERROR(__xludf.DUMMYFUNCTION("""COMPUTED_VALUE"""),"449.00")</f>
        <v>449.00</v>
      </c>
      <c r="G395" s="26">
        <f>IFERROR(__xludf.DUMMYFUNCTION("""COMPUTED_VALUE"""),-9.703897723837379)</f>
        <v>-9.703897724</v>
      </c>
      <c r="H395" s="26">
        <f>IFERROR(__xludf.DUMMYFUNCTION("""COMPUTED_VALUE"""),-10.064536075900863)</f>
        <v>-10.06453608</v>
      </c>
      <c r="I395" s="26">
        <f>IFERROR(__xludf.DUMMYFUNCTION("""COMPUTED_VALUE"""),-0.36063835206348394)</f>
        <v>-0.3606383521</v>
      </c>
      <c r="J395" s="26">
        <f>IFERROR(__xludf.DUMMYFUNCTION("""COMPUTED_VALUE"""),3.615)</f>
        <v>3.615</v>
      </c>
      <c r="K395" s="26">
        <f>IFERROR(__xludf.DUMMYFUNCTION("""COMPUTED_VALUE"""),0.741875)</f>
        <v>0.741875</v>
      </c>
      <c r="L395" s="26">
        <f>IFERROR(__xludf.DUMMYFUNCTION("""COMPUTED_VALUE"""),1.6625)</f>
        <v>1.6625</v>
      </c>
      <c r="M395" s="26">
        <f>IFERROR(__xludf.DUMMYFUNCTION("""COMPUTED_VALUE"""),0.589375)</f>
        <v>0.589375</v>
      </c>
      <c r="N395" s="26">
        <f>IFERROR(__xludf.DUMMYFUNCTION("""COMPUTED_VALUE"""),0.420625)</f>
        <v>0.420625</v>
      </c>
      <c r="O395" s="26">
        <f>IFERROR(__xludf.DUMMYFUNCTION("""COMPUTED_VALUE"""),0.12625)</f>
        <v>0.12625</v>
      </c>
      <c r="P395" s="464">
        <f>IFERROR(__xludf.DUMMYFUNCTION("""COMPUTED_VALUE"""),0.4236594351)</f>
        <v>0.4236594351</v>
      </c>
      <c r="Q395" s="464">
        <f>IFERROR(__xludf.DUMMYFUNCTION("""COMPUTED_VALUE"""),0.7196850394)</f>
        <v>0.7196850394</v>
      </c>
      <c r="R395" s="26">
        <f>IFERROR(__xludf.DUMMYFUNCTION("""COMPUTED_VALUE"""),0.294375)</f>
        <v>0.294375</v>
      </c>
      <c r="S395" s="26">
        <f>IFERROR(__xludf.DUMMYFUNCTION("""COMPUTED_VALUE"""),-2.5008066466957097)</f>
        <v>-2.500806647</v>
      </c>
      <c r="T395" s="26">
        <f>IFERROR(__xludf.DUMMYFUNCTION("""COMPUTED_VALUE"""),-0.9986653870337758)</f>
        <v>-0.998665387</v>
      </c>
      <c r="U395" s="26">
        <f>IFERROR(__xludf.DUMMYFUNCTION("""COMPUTED_VALUE"""),-1.7325555129748273)</f>
        <v>-1.732555513</v>
      </c>
      <c r="V395" s="26">
        <f>IFERROR(__xludf.DUMMYFUNCTION("""COMPUTED_VALUE"""),-1.5186199188684193)</f>
        <v>-1.518619919</v>
      </c>
      <c r="W395" s="26">
        <f>IFERROR(__xludf.DUMMYFUNCTION("""COMPUTED_VALUE"""),-1.837354543017847)</f>
        <v>-1.837354543</v>
      </c>
      <c r="X395" s="26">
        <f>IFERROR(__xludf.DUMMYFUNCTION("""COMPUTED_VALUE"""),-1.1101721330386634)</f>
        <v>-1.110172133</v>
      </c>
      <c r="Y395" s="26">
        <f>IFERROR(__xludf.DUMMYFUNCTION("""COMPUTED_VALUE"""),-0.2613821755424521)</f>
        <v>-0.2613821755</v>
      </c>
      <c r="Z395" s="26">
        <f>IFERROR(__xludf.DUMMYFUNCTION("""COMPUTED_VALUE"""),-0.1049797587291676)</f>
        <v>-0.1049797587</v>
      </c>
      <c r="AA395" s="26">
        <f>IFERROR(__xludf.DUMMYFUNCTION("""COMPUTED_VALUE"""),0.0)</f>
        <v>0</v>
      </c>
      <c r="AB395" t="str">
        <f>IFERROR(__xludf.DUMMYFUNCTION("SUBSTITUTE(REGEXREPLACE(REGEXREPLACE(REGEXREPLACE(REGEXREPLACE(REGEXREPLACE(REGEXREPLACE(F395,"","",),IF(Projections!$T$17="""",""PG"",),),IF(Projections!$U$17="""",""SG"",),),IF(Projections!$V$17="""",""SF"",),),IF(Projections!$W$17="""",""PF"",),),IF(Pr"&amp;"ojections!$X$17="""",""C"",),),""/"","""")"),"449.00")</f>
        <v>449.00</v>
      </c>
    </row>
    <row r="396">
      <c r="B396">
        <f>IFERROR(__xludf.DUMMYFUNCTION("""COMPUTED_VALUE"""),392.0)</f>
        <v>392</v>
      </c>
      <c r="D396" t="str">
        <f>IFERROR(__xludf.DUMMYFUNCTION("""COMPUTED_VALUE"""),"Collin Gillespie")</f>
        <v>Collin Gillespie</v>
      </c>
      <c r="F396" t="str">
        <f>IFERROR(__xludf.DUMMYFUNCTION("""COMPUTED_VALUE"""),"456.00")</f>
        <v>456.00</v>
      </c>
      <c r="G396" s="26">
        <f>IFERROR(__xludf.DUMMYFUNCTION("""COMPUTED_VALUE"""),-9.8010451041402)</f>
        <v>-9.801045104</v>
      </c>
      <c r="H396" s="26">
        <f>IFERROR(__xludf.DUMMYFUNCTION("""COMPUTED_VALUE"""),-10.090078614791773)</f>
        <v>-10.09007861</v>
      </c>
      <c r="I396" s="26">
        <f>IFERROR(__xludf.DUMMYFUNCTION("""COMPUTED_VALUE"""),-0.28903351065157246)</f>
        <v>-0.2890335107</v>
      </c>
      <c r="J396" s="26">
        <f>IFERROR(__xludf.DUMMYFUNCTION("""COMPUTED_VALUE"""),4.386875)</f>
        <v>4.386875</v>
      </c>
      <c r="K396" s="26">
        <f>IFERROR(__xludf.DUMMYFUNCTION("""COMPUTED_VALUE"""),0.7675)</f>
        <v>0.7675</v>
      </c>
      <c r="L396" s="26">
        <f>IFERROR(__xludf.DUMMYFUNCTION("""COMPUTED_VALUE"""),0.966875)</f>
        <v>0.966875</v>
      </c>
      <c r="M396" s="26">
        <f>IFERROR(__xludf.DUMMYFUNCTION("""COMPUTED_VALUE"""),1.25)</f>
        <v>1.25</v>
      </c>
      <c r="N396" s="26">
        <f>IFERROR(__xludf.DUMMYFUNCTION("""COMPUTED_VALUE"""),0.379375)</f>
        <v>0.379375</v>
      </c>
      <c r="O396" s="26">
        <f>IFERROR(__xludf.DUMMYFUNCTION("""COMPUTED_VALUE"""),0.029375)</f>
        <v>0.029375</v>
      </c>
      <c r="P396" s="464">
        <f>IFERROR(__xludf.DUMMYFUNCTION("""COMPUTED_VALUE"""),0.4469453376)</f>
        <v>0.4469453376</v>
      </c>
      <c r="Q396" s="464">
        <f>IFERROR(__xludf.DUMMYFUNCTION("""COMPUTED_VALUE"""),0.7640776699)</f>
        <v>0.7640776699</v>
      </c>
      <c r="R396" s="26">
        <f>IFERROR(__xludf.DUMMYFUNCTION("""COMPUTED_VALUE"""),0.583125)</f>
        <v>0.583125</v>
      </c>
      <c r="S396" s="26">
        <f>IFERROR(__xludf.DUMMYFUNCTION("""COMPUTED_VALUE"""),-2.3616718255416105)</f>
        <v>-2.361671826</v>
      </c>
      <c r="T396" s="26">
        <f>IFERROR(__xludf.DUMMYFUNCTION("""COMPUTED_VALUE"""),-0.9732472182208893)</f>
        <v>-0.9732472182</v>
      </c>
      <c r="U396" s="26">
        <f>IFERROR(__xludf.DUMMYFUNCTION("""COMPUTED_VALUE"""),-2.0051758173020167)</f>
        <v>-2.005175817</v>
      </c>
      <c r="V396" s="26">
        <f>IFERROR(__xludf.DUMMYFUNCTION("""COMPUTED_VALUE"""),-1.2186047321054914)</f>
        <v>-1.218604732</v>
      </c>
      <c r="W396" s="26">
        <f>IFERROR(__xludf.DUMMYFUNCTION("""COMPUTED_VALUE"""),-1.9738224699131635)</f>
        <v>-1.97382247</v>
      </c>
      <c r="X396" s="26">
        <f>IFERROR(__xludf.DUMMYFUNCTION("""COMPUTED_VALUE"""),-1.282963015975796)</f>
        <v>-1.282963016</v>
      </c>
      <c r="Y396" s="26">
        <f>IFERROR(__xludf.DUMMYFUNCTION("""COMPUTED_VALUE"""),-0.2047068594144345)</f>
        <v>-0.2047068594</v>
      </c>
      <c r="Z396" s="26">
        <f>IFERROR(__xludf.DUMMYFUNCTION("""COMPUTED_VALUE"""),-0.06988667631837263)</f>
        <v>-0.06988667632</v>
      </c>
      <c r="AA396" s="26">
        <f>IFERROR(__xludf.DUMMYFUNCTION("""COMPUTED_VALUE"""),0.0)</f>
        <v>0</v>
      </c>
    </row>
    <row r="397">
      <c r="B397">
        <f>IFERROR(__xludf.DUMMYFUNCTION("""COMPUTED_VALUE"""),386.0)</f>
        <v>386</v>
      </c>
      <c r="D397" t="str">
        <f>IFERROR(__xludf.DUMMYFUNCTION("""COMPUTED_VALUE"""),"Jericho Sims")</f>
        <v>Jericho Sims</v>
      </c>
      <c r="F397" t="str">
        <f>IFERROR(__xludf.DUMMYFUNCTION("""COMPUTED_VALUE"""),"446.00")</f>
        <v>446.00</v>
      </c>
      <c r="G397" s="26">
        <f>IFERROR(__xludf.DUMMYFUNCTION("""COMPUTED_VALUE"""),-9.80634202459992)</f>
        <v>-9.806342025</v>
      </c>
      <c r="H397" s="26">
        <f>IFERROR(__xludf.DUMMYFUNCTION("""COMPUTED_VALUE"""),-10.136724577647641)</f>
        <v>-10.13672458</v>
      </c>
      <c r="I397" s="26">
        <f>IFERROR(__xludf.DUMMYFUNCTION("""COMPUTED_VALUE"""),-0.33038255304772157)</f>
        <v>-0.330382553</v>
      </c>
      <c r="J397" s="26">
        <f>IFERROR(__xludf.DUMMYFUNCTION("""COMPUTED_VALUE"""),1.821914894)</f>
        <v>1.821914894</v>
      </c>
      <c r="K397" s="26">
        <f>IFERROR(__xludf.DUMMYFUNCTION("""COMPUTED_VALUE"""),0.0)</f>
        <v>0</v>
      </c>
      <c r="L397" s="26">
        <f>IFERROR(__xludf.DUMMYFUNCTION("""COMPUTED_VALUE"""),3.535957447)</f>
        <v>3.535957447</v>
      </c>
      <c r="M397" s="26">
        <f>IFERROR(__xludf.DUMMYFUNCTION("""COMPUTED_VALUE"""),0.4908510638)</f>
        <v>0.4908510638</v>
      </c>
      <c r="N397" s="26">
        <f>IFERROR(__xludf.DUMMYFUNCTION("""COMPUTED_VALUE"""),0.2074468085)</f>
        <v>0.2074468085</v>
      </c>
      <c r="O397" s="26">
        <f>IFERROR(__xludf.DUMMYFUNCTION("""COMPUTED_VALUE"""),0.4165957447)</f>
        <v>0.4165957447</v>
      </c>
      <c r="P397" s="464">
        <f>IFERROR(__xludf.DUMMYFUNCTION("""COMPUTED_VALUE"""),0.7019493177)</f>
        <v>0.7019493177</v>
      </c>
      <c r="Q397" s="464">
        <f>IFERROR(__xludf.DUMMYFUNCTION("""COMPUTED_VALUE"""),0.6979487179)</f>
        <v>0.6979487179</v>
      </c>
      <c r="R397" s="26">
        <f>IFERROR(__xludf.DUMMYFUNCTION("""COMPUTED_VALUE"""),0.4163829787)</f>
        <v>0.4163829787</v>
      </c>
      <c r="S397" s="26">
        <f>IFERROR(__xludf.DUMMYFUNCTION("""COMPUTED_VALUE"""),-2.8240203477967802)</f>
        <v>-2.824020348</v>
      </c>
      <c r="T397" s="26">
        <f>IFERROR(__xludf.DUMMYFUNCTION("""COMPUTED_VALUE"""),-1.7345523719336797)</f>
        <v>-1.734552372</v>
      </c>
      <c r="U397" s="26">
        <f>IFERROR(__xludf.DUMMYFUNCTION("""COMPUTED_VALUE"""),-0.9983344321551634)</f>
        <v>-0.9983344322</v>
      </c>
      <c r="V397" s="26">
        <f>IFERROR(__xludf.DUMMYFUNCTION("""COMPUTED_VALUE"""),-1.5633634225500266)</f>
        <v>-1.563363423</v>
      </c>
      <c r="W397" s="26">
        <f>IFERROR(__xludf.DUMMYFUNCTION("""COMPUTED_VALUE"""),-2.5426148061280953)</f>
        <v>-2.542614806</v>
      </c>
      <c r="X397" s="26">
        <f>IFERROR(__xludf.DUMMYFUNCTION("""COMPUTED_VALUE"""),-0.592297577335413)</f>
        <v>-0.5922975773</v>
      </c>
      <c r="Y397" s="26">
        <f>IFERROR(__xludf.DUMMYFUNCTION("""COMPUTED_VALUE"""),0.2598860678620534)</f>
        <v>0.2598860679</v>
      </c>
      <c r="Z397" s="26">
        <f>IFERROR(__xludf.DUMMYFUNCTION("""COMPUTED_VALUE"""),-0.14142768761053634)</f>
        <v>-0.1414276876</v>
      </c>
      <c r="AA397" s="26">
        <f>IFERROR(__xludf.DUMMYFUNCTION("""COMPUTED_VALUE"""),0.0)</f>
        <v>0</v>
      </c>
    </row>
    <row r="398">
      <c r="B398">
        <f>IFERROR(__xludf.DUMMYFUNCTION("""COMPUTED_VALUE"""),394.0)</f>
        <v>394</v>
      </c>
      <c r="D398" t="str">
        <f>IFERROR(__xludf.DUMMYFUNCTION("""COMPUTED_VALUE"""),"Garrison Mathews")</f>
        <v>Garrison Mathews</v>
      </c>
      <c r="F398" t="str">
        <f>IFERROR(__xludf.DUMMYFUNCTION("""COMPUTED_VALUE"""),"444.00")</f>
        <v>444.00</v>
      </c>
      <c r="G398" s="26">
        <f>IFERROR(__xludf.DUMMYFUNCTION("""COMPUTED_VALUE"""),-9.772739001611024)</f>
        <v>-9.772739002</v>
      </c>
      <c r="H398" s="26">
        <f>IFERROR(__xludf.DUMMYFUNCTION("""COMPUTED_VALUE"""),-10.139240467871007)</f>
        <v>-10.13924047</v>
      </c>
      <c r="I398" s="26">
        <f>IFERROR(__xludf.DUMMYFUNCTION("""COMPUTED_VALUE"""),-0.36650146625998303)</f>
        <v>-0.3665014663</v>
      </c>
      <c r="J398" s="26">
        <f>IFERROR(__xludf.DUMMYFUNCTION("""COMPUTED_VALUE"""),3.989268293)</f>
        <v>3.989268293</v>
      </c>
      <c r="K398" s="26">
        <f>IFERROR(__xludf.DUMMYFUNCTION("""COMPUTED_VALUE"""),1.041463415)</f>
        <v>1.041463415</v>
      </c>
      <c r="L398" s="26">
        <f>IFERROR(__xludf.DUMMYFUNCTION("""COMPUTED_VALUE"""),1.218780488)</f>
        <v>1.218780488</v>
      </c>
      <c r="M398" s="26">
        <f>IFERROR(__xludf.DUMMYFUNCTION("""COMPUTED_VALUE"""),0.4665853659)</f>
        <v>0.4665853659</v>
      </c>
      <c r="N398" s="26">
        <f>IFERROR(__xludf.DUMMYFUNCTION("""COMPUTED_VALUE"""),0.3251219512)</f>
        <v>0.3251219512</v>
      </c>
      <c r="O398" s="26">
        <f>IFERROR(__xludf.DUMMYFUNCTION("""COMPUTED_VALUE"""),0.1092682927)</f>
        <v>0.1092682927</v>
      </c>
      <c r="P398" s="464">
        <f>IFERROR(__xludf.DUMMYFUNCTION("""COMPUTED_VALUE"""),0.4243046776)</f>
        <v>0.4243046776</v>
      </c>
      <c r="Q398" s="464">
        <f>IFERROR(__xludf.DUMMYFUNCTION("""COMPUTED_VALUE"""),0.8177399757)</f>
        <v>0.8177399757</v>
      </c>
      <c r="R398" s="26">
        <f>IFERROR(__xludf.DUMMYFUNCTION("""COMPUTED_VALUE"""),0.2707317073)</f>
        <v>0.2707317073</v>
      </c>
      <c r="S398" s="26">
        <f>IFERROR(__xludf.DUMMYFUNCTION("""COMPUTED_VALUE"""),-2.4333426764800596)</f>
        <v>-2.433342676</v>
      </c>
      <c r="T398" s="26">
        <f>IFERROR(__xludf.DUMMYFUNCTION("""COMPUTED_VALUE"""),-0.7014950882296764)</f>
        <v>-0.7014950882</v>
      </c>
      <c r="U398" s="26">
        <f>IFERROR(__xludf.DUMMYFUNCTION("""COMPUTED_VALUE"""),-1.906452294139035)</f>
        <v>-1.906452294</v>
      </c>
      <c r="V398" s="26">
        <f>IFERROR(__xludf.DUMMYFUNCTION("""COMPUTED_VALUE"""),-1.5743834079992622)</f>
        <v>-1.574383408</v>
      </c>
      <c r="W398" s="26">
        <f>IFERROR(__xludf.DUMMYFUNCTION("""COMPUTED_VALUE"""),-2.1533085571249555)</f>
        <v>-2.153308557</v>
      </c>
      <c r="X398" s="26">
        <f>IFERROR(__xludf.DUMMYFUNCTION("""COMPUTED_VALUE"""),-1.1404615183098574)</f>
        <v>-1.140461518</v>
      </c>
      <c r="Y398" s="26">
        <f>IFERROR(__xludf.DUMMYFUNCTION("""COMPUTED_VALUE"""),-0.2618968260319805)</f>
        <v>-0.261896826</v>
      </c>
      <c r="Z398" s="26">
        <f>IFERROR(__xludf.DUMMYFUNCTION("""COMPUTED_VALUE"""),0.03209990044381978)</f>
        <v>0.03209990044</v>
      </c>
      <c r="AA398" s="26">
        <f>IFERROR(__xludf.DUMMYFUNCTION("""COMPUTED_VALUE"""),0.0)</f>
        <v>0</v>
      </c>
    </row>
    <row r="399">
      <c r="B399">
        <f>IFERROR(__xludf.DUMMYFUNCTION("""COMPUTED_VALUE"""),398.0)</f>
        <v>398</v>
      </c>
      <c r="D399" t="str">
        <f>IFERROR(__xludf.DUMMYFUNCTION("""COMPUTED_VALUE"""),"Jalen Pickett")</f>
        <v>Jalen Pickett</v>
      </c>
      <c r="F399" t="str">
        <f>IFERROR(__xludf.DUMMYFUNCTION("""COMPUTED_VALUE"""),"455.00")</f>
        <v>455.00</v>
      </c>
      <c r="G399" s="26">
        <f>IFERROR(__xludf.DUMMYFUNCTION("""COMPUTED_VALUE"""),-9.889812957525733)</f>
        <v>-9.889812958</v>
      </c>
      <c r="H399" s="26">
        <f>IFERROR(__xludf.DUMMYFUNCTION("""COMPUTED_VALUE"""),-10.161407552096316)</f>
        <v>-10.16140755</v>
      </c>
      <c r="I399" s="26">
        <f>IFERROR(__xludf.DUMMYFUNCTION("""COMPUTED_VALUE"""),-0.2715945945705833)</f>
        <v>-0.2715945946</v>
      </c>
      <c r="J399" s="26">
        <f>IFERROR(__xludf.DUMMYFUNCTION("""COMPUTED_VALUE"""),3.509655172)</f>
        <v>3.509655172</v>
      </c>
      <c r="K399" s="26">
        <f>IFERROR(__xludf.DUMMYFUNCTION("""COMPUTED_VALUE"""),0.684137931)</f>
        <v>0.684137931</v>
      </c>
      <c r="L399" s="26">
        <f>IFERROR(__xludf.DUMMYFUNCTION("""COMPUTED_VALUE"""),1.224827586)</f>
        <v>1.224827586</v>
      </c>
      <c r="M399" s="26">
        <f>IFERROR(__xludf.DUMMYFUNCTION("""COMPUTED_VALUE"""),1.633448276)</f>
        <v>1.633448276</v>
      </c>
      <c r="N399" s="26">
        <f>IFERROR(__xludf.DUMMYFUNCTION("""COMPUTED_VALUE"""),0.3265517241)</f>
        <v>0.3265517241</v>
      </c>
      <c r="O399" s="26">
        <f>IFERROR(__xludf.DUMMYFUNCTION("""COMPUTED_VALUE"""),0.1368965517)</f>
        <v>0.1368965517</v>
      </c>
      <c r="P399" s="464">
        <f>IFERROR(__xludf.DUMMYFUNCTION("""COMPUTED_VALUE"""),0.4083333333)</f>
        <v>0.4083333333</v>
      </c>
      <c r="Q399" s="464">
        <f>IFERROR(__xludf.DUMMYFUNCTION("""COMPUTED_VALUE"""),0.7397020158)</f>
        <v>0.7397020158</v>
      </c>
      <c r="R399" s="26">
        <f>IFERROR(__xludf.DUMMYFUNCTION("""COMPUTED_VALUE"""),0.6534482759)</f>
        <v>0.6534482759</v>
      </c>
      <c r="S399" s="26">
        <f>IFERROR(__xludf.DUMMYFUNCTION("""COMPUTED_VALUE"""),-2.519795645955032)</f>
        <v>-2.519795646</v>
      </c>
      <c r="T399" s="26">
        <f>IFERROR(__xludf.DUMMYFUNCTION("""COMPUTED_VALUE"""),-1.0559364335353665)</f>
        <v>-1.055936434</v>
      </c>
      <c r="U399" s="26">
        <f>IFERROR(__xludf.DUMMYFUNCTION("""COMPUTED_VALUE"""),-1.9040823941252973)</f>
        <v>-1.904082394</v>
      </c>
      <c r="V399" s="26">
        <f>IFERROR(__xludf.DUMMYFUNCTION("""COMPUTED_VALUE"""),-1.0444661419248853)</f>
        <v>-1.044466142</v>
      </c>
      <c r="W399" s="26">
        <f>IFERROR(__xludf.DUMMYFUNCTION("""COMPUTED_VALUE"""),-2.148578420310553)</f>
        <v>-2.14857842</v>
      </c>
      <c r="X399" s="26">
        <f>IFERROR(__xludf.DUMMYFUNCTION("""COMPUTED_VALUE"""),-1.0911824342672687)</f>
        <v>-1.091182434</v>
      </c>
      <c r="Y399" s="26">
        <f>IFERROR(__xludf.DUMMYFUNCTION("""COMPUTED_VALUE"""),-0.32096038156307966)</f>
        <v>-0.3209603816</v>
      </c>
      <c r="Z399" s="26">
        <f>IFERROR(__xludf.DUMMYFUNCTION("""COMPUTED_VALUE"""),-0.0764057004148333)</f>
        <v>-0.07640570041</v>
      </c>
      <c r="AA399" s="26">
        <f>IFERROR(__xludf.DUMMYFUNCTION("""COMPUTED_VALUE"""),0.0)</f>
        <v>0</v>
      </c>
    </row>
    <row r="400">
      <c r="B400">
        <f>IFERROR(__xludf.DUMMYFUNCTION("""COMPUTED_VALUE"""),396.0)</f>
        <v>396</v>
      </c>
      <c r="D400" t="str">
        <f>IFERROR(__xludf.DUMMYFUNCTION("""COMPUTED_VALUE"""),"Josh Christopher")</f>
        <v>Josh Christopher</v>
      </c>
      <c r="F400" t="str">
        <f>IFERROR(__xludf.DUMMYFUNCTION("""COMPUTED_VALUE"""),"452.00")</f>
        <v>452.00</v>
      </c>
      <c r="G400" s="26">
        <f>IFERROR(__xludf.DUMMYFUNCTION("""COMPUTED_VALUE"""),-9.906804363295887)</f>
        <v>-9.906804363</v>
      </c>
      <c r="H400" s="26">
        <f>IFERROR(__xludf.DUMMYFUNCTION("""COMPUTED_VALUE"""),-10.18514364438594)</f>
        <v>-10.18514364</v>
      </c>
      <c r="I400" s="26">
        <f>IFERROR(__xludf.DUMMYFUNCTION("""COMPUTED_VALUE"""),-0.27833928109005335)</f>
        <v>-0.2783392811</v>
      </c>
      <c r="J400" s="26">
        <f>IFERROR(__xludf.DUMMYFUNCTION("""COMPUTED_VALUE"""),4.470625)</f>
        <v>4.470625</v>
      </c>
      <c r="K400" s="26">
        <f>IFERROR(__xludf.DUMMYFUNCTION("""COMPUTED_VALUE"""),0.37125)</f>
        <v>0.37125</v>
      </c>
      <c r="L400" s="26">
        <f>IFERROR(__xludf.DUMMYFUNCTION("""COMPUTED_VALUE"""),1.07125)</f>
        <v>1.07125</v>
      </c>
      <c r="M400" s="26">
        <f>IFERROR(__xludf.DUMMYFUNCTION("""COMPUTED_VALUE"""),0.948125)</f>
        <v>0.948125</v>
      </c>
      <c r="N400" s="26">
        <f>IFERROR(__xludf.DUMMYFUNCTION("""COMPUTED_VALUE"""),0.438125)</f>
        <v>0.438125</v>
      </c>
      <c r="O400" s="26">
        <f>IFERROR(__xludf.DUMMYFUNCTION("""COMPUTED_VALUE"""),0.1425)</f>
        <v>0.1425</v>
      </c>
      <c r="P400" s="464">
        <f>IFERROR(__xludf.DUMMYFUNCTION("""COMPUTED_VALUE"""),0.4737550471)</f>
        <v>0.4737550471</v>
      </c>
      <c r="Q400" s="464">
        <f>IFERROR(__xludf.DUMMYFUNCTION("""COMPUTED_VALUE"""),0.7270588235)</f>
        <v>0.7270588235</v>
      </c>
      <c r="R400" s="26">
        <f>IFERROR(__xludf.DUMMYFUNCTION("""COMPUTED_VALUE"""),0.62625)</f>
        <v>0.62625</v>
      </c>
      <c r="S400" s="26">
        <f>IFERROR(__xludf.DUMMYFUNCTION("""COMPUTED_VALUE"""),-2.346575415796955)</f>
        <v>-2.346575416</v>
      </c>
      <c r="T400" s="26">
        <f>IFERROR(__xludf.DUMMYFUNCTION("""COMPUTED_VALUE"""),-1.3662989018152778)</f>
        <v>-1.366298902</v>
      </c>
      <c r="U400" s="26">
        <f>IFERROR(__xludf.DUMMYFUNCTION("""COMPUTED_VALUE"""),-1.9642705245593028)</f>
        <v>-1.964270525</v>
      </c>
      <c r="V400" s="26">
        <f>IFERROR(__xludf.DUMMYFUNCTION("""COMPUTED_VALUE"""),-1.3556977644673591)</f>
        <v>-1.355697764</v>
      </c>
      <c r="W400" s="26">
        <f>IFERROR(__xludf.DUMMYFUNCTION("""COMPUTED_VALUE"""),-1.7794590588804402)</f>
        <v>-1.779459059</v>
      </c>
      <c r="X400" s="26">
        <f>IFERROR(__xludf.DUMMYFUNCTION("""COMPUTED_VALUE"""),-1.0811878559008217)</f>
        <v>-1.081187856</v>
      </c>
      <c r="Y400" s="26">
        <f>IFERROR(__xludf.DUMMYFUNCTION("""COMPUTED_VALUE"""),-0.10151069494378807)</f>
        <v>-0.1015106949</v>
      </c>
      <c r="Z400" s="26">
        <f>IFERROR(__xludf.DUMMYFUNCTION("""COMPUTED_VALUE"""),-0.1901434280219946)</f>
        <v>-0.190143428</v>
      </c>
      <c r="AA400" s="26">
        <f>IFERROR(__xludf.DUMMYFUNCTION("""COMPUTED_VALUE"""),0.0)</f>
        <v>0</v>
      </c>
    </row>
    <row r="401">
      <c r="B401">
        <f>IFERROR(__xludf.DUMMYFUNCTION("""COMPUTED_VALUE"""),389.0)</f>
        <v>389</v>
      </c>
      <c r="D401" t="str">
        <f>IFERROR(__xludf.DUMMYFUNCTION("""COMPUTED_VALUE"""),"Dwight Powell")</f>
        <v>Dwight Powell</v>
      </c>
      <c r="F401" t="str">
        <f>IFERROR(__xludf.DUMMYFUNCTION("""COMPUTED_VALUE"""),"450.00")</f>
        <v>450.00</v>
      </c>
      <c r="G401" s="26">
        <f>IFERROR(__xludf.DUMMYFUNCTION("""COMPUTED_VALUE"""),-9.877671979499471)</f>
        <v>-9.877671979</v>
      </c>
      <c r="H401" s="26">
        <f>IFERROR(__xludf.DUMMYFUNCTION("""COMPUTED_VALUE"""),-10.191369379962437)</f>
        <v>-10.19136938</v>
      </c>
      <c r="I401" s="26">
        <f>IFERROR(__xludf.DUMMYFUNCTION("""COMPUTED_VALUE"""),-0.31369740046296535)</f>
        <v>-0.3136974005</v>
      </c>
      <c r="J401" s="26">
        <f>IFERROR(__xludf.DUMMYFUNCTION("""COMPUTED_VALUE"""),2.080333333)</f>
        <v>2.080333333</v>
      </c>
      <c r="K401" s="26">
        <f>IFERROR(__xludf.DUMMYFUNCTION("""COMPUTED_VALUE"""),0.0)</f>
        <v>0</v>
      </c>
      <c r="L401" s="26">
        <f>IFERROR(__xludf.DUMMYFUNCTION("""COMPUTED_VALUE"""),3.282666667)</f>
        <v>3.282666667</v>
      </c>
      <c r="M401" s="26">
        <f>IFERROR(__xludf.DUMMYFUNCTION("""COMPUTED_VALUE"""),1.085666667)</f>
        <v>1.085666667</v>
      </c>
      <c r="N401" s="26">
        <f>IFERROR(__xludf.DUMMYFUNCTION("""COMPUTED_VALUE"""),0.323)</f>
        <v>0.323</v>
      </c>
      <c r="O401" s="26">
        <f>IFERROR(__xludf.DUMMYFUNCTION("""COMPUTED_VALUE"""),0.255)</f>
        <v>0.255</v>
      </c>
      <c r="P401" s="464">
        <f>IFERROR(__xludf.DUMMYFUNCTION("""COMPUTED_VALUE"""),0.6501319261)</f>
        <v>0.6501319261</v>
      </c>
      <c r="Q401" s="464">
        <f>IFERROR(__xludf.DUMMYFUNCTION("""COMPUTED_VALUE"""),0.6081519222)</f>
        <v>0.6081519222</v>
      </c>
      <c r="R401" s="26">
        <f>IFERROR(__xludf.DUMMYFUNCTION("""COMPUTED_VALUE"""),0.4836666667)</f>
        <v>0.4836666667</v>
      </c>
      <c r="S401" s="26">
        <f>IFERROR(__xludf.DUMMYFUNCTION("""COMPUTED_VALUE"""),-2.777438967012085)</f>
        <v>-2.777438967</v>
      </c>
      <c r="T401" s="26">
        <f>IFERROR(__xludf.DUMMYFUNCTION("""COMPUTED_VALUE"""),-1.7345523719336797)</f>
        <v>-1.734552372</v>
      </c>
      <c r="U401" s="26">
        <f>IFERROR(__xludf.DUMMYFUNCTION("""COMPUTED_VALUE"""),-1.0976008609449153)</f>
        <v>-1.097600861</v>
      </c>
      <c r="V401" s="26">
        <f>IFERROR(__xludf.DUMMYFUNCTION("""COMPUTED_VALUE"""),-1.293234810578709)</f>
        <v>-1.293234811</v>
      </c>
      <c r="W401" s="26">
        <f>IFERROR(__xludf.DUMMYFUNCTION("""COMPUTED_VALUE"""),-2.1603286366700956)</f>
        <v>-2.160328637</v>
      </c>
      <c r="X401" s="26">
        <f>IFERROR(__xludf.DUMMYFUNCTION("""COMPUTED_VALUE"""),-0.8805274757157641)</f>
        <v>-0.8805274757</v>
      </c>
      <c r="Y401" s="26">
        <f>IFERROR(__xludf.DUMMYFUNCTION("""COMPUTED_VALUE"""),0.22465888208439705)</f>
        <v>0.2246588821</v>
      </c>
      <c r="Z401" s="26">
        <f>IFERROR(__xludf.DUMMYFUNCTION("""COMPUTED_VALUE"""),-0.47234513919158283)</f>
        <v>-0.4723451392</v>
      </c>
      <c r="AA401" s="26">
        <f>IFERROR(__xludf.DUMMYFUNCTION("""COMPUTED_VALUE"""),0.0)</f>
        <v>0</v>
      </c>
    </row>
    <row r="402">
      <c r="B402">
        <f>IFERROR(__xludf.DUMMYFUNCTION("""COMPUTED_VALUE"""),395.0)</f>
        <v>395</v>
      </c>
      <c r="D402" t="str">
        <f>IFERROR(__xludf.DUMMYFUNCTION("""COMPUTED_VALUE"""),"Torrey Craig")</f>
        <v>Torrey Craig</v>
      </c>
      <c r="F402" t="str">
        <f>IFERROR(__xludf.DUMMYFUNCTION("""COMPUTED_VALUE"""),"447.00")</f>
        <v>447.00</v>
      </c>
      <c r="G402" s="26">
        <f>IFERROR(__xludf.DUMMYFUNCTION("""COMPUTED_VALUE"""),-9.86049512371908)</f>
        <v>-9.860495124</v>
      </c>
      <c r="H402" s="26">
        <f>IFERROR(__xludf.DUMMYFUNCTION("""COMPUTED_VALUE"""),-10.203593356431707)</f>
        <v>-10.20359336</v>
      </c>
      <c r="I402" s="26">
        <f>IFERROR(__xludf.DUMMYFUNCTION("""COMPUTED_VALUE"""),-0.3430982327126273)</f>
        <v>-0.3430982327</v>
      </c>
      <c r="J402" s="26">
        <f>IFERROR(__xludf.DUMMYFUNCTION("""COMPUTED_VALUE"""),2.879787234)</f>
        <v>2.879787234</v>
      </c>
      <c r="K402" s="26">
        <f>IFERROR(__xludf.DUMMYFUNCTION("""COMPUTED_VALUE"""),0.5544680851)</f>
        <v>0.5544680851</v>
      </c>
      <c r="L402" s="26">
        <f>IFERROR(__xludf.DUMMYFUNCTION("""COMPUTED_VALUE"""),2.313191489)</f>
        <v>2.313191489</v>
      </c>
      <c r="M402" s="26">
        <f>IFERROR(__xludf.DUMMYFUNCTION("""COMPUTED_VALUE"""),0.5761702128)</f>
        <v>0.5761702128</v>
      </c>
      <c r="N402" s="26">
        <f>IFERROR(__xludf.DUMMYFUNCTION("""COMPUTED_VALUE"""),0.2827659574)</f>
        <v>0.2827659574</v>
      </c>
      <c r="O402" s="26">
        <f>IFERROR(__xludf.DUMMYFUNCTION("""COMPUTED_VALUE"""),0.2746808511)</f>
        <v>0.2746808511</v>
      </c>
      <c r="P402" s="464">
        <f>IFERROR(__xludf.DUMMYFUNCTION("""COMPUTED_VALUE"""),0.4344756329)</f>
        <v>0.4344756329</v>
      </c>
      <c r="Q402" s="464">
        <f>IFERROR(__xludf.DUMMYFUNCTION("""COMPUTED_VALUE"""),0.7209302326)</f>
        <v>0.7209302326</v>
      </c>
      <c r="R402" s="26">
        <f>IFERROR(__xludf.DUMMYFUNCTION("""COMPUTED_VALUE"""),0.365106383)</f>
        <v>0.365106383</v>
      </c>
      <c r="S402" s="26">
        <f>IFERROR(__xludf.DUMMYFUNCTION("""COMPUTED_VALUE"""),-2.6333328934424247)</f>
        <v>-2.633332893</v>
      </c>
      <c r="T402" s="26">
        <f>IFERROR(__xludf.DUMMYFUNCTION("""COMPUTED_VALUE"""),-1.1845596543364263)</f>
        <v>-1.184559654</v>
      </c>
      <c r="U402" s="26">
        <f>IFERROR(__xludf.DUMMYFUNCTION("""COMPUTED_VALUE"""),-1.477544965978541)</f>
        <v>-1.477544966</v>
      </c>
      <c r="V402" s="26">
        <f>IFERROR(__xludf.DUMMYFUNCTION("""COMPUTED_VALUE"""),-1.5246167199249532)</f>
        <v>-1.52461672</v>
      </c>
      <c r="W402" s="26">
        <f>IFERROR(__xludf.DUMMYFUNCTION("""COMPUTED_VALUE"""),-2.293435458106213)</f>
        <v>-2.293435458</v>
      </c>
      <c r="X402" s="26">
        <f>IFERROR(__xludf.DUMMYFUNCTION("""COMPUTED_VALUE"""),-0.845423768479395)</f>
        <v>-0.8454237685</v>
      </c>
      <c r="Y402" s="26">
        <f>IFERROR(__xludf.DUMMYFUNCTION("""COMPUTED_VALUE"""),-0.18041941430478778)</f>
        <v>-0.1804194143</v>
      </c>
      <c r="Z402" s="26">
        <f>IFERROR(__xludf.DUMMYFUNCTION("""COMPUTED_VALUE"""),-0.06426048185896484)</f>
        <v>-0.06426048186</v>
      </c>
      <c r="AA402" s="26">
        <f>IFERROR(__xludf.DUMMYFUNCTION("""COMPUTED_VALUE"""),0.0)</f>
        <v>0</v>
      </c>
    </row>
    <row r="403">
      <c r="B403">
        <f>IFERROR(__xludf.DUMMYFUNCTION("""COMPUTED_VALUE"""),397.0)</f>
        <v>397</v>
      </c>
      <c r="D403" t="str">
        <f>IFERROR(__xludf.DUMMYFUNCTION("""COMPUTED_VALUE"""),"Maxi Kleber")</f>
        <v>Maxi Kleber</v>
      </c>
      <c r="F403" t="str">
        <f>IFERROR(__xludf.DUMMYFUNCTION("""COMPUTED_VALUE"""),"453.00")</f>
        <v>453.00</v>
      </c>
      <c r="G403" s="26">
        <f>IFERROR(__xludf.DUMMYFUNCTION("""COMPUTED_VALUE"""),-9.902850895597876)</f>
        <v>-9.902850896</v>
      </c>
      <c r="H403" s="26">
        <f>IFERROR(__xludf.DUMMYFUNCTION("""COMPUTED_VALUE"""),-10.226307122428697)</f>
        <v>-10.22630712</v>
      </c>
      <c r="I403" s="26">
        <f>IFERROR(__xludf.DUMMYFUNCTION("""COMPUTED_VALUE"""),-0.323456226830821)</f>
        <v>-0.3234562268</v>
      </c>
      <c r="J403" s="26">
        <f>IFERROR(__xludf.DUMMYFUNCTION("""COMPUTED_VALUE"""),2.590980392)</f>
        <v>2.590980392</v>
      </c>
      <c r="K403" s="26">
        <f>IFERROR(__xludf.DUMMYFUNCTION("""COMPUTED_VALUE"""),0.4464705882)</f>
        <v>0.4464705882</v>
      </c>
      <c r="L403" s="26">
        <f>IFERROR(__xludf.DUMMYFUNCTION("""COMPUTED_VALUE"""),2.133529412)</f>
        <v>2.133529412</v>
      </c>
      <c r="M403" s="26">
        <f>IFERROR(__xludf.DUMMYFUNCTION("""COMPUTED_VALUE"""),0.7933333333)</f>
        <v>0.7933333333</v>
      </c>
      <c r="N403" s="26">
        <f>IFERROR(__xludf.DUMMYFUNCTION("""COMPUTED_VALUE"""),0.2390196078)</f>
        <v>0.2390196078</v>
      </c>
      <c r="O403" s="26">
        <f>IFERROR(__xludf.DUMMYFUNCTION("""COMPUTED_VALUE"""),0.4454901961)</f>
        <v>0.4454901961</v>
      </c>
      <c r="P403" s="464">
        <f>IFERROR(__xludf.DUMMYFUNCTION("""COMPUTED_VALUE"""),0.4253367727)</f>
        <v>0.4253367727</v>
      </c>
      <c r="Q403" s="464">
        <f>IFERROR(__xludf.DUMMYFUNCTION("""COMPUTED_VALUE"""),0.7299820467)</f>
        <v>0.7299820467</v>
      </c>
      <c r="R403" s="26">
        <f>IFERROR(__xludf.DUMMYFUNCTION("""COMPUTED_VALUE"""),0.4443137255)</f>
        <v>0.4443137255</v>
      </c>
      <c r="S403" s="26">
        <f>IFERROR(__xludf.DUMMYFUNCTION("""COMPUTED_VALUE"""),-2.6853919552202385)</f>
        <v>-2.685391955</v>
      </c>
      <c r="T403" s="26">
        <f>IFERROR(__xludf.DUMMYFUNCTION("""COMPUTED_VALUE"""),-1.2916854536563627)</f>
        <v>-1.291685454</v>
      </c>
      <c r="U403" s="26">
        <f>IFERROR(__xludf.DUMMYFUNCTION("""COMPUTED_VALUE"""),-1.5479557909313457)</f>
        <v>-1.547955791</v>
      </c>
      <c r="V403" s="26">
        <f>IFERROR(__xludf.DUMMYFUNCTION("""COMPUTED_VALUE"""),-1.4259946057833028)</f>
        <v>-1.425994606</v>
      </c>
      <c r="W403" s="26">
        <f>IFERROR(__xludf.DUMMYFUNCTION("""COMPUTED_VALUE"""),-2.4381620917825706)</f>
        <v>-2.438162092</v>
      </c>
      <c r="X403" s="26">
        <f>IFERROR(__xludf.DUMMYFUNCTION("""COMPUTED_VALUE"""),-0.540760051973967)</f>
        <v>-0.540760052</v>
      </c>
      <c r="Y403" s="26">
        <f>IFERROR(__xludf.DUMMYFUNCTION("""COMPUTED_VALUE"""),-0.17166458984689878)</f>
        <v>-0.1716645898</v>
      </c>
      <c r="Z403" s="26">
        <f>IFERROR(__xludf.DUMMYFUNCTION("""COMPUTED_VALUE"""),-0.12469258323401132)</f>
        <v>-0.1246925832</v>
      </c>
      <c r="AA403" s="26">
        <f>IFERROR(__xludf.DUMMYFUNCTION("""COMPUTED_VALUE"""),0.0)</f>
        <v>0</v>
      </c>
    </row>
    <row r="404">
      <c r="B404">
        <f>IFERROR(__xludf.DUMMYFUNCTION("""COMPUTED_VALUE"""),393.0)</f>
        <v>393</v>
      </c>
      <c r="D404" t="str">
        <f>IFERROR(__xludf.DUMMYFUNCTION("""COMPUTED_VALUE"""),"Kai Jones")</f>
        <v>Kai Jones</v>
      </c>
      <c r="F404" t="str">
        <f>IFERROR(__xludf.DUMMYFUNCTION("""COMPUTED_VALUE"""),"454.00")</f>
        <v>454.00</v>
      </c>
      <c r="G404" s="26">
        <f>IFERROR(__xludf.DUMMYFUNCTION("""COMPUTED_VALUE"""),-9.989595682696635)</f>
        <v>-9.989595683</v>
      </c>
      <c r="H404" s="26">
        <f>IFERROR(__xludf.DUMMYFUNCTION("""COMPUTED_VALUE"""),-10.273430022452407)</f>
        <v>-10.27343002</v>
      </c>
      <c r="I404" s="26">
        <f>IFERROR(__xludf.DUMMYFUNCTION("""COMPUTED_VALUE"""),-0.28383433975577255)</f>
        <v>-0.2838343398</v>
      </c>
      <c r="J404" s="26">
        <f>IFERROR(__xludf.DUMMYFUNCTION("""COMPUTED_VALUE"""),3.372045455)</f>
        <v>3.372045455</v>
      </c>
      <c r="K404" s="26">
        <f>IFERROR(__xludf.DUMMYFUNCTION("""COMPUTED_VALUE"""),0.1006818182)</f>
        <v>0.1006818182</v>
      </c>
      <c r="L404" s="26">
        <f>IFERROR(__xludf.DUMMYFUNCTION("""COMPUTED_VALUE"""),2.261363636)</f>
        <v>2.261363636</v>
      </c>
      <c r="M404" s="26">
        <f>IFERROR(__xludf.DUMMYFUNCTION("""COMPUTED_VALUE"""),0.3327272727)</f>
        <v>0.3327272727</v>
      </c>
      <c r="N404" s="26">
        <f>IFERROR(__xludf.DUMMYFUNCTION("""COMPUTED_VALUE"""),0.2245454545)</f>
        <v>0.2245454545</v>
      </c>
      <c r="O404" s="26">
        <f>IFERROR(__xludf.DUMMYFUNCTION("""COMPUTED_VALUE"""),0.5243181818)</f>
        <v>0.5243181818</v>
      </c>
      <c r="P404" s="464">
        <f>IFERROR(__xludf.DUMMYFUNCTION("""COMPUTED_VALUE"""),0.5783420738)</f>
        <v>0.5783420738</v>
      </c>
      <c r="Q404" s="464">
        <f>IFERROR(__xludf.DUMMYFUNCTION("""COMPUTED_VALUE"""),0.656103709)</f>
        <v>0.656103709</v>
      </c>
      <c r="R404" s="26">
        <f>IFERROR(__xludf.DUMMYFUNCTION("""COMPUTED_VALUE"""),0.6040909091)</f>
        <v>0.6040909091</v>
      </c>
      <c r="S404" s="26">
        <f>IFERROR(__xludf.DUMMYFUNCTION("""COMPUTED_VALUE"""),-2.5446005733899937)</f>
        <v>-2.544600573</v>
      </c>
      <c r="T404" s="26">
        <f>IFERROR(__xludf.DUMMYFUNCTION("""COMPUTED_VALUE"""),-1.6346832030987166)</f>
        <v>-1.634683203</v>
      </c>
      <c r="U404" s="26">
        <f>IFERROR(__xludf.DUMMYFUNCTION("""COMPUTED_VALUE"""),-1.4978566641743862)</f>
        <v>-1.497856664</v>
      </c>
      <c r="V404" s="26">
        <f>IFERROR(__xludf.DUMMYFUNCTION("""COMPUTED_VALUE"""),-1.635173509541177)</f>
        <v>-1.63517351</v>
      </c>
      <c r="W404" s="26">
        <f>IFERROR(__xludf.DUMMYFUNCTION("""COMPUTED_VALUE"""),-2.486047126798716)</f>
        <v>-2.486047127</v>
      </c>
      <c r="X404" s="26">
        <f>IFERROR(__xludf.DUMMYFUNCTION("""COMPUTED_VALUE"""),-0.40015868682032896)</f>
        <v>-0.4001586868</v>
      </c>
      <c r="Y404" s="26">
        <f>IFERROR(__xludf.DUMMYFUNCTION("""COMPUTED_VALUE"""),0.23300926749825174)</f>
        <v>0.2330092675</v>
      </c>
      <c r="Z404" s="26">
        <f>IFERROR(__xludf.DUMMYFUNCTION("""COMPUTED_VALUE"""),-0.30791952612733975)</f>
        <v>-0.3079195261</v>
      </c>
      <c r="AA404" s="26">
        <f>IFERROR(__xludf.DUMMYFUNCTION("""COMPUTED_VALUE"""),0.0)</f>
        <v>0</v>
      </c>
    </row>
    <row r="405">
      <c r="B405">
        <f>IFERROR(__xludf.DUMMYFUNCTION("""COMPUTED_VALUE"""),400.0)</f>
        <v>400</v>
      </c>
      <c r="D405" t="str">
        <f>IFERROR(__xludf.DUMMYFUNCTION("""COMPUTED_VALUE"""),"Taj Gibson")</f>
        <v>Taj Gibson</v>
      </c>
      <c r="F405" t="str">
        <f>IFERROR(__xludf.DUMMYFUNCTION("""COMPUTED_VALUE"""),"458.00")</f>
        <v>458.00</v>
      </c>
      <c r="G405" s="26">
        <f>IFERROR(__xludf.DUMMYFUNCTION("""COMPUTED_VALUE"""),-9.975010465226473)</f>
        <v>-9.975010465</v>
      </c>
      <c r="H405" s="26">
        <f>IFERROR(__xludf.DUMMYFUNCTION("""COMPUTED_VALUE"""),-10.32284673958298)</f>
        <v>-10.32284674</v>
      </c>
      <c r="I405" s="26">
        <f>IFERROR(__xludf.DUMMYFUNCTION("""COMPUTED_VALUE"""),-0.34783627435650644)</f>
        <v>-0.3478362744</v>
      </c>
      <c r="J405" s="26">
        <f>IFERROR(__xludf.DUMMYFUNCTION("""COMPUTED_VALUE"""),2.4775)</f>
        <v>2.4775</v>
      </c>
      <c r="K405" s="26">
        <f>IFERROR(__xludf.DUMMYFUNCTION("""COMPUTED_VALUE"""),0.132)</f>
        <v>0.132</v>
      </c>
      <c r="L405" s="26">
        <f>IFERROR(__xludf.DUMMYFUNCTION("""COMPUTED_VALUE"""),2.3175)</f>
        <v>2.3175</v>
      </c>
      <c r="M405" s="26">
        <f>IFERROR(__xludf.DUMMYFUNCTION("""COMPUTED_VALUE"""),0.49)</f>
        <v>0.49</v>
      </c>
      <c r="N405" s="26">
        <f>IFERROR(__xludf.DUMMYFUNCTION("""COMPUTED_VALUE"""),0.253)</f>
        <v>0.253</v>
      </c>
      <c r="O405" s="26">
        <f>IFERROR(__xludf.DUMMYFUNCTION("""COMPUTED_VALUE"""),0.39)</f>
        <v>0.39</v>
      </c>
      <c r="P405" s="464">
        <f>IFERROR(__xludf.DUMMYFUNCTION("""COMPUTED_VALUE"""),0.5305528613)</f>
        <v>0.5305528613</v>
      </c>
      <c r="Q405" s="464">
        <f>IFERROR(__xludf.DUMMYFUNCTION("""COMPUTED_VALUE"""),0.7645631068)</f>
        <v>0.7645631068</v>
      </c>
      <c r="R405" s="26">
        <f>IFERROR(__xludf.DUMMYFUNCTION("""COMPUTED_VALUE"""),0.346)</f>
        <v>0.346</v>
      </c>
      <c r="S405" s="26">
        <f>IFERROR(__xludf.DUMMYFUNCTION("""COMPUTED_VALUE"""),-2.7058474357649085)</f>
        <v>-2.705847436</v>
      </c>
      <c r="T405" s="26">
        <f>IFERROR(__xludf.DUMMYFUNCTION("""COMPUTED_VALUE"""),-1.6036178047804701)</f>
        <v>-1.603617805</v>
      </c>
      <c r="U405" s="26">
        <f>IFERROR(__xludf.DUMMYFUNCTION("""COMPUTED_VALUE"""),-1.4758564303738444)</f>
        <v>-1.47585643</v>
      </c>
      <c r="V405" s="26">
        <f>IFERROR(__xludf.DUMMYFUNCTION("""COMPUTED_VALUE"""),-1.5637499233105248)</f>
        <v>-1.563749923</v>
      </c>
      <c r="W405" s="26">
        <f>IFERROR(__xludf.DUMMYFUNCTION("""COMPUTED_VALUE"""),-2.3919105732197234)</f>
        <v>-2.391910573</v>
      </c>
      <c r="X405" s="26">
        <f>IFERROR(__xludf.DUMMYFUNCTION("""COMPUTED_VALUE"""),-0.6397350194936949)</f>
        <v>-0.6397350195</v>
      </c>
      <c r="Y405" s="26">
        <f>IFERROR(__xludf.DUMMYFUNCTION("""COMPUTED_VALUE"""),0.07988287749396515)</f>
        <v>0.07988287749</v>
      </c>
      <c r="Z405" s="26">
        <f>IFERROR(__xludf.DUMMYFUNCTION("""COMPUTED_VALUE"""),-0.02201243013377987)</f>
        <v>-0.02201243013</v>
      </c>
      <c r="AA405" s="26">
        <f>IFERROR(__xludf.DUMMYFUNCTION("""COMPUTED_VALUE"""),0.0)</f>
        <v>0</v>
      </c>
    </row>
  </sheetData>
  <drawing r:id="rId1"/>
</worksheet>
</file>